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t" sheetId="1" r:id="rId1"/>
    <sheet name="Summary" sheetId="2" r:id="rId2"/>
    <sheet name="Students" sheetId="3" r:id="rId3"/>
    <sheet name="SingleStudentView" sheetId="4" r:id="rId4"/>
    <sheet name="SingleStudentViewBlank" sheetId="5" r:id="rId5"/>
    <sheet name="Applications" sheetId="6" r:id="rId6"/>
    <sheet name="AllColleges" sheetId="7" state="hidden" r:id="rId7"/>
    <sheet name="CollegeListLookup" sheetId="8" state="hidden" r:id="rId8"/>
    <sheet name="CustomWeights" sheetId="9" state="hidden" r:id="rId9"/>
    <sheet name="Coefficients" sheetId="10" state="hidden" r:id="rId10"/>
    <sheet name="SATtoACT" sheetId="11" state="hidden" r:id="rId11"/>
    <sheet name="Strategies" sheetId="12" state="hidden" r:id="rId12"/>
    <sheet name="Targets" sheetId="13" state="hidden" r:id="rId13"/>
    <sheet name="Labels" sheetId="14" state="hidden" r:id="rId14"/>
  </sheets>
  <definedNames>
    <definedName name="_xlnm._FilterDatabase" localSheetId="6" hidden="1">AllColleges!$A$1:$L$1</definedName>
    <definedName name="_xlnm._FilterDatabase" localSheetId="5" hidden="1">Applications!$A$1:$BV$812</definedName>
    <definedName name="_xlnm._FilterDatabase" localSheetId="9" hidden="1">Coefficients!$A$1:$E$1</definedName>
    <definedName name="_xlnm._FilterDatabase" localSheetId="7" hidden="1">CollegeListLookup!$A$1:$C$1</definedName>
    <definedName name="_xlnm._FilterDatabase" localSheetId="8" hidden="1">CustomWeights!$A$1:$F$1</definedName>
    <definedName name="_xlnm._FilterDatabase" localSheetId="11" hidden="1">Strategies!$A$1:$D$1</definedName>
    <definedName name="_xlnm._FilterDatabase" localSheetId="2" hidden="1">Students!$A$2:$BU$77</definedName>
    <definedName name="AcceptTotal">Students!$W$3:$W$77</definedName>
    <definedName name="ActualACT">Students!$I$3:$I$77</definedName>
    <definedName name="ActualSAT">Students!$J$3:$J$77</definedName>
    <definedName name="Advisors">Students!$R$3:$R$77</definedName>
    <definedName name="AllCollegeAAHGR">AllColleges!$E$2:$E$5155</definedName>
    <definedName name="AllCollegeACT25">AllColleges!$F$2:$F$5155</definedName>
    <definedName name="AllCollegeACT50">AllColleges!$G$2:$G$5155</definedName>
    <definedName name="AllCollegeBarrons">AllColleges!$C$2:$C$5155</definedName>
    <definedName name="AllCollegeChicago">AllColleges!$L$2:$L$5155</definedName>
    <definedName name="AllCollegeGR">AllColleges!$D$2:$D$5155</definedName>
    <definedName name="AllCollegeHBCU">AllColleges!$J$2:$J$5155</definedName>
    <definedName name="AllCollegeILPub">AllColleges!$K$2:$K$5155</definedName>
    <definedName name="AllCollegeLookup">AllColleges!$A$2:$L$5155</definedName>
    <definedName name="AllCollegeMoney">AllColleges!$I$2:$I$5155</definedName>
    <definedName name="AllCollegeMoneyCode">AllColleges!$H$2:$H$5155</definedName>
    <definedName name="AllCollegeNames">AllColleges!$B$2:$B$5155</definedName>
    <definedName name="AllCollegeNCES">AllColleges!$A$2:$A$5155</definedName>
    <definedName name="AllGradRates">Applications!$X$2:$X$812</definedName>
    <definedName name="AllMoneyApps">Students!$BI$3:$BI$77</definedName>
    <definedName name="Apps">Students!$AR$3:$AR$77</definedName>
    <definedName name="AppsSubmitted">Students!$Z$3:$Z$77</definedName>
    <definedName name="BadMoney">Applications!$BU$2:$BU$812</definedName>
    <definedName name="BadMoneyApps">Students!$BT$3:$BT$77</definedName>
    <definedName name="Barrons">Applications!$O$2:$O$812</definedName>
    <definedName name="BelowGRLabel">Labels!$B$4</definedName>
    <definedName name="Campus">Students!$A$3:$A$77</definedName>
    <definedName name="Classes">Applications!$AK$2:$AK$812</definedName>
    <definedName name="CoefficientsACT">Coefficients!$D$2:$D$41</definedName>
    <definedName name="CoefficientsGPA">Coefficients!$C$2:$C$41</definedName>
    <definedName name="CoefficientsIndex">Coefficients!$A$2:$A$41</definedName>
    <definedName name="CoefficientsIntercept">Coefficients!$E$2:$E$41</definedName>
    <definedName name="CoefficientsMatchCode">Coefficients!$B$2:$B$41</definedName>
    <definedName name="Cohort">Students!$Q$3:$Q$77</definedName>
    <definedName name="CollegeListLookup">CollegeListLookup!$A$2:$B$1373</definedName>
    <definedName name="CollegeNames">Applications!$F$2:$F$812</definedName>
    <definedName name="Counselor">Students!$S$3:$S$77</definedName>
    <definedName name="CustomWeightsACT">CustomWeights!$C$2:$C$241</definedName>
    <definedName name="CustomWeightsGPA">CustomWeights!$B$2:$B$241</definedName>
    <definedName name="CustomWeightsIndex">CustomWeights!$A$2:$A$241</definedName>
    <definedName name="CustomWeightsIntercept">CustomWeights!$D$2:$D$241</definedName>
    <definedName name="Denied">Students!$Y$3:$Y$77</definedName>
    <definedName name="ExtraCollegeChoice">CollegeListLookup!$A$2:$A$1373</definedName>
    <definedName name="ExtraCollegeNCES">CollegeListLookup!$B$2:$B$1373</definedName>
    <definedName name="FarBelowGRLabel">Labels!$B$5</definedName>
    <definedName name="FarBelowTGRApps">Students!$AQ$3:$AQ$77</definedName>
    <definedName name="FarBelowTGRCount">Applications!$AS$2:$AS$812</definedName>
    <definedName name="GoldenThree">Applications!$BV$2:$BV$812</definedName>
    <definedName name="GoldenThreeApps">Students!$BU$3:$BU$77</definedName>
    <definedName name="GradRates">Applications!$Y$2:$Y$812</definedName>
    <definedName name="HailMaryApps">Students!$AV$3:$AV$77</definedName>
    <definedName name="HailMaryLabel">Labels!$B$12</definedName>
    <definedName name="IdealGRLabel">Labels!$B$3</definedName>
    <definedName name="IGRshortLabel">Labels!$C$3</definedName>
    <definedName name="ILPubApps">Students!$BN$3:$BN$77</definedName>
    <definedName name="ILPublic">Applications!$BB$2:$BB$812</definedName>
    <definedName name="ILPubMSS">Students!$BO$3:$BO$77</definedName>
    <definedName name="ILPubSecure">Students!$BP$3:$BP$77</definedName>
    <definedName name="KidACTs">Students!$L$3:$L$77</definedName>
    <definedName name="KidFirst">Students!$G$3:$G$77</definedName>
    <definedName name="KidGPAs">Students!$H$3:$H$77</definedName>
    <definedName name="KidIDs">Students!$E$3:$E$77</definedName>
    <definedName name="KidLast">Students!$F$3:$F$77</definedName>
    <definedName name="KidRace">Students!$M$3:$M$77</definedName>
    <definedName name="LastFirst">Students!$D$3:$D$77</definedName>
    <definedName name="LongshotApps">Students!$AW$3:$AW$77</definedName>
    <definedName name="LongshotLabel">Labels!$B$11</definedName>
    <definedName name="MatchApps">Students!$AY$3:$AY$77</definedName>
    <definedName name="MatchGRApps">Students!$AO$3:$AO$77</definedName>
    <definedName name="MatchLabel">Labels!$B$9</definedName>
    <definedName name="MatchMult">Applications!$AU$2:$AU$812</definedName>
    <definedName name="MatchOrUnder">Applications!$AO$2:$AO$812</definedName>
    <definedName name="MatchOrUnderApps">Students!$BR$3:$BR$77</definedName>
    <definedName name="MatchUnderMoney">Applications!$BQ$2:$BQ$812</definedName>
    <definedName name="MGRcount">Applications!$AQ$2:$AQ$812</definedName>
    <definedName name="MGRMoneyMult">Applications!$AZ$2:$AZ$812</definedName>
    <definedName name="MGRMult">Applications!$AW$2:$AW$812</definedName>
    <definedName name="MoneyBelowMGRApps">Students!$AL$3:$AL$77</definedName>
    <definedName name="MoneyChicago">Applications!$BS$2:$BS$812</definedName>
    <definedName name="MoneyChicagoApps">Students!$BQ$3:$BQ$77</definedName>
    <definedName name="MoneyCode">Applications!$BT$2:$BT$812</definedName>
    <definedName name="MoneyMatchApps">Students!$BE$3:$BE$77</definedName>
    <definedName name="MoneyMGRApps">Students!$BK$3:$BK$77</definedName>
    <definedName name="MoneyMGROdds">Students!$BK$3:$BK$77</definedName>
    <definedName name="MoneyMGROddsLongshot">Students!$BM$3:$BM$77</definedName>
    <definedName name="MoneyMGRPlus">Students!$U$3:$U$77</definedName>
    <definedName name="MoneyReachApps">Students!$BD$3:$BD$77</definedName>
    <definedName name="MoneyRGRApps">Students!$BJ$3:$BJ$77</definedName>
    <definedName name="MoneyRGROdds">Students!$BJ$3:$BJ$77</definedName>
    <definedName name="MoneyRGROddsLongshot">Students!$BL$3:$BL$77</definedName>
    <definedName name="MoneyRGRPlus">Students!$V$3:$V$77</definedName>
    <definedName name="MoneySafetyApps">Students!$BF$3:$BF$77</definedName>
    <definedName name="MoneySecureApps">Students!$BG$3:$BG$77</definedName>
    <definedName name="MoneySureThingApps">Students!$BH$3:$BH$77</definedName>
    <definedName name="MoneyYesNo">Applications!$AY$2:$AY$812</definedName>
    <definedName name="NCESids">Applications!$N$2:$N$812</definedName>
    <definedName name="Odds">Applications!$AJ$2:$AJ$812</definedName>
    <definedName name="PredEqual">Students!$AD$3:$AD$77</definedName>
    <definedName name="PredM1">Students!$AB$3:$AB$77</definedName>
    <definedName name="PredP">Students!$AA$3:$AA$77</definedName>
    <definedName name="PredPref">Students!$AC$3:$AC$77</definedName>
    <definedName name="ReachApps">Students!$AX$3:$AX$77</definedName>
    <definedName name="ReachGRApps">Students!$AN$3:$AN$77</definedName>
    <definedName name="ReachLabel">Labels!$B$10</definedName>
    <definedName name="ReachMult">Applications!$AV$2:$AV$812</definedName>
    <definedName name="ReachStudentTargets">Students!$P$3:$P$77</definedName>
    <definedName name="ReachUnder">Applications!$BH$2:$BH$812</definedName>
    <definedName name="ReachUnderMoney">Applications!$BP$2:$BP$812</definedName>
    <definedName name="Results">Applications!$AL$2:$AL$812</definedName>
    <definedName name="RGRcount">Applications!$AR$2:$AR$812</definedName>
    <definedName name="RGRMoneyMult">Applications!$BA$2:$BA$812</definedName>
    <definedName name="RGRMult">Applications!$AX$2:$AX$812</definedName>
    <definedName name="SafetyApps">Students!$AZ$3:$AZ$77</definedName>
    <definedName name="SafetyLabel">Labels!$B$8</definedName>
    <definedName name="SafetyUnder">Applications!$BJ$2:$BJ$812</definedName>
    <definedName name="SafetyUnderMoney">Applications!$BR$2:$BR$812</definedName>
    <definedName name="SATtoACT">SATtoACT!$A$2:$B$106</definedName>
    <definedName name="SecureApps">Students!$BA$3:$BA$77</definedName>
    <definedName name="SecureLabel">Labels!$B$7</definedName>
    <definedName name="Stages">Applications!$G$2:$G$812</definedName>
    <definedName name="StrategyLookup">Strategies!$A$2:$D$726</definedName>
    <definedName name="Strats">Students!$N$3:$N$77</definedName>
    <definedName name="Students">Applications!$B$2:$B$812</definedName>
    <definedName name="StudentTargets">Students!$O$3:$O$77</definedName>
    <definedName name="SureThingApps">Students!$BB$3:$BB$77</definedName>
    <definedName name="SureThingLabel">Labels!$B$6</definedName>
    <definedName name="TargetGRLabel">Labels!$B$2</definedName>
    <definedName name="TargetLookup">Targets!$A$2:$G$14</definedName>
    <definedName name="TGRorBetterApps">Students!$BS$3:$BS$77</definedName>
    <definedName name="TGRshortLabel">Labels!$C$2</definedName>
    <definedName name="WL_Defer">Students!$X$3:$X$77</definedName>
  </definedNames>
  <calcPr calcId="124519" fullCalcOnLoad="1"/>
</workbook>
</file>

<file path=xl/sharedStrings.xml><?xml version="1.0" encoding="utf-8"?>
<sst xmlns="http://schemas.openxmlformats.org/spreadsheetml/2006/main" count="46476" uniqueCount="6841">
  <si>
    <t>Strategy</t>
  </si>
  <si>
    <t># Students</t>
  </si>
  <si>
    <t>Avg # of apps (planned)</t>
  </si>
  <si>
    <t>Avg # of apps (subm.)</t>
  </si>
  <si>
    <t>Predict-ion "Perfect"</t>
  </si>
  <si>
    <t>Predict-ion "Minus 1"</t>
  </si>
  <si>
    <t>Predict-ion "Some Pref"</t>
  </si>
  <si>
    <t>Predict-ion "All Equal"</t>
  </si>
  <si>
    <t>Avg # of accept-ances</t>
  </si>
  <si>
    <t>% w/ at least one acceptance</t>
  </si>
  <si>
    <t>Campus</t>
  </si>
  <si>
    <t>EFC</t>
  </si>
  <si>
    <t>SpEd</t>
  </si>
  <si>
    <t>LastFirst</t>
  </si>
  <si>
    <t>StudentID</t>
  </si>
  <si>
    <t>Last</t>
  </si>
  <si>
    <t>First</t>
  </si>
  <si>
    <t>Student profile</t>
  </si>
  <si>
    <t>GPA</t>
  </si>
  <si>
    <t>Actual ACT</t>
  </si>
  <si>
    <t>Actual SAT</t>
  </si>
  <si>
    <t>SAT in ACT terms</t>
  </si>
  <si>
    <t>High "ACT"</t>
  </si>
  <si>
    <t>Race / Eth</t>
  </si>
  <si>
    <t>Stra-tegy</t>
  </si>
  <si>
    <t>Cohort</t>
  </si>
  <si>
    <t>Advisor</t>
  </si>
  <si>
    <t>Counselor</t>
  </si>
  <si>
    <t>SortCode</t>
  </si>
  <si>
    <t>Odds of at least one</t>
  </si>
  <si>
    <t>Money Target GR or better</t>
  </si>
  <si>
    <t>Money Ideal GR or better</t>
  </si>
  <si>
    <t># of acceptances</t>
  </si>
  <si>
    <t>Waitlist/ Deferred</t>
  </si>
  <si>
    <t>Denied</t>
  </si>
  <si>
    <t># of apps submitted</t>
  </si>
  <si>
    <t>Predictions</t>
  </si>
  <si>
    <t>Perfect</t>
  </si>
  <si>
    <t>Minus 1</t>
  </si>
  <si>
    <t>Some prefer-ence</t>
  </si>
  <si>
    <t>All equal</t>
  </si>
  <si>
    <t>Acceptances</t>
  </si>
  <si>
    <t>Decided</t>
  </si>
  <si>
    <t>Money Ideal GR+ accept</t>
  </si>
  <si>
    <t>Money Match GR accept</t>
  </si>
  <si>
    <t>Money &lt; Match GR accept</t>
  </si>
  <si>
    <t>Other accept</t>
  </si>
  <si>
    <t>Money apps of each type</t>
  </si>
  <si>
    <t>Money Ideal GR+ apps</t>
  </si>
  <si>
    <t>Money Target GR apps</t>
  </si>
  <si>
    <t>Money Below Target GR apps</t>
  </si>
  <si>
    <t>Total Money apps</t>
  </si>
  <si>
    <t>Apps of each type</t>
  </si>
  <si>
    <t>Ideal GR+ apps</t>
  </si>
  <si>
    <t>Target GR apps</t>
  </si>
  <si>
    <t>Below Target GR apps</t>
  </si>
  <si>
    <t>Far Below Target GR apps</t>
  </si>
  <si>
    <t>Total apps</t>
  </si>
  <si>
    <t>Percent of apps submitted</t>
  </si>
  <si>
    <t>Target GR or better</t>
  </si>
  <si>
    <t>Ideal GR or better</t>
  </si>
  <si>
    <t>Hail Mary</t>
  </si>
  <si>
    <t>Longshot</t>
  </si>
  <si>
    <t>Reach</t>
  </si>
  <si>
    <t>Match</t>
  </si>
  <si>
    <t>Safety</t>
  </si>
  <si>
    <t>Secure</t>
  </si>
  <si>
    <t>Sure Thing</t>
  </si>
  <si>
    <t>Other</t>
  </si>
  <si>
    <t>Money Reach</t>
  </si>
  <si>
    <t>Money Match</t>
  </si>
  <si>
    <t>Money Safety</t>
  </si>
  <si>
    <t>Money Secure</t>
  </si>
  <si>
    <t>Money Sure Thing</t>
  </si>
  <si>
    <t>Totals</t>
  </si>
  <si>
    <t>All Money</t>
  </si>
  <si>
    <t>Money Ideal GR+ (incl Longshot)</t>
  </si>
  <si>
    <t>Money Target GR (incl Longshot)</t>
  </si>
  <si>
    <t>IL Public apps</t>
  </si>
  <si>
    <t>IL Public, Match, Safety, Secure</t>
  </si>
  <si>
    <t>IL Public Secure</t>
  </si>
  <si>
    <t>Money Chicago apps</t>
  </si>
  <si>
    <t>Match or under apps</t>
  </si>
  <si>
    <t>Target GR or better apps</t>
  </si>
  <si>
    <t>Bad Money apps</t>
  </si>
  <si>
    <t>Golden Three apps</t>
  </si>
  <si>
    <t>Beta HS</t>
  </si>
  <si>
    <t>No</t>
  </si>
  <si>
    <t>Greenwalt, Ada</t>
  </si>
  <si>
    <t>Greenwalt</t>
  </si>
  <si>
    <t>Ada</t>
  </si>
  <si>
    <t>H</t>
  </si>
  <si>
    <t>A2</t>
  </si>
  <si>
    <t>Nielsen</t>
  </si>
  <si>
    <t>Jeffie Troxler</t>
  </si>
  <si>
    <t>Albanese, Adaline</t>
  </si>
  <si>
    <t>Albanese</t>
  </si>
  <si>
    <t>Adaline</t>
  </si>
  <si>
    <t>A3</t>
  </si>
  <si>
    <t>Oesterling</t>
  </si>
  <si>
    <t>Obert, Alejandra</t>
  </si>
  <si>
    <t>Obert</t>
  </si>
  <si>
    <t>Alejandra</t>
  </si>
  <si>
    <t>A1</t>
  </si>
  <si>
    <t>Glancy</t>
  </si>
  <si>
    <t>Hermanson, Ali</t>
  </si>
  <si>
    <t>Hermanson</t>
  </si>
  <si>
    <t>Ali</t>
  </si>
  <si>
    <t>Rodman, Allan</t>
  </si>
  <si>
    <t>Rodman</t>
  </si>
  <si>
    <t>Allan</t>
  </si>
  <si>
    <t>Kush</t>
  </si>
  <si>
    <t>Fleetwood, Almeda</t>
  </si>
  <si>
    <t>Fleetwood</t>
  </si>
  <si>
    <t>Almeda</t>
  </si>
  <si>
    <t>B</t>
  </si>
  <si>
    <t>Vaught</t>
  </si>
  <si>
    <t>Tacker, Amado</t>
  </si>
  <si>
    <t>Tacker</t>
  </si>
  <si>
    <t>Amado</t>
  </si>
  <si>
    <t>B1</t>
  </si>
  <si>
    <t>Jaworski</t>
  </si>
  <si>
    <t>Ray, Amelia</t>
  </si>
  <si>
    <t>Ray</t>
  </si>
  <si>
    <t>Amelia</t>
  </si>
  <si>
    <t>Forney, Anderson</t>
  </si>
  <si>
    <t>Forney</t>
  </si>
  <si>
    <t>Anderson</t>
  </si>
  <si>
    <t>Geter, Andres</t>
  </si>
  <si>
    <t>Geter</t>
  </si>
  <si>
    <t>Andres</t>
  </si>
  <si>
    <t>Tores</t>
  </si>
  <si>
    <t>Philpott, Anitra</t>
  </si>
  <si>
    <t>Philpott</t>
  </si>
  <si>
    <t>Anitra</t>
  </si>
  <si>
    <t>Kulig, Anton</t>
  </si>
  <si>
    <t>Kulig</t>
  </si>
  <si>
    <t>Anton</t>
  </si>
  <si>
    <t>Yes</t>
  </si>
  <si>
    <t>Roehl, Arlen</t>
  </si>
  <si>
    <t>Roehl</t>
  </si>
  <si>
    <t>Arlen</t>
  </si>
  <si>
    <t>Braham, Arlie</t>
  </si>
  <si>
    <t>Braham</t>
  </si>
  <si>
    <t>Arlie</t>
  </si>
  <si>
    <t>A6</t>
  </si>
  <si>
    <t>Sais, Arnita</t>
  </si>
  <si>
    <t>Sais</t>
  </si>
  <si>
    <t>Arnita</t>
  </si>
  <si>
    <t>Garcia, Arron</t>
  </si>
  <si>
    <t>Garcia</t>
  </si>
  <si>
    <t>Arron</t>
  </si>
  <si>
    <t>Boser, Augustine</t>
  </si>
  <si>
    <t>Boser</t>
  </si>
  <si>
    <t>Augustine</t>
  </si>
  <si>
    <t>Head</t>
  </si>
  <si>
    <t>Aberle, Ayanna</t>
  </si>
  <si>
    <t>Aberle</t>
  </si>
  <si>
    <t>Ayanna</t>
  </si>
  <si>
    <t>Etter, Babara</t>
  </si>
  <si>
    <t>Etter</t>
  </si>
  <si>
    <t>Babara</t>
  </si>
  <si>
    <t>Stiefel, Barney</t>
  </si>
  <si>
    <t>Stiefel</t>
  </si>
  <si>
    <t>Barney</t>
  </si>
  <si>
    <t>TBD</t>
  </si>
  <si>
    <t>Massingill, Bernardo</t>
  </si>
  <si>
    <t>Massingill</t>
  </si>
  <si>
    <t>Bernardo</t>
  </si>
  <si>
    <t>Rape, Bettye</t>
  </si>
  <si>
    <t>Rape</t>
  </si>
  <si>
    <t>Bettye</t>
  </si>
  <si>
    <t>Chilton, Billi</t>
  </si>
  <si>
    <t>Chilton</t>
  </si>
  <si>
    <t>Billi</t>
  </si>
  <si>
    <t>Fontenot, Blake</t>
  </si>
  <si>
    <t>Fontenot</t>
  </si>
  <si>
    <t>Blake</t>
  </si>
  <si>
    <t>Foust, Bo</t>
  </si>
  <si>
    <t>Foust</t>
  </si>
  <si>
    <t>Bo</t>
  </si>
  <si>
    <t>Appling, Bobby</t>
  </si>
  <si>
    <t>Appling</t>
  </si>
  <si>
    <t>Bobby</t>
  </si>
  <si>
    <t>Battaglia, Branda</t>
  </si>
  <si>
    <t>Battaglia</t>
  </si>
  <si>
    <t>Branda</t>
  </si>
  <si>
    <t>Shockey, Britney</t>
  </si>
  <si>
    <t>Shockey</t>
  </si>
  <si>
    <t>Britney</t>
  </si>
  <si>
    <t>Lonon, Britteny</t>
  </si>
  <si>
    <t>Lonon</t>
  </si>
  <si>
    <t>Britteny</t>
  </si>
  <si>
    <t>Gatson, Calista</t>
  </si>
  <si>
    <t>Gatson</t>
  </si>
  <si>
    <t>Calista</t>
  </si>
  <si>
    <t>Hellen, Candy</t>
  </si>
  <si>
    <t>Hellen</t>
  </si>
  <si>
    <t>Candy</t>
  </si>
  <si>
    <t>Cephas, Caridad</t>
  </si>
  <si>
    <t>Cephas</t>
  </si>
  <si>
    <t>Caridad</t>
  </si>
  <si>
    <t>Dieguez, Carli</t>
  </si>
  <si>
    <t>Dieguez</t>
  </si>
  <si>
    <t>Carli</t>
  </si>
  <si>
    <t>Trowbridge, Carlo</t>
  </si>
  <si>
    <t>Trowbridge</t>
  </si>
  <si>
    <t>Carlo</t>
  </si>
  <si>
    <t>Bryon, Carmel</t>
  </si>
  <si>
    <t>Bryon</t>
  </si>
  <si>
    <t>Carmel</t>
  </si>
  <si>
    <t>Pon, Carmela</t>
  </si>
  <si>
    <t>Pon</t>
  </si>
  <si>
    <t>Carmela</t>
  </si>
  <si>
    <t>Kennelly, Carol</t>
  </si>
  <si>
    <t>Kennelly</t>
  </si>
  <si>
    <t>Carol</t>
  </si>
  <si>
    <t>Delancey, Carroll</t>
  </si>
  <si>
    <t>Delancey</t>
  </si>
  <si>
    <t>Carroll</t>
  </si>
  <si>
    <t>Hegna, Chanell</t>
  </si>
  <si>
    <t>Hegna</t>
  </si>
  <si>
    <t>Chanell</t>
  </si>
  <si>
    <t>Wellman, Charmaine</t>
  </si>
  <si>
    <t>Wellman</t>
  </si>
  <si>
    <t>Charmaine</t>
  </si>
  <si>
    <t>Agrawal, Chauncey</t>
  </si>
  <si>
    <t>Agrawal</t>
  </si>
  <si>
    <t>Chauncey</t>
  </si>
  <si>
    <t>Eberle, Christina</t>
  </si>
  <si>
    <t>Eberle</t>
  </si>
  <si>
    <t>Christina</t>
  </si>
  <si>
    <t>Bumgardner, Christopher</t>
  </si>
  <si>
    <t>Bumgardner</t>
  </si>
  <si>
    <t>Christopher</t>
  </si>
  <si>
    <t>Sweatman, Christy</t>
  </si>
  <si>
    <t>Sweatman</t>
  </si>
  <si>
    <t>Christy</t>
  </si>
  <si>
    <t>Lemmon, Coralie</t>
  </si>
  <si>
    <t>Lemmon</t>
  </si>
  <si>
    <t>Coralie</t>
  </si>
  <si>
    <t>Weise, Corie</t>
  </si>
  <si>
    <t>Weise</t>
  </si>
  <si>
    <t>Corie</t>
  </si>
  <si>
    <t>Azure, Crissy</t>
  </si>
  <si>
    <t>Azure</t>
  </si>
  <si>
    <t>Crissy</t>
  </si>
  <si>
    <t>Hammer, Dagny</t>
  </si>
  <si>
    <t>Hammer</t>
  </si>
  <si>
    <t>Dagny</t>
  </si>
  <si>
    <t>Pinner, Daisey</t>
  </si>
  <si>
    <t>Pinner</t>
  </si>
  <si>
    <t>Daisey</t>
  </si>
  <si>
    <t>Straight, Damion</t>
  </si>
  <si>
    <t>Straight</t>
  </si>
  <si>
    <t>Damion</t>
  </si>
  <si>
    <t>Holscher, Dan</t>
  </si>
  <si>
    <t>Holscher</t>
  </si>
  <si>
    <t>Dan</t>
  </si>
  <si>
    <t>Fitzgibbon, Danica</t>
  </si>
  <si>
    <t>Fitzgibbon</t>
  </si>
  <si>
    <t>Danica</t>
  </si>
  <si>
    <t>Tharp, Danilo</t>
  </si>
  <si>
    <t>Tharp</t>
  </si>
  <si>
    <t>Danilo</t>
  </si>
  <si>
    <t>Feemster, Darrel</t>
  </si>
  <si>
    <t>Feemster</t>
  </si>
  <si>
    <t>Darrel</t>
  </si>
  <si>
    <t>Gordillo, Dave</t>
  </si>
  <si>
    <t>Gordillo</t>
  </si>
  <si>
    <t>Dave</t>
  </si>
  <si>
    <t>Douville, Delilah</t>
  </si>
  <si>
    <t>Douville</t>
  </si>
  <si>
    <t>Delilah</t>
  </si>
  <si>
    <t>Danforth, Derick</t>
  </si>
  <si>
    <t>Danforth</t>
  </si>
  <si>
    <t>Derick</t>
  </si>
  <si>
    <t>Hadden, Devin</t>
  </si>
  <si>
    <t>Hadden</t>
  </si>
  <si>
    <t>Devin</t>
  </si>
  <si>
    <t>Manross, Diamond</t>
  </si>
  <si>
    <t>Manross</t>
  </si>
  <si>
    <t>Diamond</t>
  </si>
  <si>
    <t>Mcbath, Domenic</t>
  </si>
  <si>
    <t>Mcbath</t>
  </si>
  <si>
    <t>Domenic</t>
  </si>
  <si>
    <t>Lazo, Domonique</t>
  </si>
  <si>
    <t>Lazo</t>
  </si>
  <si>
    <t>Domonique</t>
  </si>
  <si>
    <t>Gunderman, Don</t>
  </si>
  <si>
    <t>Gunderman</t>
  </si>
  <si>
    <t>Don</t>
  </si>
  <si>
    <t>Jain, Dong</t>
  </si>
  <si>
    <t>Jain</t>
  </si>
  <si>
    <t>Dong</t>
  </si>
  <si>
    <t>Dawe, Doria</t>
  </si>
  <si>
    <t>Dawe</t>
  </si>
  <si>
    <t>Doria</t>
  </si>
  <si>
    <t>Febres, Dwayne</t>
  </si>
  <si>
    <t>Febres</t>
  </si>
  <si>
    <t>Dwayne</t>
  </si>
  <si>
    <t>Mahone, Edith</t>
  </si>
  <si>
    <t>Mahone</t>
  </si>
  <si>
    <t>Edith</t>
  </si>
  <si>
    <t>Swafford, Eilene</t>
  </si>
  <si>
    <t>Swafford</t>
  </si>
  <si>
    <t>Eilene</t>
  </si>
  <si>
    <t>Allin, Emerald</t>
  </si>
  <si>
    <t>Allin</t>
  </si>
  <si>
    <t>Emerald</t>
  </si>
  <si>
    <t>Muscarella, Ericka</t>
  </si>
  <si>
    <t>Muscarella</t>
  </si>
  <si>
    <t>Ericka</t>
  </si>
  <si>
    <t>Deerman, Everett</t>
  </si>
  <si>
    <t>Deerman</t>
  </si>
  <si>
    <t>Everett</t>
  </si>
  <si>
    <t>Petro, Fabiola</t>
  </si>
  <si>
    <t>Petro</t>
  </si>
  <si>
    <t>Fabiola</t>
  </si>
  <si>
    <t>Karns, Fidel</t>
  </si>
  <si>
    <t>Karns</t>
  </si>
  <si>
    <t>Fidel</t>
  </si>
  <si>
    <t>Sakai, Foster</t>
  </si>
  <si>
    <t>Sakai</t>
  </si>
  <si>
    <t>Foster</t>
  </si>
  <si>
    <t>Olea, Gary</t>
  </si>
  <si>
    <t>Olea</t>
  </si>
  <si>
    <t>Gary</t>
  </si>
  <si>
    <t>A</t>
  </si>
  <si>
    <t>Gadd, Gaylord</t>
  </si>
  <si>
    <t>Gadd</t>
  </si>
  <si>
    <t>Gaylord</t>
  </si>
  <si>
    <t>Student#</t>
  </si>
  <si>
    <t>#apps</t>
  </si>
  <si>
    <t>firstRow</t>
  </si>
  <si>
    <t>Target</t>
  </si>
  <si>
    <t>Select student's name:</t>
  </si>
  <si>
    <t>Odds of 1 or more acceptances to:</t>
  </si>
  <si>
    <t>ACT/SAT</t>
  </si>
  <si>
    <t>Race/Eth</t>
  </si>
  <si>
    <t>Goals for #s to the left:</t>
  </si>
  <si>
    <t>IGR</t>
  </si>
  <si>
    <t>TGR</t>
  </si>
  <si>
    <t>Schools you might apply to:</t>
  </si>
  <si>
    <t>Odds of Admit</t>
  </si>
  <si>
    <t>For you, school is a</t>
  </si>
  <si>
    <t>App Status</t>
  </si>
  <si>
    <t>Award code</t>
  </si>
  <si>
    <t>Comp tier</t>
  </si>
  <si>
    <t>MoneyYesNo</t>
  </si>
  <si>
    <t>ACT25</t>
  </si>
  <si>
    <t>ACT</t>
  </si>
  <si>
    <t>GPAcoefB</t>
  </si>
  <si>
    <t>ACTcoefB</t>
  </si>
  <si>
    <t>InterceptB</t>
  </si>
  <si>
    <t>LogitB</t>
  </si>
  <si>
    <t>GPAcoefA</t>
  </si>
  <si>
    <t>ACTcoefA</t>
  </si>
  <si>
    <t>InterceptA</t>
  </si>
  <si>
    <t>LogitA</t>
  </si>
  <si>
    <t>FinalLogit</t>
  </si>
  <si>
    <t>Odds</t>
  </si>
  <si>
    <t>Class</t>
  </si>
  <si>
    <t>MGROrBetter</t>
  </si>
  <si>
    <t>RGROrBetter</t>
  </si>
  <si>
    <t>InverseOdds</t>
  </si>
  <si>
    <t>MGRMult</t>
  </si>
  <si>
    <t>RGRMult</t>
  </si>
  <si>
    <t>MGRMoney</t>
  </si>
  <si>
    <t>RGRMoney</t>
  </si>
  <si>
    <t>Schools currently applying to ("*" indicates prospective):</t>
  </si>
  <si>
    <t>Your list compared to campus goals:</t>
  </si>
  <si>
    <t>Campus Goal</t>
  </si>
  <si>
    <t>You</t>
  </si>
  <si>
    <t>Met?</t>
  </si>
  <si>
    <t>hs_student_id</t>
  </si>
  <si>
    <t>last_name</t>
  </si>
  <si>
    <t>first_name</t>
  </si>
  <si>
    <t>middle_name</t>
  </si>
  <si>
    <t>collegename</t>
  </si>
  <si>
    <t>stage</t>
  </si>
  <si>
    <t>type</t>
  </si>
  <si>
    <t>result_code</t>
  </si>
  <si>
    <t>attending</t>
  </si>
  <si>
    <t>waitlisted</t>
  </si>
  <si>
    <t>deferred</t>
  </si>
  <si>
    <t>comments</t>
  </si>
  <si>
    <t>NCES</t>
  </si>
  <si>
    <t>Barron's</t>
  </si>
  <si>
    <t>Race</t>
  </si>
  <si>
    <t>FRace</t>
  </si>
  <si>
    <t>TargetGR</t>
  </si>
  <si>
    <t>IdealGR</t>
  </si>
  <si>
    <t>PartnerBump</t>
  </si>
  <si>
    <t>6yr_all</t>
  </si>
  <si>
    <t>6yr_AA/H</t>
  </si>
  <si>
    <t>ACT25/50</t>
  </si>
  <si>
    <t>Result</t>
  </si>
  <si>
    <t>ReachOrBetter</t>
  </si>
  <si>
    <t>MatchOrBetter</t>
  </si>
  <si>
    <t>MatchOrUnder</t>
  </si>
  <si>
    <t>6yrAll/AAH_forSorting</t>
  </si>
  <si>
    <t>TGROrBetter</t>
  </si>
  <si>
    <t>IGROrBetter</t>
  </si>
  <si>
    <t>FarBelowTGRCount</t>
  </si>
  <si>
    <t>MatchOrBetterMult</t>
  </si>
  <si>
    <t>ReachOrBetterMult</t>
  </si>
  <si>
    <t>TGRorBetterMult</t>
  </si>
  <si>
    <t>IGRorBetterMult</t>
  </si>
  <si>
    <t>TGRorBetterMoneyMult</t>
  </si>
  <si>
    <t>IGRorBetterMoneyMult</t>
  </si>
  <si>
    <t>ILPub</t>
  </si>
  <si>
    <t>Sure_Thing</t>
  </si>
  <si>
    <t>Reach-</t>
  </si>
  <si>
    <t>Match-</t>
  </si>
  <si>
    <t>Safety-</t>
  </si>
  <si>
    <t>ReachMoney</t>
  </si>
  <si>
    <t>MatchMoney</t>
  </si>
  <si>
    <t>SafetyMoney</t>
  </si>
  <si>
    <t>SecureMoney</t>
  </si>
  <si>
    <t>Sure_ThingMoney</t>
  </si>
  <si>
    <t>Reach-Money</t>
  </si>
  <si>
    <t>Match-Money</t>
  </si>
  <si>
    <t>Safety-Money</t>
  </si>
  <si>
    <t>MoneyChicago</t>
  </si>
  <si>
    <t>MoneyCode</t>
  </si>
  <si>
    <t>BadMoney</t>
  </si>
  <si>
    <t>GoldenThree</t>
  </si>
  <si>
    <t>N/A</t>
  </si>
  <si>
    <t>Elmhurst College</t>
  </si>
  <si>
    <t>pending</t>
  </si>
  <si>
    <t>RD</t>
  </si>
  <si>
    <t>unknown</t>
  </si>
  <si>
    <t>Dominican University</t>
  </si>
  <si>
    <t>Aurora University</t>
  </si>
  <si>
    <t>Eastern Illinois University</t>
  </si>
  <si>
    <t>National Louis University- Chicago Campus</t>
  </si>
  <si>
    <t>Western Illinois University</t>
  </si>
  <si>
    <t>Holy Cross College (Partner)</t>
  </si>
  <si>
    <t>Partner</t>
  </si>
  <si>
    <t>Northern Illinois University</t>
  </si>
  <si>
    <t>Olivet Nazarene University</t>
  </si>
  <si>
    <t>Southern Illinois University, Carbondale</t>
  </si>
  <si>
    <t>CCC, Harold Washington College</t>
  </si>
  <si>
    <t>CCC, Wilbur Wright College</t>
  </si>
  <si>
    <t>Northeastern Illinois University</t>
  </si>
  <si>
    <t>DeVry University</t>
  </si>
  <si>
    <t>University of Illinois at Chicago</t>
  </si>
  <si>
    <t>Arrupe College (Loyola)</t>
  </si>
  <si>
    <t>Arrupe</t>
  </si>
  <si>
    <t>Robert Morris University Illinois</t>
  </si>
  <si>
    <t>Moraine Valley Community College</t>
  </si>
  <si>
    <t>Upper Iowa University (Partner)</t>
  </si>
  <si>
    <t>Gettysburg College</t>
  </si>
  <si>
    <t>Kalamazoo College</t>
  </si>
  <si>
    <t>University of Wisconsin, Madison</t>
  </si>
  <si>
    <t>Lycoming College</t>
  </si>
  <si>
    <t>University of Illinois at Urbana-Champaign</t>
  </si>
  <si>
    <t>Denison University</t>
  </si>
  <si>
    <t>Knox College</t>
  </si>
  <si>
    <t>Sewanee: The University of the South</t>
  </si>
  <si>
    <t>Luther College</t>
  </si>
  <si>
    <t>Albion College</t>
  </si>
  <si>
    <t>initial materials submitted</t>
  </si>
  <si>
    <t>Central Michigan University</t>
  </si>
  <si>
    <t>Franklin &amp; Marshall College</t>
  </si>
  <si>
    <t>Lafayette College</t>
  </si>
  <si>
    <t>University of Michigan</t>
  </si>
  <si>
    <t>Dickinson College</t>
  </si>
  <si>
    <t>St. Olaf College</t>
  </si>
  <si>
    <t>The College of Wooster</t>
  </si>
  <si>
    <t>Hope College</t>
  </si>
  <si>
    <t>University of Dayton</t>
  </si>
  <si>
    <t>Duke University</t>
  </si>
  <si>
    <t>Georgetown University</t>
  </si>
  <si>
    <t>Washington University in St. Louis</t>
  </si>
  <si>
    <t>University of Notre Dame</t>
  </si>
  <si>
    <t>Northwestern University</t>
  </si>
  <si>
    <t>Vanderbilt University</t>
  </si>
  <si>
    <t>Swarthmore College</t>
  </si>
  <si>
    <t>University of Chicago</t>
  </si>
  <si>
    <t>Colgate University</t>
  </si>
  <si>
    <t>Macalester College</t>
  </si>
  <si>
    <t>Grinnell College</t>
  </si>
  <si>
    <t>DePaul University</t>
  </si>
  <si>
    <t>Grand Valley State University</t>
  </si>
  <si>
    <t>Beloit College</t>
  </si>
  <si>
    <t>Concordia University Chicago</t>
  </si>
  <si>
    <t>Southern Illinois University, Edwardsville</t>
  </si>
  <si>
    <t>North Park University</t>
  </si>
  <si>
    <t>Morton College</t>
  </si>
  <si>
    <t>CCC, Malcolm X College</t>
  </si>
  <si>
    <t>Miami Dade College - All Campuses</t>
  </si>
  <si>
    <t>University of Illinois at Springfield</t>
  </si>
  <si>
    <t>Villanova University</t>
  </si>
  <si>
    <t>Skidmore College</t>
  </si>
  <si>
    <t>DePauw University</t>
  </si>
  <si>
    <t>Howard University</t>
  </si>
  <si>
    <t>University of Pittsburgh</t>
  </si>
  <si>
    <t>Loyola Marymount University</t>
  </si>
  <si>
    <t>School of the Art Institute of Chicago</t>
  </si>
  <si>
    <t>Illinois Institute of Technology</t>
  </si>
  <si>
    <t>Illinois State University</t>
  </si>
  <si>
    <t>Pomona College</t>
  </si>
  <si>
    <t>Stanford University</t>
  </si>
  <si>
    <t>Cornell University</t>
  </si>
  <si>
    <t>Occidental College</t>
  </si>
  <si>
    <t>Seattle University</t>
  </si>
  <si>
    <t>Lewis &amp; Clark College</t>
  </si>
  <si>
    <t>Monmouth College</t>
  </si>
  <si>
    <t>College of the Holy Cross</t>
  </si>
  <si>
    <t>Wake Forest University</t>
  </si>
  <si>
    <t>Illinois College</t>
  </si>
  <si>
    <t>Belmont Abbey College</t>
  </si>
  <si>
    <t>Catawba College</t>
  </si>
  <si>
    <t>Indian Hills Community College</t>
  </si>
  <si>
    <t>Wells College</t>
  </si>
  <si>
    <t>mid-year submitted</t>
  </si>
  <si>
    <t>Loyola University Chicago</t>
  </si>
  <si>
    <t>Ripon College</t>
  </si>
  <si>
    <t>University of Saint Francis</t>
  </si>
  <si>
    <t>Central State University</t>
  </si>
  <si>
    <t>Carleton College</t>
  </si>
  <si>
    <t>Saint Mary's College</t>
  </si>
  <si>
    <t>Saint Xavier University</t>
  </si>
  <si>
    <t>DePauw University*</t>
  </si>
  <si>
    <t>interest</t>
  </si>
  <si>
    <t>Unknown</t>
  </si>
  <si>
    <t>Knox College*</t>
  </si>
  <si>
    <t>The College of Wooster*</t>
  </si>
  <si>
    <t>Hope College*</t>
  </si>
  <si>
    <t>Illinois Institute of Technology*</t>
  </si>
  <si>
    <t>Albion College*</t>
  </si>
  <si>
    <t>Illinois College*</t>
  </si>
  <si>
    <t>Holy Cross College*</t>
  </si>
  <si>
    <t>Upper Iowa University*</t>
  </si>
  <si>
    <t>Bucknell University</t>
  </si>
  <si>
    <t>The University of Akron</t>
  </si>
  <si>
    <t>University of Washington</t>
  </si>
  <si>
    <t>Wabash College</t>
  </si>
  <si>
    <t>Lake Forest College</t>
  </si>
  <si>
    <t>Oberlin College of Arts and Sciences</t>
  </si>
  <si>
    <t>Maryland Institute College of Art</t>
  </si>
  <si>
    <t>Illinois State University*</t>
  </si>
  <si>
    <t>Arrupe College (Loyola)*</t>
  </si>
  <si>
    <t>Columbia College Chicago</t>
  </si>
  <si>
    <t>Roosevelt University*</t>
  </si>
  <si>
    <t>CCC, Harold Washington College*</t>
  </si>
  <si>
    <t>Northeastern Illinois University*</t>
  </si>
  <si>
    <t>Millikin University</t>
  </si>
  <si>
    <t>Walsh University</t>
  </si>
  <si>
    <t>Marian University</t>
  </si>
  <si>
    <t>Michigan State University</t>
  </si>
  <si>
    <t>Northern Michigan University</t>
  </si>
  <si>
    <t>Lewis University</t>
  </si>
  <si>
    <t>Davidson College</t>
  </si>
  <si>
    <t>National Louis University- Chicago Campus*</t>
  </si>
  <si>
    <t>Universal Technical Institute*</t>
  </si>
  <si>
    <t>CCC, Harry S Truman College*</t>
  </si>
  <si>
    <t>Lincoln College (Lincoln)*</t>
  </si>
  <si>
    <t>Lincoln College of Technology - Melrose Park*</t>
  </si>
  <si>
    <t>The University of Iowa</t>
  </si>
  <si>
    <t>American Academy of Art</t>
  </si>
  <si>
    <t>Jackson State University</t>
  </si>
  <si>
    <t>Dominican University of California</t>
  </si>
  <si>
    <t>Smith College</t>
  </si>
  <si>
    <t>Trinity College</t>
  </si>
  <si>
    <t>Spelman College</t>
  </si>
  <si>
    <t>Connecticut College</t>
  </si>
  <si>
    <t>Dominican University*</t>
  </si>
  <si>
    <t>Aurora University*</t>
  </si>
  <si>
    <t>Norfolk State University*</t>
  </si>
  <si>
    <t>Central Michigan University*</t>
  </si>
  <si>
    <t>Eastern Illinois University*</t>
  </si>
  <si>
    <t>Saint Mary's University of Minnesota*</t>
  </si>
  <si>
    <t>Southern Illinois University, Edwardsville*</t>
  </si>
  <si>
    <t>California State University, Long Beach</t>
  </si>
  <si>
    <t>Clark Atlanta University</t>
  </si>
  <si>
    <t>Clark Atlanta University*</t>
  </si>
  <si>
    <t>Alabama A&amp;M University*</t>
  </si>
  <si>
    <t>Marist College</t>
  </si>
  <si>
    <t>Cornerstone University</t>
  </si>
  <si>
    <t>Wesleyan University</t>
  </si>
  <si>
    <t>University of Rochester</t>
  </si>
  <si>
    <t>University of San Francisco</t>
  </si>
  <si>
    <t>University of Oregon</t>
  </si>
  <si>
    <t>The University of Tampa</t>
  </si>
  <si>
    <t>University of Colorado at Boulder</t>
  </si>
  <si>
    <t>University of Colorado at Denver</t>
  </si>
  <si>
    <t>Kendall College</t>
  </si>
  <si>
    <t>Rhodes College</t>
  </si>
  <si>
    <t>Bryn Mawr College</t>
  </si>
  <si>
    <t>Indiana University at Bloomington</t>
  </si>
  <si>
    <t>University of Louisville</t>
  </si>
  <si>
    <t>University of Northern Iowa</t>
  </si>
  <si>
    <t>Valparaiso University</t>
  </si>
  <si>
    <t>Western Michigan University</t>
  </si>
  <si>
    <t>University of Missouri St. Louis</t>
  </si>
  <si>
    <t>Zarem Golde ORT Technical Institute</t>
  </si>
  <si>
    <t>Syracuse University</t>
  </si>
  <si>
    <t>Butler University</t>
  </si>
  <si>
    <t>Carthage College</t>
  </si>
  <si>
    <t>INSTNM</t>
  </si>
  <si>
    <t>SimpleBarrons</t>
  </si>
  <si>
    <t>Adj6yrGrad_All</t>
  </si>
  <si>
    <t>Adj6yrGrad_AA_Hisp</t>
  </si>
  <si>
    <t>AdjACT25</t>
  </si>
  <si>
    <t>AdjACT50</t>
  </si>
  <si>
    <t>HBCU</t>
  </si>
  <si>
    <t>IL Public</t>
  </si>
  <si>
    <t>ChiLocal</t>
  </si>
  <si>
    <t>UNITID</t>
  </si>
  <si>
    <t>Naval Prep</t>
  </si>
  <si>
    <t>UICHonors</t>
  </si>
  <si>
    <t>Alabama A &amp; M University (HBCU)</t>
  </si>
  <si>
    <t>United States Naval Academy Prep School</t>
  </si>
  <si>
    <t>University of Illinois at Chicago (Honors)</t>
  </si>
  <si>
    <t>University of Alabama at Birmingham</t>
  </si>
  <si>
    <t>Amridge University</t>
  </si>
  <si>
    <t>University of Alabama in Huntsville</t>
  </si>
  <si>
    <t>Alabama State University (HBCU)</t>
  </si>
  <si>
    <t>The University of Alabama</t>
  </si>
  <si>
    <t>Central Alabama Community College (2 year)</t>
  </si>
  <si>
    <t>Athens State University</t>
  </si>
  <si>
    <t>Auburn University at Montgomery</t>
  </si>
  <si>
    <t>Auburn University</t>
  </si>
  <si>
    <t>Birmingham Southern College</t>
  </si>
  <si>
    <t>Chattahoochee Valley Community College (2 year)</t>
  </si>
  <si>
    <t>Concordia College Alabama (HBCU)</t>
  </si>
  <si>
    <t>South University-Montgomery</t>
  </si>
  <si>
    <t>Enterprise State Community College (2 year)</t>
  </si>
  <si>
    <t>Coastal Alabama Community College (2 year)</t>
  </si>
  <si>
    <t>Faulkner University</t>
  </si>
  <si>
    <t>Gadsden State Community College (HBCU, 2 year)</t>
  </si>
  <si>
    <t>George C Wallace Community College-Dothan (2 year)</t>
  </si>
  <si>
    <t>George C Wallace State Community College-Hanceville (2 year)</t>
  </si>
  <si>
    <t>George C Wallace State Community College-Selma (2 year)</t>
  </si>
  <si>
    <t>Herzing University-Birmingham</t>
  </si>
  <si>
    <t>Huntingdon College</t>
  </si>
  <si>
    <t>Heritage Christian University (Male only)</t>
  </si>
  <si>
    <t>J. F. Drake State Community and Technical College (HBCU, 2 year)</t>
  </si>
  <si>
    <t>J F Ingram State Technical College (2 year)</t>
  </si>
  <si>
    <t>Jacksonville State University</t>
  </si>
  <si>
    <t>Jefferson Davis Community College (2 year)</t>
  </si>
  <si>
    <t>Jefferson State Community College (2 year)</t>
  </si>
  <si>
    <t>John C Calhoun State Community College (2 year)</t>
  </si>
  <si>
    <t>Judson College (Female only)</t>
  </si>
  <si>
    <t>Lawson State Community College-Birmingham Campus (HBCU, 2 year)</t>
  </si>
  <si>
    <t>University of West Alabama</t>
  </si>
  <si>
    <t>Lurleen B Wallace Community College (2 year)</t>
  </si>
  <si>
    <t>Marion Military Institute (2 year)</t>
  </si>
  <si>
    <t>Miles College (HBCU)</t>
  </si>
  <si>
    <t>University of Mobile</t>
  </si>
  <si>
    <t>University of Montevallo</t>
  </si>
  <si>
    <t>Northwest-Shoals Community College (2 year)</t>
  </si>
  <si>
    <t>University of North Alabama</t>
  </si>
  <si>
    <t>Northeast Alabama Community College (2 year)</t>
  </si>
  <si>
    <t>Oakwood University (HBCU)</t>
  </si>
  <si>
    <t>Alabama Southern Community College (2 year)</t>
  </si>
  <si>
    <t>Prince Institute-Southeast (2 year)</t>
  </si>
  <si>
    <t>Reid State Technical College (2 year)</t>
  </si>
  <si>
    <t>Bishop State Community College (HBCU, 2 year)</t>
  </si>
  <si>
    <t>Samford University</t>
  </si>
  <si>
    <t>Selma University (HBCU)</t>
  </si>
  <si>
    <t>Shelton State Community College (HBCU, 2 year)</t>
  </si>
  <si>
    <t>Snead State Community College (2 year)</t>
  </si>
  <si>
    <t>University of South Alabama</t>
  </si>
  <si>
    <t>Spring Hill College</t>
  </si>
  <si>
    <t>Southeastern Bible College</t>
  </si>
  <si>
    <t>Stillman College (HBCU)</t>
  </si>
  <si>
    <t>Talladega College (HBCU)</t>
  </si>
  <si>
    <t>H Councill Trenholm State Community College (HBCU, 2 year)</t>
  </si>
  <si>
    <t>Troy University</t>
  </si>
  <si>
    <t>Tuskegee University (HBCU)</t>
  </si>
  <si>
    <t>United States Sports Academy</t>
  </si>
  <si>
    <t>Bevill State Community College (2 year)</t>
  </si>
  <si>
    <t>University of Alaska Anchorage</t>
  </si>
  <si>
    <t>Alaska Bible College</t>
  </si>
  <si>
    <t>University of Alaska Fairbanks</t>
  </si>
  <si>
    <t>University of Alaska Southeast</t>
  </si>
  <si>
    <t>Alaska Pacific University</t>
  </si>
  <si>
    <t>Charter College</t>
  </si>
  <si>
    <t>Alaska Career College (2 year)</t>
  </si>
  <si>
    <t>Thunderbird School of Global Management</t>
  </si>
  <si>
    <t>Carrington College-Phoenix North (2 year)</t>
  </si>
  <si>
    <t>Carrington College-Mesa (2 year)</t>
  </si>
  <si>
    <t>Carrington College-Tucson (2 year)</t>
  </si>
  <si>
    <t>CollegeAmerica-Flagstaff</t>
  </si>
  <si>
    <t>Brookline College-Phoenix</t>
  </si>
  <si>
    <t>Arizona State University-Tempe</t>
  </si>
  <si>
    <t>Arizona Western College (2 year)</t>
  </si>
  <si>
    <t>University of Arizona</t>
  </si>
  <si>
    <t>Southwest University of Visual Arts-Tucson</t>
  </si>
  <si>
    <t>Central Arizona College (2 year)</t>
  </si>
  <si>
    <t>Brown Mackie College-Tucson</t>
  </si>
  <si>
    <t>Cochise County Community College District (2 year)</t>
  </si>
  <si>
    <t>Eastern Arizona College (2 year)</t>
  </si>
  <si>
    <t>Embry-Riddle Aeronautical University-Prescott</t>
  </si>
  <si>
    <t>School of Architecture at Taliesin</t>
  </si>
  <si>
    <t>Glendale Community College (2 year)</t>
  </si>
  <si>
    <t>Grand Canyon University</t>
  </si>
  <si>
    <t>GateWay Community College (2 year)</t>
  </si>
  <si>
    <t>Mesa Community College (2 year)</t>
  </si>
  <si>
    <t>ITT Technical Institute-Tucson</t>
  </si>
  <si>
    <t>ITT Technical Institute-Tempe</t>
  </si>
  <si>
    <t>Mohave Community College (2 year)</t>
  </si>
  <si>
    <t>Universal Technical Institute of Arizona Inc-Motorcycle Mechanics Institute Division (Male only, 2 year)</t>
  </si>
  <si>
    <t>Dine College</t>
  </si>
  <si>
    <t>Northern Arizona University</t>
  </si>
  <si>
    <t>Northland Pioneer College (2 year)</t>
  </si>
  <si>
    <t>Ottawa University-Phoenix</t>
  </si>
  <si>
    <t>Phoenix College (2 year)</t>
  </si>
  <si>
    <t>Pima Community College (2 year)</t>
  </si>
  <si>
    <t>Pima Medical Institute-Tucson</t>
  </si>
  <si>
    <t>Pima Medical Institute-Albuquerque (2 year)</t>
  </si>
  <si>
    <t>Prescott College</t>
  </si>
  <si>
    <t>Refrigeration School Inc (Male only, 2 year)</t>
  </si>
  <si>
    <t>Rio Salado College (2 year)</t>
  </si>
  <si>
    <t>Scottsdale Community College (2 year)</t>
  </si>
  <si>
    <t>South Mountain Community College (2 year)</t>
  </si>
  <si>
    <t>Arizona Christian University</t>
  </si>
  <si>
    <t>Universal Technical Institute of Arizona Inc (Male only, 2 year)</t>
  </si>
  <si>
    <t>Western International University</t>
  </si>
  <si>
    <t>Yavapai College (2 year)</t>
  </si>
  <si>
    <t>University of Arkansas at Little Rock</t>
  </si>
  <si>
    <t>University of Arkansas for Medical Sciences</t>
  </si>
  <si>
    <t>Arkansas Baptist College (HBCU)</t>
  </si>
  <si>
    <t>Lyon College</t>
  </si>
  <si>
    <t>University of Arkansas</t>
  </si>
  <si>
    <t>University of Arkansas at Pine Bluff (HBCU)</t>
  </si>
  <si>
    <t>Arkansas State University-Beebe (2 year)</t>
  </si>
  <si>
    <t>Arkansas State University-Main Campus</t>
  </si>
  <si>
    <t>Arkansas Tech University</t>
  </si>
  <si>
    <t>University of Arkansas at Monticello</t>
  </si>
  <si>
    <t>Baptist Health College-Little Rock (2 year)</t>
  </si>
  <si>
    <t>Black River Technical College (2 year)</t>
  </si>
  <si>
    <t>University of Central Arkansas</t>
  </si>
  <si>
    <t>Central Baptist College</t>
  </si>
  <si>
    <t>Cossatot Community College of the University of Arkansas (2 year)</t>
  </si>
  <si>
    <t>Crowley's Ridge College</t>
  </si>
  <si>
    <t>East Arkansas Community College (2 year)</t>
  </si>
  <si>
    <t>National Park College (2 year)</t>
  </si>
  <si>
    <t>University of Arkansas Community College-Batesville (2 year)</t>
  </si>
  <si>
    <t>Harding University</t>
  </si>
  <si>
    <t>Henderson State University</t>
  </si>
  <si>
    <t>Hendrix College</t>
  </si>
  <si>
    <t>Jefferson Regional Medical Center School of Nursing (2 year)</t>
  </si>
  <si>
    <t>John Brown University</t>
  </si>
  <si>
    <t>Arkansas State University Mid-South (2 year)</t>
  </si>
  <si>
    <t>Arkansas Northeastern College (2 year)</t>
  </si>
  <si>
    <t>North Arkansas College (2 year)</t>
  </si>
  <si>
    <t>Ouachita Baptist University</t>
  </si>
  <si>
    <t>College of the Ouachitas (2 year)</t>
  </si>
  <si>
    <t>Ozarka College (2 year)</t>
  </si>
  <si>
    <t>University of the Ozarks</t>
  </si>
  <si>
    <t>University of Arkansas Community College-Morrilton (2 year)</t>
  </si>
  <si>
    <t>Philander Smith College (HBCU)</t>
  </si>
  <si>
    <t>Phillips Community College of the University of Arkansas (2 year)</t>
  </si>
  <si>
    <t>Southeast Arkansas College (2 year)</t>
  </si>
  <si>
    <t>University of Arkansas-Pulaski Technical College (2 year)</t>
  </si>
  <si>
    <t>University of Arkansas Community College-Hope (2 year)</t>
  </si>
  <si>
    <t>University of Arkansas Community College Rich Mountain (2 year)</t>
  </si>
  <si>
    <t>Shorter College (HBCU, 2 year)</t>
  </si>
  <si>
    <t>Williams Baptist College</t>
  </si>
  <si>
    <t>South Arkansas Community College (2 year)</t>
  </si>
  <si>
    <t>Southern Arkansas University Main Campus</t>
  </si>
  <si>
    <t>Southern Arkansas University Tech (2 year)</t>
  </si>
  <si>
    <t>University of Arkansas-Fort Smith</t>
  </si>
  <si>
    <t>Academy of Art University</t>
  </si>
  <si>
    <t>ITT Technical Institute-Rancho Cordova</t>
  </si>
  <si>
    <t>Academy of Chinese Culture and Health Sciences</t>
  </si>
  <si>
    <t>College of Alameda (2 year)</t>
  </si>
  <si>
    <t>Allan Hancock College (2 year)</t>
  </si>
  <si>
    <t>American Academy of Dramatic Arts-Los Angeles (2 year)</t>
  </si>
  <si>
    <t>American Baptist Seminary of the West</t>
  </si>
  <si>
    <t>American Film Institute Conservatory</t>
  </si>
  <si>
    <t>American Career College-Los Angeles (2 year)</t>
  </si>
  <si>
    <t>American Conservatory Theater</t>
  </si>
  <si>
    <t>American River College (2 year)</t>
  </si>
  <si>
    <t>Antelope Valley College</t>
  </si>
  <si>
    <t>Art Center College of Design</t>
  </si>
  <si>
    <t>Azusa Pacific University</t>
  </si>
  <si>
    <t>Bakersfield College</t>
  </si>
  <si>
    <t>Barstow Community College (2 year)</t>
  </si>
  <si>
    <t>Bellus Academy-National City (2 year)</t>
  </si>
  <si>
    <t>Bethesda University</t>
  </si>
  <si>
    <t>Biola University</t>
  </si>
  <si>
    <t>Bryan University</t>
  </si>
  <si>
    <t>Butte College (2 year)</t>
  </si>
  <si>
    <t>Phillips Graduate University</t>
  </si>
  <si>
    <t>California Institute of Integral Studies</t>
  </si>
  <si>
    <t>Cabrillo College (2 year)</t>
  </si>
  <si>
    <t>California Baptist University</t>
  </si>
  <si>
    <t>California College of the Arts</t>
  </si>
  <si>
    <t>University of California-Hastings College of Law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</si>
  <si>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</si>
  <si>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</si>
  <si>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</si>
  <si>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</si>
  <si>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</si>
  <si>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</si>
  <si>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University-San Bernardino</t>
  </si>
  <si>
    <t>California State Polytechnic University-Pomona</t>
  </si>
  <si>
    <t>California State University-Chico</t>
  </si>
  <si>
    <t>California State University-Dominguez Hills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</si>
  <si>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</si>
  <si>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</si>
  <si>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</si>
  <si>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</si>
  <si>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</si>
  <si>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</si>
  <si>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California State University-Sacramento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</si>
  <si>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</si>
  <si>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</si>
  <si>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</si>
  <si>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</si>
  <si>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</si>
  <si>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</si>
  <si>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 Francisco</t>
  </si>
  <si>
    <t>University of California-Santa Barbara</t>
  </si>
  <si>
    <t>University of California-Santa Cruz</t>
  </si>
  <si>
    <t>Sofia University</t>
  </si>
  <si>
    <t>California Christian College</t>
  </si>
  <si>
    <t>Le Cordon Bleu College of Culinary Arts-San Francisco (2 year)</t>
  </si>
  <si>
    <t>California Institute of the Arts</t>
  </si>
  <si>
    <t>California State University Maritime Academy</t>
  </si>
  <si>
    <t>California Western School of Law</t>
  </si>
  <si>
    <t>Canada College (2 year)</t>
  </si>
  <si>
    <t>College of the Canyons (2 year)</t>
  </si>
  <si>
    <t>Casa Loma College-Van Nuys (2 year)</t>
  </si>
  <si>
    <t>Cerritos College (2 year)</t>
  </si>
  <si>
    <t>Cerro Coso Community College (2 year)</t>
  </si>
  <si>
    <t>Chabot College (2 year)</t>
  </si>
  <si>
    <t>Chaffey College (2 year)</t>
  </si>
  <si>
    <t>Chapman University</t>
  </si>
  <si>
    <t>Charles R Drew University of Medicine and Science</t>
  </si>
  <si>
    <t>Concordia University-Irvine</t>
  </si>
  <si>
    <t>San Diego Christian College</t>
  </si>
  <si>
    <t>Church Divinity School of the Pacific</t>
  </si>
  <si>
    <t>Citrus College (2 year)</t>
  </si>
  <si>
    <t>City College of San Francisco (2 year)</t>
  </si>
  <si>
    <t>Claremont Graduate University</t>
  </si>
  <si>
    <t>Claremont McKenna College</t>
  </si>
  <si>
    <t>Coastline Community College (2 year)</t>
  </si>
  <si>
    <t>Cogswell College</t>
  </si>
  <si>
    <t>Coleman University</t>
  </si>
  <si>
    <t>Western University of Health Sciences</t>
  </si>
  <si>
    <t>Columbia College (2 year)</t>
  </si>
  <si>
    <t>Columbia College Hollywood</t>
  </si>
  <si>
    <t>El Camino College-Compton Center (2 year)</t>
  </si>
  <si>
    <t>Contra Costa College (2 year)</t>
  </si>
  <si>
    <t>Cosumnes River College (2 year)</t>
  </si>
  <si>
    <t>Crafton Hills College (2 year)</t>
  </si>
  <si>
    <t>Cuesta College (2 year)</t>
  </si>
  <si>
    <t>Cuyamaca College (2 year)</t>
  </si>
  <si>
    <t>Cypress College</t>
  </si>
  <si>
    <t>De Anza College (2 year)</t>
  </si>
  <si>
    <t>Dell'Arte International School of Physical Theatre</t>
  </si>
  <si>
    <t>College of the Desert (2 year)</t>
  </si>
  <si>
    <t>Design Institute of San Diego</t>
  </si>
  <si>
    <t>Diablo Valley College (2 year)</t>
  </si>
  <si>
    <t>Dominican School of Philosophy &amp; Theology</t>
  </si>
  <si>
    <t>East Los Angeles College (2 year)</t>
  </si>
  <si>
    <t>El Camino Community College District (2 year)</t>
  </si>
  <si>
    <t>Emperor's College of Traditional Oriental Medicine</t>
  </si>
  <si>
    <t>Empire College</t>
  </si>
  <si>
    <t>Evergreen Valley College (2 year)</t>
  </si>
  <si>
    <t>FIDM-Fashion Institute of Design &amp; Merchandising-Los Angeles</t>
  </si>
  <si>
    <t>FIDM-Fashion Institute of Design &amp; Merchandising-San Francisco</t>
  </si>
  <si>
    <t>FIDM-Fashion Institute of Design &amp; Merchandising-Orange County (2 year)</t>
  </si>
  <si>
    <t>Feather River Community College District</t>
  </si>
  <si>
    <t>Fielding Graduate University</t>
  </si>
  <si>
    <t>Five Branches University</t>
  </si>
  <si>
    <t>Foothill College</t>
  </si>
  <si>
    <t>Franciscan School of Theology</t>
  </si>
  <si>
    <t>Fresno City College (2 year)</t>
  </si>
  <si>
    <t>Fresno Pacific University</t>
  </si>
  <si>
    <t>Fuller Theological Seminary</t>
  </si>
  <si>
    <t>Fullerton College (2 year)</t>
  </si>
  <si>
    <t>Gavilan College (2 year)</t>
  </si>
  <si>
    <t>Glendale Career College (2 year)</t>
  </si>
  <si>
    <t>Golden Gate University-San Francisco</t>
  </si>
  <si>
    <t>Golden West College (2 year)</t>
  </si>
  <si>
    <t>Graduate Theological Union</t>
  </si>
  <si>
    <t>Grossmont College (2 year)</t>
  </si>
  <si>
    <t>Hartnell College (2 year)</t>
  </si>
  <si>
    <t>Harvey Mudd College</t>
  </si>
  <si>
    <t>Holy Names University</t>
  </si>
  <si>
    <t>Pacifica Graduate Institute</t>
  </si>
  <si>
    <t>Humboldt State University</t>
  </si>
  <si>
    <t>Humphreys University-Stockton and Modesto Campuses</t>
  </si>
  <si>
    <t>Imperial Valley College (2 year)</t>
  </si>
  <si>
    <t>Institute for Business and Technology (2 year)</t>
  </si>
  <si>
    <t>Interior Designers Institute</t>
  </si>
  <si>
    <t>Irvine Valley College (2 year)</t>
  </si>
  <si>
    <t>ITT Technical Institute-National City</t>
  </si>
  <si>
    <t>ITT Technical Institute-San Dimas</t>
  </si>
  <si>
    <t>ITT Technical Institute-Orange</t>
  </si>
  <si>
    <t>Bellus Academy-El Cajon (Female only, 2 year)</t>
  </si>
  <si>
    <t>John F. Kennedy University</t>
  </si>
  <si>
    <t>American Jewish University</t>
  </si>
  <si>
    <t>Reedley College (2 year)</t>
  </si>
  <si>
    <t>Life Pacific College</t>
  </si>
  <si>
    <t>Argosy University-The Art Institute of California-San Diego</t>
  </si>
  <si>
    <t>University of La Verne</t>
  </si>
  <si>
    <t>Laguna College of Art and Design</t>
  </si>
  <si>
    <t>Lake Tahoe Community College (2 year)</t>
  </si>
  <si>
    <t>Laney College (2 year)</t>
  </si>
  <si>
    <t>Lassen Community College (2 year)</t>
  </si>
  <si>
    <t>Life Chiropractic College West</t>
  </si>
  <si>
    <t>Lincoln Law School of Sacramento</t>
  </si>
  <si>
    <t>Lincoln University</t>
  </si>
  <si>
    <t>Southern California Seminary</t>
  </si>
  <si>
    <t>La Sierra University</t>
  </si>
  <si>
    <t>Loma Linda University</t>
  </si>
  <si>
    <t>Long Beach City College (2 year)</t>
  </si>
  <si>
    <t>Southern California University of Health Sciences</t>
  </si>
  <si>
    <t>Los Angeles Harbor College (2 year)</t>
  </si>
  <si>
    <t>Los Angeles Pierce College (2 year)</t>
  </si>
  <si>
    <t>Los Angeles Southwest College (2 year)</t>
  </si>
  <si>
    <t>Los Angeles Trade Technical College (2 year)</t>
  </si>
  <si>
    <t>Los Angeles Valley College (2 year)</t>
  </si>
  <si>
    <t>The Master's University and Seminary</t>
  </si>
  <si>
    <t>Los Angeles City College (2 year)</t>
  </si>
  <si>
    <t>Los Angeles County College of Nursing and Allied Health (2 year)</t>
  </si>
  <si>
    <t>Los Angeles Mission College (2 year)</t>
  </si>
  <si>
    <t>Los Medanos College (2 year)</t>
  </si>
  <si>
    <t>Argosy University-The Art Institute of California-San Francisco</t>
  </si>
  <si>
    <t>MTI College (2 year)</t>
  </si>
  <si>
    <t>Brightwood College-Sacramento (2 year)</t>
  </si>
  <si>
    <t>Brightwood College-San Diego (2 year)</t>
  </si>
  <si>
    <t>Brightwood College-Vista (2 year)</t>
  </si>
  <si>
    <t>College of Marin (2 year)</t>
  </si>
  <si>
    <t>Marymount California University</t>
  </si>
  <si>
    <t>Mendocino College (2 year)</t>
  </si>
  <si>
    <t>Menlo College</t>
  </si>
  <si>
    <t>Merced College (2 year)</t>
  </si>
  <si>
    <t>Merritt College (2 year)</t>
  </si>
  <si>
    <t>Mills College</t>
  </si>
  <si>
    <t>MiraCosta College</t>
  </si>
  <si>
    <t>Mission College (2 year)</t>
  </si>
  <si>
    <t>Brightwood College-Los Angeles-Van Nuys (2 year)</t>
  </si>
  <si>
    <t>Modesto Junior College</t>
  </si>
  <si>
    <t>Middlebury Institute of International Studies at Monterey</t>
  </si>
  <si>
    <t>Monterey Peninsula College (2 year)</t>
  </si>
  <si>
    <t>Moorpark College (2 year)</t>
  </si>
  <si>
    <t>Mt San Antonio College (2 year)</t>
  </si>
  <si>
    <t>Mount Saint Mary's University</t>
  </si>
  <si>
    <t>Mt San Jacinto Community College District (2 year)</t>
  </si>
  <si>
    <t>Musicians Institute</t>
  </si>
  <si>
    <t>Napa Valley College (2 year)</t>
  </si>
  <si>
    <t>National University</t>
  </si>
  <si>
    <t>Naval Postgraduate School</t>
  </si>
  <si>
    <t>Newschool of Architecture and Design</t>
  </si>
  <si>
    <t>North-West College-West Covina (2 year)</t>
  </si>
  <si>
    <t>Notre Dame de Namur University</t>
  </si>
  <si>
    <t>Ohlone College (2 year)</t>
  </si>
  <si>
    <t>Orange Coast College (2 year)</t>
  </si>
  <si>
    <t>Otis College of Art and Design</t>
  </si>
  <si>
    <t>Oxnard College (2 year)</t>
  </si>
  <si>
    <t>Hope International University</t>
  </si>
  <si>
    <t>Concorde Career College-San Diego (2 year)</t>
  </si>
  <si>
    <t>Palo Alto University</t>
  </si>
  <si>
    <t>Pacific Oaks College</t>
  </si>
  <si>
    <t>Pacific School of Religion</t>
  </si>
  <si>
    <t>Pacific States University</t>
  </si>
  <si>
    <t>Pacific Union College</t>
  </si>
  <si>
    <t>University of the Pacific</t>
  </si>
  <si>
    <t>Palo Verde College (2 year)</t>
  </si>
  <si>
    <t>Palomar College (2 year)</t>
  </si>
  <si>
    <t>Pasadena City College (2 year)</t>
  </si>
  <si>
    <t>Pepperdine University</t>
  </si>
  <si>
    <t>Pitzer College</t>
  </si>
  <si>
    <t>Platt College-San Diego</t>
  </si>
  <si>
    <t>Point Loma Nazarene University</t>
  </si>
  <si>
    <t>Porterville College (2 year)</t>
  </si>
  <si>
    <t>Santa Ana College</t>
  </si>
  <si>
    <t>Pardee RAND Graduate School</t>
  </si>
  <si>
    <t>University of Redlands</t>
  </si>
  <si>
    <t>College of the Redwoods (2 year)</t>
  </si>
  <si>
    <t>Rio Hondo College</t>
  </si>
  <si>
    <t>Riverside City College (2 year)</t>
  </si>
  <si>
    <t>Argosy University-San Francisco Bay Area</t>
  </si>
  <si>
    <t>Dongguk University-Los Angeles</t>
  </si>
  <si>
    <t>Sacramento City College (2 year)</t>
  </si>
  <si>
    <t>Saddleback College (2 year)</t>
  </si>
  <si>
    <t>Samuel Merritt University</t>
  </si>
  <si>
    <t>San Diego City College (2 year)</t>
  </si>
  <si>
    <t>Golf Academy of America-San Diego (2 year)</t>
  </si>
  <si>
    <t>San Diego Mesa College</t>
  </si>
  <si>
    <t>San Diego Miramar College (2 year)</t>
  </si>
  <si>
    <t>San Diego State University</t>
  </si>
  <si>
    <t>University of San Diego</t>
  </si>
  <si>
    <t>San Francisco Art Institute</t>
  </si>
  <si>
    <t>San Francisco Conservatory of Music</t>
  </si>
  <si>
    <t>San Francisco State University</t>
  </si>
  <si>
    <t>San Francisco Theological Seminary</t>
  </si>
  <si>
    <t>San Joaquin College of Law</t>
  </si>
  <si>
    <t>San Joaquin Delta College (2 year)</t>
  </si>
  <si>
    <t>San Joaquin Valley College-Visalia</t>
  </si>
  <si>
    <t>William Jessup University</t>
  </si>
  <si>
    <t>San Jose City College (2 year)</t>
  </si>
  <si>
    <t>San Jose State University</t>
  </si>
  <si>
    <t>College of San Mateo (2 year)</t>
  </si>
  <si>
    <t>Santa Barbara Business College-Bakersfield</t>
  </si>
  <si>
    <t>Santa Barbara Business College-Santa Maria</t>
  </si>
  <si>
    <t>Santa Barbara City College (2 year)</t>
  </si>
  <si>
    <t>Santa Clara University</t>
  </si>
  <si>
    <t>Santa Monica College</t>
  </si>
  <si>
    <t>Santa Rosa Junior College (2 year)</t>
  </si>
  <si>
    <t>Saybrook University</t>
  </si>
  <si>
    <t>Scripps College (Female only)</t>
  </si>
  <si>
    <t>College of the Sequoias (2 year)</t>
  </si>
  <si>
    <t>Shasta Bible College and Graduate School</t>
  </si>
  <si>
    <t>Shasta College</t>
  </si>
  <si>
    <t>Sierra College (2 year)</t>
  </si>
  <si>
    <t>Trinity Law School</t>
  </si>
  <si>
    <t>Simpson University</t>
  </si>
  <si>
    <t>College of the Siskiyous (2 year)</t>
  </si>
  <si>
    <t>Charles A Jones Career and Education Center (2 year)</t>
  </si>
  <si>
    <t>Skyline College</t>
  </si>
  <si>
    <t>San Bernardino Valley College (2 year)</t>
  </si>
  <si>
    <t>Saint Mary's College of California</t>
  </si>
  <si>
    <t>Solano Community College</t>
  </si>
  <si>
    <t>Sonoma State University</t>
  </si>
  <si>
    <t>South Baylo University</t>
  </si>
  <si>
    <t>South Coast College (2 year)</t>
  </si>
  <si>
    <t>Vanguard University of Southern California</t>
  </si>
  <si>
    <t>Concorde Career College-Garden Grove (2 year)</t>
  </si>
  <si>
    <t>Southwestern College (2 year)</t>
  </si>
  <si>
    <t>St John's Seminary (Male only)</t>
  </si>
  <si>
    <t>Starr King School for the Ministry</t>
  </si>
  <si>
    <t>Marshall B Ketchum University</t>
  </si>
  <si>
    <t>Southern California Institute of Architecture</t>
  </si>
  <si>
    <t>University of Southern California</t>
  </si>
  <si>
    <t>Southwestern Law School</t>
  </si>
  <si>
    <t>Taft College (2 year)</t>
  </si>
  <si>
    <t>Claremont School of Theology</t>
  </si>
  <si>
    <t>Thomas Aquinas College</t>
  </si>
  <si>
    <t>Epic Bible College</t>
  </si>
  <si>
    <t>Concorde Career College-San Bernardino (2 year)</t>
  </si>
  <si>
    <t>Concorde Career College-North Hollywood (2 year)</t>
  </si>
  <si>
    <t>Ventura College (2 year)</t>
  </si>
  <si>
    <t>The Santa Barbara and Ventura Colleges of Law at Ventura</t>
  </si>
  <si>
    <t>Victor Valley College (2 year)</t>
  </si>
  <si>
    <t>Berkeley City College (2 year)</t>
  </si>
  <si>
    <t>Walden University</t>
  </si>
  <si>
    <t>West Hills College-Coalinga (2 year)</t>
  </si>
  <si>
    <t>West Los Angeles College</t>
  </si>
  <si>
    <t>West Valley College (2 year)</t>
  </si>
  <si>
    <t>Carrington College-Sacramento (2 year)</t>
  </si>
  <si>
    <t>Westminster Theological Seminary in California</t>
  </si>
  <si>
    <t>Westmont College</t>
  </si>
  <si>
    <t>Whittier College</t>
  </si>
  <si>
    <t>Woodbury University</t>
  </si>
  <si>
    <t>The Wright Institute</t>
  </si>
  <si>
    <t>Western State College of Law at Argosy University</t>
  </si>
  <si>
    <t>Thomas Jefferson School of Law</t>
  </si>
  <si>
    <t>Yeshiva Ohr Elchonon Chabad West Coast Talmudical Seminary (Male only)</t>
  </si>
  <si>
    <t>Yuba College (2 year)</t>
  </si>
  <si>
    <t>The Salon Professional Academy-Grand Junction (Female only, 2 year)</t>
  </si>
  <si>
    <t>Adams State University</t>
  </si>
  <si>
    <t>Aims Community College (2 year)</t>
  </si>
  <si>
    <t>Arapahoe Community College (2 year)</t>
  </si>
  <si>
    <t>Bel-Rea Institute of Animal Technology (2 year)</t>
  </si>
  <si>
    <t>Altierus Career College-Colorado Springs (2 year)</t>
  </si>
  <si>
    <t>University of Colorado Denver/Anschutz Medical Campus</t>
  </si>
  <si>
    <t>University of Colorado Colorado Springs</t>
  </si>
  <si>
    <t>Spartan College of Aeronautics and Technology (Male only, 2 year)</t>
  </si>
  <si>
    <t>University of Colorado Boulder</t>
  </si>
  <si>
    <t>Colorado Christian University</t>
  </si>
  <si>
    <t>Colorado College</t>
  </si>
  <si>
    <t>Concorde Career College-Aurora (2 year)</t>
  </si>
  <si>
    <t>The Art Institute of Colorado</t>
  </si>
  <si>
    <t>Colorado Mountain College</t>
  </si>
  <si>
    <t>Colorado Northwestern Community College (2 year)</t>
  </si>
  <si>
    <t>Colorado School of Mines</t>
  </si>
  <si>
    <t>Colorado School of Trades (Male only, 2 year)</t>
  </si>
  <si>
    <t>Colorado State University-Fort Collins</t>
  </si>
  <si>
    <t>Colorado Technical University-Colorado Springs</t>
  </si>
  <si>
    <t>Community College of Aurora (2 year)</t>
  </si>
  <si>
    <t>CollegeAmerica-Denver (2 year)</t>
  </si>
  <si>
    <t>Delta Montrose Technical College (2 year)</t>
  </si>
  <si>
    <t>Community College of Denver</t>
  </si>
  <si>
    <t>Lincoln College of Technology-Denver (2 year)</t>
  </si>
  <si>
    <t>Denver Seminary</t>
  </si>
  <si>
    <t>University of Denver</t>
  </si>
  <si>
    <t>Fort Lewis College</t>
  </si>
  <si>
    <t>Front Range Community College (2 year)</t>
  </si>
  <si>
    <t>Glenwood Beauty Academy (2 year)</t>
  </si>
  <si>
    <t>Hair Dynamics Education Center (2 year)</t>
  </si>
  <si>
    <t>Iliff School of Theology</t>
  </si>
  <si>
    <t>International Salon and Spa Academy (2 year)</t>
  </si>
  <si>
    <t>Lamar Community College (2 year)</t>
  </si>
  <si>
    <t>Colorado Mesa University</t>
  </si>
  <si>
    <t>Metropolitan State University of Denver</t>
  </si>
  <si>
    <t>Morgan Community College (2 year)</t>
  </si>
  <si>
    <t>Naropa University</t>
  </si>
  <si>
    <t>National American University-Colorado Springs</t>
  </si>
  <si>
    <t>Nazarene Bible College</t>
  </si>
  <si>
    <t>Northeastern Junior College (2 year)</t>
  </si>
  <si>
    <t>University of Northern Colorado</t>
  </si>
  <si>
    <t>Otero Junior College (2 year)</t>
  </si>
  <si>
    <t>Altierus Career College-Thornton (2 year)</t>
  </si>
  <si>
    <t>Pikes Peak Community College (2 year)</t>
  </si>
  <si>
    <t>IBMC College (2 year)</t>
  </si>
  <si>
    <t>Pueblo Community College</t>
  </si>
  <si>
    <t>Red Rocks Community College</t>
  </si>
  <si>
    <t>Regis University</t>
  </si>
  <si>
    <t>Rocky Mountain College of Art and Design</t>
  </si>
  <si>
    <t>Montessori Education Center of the Rockies</t>
  </si>
  <si>
    <t>Colorado State University-Pueblo</t>
  </si>
  <si>
    <t>Pickens Technical College (2 year)</t>
  </si>
  <si>
    <t>Intellitec College-Colorado Springs (2 year)</t>
  </si>
  <si>
    <t>Intellitec College-Grand Junction (2 year)</t>
  </si>
  <si>
    <t>Trinidad State Junior College (2 year)</t>
  </si>
  <si>
    <t>United States Air Force Academy</t>
  </si>
  <si>
    <t>Empire Beauty School-Thornton (Female only, 2 year)</t>
  </si>
  <si>
    <t>Western State Colorado University</t>
  </si>
  <si>
    <t>Albertus Magnus College</t>
  </si>
  <si>
    <t>Asnuntuck Community College (2 year)</t>
  </si>
  <si>
    <t>Bais Binyomin Academy (Male only)</t>
  </si>
  <si>
    <t>Lincoln College of New England-Southington</t>
  </si>
  <si>
    <t>University of Bridgeport</t>
  </si>
  <si>
    <t>Central Connecticut State University</t>
  </si>
  <si>
    <t>Charter Oak State College</t>
  </si>
  <si>
    <t>University of Connecticut</t>
  </si>
  <si>
    <t>Goodwin College</t>
  </si>
  <si>
    <t>Lincoln Technical Institute-East Windsor (2 year)</t>
  </si>
  <si>
    <t>Eastern Connecticut State University</t>
  </si>
  <si>
    <t>Fairfield University</t>
  </si>
  <si>
    <t>Capital Community College (2 year)</t>
  </si>
  <si>
    <t>Rensselaer at Hartford</t>
  </si>
  <si>
    <t>American Institute-West Hartford (2 year)</t>
  </si>
  <si>
    <t>Hartford Seminary</t>
  </si>
  <si>
    <t>University of Hartford</t>
  </si>
  <si>
    <t>Holy Apostles College and Seminary</t>
  </si>
  <si>
    <t>Housatonic Community College (2 year)</t>
  </si>
  <si>
    <t>Manchester Community College (2 year)</t>
  </si>
  <si>
    <t>Naugatuck Valley Community College (2 year)</t>
  </si>
  <si>
    <t>Middlesex Community College (2 year)</t>
  </si>
  <si>
    <t>Mitchell College</t>
  </si>
  <si>
    <t>Three Rivers Community College (2 year)</t>
  </si>
  <si>
    <t>University of New Haven</t>
  </si>
  <si>
    <t>Norwalk Community College (2 year)</t>
  </si>
  <si>
    <t>Northwestern Connecticut Community College (2 year)</t>
  </si>
  <si>
    <t>Paier College of Art Inc</t>
  </si>
  <si>
    <t>Post University</t>
  </si>
  <si>
    <t>Quinebaug Valley Community College (2 year)</t>
  </si>
  <si>
    <t>Quinnipiac University</t>
  </si>
  <si>
    <t>Sacred Heart University</t>
  </si>
  <si>
    <t>University of Saint Joseph</t>
  </si>
  <si>
    <t>Gateway Community College (2 year)</t>
  </si>
  <si>
    <t>St Vincent's College</t>
  </si>
  <si>
    <t>Southern Connecticut State University</t>
  </si>
  <si>
    <t>Stone Academy-West Haven (Female only, 2 year)</t>
  </si>
  <si>
    <t>Tri-State College of Acupuncture</t>
  </si>
  <si>
    <t>Tunxis Community College (2 year)</t>
  </si>
  <si>
    <t>United States Coast Guard Academy</t>
  </si>
  <si>
    <t>Western Connecticut State University</t>
  </si>
  <si>
    <t>Yale-New Haven Hospital Dietetic Internship</t>
  </si>
  <si>
    <t>Yale University</t>
  </si>
  <si>
    <t>Margaret H Rollins School of Nursing at Beebe Medical Center (2 year)</t>
  </si>
  <si>
    <t>Delaware Technical Community College-Terry</t>
  </si>
  <si>
    <t>Delaware State University (HBCU)</t>
  </si>
  <si>
    <t>University of Delaware</t>
  </si>
  <si>
    <t>Goldey-Beacom College</t>
  </si>
  <si>
    <t>Wesley College</t>
  </si>
  <si>
    <t>Wilmington University</t>
  </si>
  <si>
    <t>American University</t>
  </si>
  <si>
    <t>Catholic University of America</t>
  </si>
  <si>
    <t>University of the District of Columbia (HBCU)</t>
  </si>
  <si>
    <t>Pontifical Faculty of the Immaculate Conception at the Dominican House of Studies</t>
  </si>
  <si>
    <t>Gallaudet University</t>
  </si>
  <si>
    <t>George Washington University</t>
  </si>
  <si>
    <t>Howard University (HBCU)</t>
  </si>
  <si>
    <t>Strayer University-District of Columbia</t>
  </si>
  <si>
    <t>National Conservatory of Dramatic Arts (2 year)</t>
  </si>
  <si>
    <t>Trinity Washington University</t>
  </si>
  <si>
    <t>Wesley Theological Seminary</t>
  </si>
  <si>
    <t>Wyotech-Daytona (2 year)</t>
  </si>
  <si>
    <t>The Art Institute of Fort Lauderdale</t>
  </si>
  <si>
    <t>Atlantic Technical College (2 year)</t>
  </si>
  <si>
    <t>The Baptist College of Florida</t>
  </si>
  <si>
    <t>Barry University</t>
  </si>
  <si>
    <t>Bethune-Cookman University (HBCU)</t>
  </si>
  <si>
    <t>Lynn University</t>
  </si>
  <si>
    <t>Bradford-Union Technical Center (2 year)</t>
  </si>
  <si>
    <t>Eastern Florida State College</t>
  </si>
  <si>
    <t>Broward College</t>
  </si>
  <si>
    <t>Carlos Albizu University-Miami</t>
  </si>
  <si>
    <t>College of Central Florida</t>
  </si>
  <si>
    <t>Johnson University Florida</t>
  </si>
  <si>
    <t>University of Central Florida</t>
  </si>
  <si>
    <t>Charlotte Technical College (2 year)</t>
  </si>
  <si>
    <t>Chipola College</t>
  </si>
  <si>
    <t>Lorenzo Walker Technical College (2 year)</t>
  </si>
  <si>
    <t>Daytona State College</t>
  </si>
  <si>
    <t>South University-West Palm Beach</t>
  </si>
  <si>
    <t>Eckerd College</t>
  </si>
  <si>
    <t>Florida SouthWestern State College</t>
  </si>
  <si>
    <t>Edward Waters College (HBCU)</t>
  </si>
  <si>
    <t>Embry-Riddle Aeronautical University-Daytona Beach</t>
  </si>
  <si>
    <t>Florida Agricultural and Mechanical University (HBCU)</t>
  </si>
  <si>
    <t>Florida Atlantic University</t>
  </si>
  <si>
    <t>Florida State College at Jacksonville</t>
  </si>
  <si>
    <t>Flagler College-St Augustine</t>
  </si>
  <si>
    <t>Florida College</t>
  </si>
  <si>
    <t>Concorde Career Institute-Jacksonville (2 year)</t>
  </si>
  <si>
    <t>Concorde Career Institute-Miramar (2 year)</t>
  </si>
  <si>
    <t>Concorde Career Institute-Tampa (2 year)</t>
  </si>
  <si>
    <t>Adventist University of Health Sciences</t>
  </si>
  <si>
    <t>Florida Institute of Technology</t>
  </si>
  <si>
    <t>Florida Institute of Ultrasound Inc (2 year)</t>
  </si>
  <si>
    <t>Florida International University</t>
  </si>
  <si>
    <t>Florida Keys Community College</t>
  </si>
  <si>
    <t>Florida Memorial University (HBCU)</t>
  </si>
  <si>
    <t>Florida Career College-Miami (2 year)</t>
  </si>
  <si>
    <t>Florida Southern College</t>
  </si>
  <si>
    <t>Florida State University</t>
  </si>
  <si>
    <t>Florida Technical College</t>
  </si>
  <si>
    <t>University of Florida</t>
  </si>
  <si>
    <t>Everest University-Pompano Beach</t>
  </si>
  <si>
    <t>Full Sail University</t>
  </si>
  <si>
    <t>George Stone Technical Center (2 year)</t>
  </si>
  <si>
    <t>George T Baker Aviation Technical College (2 year)</t>
  </si>
  <si>
    <t>Gulf Coast State College</t>
  </si>
  <si>
    <t>Key College</t>
  </si>
  <si>
    <t>Hillsborough Community College (2 year)</t>
  </si>
  <si>
    <t>Hobe Sound Bible College</t>
  </si>
  <si>
    <t>Indian River State College</t>
  </si>
  <si>
    <t>Sanford-Brown College-Tampa</t>
  </si>
  <si>
    <t>AI Miami International University of Art and Design</t>
  </si>
  <si>
    <t>ITT Technical Institute-Tampa</t>
  </si>
  <si>
    <t>Jacksonville University</t>
  </si>
  <si>
    <t>Jones College-Jacksonville</t>
  </si>
  <si>
    <t>Keiser University-Ft Lauderdale</t>
  </si>
  <si>
    <t>Florida Gateway College</t>
  </si>
  <si>
    <t>Lake-Sumter State College</t>
  </si>
  <si>
    <t>Fort Myers Technical College (2 year)</t>
  </si>
  <si>
    <t>Lindsey Hopkins Technical College (2 year)</t>
  </si>
  <si>
    <t>Luther Rice College &amp; Seminary</t>
  </si>
  <si>
    <t>State College of Florida-Manatee-Sarasota</t>
  </si>
  <si>
    <t>Manatee Technical College (2 year)</t>
  </si>
  <si>
    <t>Trinity International University-Florida</t>
  </si>
  <si>
    <t>Miami Lakes Educational Center and Technical College (2 year)</t>
  </si>
  <si>
    <t>Miami Dade College</t>
  </si>
  <si>
    <t>University of Miami</t>
  </si>
  <si>
    <t>Orange Technical College-Mid Florida Campus (2 year)</t>
  </si>
  <si>
    <t>Lincoln College of Technology-West Palm Beach</t>
  </si>
  <si>
    <t>North Florida Community College</t>
  </si>
  <si>
    <t>University of North Florida</t>
  </si>
  <si>
    <t>Nova Southeastern University</t>
  </si>
  <si>
    <t>Northwest Florida State College</t>
  </si>
  <si>
    <t>Everest University-North Orlando</t>
  </si>
  <si>
    <t>Orange Technical College-Orlando Campus (2 year)</t>
  </si>
  <si>
    <t>Palm Beach Atlantic University</t>
  </si>
  <si>
    <t>Palm Beach State College</t>
  </si>
  <si>
    <t>Pasco-Hernando State College</t>
  </si>
  <si>
    <t>Pensacola State College</t>
  </si>
  <si>
    <t>Polk State College</t>
  </si>
  <si>
    <t>Radford M Locklin Technical Center (2 year)</t>
  </si>
  <si>
    <t>Saint Vincent de Paul Regional Seminary (Male only)</t>
  </si>
  <si>
    <t>Ringling College of Art and Design</t>
  </si>
  <si>
    <t>Robert Morgan Educational Center and Technical College (2 year)</t>
  </si>
  <si>
    <t>Rollins College</t>
  </si>
  <si>
    <t>Saint Leo University</t>
  </si>
  <si>
    <t>St Petersburg College</t>
  </si>
  <si>
    <t>Pinellas Technical College-St. Petersburg (2 year)</t>
  </si>
  <si>
    <t>Santa Fe College</t>
  </si>
  <si>
    <t>Argosy University-Sarasota</t>
  </si>
  <si>
    <t>Seminole State College of Florida</t>
  </si>
  <si>
    <t>Sheridan Technical College (2 year)</t>
  </si>
  <si>
    <t>Saint John Vianney College Seminary (Male only)</t>
  </si>
  <si>
    <t>Saint Johns River State College</t>
  </si>
  <si>
    <t>South Florida State College</t>
  </si>
  <si>
    <t>University of South Florida-Main Campus</t>
  </si>
  <si>
    <t>St Thomas University</t>
  </si>
  <si>
    <t>Stetson University</t>
  </si>
  <si>
    <t>Southeastern University</t>
  </si>
  <si>
    <t>RIVEROAK Technical College (2 year)</t>
  </si>
  <si>
    <t>Tallahassee Community College</t>
  </si>
  <si>
    <t>Talmudic College of Florida (Male only)</t>
  </si>
  <si>
    <t>Altierus Career College-Tampa</t>
  </si>
  <si>
    <t>Tom P Haney Technical Center (2 year)</t>
  </si>
  <si>
    <t>Trinity Baptist College</t>
  </si>
  <si>
    <t>Trinity College of Florida</t>
  </si>
  <si>
    <t>Valencia College</t>
  </si>
  <si>
    <t>Warner University</t>
  </si>
  <si>
    <t>Florida Panhandle Technical College (2 year)</t>
  </si>
  <si>
    <t>Webber International University</t>
  </si>
  <si>
    <t>Rasmussen College-Florida</t>
  </si>
  <si>
    <t>The University of West Florida</t>
  </si>
  <si>
    <t>Orange Technical College-Westside Campus (2 year)</t>
  </si>
  <si>
    <t>William T McFatter Technical College (2 year)</t>
  </si>
  <si>
    <t>Withlacoochee Technical College (2 year)</t>
  </si>
  <si>
    <t>Abraham Baldwin Agricultural College</t>
  </si>
  <si>
    <t>Agnes Scott College (Female only)</t>
  </si>
  <si>
    <t>Interactive College of Technology-Chamblee (2 year)</t>
  </si>
  <si>
    <t>Interactive College of Technology-Morrow (2 year)</t>
  </si>
  <si>
    <t>Albany Technical College (2 year)</t>
  </si>
  <si>
    <t>Darton State College</t>
  </si>
  <si>
    <t>Albany State University (HBCU)</t>
  </si>
  <si>
    <t>Andrew College</t>
  </si>
  <si>
    <t>Armstrong State University</t>
  </si>
  <si>
    <t>The Art Institute of Atlanta</t>
  </si>
  <si>
    <t>Atlanta Technical College (2 year)</t>
  </si>
  <si>
    <t>Point University</t>
  </si>
  <si>
    <t>Atlanta Metropolitan State College</t>
  </si>
  <si>
    <t>Atlanta's John Marshall Law School</t>
  </si>
  <si>
    <t>Clark Atlanta University (HBCU)</t>
  </si>
  <si>
    <t>Augusta Technical College (2 year)</t>
  </si>
  <si>
    <t>Bainbridge State College</t>
  </si>
  <si>
    <t>Berry College</t>
  </si>
  <si>
    <t>Beulah Heights University</t>
  </si>
  <si>
    <t>Brenau University</t>
  </si>
  <si>
    <t>Brewton-Parker College</t>
  </si>
  <si>
    <t>Brown College of Court Reporting (Female only, 2 year)</t>
  </si>
  <si>
    <t>College of Coastal Georgia</t>
  </si>
  <si>
    <t>West Georgia Technical College (2 year)</t>
  </si>
  <si>
    <t>Carver Bible College</t>
  </si>
  <si>
    <t>Clayton  State University</t>
  </si>
  <si>
    <t>Columbia Theological Seminary</t>
  </si>
  <si>
    <t>Columbus Technical College (2 year)</t>
  </si>
  <si>
    <t>Columbus State University</t>
  </si>
  <si>
    <t>Georgia Northwestern Technical College (2 year)</t>
  </si>
  <si>
    <t>Covenant College</t>
  </si>
  <si>
    <t>Dalton State College</t>
  </si>
  <si>
    <t>South University-Savannah</t>
  </si>
  <si>
    <t>East Georgia State College</t>
  </si>
  <si>
    <t>Emmanuel College</t>
  </si>
  <si>
    <t>Emory University</t>
  </si>
  <si>
    <t>Georgia Highlands College</t>
  </si>
  <si>
    <t>Fort Valley State University (HBCU)</t>
  </si>
  <si>
    <t>Grady Health System Professional Schools (2 year)</t>
  </si>
  <si>
    <t>Georgia Institute of Technology-Main Campus</t>
  </si>
  <si>
    <t>Georgia Southwestern State University</t>
  </si>
  <si>
    <t>Georgia College &amp; State University</t>
  </si>
  <si>
    <t>Georgia Southern University</t>
  </si>
  <si>
    <t>Georgia State University</t>
  </si>
  <si>
    <t>University of Georgia</t>
  </si>
  <si>
    <t>Gordon State College</t>
  </si>
  <si>
    <t>Southern Crescent Technical College (2 year)</t>
  </si>
  <si>
    <t>Gupton Jones College of Funeral Service (2 year)</t>
  </si>
  <si>
    <t>Gwinnett College-Lilburn (2 year)</t>
  </si>
  <si>
    <t>Gwinnett Technical College (2 year)</t>
  </si>
  <si>
    <t>Interdenominational Theological Center (HBCU)</t>
  </si>
  <si>
    <t>LaGrange College</t>
  </si>
  <si>
    <t>Lanier Technical College (2 year)</t>
  </si>
  <si>
    <t>Life University</t>
  </si>
  <si>
    <t>Chattahoochee Technical College (2 year)</t>
  </si>
  <si>
    <t>Herzing University-Atlanta</t>
  </si>
  <si>
    <t>Mercer University</t>
  </si>
  <si>
    <t>Morehouse College (HBCU, Male only)</t>
  </si>
  <si>
    <t>Morehouse School of Medicine (HBCU)</t>
  </si>
  <si>
    <t>North Georgia Technical College (2 year)</t>
  </si>
  <si>
    <t>Oglethorpe University</t>
  </si>
  <si>
    <t>Paine College (HBCU)</t>
  </si>
  <si>
    <t>Piedmont College</t>
  </si>
  <si>
    <t>Miami Ad School at Portfolio Center (2 year)</t>
  </si>
  <si>
    <t>Reinhardt University</t>
  </si>
  <si>
    <t>Savannah Technical College (2 year)</t>
  </si>
  <si>
    <t>Savannah College of Art and Design</t>
  </si>
  <si>
    <t>Savannah State University (HBCU)</t>
  </si>
  <si>
    <t>Shorter University</t>
  </si>
  <si>
    <t>South Georgia Technical College (2 year)</t>
  </si>
  <si>
    <t>The Creative Circus (2 year)</t>
  </si>
  <si>
    <t>Spelman College (HBCU, Female only)</t>
  </si>
  <si>
    <t>Thomas University</t>
  </si>
  <si>
    <t>Toccoa Falls College</t>
  </si>
  <si>
    <t>Truett McConnell University</t>
  </si>
  <si>
    <t>Wiregrass Georgia Technical College (2 year)</t>
  </si>
  <si>
    <t>Valdosta State University</t>
  </si>
  <si>
    <t>Wesleyan College (Female only)</t>
  </si>
  <si>
    <t>University of West Georgia</t>
  </si>
  <si>
    <t>Young Harris College</t>
  </si>
  <si>
    <t>Chaminade University of Honolulu</t>
  </si>
  <si>
    <t>University of Hawaii at Hilo</t>
  </si>
  <si>
    <t>University of Hawaii at Manoa</t>
  </si>
  <si>
    <t>Hawaii Pacific University</t>
  </si>
  <si>
    <t>Honolulu Community College (2 year)</t>
  </si>
  <si>
    <t>Kapiolani Community College (2 year)</t>
  </si>
  <si>
    <t>Kauai Community College (2 year)</t>
  </si>
  <si>
    <t>Leeward Community College (2 year)</t>
  </si>
  <si>
    <t>University of Hawaii Maui College</t>
  </si>
  <si>
    <t>World Medicine Institute</t>
  </si>
  <si>
    <t>University of Hawaii-West Oahu</t>
  </si>
  <si>
    <t>Windward Community College (2 year)</t>
  </si>
  <si>
    <t>Carrington College-Boise (2 year)</t>
  </si>
  <si>
    <t>Boise Bible College</t>
  </si>
  <si>
    <t>Boise State University</t>
  </si>
  <si>
    <t>College of Eastern Idaho (2 year)</t>
  </si>
  <si>
    <t>Idaho State University</t>
  </si>
  <si>
    <t>University of Idaho</t>
  </si>
  <si>
    <t>The College of Idaho</t>
  </si>
  <si>
    <t>Lewis-Clark State College</t>
  </si>
  <si>
    <t>ITT Technical Institute-Boise</t>
  </si>
  <si>
    <t>Aveda Institute-Twin Falls (2 year)</t>
  </si>
  <si>
    <t>Mr Leon's School of Hair Design-Moscow (2 year)</t>
  </si>
  <si>
    <t>North Idaho College (2 year)</t>
  </si>
  <si>
    <t>Northwest Nazarene University</t>
  </si>
  <si>
    <t>Elevate Salon Institute-Chubbuck (Female only, 2 year)</t>
  </si>
  <si>
    <t>Brigham Young University-Idaho</t>
  </si>
  <si>
    <t>College of Southern Idaho (2 year)</t>
  </si>
  <si>
    <t>Adler University</t>
  </si>
  <si>
    <t>American Islamic College</t>
  </si>
  <si>
    <t>Augustana College</t>
  </si>
  <si>
    <t>Southwestern Illinois College (2 year)</t>
  </si>
  <si>
    <t>Bethany Theological Seminary</t>
  </si>
  <si>
    <t>Black Hawk College (2 year)</t>
  </si>
  <si>
    <t>Blackburn College</t>
  </si>
  <si>
    <t>Blessing Rieman College of Nursing and Health Sciences</t>
  </si>
  <si>
    <t>Blessing Hospital School of Radiologic Technology (Female only, 2 year)</t>
  </si>
  <si>
    <t>Bradley University</t>
  </si>
  <si>
    <t>Carl Sandburg College (2 year)</t>
  </si>
  <si>
    <t>Catholic Theological Union at Chicago</t>
  </si>
  <si>
    <t>Midwestern University-Downers Grove</t>
  </si>
  <si>
    <t>The Chicago School of Professional Psychology at Chicago</t>
  </si>
  <si>
    <t>Chicago State University</t>
  </si>
  <si>
    <t>Chicago Theological Seminary</t>
  </si>
  <si>
    <t>City Colleges of Chicago-Kennedy-King College (2 year)</t>
  </si>
  <si>
    <t>City Colleges of Chicago-Malcolm X College (2 year)</t>
  </si>
  <si>
    <t>City Colleges of Chicago-Olive-Harvey College (2 year)</t>
  </si>
  <si>
    <t>City Colleges of Chicago-Harry S Truman College (2 year)</t>
  </si>
  <si>
    <t>City Colleges of Chicago-Richard J Daley College (2 year)</t>
  </si>
  <si>
    <t>City Colleges of Chicago-Harold Washington College (2 year)</t>
  </si>
  <si>
    <t>City Colleges of Chicago-Wilbur Wright College (2 year)</t>
  </si>
  <si>
    <t>Concordia University-Chicago</t>
  </si>
  <si>
    <t>Le Cordon Bleu College of Culinary Arts-Chicago (2 year)</t>
  </si>
  <si>
    <t>Coyne College (2 year)</t>
  </si>
  <si>
    <t>Danville Area Community College (2 year)</t>
  </si>
  <si>
    <t>College of DuPage (2 year)</t>
  </si>
  <si>
    <t>East-West University</t>
  </si>
  <si>
    <t>Elgin Community College (2 year)</t>
  </si>
  <si>
    <t>Eureka College</t>
  </si>
  <si>
    <t>Fox College (2 year)</t>
  </si>
  <si>
    <t>Garrett-Evangelical Theological Seminary</t>
  </si>
  <si>
    <t>Governors State University</t>
  </si>
  <si>
    <t>Graham Hospital School of Nursing (2 year)</t>
  </si>
  <si>
    <t>Greenville University</t>
  </si>
  <si>
    <t>Harrington College of Design</t>
  </si>
  <si>
    <t>Hebrew Theological College</t>
  </si>
  <si>
    <t>Highland Community College (2 year)</t>
  </si>
  <si>
    <t>Rosalind Franklin University of Medicine and Science</t>
  </si>
  <si>
    <t>Benedictine University</t>
  </si>
  <si>
    <t>Illinois College of Optometry</t>
  </si>
  <si>
    <t>Illinois Wesleyan University</t>
  </si>
  <si>
    <t>Illinois Central College (2 year)</t>
  </si>
  <si>
    <t>Olney Central College (2 year)</t>
  </si>
  <si>
    <t>Argosy University-Chicago</t>
  </si>
  <si>
    <t>Illinois Valley Community College (2 year)</t>
  </si>
  <si>
    <t>Institute for Clinical Social Work</t>
  </si>
  <si>
    <t>Sanford-Brown College-Chicago</t>
  </si>
  <si>
    <t>John A Logan College (2 year)</t>
  </si>
  <si>
    <t>The John Marshall Law School</t>
  </si>
  <si>
    <t>John Wood Community College (2 year)</t>
  </si>
  <si>
    <t>Joliet Junior College (2 year)</t>
  </si>
  <si>
    <t>Judson University</t>
  </si>
  <si>
    <t>Kankakee Community College (2 year)</t>
  </si>
  <si>
    <t>Kaskaskia College (2 year)</t>
  </si>
  <si>
    <t>Kishwaukee College (2 year)</t>
  </si>
  <si>
    <t>College of Lake County (2 year)</t>
  </si>
  <si>
    <t>Lake Forest Graduate School of Management</t>
  </si>
  <si>
    <t>Lake Land College (2 year)</t>
  </si>
  <si>
    <t>Lakeview College of Nursing</t>
  </si>
  <si>
    <t>Lewis and Clark Community College (2 year)</t>
  </si>
  <si>
    <t>Lincoln Christian University</t>
  </si>
  <si>
    <t>Lincoln College</t>
  </si>
  <si>
    <t>Lincoln Land Community College (2 year)</t>
  </si>
  <si>
    <t>Lincoln College of Technology-Melrose Park (2 year)</t>
  </si>
  <si>
    <t>Lutheran School of Theology at Chicago</t>
  </si>
  <si>
    <t>Trinity College of Nursing &amp; Health Sciences</t>
  </si>
  <si>
    <t>MacCormac College (2 year)</t>
  </si>
  <si>
    <t>MacMurray College</t>
  </si>
  <si>
    <t>McCormick Theological Seminary</t>
  </si>
  <si>
    <t>McHenry County College (2 year)</t>
  </si>
  <si>
    <t>McKendree University</t>
  </si>
  <si>
    <t>Meadville Lombard Theological School</t>
  </si>
  <si>
    <t>Methodist College</t>
  </si>
  <si>
    <t>Midstate College</t>
  </si>
  <si>
    <t>Moody Bible Institute</t>
  </si>
  <si>
    <t>Moraine Valley Community College (2 year)</t>
  </si>
  <si>
    <t>Morrison Institute of Technology (2 year)</t>
  </si>
  <si>
    <t>Morton College (2 year)</t>
  </si>
  <si>
    <t>Mr John's School of Cosmetology Esthetics &amp; Nails-Decatur (Female only, 2 year)</t>
  </si>
  <si>
    <t>National Louis University</t>
  </si>
  <si>
    <t>National University of Health Sciences</t>
  </si>
  <si>
    <t>North Central College</t>
  </si>
  <si>
    <t>Northern Baptist Theological Seminary</t>
  </si>
  <si>
    <t>Northwestern College-Chicago Campus (2 year)</t>
  </si>
  <si>
    <t>Oakton Community College (2 year)</t>
  </si>
  <si>
    <t>Parkland College (2 year)</t>
  </si>
  <si>
    <t>Prairie State College (2 year)</t>
  </si>
  <si>
    <t>Principia College</t>
  </si>
  <si>
    <t>Quincy University</t>
  </si>
  <si>
    <t>Vatterott College-Quincy (2 year)</t>
  </si>
  <si>
    <t>The Illinois Institute of Art-Chicago</t>
  </si>
  <si>
    <t>Rend Lake College (2 year)</t>
  </si>
  <si>
    <t>Richland Community College (2 year)</t>
  </si>
  <si>
    <t>Rock Valley College (2 year)</t>
  </si>
  <si>
    <t>Madison Media Institute-Rockford Career College (2 year)</t>
  </si>
  <si>
    <t>Rockford University</t>
  </si>
  <si>
    <t>Roosevelt University</t>
  </si>
  <si>
    <t>Rush University</t>
  </si>
  <si>
    <t>Saint Francis Medical Center College of Nursing</t>
  </si>
  <si>
    <t>University of St Francis</t>
  </si>
  <si>
    <t>St. John's College-Department of Nursing</t>
  </si>
  <si>
    <t>Sauk Valley Community College (2 year)</t>
  </si>
  <si>
    <t>Shawnee Community College (2 year)</t>
  </si>
  <si>
    <t>Saint Augustine College</t>
  </si>
  <si>
    <t>University of Saint Mary of the Lake</t>
  </si>
  <si>
    <t>Southeastern Illinois College (2 year)</t>
  </si>
  <si>
    <t>Spertus College</t>
  </si>
  <si>
    <t>Spoon River College (2 year)</t>
  </si>
  <si>
    <t>Saint Anthony College of Nursing</t>
  </si>
  <si>
    <t>Southern Illinois University-Carbondale</t>
  </si>
  <si>
    <t>Southern Illinois University-Edwardsville</t>
  </si>
  <si>
    <t>Taylor Business Institute (2 year)</t>
  </si>
  <si>
    <t>Telshe Yeshiva-Chicago (Male only)</t>
  </si>
  <si>
    <t>South Suburban College (2 year)</t>
  </si>
  <si>
    <t>Trinity Christian College</t>
  </si>
  <si>
    <t>Trinity International University-Illinois</t>
  </si>
  <si>
    <t>Triton College (2 year)</t>
  </si>
  <si>
    <t>VanderCook College of Music</t>
  </si>
  <si>
    <t>Waubonsee Community College (2 year)</t>
  </si>
  <si>
    <t>Resurrection University</t>
  </si>
  <si>
    <t>Wheaton College</t>
  </si>
  <si>
    <t>William Rainey Harper College (2 year)</t>
  </si>
  <si>
    <t>Ancilla College (2 year)</t>
  </si>
  <si>
    <t>Anderson University</t>
  </si>
  <si>
    <t>Ball State University</t>
  </si>
  <si>
    <t>Bethel College-Indiana</t>
  </si>
  <si>
    <t>Calumet College of Saint Joseph</t>
  </si>
  <si>
    <t>Christian Theological Seminary</t>
  </si>
  <si>
    <t>College of Court Reporting Inc (Female only, 2 year)</t>
  </si>
  <si>
    <t>Concordia Theological Seminary</t>
  </si>
  <si>
    <t>Earlham College</t>
  </si>
  <si>
    <t>University of Evansville</t>
  </si>
  <si>
    <t>Franklin College</t>
  </si>
  <si>
    <t>Goshen College</t>
  </si>
  <si>
    <t>Grace College and Theological Seminary</t>
  </si>
  <si>
    <t>Hanover College</t>
  </si>
  <si>
    <t>Holy Cross College</t>
  </si>
  <si>
    <t>PJ's College of Cosmetology-Clarksville (Female only, 2 year)</t>
  </si>
  <si>
    <t>Huntington University</t>
  </si>
  <si>
    <t>Ivy Tech Community College (2 year)</t>
  </si>
  <si>
    <t>Indiana University-Purdue University-Fort Wayne</t>
  </si>
  <si>
    <t>Indiana University-Purdue University-Indianapolis</t>
  </si>
  <si>
    <t>Harrison College-Indianapolis</t>
  </si>
  <si>
    <t>University of Indianapolis</t>
  </si>
  <si>
    <t>Indiana Institute of Technology</t>
  </si>
  <si>
    <t>University of Southern Indiana</t>
  </si>
  <si>
    <t>Indiana State University</t>
  </si>
  <si>
    <t>Indiana University-Kokomo</t>
  </si>
  <si>
    <t>Indiana University-South Bend</t>
  </si>
  <si>
    <t>Indiana University-Bloomington</t>
  </si>
  <si>
    <t>Indiana University-Northwest</t>
  </si>
  <si>
    <t>Indiana University-Southeast</t>
  </si>
  <si>
    <t>Indiana University-East</t>
  </si>
  <si>
    <t>International Business College-Fort Wayne</t>
  </si>
  <si>
    <t>International Business College-Indianapolis (2 year)</t>
  </si>
  <si>
    <t>ITT Technical Institute-Nashville</t>
  </si>
  <si>
    <t>ITT Technical Institute-Fort Wayne</t>
  </si>
  <si>
    <t>ITT Technical Institute-Indianapolis</t>
  </si>
  <si>
    <t>Brown Mackie College-Merrillville</t>
  </si>
  <si>
    <t>Lincoln College of Technology-Indianapolis (Male only, 2 year)</t>
  </si>
  <si>
    <t>Manchester University</t>
  </si>
  <si>
    <t>Indiana Wesleyan University-Marion</t>
  </si>
  <si>
    <t>Martin University</t>
  </si>
  <si>
    <t>Anabaptist Mennonite Biblical Seminary</t>
  </si>
  <si>
    <t>Brown Mackie College-South Bend</t>
  </si>
  <si>
    <t>Mid-America College of Funeral Service</t>
  </si>
  <si>
    <t>West Michigan College of Barbering and Beauty (2 year)</t>
  </si>
  <si>
    <t>Oakland City University</t>
  </si>
  <si>
    <t>Purdue University-Calumet Campus</t>
  </si>
  <si>
    <t>Purdue University-North Central Campus</t>
  </si>
  <si>
    <t>Rose-Hulman Institute of Technology</t>
  </si>
  <si>
    <t>University of Saint Francis-Fort Wayne</t>
  </si>
  <si>
    <t>Saint Josephs College</t>
  </si>
  <si>
    <t>Saint Mary-of-the-Woods College</t>
  </si>
  <si>
    <t>Saint Mary's College (Female only)</t>
  </si>
  <si>
    <t>Saint Meinrad School of Theology</t>
  </si>
  <si>
    <t>Saint Elizabeth School of Nursing (Female only, 2 year)</t>
  </si>
  <si>
    <t>Taylor University</t>
  </si>
  <si>
    <t>Trine University</t>
  </si>
  <si>
    <t>Vincennes University</t>
  </si>
  <si>
    <t>Wabash College (Male only)</t>
  </si>
  <si>
    <t>Allen College</t>
  </si>
  <si>
    <t>Briar Cliff University</t>
  </si>
  <si>
    <t>Buena Vista University</t>
  </si>
  <si>
    <t>Capri College-Dubuque (Female only, 2 year)</t>
  </si>
  <si>
    <t>Capri College-Cedar Rapids (Female only, 2 year)</t>
  </si>
  <si>
    <t>Central College</t>
  </si>
  <si>
    <t>Clarke University</t>
  </si>
  <si>
    <t>Coe College</t>
  </si>
  <si>
    <t>Cornell College</t>
  </si>
  <si>
    <t>Iowa School of Beauty-Marshalltown (Female only, 2 year)</t>
  </si>
  <si>
    <t>Des Moines Area Community College (2 year)</t>
  </si>
  <si>
    <t>Divine Word College</t>
  </si>
  <si>
    <t>Dordt College</t>
  </si>
  <si>
    <t>Drake University</t>
  </si>
  <si>
    <t>University of Dubuque</t>
  </si>
  <si>
    <t>Ellsworth Community College (2 year)</t>
  </si>
  <si>
    <t>Emmaus Bible College</t>
  </si>
  <si>
    <t>Eastern Iowa Community College District (2 year)</t>
  </si>
  <si>
    <t>Faith Baptist Bible College and Theological Seminary</t>
  </si>
  <si>
    <t>Faust Institute of Cosmetology-Storm Lake (Female only, 2 year)</t>
  </si>
  <si>
    <t>Graceland University-Lamoni</t>
  </si>
  <si>
    <t>Grand View University</t>
  </si>
  <si>
    <t>Kaplan University-Mason City Campus</t>
  </si>
  <si>
    <t>Kaplan University-Cedar Rapids Campus</t>
  </si>
  <si>
    <t>Hamilton Technical College</t>
  </si>
  <si>
    <t>Hawkeye Community College (2 year)</t>
  </si>
  <si>
    <t>American Hair Academy (2 year)</t>
  </si>
  <si>
    <t>Indian Hills Community College (2 year)</t>
  </si>
  <si>
    <t>Iowa Central Community College (2 year)</t>
  </si>
  <si>
    <t>Iowa Lakes Community College (2 year)</t>
  </si>
  <si>
    <t>UnityPoint Health-Des Moines School of Radiologic Technology (2 year)</t>
  </si>
  <si>
    <t>American College of Hairstyling-Des Moines (2 year)</t>
  </si>
  <si>
    <t>Iowa School of Beauty-Des Moines (2 year)</t>
  </si>
  <si>
    <t>Iowa State University</t>
  </si>
  <si>
    <t>Iowa Wesleyan University</t>
  </si>
  <si>
    <t>Iowa Western Community College (2 year)</t>
  </si>
  <si>
    <t>University of Iowa</t>
  </si>
  <si>
    <t>Kirkwood Community College (2 year)</t>
  </si>
  <si>
    <t>La James International College-Cedar Falls (2 year)</t>
  </si>
  <si>
    <t>La James International College-Johnston (2 year)</t>
  </si>
  <si>
    <t>La James College of Hairstyling and Cosmetology (Female only, 2 year)</t>
  </si>
  <si>
    <t>La James International College-Ft Dodge (Female only, 2 year)</t>
  </si>
  <si>
    <t>Loras College</t>
  </si>
  <si>
    <t>Maharishi University of Management</t>
  </si>
  <si>
    <t>Marshalltown Community College (2 year)</t>
  </si>
  <si>
    <t>Mercy College of Health Sciences</t>
  </si>
  <si>
    <t>Morningside College</t>
  </si>
  <si>
    <t>Mount Mercy University</t>
  </si>
  <si>
    <t>Ashford University</t>
  </si>
  <si>
    <t>North Iowa Area Community College (2 year)</t>
  </si>
  <si>
    <t>Northwestern College</t>
  </si>
  <si>
    <t>Northeast Iowa Community College (2 year)</t>
  </si>
  <si>
    <t>Northwest Iowa Community College (2 year)</t>
  </si>
  <si>
    <t>Des Moines University-Osteopathic Medical Center</t>
  </si>
  <si>
    <t>Iowa School of Beauty-Ottumwa (Female only, 2 year)</t>
  </si>
  <si>
    <t>Palmer College of Chiropractic</t>
  </si>
  <si>
    <t>PCI Academy-Ames (Female only, 2 year)</t>
  </si>
  <si>
    <t>Saint Ambrose University</t>
  </si>
  <si>
    <t>St Luke's College</t>
  </si>
  <si>
    <t>La James International College-Davenport (2 year)</t>
  </si>
  <si>
    <t>La James International College-Iowa City (2 year)</t>
  </si>
  <si>
    <t>Simpson College</t>
  </si>
  <si>
    <t>Southeastern Community College (2 year)</t>
  </si>
  <si>
    <t>Southwestern Community College (2 year)</t>
  </si>
  <si>
    <t>Capri College-Davenport (Female only, 2 year)</t>
  </si>
  <si>
    <t>Iowa School of Beauty-Sioux City (Female only, 2 year)</t>
  </si>
  <si>
    <t>E Q School of Hair Design (2 year)</t>
  </si>
  <si>
    <t>Upper Iowa University</t>
  </si>
  <si>
    <t>Waldorf University</t>
  </si>
  <si>
    <t>Wartburg College</t>
  </si>
  <si>
    <t>Wartburg Theological Seminary</t>
  </si>
  <si>
    <t>The Salon Professional Academy (2 year)</t>
  </si>
  <si>
    <t>Western Iowa Tech Community College (2 year)</t>
  </si>
  <si>
    <t>William Penn University</t>
  </si>
  <si>
    <t>Allen County Community College (2 year)</t>
  </si>
  <si>
    <t>Baker University</t>
  </si>
  <si>
    <t>Barton County Community College (2 year)</t>
  </si>
  <si>
    <t>Benedictine College</t>
  </si>
  <si>
    <t>Bethany College</t>
  </si>
  <si>
    <t>Bethel College-North Newton</t>
  </si>
  <si>
    <t>Brown Mackie College-Kansas City (2 year)</t>
  </si>
  <si>
    <t>Brown Mackie College-Salina</t>
  </si>
  <si>
    <t>Bryan University (2 year)</t>
  </si>
  <si>
    <t>Butler Community College (2 year)</t>
  </si>
  <si>
    <t>Central Baptist Theological Seminary</t>
  </si>
  <si>
    <t>Central Christian College of Kansas</t>
  </si>
  <si>
    <t>Cloud County Community College (2 year)</t>
  </si>
  <si>
    <t>Coffeyville Community College (2 year)</t>
  </si>
  <si>
    <t>Colby Community College (2 year)</t>
  </si>
  <si>
    <t>Cowley County Community College (2 year)</t>
  </si>
  <si>
    <t>Dodge City Community College (2 year)</t>
  </si>
  <si>
    <t>Donnelly College</t>
  </si>
  <si>
    <t>Emporia State University</t>
  </si>
  <si>
    <t>Flint Hills Technical College (2 year)</t>
  </si>
  <si>
    <t>Fort Hays State University</t>
  </si>
  <si>
    <t>Barclay College</t>
  </si>
  <si>
    <t>Friends University</t>
  </si>
  <si>
    <t>Fort Scott Community College (2 year)</t>
  </si>
  <si>
    <t>Garden City Community College (2 year)</t>
  </si>
  <si>
    <t>Haskell Indian Nations University</t>
  </si>
  <si>
    <t>Hesston College</t>
  </si>
  <si>
    <t>Hutchinson Community College (2 year)</t>
  </si>
  <si>
    <t>Independence Community College (2 year)</t>
  </si>
  <si>
    <t>Johnson County Community College (2 year)</t>
  </si>
  <si>
    <t>Concorde Career College-Kansas City</t>
  </si>
  <si>
    <t>Kansas City Kansas Community College (2 year)</t>
  </si>
  <si>
    <t>Kansas Christian College</t>
  </si>
  <si>
    <t>University of Kansas</t>
  </si>
  <si>
    <t>Newman University</t>
  </si>
  <si>
    <t>Kansas State University</t>
  </si>
  <si>
    <t>Kansas Wesleyan University</t>
  </si>
  <si>
    <t>Labette Community College (2 year)</t>
  </si>
  <si>
    <t>Manhattan Area Technical College (2 year)</t>
  </si>
  <si>
    <t>Manhattan Christian College</t>
  </si>
  <si>
    <t>McPherson College</t>
  </si>
  <si>
    <t>MidAmerica Nazarene University</t>
  </si>
  <si>
    <t>Neosho County Community College (2 year)</t>
  </si>
  <si>
    <t>North Central Kansas Technical College (2 year)</t>
  </si>
  <si>
    <t>Northwest Kansas Technical College (2 year)</t>
  </si>
  <si>
    <t>Ottawa University-Ottawa</t>
  </si>
  <si>
    <t>Ottawa University-Kansas City</t>
  </si>
  <si>
    <t>Pittsburg State University</t>
  </si>
  <si>
    <t>Pratt Community College (2 year)</t>
  </si>
  <si>
    <t>University of Saint Mary</t>
  </si>
  <si>
    <t>Salina Area Technical College (2 year)</t>
  </si>
  <si>
    <t>Seward County Community College (2 year)</t>
  </si>
  <si>
    <t>Southwestern College</t>
  </si>
  <si>
    <t>Sterling College</t>
  </si>
  <si>
    <t>Tabor College</t>
  </si>
  <si>
    <t>Washburn University</t>
  </si>
  <si>
    <t>Wichita Area Technical College (2 year)</t>
  </si>
  <si>
    <t>Wichita State University</t>
  </si>
  <si>
    <t>Wichita Technical Institute (2 year)</t>
  </si>
  <si>
    <t>Alice Lloyd College</t>
  </si>
  <si>
    <t>Asbury University</t>
  </si>
  <si>
    <t>Asbury Theological Seminary</t>
  </si>
  <si>
    <t>Ashland Community and Technical College (2 year)</t>
  </si>
  <si>
    <t>Barrett and Company School of Hair Design (Female only, 2 year)</t>
  </si>
  <si>
    <t>Bellarmine University</t>
  </si>
  <si>
    <t>Berea College</t>
  </si>
  <si>
    <t>PJ's College of Cosmetology-Bowling Green (2 year)</t>
  </si>
  <si>
    <t>Southcentral Kentucky Community and Technical College (2 year)</t>
  </si>
  <si>
    <t>Brescia University</t>
  </si>
  <si>
    <t>Campbellsville University</t>
  </si>
  <si>
    <t>Bluegrass Community and Technical College (2 year)</t>
  </si>
  <si>
    <t>Centre College</t>
  </si>
  <si>
    <t>Clear Creek Baptist Bible College</t>
  </si>
  <si>
    <t>Paul Mitchell the School-Lexington (Female only, 2 year)</t>
  </si>
  <si>
    <t>Galen College of Nursing-Louisville</t>
  </si>
  <si>
    <t>University of the Cumberlands</t>
  </si>
  <si>
    <t>Eastern Kentucky University</t>
  </si>
  <si>
    <t>Elizabethtown Community and Technical College (2 year)</t>
  </si>
  <si>
    <t>Frontier Nursing University</t>
  </si>
  <si>
    <t>Georgetown College</t>
  </si>
  <si>
    <t>PJ's College of Cosmetology-Glasgow (2 year)</t>
  </si>
  <si>
    <t>Hazard Community and Technical College (2 year)</t>
  </si>
  <si>
    <t>Paul Mitchell the School-Louisville (Female only, 2 year)</t>
  </si>
  <si>
    <t>Henderson Community College (2 year)</t>
  </si>
  <si>
    <t>Hopkinsville Community College (2 year)</t>
  </si>
  <si>
    <t>Jefferson Community and Technical College (2 year)</t>
  </si>
  <si>
    <t>Summit Salon Academy-Lexington (2 year)</t>
  </si>
  <si>
    <t>American National University-Lexington</t>
  </si>
  <si>
    <t>Kentucky Mountain Bible College</t>
  </si>
  <si>
    <t>Kentucky State University (HBCU)</t>
  </si>
  <si>
    <t>Kentucky Wesleyan College</t>
  </si>
  <si>
    <t>University of Kentucky</t>
  </si>
  <si>
    <t>Kentucky Christian University</t>
  </si>
  <si>
    <t>Lexington Theological Seminary</t>
  </si>
  <si>
    <t>Lindsey Wilson College</t>
  </si>
  <si>
    <t>Sullivan College of Technology and Design</t>
  </si>
  <si>
    <t>Louisville Presbyterian Theological Seminary</t>
  </si>
  <si>
    <t>Madisonville Community College (2 year)</t>
  </si>
  <si>
    <t>Maysville Community and Technical College (2 year)</t>
  </si>
  <si>
    <t>Midway University</t>
  </si>
  <si>
    <t>Morehead State University</t>
  </si>
  <si>
    <t>Murray State University</t>
  </si>
  <si>
    <t>Gateway Community and Technical College (2 year)</t>
  </si>
  <si>
    <t>Northern Kentucky University</t>
  </si>
  <si>
    <t>Daymar College-Owensboro</t>
  </si>
  <si>
    <t>West Kentucky Community and Technical College (2 year)</t>
  </si>
  <si>
    <t>University of Pikeville</t>
  </si>
  <si>
    <t>Big Sandy Community and Technical College (2 year)</t>
  </si>
  <si>
    <t>Brown Mackie College-Louisville</t>
  </si>
  <si>
    <t>Empire Beauty School-Chenoweth (Female only, 2 year)</t>
  </si>
  <si>
    <t>Empire Beauty School-Elizabethtown (Female only, 2 year)</t>
  </si>
  <si>
    <t>Empire Beauty School-Dixie (Female only, 2 year)</t>
  </si>
  <si>
    <t>Empire Beauty School-Florence (Female only, 2 year)</t>
  </si>
  <si>
    <t>Somerset Community College (2 year)</t>
  </si>
  <si>
    <t>Southeast Kentucky Community and Technical College (2 year)</t>
  </si>
  <si>
    <t>The Southern Baptist Theological Seminary</t>
  </si>
  <si>
    <t>Spalding University</t>
  </si>
  <si>
    <t>Spencerian College-Louisville</t>
  </si>
  <si>
    <t>Sullivan University</t>
  </si>
  <si>
    <t>Thomas More College</t>
  </si>
  <si>
    <t>Transylvania University</t>
  </si>
  <si>
    <t>Trend Setters' Academy of Beauty Culture-Louisville (2 year)</t>
  </si>
  <si>
    <t>Union College</t>
  </si>
  <si>
    <t>Western Kentucky University</t>
  </si>
  <si>
    <t>Central Louisiana Technical Community College (2 year)</t>
  </si>
  <si>
    <t>Baton Rouge General Medical Center-School of Nursing (2 year)</t>
  </si>
  <si>
    <t>Baton Rouge School of Computers (2 year)</t>
  </si>
  <si>
    <t>Capital Area Technical College (2 year)</t>
  </si>
  <si>
    <t>Bossier Parish Community College (2 year)</t>
  </si>
  <si>
    <t>Cameron College (2 year)</t>
  </si>
  <si>
    <t>Centenary College of Louisiana</t>
  </si>
  <si>
    <t>Delgado Community College (2 year)</t>
  </si>
  <si>
    <t>Delta School of Business and Technology (2 year)</t>
  </si>
  <si>
    <t>Dillard University (HBCU)</t>
  </si>
  <si>
    <t>Nunez Community College (2 year)</t>
  </si>
  <si>
    <t>Grambling State University (HBCU)</t>
  </si>
  <si>
    <t>ITI Technical College (2 year)</t>
  </si>
  <si>
    <t>Louisiana State University Health Sciences Center-New Orleans</t>
  </si>
  <si>
    <t>Louisiana State University-Alexandria</t>
  </si>
  <si>
    <t>Louisiana State University and Agricultural &amp; Mechanical College</t>
  </si>
  <si>
    <t>Louisiana State University-Eunice (2 year)</t>
  </si>
  <si>
    <t>Louisiana State University-Shreveport</t>
  </si>
  <si>
    <t>Louisiana College</t>
  </si>
  <si>
    <t>Louisiana Tech University</t>
  </si>
  <si>
    <t>Loyola University New Orleans</t>
  </si>
  <si>
    <t>McNeese State University</t>
  </si>
  <si>
    <t>University of New Orleans</t>
  </si>
  <si>
    <t>New Orleans Baptist Theological Seminary</t>
  </si>
  <si>
    <t>Nicholls State University</t>
  </si>
  <si>
    <t>University of Louisiana at Monroe</t>
  </si>
  <si>
    <t>Northwest Louisiana Technical College (2 year)</t>
  </si>
  <si>
    <t>Notre Dame Seminary Graduate School of Theology</t>
  </si>
  <si>
    <t>Northwestern State University of Louisiana</t>
  </si>
  <si>
    <t>University of Holy Cross</t>
  </si>
  <si>
    <t>Franciscan Missionaries of Our Lady University</t>
  </si>
  <si>
    <t>Saint Joseph Seminary College (Male only)</t>
  </si>
  <si>
    <t>Fletcher Technical Community College (2 year)</t>
  </si>
  <si>
    <t>Remington College-Lafayette Campus (2 year)</t>
  </si>
  <si>
    <t>SOWELA Technical Community College (2 year)</t>
  </si>
  <si>
    <t>Southeastern Louisiana University</t>
  </si>
  <si>
    <t>Southern University and A &amp; M College (HBCU)</t>
  </si>
  <si>
    <t>Southern University at New Orleans (HBCU)</t>
  </si>
  <si>
    <t>Southern University at Shreveport (HBCU, 2 year)</t>
  </si>
  <si>
    <t>University of Louisiana at Lafayette</t>
  </si>
  <si>
    <t>Northshore Technical Community College (2 year)</t>
  </si>
  <si>
    <t>Tulane University of Louisiana</t>
  </si>
  <si>
    <t>Xavier University of Louisiana (HBCU)</t>
  </si>
  <si>
    <t>South Central Louisiana Technical College (2 year)</t>
  </si>
  <si>
    <t>Kaplan University-Maine Campus</t>
  </si>
  <si>
    <t>College of the Atlantic</t>
  </si>
  <si>
    <t>Bates College</t>
  </si>
  <si>
    <t>Beal College (2 year)</t>
  </si>
  <si>
    <t>Bowdoin College</t>
  </si>
  <si>
    <t>Maine College of Health Professions (2 year)</t>
  </si>
  <si>
    <t>Central Maine Community College (2 year)</t>
  </si>
  <si>
    <t>Colby College</t>
  </si>
  <si>
    <t>Eastern Maine Community College (2 year)</t>
  </si>
  <si>
    <t>Kennebec Valley Community College (2 year)</t>
  </si>
  <si>
    <t>The Landing School (2 year)</t>
  </si>
  <si>
    <t>University of Maine at Augusta</t>
  </si>
  <si>
    <t>University of Maine at Farmington</t>
  </si>
  <si>
    <t>University of Maine at Fort Kent</t>
  </si>
  <si>
    <t>University of Maine at Machias</t>
  </si>
  <si>
    <t>University of Maine</t>
  </si>
  <si>
    <t>Maine Maritime Academy</t>
  </si>
  <si>
    <t>University of Maine at Presque Isle</t>
  </si>
  <si>
    <t>University of New England</t>
  </si>
  <si>
    <t>Northern Maine Community College (2 year)</t>
  </si>
  <si>
    <t>Maine College of Art</t>
  </si>
  <si>
    <t>Saint Joseph's College of Maine</t>
  </si>
  <si>
    <t>Southern Maine Community College (2 year)</t>
  </si>
  <si>
    <t>University of Southern Maine</t>
  </si>
  <si>
    <t>Thomas College</t>
  </si>
  <si>
    <t>Unity College</t>
  </si>
  <si>
    <t>Washington County Community College (2 year)</t>
  </si>
  <si>
    <t>Allegany College of Maryland (2 year)</t>
  </si>
  <si>
    <t>Anne Arundel Community College (2 year)</t>
  </si>
  <si>
    <t>Brightwood College-Towson (2 year)</t>
  </si>
  <si>
    <t>Baltimore City Community College (2 year)</t>
  </si>
  <si>
    <t>University of Baltimore</t>
  </si>
  <si>
    <t>Bowie State University (HBCU)</t>
  </si>
  <si>
    <t>Capitol Technology University</t>
  </si>
  <si>
    <t>Cecil College (2 year)</t>
  </si>
  <si>
    <t>College of Southern Maryland (2 year)</t>
  </si>
  <si>
    <t>Chesapeake College (2 year)</t>
  </si>
  <si>
    <t>Washington Adventist University</t>
  </si>
  <si>
    <t>Coppin State University (HBCU)</t>
  </si>
  <si>
    <t>Frederick Community College (2 year)</t>
  </si>
  <si>
    <t>Frostburg State University</t>
  </si>
  <si>
    <t>Garrett College (2 year)</t>
  </si>
  <si>
    <t>Goucher College</t>
  </si>
  <si>
    <t>Kaplan University-Hagerstown Campus</t>
  </si>
  <si>
    <t>Hagerstown Community College (2 year)</t>
  </si>
  <si>
    <t>Harford Community College (2 year)</t>
  </si>
  <si>
    <t>Hood College</t>
  </si>
  <si>
    <t>Howard Community College (2 year)</t>
  </si>
  <si>
    <t>Johns Hopkins University</t>
  </si>
  <si>
    <t>Lincoln College of Technology-Columbia (2 year)</t>
  </si>
  <si>
    <t>Loyola University Maryland</t>
  </si>
  <si>
    <t>University of Maryland-University College</t>
  </si>
  <si>
    <t>University of Maryland, Baltimore</t>
  </si>
  <si>
    <t>University of Maryland-Baltimore County</t>
  </si>
  <si>
    <t>University of Maryland-College Park</t>
  </si>
  <si>
    <t>University of Maryland Eastern Shore (HBCU)</t>
  </si>
  <si>
    <t>Montgomery College (2 year)</t>
  </si>
  <si>
    <t>Morgan State University (HBCU)</t>
  </si>
  <si>
    <t>Mount St. Mary's University</t>
  </si>
  <si>
    <t>Ner Israel Rabbinical College (Male only)</t>
  </si>
  <si>
    <t>Notre Dame of Maryland University</t>
  </si>
  <si>
    <t>Prince George's Community College (2 year)</t>
  </si>
  <si>
    <t>Brightwood College-Baltimore (2 year)</t>
  </si>
  <si>
    <t>Salisbury University</t>
  </si>
  <si>
    <t>St Mary's College of Maryland</t>
  </si>
  <si>
    <t>Sojourner-Douglass College</t>
  </si>
  <si>
    <t>St. John's College</t>
  </si>
  <si>
    <t>Brightwood College-Beltsville (2 year)</t>
  </si>
  <si>
    <t>Towson University</t>
  </si>
  <si>
    <t>Maryland University of Integrative Health</t>
  </si>
  <si>
    <t>United States Naval Academy</t>
  </si>
  <si>
    <t>Stevenson University</t>
  </si>
  <si>
    <t>Washington College</t>
  </si>
  <si>
    <t>McDaniel College</t>
  </si>
  <si>
    <t>Wor-Wic Community College (2 year)</t>
  </si>
  <si>
    <t>Hult International Business School</t>
  </si>
  <si>
    <t>New England College of Business and Finance</t>
  </si>
  <si>
    <t>American International College</t>
  </si>
  <si>
    <t>Amherst College</t>
  </si>
  <si>
    <t>Andover Newton Theological School</t>
  </si>
  <si>
    <t>Anna Maria College</t>
  </si>
  <si>
    <t>Assumption College</t>
  </si>
  <si>
    <t>Babson College</t>
  </si>
  <si>
    <t>Boston Baptist College</t>
  </si>
  <si>
    <t>Bay Path University</t>
  </si>
  <si>
    <t>Bay State College</t>
  </si>
  <si>
    <t>Becker College</t>
  </si>
  <si>
    <t>Bentley University</t>
  </si>
  <si>
    <t>Berklee College of Music</t>
  </si>
  <si>
    <t>Berkshire Community College (2 year)</t>
  </si>
  <si>
    <t>Boston Architectural College</t>
  </si>
  <si>
    <t>Boston Graduate School of Psychoanalysis Inc</t>
  </si>
  <si>
    <t>Boston College</t>
  </si>
  <si>
    <t>Boston University</t>
  </si>
  <si>
    <t>Brandeis University</t>
  </si>
  <si>
    <t>Bridgewater State University</t>
  </si>
  <si>
    <t>Bristol Community College (2 year)</t>
  </si>
  <si>
    <t>Signature Healthcare Brockton Hospital School of Nursing (2 year)</t>
  </si>
  <si>
    <t>Bunker Hill Community College (2 year)</t>
  </si>
  <si>
    <t>Cambridge College</t>
  </si>
  <si>
    <t>Cape Cod Community College (2 year)</t>
  </si>
  <si>
    <t>Laboure College</t>
  </si>
  <si>
    <t>Clark University</t>
  </si>
  <si>
    <t>Conway School of Landscape Design</t>
  </si>
  <si>
    <t>Curry College</t>
  </si>
  <si>
    <t>Dean College</t>
  </si>
  <si>
    <t>National Aviation Academy of New England (Male only, 2 year)</t>
  </si>
  <si>
    <t>Eastern Nazarene College</t>
  </si>
  <si>
    <t>Emerson College</t>
  </si>
  <si>
    <t>Endicott College</t>
  </si>
  <si>
    <t>Episcopal Divinity School</t>
  </si>
  <si>
    <t>Fisher College</t>
  </si>
  <si>
    <t>Fitchburg State University</t>
  </si>
  <si>
    <t>Framingham State University</t>
  </si>
  <si>
    <t>Benjamin Franklin Institute of Technology</t>
  </si>
  <si>
    <t>Gordon College</t>
  </si>
  <si>
    <t>Gordon-Conwell Theological Seminary</t>
  </si>
  <si>
    <t>Greenfield Community College (2 year)</t>
  </si>
  <si>
    <t>Hampshire College</t>
  </si>
  <si>
    <t>Harvard University</t>
  </si>
  <si>
    <t>Hebrew College</t>
  </si>
  <si>
    <t>Hellenic College-Holy Cross Greek Orthodox School of Theology</t>
  </si>
  <si>
    <t>Holyoke Community College (2 year)</t>
  </si>
  <si>
    <t>Lasell College</t>
  </si>
  <si>
    <t>Lawrence Memorial Hospital School of Nursing (2 year)</t>
  </si>
  <si>
    <t>Lesley University</t>
  </si>
  <si>
    <t>Longy School of Music of Bard College</t>
  </si>
  <si>
    <t>University of Massachusetts-Lowell</t>
  </si>
  <si>
    <t>University of Massachusetts-Amherst</t>
  </si>
  <si>
    <t>University of Massachusetts-Boston</t>
  </si>
  <si>
    <t>Massachusetts Bay Community College (2 year)</t>
  </si>
  <si>
    <t>MCPHS University</t>
  </si>
  <si>
    <t>Massachusetts College of Art and Design</t>
  </si>
  <si>
    <t>Massachusetts Institute of Technology</t>
  </si>
  <si>
    <t>Massachusetts Maritime Academy</t>
  </si>
  <si>
    <t>University of Massachusetts Medical School Worcester</t>
  </si>
  <si>
    <t>William James College</t>
  </si>
  <si>
    <t>Massasoit Community College (2 year)</t>
  </si>
  <si>
    <t>Merrimack College</t>
  </si>
  <si>
    <t>MGH Institute of Health Professions</t>
  </si>
  <si>
    <t>Montserrat College of Art</t>
  </si>
  <si>
    <t>Mount Holyoke College (Female only)</t>
  </si>
  <si>
    <t>Mount Ida College</t>
  </si>
  <si>
    <t>Mount Wachusett Community College (2 year)</t>
  </si>
  <si>
    <t>School of the Museum of Fine Arts at Tufts University</t>
  </si>
  <si>
    <t>The New England Conservatory of Music</t>
  </si>
  <si>
    <t>New England College of Optometry</t>
  </si>
  <si>
    <t>New England Law-Boston</t>
  </si>
  <si>
    <t>Newbury College</t>
  </si>
  <si>
    <t>Nichols College</t>
  </si>
  <si>
    <t>Massachusetts College of Liberal Arts</t>
  </si>
  <si>
    <t>North Bennet Street School (2 year)</t>
  </si>
  <si>
    <t>North Shore Community College (2 year)</t>
  </si>
  <si>
    <t>The New England Institute of Art</t>
  </si>
  <si>
    <t>Northeastern University</t>
  </si>
  <si>
    <t>Northern Essex Community College (2 year)</t>
  </si>
  <si>
    <t>College of Our Lady of the Elms</t>
  </si>
  <si>
    <t>Pine Manor College</t>
  </si>
  <si>
    <t>Pope St John XXIII National Seminary (Male only)</t>
  </si>
  <si>
    <t>Quincy College (2 year)</t>
  </si>
  <si>
    <t>Quinsigamond Community College (2 year)</t>
  </si>
  <si>
    <t>Regis College</t>
  </si>
  <si>
    <t>Roxbury Community College (2 year)</t>
  </si>
  <si>
    <t>Saint John's Seminary</t>
  </si>
  <si>
    <t>Salem State University</t>
  </si>
  <si>
    <t>Salter College-West Boylston (2 year)</t>
  </si>
  <si>
    <t>Simmons College</t>
  </si>
  <si>
    <t>Bard College at Simon's Rock</t>
  </si>
  <si>
    <t>Smith College (Female only)</t>
  </si>
  <si>
    <t>Springfield College</t>
  </si>
  <si>
    <t>Springfield Technical Community College (2 year)</t>
  </si>
  <si>
    <t>University of Massachusetts-Dartmouth</t>
  </si>
  <si>
    <t>Stonehill College</t>
  </si>
  <si>
    <t>Suffolk University</t>
  </si>
  <si>
    <t>Tufts University</t>
  </si>
  <si>
    <t>Wellesley College (Female only)</t>
  </si>
  <si>
    <t>Wentworth Institute of Technology</t>
  </si>
  <si>
    <t>Western New England University</t>
  </si>
  <si>
    <t>Westfield State University</t>
  </si>
  <si>
    <t>Wheelock College</t>
  </si>
  <si>
    <t>Williams College</t>
  </si>
  <si>
    <t>Worcester Polytechnic Institute</t>
  </si>
  <si>
    <t>Worcester State University</t>
  </si>
  <si>
    <t>Adrian College</t>
  </si>
  <si>
    <t>Alma College</t>
  </si>
  <si>
    <t>Alpena Community College</t>
  </si>
  <si>
    <t>Andrews University</t>
  </si>
  <si>
    <t>Aquinas College</t>
  </si>
  <si>
    <t>Baker College</t>
  </si>
  <si>
    <t>Bay de Noc Community College (2 year)</t>
  </si>
  <si>
    <t>Calvin College</t>
  </si>
  <si>
    <t>Calvin Theological Seminary</t>
  </si>
  <si>
    <t>Carnegie Institute (2 year)</t>
  </si>
  <si>
    <t>Michigan School of Professional Psychology</t>
  </si>
  <si>
    <t>Mott Community College (2 year)</t>
  </si>
  <si>
    <t>Cleary University</t>
  </si>
  <si>
    <t>Concordia University-Ann Arbor</t>
  </si>
  <si>
    <t>Cranbrook Academy of Art</t>
  </si>
  <si>
    <t>College for Creative Studies</t>
  </si>
  <si>
    <t>Davenport University</t>
  </si>
  <si>
    <t>Delta College (2 year)</t>
  </si>
  <si>
    <t>Michigan State University-College of Law</t>
  </si>
  <si>
    <t>MIAT College of Technology (2 year)</t>
  </si>
  <si>
    <t>University of Detroit Mercy</t>
  </si>
  <si>
    <t>Eastern Michigan University</t>
  </si>
  <si>
    <t>Ferris State University</t>
  </si>
  <si>
    <t>Flint Institute of Barbering Inc (2 year)</t>
  </si>
  <si>
    <t>Glen Oaks Community College (2 year)</t>
  </si>
  <si>
    <t>Kettering University</t>
  </si>
  <si>
    <t>Gogebic Community College (2 year)</t>
  </si>
  <si>
    <t>Grace Bible College</t>
  </si>
  <si>
    <t>Grand Rapids Community College (2 year)</t>
  </si>
  <si>
    <t>Great Lakes Christian College</t>
  </si>
  <si>
    <t>Henry Ford College</t>
  </si>
  <si>
    <t>Hillsdale College</t>
  </si>
  <si>
    <t>ITT Technical Institute-Wyoming</t>
  </si>
  <si>
    <t>Jackson College</t>
  </si>
  <si>
    <t>Kalamazoo Valley Community College (2 year)</t>
  </si>
  <si>
    <t>Kellogg Community College (2 year)</t>
  </si>
  <si>
    <t>Kirtland Community College (2 year)</t>
  </si>
  <si>
    <t>Lake Michigan College</t>
  </si>
  <si>
    <t>Lake Superior State University</t>
  </si>
  <si>
    <t>Lansing Community College (2 year)</t>
  </si>
  <si>
    <t>Lawrence Technological University</t>
  </si>
  <si>
    <t>Macomb Community College (2 year)</t>
  </si>
  <si>
    <t>Madonna University</t>
  </si>
  <si>
    <t>Marygrove College</t>
  </si>
  <si>
    <t>Rochester College</t>
  </si>
  <si>
    <t>University of Michigan-Ann Arbor</t>
  </si>
  <si>
    <t>Michigan Barber School Inc (2 year)</t>
  </si>
  <si>
    <t>Michigan Technological University</t>
  </si>
  <si>
    <t>University of Michigan-Dearborn</t>
  </si>
  <si>
    <t>University of Michigan-Flint</t>
  </si>
  <si>
    <t>Mid Michigan Community College (2 year)</t>
  </si>
  <si>
    <t>Monroe County Community College (2 year)</t>
  </si>
  <si>
    <t>Montcalm Community College (2 year)</t>
  </si>
  <si>
    <t>Muskegon Community College (2 year)</t>
  </si>
  <si>
    <t>North Central Michigan College (2 year)</t>
  </si>
  <si>
    <t>Northwestern Michigan College</t>
  </si>
  <si>
    <t>Northwood University</t>
  </si>
  <si>
    <t>Oakland Community College (2 year)</t>
  </si>
  <si>
    <t>Oakland University</t>
  </si>
  <si>
    <t>Olivet College</t>
  </si>
  <si>
    <t>Kuyper College</t>
  </si>
  <si>
    <t>Sacred Heart Major Seminary</t>
  </si>
  <si>
    <t>Saginaw Valley State University</t>
  </si>
  <si>
    <t>Schoolcraft College</t>
  </si>
  <si>
    <t>Siena Heights University</t>
  </si>
  <si>
    <t>St Clair County Community College (2 year)</t>
  </si>
  <si>
    <t>Southwestern Michigan College (2 year)</t>
  </si>
  <si>
    <t>Spring Arbor University</t>
  </si>
  <si>
    <t>Finlandia University</t>
  </si>
  <si>
    <t>Western Michigan University-Thomas M. Cooley Law School</t>
  </si>
  <si>
    <t>Walsh College of Accountancy and Business Administration</t>
  </si>
  <si>
    <t>Washtenaw Community College (2 year)</t>
  </si>
  <si>
    <t>Wayne County Community College District (2 year)</t>
  </si>
  <si>
    <t>Wayne State University</t>
  </si>
  <si>
    <t>West Shore Community College (2 year)</t>
  </si>
  <si>
    <t>Western Theological Seminary</t>
  </si>
  <si>
    <t>Academy College</t>
  </si>
  <si>
    <t>Alexandria Technical &amp; Community College (2 year)</t>
  </si>
  <si>
    <t>Anoka Technical College (2 year)</t>
  </si>
  <si>
    <t>Anoka-Ramsey Community College (2 year)</t>
  </si>
  <si>
    <t>Augsburg University</t>
  </si>
  <si>
    <t>Riverland Community College (2 year)</t>
  </si>
  <si>
    <t>Northwest Technical College (2 year)</t>
  </si>
  <si>
    <t>Bemidji State University</t>
  </si>
  <si>
    <t>Bethany Lutheran College</t>
  </si>
  <si>
    <t>Bethel University</t>
  </si>
  <si>
    <t>Bethel Seminary-St Paul</t>
  </si>
  <si>
    <t>Central Lakes College-Brainerd (2 year)</t>
  </si>
  <si>
    <t>Concordia College at Moorhead</t>
  </si>
  <si>
    <t>Concordia University-Saint Paul</t>
  </si>
  <si>
    <t>Dakota County Technical College (2 year)</t>
  </si>
  <si>
    <t>Martin Luther College</t>
  </si>
  <si>
    <t>Lake Superior College (2 year)</t>
  </si>
  <si>
    <t>Duluth Business University</t>
  </si>
  <si>
    <t>Minnesota State Community and Technical College (2 year)</t>
  </si>
  <si>
    <t>Minnesota West Community and Technical College (2 year)</t>
  </si>
  <si>
    <t>Gustavus Adolphus College</t>
  </si>
  <si>
    <t>Hamline University</t>
  </si>
  <si>
    <t>Hazelden Betty Ford Graduate School of Addiction Studies</t>
  </si>
  <si>
    <t>Hennepin Technical College (2 year)</t>
  </si>
  <si>
    <t>Hibbing Community College (2 year)</t>
  </si>
  <si>
    <t>Inver Hills Community College (2 year)</t>
  </si>
  <si>
    <t>Itasca Community College (2 year)</t>
  </si>
  <si>
    <t>The Art Institutes International-Minnesota</t>
  </si>
  <si>
    <t>Luther Seminary</t>
  </si>
  <si>
    <t>South Central College (2 year)</t>
  </si>
  <si>
    <t>Minnesota State University-Mankato</t>
  </si>
  <si>
    <t>Mayo Clinic School of Medicine</t>
  </si>
  <si>
    <t>Mayo Clinic School of Health Sciences</t>
  </si>
  <si>
    <t>Argosy University-Twin Cities</t>
  </si>
  <si>
    <t>Mesabi Range College (2 year)</t>
  </si>
  <si>
    <t>Metropolitan State University</t>
  </si>
  <si>
    <t>University of Minnesota-Twin Cities</t>
  </si>
  <si>
    <t>University of Minnesota-Crookston</t>
  </si>
  <si>
    <t>Minneapolis Business College (2 year)</t>
  </si>
  <si>
    <t>Minneapolis College of Art and Design</t>
  </si>
  <si>
    <t>Minneapolis Community and Technical College (2 year)</t>
  </si>
  <si>
    <t>Herzing University-Minneapolis</t>
  </si>
  <si>
    <t>University of Minnesota-Duluth</t>
  </si>
  <si>
    <t>University of Minnesota-Morris</t>
  </si>
  <si>
    <t>Minnesota State University Moorhead</t>
  </si>
  <si>
    <t>North Hennepin Community College (2 year)</t>
  </si>
  <si>
    <t>National American University-Roseville</t>
  </si>
  <si>
    <t>Sanford-Brown College-Mendota Heights</t>
  </si>
  <si>
    <t>Normandale Community College (2 year)</t>
  </si>
  <si>
    <t>North Central University</t>
  </si>
  <si>
    <t>Northland Community and Technical College (2 year)</t>
  </si>
  <si>
    <t>University of Northwestern-St Paul</t>
  </si>
  <si>
    <t>Northwestern Health Sciences University</t>
  </si>
  <si>
    <t>Oak Hills Christian College</t>
  </si>
  <si>
    <t>Pine Technical &amp; Community College (2 year)</t>
  </si>
  <si>
    <t>Rainy River Community College (2 year)</t>
  </si>
  <si>
    <t>Rochester Community and Technical College (2 year)</t>
  </si>
  <si>
    <t>College of Saint Benedict (Female only)</t>
  </si>
  <si>
    <t>St Cloud Technical and Community College (2 year)</t>
  </si>
  <si>
    <t>Saint Cloud State University</t>
  </si>
  <si>
    <t>Saint Johns University (Male only)</t>
  </si>
  <si>
    <t>Saint Mary's University of Minnesota</t>
  </si>
  <si>
    <t>St Olaf College</t>
  </si>
  <si>
    <t>Crown College</t>
  </si>
  <si>
    <t>The College of Saint Scholastica</t>
  </si>
  <si>
    <t>University of St Thomas</t>
  </si>
  <si>
    <t>St Catherine University</t>
  </si>
  <si>
    <t>Rasmussen College-Minnesota</t>
  </si>
  <si>
    <t>Saint Paul College (2 year)</t>
  </si>
  <si>
    <t>Southwest Minnesota State University</t>
  </si>
  <si>
    <t>United Theological Seminary of the Twin Cities</t>
  </si>
  <si>
    <t>Vermilion Community College (2 year)</t>
  </si>
  <si>
    <t>Dunwoody College of Technology</t>
  </si>
  <si>
    <t>Ridgewater College (2 year)</t>
  </si>
  <si>
    <t>Minnesota State College Southeast (2 year)</t>
  </si>
  <si>
    <t>Winona State University</t>
  </si>
  <si>
    <t>Mitchell Hamline School of Law</t>
  </si>
  <si>
    <t>Century College (2 year)</t>
  </si>
  <si>
    <t>Alcorn State University (HBCU)</t>
  </si>
  <si>
    <t>Belhaven University</t>
  </si>
  <si>
    <t>Blue Mountain College</t>
  </si>
  <si>
    <t>Chris Beauty College (2 year)</t>
  </si>
  <si>
    <t>Coahoma Community College (HBCU, 2 year)</t>
  </si>
  <si>
    <t>Antonelli College-Jackson (2 year)</t>
  </si>
  <si>
    <t>Copiah-Lincoln Community College (2 year)</t>
  </si>
  <si>
    <t>Delta Beauty College (Female only, 2 year)</t>
  </si>
  <si>
    <t>Delta State University</t>
  </si>
  <si>
    <t>East Central Community College (2 year)</t>
  </si>
  <si>
    <t>East Mississippi Community College (2 year)</t>
  </si>
  <si>
    <t>Academy of Hair Design-Grenada (Female only, 2 year)</t>
  </si>
  <si>
    <t>Hinds Community College (2 year)</t>
  </si>
  <si>
    <t>Holmes Community College (2 year)</t>
  </si>
  <si>
    <t>Itawamba Community College (2 year)</t>
  </si>
  <si>
    <t>Jackson State University (HBCU)</t>
  </si>
  <si>
    <t>Jones County Junior College (2 year)</t>
  </si>
  <si>
    <t>Meridian Community College (2 year)</t>
  </si>
  <si>
    <t>Millsaps College</t>
  </si>
  <si>
    <t>Mississippi Delta Community College (2 year)</t>
  </si>
  <si>
    <t>University of Mississippi</t>
  </si>
  <si>
    <t>Mississippi University for Women</t>
  </si>
  <si>
    <t>Mississippi Valley State University (HBCU)</t>
  </si>
  <si>
    <t>Mississippi College</t>
  </si>
  <si>
    <t>Mississippi Gulf Coast Community College (2 year)</t>
  </si>
  <si>
    <t>Mississippi State University</t>
  </si>
  <si>
    <t>Northeast Mississippi Community College (2 year)</t>
  </si>
  <si>
    <t>Northwest Mississippi Community College (2 year)</t>
  </si>
  <si>
    <t>Pearl River Community College (2 year)</t>
  </si>
  <si>
    <t>Rust College (HBCU)</t>
  </si>
  <si>
    <t>Southeastern Baptist College</t>
  </si>
  <si>
    <t>Southwest Mississippi Community College (2 year)</t>
  </si>
  <si>
    <t>University of Southern Mississippi</t>
  </si>
  <si>
    <t>Tougaloo College (HBCU)</t>
  </si>
  <si>
    <t>Wesley Biblical Seminary</t>
  </si>
  <si>
    <t>William Carey University</t>
  </si>
  <si>
    <t>Aquinas Institute of Theology</t>
  </si>
  <si>
    <t>Evangel University - Assemblies of God Theological Seminary</t>
  </si>
  <si>
    <t>Avila University</t>
  </si>
  <si>
    <t>ITT Technical Institute-Earth City</t>
  </si>
  <si>
    <t>Baptist Bible College</t>
  </si>
  <si>
    <t>Cox College</t>
  </si>
  <si>
    <t>Calvary University</t>
  </si>
  <si>
    <t>Cape Girardeau Career and Technology Center (2 year)</t>
  </si>
  <si>
    <t>Central Christian College of the Bible</t>
  </si>
  <si>
    <t>Central Methodist University-College of Liberal Arts and Sciences</t>
  </si>
  <si>
    <t>University of Central Missouri</t>
  </si>
  <si>
    <t>Cleveland University-Kansas City</t>
  </si>
  <si>
    <t>Columbia College</t>
  </si>
  <si>
    <t>Conception Seminary College (Male only)</t>
  </si>
  <si>
    <t>Concordia Seminary (Male only)</t>
  </si>
  <si>
    <t>Cottey College (Female only)</t>
  </si>
  <si>
    <t>Covenant Theological Seminary</t>
  </si>
  <si>
    <t>Crowder College (2 year)</t>
  </si>
  <si>
    <t>Culver-Stockton College</t>
  </si>
  <si>
    <t>Drury University</t>
  </si>
  <si>
    <t>East Central College (2 year)</t>
  </si>
  <si>
    <t>Eden Theological Seminary</t>
  </si>
  <si>
    <t>Pinnacle Career Institute-South Kansas City (2 year)</t>
  </si>
  <si>
    <t>Evangel University</t>
  </si>
  <si>
    <t>Fontbonne University</t>
  </si>
  <si>
    <t>Ozarks Technical Community College (2 year)</t>
  </si>
  <si>
    <t>Hannibal-LaGrange University</t>
  </si>
  <si>
    <t>Harris-Stowe State University (HBCU)</t>
  </si>
  <si>
    <t>Hickey College</t>
  </si>
  <si>
    <t>Jefferson College (2 year)</t>
  </si>
  <si>
    <t>Barnes-Jewish College Goldfarb School of Nursing</t>
  </si>
  <si>
    <t>Kansas City Art Institute</t>
  </si>
  <si>
    <t>Kenrick Glennon Seminary (Male only)</t>
  </si>
  <si>
    <t>A T Still University of Health Sciences</t>
  </si>
  <si>
    <t>Lincoln University (HBCU)</t>
  </si>
  <si>
    <t>Lindenwood University</t>
  </si>
  <si>
    <t>State Technical College of Missouri (2 year)</t>
  </si>
  <si>
    <t>Logan University</t>
  </si>
  <si>
    <t>Metropolitan Community College-Kansas City (2 year)</t>
  </si>
  <si>
    <t>Lutheran School of Nursing (2 year)</t>
  </si>
  <si>
    <t>Maryville University of Saint Louis</t>
  </si>
  <si>
    <t>Metro Business College-Cape Girardeau (2 year)</t>
  </si>
  <si>
    <t>Midwest Institute (2 year)</t>
  </si>
  <si>
    <t>Midwestern Baptist Theological Seminary</t>
  </si>
  <si>
    <t>Mineral Area College (2 year)</t>
  </si>
  <si>
    <t>Missouri Baptist University</t>
  </si>
  <si>
    <t>Missouri Southern State University</t>
  </si>
  <si>
    <t>Missouri Valley College</t>
  </si>
  <si>
    <t>Missouri Western State University</t>
  </si>
  <si>
    <t>University of Missouri-Columbia</t>
  </si>
  <si>
    <t>University of Missouri-Kansas City</t>
  </si>
  <si>
    <t>Missouri University of Science and Technology</t>
  </si>
  <si>
    <t>University of Missouri-St Louis</t>
  </si>
  <si>
    <t>Moberly Area Community College (2 year)</t>
  </si>
  <si>
    <t>Hillyard Technical Center (2 year)</t>
  </si>
  <si>
    <t>Nazarene Theological Seminary</t>
  </si>
  <si>
    <t>Truman State University</t>
  </si>
  <si>
    <t>Northwest Missouri State University</t>
  </si>
  <si>
    <t>Ozark Christian College</t>
  </si>
  <si>
    <t>College of the Ozarks</t>
  </si>
  <si>
    <t>Park University</t>
  </si>
  <si>
    <t>Stevens-The Institute of Business &amp; Arts</t>
  </si>
  <si>
    <t>Ranken Technical College</t>
  </si>
  <si>
    <t>Research College of Nursing</t>
  </si>
  <si>
    <t>Rockhurst University</t>
  </si>
  <si>
    <t>Rolla Technical Institute/Center (2 year)</t>
  </si>
  <si>
    <t>Everest College-Springfield</t>
  </si>
  <si>
    <t>Saint Louis University</t>
  </si>
  <si>
    <t>Saint Louis Christian College</t>
  </si>
  <si>
    <t>St. Louis College of Pharmacy</t>
  </si>
  <si>
    <t>Saint Louis Community College (2 year)</t>
  </si>
  <si>
    <t>Saint Paul School of Theology</t>
  </si>
  <si>
    <t>Southwest Baptist University</t>
  </si>
  <si>
    <t>Missouri State University-West Plains (2 year)</t>
  </si>
  <si>
    <t>Saint Luke's College of Health Sciences</t>
  </si>
  <si>
    <t>St Louis College of Health Careers-St Louis (2 year)</t>
  </si>
  <si>
    <t>State Fair Community College (2 year)</t>
  </si>
  <si>
    <t>Stephens College (Female only)</t>
  </si>
  <si>
    <t>Southeast Missouri State University</t>
  </si>
  <si>
    <t>Missouri State University-Springfield</t>
  </si>
  <si>
    <t>Three Rivers College (2 year)</t>
  </si>
  <si>
    <t>North Central Missouri College (2 year)</t>
  </si>
  <si>
    <t>Kansas City University of Medicine and Biosciences</t>
  </si>
  <si>
    <t>Washington University in St Louis</t>
  </si>
  <si>
    <t>Webster University</t>
  </si>
  <si>
    <t>Westminster College</t>
  </si>
  <si>
    <t>William Jewell College</t>
  </si>
  <si>
    <t>William Woods University</t>
  </si>
  <si>
    <t>Academy of Cosmetology (Female only, 2 year)</t>
  </si>
  <si>
    <t>Blackfeet Community College (2 year)</t>
  </si>
  <si>
    <t>Butte Academy of Beauty Culture (Female only, 2 year)</t>
  </si>
  <si>
    <t>Highlands College of Montana Tech (2 year)</t>
  </si>
  <si>
    <t>Crevier's Academy of Cosmetology Arts (2 year)</t>
  </si>
  <si>
    <t>Carroll College</t>
  </si>
  <si>
    <t>Dawson Community College (2 year)</t>
  </si>
  <si>
    <t>Chief Dull Knife College (2 year)</t>
  </si>
  <si>
    <t>Montana State University-Billings</t>
  </si>
  <si>
    <t>Flathead Valley Community College (2 year)</t>
  </si>
  <si>
    <t>Aaniiih Nakoda College (2 year)</t>
  </si>
  <si>
    <t>Fort Peck Community College (2 year)</t>
  </si>
  <si>
    <t>Great Falls College Montana State University (2 year)</t>
  </si>
  <si>
    <t>University of Providence</t>
  </si>
  <si>
    <t>Helena College University of Montana (2 year)</t>
  </si>
  <si>
    <t>Little Big Horn College (2 year)</t>
  </si>
  <si>
    <t>Miles Community College (2 year)</t>
  </si>
  <si>
    <t>Montana Tech of the University of Montana</t>
  </si>
  <si>
    <t>Montana State University</t>
  </si>
  <si>
    <t>The University of Montana</t>
  </si>
  <si>
    <t>Montana State University-Northern</t>
  </si>
  <si>
    <t>Rocky Mountain College</t>
  </si>
  <si>
    <t>Salish Kootenai College</t>
  </si>
  <si>
    <t>The University of Montana-Western</t>
  </si>
  <si>
    <t>La'James International College (Female only, 2 year)</t>
  </si>
  <si>
    <t>Bellevue University</t>
  </si>
  <si>
    <t>Clarkson College</t>
  </si>
  <si>
    <t>Bryan College of Health Sciences</t>
  </si>
  <si>
    <t>Central Community College (2 year)</t>
  </si>
  <si>
    <t>Chadron State College</t>
  </si>
  <si>
    <t>College of Hair Design-Downtown (2 year)</t>
  </si>
  <si>
    <t>Concordia University-Nebraska</t>
  </si>
  <si>
    <t>Creighton University</t>
  </si>
  <si>
    <t>Doane University-Arts &amp; Sciences</t>
  </si>
  <si>
    <t>Grace University</t>
  </si>
  <si>
    <t>Hastings College</t>
  </si>
  <si>
    <t>CHI Health School of Radiologic Technology (2 year)</t>
  </si>
  <si>
    <t>Joseph's College Cosmetology (Female only, 2 year)</t>
  </si>
  <si>
    <t>University of Nebraska at Kearney</t>
  </si>
  <si>
    <t>Kaplan University-Lincoln Campus</t>
  </si>
  <si>
    <t>Nebraska Methodist College of Nursing &amp; Allied Health</t>
  </si>
  <si>
    <t>Metropolitan Community College Area (2 year)</t>
  </si>
  <si>
    <t>Mid-Plains Community College (2 year)</t>
  </si>
  <si>
    <t>Midland University</t>
  </si>
  <si>
    <t>Nebraska Christian College of Hope International University</t>
  </si>
  <si>
    <t>University of Nebraska at Omaha</t>
  </si>
  <si>
    <t>Kaplan University-Omaha Campus</t>
  </si>
  <si>
    <t>Nebraska Indian Community College (2 year)</t>
  </si>
  <si>
    <t>University of Nebraska Medical Center</t>
  </si>
  <si>
    <t>Nebraska Wesleyan University</t>
  </si>
  <si>
    <t>University of Nebraska-Lincoln</t>
  </si>
  <si>
    <t>Northeast Community College (2 year)</t>
  </si>
  <si>
    <t>Peru State College</t>
  </si>
  <si>
    <t>Summit Christian College</t>
  </si>
  <si>
    <t>College of Saint Mary (Female only)</t>
  </si>
  <si>
    <t>Southeast Community College Area (2 year)</t>
  </si>
  <si>
    <t>Nebraska College of Technical Agriculture (2 year)</t>
  </si>
  <si>
    <t>Wayne State College</t>
  </si>
  <si>
    <t>Western Nebraska Community College (2 year)</t>
  </si>
  <si>
    <t>York College</t>
  </si>
  <si>
    <t>Career College of Northern Nevada (2 year)</t>
  </si>
  <si>
    <t>College of Southern Nevada</t>
  </si>
  <si>
    <t>The Art Institute of Las Vegas</t>
  </si>
  <si>
    <t>Altierus Career College-Henderson (2 year)</t>
  </si>
  <si>
    <t>University of Nevada-Las Vegas</t>
  </si>
  <si>
    <t>University of Nevada-Reno</t>
  </si>
  <si>
    <t>Great Basin College</t>
  </si>
  <si>
    <t>Sierra Nevada College</t>
  </si>
  <si>
    <t>Truckee Meadows Community College (2 year)</t>
  </si>
  <si>
    <t>Western Nevada College</t>
  </si>
  <si>
    <t>Colby-Sawyer College</t>
  </si>
  <si>
    <t>Dartmouth College</t>
  </si>
  <si>
    <t>Franklin Pierce University</t>
  </si>
  <si>
    <t>University of New Hampshire-School of Law</t>
  </si>
  <si>
    <t>Northeast Catholic College</t>
  </si>
  <si>
    <t>New England College</t>
  </si>
  <si>
    <t>Southern New Hampshire University</t>
  </si>
  <si>
    <t>University of New Hampshire-Main Campus</t>
  </si>
  <si>
    <t>Keene State College</t>
  </si>
  <si>
    <t>University of New Hampshire at Manchester</t>
  </si>
  <si>
    <t>Plymouth State University</t>
  </si>
  <si>
    <t>NHTI-Concord's Community College (2 year)</t>
  </si>
  <si>
    <t>White Mountains Community College (2 year)</t>
  </si>
  <si>
    <t>River Valley Community College (2 year)</t>
  </si>
  <si>
    <t>Lakes Region Community College (2 year)</t>
  </si>
  <si>
    <t>Nashua Community College (2 year)</t>
  </si>
  <si>
    <t>Great Bay Community College (2 year)</t>
  </si>
  <si>
    <t>Rivier University</t>
  </si>
  <si>
    <t>Saint Anselm College</t>
  </si>
  <si>
    <t>St Joseph School of Nursing (2 year)</t>
  </si>
  <si>
    <t>Granite State College</t>
  </si>
  <si>
    <t>Thomas More College of Liberal Arts</t>
  </si>
  <si>
    <t>Eastwick College-Hackensack (2 year)</t>
  </si>
  <si>
    <t>Assumption College for Sisters (2 year)</t>
  </si>
  <si>
    <t>Atlantic Cape Community College (2 year)</t>
  </si>
  <si>
    <t>Bergen Community College (2 year)</t>
  </si>
  <si>
    <t>Berkeley College-Woodland Park</t>
  </si>
  <si>
    <t>Beth Medrash Govoha (Male only)</t>
  </si>
  <si>
    <t>Bloomfield College</t>
  </si>
  <si>
    <t>Brookdale Community College (2 year)</t>
  </si>
  <si>
    <t>Rowan College at Burlington County (2 year)</t>
  </si>
  <si>
    <t>Caldwell University</t>
  </si>
  <si>
    <t>Camden County College (2 year)</t>
  </si>
  <si>
    <t>Centenary University</t>
  </si>
  <si>
    <t>American Institute-Clifton (2 year)</t>
  </si>
  <si>
    <t>County College of Morris (2 year)</t>
  </si>
  <si>
    <t>Cumberland County College (2 year)</t>
  </si>
  <si>
    <t>Drew University</t>
  </si>
  <si>
    <t>Lincoln Technical Institute-South Plainfield (Male only, 2 year)</t>
  </si>
  <si>
    <t>Essex County College (2 year)</t>
  </si>
  <si>
    <t>Fairleigh Dickinson University-Metropolitan Campus</t>
  </si>
  <si>
    <t>Felician University</t>
  </si>
  <si>
    <t>Fairleigh Dickinson University-Florham Campus</t>
  </si>
  <si>
    <t>Georgian Court University</t>
  </si>
  <si>
    <t>Rowan University</t>
  </si>
  <si>
    <t>Rowan College at Gloucester County (2 year)</t>
  </si>
  <si>
    <t>Eastwick College-Ramsey</t>
  </si>
  <si>
    <t>Holy Name Medical Center School of Nursing (2 year)</t>
  </si>
  <si>
    <t>Hudson County Community College (2 year)</t>
  </si>
  <si>
    <t>New Jersey City University</t>
  </si>
  <si>
    <t>Joe Kubert School of Cartoon and Graphic Art (2 year)</t>
  </si>
  <si>
    <t>Kean University</t>
  </si>
  <si>
    <t>Mercer County Community College (2 year)</t>
  </si>
  <si>
    <t>Middlesex County College (2 year)</t>
  </si>
  <si>
    <t>Monmouth University</t>
  </si>
  <si>
    <t>Montclair State University</t>
  </si>
  <si>
    <t>JFK Muhlenberg Harold B &amp; Dorothy A Snyder Schools-School of Imaging (2 year)</t>
  </si>
  <si>
    <t>JFK Muhlenberg Harold B &amp; Dorothy A Snyder Schools-School of Nursing (2 year)</t>
  </si>
  <si>
    <t>Eastwick College-Nutley (2 year)</t>
  </si>
  <si>
    <t>New Brunswick Theological Seminary</t>
  </si>
  <si>
    <t>New Jersey Institute of Technology</t>
  </si>
  <si>
    <t>Ocean County College (2 year)</t>
  </si>
  <si>
    <t>Passaic County Community College (2 year)</t>
  </si>
  <si>
    <t>Pennco Tech-Blackwood (2 year)</t>
  </si>
  <si>
    <t>Princeton Theological Seminary</t>
  </si>
  <si>
    <t>Princeton University</t>
  </si>
  <si>
    <t>Rabbinical College of America (Male only)</t>
  </si>
  <si>
    <t>Ramapo College of New Jersey</t>
  </si>
  <si>
    <t>Rider University</t>
  </si>
  <si>
    <t>Rutgers University-Camden</t>
  </si>
  <si>
    <t>Rutgers University-New Brunswick</t>
  </si>
  <si>
    <t>Rutgers University-Newark</t>
  </si>
  <si>
    <t>St Francis Medical Center-School of Radiologic Technology (2 year)</t>
  </si>
  <si>
    <t>Saint Francis Medical Center School of Nursing (2 year)</t>
  </si>
  <si>
    <t>Saint Peter's University</t>
  </si>
  <si>
    <t>Salem Community College (2 year)</t>
  </si>
  <si>
    <t>Seton Hall University</t>
  </si>
  <si>
    <t>College of Saint Elizabeth</t>
  </si>
  <si>
    <t>Raritan Valley Community College (2 year)</t>
  </si>
  <si>
    <t>Stevens Institute of Technology</t>
  </si>
  <si>
    <t>Stockton University</t>
  </si>
  <si>
    <t>Talmudical Academy-New Jersey (Male only)</t>
  </si>
  <si>
    <t>Teterboro School of Aeronautics (Male only, 2 year)</t>
  </si>
  <si>
    <t>Thomas Edison State University</t>
  </si>
  <si>
    <t>The College of New Jersey</t>
  </si>
  <si>
    <t>Union County College (2 year)</t>
  </si>
  <si>
    <t>William Paterson University of New Jersey</t>
  </si>
  <si>
    <t>Central New Mexico Community College (2 year)</t>
  </si>
  <si>
    <t>Navajo Technical University</t>
  </si>
  <si>
    <t>New Mexico State University-Dona Ana (2 year)</t>
  </si>
  <si>
    <t>Clovis Community College (2 year)</t>
  </si>
  <si>
    <t>Eastern New Mexico University-Main Campus</t>
  </si>
  <si>
    <t>Eastern New Mexico University-Roswell Campus (2 year)</t>
  </si>
  <si>
    <t>Institute of American Indian and Alaska Native Culture and Arts Development</t>
  </si>
  <si>
    <t>New Mexico Highlands University</t>
  </si>
  <si>
    <t>New Mexico Junior College (2 year)</t>
  </si>
  <si>
    <t>New Mexico Military Institute (2 year)</t>
  </si>
  <si>
    <t>University of New Mexico-Gallup Campus (2 year)</t>
  </si>
  <si>
    <t>New Mexico Institute of Mining and Technology</t>
  </si>
  <si>
    <t>University of New Mexico-Los Alamos Campus (2 year)</t>
  </si>
  <si>
    <t>University of New Mexico-Main Campus</t>
  </si>
  <si>
    <t>New Mexico State University-Alamogordo (2 year)</t>
  </si>
  <si>
    <t>New Mexico State University-Carlsbad (2 year)</t>
  </si>
  <si>
    <t>New Mexico State University-Grants (2 year)</t>
  </si>
  <si>
    <t>New Mexico State University-Main Campus</t>
  </si>
  <si>
    <t>University of New Mexico-Valencia County Campus (2 year)</t>
  </si>
  <si>
    <t>Northern New Mexico College</t>
  </si>
  <si>
    <t>San Juan College (2 year)</t>
  </si>
  <si>
    <t>Santa Fe Community College (2 year)</t>
  </si>
  <si>
    <t>Santa Fe University of Art and Design</t>
  </si>
  <si>
    <t>University of the Southwest</t>
  </si>
  <si>
    <t>Southwestern Indian Polytechnic Institute (2 year)</t>
  </si>
  <si>
    <t>University of New Mexico-Taos Campus (2 year)</t>
  </si>
  <si>
    <t>Mesalands Community College (2 year)</t>
  </si>
  <si>
    <t>Western New Mexico University</t>
  </si>
  <si>
    <t>Vaughn College of Aeronautics and Technology</t>
  </si>
  <si>
    <t>Adelphi University</t>
  </si>
  <si>
    <t>Adirondack Community College (2 year)</t>
  </si>
  <si>
    <t>Bryant &amp; Stratton College-Albany</t>
  </si>
  <si>
    <t>Albany College of Pharmacy and Health Sciences</t>
  </si>
  <si>
    <t>Albany Law School</t>
  </si>
  <si>
    <t>Albany Medical College</t>
  </si>
  <si>
    <t>Alfred University</t>
  </si>
  <si>
    <t>The Ailey School (2 year)</t>
  </si>
  <si>
    <t>American Academy of Dramatic Arts-New York (2 year)</t>
  </si>
  <si>
    <t>American Academy McAllister Institute of Funeral Service (2 year)</t>
  </si>
  <si>
    <t>Joffrey Ballet School (2 year)</t>
  </si>
  <si>
    <t>American Musical and Dramatic Academy</t>
  </si>
  <si>
    <t>Arnot Ogden Medical Center (2 year)</t>
  </si>
  <si>
    <t>Associated Beth Rivkah Schools (Female only, 2 year)</t>
  </si>
  <si>
    <t>Bank Street College of Education</t>
  </si>
  <si>
    <t>Bard College</t>
  </si>
  <si>
    <t>Barnard College (Female only)</t>
  </si>
  <si>
    <t>Berkeley College-New York</t>
  </si>
  <si>
    <t>Beth Hatalmud Rabbinical College (Male only)</t>
  </si>
  <si>
    <t>Beth Hamedrash Shaarei Yosher Institute (Male only)</t>
  </si>
  <si>
    <t>Phillips School of Nursing at Mount Sinai Beth Israel</t>
  </si>
  <si>
    <t>Boricua College</t>
  </si>
  <si>
    <t>Bramson ORT College (2 year)</t>
  </si>
  <si>
    <t>Briarcliffe College</t>
  </si>
  <si>
    <t>Brooklyn Law School</t>
  </si>
  <si>
    <t>SUNY Broome Community College (2 year)</t>
  </si>
  <si>
    <t>Bryant &amp; Stratton College-Amherst</t>
  </si>
  <si>
    <t>Bryant &amp; Stratton College-Syracuse North</t>
  </si>
  <si>
    <t>Bryant &amp; Stratton College-Syracuse (2 year)</t>
  </si>
  <si>
    <t>Bryant &amp; Stratton College-Buffalo</t>
  </si>
  <si>
    <t>Bryant &amp; Stratton College-Greece</t>
  </si>
  <si>
    <t>Canisius College</t>
  </si>
  <si>
    <t>St Paul's School of Nursing-Queens (2 year)</t>
  </si>
  <si>
    <t>Cayuga County Community College (2 year)</t>
  </si>
  <si>
    <t>Cazenovia College</t>
  </si>
  <si>
    <t>Central Yeshiva Tomchei Tmimim Lubavitz (Male only)</t>
  </si>
  <si>
    <t>Christ the King Seminary</t>
  </si>
  <si>
    <t>Circle in the Square Theatre School (2 year)</t>
  </si>
  <si>
    <t>Clarkson University</t>
  </si>
  <si>
    <t>Clinton Community College (2 year)</t>
  </si>
  <si>
    <t>Cochran School of Nursing (2 year)</t>
  </si>
  <si>
    <t>Colgate Rochester Crozer Divinity School</t>
  </si>
  <si>
    <t>Metropolitan College of New York</t>
  </si>
  <si>
    <t>Columbia University in the City of New York</t>
  </si>
  <si>
    <t>Columbia-Greene Community College (2 year)</t>
  </si>
  <si>
    <t>Concordia College-New York</t>
  </si>
  <si>
    <t>Cooper Union for the Advancement of Science and Art</t>
  </si>
  <si>
    <t>Weill Cornell Medical College</t>
  </si>
  <si>
    <t>Corning Community College (2 year)</t>
  </si>
  <si>
    <t>Pomeroy College of Nursing at Crouse Hospital (2 year)</t>
  </si>
  <si>
    <t>Culinary Institute of America</t>
  </si>
  <si>
    <t>CUNY Bernard M Baruch College</t>
  </si>
  <si>
    <t>CUNY Borough of Manhattan Community College (2 year)</t>
  </si>
  <si>
    <t>CUNY Bronx Community College (2 year)</t>
  </si>
  <si>
    <t>CUNY Brooklyn College</t>
  </si>
  <si>
    <t>College of Staten Island CUNY</t>
  </si>
  <si>
    <t>CUNY City College</t>
  </si>
  <si>
    <t>CUNY Graduate School and University Center</t>
  </si>
  <si>
    <t>CUNY Hostos Community College (2 year)</t>
  </si>
  <si>
    <t>CUNY Hunter College</t>
  </si>
  <si>
    <t>CUNY John Jay College of Criminal Justice</t>
  </si>
  <si>
    <t>CUNY Kingsborough Community College (2 year)</t>
  </si>
  <si>
    <t>CUNY LaGuardia Community College (2 year)</t>
  </si>
  <si>
    <t>CUNY Lehman College</t>
  </si>
  <si>
    <t>CUNY Medgar Evers College</t>
  </si>
  <si>
    <t>CUNY New York City College of Technology</t>
  </si>
  <si>
    <t>CUNY Queens College</t>
  </si>
  <si>
    <t>CUNY Queensborough Community College (2 year)</t>
  </si>
  <si>
    <t>CUNY School of Law</t>
  </si>
  <si>
    <t>CUNY York College</t>
  </si>
  <si>
    <t>CVPH Medical Center School of Radiologic Technology (2 year)</t>
  </si>
  <si>
    <t>D'Youville College</t>
  </si>
  <si>
    <t>Daemen College</t>
  </si>
  <si>
    <t>Yeshiva of Far Rockaway Derech Ayson Rabbinical Seminary (Male only)</t>
  </si>
  <si>
    <t>Dominican College of Blauvelt</t>
  </si>
  <si>
    <t>Dutchess Community College (2 year)</t>
  </si>
  <si>
    <t>Belanger School of Nursing (2 year)</t>
  </si>
  <si>
    <t>Elmira Business Institute (2 year)</t>
  </si>
  <si>
    <t>Elmira College</t>
  </si>
  <si>
    <t>Erie Community College (2 year)</t>
  </si>
  <si>
    <t>Fashion Institute of Technology</t>
  </si>
  <si>
    <t>Finger Lakes Community College (2 year)</t>
  </si>
  <si>
    <t>Five Towns College</t>
  </si>
  <si>
    <t>Fordham University</t>
  </si>
  <si>
    <t>Fulton-Montgomery Community College (2 year)</t>
  </si>
  <si>
    <t>The General Theological Seminary</t>
  </si>
  <si>
    <t>Genesee Community College (2 year)</t>
  </si>
  <si>
    <t>Hamilton College</t>
  </si>
  <si>
    <t>Hartwick College</t>
  </si>
  <si>
    <t>Helene Fuld College of Nursing</t>
  </si>
  <si>
    <t>Herkimer County Community College (2 year)</t>
  </si>
  <si>
    <t>Hilbert College</t>
  </si>
  <si>
    <t>Hobart William Smith Colleges</t>
  </si>
  <si>
    <t>Hofstra University</t>
  </si>
  <si>
    <t>Houghton College</t>
  </si>
  <si>
    <t>Hudson Valley Community College (2 year)</t>
  </si>
  <si>
    <t>Hunter Business School (2 year)</t>
  </si>
  <si>
    <t>Iona College</t>
  </si>
  <si>
    <t>Island Drafting and Technical Institute (2 year)</t>
  </si>
  <si>
    <t>Ithaca College</t>
  </si>
  <si>
    <t>Jamestown Community College (2 year)</t>
  </si>
  <si>
    <t>Jamestown Business College</t>
  </si>
  <si>
    <t>Jefferson Community College (2 year)</t>
  </si>
  <si>
    <t>Jewish Theological Seminary of America</t>
  </si>
  <si>
    <t>The Juilliard School</t>
  </si>
  <si>
    <t>Kehilath Yakov Rabbinical Seminary (Male only)</t>
  </si>
  <si>
    <t>Keuka College</t>
  </si>
  <si>
    <t>LIM College</t>
  </si>
  <si>
    <t>Le Moyne College</t>
  </si>
  <si>
    <t>LIU Brooklyn</t>
  </si>
  <si>
    <t>LIU Post</t>
  </si>
  <si>
    <t>Long Island Business Institute (2 year)</t>
  </si>
  <si>
    <t>LIU Hudson at Rockland</t>
  </si>
  <si>
    <t>LIU Brentwood</t>
  </si>
  <si>
    <t>Machzikei Hadath Rabbinical College (Male only)</t>
  </si>
  <si>
    <t>Mandl School-The College of Allied Health (2 year)</t>
  </si>
  <si>
    <t>Manhattan College</t>
  </si>
  <si>
    <t>Manhattan School of Music</t>
  </si>
  <si>
    <t>Manhattanville College</t>
  </si>
  <si>
    <t>Maria College of Albany</t>
  </si>
  <si>
    <t>Marymount Manhattan College</t>
  </si>
  <si>
    <t>Medaille College</t>
  </si>
  <si>
    <t>Memorial College of Nursing (2 year)</t>
  </si>
  <si>
    <t>Memorial Hospital School of Radiation Therapy Technology (2 year)</t>
  </si>
  <si>
    <t>Mercy College</t>
  </si>
  <si>
    <t>Mesivta Torah Vodaath Rabbinical Seminary (Male only)</t>
  </si>
  <si>
    <t>Mesivta of Eastern Parkway-Yeshiva Zichron Meilech (Male only)</t>
  </si>
  <si>
    <t>Mesivtha Tifereth Jerusalem of America (Male only)</t>
  </si>
  <si>
    <t>Mildred Elley School-Albany Campus (2 year)</t>
  </si>
  <si>
    <t>Mirrer Yeshiva Cent Institute (Male only)</t>
  </si>
  <si>
    <t>Mohawk Valley Community College (2 year)</t>
  </si>
  <si>
    <t>Molloy College</t>
  </si>
  <si>
    <t>Monroe College</t>
  </si>
  <si>
    <t>Monroe Community College (2 year)</t>
  </si>
  <si>
    <t>Mount Saint Mary College</t>
  </si>
  <si>
    <t>College of Mount Saint Vincent</t>
  </si>
  <si>
    <t>Icahn School of Medicine at Mount Sinai</t>
  </si>
  <si>
    <t>Nassau Community College (2 year)</t>
  </si>
  <si>
    <t>Nazareth College</t>
  </si>
  <si>
    <t>Neighborhood Playhouse School of the Theater (2 year)</t>
  </si>
  <si>
    <t>The College of New Rochelle</t>
  </si>
  <si>
    <t>The New School</t>
  </si>
  <si>
    <t>New York Chiropractic College</t>
  </si>
  <si>
    <t>New York Law School</t>
  </si>
  <si>
    <t>New York Medical College</t>
  </si>
  <si>
    <t>New York Theological Seminary</t>
  </si>
  <si>
    <t>New York University</t>
  </si>
  <si>
    <t>Niagara County Community College (2 year)</t>
  </si>
  <si>
    <t>Niagara University</t>
  </si>
  <si>
    <t>North Country Community College (2 year)</t>
  </si>
  <si>
    <t>New York College of Podiatric Medicine</t>
  </si>
  <si>
    <t>New York Institute of Technology</t>
  </si>
  <si>
    <t>New York School of Interior Design</t>
  </si>
  <si>
    <t>Nyack College</t>
  </si>
  <si>
    <t>Ohr Hameir Theological Seminary (Male only)</t>
  </si>
  <si>
    <t>Onondaga Community College (2 year)</t>
  </si>
  <si>
    <t>Orange County Community College (2 year)</t>
  </si>
  <si>
    <t>Pace University-New York</t>
  </si>
  <si>
    <t>Paul Smiths College of Arts and Science</t>
  </si>
  <si>
    <t>Plaza College</t>
  </si>
  <si>
    <t>Davis College</t>
  </si>
  <si>
    <t>Pratt Institute-Main</t>
  </si>
  <si>
    <t>Rabbinical Academy Mesivta Rabbi Chaim Berlin (Male only)</t>
  </si>
  <si>
    <t>Rabbinical College Bobover Yeshiva Bnei Zion (Male only)</t>
  </si>
  <si>
    <t>Rabbinical College Beth Shraga (Male only)</t>
  </si>
  <si>
    <t>Rabbinical College of Long Island (Male only)</t>
  </si>
  <si>
    <t>Rabbinical Seminary of America (Male only)</t>
  </si>
  <si>
    <t>Rensselaer Polytechnic Institute</t>
  </si>
  <si>
    <t>Roberts Wesleyan College</t>
  </si>
  <si>
    <t>Rochester Institute of Technology</t>
  </si>
  <si>
    <t>Rockefeller University</t>
  </si>
  <si>
    <t>Rockland Community College (2 year)</t>
  </si>
  <si>
    <t>The Sage Colleges</t>
  </si>
  <si>
    <t>St Bernard's School of Theology and Ministry</t>
  </si>
  <si>
    <t>St Bonaventure University</t>
  </si>
  <si>
    <t>St Francis College</t>
  </si>
  <si>
    <t>St Joseph's College of Nursing at St Joseph's Hospital Health Center (2 year)</t>
  </si>
  <si>
    <t>St Lawrence University</t>
  </si>
  <si>
    <t>The College of Saint Rose</t>
  </si>
  <si>
    <t>St. Thomas Aquinas College</t>
  </si>
  <si>
    <t>Samaritan Hospital School of Nursing (2 year)</t>
  </si>
  <si>
    <t>Sarah Lawrence College</t>
  </si>
  <si>
    <t>Schenectady County Community College (2 year)</t>
  </si>
  <si>
    <t>Sh'or Yoshuv Rabbinical College (Male only)</t>
  </si>
  <si>
    <t>Siena College</t>
  </si>
  <si>
    <t>St. Joseph's College-New York</t>
  </si>
  <si>
    <t>St. Joseph's College-Long Island</t>
  </si>
  <si>
    <t>Saint Vladimirs Orthodox Theological Seminary</t>
  </si>
  <si>
    <t>Saint Elizabeth College of Nursing (2 year)</t>
  </si>
  <si>
    <t>Saint John Fisher College</t>
  </si>
  <si>
    <t>St Paul's School of Nursing-Staten Island (2 year)</t>
  </si>
  <si>
    <t>St John's University-New York</t>
  </si>
  <si>
    <t>New York Career Institute (2 year)</t>
  </si>
  <si>
    <t>Sullivan County Community College (2 year)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</si>
  <si>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</si>
  <si>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</si>
  <si>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</si>
  <si>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</si>
  <si>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</si>
  <si>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Morrisville State College</t>
  </si>
  <si>
    <t>SUNY at Albany</t>
  </si>
  <si>
    <t>Binghamton University</t>
  </si>
  <si>
    <t>University at Buffalo</t>
  </si>
  <si>
    <t>Stony Brook University</t>
  </si>
  <si>
    <t>SUNY College of Environmental Science and Forestry</t>
  </si>
  <si>
    <t>SUNY Polytechnic Institute</t>
  </si>
  <si>
    <t>SUNY College at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</si>
  <si>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</si>
  <si>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</si>
  <si>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</si>
  <si>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</si>
  <si>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</si>
  <si>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</si>
  <si>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</si>
  <si>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</si>
  <si>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</si>
  <si>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of Optometry</t>
  </si>
  <si>
    <t>SUNY College at Old Westbury</t>
  </si>
  <si>
    <t>SUNY College at Plattsburgh</t>
  </si>
  <si>
    <t>SUNY Downstate Medical Center</t>
  </si>
  <si>
    <t>SUNY Empire State College</t>
  </si>
  <si>
    <t>SUNY Maritime College</t>
  </si>
  <si>
    <t>Upstate Medical University</t>
  </si>
  <si>
    <t>Swedish Institute a College of Health Sciences (2 year)</t>
  </si>
  <si>
    <t>Talmudical Seminary Oholei Torah (Male only)</t>
  </si>
  <si>
    <t>Talmudical Institute of Upstate New York (Male only)</t>
  </si>
  <si>
    <t>Teachers College at Columbia University</t>
  </si>
  <si>
    <t>Technical Career Institutes (2 year)</t>
  </si>
  <si>
    <t>Tompkins Cortland Community College (2 year)</t>
  </si>
  <si>
    <t>Torah Temimah Talmudical Seminary (Male only)</t>
  </si>
  <si>
    <t>Touro College</t>
  </si>
  <si>
    <t>Trocaire College</t>
  </si>
  <si>
    <t>Excelsior College</t>
  </si>
  <si>
    <t>Ulster County Community College (2 year)</t>
  </si>
  <si>
    <t>Union Theological Seminary in the City of New York</t>
  </si>
  <si>
    <t>United Talmudical Seminary (Male only)</t>
  </si>
  <si>
    <t>United States Merchant Marine Academy</t>
  </si>
  <si>
    <t>United States Military Academy</t>
  </si>
  <si>
    <t>Utica College</t>
  </si>
  <si>
    <t>Vassar College</t>
  </si>
  <si>
    <t>Villa Maria College</t>
  </si>
  <si>
    <t>School of Visual Arts</t>
  </si>
  <si>
    <t>Wagner College</t>
  </si>
  <si>
    <t>Webb Institute</t>
  </si>
  <si>
    <t>The College of Westchester</t>
  </si>
  <si>
    <t>SUNY Westchester Community College (2 year)</t>
  </si>
  <si>
    <t>Wood Tobe-Coburn School (2 year)</t>
  </si>
  <si>
    <t>Word of Life Bible Institute (2 year)</t>
  </si>
  <si>
    <t>Yeshiva Karlin Stolin (Male only)</t>
  </si>
  <si>
    <t>Yeshivat Mikdash Melech (Male only)</t>
  </si>
  <si>
    <t>Yeshiva Derech Chaim (Male only)</t>
  </si>
  <si>
    <t>Yeshiva of Nitra Rabbinical College (Male only)</t>
  </si>
  <si>
    <t>Yeshiva Shaar Hatorah (Male only)</t>
  </si>
  <si>
    <t>Yeshiva University</t>
  </si>
  <si>
    <t>Yeshivath Viznitz (Male only)</t>
  </si>
  <si>
    <t>Yeshivath Zichron Moshe (Male only)</t>
  </si>
  <si>
    <t>College of the Albemarle (2 year)</t>
  </si>
  <si>
    <t>The Art Institute of Charlotte</t>
  </si>
  <si>
    <t>South Piedmont Community College (2 year)</t>
  </si>
  <si>
    <t>Appalachian State University</t>
  </si>
  <si>
    <t>Asheville-Buncombe Technical Community College (2 year)</t>
  </si>
  <si>
    <t>Barton College</t>
  </si>
  <si>
    <t>Beaufort County Community College (2 year)</t>
  </si>
  <si>
    <t>Bennett College (HBCU, Female only)</t>
  </si>
  <si>
    <t>Bladen Community College (2 year)</t>
  </si>
  <si>
    <t>Blue Ridge Community College (2 year)</t>
  </si>
  <si>
    <t>Brevard College</t>
  </si>
  <si>
    <t>Brunswick Community College (2 year)</t>
  </si>
  <si>
    <t>Cabarrus College of Health Sciences</t>
  </si>
  <si>
    <t>Caldwell Community College and Technical Institute (2 year)</t>
  </si>
  <si>
    <t>Campbell University</t>
  </si>
  <si>
    <t>Cape Fear Community College (2 year)</t>
  </si>
  <si>
    <t>Carteret Community College (2 year)</t>
  </si>
  <si>
    <t>Catawba Valley Community College (2 year)</t>
  </si>
  <si>
    <t>Central Carolina Community College (2 year)</t>
  </si>
  <si>
    <t>Central Piedmont Community College (2 year)</t>
  </si>
  <si>
    <t>Chowan University</t>
  </si>
  <si>
    <t>Cleveland Community College (2 year)</t>
  </si>
  <si>
    <t>Coastal Carolina Community College (2 year)</t>
  </si>
  <si>
    <t>Craven Community College (2 year)</t>
  </si>
  <si>
    <t>Davidson County Community College (2 year)</t>
  </si>
  <si>
    <t>Durham Technical Community College (2 year)</t>
  </si>
  <si>
    <t>East Carolina University</t>
  </si>
  <si>
    <t>Edgecombe Community College (2 year)</t>
  </si>
  <si>
    <t>Elizabeth City State University (HBCU)</t>
  </si>
  <si>
    <t>Elon University</t>
  </si>
  <si>
    <t>Fayetteville Technical Community College (2 year)</t>
  </si>
  <si>
    <t>Fayetteville State University (HBCU)</t>
  </si>
  <si>
    <t>Forsyth Technical Community College (2 year)</t>
  </si>
  <si>
    <t>Gardner-Webb University</t>
  </si>
  <si>
    <t>Gaston College (2 year)</t>
  </si>
  <si>
    <t>Greensboro College</t>
  </si>
  <si>
    <t>Guilford College</t>
  </si>
  <si>
    <t>Guilford Technical Community College (2 year)</t>
  </si>
  <si>
    <t>Halifax Community College (2 year)</t>
  </si>
  <si>
    <t>Haywood Community College (2 year)</t>
  </si>
  <si>
    <t>Heritage Bible College</t>
  </si>
  <si>
    <t>High Point University</t>
  </si>
  <si>
    <t>Isothermal Community College (2 year)</t>
  </si>
  <si>
    <t>James Sprunt Community College (2 year)</t>
  </si>
  <si>
    <t>John Wesley University</t>
  </si>
  <si>
    <t>Johnson C Smith University (HBCU)</t>
  </si>
  <si>
    <t>Johnston Community College (2 year)</t>
  </si>
  <si>
    <t>Lees-McRae College</t>
  </si>
  <si>
    <t>Lenoir Community College (2 year)</t>
  </si>
  <si>
    <t>Lenoir-Rhyne University</t>
  </si>
  <si>
    <t>Livingstone College (HBCU)</t>
  </si>
  <si>
    <t>Louisburg College (2 year)</t>
  </si>
  <si>
    <t>Mars Hill University</t>
  </si>
  <si>
    <t>Martin Community College (2 year)</t>
  </si>
  <si>
    <t>Mayland Community College (2 year)</t>
  </si>
  <si>
    <t>McDowell Technical Community College (2 year)</t>
  </si>
  <si>
    <t>Mercy School of Nursing (2 year)</t>
  </si>
  <si>
    <t>Meredith College (Female only)</t>
  </si>
  <si>
    <t>Methodist University</t>
  </si>
  <si>
    <t>Miller-Motte College-Wilmington</t>
  </si>
  <si>
    <t>Mitchell Community College (2 year)</t>
  </si>
  <si>
    <t>Montgomery Community College (2 year)</t>
  </si>
  <si>
    <t>Montreat College</t>
  </si>
  <si>
    <t>University of Mount Olive</t>
  </si>
  <si>
    <t>Nash Community College (2 year)</t>
  </si>
  <si>
    <t>North Carolina A &amp; T State University (HBCU)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</si>
  <si>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</si>
  <si>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</si>
  <si>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</si>
  <si>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</si>
  <si>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North Carolina Central University (HBCU)</t>
  </si>
  <si>
    <t>University of North Carolina School of the Arts</t>
  </si>
  <si>
    <t>North Carolina State University at Raleigh</t>
  </si>
  <si>
    <t>North Carolina Wesleyan College</t>
  </si>
  <si>
    <t>University of North Carolina Wilmington</t>
  </si>
  <si>
    <t>Pamlico Community College (2 year)</t>
  </si>
  <si>
    <t>William Peace University</t>
  </si>
  <si>
    <t>University of North Carolina at Pembroke</t>
  </si>
  <si>
    <t>Pfeiffer University</t>
  </si>
  <si>
    <t>Piedmont Community College (2 year)</t>
  </si>
  <si>
    <t>Pitt Community College (2 year)</t>
  </si>
  <si>
    <t>Queens University of Charlotte</t>
  </si>
  <si>
    <t>Randolph Community College (2 year)</t>
  </si>
  <si>
    <t>Richmond Community College (2 year)</t>
  </si>
  <si>
    <t>Mid-Atlantic Christian University</t>
  </si>
  <si>
    <t>Roanoke-Chowan Community College (2 year)</t>
  </si>
  <si>
    <t>Robeson Community College (2 year)</t>
  </si>
  <si>
    <t>Rockingham Community College (2 year)</t>
  </si>
  <si>
    <t>Rowan-Cabarrus Community College (2 year)</t>
  </si>
  <si>
    <t>Saint Augustine's University (HBCU)</t>
  </si>
  <si>
    <t>Salem College (Female only)</t>
  </si>
  <si>
    <t>Sampson Community College (2 year)</t>
  </si>
  <si>
    <t>Sandhills Community College (2 year)</t>
  </si>
  <si>
    <t>Shaw University (HBCU)</t>
  </si>
  <si>
    <t>St. Andrews University</t>
  </si>
  <si>
    <t>Stanly Community College (2 year)</t>
  </si>
  <si>
    <t>Southeastern Baptist Theological Seminary</t>
  </si>
  <si>
    <t>Surry Community College (2 year)</t>
  </si>
  <si>
    <t>Alamance Community College (2 year)</t>
  </si>
  <si>
    <t>Tri-County Community College (2 year)</t>
  </si>
  <si>
    <t>Vance-Granville Community College (2 year)</t>
  </si>
  <si>
    <t>Wake Technical Community College (2 year)</t>
  </si>
  <si>
    <t>Warren Wilson College</t>
  </si>
  <si>
    <t>Watts School of Nursing (2 year)</t>
  </si>
  <si>
    <t>Wayne Community College (2 year)</t>
  </si>
  <si>
    <t>Western Piedmont Community College (2 year)</t>
  </si>
  <si>
    <t>Wilkes Community College (2 year)</t>
  </si>
  <si>
    <t>Wilson Community College (2 year)</t>
  </si>
  <si>
    <t>Wingate University</t>
  </si>
  <si>
    <t>Carolina Christian College</t>
  </si>
  <si>
    <t>Winston-Salem State University (HBCU)</t>
  </si>
  <si>
    <t>Western Carolina University</t>
  </si>
  <si>
    <t>Rasmussen College-North Dakota</t>
  </si>
  <si>
    <t>Bismarck State College</t>
  </si>
  <si>
    <t>Dickinson State University</t>
  </si>
  <si>
    <t>Nueta Hidatsa Sahnish College</t>
  </si>
  <si>
    <t>Josef's School of Hair Design Inc-Grand Forks (Female only, 2 year)</t>
  </si>
  <si>
    <t>Headquarters Academy of Hair Design Inc (Female only, 2 year)</t>
  </si>
  <si>
    <t>University of Jamestown</t>
  </si>
  <si>
    <t>Josef's School of Hair Design Inc-Fargo Downtown (Female only, 2 year)</t>
  </si>
  <si>
    <t>Lake Region State College (2 year)</t>
  </si>
  <si>
    <t>Cankdeska Cikana Community College (2 year)</t>
  </si>
  <si>
    <t>University of Mary</t>
  </si>
  <si>
    <t>Mayville State University</t>
  </si>
  <si>
    <t>Minot State University</t>
  </si>
  <si>
    <t>University of North Dakota</t>
  </si>
  <si>
    <t>North Dakota State College of Science (2 year)</t>
  </si>
  <si>
    <t>Dakota College at Bottineau (2 year)</t>
  </si>
  <si>
    <t>North Dakota State University-Main Campus</t>
  </si>
  <si>
    <t>Williston State College (2 year)</t>
  </si>
  <si>
    <t>JZ Trend Academy Paul Mitchell Partner School (2 year)</t>
  </si>
  <si>
    <t>Sitting Bull College</t>
  </si>
  <si>
    <t>Trinity Bible College and Graduate School</t>
  </si>
  <si>
    <t>Turtle Mountain Community College</t>
  </si>
  <si>
    <t>United Tribes Technical College</t>
  </si>
  <si>
    <t>Valley City State University</t>
  </si>
  <si>
    <t>ETI Technical College (2 year)</t>
  </si>
  <si>
    <t>The Art Institute of Cincinnati-AIC College of Design</t>
  </si>
  <si>
    <t>Miami-Jacobs Career College-Independence (2 year)</t>
  </si>
  <si>
    <t>Air Force Institute of Technology-Graduate School of Engineering &amp; Management</t>
  </si>
  <si>
    <t>Herzing University-Akron</t>
  </si>
  <si>
    <t>University of Akron Main Campus</t>
  </si>
  <si>
    <t>University of Akron Wayne College (2 year)</t>
  </si>
  <si>
    <t>Allegheny Wesleyan College</t>
  </si>
  <si>
    <t>Antonelli College-Cincinnati (2 year)</t>
  </si>
  <si>
    <t>Art Academy of Cincinnati</t>
  </si>
  <si>
    <t>Ashland University</t>
  </si>
  <si>
    <t>Athenaeum of Ohio</t>
  </si>
  <si>
    <t>Aultman College of Nursing and Health Sciences</t>
  </si>
  <si>
    <t>Baldwin Wallace University</t>
  </si>
  <si>
    <t>Belmont College (2 year)</t>
  </si>
  <si>
    <t>Bluffton University</t>
  </si>
  <si>
    <t>Fortis College-Ravenna (2 year)</t>
  </si>
  <si>
    <t>Bowling Green State University-Firelands (2 year)</t>
  </si>
  <si>
    <t>Bowling Green State University-Main Campus</t>
  </si>
  <si>
    <t>Bryant &amp; Stratton College-Parma</t>
  </si>
  <si>
    <t>Capital University</t>
  </si>
  <si>
    <t>Case Western Reserve University</t>
  </si>
  <si>
    <t>Cedarville University</t>
  </si>
  <si>
    <t>Central Ohio Technical College (2 year)</t>
  </si>
  <si>
    <t>Central State University (HBCU)</t>
  </si>
  <si>
    <t>Chatfield College (2 year)</t>
  </si>
  <si>
    <t>The Christ College of Nursing and Health Sciences</t>
  </si>
  <si>
    <t>Cincinnati Christian University</t>
  </si>
  <si>
    <t>Cincinnati College of Mortuary Science</t>
  </si>
  <si>
    <t>University of Cincinnati-Main Campus</t>
  </si>
  <si>
    <t>Cincinnati State Technical and Community College (2 year)</t>
  </si>
  <si>
    <t>University of Cincinnati-Clermont College</t>
  </si>
  <si>
    <t>University of Cincinnati-Blue Ash College</t>
  </si>
  <si>
    <t>Ohio Christian University</t>
  </si>
  <si>
    <t>Clark State Community College (2 year)</t>
  </si>
  <si>
    <t>Scott College of Cosmetology (Female only, 2 year)</t>
  </si>
  <si>
    <t>Cleveland Institute of Art</t>
  </si>
  <si>
    <t>Cleveland Institute of Music</t>
  </si>
  <si>
    <t>Cleveland State University</t>
  </si>
  <si>
    <t>Bradford School (2 year)</t>
  </si>
  <si>
    <t>Columbus College of Art and Design</t>
  </si>
  <si>
    <t>Columbus State Community College (2 year)</t>
  </si>
  <si>
    <t>Cuyahoga Community College District (2 year)</t>
  </si>
  <si>
    <t>Davis College (2 year)</t>
  </si>
  <si>
    <t>Dayton Barber College (2 year)</t>
  </si>
  <si>
    <t>Defiance College</t>
  </si>
  <si>
    <t>Edison State Community College (2 year)</t>
  </si>
  <si>
    <t>EHOVE Career Center (2 year)</t>
  </si>
  <si>
    <t>Bryant &amp; Stratton College-Cleveland</t>
  </si>
  <si>
    <t>The University of Findlay</t>
  </si>
  <si>
    <t>Franklin University</t>
  </si>
  <si>
    <t>Gods Bible School and College</t>
  </si>
  <si>
    <t>Good Samaritan College of Nursing and Health Science</t>
  </si>
  <si>
    <t>Hebrew Union College-Jewish Institute of Religion</t>
  </si>
  <si>
    <t>Heidelberg University</t>
  </si>
  <si>
    <t>Hiram College</t>
  </si>
  <si>
    <t>Hocking College (2 year)</t>
  </si>
  <si>
    <t>International College of Broadcasting (2 year)</t>
  </si>
  <si>
    <t>ITT Technical Institute-Dayton</t>
  </si>
  <si>
    <t>Eastern Gateway Community College (2 year)</t>
  </si>
  <si>
    <t>John Carroll University</t>
  </si>
  <si>
    <t>Hondros College of Nursing</t>
  </si>
  <si>
    <t>Casal Aveda Institute (Female only, 2 year)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</si>
  <si>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</si>
  <si>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</si>
  <si>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</si>
  <si>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</si>
  <si>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</si>
  <si>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</si>
  <si>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</si>
  <si>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</si>
  <si>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Kenyon College</t>
  </si>
  <si>
    <t>Kettering College</t>
  </si>
  <si>
    <t>Lake Erie College</t>
  </si>
  <si>
    <t>Lakeland Community College (2 year)</t>
  </si>
  <si>
    <t>O C Collins Career Center (2 year)</t>
  </si>
  <si>
    <t>James A Rhodes State College (2 year)</t>
  </si>
  <si>
    <t>Ohio Business College-Sheffield (2 year)</t>
  </si>
  <si>
    <t>Ohio Business College-Sandusky (2 year)</t>
  </si>
  <si>
    <t>Lorain County Community College (2 year)</t>
  </si>
  <si>
    <t>Lourdes University</t>
  </si>
  <si>
    <t>Malone University</t>
  </si>
  <si>
    <t>Marietta College</t>
  </si>
  <si>
    <t>Marion Technical College (2 year)</t>
  </si>
  <si>
    <t>Mercy College of Ohio</t>
  </si>
  <si>
    <t>Methodist Theological School in Ohio</t>
  </si>
  <si>
    <t>Miami University-Hamilton</t>
  </si>
  <si>
    <t>Miami University-Middletown</t>
  </si>
  <si>
    <t>Miami University-Oxford</t>
  </si>
  <si>
    <t>Miami-Jacobs Career College-Dayton (2 year)</t>
  </si>
  <si>
    <t>Moler Hollywood Beauty Academy (Female only, 2 year)</t>
  </si>
  <si>
    <t>Mount Carmel College of Nursing</t>
  </si>
  <si>
    <t>University of Mount Union</t>
  </si>
  <si>
    <t>Mount Vernon Nazarene University</t>
  </si>
  <si>
    <t>Mount Saint Joseph University</t>
  </si>
  <si>
    <t>Zane State College (2 year)</t>
  </si>
  <si>
    <t>Muskingum University</t>
  </si>
  <si>
    <t>Brown Mackie College-North Canton</t>
  </si>
  <si>
    <t>North Central State College (2 year)</t>
  </si>
  <si>
    <t>Northwest State Community College (2 year)</t>
  </si>
  <si>
    <t>Toledo Public Schools Adult and Continuing Education (2 year)</t>
  </si>
  <si>
    <t>Notre Dame College</t>
  </si>
  <si>
    <t>Northeast Ohio Medical University</t>
  </si>
  <si>
    <t>University of Northwestern Ohio</t>
  </si>
  <si>
    <t>Oberlin College</t>
  </si>
  <si>
    <t>Ohio Technical College (2 year)</t>
  </si>
  <si>
    <t>Ohio Dominican University</t>
  </si>
  <si>
    <t>Brightwood College-Dayton (2 year)</t>
  </si>
  <si>
    <t>Ohio Northern University</t>
  </si>
  <si>
    <t>Ohio State University Agricultural Technical Institute (2 year)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</si>
  <si>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</si>
  <si>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</si>
  <si>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</si>
  <si>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</si>
  <si>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Beauty Academy (Female only, 2 year)</t>
  </si>
  <si>
    <t>Ohio State College of Barber Styling (2 year)</t>
  </si>
  <si>
    <t>The Spa School (Female only, 2 year)</t>
  </si>
  <si>
    <t>Ohio State School of Cosmetology-Canal Winchester (2 year)</t>
  </si>
  <si>
    <t>Ohio State University-Main Campus</t>
  </si>
  <si>
    <t>Ohio University-Eastern Campus</t>
  </si>
  <si>
    <t>Ohio University-Chillicothe Campus</t>
  </si>
  <si>
    <t>Ohio University-Southern Campus</t>
  </si>
  <si>
    <t>Ohio University-Lancaster Campus</t>
  </si>
  <si>
    <t>Ohio University-Main Campus</t>
  </si>
  <si>
    <t>Ohio University-Zanesville Campus</t>
  </si>
  <si>
    <t>Ohio Valley College of Technology (2 year)</t>
  </si>
  <si>
    <t>Trinity Health System School of Nursing (2 year)</t>
  </si>
  <si>
    <t>Ohio Wesleyan University</t>
  </si>
  <si>
    <t>Otterbein University</t>
  </si>
  <si>
    <t>Owens Community College (2 year)</t>
  </si>
  <si>
    <t>Paramount Beauty Academy (Female only, 2 year)</t>
  </si>
  <si>
    <t>Payne Theological Seminary</t>
  </si>
  <si>
    <t>Pontifical College Josephinum (Male only)</t>
  </si>
  <si>
    <t>Professional Skills Institute (2 year)</t>
  </si>
  <si>
    <t>Firelands Regional Medical Center School of Nursing (2 year)</t>
  </si>
  <si>
    <t>Rabbinical College Telshe (Male only)</t>
  </si>
  <si>
    <t>Raphael's School of Beauty Culture Inc-Niles (2 year)</t>
  </si>
  <si>
    <t>Fortis College-Centerville (2 year)</t>
  </si>
  <si>
    <t>University of Rio Grande</t>
  </si>
  <si>
    <t>Advertising Art Educational Services DBA School of Advertising Art (2 year)</t>
  </si>
  <si>
    <t>Shawnee State University</t>
  </si>
  <si>
    <t>Sinclair Community College (2 year)</t>
  </si>
  <si>
    <t>Gallipolis Career College (2 year)</t>
  </si>
  <si>
    <t>Daymar College-New Boston (2 year)</t>
  </si>
  <si>
    <t>Daymar College-Columbus (2 year)</t>
  </si>
  <si>
    <t>Brown Mackie College-Cincinnati</t>
  </si>
  <si>
    <t>Brown Mackie College-Akron</t>
  </si>
  <si>
    <t>Stark State College (2 year)</t>
  </si>
  <si>
    <t>Stautzenberger College-Maumee (2 year)</t>
  </si>
  <si>
    <t>Franciscan University of Steubenville</t>
  </si>
  <si>
    <t>Southern State Community College (2 year)</t>
  </si>
  <si>
    <t>Terra State Community College (2 year)</t>
  </si>
  <si>
    <t>Tiffin Academy of Hair Design (Female only, 2 year)</t>
  </si>
  <si>
    <t>Tiffin University</t>
  </si>
  <si>
    <t>University of Toledo</t>
  </si>
  <si>
    <t>Tri-State Bible College</t>
  </si>
  <si>
    <t>Tri-County Adult Career Center (2 year)</t>
  </si>
  <si>
    <t>Trinity Lutheran Seminary</t>
  </si>
  <si>
    <t>Trumbull Business College (2 year)</t>
  </si>
  <si>
    <t>Union Institute &amp; University</t>
  </si>
  <si>
    <t>United Theological Seminary</t>
  </si>
  <si>
    <t>Urbana University</t>
  </si>
  <si>
    <t>Ursuline College</t>
  </si>
  <si>
    <t>Virginia Marti College of Art and Design</t>
  </si>
  <si>
    <t>Washington State Community College (2 year)</t>
  </si>
  <si>
    <t>Western Hills School of Beauty and Hair Design (Female only, 2 year)</t>
  </si>
  <si>
    <t>Wilberforce University (HBCU)</t>
  </si>
  <si>
    <t>Wilmington College</t>
  </si>
  <si>
    <t>Winebrenner Theological Seminary</t>
  </si>
  <si>
    <t>Wittenberg University</t>
  </si>
  <si>
    <t>Wright State University-Main Campus</t>
  </si>
  <si>
    <t>Wright State University-Lake Campus</t>
  </si>
  <si>
    <t>Xavier University</t>
  </si>
  <si>
    <t>ITT Technical Institute-Youngstown</t>
  </si>
  <si>
    <t>Youngstown State University</t>
  </si>
  <si>
    <t>Bacone College</t>
  </si>
  <si>
    <t>Oklahoma Wesleyan University</t>
  </si>
  <si>
    <t>Southern Nazarene University</t>
  </si>
  <si>
    <t>Cameron University</t>
  </si>
  <si>
    <t>Carl Albert State College (2 year)</t>
  </si>
  <si>
    <t>University of Central Oklahoma</t>
  </si>
  <si>
    <t>Connors State College (2 year)</t>
  </si>
  <si>
    <t>East Central University</t>
  </si>
  <si>
    <t>Eastern Oklahoma State College (2 year)</t>
  </si>
  <si>
    <t>Redlands Community College (2 year)</t>
  </si>
  <si>
    <t>Randall University</t>
  </si>
  <si>
    <t>Langston University (HBCU)</t>
  </si>
  <si>
    <t>Murray State College (2 year)</t>
  </si>
  <si>
    <t>Spartan College of Aeronautics and Technology</t>
  </si>
  <si>
    <t>Northeastern State University</t>
  </si>
  <si>
    <t>Northern Oklahoma College (2 year)</t>
  </si>
  <si>
    <t>Northeastern Oklahoma A&amp;M College (2 year)</t>
  </si>
  <si>
    <t>Northwestern Oklahoma State University</t>
  </si>
  <si>
    <t>Oklahoma State University Center for Health Sciences</t>
  </si>
  <si>
    <t>Oklahoma Christian University</t>
  </si>
  <si>
    <t>University of Oklahoma-Health Sciences Center</t>
  </si>
  <si>
    <t>Oklahoma Panhandle State University</t>
  </si>
  <si>
    <t>Oklahoma State University-Main Campus</t>
  </si>
  <si>
    <t>Oklahoma State University-Oklahoma City</t>
  </si>
  <si>
    <t>Oklahoma Baptist University</t>
  </si>
  <si>
    <t>Oklahoma City Community College (2 year)</t>
  </si>
  <si>
    <t>Oklahoma City University</t>
  </si>
  <si>
    <t>University of Oklahoma-Norman Campus</t>
  </si>
  <si>
    <t>Oklahoma State University Institute of Technology</t>
  </si>
  <si>
    <t>Oral Roberts University</t>
  </si>
  <si>
    <t>Platt College-Central OKC (2 year)</t>
  </si>
  <si>
    <t>Rogers State University</t>
  </si>
  <si>
    <t>Rose State College (2 year)</t>
  </si>
  <si>
    <t>St. Gregory's University</t>
  </si>
  <si>
    <t>University of Science and Arts of Oklahoma</t>
  </si>
  <si>
    <t>Seminole State College (2 year)</t>
  </si>
  <si>
    <t>Southeastern Oklahoma State University</t>
  </si>
  <si>
    <t>Southwestern Christian University</t>
  </si>
  <si>
    <t>Southwestern Oklahoma State University</t>
  </si>
  <si>
    <t>Tulsa Community College (2 year)</t>
  </si>
  <si>
    <t>Tulsa Welding School-Tulsa (2 year)</t>
  </si>
  <si>
    <t>University of Tulsa</t>
  </si>
  <si>
    <t>Indian Capital Technology Center-Tahlequah (2 year)</t>
  </si>
  <si>
    <t>Western Oklahoma State College (2 year)</t>
  </si>
  <si>
    <t>Academy of Hair Design-Salem (2 year)</t>
  </si>
  <si>
    <t>Paul Mitchell the School-Portland (2 year)</t>
  </si>
  <si>
    <t>The Art Institute of Portland</t>
  </si>
  <si>
    <t>Blue Mountain Community College (2 year)</t>
  </si>
  <si>
    <t>Central Oregon Community College (2 year)</t>
  </si>
  <si>
    <t>Chemeketa Community College (2 year)</t>
  </si>
  <si>
    <t>Clackamas Community College (2 year)</t>
  </si>
  <si>
    <t>Clatsop Community College (2 year)</t>
  </si>
  <si>
    <t>College of Hair Design Careers (2 year)</t>
  </si>
  <si>
    <t>Concorde Career College-Portland (2 year)</t>
  </si>
  <si>
    <t>Concordia University-Portland</t>
  </si>
  <si>
    <t>Sumner College (2 year)</t>
  </si>
  <si>
    <t>Eastern Oregon University</t>
  </si>
  <si>
    <t>Phagans School of Hair Design-Portland (2 year)</t>
  </si>
  <si>
    <t>New Hope Christian College-Eugene</t>
  </si>
  <si>
    <t>George Fox University</t>
  </si>
  <si>
    <t>Phagans Grants Pass College of Beauty (2 year)</t>
  </si>
  <si>
    <t>ITT Technical Institute-Portland</t>
  </si>
  <si>
    <t>Lane Community College (2 year)</t>
  </si>
  <si>
    <t>Linfield College-McMinnville Campus</t>
  </si>
  <si>
    <t>Linn-Benton Community College (2 year)</t>
  </si>
  <si>
    <t>Northwest College-Beaverton (2 year)</t>
  </si>
  <si>
    <t>Marylhurst University</t>
  </si>
  <si>
    <t>Phagans Medford Beauty School (2 year)</t>
  </si>
  <si>
    <t>Northwest College-Clackamas (2 year)</t>
  </si>
  <si>
    <t>Mount Angel Seminary (Male only)</t>
  </si>
  <si>
    <t>Mt Hood Community College (2 year)</t>
  </si>
  <si>
    <t>Multnomah University</t>
  </si>
  <si>
    <t>National University of Natural Medicine</t>
  </si>
  <si>
    <t>Northwest Christian University</t>
  </si>
  <si>
    <t>Oregon Health &amp; Science University</t>
  </si>
  <si>
    <t>Oregon Institute of Technology</t>
  </si>
  <si>
    <t>Oregon College of Art and Craft</t>
  </si>
  <si>
    <t>Oregon State University</t>
  </si>
  <si>
    <t>Pacific Northwest College of Art</t>
  </si>
  <si>
    <t>Pacific University</t>
  </si>
  <si>
    <t>Phagans Beauty College (Female only, 2 year)</t>
  </si>
  <si>
    <t>Phagans Central Oregon Beauty College (2 year)</t>
  </si>
  <si>
    <t>Phagans School of Beauty (2 year)</t>
  </si>
  <si>
    <t>Phagans School of Hair Design (Female only, 2 year)</t>
  </si>
  <si>
    <t>Summit Salon Academy-Portland (2 year)</t>
  </si>
  <si>
    <t>Portland Community College (2 year)</t>
  </si>
  <si>
    <t>Portland State University</t>
  </si>
  <si>
    <t>University of Portland</t>
  </si>
  <si>
    <t>Reed College</t>
  </si>
  <si>
    <t>Rogue Community College (2 year)</t>
  </si>
  <si>
    <t>Roseburg Beauty College (Female only, 2 year)</t>
  </si>
  <si>
    <t>Pioneer Pacific College</t>
  </si>
  <si>
    <t>Springfield College of Beauty (Female only, 2 year)</t>
  </si>
  <si>
    <t>Southern Oregon University</t>
  </si>
  <si>
    <t>Southwestern Oregon Community College (2 year)</t>
  </si>
  <si>
    <t>Treasure Valley Community College (2 year)</t>
  </si>
  <si>
    <t>Umpqua Community College (2 year)</t>
  </si>
  <si>
    <t>Warner Pacific College</t>
  </si>
  <si>
    <t>Corban University</t>
  </si>
  <si>
    <t>College of Cosmetology (Female only, 2 year)</t>
  </si>
  <si>
    <t>Western Seminary</t>
  </si>
  <si>
    <t>Willamette University</t>
  </si>
  <si>
    <t>Western Oregon University</t>
  </si>
  <si>
    <t>University of Western States</t>
  </si>
  <si>
    <t>Abington Memorial Hospital Dixon School of Nursing (2 year)</t>
  </si>
  <si>
    <t>Keystone Technical Institute (2 year)</t>
  </si>
  <si>
    <t>Bryn Athyn College of the New Church</t>
  </si>
  <si>
    <t>Academy of Vocal Arts</t>
  </si>
  <si>
    <t>Albright College</t>
  </si>
  <si>
    <t>Community College of Allegheny County (2 year)</t>
  </si>
  <si>
    <t>Allegheny College</t>
  </si>
  <si>
    <t>DeSales University</t>
  </si>
  <si>
    <t>Alvernia University</t>
  </si>
  <si>
    <t>American College of Financial Services</t>
  </si>
  <si>
    <t>Antonelli Institute (2 year)</t>
  </si>
  <si>
    <t>The Art Institutes of York-PA</t>
  </si>
  <si>
    <t>The Art Institute of Philadelphia</t>
  </si>
  <si>
    <t>Career Training Academy-Lower Burrell (Female only, 2 year)</t>
  </si>
  <si>
    <t>The Art Institute of Pittsburgh</t>
  </si>
  <si>
    <t>Automotive Training Center-Exton (2 year)</t>
  </si>
  <si>
    <t>Clarks Summit University</t>
  </si>
  <si>
    <t>Community College of Beaver County (2 year)</t>
  </si>
  <si>
    <t>Arcadia University</t>
  </si>
  <si>
    <t>Biblical Theological Seminary</t>
  </si>
  <si>
    <t>Bidwell Training Center Inc (2 year)</t>
  </si>
  <si>
    <t>Bloomsburg University of Pennsylvania</t>
  </si>
  <si>
    <t>Bryn Mawr College (Female only)</t>
  </si>
  <si>
    <t>Bucks County Community College (2 year)</t>
  </si>
  <si>
    <t>Bucks County School of Beauty Culture Inc (Female only, 2 year)</t>
  </si>
  <si>
    <t>Butler County Community College (2 year)</t>
  </si>
  <si>
    <t>Cabrini University</t>
  </si>
  <si>
    <t>California University of Pennsylvania</t>
  </si>
  <si>
    <t>Carlow University</t>
  </si>
  <si>
    <t>Carnegie Mellon University</t>
  </si>
  <si>
    <t>Cedar Crest College</t>
  </si>
  <si>
    <t>Central Penn College</t>
  </si>
  <si>
    <t>Chatham University</t>
  </si>
  <si>
    <t>Chestnut Hill College</t>
  </si>
  <si>
    <t>Cheyney University of Pennsylvania (HBCU)</t>
  </si>
  <si>
    <t>Brightwood Career Institute-Philadelphia Mills (2 year)</t>
  </si>
  <si>
    <t>Citizens School of Nursing (2 year)</t>
  </si>
  <si>
    <t>Clarion University of Pennsylvania</t>
  </si>
  <si>
    <t>DLP Conemaugh Memorial Medical Center (2 year)</t>
  </si>
  <si>
    <t>Consolidated School of Business-York (2 year)</t>
  </si>
  <si>
    <t>Curtis Institute of Music</t>
  </si>
  <si>
    <t>Dean Institute of Technology (Male only, 2 year)</t>
  </si>
  <si>
    <t>Delaware County Community College (2 year)</t>
  </si>
  <si>
    <t>Delaware Valley University</t>
  </si>
  <si>
    <t>Pennsylvania State University-Dickinson Law</t>
  </si>
  <si>
    <t>Douglas Education Center (2 year)</t>
  </si>
  <si>
    <t>Drexel University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</si>
  <si>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</si>
  <si>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</si>
  <si>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</si>
  <si>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</si>
  <si>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</si>
  <si>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Erie Institute of Technology Inc (2 year)</t>
  </si>
  <si>
    <t>Evangelical Theological Seminary</t>
  </si>
  <si>
    <t>Faith Theological Seminary</t>
  </si>
  <si>
    <t>Aria Health School of Nursing (2 year)</t>
  </si>
  <si>
    <t>Franklin and Marshall College</t>
  </si>
  <si>
    <t>Gannon University</t>
  </si>
  <si>
    <t>Geneva College</t>
  </si>
  <si>
    <t>Gratz College</t>
  </si>
  <si>
    <t>Grove City College</t>
  </si>
  <si>
    <t>Gwynedd Mercy University</t>
  </si>
  <si>
    <t>Harcum College (2 year)</t>
  </si>
  <si>
    <t>Harrisburg Area Community College (2 year)</t>
  </si>
  <si>
    <t>Haverford College</t>
  </si>
  <si>
    <t>Commonwealth Technical Institute (2 year)</t>
  </si>
  <si>
    <t>Holy Family University</t>
  </si>
  <si>
    <t>Hussian College School of Art</t>
  </si>
  <si>
    <t>Brightwood Career Institute-Pittsburgh (2 year)</t>
  </si>
  <si>
    <t>Immaculata University</t>
  </si>
  <si>
    <t>Indiana University of Pennsylvania-Main Campus</t>
  </si>
  <si>
    <t>Jameson Health System (2 year)</t>
  </si>
  <si>
    <t>Great Lakes Institute of Technology (2 year)</t>
  </si>
  <si>
    <t>Johnson College (2 year)</t>
  </si>
  <si>
    <t>Juniata College</t>
  </si>
  <si>
    <t>Keystone College</t>
  </si>
  <si>
    <t>King's College</t>
  </si>
  <si>
    <t>Kutztown University of Pennsylvania</t>
  </si>
  <si>
    <t>La Roche College</t>
  </si>
  <si>
    <t>La Salle University</t>
  </si>
  <si>
    <t>Lackawanna College</t>
  </si>
  <si>
    <t>Lancaster Bible College</t>
  </si>
  <si>
    <t>Lancaster Theological Seminary</t>
  </si>
  <si>
    <t>Lansdale School of Business (2 year)</t>
  </si>
  <si>
    <t>Lebanon Valley College</t>
  </si>
  <si>
    <t>Lehigh Carbon Community College (2 year)</t>
  </si>
  <si>
    <t>Berks Technical Institute (2 year)</t>
  </si>
  <si>
    <t>Lehigh University</t>
  </si>
  <si>
    <t>Lincoln Technical Institute-Allentown (2 year)</t>
  </si>
  <si>
    <t>Lincoln Technical Institute-Philadelphia (2 year)</t>
  </si>
  <si>
    <t>Lock Haven University</t>
  </si>
  <si>
    <t>St Margaret School of Nursing (2 year)</t>
  </si>
  <si>
    <t>United Lutheran Seminary</t>
  </si>
  <si>
    <t>Lutheran Theological Seminary at Philadelphia</t>
  </si>
  <si>
    <t>Luzerne County Community College (2 year)</t>
  </si>
  <si>
    <t>Manor College (2 year)</t>
  </si>
  <si>
    <t>Mansfield University of Pennsylvania</t>
  </si>
  <si>
    <t>Marywood University</t>
  </si>
  <si>
    <t>McCann School of Business &amp; Technology (2 year)</t>
  </si>
  <si>
    <t>Vet Tech Institute (2 year)</t>
  </si>
  <si>
    <t>Roxborough Memorial Hospital School of Nursing (2 year)</t>
  </si>
  <si>
    <t>Mercyhurst University</t>
  </si>
  <si>
    <t>Messiah College</t>
  </si>
  <si>
    <t>The Workforce Institute's City College (2 year)</t>
  </si>
  <si>
    <t>Millersville University of Pennsylvania</t>
  </si>
  <si>
    <t>Misericordia University</t>
  </si>
  <si>
    <t>Montgomery County Community College (2 year)</t>
  </si>
  <si>
    <t>Moore College of Art and Design (Female only)</t>
  </si>
  <si>
    <t>Moravian College</t>
  </si>
  <si>
    <t>Mount Aloysius College</t>
  </si>
  <si>
    <t>Muhlenberg College</t>
  </si>
  <si>
    <t>Brightwood Career Institute-Philadelphia (2 year)</t>
  </si>
  <si>
    <t>Neumann University</t>
  </si>
  <si>
    <t>New Castle School of Trades (Male only, 2 year)</t>
  </si>
  <si>
    <t>Northampton County Area Community College (2 year)</t>
  </si>
  <si>
    <t>Orleans Technical College (2 year)</t>
  </si>
  <si>
    <t>Salus University</t>
  </si>
  <si>
    <t>Pennsylvania Institute of Technology (2 year)</t>
  </si>
  <si>
    <t>Pennsylvania State University-Penn State Erie-Behrend College</t>
  </si>
  <si>
    <t>Pennsylvania State University-Penn State Great Valley</t>
  </si>
  <si>
    <t>Pennsylvania State University-College of Medicine</t>
  </si>
  <si>
    <t>Pennsylvania State University-Penn State New Kensington</t>
  </si>
  <si>
    <t>Pennsylvania State University-Penn State Shenango</t>
  </si>
  <si>
    <t>Pennsylvania State University-Penn State Wilkes-Barre</t>
  </si>
  <si>
    <t>Pennsylvania State University-Penn State Worthington Scranton</t>
  </si>
  <si>
    <t>Pennsylvania State University-Penn State Lehigh Valley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</si>
  <si>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</si>
  <si>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</si>
  <si>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</si>
  <si>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Harrisburg</t>
  </si>
  <si>
    <t>Pennsylvania State University-Penn State Brandywine</t>
  </si>
  <si>
    <t>Pennsylvania State University-Penn State DuBois</t>
  </si>
  <si>
    <t>Pennsylvania State University-Penn State Fayette- Eberly</t>
  </si>
  <si>
    <t>Pennsylvania State University-Penn State Hazleton</t>
  </si>
  <si>
    <t>Pennsylvania State University-Main Campus</t>
  </si>
  <si>
    <t>Pennsylvania State University-Penn State Greater Allegheny</t>
  </si>
  <si>
    <t>Pennsylvania State University-Penn State Mont Alto</t>
  </si>
  <si>
    <t>Pennsylvania State University-Penn State Abington</t>
  </si>
  <si>
    <t>Pennsylvania State University-Penn State Schuylkill</t>
  </si>
  <si>
    <t>Pennsylvania State University-Penn State York</t>
  </si>
  <si>
    <t>Peirce College</t>
  </si>
  <si>
    <t>Penn Commercial Business/Technical School (2 year)</t>
  </si>
  <si>
    <t>Pennco Tech-Bristol (2 year)</t>
  </si>
  <si>
    <t>Pennsylvania Academy of the Fine Arts</t>
  </si>
  <si>
    <t>Pennsylvania Gunsmith School (Male only, 2 year)</t>
  </si>
  <si>
    <t>Pennsylvania College of Art and Design</t>
  </si>
  <si>
    <t>University of Pennsylvania</t>
  </si>
  <si>
    <t>Jefferson (Philadelphia University + Thomas Jefferson University)</t>
  </si>
  <si>
    <t>The University of the Arts</t>
  </si>
  <si>
    <t>Cairn University-Langhorne</t>
  </si>
  <si>
    <t>Philadelphia College of Osteopathic Medicine</t>
  </si>
  <si>
    <t>University of the Sciences</t>
  </si>
  <si>
    <t>Community College of Philadelphia (2 year)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</si>
  <si>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</si>
  <si>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</si>
  <si>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</si>
  <si>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</si>
  <si>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 (2 year)</t>
  </si>
  <si>
    <t>Pittsburgh Institute of Aeronautics (2 year)</t>
  </si>
  <si>
    <t>Pittsburgh Institute of Mortuary Science Inc (2 year)</t>
  </si>
  <si>
    <t>Pittsburgh Technical College</t>
  </si>
  <si>
    <t>Pittsburgh Theological Seminary</t>
  </si>
  <si>
    <t>Point Park University</t>
  </si>
  <si>
    <t>Joseph F McCloskey School of Nursing at Schuylkill Health (2 year)</t>
  </si>
  <si>
    <t>Reading Area Community College (2 year)</t>
  </si>
  <si>
    <t>Reading Hospital School of Health Sciences (2 year)</t>
  </si>
  <si>
    <t>Reconstructionist Rabbinical College</t>
  </si>
  <si>
    <t>Reformed Presbyterian Theological Seminary</t>
  </si>
  <si>
    <t>The Restaurant School at Walnut Hill College</t>
  </si>
  <si>
    <t>Brightwood Career Institute-Broomall (2 year)</t>
  </si>
  <si>
    <t>Robert Morris University</t>
  </si>
  <si>
    <t>Rosedale Technical College (2 year)</t>
  </si>
  <si>
    <t>Rosemont College</t>
  </si>
  <si>
    <t>Saint Francis University</t>
  </si>
  <si>
    <t>Saint Joseph's University</t>
  </si>
  <si>
    <t>Saint Vincent College</t>
  </si>
  <si>
    <t>Saint Vincent Seminary (Male only)</t>
  </si>
  <si>
    <t>University of Scranton</t>
  </si>
  <si>
    <t>Seton Hill University</t>
  </si>
  <si>
    <t>University of Pittsburgh Medical Center-Shadyside School of Nursing (2 year)</t>
  </si>
  <si>
    <t>Laurel Technical Institute (2 year)</t>
  </si>
  <si>
    <t>Shippensburg University of Pennsylvania</t>
  </si>
  <si>
    <t>Slippery Rock University of Pennsylvania</t>
  </si>
  <si>
    <t>Saint Charles Borromeo Seminary-Overbrook</t>
  </si>
  <si>
    <t>South Hills School of Business &amp; Technology (2 year)</t>
  </si>
  <si>
    <t>Susquehanna University</t>
  </si>
  <si>
    <t>Thaddeus Stevens College of Technology (2 year)</t>
  </si>
  <si>
    <t>Talmudical Yeshiva of Philadelphia (Male only)</t>
  </si>
  <si>
    <t>Temple University</t>
  </si>
  <si>
    <t>Theological Seminary of the Reformed Episcopal Church</t>
  </si>
  <si>
    <t>Thiel College</t>
  </si>
  <si>
    <t>Thomas Jefferson University</t>
  </si>
  <si>
    <t>Fortis Institute-Erie (2 year)</t>
  </si>
  <si>
    <t>Triangle Tech Inc-Erie (Male only, 2 year)</t>
  </si>
  <si>
    <t>Triangle Tech Inc-Pittsburgh (2 year)</t>
  </si>
  <si>
    <t>Triangle Tech Inc-Greensburg (2 year)</t>
  </si>
  <si>
    <t>Triangle Tech Inc-Dubois (Male only, 2 year)</t>
  </si>
  <si>
    <t>Trinity Episcopal School for Ministry</t>
  </si>
  <si>
    <t>Ursinus College</t>
  </si>
  <si>
    <t>University of Valley Forge</t>
  </si>
  <si>
    <t>Valley Forge Military College (2 year)</t>
  </si>
  <si>
    <t>Washington Hospital School of Nursing (2 year)</t>
  </si>
  <si>
    <t>Washington Hospital School of Radiologic Technology (2 year)</t>
  </si>
  <si>
    <t>Washington &amp; Jefferson College</t>
  </si>
  <si>
    <t>Waynesburg University</t>
  </si>
  <si>
    <t>West Chester University of Pennsylvania</t>
  </si>
  <si>
    <t>Western Pennsylvania Hospital School of Nursing (2 year)</t>
  </si>
  <si>
    <t>Pittsburgh Career Institute (2 year)</t>
  </si>
  <si>
    <t>Westminster Theological Seminary</t>
  </si>
  <si>
    <t>Westmoreland County Community College (2 year)</t>
  </si>
  <si>
    <t>Widener University</t>
  </si>
  <si>
    <t>Wilkes University</t>
  </si>
  <si>
    <t>Wilson College</t>
  </si>
  <si>
    <t>Yeshivath Beth Moshe (Male only)</t>
  </si>
  <si>
    <t>York College of Pennsylvania</t>
  </si>
  <si>
    <t>YTI Career Institute-York (2 year)</t>
  </si>
  <si>
    <t>Brown University</t>
  </si>
  <si>
    <t>Bryant University</t>
  </si>
  <si>
    <t>Johnson &amp; Wales University-Providence</t>
  </si>
  <si>
    <t>New England Institute of Technology</t>
  </si>
  <si>
    <t>Providence College</t>
  </si>
  <si>
    <t>Rhode Island College</t>
  </si>
  <si>
    <t>Community College of Rhode Island (2 year)</t>
  </si>
  <si>
    <t>University of Rhode Island</t>
  </si>
  <si>
    <t>Rhode Island School of Design</t>
  </si>
  <si>
    <t>Roger Williams University</t>
  </si>
  <si>
    <t>Salve Regina University</t>
  </si>
  <si>
    <t>Northpoint Bible College</t>
  </si>
  <si>
    <t>Aiken Technical College (2 year)</t>
  </si>
  <si>
    <t>Allen University (HBCU)</t>
  </si>
  <si>
    <t>Charleston Southern University</t>
  </si>
  <si>
    <t>Technical College of the Lowcountry (2 year)</t>
  </si>
  <si>
    <t>Benedict College (HBCU)</t>
  </si>
  <si>
    <t>Bob Jones University</t>
  </si>
  <si>
    <t>Southern Wesleyan University</t>
  </si>
  <si>
    <t>College of Charleston</t>
  </si>
  <si>
    <t>Northeastern Technical College (2 year)</t>
  </si>
  <si>
    <t>Citadel Military College of South Carolina</t>
  </si>
  <si>
    <t>Claflin University (HBCU)</t>
  </si>
  <si>
    <t>Clemson University</t>
  </si>
  <si>
    <t>Clinton College (HBCU)</t>
  </si>
  <si>
    <t>Coker College</t>
  </si>
  <si>
    <t>Columbia International University</t>
  </si>
  <si>
    <t>Converse College</t>
  </si>
  <si>
    <t>Denmark Technical College (HBCU, 2 year)</t>
  </si>
  <si>
    <t>Erskine College</t>
  </si>
  <si>
    <t>Florence-Darlington Technical College (2 year)</t>
  </si>
  <si>
    <t>Forrest College (2 year)</t>
  </si>
  <si>
    <t>Francis Marion University</t>
  </si>
  <si>
    <t>Furman</t>
  </si>
  <si>
    <t>Greenville Technical College (2 year)</t>
  </si>
  <si>
    <t>Horry-Georgetown Technical College (2 year)</t>
  </si>
  <si>
    <t>Lander University</t>
  </si>
  <si>
    <t>Limestone College</t>
  </si>
  <si>
    <t>Medical University of South Carolina</t>
  </si>
  <si>
    <t>Midlands Technical College (2 year)</t>
  </si>
  <si>
    <t>Morris College (HBCU)</t>
  </si>
  <si>
    <t>Newberry College</t>
  </si>
  <si>
    <t>North Greenville University</t>
  </si>
  <si>
    <t>Orangeburg Calhoun Technical College (2 year)</t>
  </si>
  <si>
    <t>Piedmont Technical College (2 year)</t>
  </si>
  <si>
    <t>Presbyterian College</t>
  </si>
  <si>
    <t>University of South Carolina-Aiken</t>
  </si>
  <si>
    <t>University of South Carolina-Beaufort</t>
  </si>
  <si>
    <t>University of South Carolina-Columbia</t>
  </si>
  <si>
    <t>University of South Carolina-Lancaster (2 year)</t>
  </si>
  <si>
    <t>University of South Carolina-Salkehatchie (2 year)</t>
  </si>
  <si>
    <t>University of South Carolina-Sumter (2 year)</t>
  </si>
  <si>
    <t>University of South Carolina-Union (2 year)</t>
  </si>
  <si>
    <t>Coastal Carolina University</t>
  </si>
  <si>
    <t>South Carolina State University (HBCU)</t>
  </si>
  <si>
    <t>University of South Carolina-Upstate</t>
  </si>
  <si>
    <t>Sherman College of Straight Chiropractic</t>
  </si>
  <si>
    <t>Spartanburg Methodist College (2 year)</t>
  </si>
  <si>
    <t>Spartanburg Community College (2 year)</t>
  </si>
  <si>
    <t>Central Carolina Technical College (2 year)</t>
  </si>
  <si>
    <t>Tri-County Technical College (2 year)</t>
  </si>
  <si>
    <t>Trident Technical College (2 year)</t>
  </si>
  <si>
    <t>Voorhees College (HBCU)</t>
  </si>
  <si>
    <t>Williamsburg Technical College (2 year)</t>
  </si>
  <si>
    <t>Winthrop University</t>
  </si>
  <si>
    <t>Wofford College</t>
  </si>
  <si>
    <t>York Technical College (2 year)</t>
  </si>
  <si>
    <t>Augustana University</t>
  </si>
  <si>
    <t>Black Hills Beauty College (Female only, 2 year)</t>
  </si>
  <si>
    <t>Black Hills State University</t>
  </si>
  <si>
    <t>Dakota State University</t>
  </si>
  <si>
    <t>Dakota Wesleyan University</t>
  </si>
  <si>
    <t>Headlines Academy Inc (2 year)</t>
  </si>
  <si>
    <t>Lake Area Technical Institute (2 year)</t>
  </si>
  <si>
    <t>Avera McKennan Hospital School of Radiologic Technology (2 year)</t>
  </si>
  <si>
    <t>Mitchell Technical Institute (2 year)</t>
  </si>
  <si>
    <t>Mount Marty College</t>
  </si>
  <si>
    <t>National American University-Rapid City</t>
  </si>
  <si>
    <t>National American University-Sioux Falls</t>
  </si>
  <si>
    <t>Sioux Falls Seminary</t>
  </si>
  <si>
    <t>Northern State University</t>
  </si>
  <si>
    <t>Oglala Lakota College</t>
  </si>
  <si>
    <t>Presentation College</t>
  </si>
  <si>
    <t>Avera Sacred Heart Hospital (2 year)</t>
  </si>
  <si>
    <t>South Dakota School of Mines and Technology</t>
  </si>
  <si>
    <t>South Dakota State University</t>
  </si>
  <si>
    <t>Sinte Gleska University</t>
  </si>
  <si>
    <t>University of Sioux Falls</t>
  </si>
  <si>
    <t>Sanford Medical Center (2 year)</t>
  </si>
  <si>
    <t>Sisseton Wahpeton College (2 year)</t>
  </si>
  <si>
    <t>Southeast Technical Institute (2 year)</t>
  </si>
  <si>
    <t>Stewart School (Female only, 2 year)</t>
  </si>
  <si>
    <t>University of South Dakota</t>
  </si>
  <si>
    <t>Western Dakota Technical Institute (2 year)</t>
  </si>
  <si>
    <t>American Baptist College (HBCU)</t>
  </si>
  <si>
    <t>Tennessee College of Applied Technology-Athens (2 year)</t>
  </si>
  <si>
    <t>Austin Peay State University</t>
  </si>
  <si>
    <t>Baptist Memorial College of Health Sciences</t>
  </si>
  <si>
    <t>Belmont University</t>
  </si>
  <si>
    <t>Bryan College-Dayton</t>
  </si>
  <si>
    <t>Carson-Newman University</t>
  </si>
  <si>
    <t>Chattanooga State Community College (2 year)</t>
  </si>
  <si>
    <t>Christian Brothers University</t>
  </si>
  <si>
    <t>Pentecostal Theological Seminary</t>
  </si>
  <si>
    <t>Cleveland State Community College (2 year)</t>
  </si>
  <si>
    <t>Columbia State Community College (2 year)</t>
  </si>
  <si>
    <t>Concorde Career College-Memphis (2 year)</t>
  </si>
  <si>
    <t>Tennessee College of Applied Technology-Covington (2 year)</t>
  </si>
  <si>
    <t>Cumberland University</t>
  </si>
  <si>
    <t>Lipscomb University</t>
  </si>
  <si>
    <t>Tennessee College of Applied Technology-Dickson (2 year)</t>
  </si>
  <si>
    <t>Daymar College-Nashville</t>
  </si>
  <si>
    <t>Dyersburg State Community College (2 year)</t>
  </si>
  <si>
    <t>East Tennessee State University</t>
  </si>
  <si>
    <t>Chattanooga College Medical Dental and Technical Careers (2 year)</t>
  </si>
  <si>
    <t>Tennessee College of Applied Technology-Elizabethton (2 year)</t>
  </si>
  <si>
    <t>Fisk University (HBCU)</t>
  </si>
  <si>
    <t>Welch College</t>
  </si>
  <si>
    <t>Freed-Hardeman University</t>
  </si>
  <si>
    <t>Tennessee College of Applied Technology-Harriman (2 year)</t>
  </si>
  <si>
    <t>Tennessee College of Applied Technology-Hartsville (2 year)</t>
  </si>
  <si>
    <t>Hiwassee College</t>
  </si>
  <si>
    <t>Tennessee College of Applied Technology-Hohenwald (2 year)</t>
  </si>
  <si>
    <t>Tennessee College of Applied Technology-Jacksboro (2 year)</t>
  </si>
  <si>
    <t>Jackson State Community College (2 year)</t>
  </si>
  <si>
    <t>John A Gupton College (2 year)</t>
  </si>
  <si>
    <t>Johnson University</t>
  </si>
  <si>
    <t>King University</t>
  </si>
  <si>
    <t>South College</t>
  </si>
  <si>
    <t>Lane College (HBCU)</t>
  </si>
  <si>
    <t>Le Moyne-Owen College (HBCU)</t>
  </si>
  <si>
    <t>Lee University</t>
  </si>
  <si>
    <t>Lincoln Memorial University</t>
  </si>
  <si>
    <t>Tennessee College of Applied Technology-Livingston (2 year)</t>
  </si>
  <si>
    <t>Martin Methodist College</t>
  </si>
  <si>
    <t>Maryville College</t>
  </si>
  <si>
    <t>Tennessee College of Applied Technology-McKenzie (2 year)</t>
  </si>
  <si>
    <t>Meharry Medical College (HBCU)</t>
  </si>
  <si>
    <t>Memphis College of Art</t>
  </si>
  <si>
    <t>Tennessee College of Applied Technology-Memphis (2 year)</t>
  </si>
  <si>
    <t>University of Memphis</t>
  </si>
  <si>
    <t>Memphis Theological Seminary</t>
  </si>
  <si>
    <t>Middle Tennessee State University</t>
  </si>
  <si>
    <t>Middle Tennessee School of Anesthesia Inc</t>
  </si>
  <si>
    <t>Tennessee College of Applied Technology-Morristown (2 year)</t>
  </si>
  <si>
    <t>Motlow State Community College (2 year)</t>
  </si>
  <si>
    <t>Tennessee College of Applied Technology-Murfreesboro (2 year)</t>
  </si>
  <si>
    <t>Lincoln College of Technology-Nashville (Male only, 2 year)</t>
  </si>
  <si>
    <t>Nashville State Community College (2 year)</t>
  </si>
  <si>
    <t>Tennessee College of Applied Technology-Newbern (2 year)</t>
  </si>
  <si>
    <t>O'More College of Design</t>
  </si>
  <si>
    <t>Tennessee College of Applied Technology-Paris (2 year)</t>
  </si>
  <si>
    <t>Tennessee College of Applied Technology-Pulaski (2 year)</t>
  </si>
  <si>
    <t>Tennessee College of Applied Technology-Ripley (2 year)</t>
  </si>
  <si>
    <t>Roane State Community College (2 year)</t>
  </si>
  <si>
    <t>Tennessee College of Applied Technology-Crump (2 year)</t>
  </si>
  <si>
    <t>Southwest Tennessee Community College (2 year)</t>
  </si>
  <si>
    <t>Tennessee College of Applied Technology-Shelbyville (2 year)</t>
  </si>
  <si>
    <t>Sewanee-The University of the South</t>
  </si>
  <si>
    <t>Tennessee College of Applied Technology-Oneida-Huntsville (2 year)</t>
  </si>
  <si>
    <t>Tennessee College of Applied Technology-Crossville (2 year)</t>
  </si>
  <si>
    <t>Tennessee College of Applied Technology-McMinnville (2 year)</t>
  </si>
  <si>
    <t>Tennessee College of Applied Technology-Jackson (2 year)</t>
  </si>
  <si>
    <t>Tennessee College of Applied Technology-Knoxville (2 year)</t>
  </si>
  <si>
    <t>Tennessee College of Applied Technology-Whiteville (2 year)</t>
  </si>
  <si>
    <t>Pellissippi State Community College (2 year)</t>
  </si>
  <si>
    <t>Southern Adventist University</t>
  </si>
  <si>
    <t>Southern College of Optometry</t>
  </si>
  <si>
    <t>Tennessee Wesleyan University</t>
  </si>
  <si>
    <t>The University of Tennessee-Chattanooga</t>
  </si>
  <si>
    <t>The University of Tennessee-Knoxville</t>
  </si>
  <si>
    <t>The University of Tennessee-Martin</t>
  </si>
  <si>
    <t>Fountainhead College of Technology</t>
  </si>
  <si>
    <t>Tennessee State University (HBCU)</t>
  </si>
  <si>
    <t>Tennessee Technological University</t>
  </si>
  <si>
    <t>Trevecca Nazarene University</t>
  </si>
  <si>
    <t>Northeast State Community College (2 year)</t>
  </si>
  <si>
    <t>Tusculum College</t>
  </si>
  <si>
    <t>Union University</t>
  </si>
  <si>
    <t>Volunteer State Community College (2 year)</t>
  </si>
  <si>
    <t>Walters State Community College (2 year)</t>
  </si>
  <si>
    <t>William Moore College of Technology (Male only, 2 year)</t>
  </si>
  <si>
    <t>Abilene Christian University</t>
  </si>
  <si>
    <t>Alvin Community College (2 year)</t>
  </si>
  <si>
    <t>Amarillo College (2 year)</t>
  </si>
  <si>
    <t>Amberton University</t>
  </si>
  <si>
    <t>Angelina College (2 year)</t>
  </si>
  <si>
    <t>Angelo State University</t>
  </si>
  <si>
    <t>Arlington Baptist University</t>
  </si>
  <si>
    <t>Arlington Career Institute (2 year)</t>
  </si>
  <si>
    <t>The Art Institute of Houston</t>
  </si>
  <si>
    <t>Austin College</t>
  </si>
  <si>
    <t>Austin Community College District (2 year)</t>
  </si>
  <si>
    <t>Austin Presbyterian Theological Seminary</t>
  </si>
  <si>
    <t>Baptist Health System School of Health Professions</t>
  </si>
  <si>
    <t>Baptist Missionary Association Theological Seminary</t>
  </si>
  <si>
    <t>Baylor College of Medicine</t>
  </si>
  <si>
    <t>Baylor University</t>
  </si>
  <si>
    <t>Coastal Bend College (2 year)</t>
  </si>
  <si>
    <t>Blinn College (2 year)</t>
  </si>
  <si>
    <t>Remington College-Dallas Campus</t>
  </si>
  <si>
    <t>Vet Tech Institute of Houston (2 year)</t>
  </si>
  <si>
    <t>Brazosport College</t>
  </si>
  <si>
    <t>Brookhaven College (2 year)</t>
  </si>
  <si>
    <t>Cedar Valley College (2 year)</t>
  </si>
  <si>
    <t>Central Texas College (2 year)</t>
  </si>
  <si>
    <t>Cisco College (2 year)</t>
  </si>
  <si>
    <t>Clarendon College (2 year)</t>
  </si>
  <si>
    <t>Concordia University-Texas</t>
  </si>
  <si>
    <t>North Central Texas College (2 year)</t>
  </si>
  <si>
    <t>Texas A &amp; M University-Corpus Christi</t>
  </si>
  <si>
    <t>Dallas Baptist University</t>
  </si>
  <si>
    <t>Dallas Christian College</t>
  </si>
  <si>
    <t>Dallas Institute of Funeral Service (2 year)</t>
  </si>
  <si>
    <t>Dallas Theological Seminary</t>
  </si>
  <si>
    <t>University of Dallas</t>
  </si>
  <si>
    <t>Del Mar College (2 year)</t>
  </si>
  <si>
    <t>East Texas Baptist University</t>
  </si>
  <si>
    <t>Texas A&amp;M University-Texarkana</t>
  </si>
  <si>
    <t>Texas A &amp; M University-Commerce</t>
  </si>
  <si>
    <t>Eastfield College (2 year)</t>
  </si>
  <si>
    <t>El Centro College (2 year)</t>
  </si>
  <si>
    <t>El Paso Community College (2 year)</t>
  </si>
  <si>
    <t>Western Technical College (2 year)</t>
  </si>
  <si>
    <t>Episcopal Theological Seminary of the Southwest</t>
  </si>
  <si>
    <t>South University-The Art Institute of Dallas</t>
  </si>
  <si>
    <t>Frank Phillips College (2 year)</t>
  </si>
  <si>
    <t>Galveston College (2 year)</t>
  </si>
  <si>
    <t>Grayson College (2 year)</t>
  </si>
  <si>
    <t>Hallmark University</t>
  </si>
  <si>
    <t>Hardin-Simmons University</t>
  </si>
  <si>
    <t>Trinity Valley Community College (2 year)</t>
  </si>
  <si>
    <t>Hill College (2 year)</t>
  </si>
  <si>
    <t>Houston Baptist University</t>
  </si>
  <si>
    <t>University of Houston-Clear Lake</t>
  </si>
  <si>
    <t>Houston Community College (2 year)</t>
  </si>
  <si>
    <t>University of Houston-Downtown</t>
  </si>
  <si>
    <t>University of Houston-Victoria</t>
  </si>
  <si>
    <t>University of Houston</t>
  </si>
  <si>
    <t>Howard College (2 year)</t>
  </si>
  <si>
    <t>Howard Payne University</t>
  </si>
  <si>
    <t>Huston-Tillotson University (HBCU)</t>
  </si>
  <si>
    <t>University of the Incarnate Word</t>
  </si>
  <si>
    <t>International Business College-El Paso (2 year)</t>
  </si>
  <si>
    <t>ITT Technical Institute-Arlington</t>
  </si>
  <si>
    <t>ITT Technical Institute-Houston West</t>
  </si>
  <si>
    <t>Jacksonville College-Main Campus (2 year)</t>
  </si>
  <si>
    <t>Jarvis Christian College (HBCU)</t>
  </si>
  <si>
    <t>KD Conservatory College of Film and Dramatic Arts (2 year)</t>
  </si>
  <si>
    <t>Kilgore College (2 year)</t>
  </si>
  <si>
    <t>Lamar University</t>
  </si>
  <si>
    <t>Lamar State College-Orange (2 year)</t>
  </si>
  <si>
    <t>Lamar State College-Port Arthur (2 year)</t>
  </si>
  <si>
    <t>Laredo Community College (2 year)</t>
  </si>
  <si>
    <t>Texas A &amp; M International University</t>
  </si>
  <si>
    <t>Lee College (2 year)</t>
  </si>
  <si>
    <t>LeTourneau University</t>
  </si>
  <si>
    <t>Lincoln College of Technology-Grand Prairie (Male only, 2 year)</t>
  </si>
  <si>
    <t>Lubbock Christian University</t>
  </si>
  <si>
    <t>College of the Mainland (2 year)</t>
  </si>
  <si>
    <t>University of Mary Hardin-Baylor</t>
  </si>
  <si>
    <t>McLennan Community College (2 year)</t>
  </si>
  <si>
    <t>McMurry University</t>
  </si>
  <si>
    <t>Covenant School of Nursing and Allied Health (2 year)</t>
  </si>
  <si>
    <t>Midland College</t>
  </si>
  <si>
    <t>Midwestern State University</t>
  </si>
  <si>
    <t>Wade College</t>
  </si>
  <si>
    <t>Mountain View College (2 year)</t>
  </si>
  <si>
    <t>Navarro College (2 year)</t>
  </si>
  <si>
    <t>Lone Star College System (2 year)</t>
  </si>
  <si>
    <t>North Lake College (2 year)</t>
  </si>
  <si>
    <t>University of North Texas</t>
  </si>
  <si>
    <t>Northeast Texas Community College (2 year)</t>
  </si>
  <si>
    <t>Oblate School of Theology</t>
  </si>
  <si>
    <t>Odessa College (2 year)</t>
  </si>
  <si>
    <t>Our Lady of the Lake University</t>
  </si>
  <si>
    <t>The University of Texas Rio Grande Valley</t>
  </si>
  <si>
    <t>Texas Southmost College (2 year)</t>
  </si>
  <si>
    <t>Panola College (2 year)</t>
  </si>
  <si>
    <t>Paris Junior College (2 year)</t>
  </si>
  <si>
    <t>Paul Quinn College (HBCU)</t>
  </si>
  <si>
    <t>Prairie View A &amp; M University (HBCU)</t>
  </si>
  <si>
    <t>Ranger College (2 year)</t>
  </si>
  <si>
    <t>Aviation Institute of Maintenance-Houston (2 year)</t>
  </si>
  <si>
    <t>Rice University</t>
  </si>
  <si>
    <t>Richland College (2 year)</t>
  </si>
  <si>
    <t>Brightwood College-McAllen (2 year)</t>
  </si>
  <si>
    <t>Saint Edward's University</t>
  </si>
  <si>
    <t>St Philip's College (HBCU, 2 year)</t>
  </si>
  <si>
    <t>Sam Houston State University</t>
  </si>
  <si>
    <t>San Antonio College (2 year)</t>
  </si>
  <si>
    <t>San Jacinto Community College (2 year)</t>
  </si>
  <si>
    <t>Schreiner University</t>
  </si>
  <si>
    <t>St. Mary's University</t>
  </si>
  <si>
    <t>South Plains College (2 year)</t>
  </si>
  <si>
    <t>South Texas College of Law Houston</t>
  </si>
  <si>
    <t>Southern Methodist University</t>
  </si>
  <si>
    <t>Southwest Texas Junior College (2 year)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</si>
  <si>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</si>
  <si>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</si>
  <si>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</si>
  <si>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</si>
  <si>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</si>
  <si>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Southwestern Christian College (HBCU)</t>
  </si>
  <si>
    <t>Sul Ross State University</t>
  </si>
  <si>
    <t>Tarleton State University</t>
  </si>
  <si>
    <t>Tarrant County College District (2 year)</t>
  </si>
  <si>
    <t>Temple College (2 year)</t>
  </si>
  <si>
    <t>University of Texas Southwestern Medical Center</t>
  </si>
  <si>
    <t>The University of Texas Health Science Center at San Antonio</t>
  </si>
  <si>
    <t>The University of Texas Medical Branch</t>
  </si>
  <si>
    <t>Texarkana College (2 year)</t>
  </si>
  <si>
    <t>Texas A &amp; M University-Kingsville</t>
  </si>
  <si>
    <t>Texas A &amp; M University-College Station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</si>
  <si>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</si>
  <si>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</si>
  <si>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</si>
  <si>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</si>
  <si>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Tyler</t>
  </si>
  <si>
    <t>Texas Chiropractic College Foundation Inc</t>
  </si>
  <si>
    <t>Texas Christian University</t>
  </si>
  <si>
    <t>Texas College (HBCU)</t>
  </si>
  <si>
    <t>University of North Texas Health Science Center</t>
  </si>
  <si>
    <t>Texas Lutheran University</t>
  </si>
  <si>
    <t>The University of Texas of the Permian Basin</t>
  </si>
  <si>
    <t>The University of Texas at San Antonio</t>
  </si>
  <si>
    <t>Brightwood College-Houston (2 year)</t>
  </si>
  <si>
    <t>Texas Southern University (HBCU)</t>
  </si>
  <si>
    <t>Texas Tech University</t>
  </si>
  <si>
    <t>Texas Wesleyan University</t>
  </si>
  <si>
    <t>Texas Woman's University</t>
  </si>
  <si>
    <t>Trinity University</t>
  </si>
  <si>
    <t>The University of Texas Health Science Center at Houston</t>
  </si>
  <si>
    <t>Texas Tech University Health Sciences Center</t>
  </si>
  <si>
    <t>Tyler Junior College</t>
  </si>
  <si>
    <t>Universal Technical Institute of Texas Inc. (Male only, 2 year)</t>
  </si>
  <si>
    <t>Vernon College (2 year)</t>
  </si>
  <si>
    <t>Victoria College (2 year)</t>
  </si>
  <si>
    <t>Wayland Baptist University</t>
  </si>
  <si>
    <t>Weatherford College (2 year)</t>
  </si>
  <si>
    <t>West Texas A &amp; M University</t>
  </si>
  <si>
    <t>Western Texas College (2 year)</t>
  </si>
  <si>
    <t>Wharton County Junior College (2 year)</t>
  </si>
  <si>
    <t>Wiley College (HBCU)</t>
  </si>
  <si>
    <t>Bridgerland Technical College (2 year)</t>
  </si>
  <si>
    <t>Brigham Young University-Provo</t>
  </si>
  <si>
    <t>Brigham Young University-Hawaii</t>
  </si>
  <si>
    <t>Broadview University-West Jordan</t>
  </si>
  <si>
    <t>Davis Technical College (2 year)</t>
  </si>
  <si>
    <t>Dixie State University</t>
  </si>
  <si>
    <t>Evans Hairstyling College-Cedar City (Female only, 2 year)</t>
  </si>
  <si>
    <t>Evans Hairstyling College-St George (Female only, 2 year)</t>
  </si>
  <si>
    <t>Eagle Gate College-Murray</t>
  </si>
  <si>
    <t>ITT Technical Institute-Murray</t>
  </si>
  <si>
    <t>LDS Business College (2 year)</t>
  </si>
  <si>
    <t>Snow College</t>
  </si>
  <si>
    <t>Southern Utah University</t>
  </si>
  <si>
    <t>Stevens-Henager College</t>
  </si>
  <si>
    <t>Utah State University</t>
  </si>
  <si>
    <t>Utah Valley University</t>
  </si>
  <si>
    <t>Salt Lake Community College (2 year)</t>
  </si>
  <si>
    <t>University of Utah</t>
  </si>
  <si>
    <t>Weber State University</t>
  </si>
  <si>
    <t>Bennington College</t>
  </si>
  <si>
    <t>Castleton University</t>
  </si>
  <si>
    <t>Champlain College</t>
  </si>
  <si>
    <t>Community College of Vermont (2 year)</t>
  </si>
  <si>
    <t>Goddard College</t>
  </si>
  <si>
    <t>Green Mountain College</t>
  </si>
  <si>
    <t>Johnson State College</t>
  </si>
  <si>
    <t>Lyndon State College</t>
  </si>
  <si>
    <t>Marlboro College</t>
  </si>
  <si>
    <t>Middlebury College</t>
  </si>
  <si>
    <t>New England Culinary Institute</t>
  </si>
  <si>
    <t>Norwich University</t>
  </si>
  <si>
    <t>Saint Michael's College</t>
  </si>
  <si>
    <t>SIT Graduate Institute</t>
  </si>
  <si>
    <t>College of St Joseph</t>
  </si>
  <si>
    <t>Southern Vermont College</t>
  </si>
  <si>
    <t>Vermont Law School</t>
  </si>
  <si>
    <t>Vermont Technical College</t>
  </si>
  <si>
    <t>University of Vermont</t>
  </si>
  <si>
    <t>Advanced Technology Institute (2 year)</t>
  </si>
  <si>
    <t>Averett University</t>
  </si>
  <si>
    <t>Bluefield College</t>
  </si>
  <si>
    <t>Bridgewater College</t>
  </si>
  <si>
    <t>College of William and Mary</t>
  </si>
  <si>
    <t>Regent University</t>
  </si>
  <si>
    <t>Central Virginia Community College (2 year)</t>
  </si>
  <si>
    <t>Christopher Newport University</t>
  </si>
  <si>
    <t>Bryant &amp; Stratton College-Virginia Beach</t>
  </si>
  <si>
    <t>Bryant &amp; Stratton College-Richmond</t>
  </si>
  <si>
    <t>Jefferson College of Health Sciences</t>
  </si>
  <si>
    <t>Dabney S Lancaster Community College (2 year)</t>
  </si>
  <si>
    <t>Danville Community College (2 year)</t>
  </si>
  <si>
    <t>Eastern Virginia Medical School</t>
  </si>
  <si>
    <t>Centura College-Virginia Beach</t>
  </si>
  <si>
    <t>Emory &amp; Henry College</t>
  </si>
  <si>
    <t>Eastern Mennonite University</t>
  </si>
  <si>
    <t>Eastern Shore Community College (2 year)</t>
  </si>
  <si>
    <t>Ferrum College</t>
  </si>
  <si>
    <t>George Mason University</t>
  </si>
  <si>
    <t>Germanna Community College (2 year)</t>
  </si>
  <si>
    <t>Hampden-Sydney College (Male only)</t>
  </si>
  <si>
    <t>Hampton University (HBCU)</t>
  </si>
  <si>
    <t>Hollins University (Female only)</t>
  </si>
  <si>
    <t>J Sargeant Reynolds Community College (2 year)</t>
  </si>
  <si>
    <t>James Madison University</t>
  </si>
  <si>
    <t>John Tyler Community College (2 year)</t>
  </si>
  <si>
    <t>Everest College-Newport News (Female only, 2 year)</t>
  </si>
  <si>
    <t>Liberty University</t>
  </si>
  <si>
    <t>Longwood University</t>
  </si>
  <si>
    <t>Lord Fairfax Community College (2 year)</t>
  </si>
  <si>
    <t>Lynchburg College</t>
  </si>
  <si>
    <t>Centra College of Nursing</t>
  </si>
  <si>
    <t>Mary Baldwin University</t>
  </si>
  <si>
    <t>University of Mary Washington</t>
  </si>
  <si>
    <t>Marymount University</t>
  </si>
  <si>
    <t>Danville Regional Medical Center School of Health Professions (2 year)</t>
  </si>
  <si>
    <t>Mountain Empire Community College (2 year)</t>
  </si>
  <si>
    <t>American National University</t>
  </si>
  <si>
    <t>New River Community College (2 year)</t>
  </si>
  <si>
    <t>Sentara College of Health Sciences</t>
  </si>
  <si>
    <t>Norfolk State University (HBCU)</t>
  </si>
  <si>
    <t>Northern Virginia Community College (2 year)</t>
  </si>
  <si>
    <t>Old Dominion University</t>
  </si>
  <si>
    <t>Patrick Henry Community College (2 year)</t>
  </si>
  <si>
    <t>Paul D Camp Community College (2 year)</t>
  </si>
  <si>
    <t>Southside Regional Medical Center Professional Schools (2 year)</t>
  </si>
  <si>
    <t>Miller-Motte Technical College-Lynchburg (2 year)</t>
  </si>
  <si>
    <t>Piedmont Virginia Community College (2 year)</t>
  </si>
  <si>
    <t>Radford University</t>
  </si>
  <si>
    <t>Randolph-Macon College</t>
  </si>
  <si>
    <t>Randolph College</t>
  </si>
  <si>
    <t>Rappahannock Community College (2 year)</t>
  </si>
  <si>
    <t>Fortis College-Norfolk (2 year)</t>
  </si>
  <si>
    <t>Richard Bland College of William and Mary (2 year)</t>
  </si>
  <si>
    <t>Bon Secours Memorial College of Nursing</t>
  </si>
  <si>
    <t>University of Richmond</t>
  </si>
  <si>
    <t>Riverside College of Health Careers (2 year)</t>
  </si>
  <si>
    <t>Roanoke College</t>
  </si>
  <si>
    <t>Bon Secours St Mary's Hospital School of Medical Imaging (2 year)</t>
  </si>
  <si>
    <t>Shenandoah University</t>
  </si>
  <si>
    <t>Southern Virginia University</t>
  </si>
  <si>
    <t>Southside Virginia Community College (2 year)</t>
  </si>
  <si>
    <t>Southwest Virginia Community College (2 year)</t>
  </si>
  <si>
    <t>Strayer University-Virginia</t>
  </si>
  <si>
    <t>Sweet Briar College (Female only)</t>
  </si>
  <si>
    <t>Thomas Nelson Community College (2 year)</t>
  </si>
  <si>
    <t>Tidewater Community College (2 year)</t>
  </si>
  <si>
    <t>Union Presbyterian Seminary</t>
  </si>
  <si>
    <t>The University of Virginia's College at Wise</t>
  </si>
  <si>
    <t>Virginia Highlands Community College (2 year)</t>
  </si>
  <si>
    <t>Virginia Polytechnic Institute and State University</t>
  </si>
  <si>
    <t>Virginia Western Community College (2 year)</t>
  </si>
  <si>
    <t>Virginia Commonwealth University</t>
  </si>
  <si>
    <t>University of Virginia-Main Campus</t>
  </si>
  <si>
    <t>Virginia Military Institute</t>
  </si>
  <si>
    <t>Virginia University of Lynchburg (HBCU)</t>
  </si>
  <si>
    <t>Virginia State University (HBCU)</t>
  </si>
  <si>
    <t>Virginia Union University (HBCU)</t>
  </si>
  <si>
    <t>Virginia Wesleyan University</t>
  </si>
  <si>
    <t>Washington and Lee University</t>
  </si>
  <si>
    <t>Wytheville Community College (2 year)</t>
  </si>
  <si>
    <t>The Art Institute of Seattle</t>
  </si>
  <si>
    <t>Bellevue College</t>
  </si>
  <si>
    <t>Bellingham Technical College</t>
  </si>
  <si>
    <t>Big Bend Community College (2 year)</t>
  </si>
  <si>
    <t>Central Washington University</t>
  </si>
  <si>
    <t>Centralia College</t>
  </si>
  <si>
    <t>City University of Seattle</t>
  </si>
  <si>
    <t>Clark College</t>
  </si>
  <si>
    <t>Clover Park Technical College</t>
  </si>
  <si>
    <t>Columbia Basin College</t>
  </si>
  <si>
    <t>Cornish College of the Arts</t>
  </si>
  <si>
    <t>Eastern Washington University</t>
  </si>
  <si>
    <t>Edmonds Community College</t>
  </si>
  <si>
    <t>Everett Community College (2 year)</t>
  </si>
  <si>
    <t>The Evergreen State College</t>
  </si>
  <si>
    <t>Pierce College-Fort Steilacoom</t>
  </si>
  <si>
    <t>Gonzaga University</t>
  </si>
  <si>
    <t>Grays Harbor College</t>
  </si>
  <si>
    <t>Green River College</t>
  </si>
  <si>
    <t>Heritage University</t>
  </si>
  <si>
    <t>Highline College</t>
  </si>
  <si>
    <t>ITT Technical Institute-Seattle</t>
  </si>
  <si>
    <t>ITT Technical Institute-Spokane Valley</t>
  </si>
  <si>
    <t>Bastyr University</t>
  </si>
  <si>
    <t>Bates Technical College (2 year)</t>
  </si>
  <si>
    <t>Lake Washington Institute of Technology</t>
  </si>
  <si>
    <t>Lower Columbia College (2 year)</t>
  </si>
  <si>
    <t>BJ's Beauty &amp; Barber College (Female only, 2 year)</t>
  </si>
  <si>
    <t>BJ's Beauty &amp; Barber College (2 year)</t>
  </si>
  <si>
    <t>North Seattle College</t>
  </si>
  <si>
    <t>Northwest University</t>
  </si>
  <si>
    <t>Olympic College</t>
  </si>
  <si>
    <t>Perry Technical Institute (2 year)</t>
  </si>
  <si>
    <t>Pacific Lutheran University</t>
  </si>
  <si>
    <t>Peninsula College</t>
  </si>
  <si>
    <t>University of Puget Sound</t>
  </si>
  <si>
    <t>Renton Technical College</t>
  </si>
  <si>
    <t>Saint Martin's University</t>
  </si>
  <si>
    <t>South Seattle College</t>
  </si>
  <si>
    <t>Seattle Central College</t>
  </si>
  <si>
    <t>Seattle Pacific University</t>
  </si>
  <si>
    <t>Shoreline Community College (2 year)</t>
  </si>
  <si>
    <t>Skagit Valley College</t>
  </si>
  <si>
    <t>South Puget Sound Community College (2 year)</t>
  </si>
  <si>
    <t>Spokane Community College</t>
  </si>
  <si>
    <t>Spokane Falls Community College</t>
  </si>
  <si>
    <t>Tacoma Community College</t>
  </si>
  <si>
    <t>Walla Walla Community College (2 year)</t>
  </si>
  <si>
    <t>Walla Walla University</t>
  </si>
  <si>
    <t>Washington State University</t>
  </si>
  <si>
    <t>University of Washington-Seattle Campus</t>
  </si>
  <si>
    <t>Wenatchee Valley College</t>
  </si>
  <si>
    <t>Western Washington University</t>
  </si>
  <si>
    <t>Whatcom Community College</t>
  </si>
  <si>
    <t>Whitman College</t>
  </si>
  <si>
    <t>Whitworth University</t>
  </si>
  <si>
    <t>Yakima Valley College</t>
  </si>
  <si>
    <t>Alderson Broaddus University</t>
  </si>
  <si>
    <t>Appalachian Bible College</t>
  </si>
  <si>
    <t>Bluefield State College (HBCU)</t>
  </si>
  <si>
    <t>Charleston School of Beauty Culture (2 year)</t>
  </si>
  <si>
    <t>University of Charleston</t>
  </si>
  <si>
    <t>Clarksburg Beauty Academy and School of Massage Therapy (2 year)</t>
  </si>
  <si>
    <t>Concord University</t>
  </si>
  <si>
    <t>Davis &amp; Elkins College</t>
  </si>
  <si>
    <t>Fairmont State University</t>
  </si>
  <si>
    <t>Glenville State College</t>
  </si>
  <si>
    <t>Huntington Junior College (2 year)</t>
  </si>
  <si>
    <t>Marshall University</t>
  </si>
  <si>
    <t>Mercer County Technical Education Center (2 year)</t>
  </si>
  <si>
    <t>Meredith Manor International Equestrian Center (2 year)</t>
  </si>
  <si>
    <t>Morgantown Beauty College Inc (Female only, 2 year)</t>
  </si>
  <si>
    <t>Mountain State College (2 year)</t>
  </si>
  <si>
    <t>Ohio Valley University</t>
  </si>
  <si>
    <t>West Virginia University at Parkersburg</t>
  </si>
  <si>
    <t>Potomac State College of West Virginia University</t>
  </si>
  <si>
    <t>Salem International University</t>
  </si>
  <si>
    <t>Shepherd University</t>
  </si>
  <si>
    <t>Southern West Virginia Community and Technical College (2 year)</t>
  </si>
  <si>
    <t>West Virginia School of Osteopathic Medicine</t>
  </si>
  <si>
    <t>West Virginia State University (HBCU)</t>
  </si>
  <si>
    <t>West Virginia University Hospital Departments of Rad Tech and Nutrition</t>
  </si>
  <si>
    <t>West Liberty University</t>
  </si>
  <si>
    <t>West Virginia University Institute of Technology</t>
  </si>
  <si>
    <t>West Virginia Wesleyan College</t>
  </si>
  <si>
    <t>West Virginia Business College-Wheeling (2 year)</t>
  </si>
  <si>
    <t>West Virginia Junior College-Charleston (2 year)</t>
  </si>
  <si>
    <t>West Virginia Junior College-Morgantown (2 year)</t>
  </si>
  <si>
    <t>International Beauty School 4 (2 year)</t>
  </si>
  <si>
    <t>West Virginia Northern Community College (2 year)</t>
  </si>
  <si>
    <t>West Virginia University</t>
  </si>
  <si>
    <t>Wheeling Jesuit University</t>
  </si>
  <si>
    <t>Advanced Institute of Hair Design-Glendale (Female only, 2 year)</t>
  </si>
  <si>
    <t>VICI Beauty School (Female only, 2 year)</t>
  </si>
  <si>
    <t>Alverno College (Female only)</t>
  </si>
  <si>
    <t>Madison Area Technical College</t>
  </si>
  <si>
    <t>Bellin College</t>
  </si>
  <si>
    <t>Blackhawk Technical College (2 year)</t>
  </si>
  <si>
    <t>Cardinal Stritch University</t>
  </si>
  <si>
    <t>Carroll University</t>
  </si>
  <si>
    <t>Columbia College of Nursing</t>
  </si>
  <si>
    <t>Concordia University-Wisconsin</t>
  </si>
  <si>
    <t>Edgewood College</t>
  </si>
  <si>
    <t>Fox Valley Technical College (2 year)</t>
  </si>
  <si>
    <t>Gateway Technical College (2 year)</t>
  </si>
  <si>
    <t>Gill-Tech Academy of Hair Design (2 year)</t>
  </si>
  <si>
    <t>The Professional Hair Design Academy (2 year)</t>
  </si>
  <si>
    <t>ITT Technical Institute-Greenfield</t>
  </si>
  <si>
    <t>Lakeland University</t>
  </si>
  <si>
    <t>Lakeshore Technical College (2 year)</t>
  </si>
  <si>
    <t>Lawrence University</t>
  </si>
  <si>
    <t>Maranatha Baptist University</t>
  </si>
  <si>
    <t>Marquette University</t>
  </si>
  <si>
    <t>Medical College of Wisconsin</t>
  </si>
  <si>
    <t>Mid-State Technical College (2 year)</t>
  </si>
  <si>
    <t>Milwaukee Area Technical College (2 year)</t>
  </si>
  <si>
    <t>Milwaukee Institute of Art &amp; Design</t>
  </si>
  <si>
    <t>Milwaukee School of Engineering</t>
  </si>
  <si>
    <t>Moraine Park Technical College (2 year)</t>
  </si>
  <si>
    <t>Mount Mary University (Female only)</t>
  </si>
  <si>
    <t>Nashotah House</t>
  </si>
  <si>
    <t>Nicolet Area Technical College (2 year)</t>
  </si>
  <si>
    <t>Northcentral Technical College (2 year)</t>
  </si>
  <si>
    <t>Northeast Wisconsin Technical College (2 year)</t>
  </si>
  <si>
    <t>Northland College</t>
  </si>
  <si>
    <t>Sacred Heart Seminary and School of Theology (Male only)</t>
  </si>
  <si>
    <t>Saint Norbert College</t>
  </si>
  <si>
    <t>Silver Lake College of the Holy Family</t>
  </si>
  <si>
    <t>Southwest Wisconsin Technical College (2 year)</t>
  </si>
  <si>
    <t>Bryant &amp; Stratton College-Milwaukee</t>
  </si>
  <si>
    <t>University of Wisconsin Colleges</t>
  </si>
  <si>
    <t>Viterbo University</t>
  </si>
  <si>
    <t>Chippewa Valley Technical College (2 year)</t>
  </si>
  <si>
    <t>Waukesha County Technical College (2 year)</t>
  </si>
  <si>
    <t>University of Wisconsin-Whitewater</t>
  </si>
  <si>
    <t>Wisconsin Indianhead Technical College (2 year)</t>
  </si>
  <si>
    <t>Wisconsin School of Professional Psychology</t>
  </si>
  <si>
    <t>University of Wisconsin-Eau Claire</t>
  </si>
  <si>
    <t>University of Wisconsin-Green Bay</t>
  </si>
  <si>
    <t>University of Wisconsin-La Crosse</t>
  </si>
  <si>
    <t>Wisconsin Lutheran College</t>
  </si>
  <si>
    <t>University of Wisconsin-Oshkosh</t>
  </si>
  <si>
    <t>University of Wisconsin-Parkside</t>
  </si>
  <si>
    <t>Herzing University-Madison</t>
  </si>
  <si>
    <t>University of Wisconsin-Stout</t>
  </si>
  <si>
    <t>University of Wisconsin-Superior</t>
  </si>
  <si>
    <t>University of Wisconsin-Madison</t>
  </si>
  <si>
    <t>University of Wisconsin-Milwaukee</t>
  </si>
  <si>
    <t>University of Wisconsin-Platteville</t>
  </si>
  <si>
    <t>University of Wisconsin-River Falls</t>
  </si>
  <si>
    <t>University of Wisconsin-Stevens Point</t>
  </si>
  <si>
    <t>Casper College (2 year)</t>
  </si>
  <si>
    <t>Central Wyoming College (2 year)</t>
  </si>
  <si>
    <t>Eastern Wyoming College (2 year)</t>
  </si>
  <si>
    <t>Laramie County Community College (2 year)</t>
  </si>
  <si>
    <t>Northwest College (2 year)</t>
  </si>
  <si>
    <t>Sheridan College (2 year)</t>
  </si>
  <si>
    <t>Western Wyoming Community College (2 year)</t>
  </si>
  <si>
    <t>Wyotech-Laramie (2 year)</t>
  </si>
  <si>
    <t>University of Wyoming</t>
  </si>
  <si>
    <t>American Samoa Community College</t>
  </si>
  <si>
    <t>Guam Community College (2 year)</t>
  </si>
  <si>
    <t>University of Guam</t>
  </si>
  <si>
    <t>Northern Marianas College</t>
  </si>
  <si>
    <t xml:space="preserve">	Educational Technical College-Recinto de Bayamon (2 year)</t>
  </si>
  <si>
    <t>American University of Puerto Rico</t>
  </si>
  <si>
    <t>Antilles School of Technical Careers (2 year)</t>
  </si>
  <si>
    <t>Universidad Adventista de las Antillas</t>
  </si>
  <si>
    <t>Atlantic University College</t>
  </si>
  <si>
    <t>Universidad Central de Bayamon</t>
  </si>
  <si>
    <t>Columbia Central University-Caguas</t>
  </si>
  <si>
    <t>Carlos Albizu University-San Juan</t>
  </si>
  <si>
    <t>Caribbean University-Bayamon</t>
  </si>
  <si>
    <t>Caribbean University-Carolina</t>
  </si>
  <si>
    <t>Pontifical Catholic University of Puerto Rico-Arecibo</t>
  </si>
  <si>
    <t>Pontifical Catholic University of Puerto Rico-Ponce</t>
  </si>
  <si>
    <t>CEM College-San Juan</t>
  </si>
  <si>
    <t>Universidad Teologica del Caribe</t>
  </si>
  <si>
    <t>Colegio Universitario de San Juan</t>
  </si>
  <si>
    <t>Universidad Metropolitana</t>
  </si>
  <si>
    <t>Puerto Rico Conservatory of Music</t>
  </si>
  <si>
    <t>Center for Advanced Studies On Puerto Rico and the Caribbean</t>
  </si>
  <si>
    <t>EDP University of Puerto Rico Inc-San Sebastian</t>
  </si>
  <si>
    <t>Escuela de Artes Plasticas y Diseno de Puerto Rico</t>
  </si>
  <si>
    <t>Instituto Tecnologico de Puerto Rico-Recinto de Manati (2 year)</t>
  </si>
  <si>
    <t>Huertas College</t>
  </si>
  <si>
    <t>Humacao Community College</t>
  </si>
  <si>
    <t>ICPR Junior College-Arecibo (2 year)</t>
  </si>
  <si>
    <t>ICPR Junior College-Mayaguez (2 year)</t>
  </si>
  <si>
    <t>Instituto de Banca y Comercio Inc (2 year)</t>
  </si>
  <si>
    <t>Instituto Tecnologico de Puerto Rico-Recinto de Guayama (2 year)</t>
  </si>
  <si>
    <t>Instituto Tecnologico de Puerto Rico-Recinto de Ponce (2 year)</t>
  </si>
  <si>
    <t>Instituto Tecnologico de Puerto Rico-Recinto de San Juan (2 year)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</si>
  <si>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</si>
  <si>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</si>
  <si>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</si>
  <si>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</si>
  <si>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Rico-Metro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</si>
  <si>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</si>
  <si>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</si>
  <si>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</si>
  <si>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</si>
  <si>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Inter American University of Puerto Rico-School of Law</t>
  </si>
  <si>
    <t>Liceo de Arte y Tecnologia (2 year)</t>
  </si>
  <si>
    <t>National University College</t>
  </si>
  <si>
    <t>National University College-Arecibo</t>
  </si>
  <si>
    <t>Ponce Paramedical College Inc (2 year)</t>
  </si>
  <si>
    <t>Ponce Health Sciences University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</si>
  <si>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</si>
  <si>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</si>
  <si>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</si>
  <si>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</si>
  <si>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</si>
  <si>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Rico-Humacao</t>
  </si>
  <si>
    <t>University of Puerto Rico-Utuado</t>
  </si>
  <si>
    <t>University of Puerto Rico-Mayaguez</t>
  </si>
  <si>
    <t>University of Puerto Rico-Medical Sciences</t>
  </si>
  <si>
    <t>University of Puerto Rico-Ponce</t>
  </si>
  <si>
    <t>University of Puerto Rico-Rio Piedras</t>
  </si>
  <si>
    <t>Universidad del Este</t>
  </si>
  <si>
    <t>Universidad del Sagrado Corazon</t>
  </si>
  <si>
    <t>Seminario Evangelico de Puerto Rico</t>
  </si>
  <si>
    <t>Universidad Central Del Caribe</t>
  </si>
  <si>
    <t>Universidad Politecnica de Puerto Rico</t>
  </si>
  <si>
    <t>Pontifical Catholic University of Puerto Rico-Mayaguez</t>
  </si>
  <si>
    <t>Universidad del Turabo</t>
  </si>
  <si>
    <t>College of Micronesia-FSM (2 year)</t>
  </si>
  <si>
    <t>Palau Community College (2 year)</t>
  </si>
  <si>
    <t>University of the Virgin Islands (HBCU)</t>
  </si>
  <si>
    <t>Purdue University-Main Campus</t>
  </si>
  <si>
    <t>Parker University</t>
  </si>
  <si>
    <t>EDP University of Puerto Rico Inc-San Juan</t>
  </si>
  <si>
    <t>ICPR Junior College-General Institutional (2 year)</t>
  </si>
  <si>
    <t>ITT Technical Institute-Sylmar</t>
  </si>
  <si>
    <t>ITT Technical Institute-Westminster</t>
  </si>
  <si>
    <t>City College-Fort Lauderdale</t>
  </si>
  <si>
    <t>Meridian College (Female only, 2 year)</t>
  </si>
  <si>
    <t>Georgia State University-Perimeter College (2 year)</t>
  </si>
  <si>
    <t>Georgia Piedmont Technical College (2 year)</t>
  </si>
  <si>
    <t>Trend Setters' Academy of Beauty Culture-Elizabethtown (2 year)</t>
  </si>
  <si>
    <t>Vatterott College-Berkeley (2 year)</t>
  </si>
  <si>
    <t>Metro Business College-Rolla (2 year)</t>
  </si>
  <si>
    <t>Metro Business College-Jefferson City (2 year)</t>
  </si>
  <si>
    <t>Warren County Community College (2 year)</t>
  </si>
  <si>
    <t>Yeshiva and Kollel Harbotzas Torah (Male only)</t>
  </si>
  <si>
    <t>Bais Medrash Elyon (Male only)</t>
  </si>
  <si>
    <t>Antioch University-Los Angeles</t>
  </si>
  <si>
    <t>Antioch University-Santa Barbara</t>
  </si>
  <si>
    <t>Antioch University-New England</t>
  </si>
  <si>
    <t>Antioch University-Seattle</t>
  </si>
  <si>
    <t>Antioch University-Midwest</t>
  </si>
  <si>
    <t>Mid-America Christian University</t>
  </si>
  <si>
    <t>Platt College-Tulsa (2 year)</t>
  </si>
  <si>
    <t>Brightwood College-Nashville (2 year)</t>
  </si>
  <si>
    <t>Brightwood College-El Paso (2 year)</t>
  </si>
  <si>
    <t>Houston Graduate School of Theology</t>
  </si>
  <si>
    <t>Palo Alto College (2 year)</t>
  </si>
  <si>
    <t>Unification Theological Seminary</t>
  </si>
  <si>
    <t>Athens Technical College (2 year)</t>
  </si>
  <si>
    <t>Carrington College-San Leandro (2 year)</t>
  </si>
  <si>
    <t>Headmasters School of Hair Design (Female only, 2 year)</t>
  </si>
  <si>
    <t>The Salon Professional Academy (Female only, 2 year)</t>
  </si>
  <si>
    <t>Beckfield College-Florence</t>
  </si>
  <si>
    <t>Ecumenical Theological Seminary</t>
  </si>
  <si>
    <t>Sussex County Community College (2 year)</t>
  </si>
  <si>
    <t>Landmark College</t>
  </si>
  <si>
    <t>National American University-Independence</t>
  </si>
  <si>
    <t>Yeshiva Gedolah of Greater Detroit (Male only)</t>
  </si>
  <si>
    <t>Austin Graduate School of Theology</t>
  </si>
  <si>
    <t>Collin County Community College District (2 year)</t>
  </si>
  <si>
    <t>Owensboro Community and Technical College (2 year)</t>
  </si>
  <si>
    <t>Jenny Lea Academy of Cosmetology (Female only, 2 year)</t>
  </si>
  <si>
    <t>Empire Beauty School-Hurstborne (Female only, 2 year)</t>
  </si>
  <si>
    <t>Moore Norman Technology Center (2 year)</t>
  </si>
  <si>
    <t>FIDM-Fashion Institute of Design &amp; Merchandising-San Diego (2 year)</t>
  </si>
  <si>
    <t>National American University-Albuquerque</t>
  </si>
  <si>
    <t>Tennessee College of Applied Technology Nashville (2 year)</t>
  </si>
  <si>
    <t>ECPI University</t>
  </si>
  <si>
    <t>Fortis Institute-Forty Fort (2 year)</t>
  </si>
  <si>
    <t>Laurel Business Institute (2 year)</t>
  </si>
  <si>
    <t>Aviation Institute of Maintenance-Philadelphia (2 year)</t>
  </si>
  <si>
    <t>Carrington College-Phoenix East (2 year)</t>
  </si>
  <si>
    <t>Moler-Pickens Beauty Academy (2 year)</t>
  </si>
  <si>
    <t>Brightwood Career Institute-Harrisburg (2 year)</t>
  </si>
  <si>
    <t>ITT Technical Institute-Newburgh</t>
  </si>
  <si>
    <t>Southern Union State Community College (2 year)</t>
  </si>
  <si>
    <t>South University-Columbia</t>
  </si>
  <si>
    <t>Everest University-Brandon</t>
  </si>
  <si>
    <t>Consolidated School of Business-Lancaster (2 year)</t>
  </si>
  <si>
    <t>Lac Courte Oreilles Ojibwa Community College (2 year)</t>
  </si>
  <si>
    <t>Pima Medical Institute-Mesa (2 year)</t>
  </si>
  <si>
    <t>Platt College-Los Angeles</t>
  </si>
  <si>
    <t>Platt College-Aurora</t>
  </si>
  <si>
    <t>Kaplan University-Davenport Campus</t>
  </si>
  <si>
    <t>Kaplan University-Cedar Falls Campus</t>
  </si>
  <si>
    <t>Paul Mitchell the School-Boise (2 year)</t>
  </si>
  <si>
    <t>Christian Life College</t>
  </si>
  <si>
    <t>Northwestern College-Southwestern Campus (2 year)</t>
  </si>
  <si>
    <t>ITT Technical Institute-Troy</t>
  </si>
  <si>
    <t>Pennsylvania Institute of Health and Technology (2 year)</t>
  </si>
  <si>
    <t>Bethel Seminary-San Diego</t>
  </si>
  <si>
    <t>St Charles Community College (2 year)</t>
  </si>
  <si>
    <t>Brandman University</t>
  </si>
  <si>
    <t>New College of Florida</t>
  </si>
  <si>
    <t>Montana Bible College</t>
  </si>
  <si>
    <t>Le Cordon Bleu College of Culinary Arts-Scottsdale</t>
  </si>
  <si>
    <t>Raphael's School of Beauty Culture Inc-Alliance (2 year)</t>
  </si>
  <si>
    <t>Metro Technology Centers (2 year)</t>
  </si>
  <si>
    <t>Daymar College-Bowling Green</t>
  </si>
  <si>
    <t>Altierus Career College Everett (2 year)</t>
  </si>
  <si>
    <t>Luna Community College (2 year)</t>
  </si>
  <si>
    <t>Yeshivah Gedolah Rabbinical College (Male only)</t>
  </si>
  <si>
    <t>University of the District of Columbia-David A Clarke School of Law</t>
  </si>
  <si>
    <t>Raphael's School of Beauty Culture Inc-Brunswick (Female only, 2 year)</t>
  </si>
  <si>
    <t>Caribbean University-Ponce</t>
  </si>
  <si>
    <t>Caribbean University-Vega Baja</t>
  </si>
  <si>
    <t>University of Advancing Technology</t>
  </si>
  <si>
    <t>Paradise Valley Community College (2 year)</t>
  </si>
  <si>
    <t>Chandler-Gilbert Community College (2 year)</t>
  </si>
  <si>
    <t>Madison Media Institute (2 year)</t>
  </si>
  <si>
    <t>Great Plains Technology Center (2 year)</t>
  </si>
  <si>
    <t>Roane-Jackson Technical Center (Female only, 2 year)</t>
  </si>
  <si>
    <t>Brightwood College-San Antonio-San Pedro (2 year)</t>
  </si>
  <si>
    <t>Le Cordon Bleu College of Culinary Arts-Austin (2 year)</t>
  </si>
  <si>
    <t>The Art Institute of New York City (2 year)</t>
  </si>
  <si>
    <t>Vista College (2 year)</t>
  </si>
  <si>
    <t>Autry Technology Center (2 year)</t>
  </si>
  <si>
    <t>Mayo Clinic Graduate School of Biomedical Sciences</t>
  </si>
  <si>
    <t>Meridian Technology Center (2 year)</t>
  </si>
  <si>
    <t>Capitol School of Hairstyling and Esthetics (Female only, 2 year)</t>
  </si>
  <si>
    <t>South Florida Bible College and Theological Seminary</t>
  </si>
  <si>
    <t>Universal Technical Institute of Illinois Inc (Male only, 2 year)</t>
  </si>
  <si>
    <t>Pennsylvania College of Technology</t>
  </si>
  <si>
    <t>Commonwealth Institute of Funeral Service (2 year)</t>
  </si>
  <si>
    <t>Delta College of Arts &amp; Technology (2 year)</t>
  </si>
  <si>
    <t>InterCoast Colleges-Anaheim (2 year)</t>
  </si>
  <si>
    <t>Stone Child College</t>
  </si>
  <si>
    <t>New York Academy of Art</t>
  </si>
  <si>
    <t>Suffolk County Community College (2 year)</t>
  </si>
  <si>
    <t>Las Positas College (2 year)</t>
  </si>
  <si>
    <t>Ogeechee Technical College (2 year)</t>
  </si>
  <si>
    <t>Remington College-Mobile Campus</t>
  </si>
  <si>
    <t>Southern Technical College</t>
  </si>
  <si>
    <t>Mercy-St Luke's School of Radiologic Technology (2 year)</t>
  </si>
  <si>
    <t>ITT Technical Institute-Norwood</t>
  </si>
  <si>
    <t>Southwest Acupuncture College-Santa Fe</t>
  </si>
  <si>
    <t>ITT Technical Institute-Knoxville</t>
  </si>
  <si>
    <t>ITT Technical Institute-Austin</t>
  </si>
  <si>
    <t>ITT Technical Institute-Houston North</t>
  </si>
  <si>
    <t>California State University-San Marcos</t>
  </si>
  <si>
    <t>Argosy University-Hawaii</t>
  </si>
  <si>
    <t>Baptist Theological Seminary at Richmond</t>
  </si>
  <si>
    <t>Brightwood College-Modesto (2 year)</t>
  </si>
  <si>
    <t>Kaplan University-Des Moines Campus</t>
  </si>
  <si>
    <t>Pinnacle Career Institute-Lawrence (Female only, 2 year)</t>
  </si>
  <si>
    <t>Interactive College of Technology-Newport (2 year)</t>
  </si>
  <si>
    <t>McNally Smith College of Music</t>
  </si>
  <si>
    <t>Interactive College of Technology (2 year)</t>
  </si>
  <si>
    <t>NorthWest Arkansas Community College (2 year)</t>
  </si>
  <si>
    <t>Colorado Heights University</t>
  </si>
  <si>
    <t>Brewster Technical College (2 year)</t>
  </si>
  <si>
    <t>Hodges University</t>
  </si>
  <si>
    <t>Argosy University-Atlanta</t>
  </si>
  <si>
    <t>University of St. Augustine for Health Sciences</t>
  </si>
  <si>
    <t>Southwest Technology Center (2 year)</t>
  </si>
  <si>
    <t>Daymar College-Clarksville</t>
  </si>
  <si>
    <t>Nossi College of Art</t>
  </si>
  <si>
    <t>ITT Technical Institute-Norfolk</t>
  </si>
  <si>
    <t>Pima Medical Institute-Seattle (2 year)</t>
  </si>
  <si>
    <t>Los Angeles ORT College-Los Angeles Campus (2 year)</t>
  </si>
  <si>
    <t>Southeastern Technical College (2 year)</t>
  </si>
  <si>
    <t>Massachusetts School of Law</t>
  </si>
  <si>
    <t>ITT Technical Institute-Albuquerque</t>
  </si>
  <si>
    <t>Universal Technical Institute-Auto Motorcycle &amp; Marine Mechanics Institute Division-Orlando (Male only, 2 year)</t>
  </si>
  <si>
    <t>Erwin Technical College (2 year)</t>
  </si>
  <si>
    <t>Worsham College of Mortuary Science (2 year)</t>
  </si>
  <si>
    <t>Oregon College of Oriental Medicine</t>
  </si>
  <si>
    <t>Miami-Jacobs Career College-Columbus (2 year)</t>
  </si>
  <si>
    <t>Bryant &amp; Stratton College-Eastlake</t>
  </si>
  <si>
    <t>Downey Adult School (2 year)</t>
  </si>
  <si>
    <t>Modern Technology School (2 year)</t>
  </si>
  <si>
    <t>National Career Education (2 year)</t>
  </si>
  <si>
    <t>Fremont College</t>
  </si>
  <si>
    <t>Xenon International Academy-Denver (Female only, 2 year)</t>
  </si>
  <si>
    <t>ITT Technical Institute-Lake Mary</t>
  </si>
  <si>
    <t>Fortis College-Smyrna (2 year)</t>
  </si>
  <si>
    <t>Remington College-Honolulu Campus</t>
  </si>
  <si>
    <t>Vatterott College-Des Moines (2 year)</t>
  </si>
  <si>
    <t>Ross College-Quad Cities (2 year)</t>
  </si>
  <si>
    <t>Adler Graduate School</t>
  </si>
  <si>
    <t>Academy of Hair Design-Jackson (2 year)</t>
  </si>
  <si>
    <t>Brightwood College-Las Vegas (2 year)</t>
  </si>
  <si>
    <t>Bryant &amp; Stratton College-Southtowns</t>
  </si>
  <si>
    <t>Yeshiva Gedolah Imrei Yosef D'spinka (Male only)</t>
  </si>
  <si>
    <t>Madison Adult Career Center (2 year)</t>
  </si>
  <si>
    <t>Remington College-Cleveland Campus (2 year)</t>
  </si>
  <si>
    <t>Brown Mackie College-Findlay</t>
  </si>
  <si>
    <t>Toledo Academy of Beauty Culture-East (Female only, 2 year)</t>
  </si>
  <si>
    <t>U S Grant Joint Vocational School (2 year)</t>
  </si>
  <si>
    <t>Gordon Cooper Technology Center (2 year)</t>
  </si>
  <si>
    <t>Kiamichi Technology Center-Durant (2 year)</t>
  </si>
  <si>
    <t>Le Cordon Bleu College of Culinary Arts-Portland (2 year)</t>
  </si>
  <si>
    <t>YTI Career Institute-Altoona (2 year)</t>
  </si>
  <si>
    <t>CEM College-Humacao</t>
  </si>
  <si>
    <t>EDIC College</t>
  </si>
  <si>
    <t>Universal Technology College of Puerto Rico</t>
  </si>
  <si>
    <t>College of the Marshall Islands (2 year)</t>
  </si>
  <si>
    <t>ITT Technical Institute-San Antonio</t>
  </si>
  <si>
    <t>Remington College-Fort Worth Campus</t>
  </si>
  <si>
    <t>School of Automotive Machinists &amp; Technology (Male only, 2 year)</t>
  </si>
  <si>
    <t>Vista College-Online</t>
  </si>
  <si>
    <t>Centura College-Newport News (2 year)</t>
  </si>
  <si>
    <t>Centura College-Norfolk (Female only, 2 year)</t>
  </si>
  <si>
    <t>Northwest College of Art &amp; Design</t>
  </si>
  <si>
    <t>University of Washington-Bothell Campus</t>
  </si>
  <si>
    <t>University of Washington-Tacoma Campus</t>
  </si>
  <si>
    <t>Valley College-Beckley (2 year)</t>
  </si>
  <si>
    <t>Valley College-Martinsburg (2 year)</t>
  </si>
  <si>
    <t>Valley College-Princeton (2 year)</t>
  </si>
  <si>
    <t>Bellus Academy-Poway (2 year)</t>
  </si>
  <si>
    <t>Central Coast College (2 year)</t>
  </si>
  <si>
    <t>ITT Technical Institute-Torrance</t>
  </si>
  <si>
    <t>Pacific College of Oriental Medicine-San Diego</t>
  </si>
  <si>
    <t>National Aviation Academy of Tampa Bay (2 year)</t>
  </si>
  <si>
    <t>Center for Advanced Legal Studies (2 year)</t>
  </si>
  <si>
    <t>Bay Mills Community College (2 year)</t>
  </si>
  <si>
    <t>Fond du Lac Tribal and Community College (2 year)</t>
  </si>
  <si>
    <t>Northwest Indian College</t>
  </si>
  <si>
    <t>Provo College</t>
  </si>
  <si>
    <t>University of Phoenix-Utah</t>
  </si>
  <si>
    <t>Colorado School of Traditional Chinese Medicine</t>
  </si>
  <si>
    <t>Phoenix Seminary</t>
  </si>
  <si>
    <t>Faust Institute of Cosmetology-Spirit Lake (Female only, 2 year)</t>
  </si>
  <si>
    <t>Colorado School of Healing Arts (2 year)</t>
  </si>
  <si>
    <t>ITT Technical Institute-San Bernardino</t>
  </si>
  <si>
    <t>Los Angeles ORT College-Van Nuys Campus (2 year)</t>
  </si>
  <si>
    <t>University of Phoenix-Puerto Rico</t>
  </si>
  <si>
    <t>Academy of Hair Design-Pearl (Female only, 2 year)</t>
  </si>
  <si>
    <t>King's College (2 year)</t>
  </si>
  <si>
    <t>Miller-Motte Technical College-Clarksville (2 year)</t>
  </si>
  <si>
    <t>Brightwood College-Dallas (2 year)</t>
  </si>
  <si>
    <t>Southwest Collegiate Institute for the Deaf (2 year)</t>
  </si>
  <si>
    <t>Fortis College-Richmond (2 year)</t>
  </si>
  <si>
    <t>Midwest College of Oriental Medicine-Racine</t>
  </si>
  <si>
    <t>Hacienda La Puente Adult Education (2 year)</t>
  </si>
  <si>
    <t>Hawaii Community College (2 year)</t>
  </si>
  <si>
    <t>Antonelli College-Hattiesburg (2 year)</t>
  </si>
  <si>
    <t>Eastern New Mexico University-Ruidoso Campus (2 year)</t>
  </si>
  <si>
    <t>Beacon College</t>
  </si>
  <si>
    <t>Acupuncture and Integrative Medicine College-Berkeley</t>
  </si>
  <si>
    <t>Estrella Mountain Community College (2 year)</t>
  </si>
  <si>
    <t>Heartland Community College (2 year)</t>
  </si>
  <si>
    <t>University of the Potomac-Washington DC Campus</t>
  </si>
  <si>
    <t>Rabbi Jacob Joseph School (Male only)</t>
  </si>
  <si>
    <t>Fortis Institute-Scranton (2 year)</t>
  </si>
  <si>
    <t>Everglades University</t>
  </si>
  <si>
    <t>Seminar L'moros Bais Yaakov (Female only, 2 year)</t>
  </si>
  <si>
    <t>Herzing University-Winter Park</t>
  </si>
  <si>
    <t>Fairview Beauty Academy (2 year)</t>
  </si>
  <si>
    <t>Florida College of Natural Health-Pompano Beach (2 year)</t>
  </si>
  <si>
    <t>National College-Nashville (2 year)</t>
  </si>
  <si>
    <t>College of Biblical Studies-Houston</t>
  </si>
  <si>
    <t>Inner State Beauty School (Female only, 2 year)</t>
  </si>
  <si>
    <t>Virginia College-Pensacola (2 year)</t>
  </si>
  <si>
    <t>Everest University-South Orlando</t>
  </si>
  <si>
    <t>The College of Health Care Professions-Northwest</t>
  </si>
  <si>
    <t>School of Professional Horticulture, New York Botanical Garden (2 year)</t>
  </si>
  <si>
    <t>Fortis College-Houston (2 year)</t>
  </si>
  <si>
    <t>Watkins College of Art Design &amp; Film</t>
  </si>
  <si>
    <t>Chicago ORT Technical Institute (2 year)</t>
  </si>
  <si>
    <t>Copper Mountain Community College (2 year)</t>
  </si>
  <si>
    <t>Mt Sierra College</t>
  </si>
  <si>
    <t>Santiago Canyon College (2 year)</t>
  </si>
  <si>
    <t>Southern California Institute of Technology (Male only)</t>
  </si>
  <si>
    <t>Soka University of America</t>
  </si>
  <si>
    <t>World Mission University</t>
  </si>
  <si>
    <t>Yo San University of Traditional Chinese Medicine</t>
  </si>
  <si>
    <t>Southwest University of Visual Arts-Albuquerque</t>
  </si>
  <si>
    <t>Frontier Community College (2 year)</t>
  </si>
  <si>
    <t>Lincoln Trail College (2 year)</t>
  </si>
  <si>
    <t>Wabash Valley College (2 year)</t>
  </si>
  <si>
    <t>Brookline College-Tempe (2 year)</t>
  </si>
  <si>
    <t>Inter American University of Puerto Rico-School of Optometry</t>
  </si>
  <si>
    <t>Schiller International University</t>
  </si>
  <si>
    <t>Vatterott College-Springfield (2 year)</t>
  </si>
  <si>
    <t>Vatterott College-Joplin (2 year)</t>
  </si>
  <si>
    <t>Vatterott College-Kansas City (2 year)</t>
  </si>
  <si>
    <t>Coconino Community College (2 year)</t>
  </si>
  <si>
    <t>Columbia Central University-Yauco</t>
  </si>
  <si>
    <t>Pima Medical Institute-Denver (2 year)</t>
  </si>
  <si>
    <t>ASA College (2 year)</t>
  </si>
  <si>
    <t>Ohio State School of Cosmetology-Heath (Female only, 2 year)</t>
  </si>
  <si>
    <t>Nationwide Beauty Academy (Female only, 2 year)</t>
  </si>
  <si>
    <t>Yeshivas Novominsk (Male only)</t>
  </si>
  <si>
    <t>Rabbinical College of Ohr Shimon Yisroel (Male only)</t>
  </si>
  <si>
    <t>Carroll Community College (2 year)</t>
  </si>
  <si>
    <t>University of Phoenix-New Mexico</t>
  </si>
  <si>
    <t>Galen College of Nursing-Tampa Bay (2 year)</t>
  </si>
  <si>
    <t>Galen College of Nursing-San Antonio</t>
  </si>
  <si>
    <t>Daymar College-Louisville</t>
  </si>
  <si>
    <t>City College-Gainesville</t>
  </si>
  <si>
    <t>Arizona State University-West</t>
  </si>
  <si>
    <t>ITT Technical Institute-Jacksonville</t>
  </si>
  <si>
    <t>ITT Technical Institute-Omaha</t>
  </si>
  <si>
    <t>Omaha School of Massage and Healthcare of Herzing University (2 year)</t>
  </si>
  <si>
    <t>Xenon International Academy-Omaha (Female only, 2 year)</t>
  </si>
  <si>
    <t>Raphael's School of Beauty Culture Inc-Boardman (2 year)</t>
  </si>
  <si>
    <t>Pacific Bible College (2 year)</t>
  </si>
  <si>
    <t>Lake Erie College of Osteopathic Medicine</t>
  </si>
  <si>
    <t>Warren County Career Center (2 year)</t>
  </si>
  <si>
    <t>Brown Mackie College-Fort Wayne</t>
  </si>
  <si>
    <t>Career Training Academy-Monroeville (2 year)</t>
  </si>
  <si>
    <t>Florida National University-Main Campus</t>
  </si>
  <si>
    <t>ITT Technical Institute-Fort Lauderdale</t>
  </si>
  <si>
    <t>Erikson Institute (Female only)</t>
  </si>
  <si>
    <t>South Texas College</t>
  </si>
  <si>
    <t>Roger Williams University School of Law</t>
  </si>
  <si>
    <t>California State University-Monterey Bay</t>
  </si>
  <si>
    <t>Brown Mackie College-Atlanta (2 year)</t>
  </si>
  <si>
    <t>Bryant &amp; Stratton College-Henrietta (2 year)</t>
  </si>
  <si>
    <t>Argosy University-The Art Institute of California-Hollywood</t>
  </si>
  <si>
    <t>Cleveland Clinic Health System-School of Diagnostic Imaging (2 year)</t>
  </si>
  <si>
    <t>National Institute of Massotherapy (2 year)</t>
  </si>
  <si>
    <t>Academy for Nursing and Health Occupations (2 year)</t>
  </si>
  <si>
    <t>Remington College-Memphis Campus</t>
  </si>
  <si>
    <t>Capella University</t>
  </si>
  <si>
    <t>College of Menominee Nation</t>
  </si>
  <si>
    <t>Leech Lake Tribal College (2 year)</t>
  </si>
  <si>
    <t>Spartan College of Aeronautics &amp; Technology (2 year)</t>
  </si>
  <si>
    <t>East San Gabriel Valley Regional Occupational Program (2 year)</t>
  </si>
  <si>
    <t>ITT Technical Institute-Little Rock</t>
  </si>
  <si>
    <t>ITT Technical Institute-Oxnard</t>
  </si>
  <si>
    <t>ITT Technical Institute-Louisville</t>
  </si>
  <si>
    <t>ITT Technical Institute-Greenville</t>
  </si>
  <si>
    <t>ITT Technical Institute-Cordova</t>
  </si>
  <si>
    <t>Phagans Newport Academy of Cosmetology Careers (2 year)</t>
  </si>
  <si>
    <t>Mech-Tech College (Male only, 2 year)</t>
  </si>
  <si>
    <t>ITT Technical Institute-Everett</t>
  </si>
  <si>
    <t>ITT Technical Institute-Bessemer</t>
  </si>
  <si>
    <t>Pacific College of Oriental Medicine-New York</t>
  </si>
  <si>
    <t>Johnson &amp; Wales University-North Miami</t>
  </si>
  <si>
    <t>ITT Technical Institute-Pittsburgh (2 year)</t>
  </si>
  <si>
    <t>Trine University-Regional/Non-Traditional Campuses</t>
  </si>
  <si>
    <t>Pennsylvania Highlands Community College (2 year)</t>
  </si>
  <si>
    <t>Nevada Career Institute (2 year)</t>
  </si>
  <si>
    <t>Phillips Theological Seminary</t>
  </si>
  <si>
    <t>Premiere Career College (2 year)</t>
  </si>
  <si>
    <t>The University of Texas MD Anderson Cancer Center</t>
  </si>
  <si>
    <t>Howell Cheney THS/CT Aero Tech School (Male only, 2 year)</t>
  </si>
  <si>
    <t>College of Business and Technology-Main Campus</t>
  </si>
  <si>
    <t>City College-Altamonte Springs (2 year)</t>
  </si>
  <si>
    <t>Southeast Missouri Hospital College of Nursing and Health Sciences</t>
  </si>
  <si>
    <t>Messenger College</t>
  </si>
  <si>
    <t>Clinton Essex Warren Washington BOCES (2 year)</t>
  </si>
  <si>
    <t>New York College of Health Professions</t>
  </si>
  <si>
    <t>Washington County Career Center-Adult Technical Training (2 year)</t>
  </si>
  <si>
    <t>Indian Capital Technology Center-Muskogee (2 year)</t>
  </si>
  <si>
    <t>Lancaster County Career and Technology Center (2 year)</t>
  </si>
  <si>
    <t>Fortis Institute-Cookeville (2 year)</t>
  </si>
  <si>
    <t>North Central Institute (2 year)</t>
  </si>
  <si>
    <t>Central California School of Continuing Education (2 year)</t>
  </si>
  <si>
    <t>Atlanta Institute of Music and Media (2 year)</t>
  </si>
  <si>
    <t>Jna Institute of Culinary Arts (2 year)</t>
  </si>
  <si>
    <t>Argosy University-Northern Virginia</t>
  </si>
  <si>
    <t>Everest University-Melbourne</t>
  </si>
  <si>
    <t>Centura College-Chesapeake</t>
  </si>
  <si>
    <t>University of Phoenix-Hawaii</t>
  </si>
  <si>
    <t>Florida College of Natural Health-Miami (2 year)</t>
  </si>
  <si>
    <t>Southwest College of Naturopathic Medicine &amp; Health Sciences</t>
  </si>
  <si>
    <t>Virginia College-Birmingham</t>
  </si>
  <si>
    <t>Virginia College-Huntsville</t>
  </si>
  <si>
    <t>Yeshiva D'monsey Rabbinical College (Male only)</t>
  </si>
  <si>
    <t>Lincoln Technical Institute-Mahwah (Male only, 2 year)</t>
  </si>
  <si>
    <t>Career Technical Institute (2 year)</t>
  </si>
  <si>
    <t>Northwest Vista College (2 year)</t>
  </si>
  <si>
    <t>ITT Technical Institute-Getzville (2 year)</t>
  </si>
  <si>
    <t>Oconee Fall Line Technical College (2 year)</t>
  </si>
  <si>
    <t>York County Community College (2 year)</t>
  </si>
  <si>
    <t>Western Suffolk BOCES (2 year)</t>
  </si>
  <si>
    <t>Sanford-Brown College-Atlanta (2 year)</t>
  </si>
  <si>
    <t>Arkansas State University-Mountain Home (2 year)</t>
  </si>
  <si>
    <t>Columbia Gorge Community College (2 year)</t>
  </si>
  <si>
    <t>Arizona State University-Polytechnic</t>
  </si>
  <si>
    <t>Bakke Graduate University</t>
  </si>
  <si>
    <t>Tillamook Bay Community College (2 year)</t>
  </si>
  <si>
    <t>Argosy University-Schaumburg</t>
  </si>
  <si>
    <t>Ross College-Hopkinsville (2 year)</t>
  </si>
  <si>
    <t>Arizona College-Glendale (2 year)</t>
  </si>
  <si>
    <t>Living Arts College</t>
  </si>
  <si>
    <t>New York Conservatory for Dramatic Arts (2 year)</t>
  </si>
  <si>
    <t>Eastern International College-Jersey City</t>
  </si>
  <si>
    <t>Pacific College</t>
  </si>
  <si>
    <t>American College of Healthcare (2 year)</t>
  </si>
  <si>
    <t>Midwestern University-Glendale</t>
  </si>
  <si>
    <t>Oregon Coast Community College (2 year)</t>
  </si>
  <si>
    <t>Le Cordon Bleu College of Culinary Arts-Pasadena (2 year)</t>
  </si>
  <si>
    <t>Gwinnett College-Sandy Springs (2 year)</t>
  </si>
  <si>
    <t>Embry-Riddle Aeronautical University-Worldwide</t>
  </si>
  <si>
    <t>Merkaz Bnos-Business School (2 year)</t>
  </si>
  <si>
    <t>ITT Technical Institute-Webster</t>
  </si>
  <si>
    <t>Aviation Institute of Maintenance-Chesapeake (2 year)</t>
  </si>
  <si>
    <t>Centura College-Richmond Main (2 year)</t>
  </si>
  <si>
    <t>Technical Education Center-Osceola (2 year)</t>
  </si>
  <si>
    <t>Miami Ad School-Wynwood (2 year)</t>
  </si>
  <si>
    <t>Nova College de Puerto Rico (2 year)</t>
  </si>
  <si>
    <t>Platt College-Lawton (2 year)</t>
  </si>
  <si>
    <t>Southeastern College-West Palm Beach (2 year)</t>
  </si>
  <si>
    <t>Ottawa University-Milwaukee</t>
  </si>
  <si>
    <t>Argosy University-Tampa</t>
  </si>
  <si>
    <t>The Illinois Institute of Art-Schaumburg</t>
  </si>
  <si>
    <t>Klamath Community College (2 year)</t>
  </si>
  <si>
    <t>The Art Institute of Phoenix</t>
  </si>
  <si>
    <t>American College of Acupuncture and Oriental Med</t>
  </si>
  <si>
    <t>AOMA Graduate School of Integrative Medicine</t>
  </si>
  <si>
    <t>Urban College of Boston (2 year)</t>
  </si>
  <si>
    <t>ITT Technical Institute-Henderson</t>
  </si>
  <si>
    <t>Golf Academy of America-Orlando (Male only, 2 year)</t>
  </si>
  <si>
    <t>Golf Academy of America-Phoenix (2 year)</t>
  </si>
  <si>
    <t>Strayer University-Maryland</t>
  </si>
  <si>
    <t>ITT Technical Institute-Hialeah</t>
  </si>
  <si>
    <t>ITT Technical Institute-Harrisburg (2 year)</t>
  </si>
  <si>
    <t>ITT Technical Institute-Tarentum (2 year)</t>
  </si>
  <si>
    <t>ITT Technical Institute-Strongsville</t>
  </si>
  <si>
    <t>The Creative Center</t>
  </si>
  <si>
    <t>San Juan Bautista School of Medicine</t>
  </si>
  <si>
    <t>Texas Health and Science University</t>
  </si>
  <si>
    <t>Carver Career Center (2 year)</t>
  </si>
  <si>
    <t>New Hampshire Institute of Art</t>
  </si>
  <si>
    <t>Colegio de Cinematograf?ía Artes y Television (2 year)</t>
  </si>
  <si>
    <t>Institute of Technology (2 year)</t>
  </si>
  <si>
    <t>Massachusetts General Hospital Dietetic Internship (Female only)</t>
  </si>
  <si>
    <t>Mercy Hospital School of Nursing (2 year)</t>
  </si>
  <si>
    <t>Brightwood College-San Antonio-Ingram (2 year)</t>
  </si>
  <si>
    <t>Trinity College of Puerto Rico (2 year)</t>
  </si>
  <si>
    <t>Yeshiva of the Telshe Alumni (Male only)</t>
  </si>
  <si>
    <t>University of Phoenix-Washington</t>
  </si>
  <si>
    <t>University of Phoenix-Oregon</t>
  </si>
  <si>
    <t>Brightwood College-Riverside (2 year)</t>
  </si>
  <si>
    <t>Appalachian School of Law</t>
  </si>
  <si>
    <t>LIU Hudson at Westchester</t>
  </si>
  <si>
    <t>Platt College-Ontario</t>
  </si>
  <si>
    <t>Delaware College of Art and Design (2 year)</t>
  </si>
  <si>
    <t>Argosy University-The Art Institute of California-Los Angeles</t>
  </si>
  <si>
    <t>American University of Health Sciences</t>
  </si>
  <si>
    <t>Career Networks Institute</t>
  </si>
  <si>
    <t>Okaloosa Technical College (2 year)</t>
  </si>
  <si>
    <t>Lincoln Technical Institute-Lincoln (2 year)</t>
  </si>
  <si>
    <t>Carolinas College of Health Sciences (2 year)</t>
  </si>
  <si>
    <t>Lester E Cox Medical Center-School of Medical Technology</t>
  </si>
  <si>
    <t>Western Governors University</t>
  </si>
  <si>
    <t>Santa Barbara Business College-Ventura</t>
  </si>
  <si>
    <t>Sullivan and Cogliano Training Center (2 year)</t>
  </si>
  <si>
    <t>Herzing University-Kenner</t>
  </si>
  <si>
    <t>Spencerian College-Lexington (2 year)</t>
  </si>
  <si>
    <t>Florida Gulf Coast University</t>
  </si>
  <si>
    <t>Little Priest Tribal College (2 year)</t>
  </si>
  <si>
    <t>ITT Technical Institute-Richardson</t>
  </si>
  <si>
    <t>South Louisiana Community College (2 year)</t>
  </si>
  <si>
    <t>Pima Medical Institute-Chula Vista (2 year)</t>
  </si>
  <si>
    <t>Lincoln College of Technology-Marietta (2 year)</t>
  </si>
  <si>
    <t>Myotherapy Institute (2 year)</t>
  </si>
  <si>
    <t>Florida College of Integrative Medicine</t>
  </si>
  <si>
    <t>City College-Miami</t>
  </si>
  <si>
    <t>ITT Technical Institute-Arnold</t>
  </si>
  <si>
    <t>ITT Technical Institute-Albany (2 year)</t>
  </si>
  <si>
    <t>ITT Technical Institute-Liverpool (2 year)</t>
  </si>
  <si>
    <t>Ilisagvik College</t>
  </si>
  <si>
    <t>Community College of Baltimore County (2 year)</t>
  </si>
  <si>
    <t>Golf Academy of America-Myrtle Beach (Male only, 2 year)</t>
  </si>
  <si>
    <t>Florida Coastal School of Law</t>
  </si>
  <si>
    <t>White Earth Tribal and Community College (2 year)</t>
  </si>
  <si>
    <t>Blue Cliff College-Metairie (2 year)</t>
  </si>
  <si>
    <t>Creative Images Institute of Cosmetology-North Dayton (2 year)</t>
  </si>
  <si>
    <t>Dewey University-Carolina</t>
  </si>
  <si>
    <t>Yeshiva College of the Nations Capital (Male only)</t>
  </si>
  <si>
    <t>University of Phoenix-Maryland</t>
  </si>
  <si>
    <t>Louisiana State University Health Sciences Center-Shreveport</t>
  </si>
  <si>
    <t>Montessori Institute of Milwaukee</t>
  </si>
  <si>
    <t>Argosy University-Phoenix</t>
  </si>
  <si>
    <t>Mr Leon's School of Hair Design-Lewiston (2 year)</t>
  </si>
  <si>
    <t>Vatterott College-St Joseph (2 year)</t>
  </si>
  <si>
    <t>Vatterott College-Sunset Hills</t>
  </si>
  <si>
    <t>Southwest Acupuncture College-Boulder</t>
  </si>
  <si>
    <t>River Parishes Community College (2 year)</t>
  </si>
  <si>
    <t>Los Angeles Film School</t>
  </si>
  <si>
    <t>Argosy University-Orange County</t>
  </si>
  <si>
    <t>Dewey University-Bayamon (2 year)</t>
  </si>
  <si>
    <t>National American University-Bloomington</t>
  </si>
  <si>
    <t>FINE Mortuary College (2 year)</t>
  </si>
  <si>
    <t>International Baptist College and Seminary</t>
  </si>
  <si>
    <t>Gwinnett College (2 year)</t>
  </si>
  <si>
    <t>University of Connecticut-Waterbury Campus</t>
  </si>
  <si>
    <t>University of Connecticut-Avery Point</t>
  </si>
  <si>
    <t>University of Connecticut-Stamford</t>
  </si>
  <si>
    <t>ITT Technical Institute-Saint Rose</t>
  </si>
  <si>
    <t>ITT Technical Institute-Richmond</t>
  </si>
  <si>
    <t>Vatterott College-Oklahoma City (2 year)</t>
  </si>
  <si>
    <t>University of Management and Technology</t>
  </si>
  <si>
    <t>Baton Rouge Community College (2 year)</t>
  </si>
  <si>
    <t>ITT Technical Institute-Lathrop</t>
  </si>
  <si>
    <t>International Yacht Restoration School (2 year)</t>
  </si>
  <si>
    <t>Linfield College-School of Nursing</t>
  </si>
  <si>
    <t>Linfield College-Online and Continuing Education</t>
  </si>
  <si>
    <t>The College of Health Care Professions-Austin (2 year)</t>
  </si>
  <si>
    <t>Monteclaro Escuela de Hoteleria y Artes Culinarias (Female only, 2 year)</t>
  </si>
  <si>
    <t>Dallas Nursing Institute</t>
  </si>
  <si>
    <t>Professional Golfers Career College (2 year)</t>
  </si>
  <si>
    <t>Chester Career College (Female only, 2 year)</t>
  </si>
  <si>
    <t>Carrington College-San Jose (2 year)</t>
  </si>
  <si>
    <t>Brookline College-Tucson</t>
  </si>
  <si>
    <t>Carrington College-Pleasant Hill (2 year)</t>
  </si>
  <si>
    <t>Florida College of Natural Health-Maitland (2 year)</t>
  </si>
  <si>
    <t>Stratford University</t>
  </si>
  <si>
    <t>Universal Technical Institute of California Inc (Male only, 2 year)</t>
  </si>
  <si>
    <t>American InterContinental University-Atlanta</t>
  </si>
  <si>
    <t>Altierus Career College-Chesapeake (2 year)</t>
  </si>
  <si>
    <t>The Academy of Hair Design Six (2 year)</t>
  </si>
  <si>
    <t>Eastern West Virginia Community and Technical College (2 year)</t>
  </si>
  <si>
    <t>Aviation Institute of Maintenance-Indianapolis (2 year)</t>
  </si>
  <si>
    <t>Remington College-Little Rock Campus (2 year)</t>
  </si>
  <si>
    <t>Everest University-Jacksonville</t>
  </si>
  <si>
    <t>Midwest College of Oriental Medicine-Evanston</t>
  </si>
  <si>
    <t>Argosy University-Seattle</t>
  </si>
  <si>
    <t>Carrington College-Spokane (2 year)</t>
  </si>
  <si>
    <t>Brightwood College-Friendswood (2 year)</t>
  </si>
  <si>
    <t>ITT Technical Institute-Wilmington</t>
  </si>
  <si>
    <t>Pierce College-Puyallup (2 year)</t>
  </si>
  <si>
    <t>Cascadia College</t>
  </si>
  <si>
    <t>Johnson &amp; Wales University-Denver</t>
  </si>
  <si>
    <t>University of Phoenix-Ohio</t>
  </si>
  <si>
    <t>CBD College (2 year)</t>
  </si>
  <si>
    <t>East West College of Natural Medicine</t>
  </si>
  <si>
    <t>Atlantic Institute of Oriental Medicine</t>
  </si>
  <si>
    <t>Blue Cliff College-Shreveport (Female only, 2 year)</t>
  </si>
  <si>
    <t>Blue Cliff College-Lafayette (2 year)</t>
  </si>
  <si>
    <t>Community Care College (2 year)</t>
  </si>
  <si>
    <t>Crossroads Bible College</t>
  </si>
  <si>
    <t>The King's University</t>
  </si>
  <si>
    <t>Fortis College-Baton Rouge (2 year)</t>
  </si>
  <si>
    <t>New York College of Traditional Chinese Medicine</t>
  </si>
  <si>
    <t>Fortis College-Orange Park (2 year)</t>
  </si>
  <si>
    <t>Northeastern Seminary</t>
  </si>
  <si>
    <t>Pacific Islands University</t>
  </si>
  <si>
    <t>PCI College (2 year)</t>
  </si>
  <si>
    <t>Rosedale Bible College (2 year)</t>
  </si>
  <si>
    <t>Seattle Institute of Oriental Medicine</t>
  </si>
  <si>
    <t>Acupuncture and Massage College</t>
  </si>
  <si>
    <t>Upper Valley Educators Institute</t>
  </si>
  <si>
    <t>Keck Graduate Institute</t>
  </si>
  <si>
    <t>Aviation Institute of Maintenance-Atlanta (2 year)</t>
  </si>
  <si>
    <t>Career Training Academy-Pittsburgh (2 year)</t>
  </si>
  <si>
    <t>New York Automotive and Diesel Institute (2 year)</t>
  </si>
  <si>
    <t>Remington College-Baton Rouge Campus (2 year)</t>
  </si>
  <si>
    <t>Brightwood College-Beaumont (2 year)</t>
  </si>
  <si>
    <t>Brightwood College-Laredo (2 year)</t>
  </si>
  <si>
    <t>The Art Institute of Washington</t>
  </si>
  <si>
    <t>New Saint Andrews College</t>
  </si>
  <si>
    <t>Arkansas State University-Newport (2 year)</t>
  </si>
  <si>
    <t>Marlboro College Graduate &amp; Professional Studies</t>
  </si>
  <si>
    <t>University of Phoenix-Massachusetts</t>
  </si>
  <si>
    <t>University of Phoenix-Wisconsin</t>
  </si>
  <si>
    <t>University of Phoenix-Idaho</t>
  </si>
  <si>
    <t>ITT Technical Institute-Levittown (2 year)</t>
  </si>
  <si>
    <t>Atenas College</t>
  </si>
  <si>
    <t>National American University-Ellsworth AFB Extension</t>
  </si>
  <si>
    <t>National American University-Albuquerque West</t>
  </si>
  <si>
    <t>National American University-Brooklyn Center</t>
  </si>
  <si>
    <t>Pillar College</t>
  </si>
  <si>
    <t>Miami Ad School-San Francisco (2 year)</t>
  </si>
  <si>
    <t>Oregon State University-Cascades Campus</t>
  </si>
  <si>
    <t>Vatterott College-Dividend (2 year)</t>
  </si>
  <si>
    <t>Vatterott College-Tulsa (2 year)</t>
  </si>
  <si>
    <t>Vatterott College-Wichita (2 year)</t>
  </si>
  <si>
    <t>Southern University Law Center</t>
  </si>
  <si>
    <t>Sanford-Brown College-Orlando</t>
  </si>
  <si>
    <t>Miller-Motte Technical College-Charleston (2 year)</t>
  </si>
  <si>
    <t>American Career College-Anaheim (2 year)</t>
  </si>
  <si>
    <t>Saginaw Chippewa Tribal College (2 year)</t>
  </si>
  <si>
    <t>Wyotech-Blairsville (2 year)</t>
  </si>
  <si>
    <t>Richmont Graduate University</t>
  </si>
  <si>
    <t>The Seattle School of Theology &amp; Psychology</t>
  </si>
  <si>
    <t>Northwest College-Hillsboro (2 year)</t>
  </si>
  <si>
    <t>West Coast Ultrasound Institute (2 year)</t>
  </si>
  <si>
    <t>Irell &amp; Manella Graduate School of Biological Sciences at City of Hope</t>
  </si>
  <si>
    <t>University of the Rockies</t>
  </si>
  <si>
    <t>Ultimate Medical Academy-Clearwater (2 year)</t>
  </si>
  <si>
    <t>Florida Education Institute (2 year)</t>
  </si>
  <si>
    <t>National Graduate School of Quality Management</t>
  </si>
  <si>
    <t>Texas County Technical College (2 year)</t>
  </si>
  <si>
    <t>Aviation Institute of Maintenance-Kansas City (2 year)</t>
  </si>
  <si>
    <t>Blue Cliff College-Gulfport (2 year)</t>
  </si>
  <si>
    <t>Apex School of Theology</t>
  </si>
  <si>
    <t>Yeshiva Shaarei Torah of Rockland (Male only)</t>
  </si>
  <si>
    <t>American Institute of Alternative Medicine</t>
  </si>
  <si>
    <t>Brown Aveda Institute-Mentor (Female only, 2 year)</t>
  </si>
  <si>
    <t>Universidad Pentecostal Mizpa</t>
  </si>
  <si>
    <t>Concorde Career College-Grand Prairie (2 year)</t>
  </si>
  <si>
    <t>Lamar Institute of Technology (2 year)</t>
  </si>
  <si>
    <t>Aviation Institute of Maintenance-Dallas (2 year)</t>
  </si>
  <si>
    <t>Eastern Virginia Career College (Female only, 2 year)</t>
  </si>
  <si>
    <t>Nevada State College</t>
  </si>
  <si>
    <t>Virginia College-Jackson (2 year)</t>
  </si>
  <si>
    <t>Virginia College-Austin (2 year)</t>
  </si>
  <si>
    <t>California State University-Channel Islands</t>
  </si>
  <si>
    <t>ITT Technical Institute-Springfield</t>
  </si>
  <si>
    <t>ITT Technical Institute-Chantilly</t>
  </si>
  <si>
    <t>Argosy University-The Art Institute of California-Orange County</t>
  </si>
  <si>
    <t>Franklin W Olin College of Engineering</t>
  </si>
  <si>
    <t>Lincoln Technical Institute-Northeast Philadelphia (2 year)</t>
  </si>
  <si>
    <t>Lincoln Technical Institute-Center City Philadelphia (2 year)</t>
  </si>
  <si>
    <t>Won Institute of Graduate Studies</t>
  </si>
  <si>
    <t>Pima Medical Institute-Colorado Springs (2 year)</t>
  </si>
  <si>
    <t>University of Phoenix-Illinois</t>
  </si>
  <si>
    <t>Birthwise Midwifery School (Female only, 2 year)</t>
  </si>
  <si>
    <t>Argosy University-Dallas</t>
  </si>
  <si>
    <t>Ave Maria School of Law</t>
  </si>
  <si>
    <t>ITT Technical Institute-Canton</t>
  </si>
  <si>
    <t>ITT Technical Institute-Plymouth Meeting (2 year)</t>
  </si>
  <si>
    <t>Pennsylvania College of Health Sciences</t>
  </si>
  <si>
    <t>West Virginia Junior College-Bridgeport (2 year)</t>
  </si>
  <si>
    <t>Antioch University-PhD Program in Leadership and Change</t>
  </si>
  <si>
    <t>Vatterott College-Cleveland (2 year)</t>
  </si>
  <si>
    <t>St Louis College of Health Careers-Fenton</t>
  </si>
  <si>
    <t>Interactive College of Technology-Gainesville (2 year)</t>
  </si>
  <si>
    <t>Alaska Christian College (2 year)</t>
  </si>
  <si>
    <t>Grantham University</t>
  </si>
  <si>
    <t>Carrington College-Albuquerque (2 year)</t>
  </si>
  <si>
    <t>NASCAR Technical Institute (Male only, 2 year)</t>
  </si>
  <si>
    <t>University of the Potomac-VA Campus</t>
  </si>
  <si>
    <t>National American University-Overland Park</t>
  </si>
  <si>
    <t>Tohono O'Odham Community College (2 year)</t>
  </si>
  <si>
    <t>Everest College-Dallas (2 year)</t>
  </si>
  <si>
    <t>Edward Via College of Osteopathic Medicine</t>
  </si>
  <si>
    <t>Pacific College of Oriental Medicine-Chicago</t>
  </si>
  <si>
    <t>Southwest Institute of Healing Arts (2 year)</t>
  </si>
  <si>
    <t>InterCoast Colleges-Riverside (2 year)</t>
  </si>
  <si>
    <t>Ottawa University-Jeffersonville</t>
  </si>
  <si>
    <t>University of Antelope Valley</t>
  </si>
  <si>
    <t>Birthingway College of Midwifery (Female only)</t>
  </si>
  <si>
    <t>Pima Medical Institute-Albuquerque West (2 year)</t>
  </si>
  <si>
    <t>NorthShore University HealthSystem School of Nurse Anesthesia</t>
  </si>
  <si>
    <t>Faith International University</t>
  </si>
  <si>
    <t>Family of Faith Christian University</t>
  </si>
  <si>
    <t>Hood Theological Seminary</t>
  </si>
  <si>
    <t>International Technological University</t>
  </si>
  <si>
    <t>Southeastern College-Jacksonville (Female only, 2 year)</t>
  </si>
  <si>
    <t>Toni &amp; Guy Hairdressing Academy-Colorado Springs (2 year)</t>
  </si>
  <si>
    <t>West Coast University-Los Angeles</t>
  </si>
  <si>
    <t>Williamson Christian College</t>
  </si>
  <si>
    <t>Triangle Tech Inc-Sunbury (2 year)</t>
  </si>
  <si>
    <t>DigiPen Institute of Technology</t>
  </si>
  <si>
    <t>Pierpont Community and Technical College (2 year)</t>
  </si>
  <si>
    <t>ITT Technical Institute-Duluth</t>
  </si>
  <si>
    <t>ITT Technical Institute-Hilliard</t>
  </si>
  <si>
    <t>University of Phoenix-Indiana</t>
  </si>
  <si>
    <t>Dewey University-Hato Rey</t>
  </si>
  <si>
    <t>InterCoast Colleges-West Covina (2 year)</t>
  </si>
  <si>
    <t>American College of Healthcare Sciences (Female only)</t>
  </si>
  <si>
    <t>Le Cordon Bleu College of Culinary Arts-Atlanta (2 year)</t>
  </si>
  <si>
    <t>Miller-Motte Technical College-Chattanooga (2 year)</t>
  </si>
  <si>
    <t>Bexley Hall Seabury Western Theological Seminary Federation, Inc.</t>
  </si>
  <si>
    <t>Altierus Career College-Norcross (2 year)</t>
  </si>
  <si>
    <t>Strayer University-Tennessee</t>
  </si>
  <si>
    <t>Strayer University-Pennsylvania</t>
  </si>
  <si>
    <t>Brightwood College-Brownsville (2 year)</t>
  </si>
  <si>
    <t>Brightwood College-Corpus Christi (2 year)</t>
  </si>
  <si>
    <t>Altierus Career College-Arlington (2 year)</t>
  </si>
  <si>
    <t>Altierus Career College-Tacoma (2 year)</t>
  </si>
  <si>
    <t>National University College-Rio Grande</t>
  </si>
  <si>
    <t>Creative Images Institute of Cosmetology-South Dayton (Female only, 2 year)</t>
  </si>
  <si>
    <t>Brookline College-Albuquerque</t>
  </si>
  <si>
    <t>Byzantine Catholic Seminary of Saints Cyril and Methodius</t>
  </si>
  <si>
    <t>Northcentral University</t>
  </si>
  <si>
    <t>Folsom Lake College (2 year)</t>
  </si>
  <si>
    <t>Daymar College-Murfreesboro</t>
  </si>
  <si>
    <t>Bold Beauty Academy (Female only, 2 year)</t>
  </si>
  <si>
    <t>ATI College-Norwalk (2 year)</t>
  </si>
  <si>
    <t>Advance Science College (Female only, 2 year)</t>
  </si>
  <si>
    <t>Advanced College (2 year)</t>
  </si>
  <si>
    <t>Advanced Training Associates (2 year)</t>
  </si>
  <si>
    <t>Baptist University of the Americas</t>
  </si>
  <si>
    <t>Beis Medrash Heichal Dovid (Male only)</t>
  </si>
  <si>
    <t>Mid City College (2 year)</t>
  </si>
  <si>
    <t>Auguste Escoffier School of Culinary Arts-Austin (2 year)</t>
  </si>
  <si>
    <t>Culinary Institute Inc (2 year)</t>
  </si>
  <si>
    <t>Institute of Clinical Acupuncture &amp; Oriental Med</t>
  </si>
  <si>
    <t>Gwinnett College-Marietta Campus (2 year)</t>
  </si>
  <si>
    <t>Charlotte Christian College and Theological Seminary</t>
  </si>
  <si>
    <t>Nightingale College</t>
  </si>
  <si>
    <t>Total Look School of Cosmetology &amp; Massage Therapy (Female only, 2 year)</t>
  </si>
  <si>
    <t>The Art Institute of Tucson</t>
  </si>
  <si>
    <t>Mountwest Community and Technical College (2 year)</t>
  </si>
  <si>
    <t>Centura College-Columbia (2 year)</t>
  </si>
  <si>
    <t>Flagler College-Tallahassee</t>
  </si>
  <si>
    <t>American InterContinental University</t>
  </si>
  <si>
    <t>Toyota Technological Institute at Chicago (Male only)</t>
  </si>
  <si>
    <t>ITT Technical Institute-Eden Prairie</t>
  </si>
  <si>
    <t>Virginia College-Mobile (2 year)</t>
  </si>
  <si>
    <t>Le Cordon Bleu College of Culinary Arts-Las Vegas (2 year)</t>
  </si>
  <si>
    <t>American InterContinental University-Houston</t>
  </si>
  <si>
    <t>University of California-Merced</t>
  </si>
  <si>
    <t>Remington College-North Houston Campus</t>
  </si>
  <si>
    <t>Pima Medical Institute-Las Vegas (2 year)</t>
  </si>
  <si>
    <t>Remington College-Nashville Campus (2 year)</t>
  </si>
  <si>
    <t>Platt College-North OKC (2 year)</t>
  </si>
  <si>
    <t>Central Methodist University-College of Graduate and Extended Studies</t>
  </si>
  <si>
    <t>University of Phoenix-New Jersey</t>
  </si>
  <si>
    <t>University of Phoenix-Minnesota</t>
  </si>
  <si>
    <t>Brightwood College-Fort Worth (2 year)</t>
  </si>
  <si>
    <t>Kaplan College-Lubbock (Female only, 2 year)</t>
  </si>
  <si>
    <t>North-West College-Riverside (2 year)</t>
  </si>
  <si>
    <t>University of Phoenix-Kentucky</t>
  </si>
  <si>
    <t>Altierus Career College-Orange Park</t>
  </si>
  <si>
    <t>Altierus Career College-Bissonnet (2 year)</t>
  </si>
  <si>
    <t>Vatterott College-St Charles (2 year)</t>
  </si>
  <si>
    <t>Neumont College of Computer Science</t>
  </si>
  <si>
    <t>Johnson &amp; Wales University-Charlotte</t>
  </si>
  <si>
    <t>L'Ecole Culinaire-St Louis (2 year)</t>
  </si>
  <si>
    <t>Roseman University of Health Sciences</t>
  </si>
  <si>
    <t>Fortis Institute-Port Saint Lucie (2 year)</t>
  </si>
  <si>
    <t>Aviation Institute of Maintenance-Manassas (2 year)</t>
  </si>
  <si>
    <t>Cosmetology School of Arts and Science LLC (Female only, 2 year)</t>
  </si>
  <si>
    <t>Universal Technical Institute of Pennsylvania Inc (Male only, 2 year)</t>
  </si>
  <si>
    <t>Divine Mercy University</t>
  </si>
  <si>
    <t>Northwest Career College (2 year)</t>
  </si>
  <si>
    <t>American Academy of Acupuncture and Oriental Medicine</t>
  </si>
  <si>
    <t>Arizona School of Acupuncture and Oriental Medicine</t>
  </si>
  <si>
    <t>Ave Maria University</t>
  </si>
  <si>
    <t>Cambridge Junior College-Yuba City (2 year)</t>
  </si>
  <si>
    <t>Cambridge Institute of Allied Health &amp; Technology (2 year)</t>
  </si>
  <si>
    <t>ATA Career Education (2 year)</t>
  </si>
  <si>
    <t>Career Quest Learning Centers-Lansing (2 year)</t>
  </si>
  <si>
    <t>Community Christian College (2 year)</t>
  </si>
  <si>
    <t>Eastern School of Acupuncture and Traditional Medicine</t>
  </si>
  <si>
    <t>Ecclesia College</t>
  </si>
  <si>
    <t>Healthcare Training Institute (Female only, 2 year)</t>
  </si>
  <si>
    <t>Los Angeles College of Music</t>
  </si>
  <si>
    <t>Maple Springs Baptist Bible College and Seminary</t>
  </si>
  <si>
    <t>SAE Institute of Technology-Nashville (2 year)</t>
  </si>
  <si>
    <t>Southern Technical College (2 year)</t>
  </si>
  <si>
    <t>Stanbridge University</t>
  </si>
  <si>
    <t>Universal Career School (2 year)</t>
  </si>
  <si>
    <t>Universal College of Healing Arts (2 year)</t>
  </si>
  <si>
    <t>Uta Mesivta of Kiryas Joel (Male only)</t>
  </si>
  <si>
    <t>W L Bonner College</t>
  </si>
  <si>
    <t>Harrisburg University of Science and Technology</t>
  </si>
  <si>
    <t>The Art Institute of Ohio-Cincinnati</t>
  </si>
  <si>
    <t>University of Phoenix-Iowa</t>
  </si>
  <si>
    <t>Blue Ridge Community and Technical College (2 year)</t>
  </si>
  <si>
    <t>Sanford-Brown College-Las Vegas</t>
  </si>
  <si>
    <t>Sanford-Brown College-Seattle</t>
  </si>
  <si>
    <t>Le Cordon Bleu College of Culinary Arts-Miami (2 year)</t>
  </si>
  <si>
    <t>Le Cordon Bleu College of Culinary Arts-Minneapolis (2 year)</t>
  </si>
  <si>
    <t>ITT Technical Institute-Kansas City</t>
  </si>
  <si>
    <t>ITT Technical Institute-Kennesaw</t>
  </si>
  <si>
    <t>ITT Technical Institute-Owings Mills</t>
  </si>
  <si>
    <t>ITT Technical Institute-Warrensville Heights</t>
  </si>
  <si>
    <t>Daytona College (2 year)</t>
  </si>
  <si>
    <t>United States University</t>
  </si>
  <si>
    <t>Brightwood College-Bakersfield (2 year)</t>
  </si>
  <si>
    <t>Brightwood College-Fresno (2 year)</t>
  </si>
  <si>
    <t>Empire Beauty School-Littleton (Female only, 2 year)</t>
  </si>
  <si>
    <t>Empire Beauty School-Aurora (2 year)</t>
  </si>
  <si>
    <t>Altierus Career College-Columbus (2 year)</t>
  </si>
  <si>
    <t>AmeriTech College-Draper</t>
  </si>
  <si>
    <t>Argosy University-Los Angeles</t>
  </si>
  <si>
    <t>Brown Mackie College-Miami</t>
  </si>
  <si>
    <t>Platt College-Moore (2 year)</t>
  </si>
  <si>
    <t>Universal Technical Institute of Massachusetts Inc (Male only, 2 year)</t>
  </si>
  <si>
    <t>Eagle Gate College-Layton</t>
  </si>
  <si>
    <t>SAE Expression College</t>
  </si>
  <si>
    <t>Daymar College-Bellevue (2 year)</t>
  </si>
  <si>
    <t>New River Community and Technical College (2 year)</t>
  </si>
  <si>
    <t>The College of Health Care Professions-Southwest Houston (2 year)</t>
  </si>
  <si>
    <t>Brightwood College-Palm Springs (2 year)</t>
  </si>
  <si>
    <t>Georgia Gwinnett College</t>
  </si>
  <si>
    <t>Phoenix Institute of Herbal Medicine &amp; Acupuncture</t>
  </si>
  <si>
    <t>California Career College (2 year)</t>
  </si>
  <si>
    <t>National Polytechnic College (2 year)</t>
  </si>
  <si>
    <t>American Career College-Ontario (2 year)</t>
  </si>
  <si>
    <t>Asher College (2 year)</t>
  </si>
  <si>
    <t>University of East-West Medicine</t>
  </si>
  <si>
    <t>Aviator College of Aeronautical Science and Technology (2 year)</t>
  </si>
  <si>
    <t>ATA College (Female only, 2 year)</t>
  </si>
  <si>
    <t>SUM Bible College and Theological Seminary</t>
  </si>
  <si>
    <t>WellSpring School of Allied Health-Kansas City (2 year)</t>
  </si>
  <si>
    <t>The Salon Professional Academy-Fargo (Female only, 2 year)</t>
  </si>
  <si>
    <t>Paul Mitchell the School-Logan (Female only, 2 year)</t>
  </si>
  <si>
    <t>Careers Unlimited (Female only)</t>
  </si>
  <si>
    <t>Mountainland Technical College (2 year)</t>
  </si>
  <si>
    <t>Doane University-Graduate and Professional Studies</t>
  </si>
  <si>
    <t>Shorter University-College of Adult &amp; Professional Programs</t>
  </si>
  <si>
    <t>The Art Institute of Indianapolis</t>
  </si>
  <si>
    <t>Eastern International College-Belleville</t>
  </si>
  <si>
    <t>Universal Technical Institute of Northern California Inc (Male only, 2 year)</t>
  </si>
  <si>
    <t>ITT Technical Institute-Charlotte South</t>
  </si>
  <si>
    <t>ITT Technical Institute-Clovis</t>
  </si>
  <si>
    <t>ITT Technical Institute-Dunmore (2 year)</t>
  </si>
  <si>
    <t>ITT Technical Institute-Swartz Creek</t>
  </si>
  <si>
    <t>ITT Technical Institute-Lexington</t>
  </si>
  <si>
    <t>ITT Technical Institute-Maumee</t>
  </si>
  <si>
    <t>ITT Technical Institute-Oklahoma City</t>
  </si>
  <si>
    <t>ITT Technical Institute-Tulsa</t>
  </si>
  <si>
    <t>University of Phoenix-South Carolina</t>
  </si>
  <si>
    <t>Argosy University-The Art Institute of California-Inland Empire</t>
  </si>
  <si>
    <t>National American University-Zona Rosa</t>
  </si>
  <si>
    <t>West Hills College-Lemoore (2 year)</t>
  </si>
  <si>
    <t>Stautzenberger College-Brecksville (2 year)</t>
  </si>
  <si>
    <t>Stone Academy-East Hartford (2 year)</t>
  </si>
  <si>
    <t>Miller-Motte Technical College-Madison (2 year)</t>
  </si>
  <si>
    <t>Rasmussen College-Illinois</t>
  </si>
  <si>
    <t>International Institute for Restorative Practices</t>
  </si>
  <si>
    <t>Argosy University-Denver</t>
  </si>
  <si>
    <t>CollegeAmerica-Colorado Springs</t>
  </si>
  <si>
    <t>CollegeAmerica-Fort Collins</t>
  </si>
  <si>
    <t>Automotive Training Center-Warminster (Male only, 2 year)</t>
  </si>
  <si>
    <t>University of Phoenix-Connecticut</t>
  </si>
  <si>
    <t>University of South Florida-St Petersburg</t>
  </si>
  <si>
    <t>Triangle Tech Inc-Bethlehem (Male only, 2 year)</t>
  </si>
  <si>
    <t>Arizona State University-Downtown Phoenix</t>
  </si>
  <si>
    <t>The Art Institute of Tennessee-Nashville</t>
  </si>
  <si>
    <t>Strayer University-Florida</t>
  </si>
  <si>
    <t>Pima Medical Institute-Renton (2 year)</t>
  </si>
  <si>
    <t>College of Business and Technology-Flagler (Male only, 2 year)</t>
  </si>
  <si>
    <t>College of Business and Technology-Hialeah (2 year)</t>
  </si>
  <si>
    <t>Miller-Motte College-Cary (2 year)</t>
  </si>
  <si>
    <t>Miami-Jacobs Career College-Springboro (2 year)</t>
  </si>
  <si>
    <t>Dewey University-Juana D?íaz</t>
  </si>
  <si>
    <t>Dewey University-Fajardo (2 year)</t>
  </si>
  <si>
    <t>The College of Health Care Professions-San Antonio (2 year)</t>
  </si>
  <si>
    <t>Daymar College-Madisonville (2 year)</t>
  </si>
  <si>
    <t>American Public University System</t>
  </si>
  <si>
    <t>Huntsville Bible College</t>
  </si>
  <si>
    <t>Gnomon School of Visual Effects</t>
  </si>
  <si>
    <t>Valley College of Medical Careers (2 year)</t>
  </si>
  <si>
    <t>Academy of Natural Therapy Inc (2 year)</t>
  </si>
  <si>
    <t>Dragon Rises College of Oriental Medicine</t>
  </si>
  <si>
    <t>SABER College (2 year)</t>
  </si>
  <si>
    <t>Taylor College (2 year)</t>
  </si>
  <si>
    <t>Louisiana Culinary Institute (2 year)</t>
  </si>
  <si>
    <t>Bais Medrash Toras Chesed (Male only)</t>
  </si>
  <si>
    <t>American Institute of Medical Technology (Female only, 2 year)</t>
  </si>
  <si>
    <t>Visible Music College</t>
  </si>
  <si>
    <t>Virginia Beach Theological Seminary</t>
  </si>
  <si>
    <t>Milwaukee Career College (Female only, 2 year)</t>
  </si>
  <si>
    <t>University of the West</t>
  </si>
  <si>
    <t>American College of Education</t>
  </si>
  <si>
    <t>South University-Tampa</t>
  </si>
  <si>
    <t>Appalachian College of Pharmacy</t>
  </si>
  <si>
    <t>Averett University-Non-Traditional Programs</t>
  </si>
  <si>
    <t>Miami-Jacobs Career College-Troy (2 year)</t>
  </si>
  <si>
    <t>Blue Cliff College-Houma (2 year)</t>
  </si>
  <si>
    <t>The Art Institute of Salt Lake City</t>
  </si>
  <si>
    <t>Fortis College-Columbus (2 year)</t>
  </si>
  <si>
    <t>Fortis College-Cincinnati (2 year)</t>
  </si>
  <si>
    <t>Fortis Institute-Baltimore (2 year)</t>
  </si>
  <si>
    <t>The Art Institute of Charleston</t>
  </si>
  <si>
    <t>Argosy University-The Art Institute of California-Sacramento</t>
  </si>
  <si>
    <t>Blue Cliff College-Alexandria (2 year)</t>
  </si>
  <si>
    <t>Ultimate Medical Academy-Tampa (2 year)</t>
  </si>
  <si>
    <t>Virginia College-Biloxi (2 year)</t>
  </si>
  <si>
    <t>ITT Technical Institute-St Petersburg</t>
  </si>
  <si>
    <t>ITT Technical Institute-Columbia</t>
  </si>
  <si>
    <t>ITT Technical Institute-Wichita</t>
  </si>
  <si>
    <t>ITT Technical Institute-Atlanta</t>
  </si>
  <si>
    <t>ITT Technical Institute-Mobile</t>
  </si>
  <si>
    <t>ITT Technical Institute-Chattanooga</t>
  </si>
  <si>
    <t>ITT Technical Institute-South Bend</t>
  </si>
  <si>
    <t>Virginia College-Chattanooga (2 year)</t>
  </si>
  <si>
    <t>Strayer University-Delaware</t>
  </si>
  <si>
    <t>Brite Divinity School</t>
  </si>
  <si>
    <t>Strayer University-Alabama</t>
  </si>
  <si>
    <t>Brown Aveda Institute-Strongsville (Female only, 2 year)</t>
  </si>
  <si>
    <t>University of Phoenix-Alabama</t>
  </si>
  <si>
    <t>Sanford-Brown College-San Antonio</t>
  </si>
  <si>
    <t>University of Phoenix-Washington DC</t>
  </si>
  <si>
    <t>Argosy University-Inland Empire</t>
  </si>
  <si>
    <t>Argosy University-Nashville</t>
  </si>
  <si>
    <t>Argosy University-San Diego</t>
  </si>
  <si>
    <t>Rasmussen College-Wisconsin</t>
  </si>
  <si>
    <t>The Institute of Beauty and Wellness (2 year)</t>
  </si>
  <si>
    <t>Carrington College-Stockton (2 year)</t>
  </si>
  <si>
    <t>Carrington College-Citrus Heights (2 year)</t>
  </si>
  <si>
    <t>Euphoria Institute of Beauty Arts &amp; Sciences-Summerlin (Female only, 2 year)</t>
  </si>
  <si>
    <t>LIU Riverhead</t>
  </si>
  <si>
    <t>Columbia Southern University</t>
  </si>
  <si>
    <t>Arizona Summit Law School</t>
  </si>
  <si>
    <t>Healthcare Career College (2 year)</t>
  </si>
  <si>
    <t>Trident University International</t>
  </si>
  <si>
    <t>Eagle Rock College (2 year)</t>
  </si>
  <si>
    <t>Digital Media Arts College</t>
  </si>
  <si>
    <t>Academy for Five Element Acupuncture</t>
  </si>
  <si>
    <t>Miami Regional University</t>
  </si>
  <si>
    <t>Wolford College</t>
  </si>
  <si>
    <t>Corinth Academy of Cosmetology (2 year)</t>
  </si>
  <si>
    <t>Yeshivas Be'er Yitzchok (Male only)</t>
  </si>
  <si>
    <t>Yeshiva Toras Chaim (Male only)</t>
  </si>
  <si>
    <t>Talmudical Seminary of Bobov (Male only)</t>
  </si>
  <si>
    <t>New York Methodist Hospital Center for Allied Health Education (2 year)</t>
  </si>
  <si>
    <t>MyComputerCareer.edu-Columbus (2 year)</t>
  </si>
  <si>
    <t>Charleston School of Law</t>
  </si>
  <si>
    <t>Southwest University at El Paso</t>
  </si>
  <si>
    <t>The Art Institute of Pittsburgh-Online Division</t>
  </si>
  <si>
    <t>University of South Florida-Sarasota-Manatee</t>
  </si>
  <si>
    <t>Brown Mackie College-Indianapolis</t>
  </si>
  <si>
    <t>CollegeAmerica-Cheyenne</t>
  </si>
  <si>
    <t>CEM College-Bayamon</t>
  </si>
  <si>
    <t>Bryant &amp; Stratton College-Wauwatosa</t>
  </si>
  <si>
    <t>The Art Institute of Michigan</t>
  </si>
  <si>
    <t>The Art Institute of Austin</t>
  </si>
  <si>
    <t>Argosy University-The Art Institute of California-Silicon Valley</t>
  </si>
  <si>
    <t>Remington College-Houston Southeast Campus (2 year)</t>
  </si>
  <si>
    <t>Remington College-Shreveport Campus</t>
  </si>
  <si>
    <t>National American University-Austin</t>
  </si>
  <si>
    <t>National American University-Wichita</t>
  </si>
  <si>
    <t>Fortis College-Landover (2 year)</t>
  </si>
  <si>
    <t>ITT Technical Institute-Madison</t>
  </si>
  <si>
    <t>ITT Technical Institute-Clive</t>
  </si>
  <si>
    <t>ITT Technical Institute-Columbus</t>
  </si>
  <si>
    <t>ITT Technical Institute-Phoenix</t>
  </si>
  <si>
    <t>ITT Technical Institute-High Point</t>
  </si>
  <si>
    <t>The Hair Academy (Female only, 2 year)</t>
  </si>
  <si>
    <t>The Art Institutes International??Kansas City</t>
  </si>
  <si>
    <t>The Art Institute of Raleigh-Durham</t>
  </si>
  <si>
    <t>Le Cordon Bleu College of Culinary Arts-Sacramento (2 year)</t>
  </si>
  <si>
    <t>Le Cordon Bleu College of Culinary Arts-Seattle (2 year)</t>
  </si>
  <si>
    <t>Le Cordon Bleu College of Culinary Arts-Cambridge (2 year)</t>
  </si>
  <si>
    <t>Le Cordon Bleu College of Culinary Arts-Dallas (2 year)</t>
  </si>
  <si>
    <t>Ross College-Sylvania (Female only, 2 year)</t>
  </si>
  <si>
    <t>Argosy University-Salt Lake City</t>
  </si>
  <si>
    <t>Escuela De Troqueleria Y Herramentaje (Male only, 2 year)</t>
  </si>
  <si>
    <t>Virginia College-Montgomery (2 year)</t>
  </si>
  <si>
    <t>Fortis Institute-Nashville (2 year)</t>
  </si>
  <si>
    <t>Beckfield College-Tri-County (2 year)</t>
  </si>
  <si>
    <t>Galen College of Nursing-Cincinnati (2 year)</t>
  </si>
  <si>
    <t>Pinnacle Career Institute-North Kansas City (2 year)</t>
  </si>
  <si>
    <t>Strayer University-North Carolina</t>
  </si>
  <si>
    <t>Strayer University-New Jersey</t>
  </si>
  <si>
    <t>American National University-Dayton (2 year)</t>
  </si>
  <si>
    <t>American National University-Youngstown (2 year)</t>
  </si>
  <si>
    <t>American National University-Cincinnati (2 year)</t>
  </si>
  <si>
    <t>Ohio Business College-Hilliard (2 year)</t>
  </si>
  <si>
    <t>Ohio Medical Career College (Female only, 2 year)</t>
  </si>
  <si>
    <t>Ohio Technical College-PowerSport Institute (Male only, 2 year)</t>
  </si>
  <si>
    <t>The King's College</t>
  </si>
  <si>
    <t>Chamberlain University-Illinois</t>
  </si>
  <si>
    <t>Chamberlain University-Ohio</t>
  </si>
  <si>
    <t>Chamberlain University-Arizona</t>
  </si>
  <si>
    <t>Career Quest Learning Centers-Jackson (2 year)</t>
  </si>
  <si>
    <t>The Salon Professional Academy-Appleton (2 year)</t>
  </si>
  <si>
    <t>Ottawa University-Online</t>
  </si>
  <si>
    <t>Institute of Production and Recording</t>
  </si>
  <si>
    <t>Virginia College-Greenville (2 year)</t>
  </si>
  <si>
    <t>Taft University System</t>
  </si>
  <si>
    <t>Mayfield College (2 year)</t>
  </si>
  <si>
    <t>Laurus College (2 year)</t>
  </si>
  <si>
    <t>Auguste Escoffier School of Culinary Arts-Boulder (2 year)</t>
  </si>
  <si>
    <t>Aspen University</t>
  </si>
  <si>
    <t>Institute of Taoist Education and Acupuncture</t>
  </si>
  <si>
    <t>National Beauty College (2 year)</t>
  </si>
  <si>
    <t>Denver College of Nursing</t>
  </si>
  <si>
    <t>Cambridge College of Healthcare &amp; Technology (2 year)</t>
  </si>
  <si>
    <t>Orion College (Female only, 2 year)</t>
  </si>
  <si>
    <t>Professional Hands Institute (2 year)</t>
  </si>
  <si>
    <t>Evans Hairstyling College-Rexburg (Female only, 2 year)</t>
  </si>
  <si>
    <t>Paul Mitchell the School-Rexburg (Female only, 2 year)</t>
  </si>
  <si>
    <t>Urshan Graduate School of Theology</t>
  </si>
  <si>
    <t>College of Western Idaho (2 year)</t>
  </si>
  <si>
    <t>Charlotte School of Law</t>
  </si>
  <si>
    <t>Daoist Traditions College of Chinese Medical Arts</t>
  </si>
  <si>
    <t>Jersey College (2 year)</t>
  </si>
  <si>
    <t>American Institute of Medical Sciences &amp; Education (2 year)</t>
  </si>
  <si>
    <t>Yeshiva of Machzikai Hadas (Male only)</t>
  </si>
  <si>
    <t>MediaTech Institute-Dallas (2 year)</t>
  </si>
  <si>
    <t>Global Health College</t>
  </si>
  <si>
    <t>Pacific Northwest University of Health Sciences</t>
  </si>
  <si>
    <t>The Chicago School of Professional Psychology at Irvine</t>
  </si>
  <si>
    <t>Fortis Institute-Pensacola (2 year)</t>
  </si>
  <si>
    <t>Woodland Community College (2 year)</t>
  </si>
  <si>
    <t>Vatterott College-Appling Farms (2 year)</t>
  </si>
  <si>
    <t>Brown Mackie College-Boise</t>
  </si>
  <si>
    <t>Brown Mackie College-Tulsa</t>
  </si>
  <si>
    <t>Fortis Institute-Birmingham (2 year)</t>
  </si>
  <si>
    <t>Miller-Motte College-Greenville (2 year)</t>
  </si>
  <si>
    <t>The Chicago School of Professional Psychology at Los Angeles</t>
  </si>
  <si>
    <t>Cardiac and Vascular Institute of Ultrasound (2 year)</t>
  </si>
  <si>
    <t>Virginia College-Jacksonville (2 year)</t>
  </si>
  <si>
    <t>Providence Christian College</t>
  </si>
  <si>
    <t>Institute of World Politics</t>
  </si>
  <si>
    <t>Pontifical John Paul II Institute for Studies on Marriage and Family</t>
  </si>
  <si>
    <t>Oliver Finley Academy of Cosmetology (Female only, 2 year)</t>
  </si>
  <si>
    <t>National Career College (2 year)</t>
  </si>
  <si>
    <t>Liberty Technical College (2 year)</t>
  </si>
  <si>
    <t>Vermont College of Fine Arts</t>
  </si>
  <si>
    <t>The Art Institute of Washington-Dulles</t>
  </si>
  <si>
    <t>Pima Medical Institute-East Valley (2 year)</t>
  </si>
  <si>
    <t>Virginia College-Charleston</t>
  </si>
  <si>
    <t>MediaTech Institute-Houston (2 year)</t>
  </si>
  <si>
    <t>Fortis College-Phoenix (2 year)</t>
  </si>
  <si>
    <t>Miller-Motte College-Raleigh (2 year)</t>
  </si>
  <si>
    <t>College of Hair Design-East Campus (Female only, 2 year)</t>
  </si>
  <si>
    <t>Sanford-Brown College-Online</t>
  </si>
  <si>
    <t>Le Cordon Bleu College of Culinary Arts-St Louis (2 year)</t>
  </si>
  <si>
    <t>Argosy University-Phoenix Online Division</t>
  </si>
  <si>
    <t>ITT Technical Institute-Madison (2 year)</t>
  </si>
  <si>
    <t>ITT Technical Institute-Huntington (2 year)</t>
  </si>
  <si>
    <t>ITT Technical Institute-Concord</t>
  </si>
  <si>
    <t>ITT Technical Institute-Fort Myers</t>
  </si>
  <si>
    <t>ITT Technical Institute-Charlotte North</t>
  </si>
  <si>
    <t>Fortis College-Salt Lake City (2 year)</t>
  </si>
  <si>
    <t>Polytechnic University of Puerto Rico-Miami</t>
  </si>
  <si>
    <t>Polytechnic University of Puerto Rico-Orlando</t>
  </si>
  <si>
    <t>Ross Medical Education Center-Fort Wayne (Female only, 2 year)</t>
  </si>
  <si>
    <t>Geisinger Commonwealth School of Medicine</t>
  </si>
  <si>
    <t>Josef's West Academy (Female only, 2 year)</t>
  </si>
  <si>
    <t>Brown Mackie College-Phoenix</t>
  </si>
  <si>
    <t>Strayer University-West Virginia</t>
  </si>
  <si>
    <t>Brown Mackie College-Greenville</t>
  </si>
  <si>
    <t>Globe University-Minneapolis</t>
  </si>
  <si>
    <t>L'Ecole Culinaire-Memphis (2 year)</t>
  </si>
  <si>
    <t>University of Minnesota-Rochester</t>
  </si>
  <si>
    <t>College of Business and Technology-Cutler Bay (2 year)</t>
  </si>
  <si>
    <t>American National University-Columbus</t>
  </si>
  <si>
    <t>Herzing University-Toledo</t>
  </si>
  <si>
    <t>Homestead Schools</t>
  </si>
  <si>
    <t>Carrington College-Las Vegas (2 year)</t>
  </si>
  <si>
    <t>Carrington College-Reno (2 year)</t>
  </si>
  <si>
    <t>Chamberlain University-Florida</t>
  </si>
  <si>
    <t>Horizon University</t>
  </si>
  <si>
    <t>Academy for Jewish Religion-California</t>
  </si>
  <si>
    <t>Angeles College</t>
  </si>
  <si>
    <t>Florida School of Traditional Midwifery (Female only, 2 year)</t>
  </si>
  <si>
    <t>Emerald Coast Technical College (2 year)</t>
  </si>
  <si>
    <t>Immokalee Technical College (2 year)</t>
  </si>
  <si>
    <t>University of Fort Lauderdale</t>
  </si>
  <si>
    <t>Aviation Institute of Maintenance-Orlando (2 year)</t>
  </si>
  <si>
    <t>Pacific Rim Christian University</t>
  </si>
  <si>
    <t>D &amp; L Academy of Hair Design (2 year)</t>
  </si>
  <si>
    <t>Ambria College of Nursing</t>
  </si>
  <si>
    <t>Midwestern Career College (2 year)</t>
  </si>
  <si>
    <t>CenterPoint Massage and Shiatsu Therapy School and Clinic (2 year)</t>
  </si>
  <si>
    <t>Avalon School of Cosmetology (Female only, 2 year)</t>
  </si>
  <si>
    <t>American Business and Technology University</t>
  </si>
  <si>
    <t>City Vision University</t>
  </si>
  <si>
    <t>Bitterroot School of Cosmetology (Female only, 2 year)</t>
  </si>
  <si>
    <t>Montana Academy of Salons (Female only, 2 year)</t>
  </si>
  <si>
    <t>New York Medical Career Training Center (2 year)</t>
  </si>
  <si>
    <t>Vanity School of Cosmetology (Female only, 2 year)</t>
  </si>
  <si>
    <t>Summit Salon Academy-Perrysburg (Female only, 2 year)</t>
  </si>
  <si>
    <t>Portland Actors Conservatory (2 year)</t>
  </si>
  <si>
    <t>Houston International College Cardiotech Ultrasound School (2 year)</t>
  </si>
  <si>
    <t>Bethel College</t>
  </si>
  <si>
    <t>Northwest School of Wooden Boat Building (2 year)</t>
  </si>
  <si>
    <t>Pinchot University</t>
  </si>
  <si>
    <t>The Salon Professional Academy-Onalaska (Female only, 2 year)</t>
  </si>
  <si>
    <t>Brightwood College-Chula Vista (2 year)</t>
  </si>
  <si>
    <t>West Coast University-Orange County</t>
  </si>
  <si>
    <t>West Coast University-Ontario</t>
  </si>
  <si>
    <t>Virginia College-Augusta (2 year)</t>
  </si>
  <si>
    <t>Brightwood College-Indianapolis (2 year)</t>
  </si>
  <si>
    <t>Miller-Motte College-Fayetteville (2 year)</t>
  </si>
  <si>
    <t>Harrison College-Grove City</t>
  </si>
  <si>
    <t>Miller-Motte Technical College-Columbus (2 year)</t>
  </si>
  <si>
    <t>National University College-Ponce</t>
  </si>
  <si>
    <t>Fortis College-Grand Prairie (2 year)</t>
  </si>
  <si>
    <t>The Art Institute of Virginia Beach</t>
  </si>
  <si>
    <t>Bryant &amp; Stratton College-Bayshore</t>
  </si>
  <si>
    <t>Daymar College-Online</t>
  </si>
  <si>
    <t>Zaytuna College</t>
  </si>
  <si>
    <t>Virginia College-Columbia (2 year)</t>
  </si>
  <si>
    <t>Fortis College-Indianapolis (2 year)</t>
  </si>
  <si>
    <t>Brightwood College-Arlington (2 year)</t>
  </si>
  <si>
    <t>Brightwood College-Charlotte (2 year)</t>
  </si>
  <si>
    <t>Globe University-Madison East</t>
  </si>
  <si>
    <t>Globe University??Wausau</t>
  </si>
  <si>
    <t>Strayer University-Arkansas</t>
  </si>
  <si>
    <t>Strayer University-Georgia</t>
  </si>
  <si>
    <t>Strayer University-Mississippi</t>
  </si>
  <si>
    <t>Strayer University-South Carolina</t>
  </si>
  <si>
    <t>Strayer University-Texas</t>
  </si>
  <si>
    <t>The Art Institute of San Antonio</t>
  </si>
  <si>
    <t>Virginia Tech Carilion School of Medicine</t>
  </si>
  <si>
    <t>Broadview Entertainment Arts University</t>
  </si>
  <si>
    <t>Bryant &amp; Stratton College-Hampton</t>
  </si>
  <si>
    <t>Golden State College of Court Reporting (2 year)</t>
  </si>
  <si>
    <t>Trinity School of Health and Allied Sciences</t>
  </si>
  <si>
    <t>Unitek College</t>
  </si>
  <si>
    <t>Gurnick Academy of Medical Arts</t>
  </si>
  <si>
    <t>Southern California University SOMA</t>
  </si>
  <si>
    <t>South University??Richmond</t>
  </si>
  <si>
    <t>South University??Virginia Beach</t>
  </si>
  <si>
    <t>Aveda Institute-Denver (2 year)</t>
  </si>
  <si>
    <t>Paul Mitchell the School-Colorado Springs (2 year)</t>
  </si>
  <si>
    <t>The Salon Professional Academy-Colorado Springs (Female only, 2 year)</t>
  </si>
  <si>
    <t>Fred K Marchman Technical College (2 year)</t>
  </si>
  <si>
    <t>SOLEX College (2 year)</t>
  </si>
  <si>
    <t>Compass College of Cinematic Arts</t>
  </si>
  <si>
    <t>The Artisan College of Cosmetology (Female only, 2 year)</t>
  </si>
  <si>
    <t>Peloton College (2 year)</t>
  </si>
  <si>
    <t>Summit Salon Academy (Female only, 2 year)</t>
  </si>
  <si>
    <t>ITT Technical Institute-Merrillville</t>
  </si>
  <si>
    <t>ITT Technical Institute-Tallahassee</t>
  </si>
  <si>
    <t>ITT Technical Institute-Salem</t>
  </si>
  <si>
    <t>ITT Technical Institute-Akron</t>
  </si>
  <si>
    <t>ITT Technical Institute-Corona</t>
  </si>
  <si>
    <t>ITT Technical Institute-Johnson City</t>
  </si>
  <si>
    <t>ITT Technical Institute-DeSoto</t>
  </si>
  <si>
    <t>ITT Technical Institute-North Charleston</t>
  </si>
  <si>
    <t>ITT Technical Institute-Aurora</t>
  </si>
  <si>
    <t>ITT Technical Institute-Dearborn</t>
  </si>
  <si>
    <t>ITT Technical Institute-Las Vegas</t>
  </si>
  <si>
    <t>Touro University Worldwide</t>
  </si>
  <si>
    <t>Touro University California</t>
  </si>
  <si>
    <t>The Chicago School of Professional Psychology at Washington DC</t>
  </si>
  <si>
    <t>Touro University Nevada</t>
  </si>
  <si>
    <t>Herzing University-Kenosha</t>
  </si>
  <si>
    <t>Herzing University-Brookfield</t>
  </si>
  <si>
    <t>Texas A&amp;M University-San Antonio</t>
  </si>
  <si>
    <t>Fortis Institute-Houston (2 year)</t>
  </si>
  <si>
    <t>Strayer University-Global Region</t>
  </si>
  <si>
    <t>Fortis College-Columbia (2 year)</t>
  </si>
  <si>
    <t>Brown Mackie College-Albuquerque</t>
  </si>
  <si>
    <t>Brown Mackie College-St Louis</t>
  </si>
  <si>
    <t>California University of Management and Sciences</t>
  </si>
  <si>
    <t>Ross Medical Education Center-Granger (Female only, 2 year)</t>
  </si>
  <si>
    <t>Pima Medical Institute-Houston (2 year)</t>
  </si>
  <si>
    <t>Concorde Career College-Dallas (2 year)</t>
  </si>
  <si>
    <t>Concorde Career Institute-Orlando (2 year)</t>
  </si>
  <si>
    <t>Concorde Career College-San Antonio (2 year)</t>
  </si>
  <si>
    <t>Ecotech Institute (2 year)</t>
  </si>
  <si>
    <t>Johnson &amp; Wales University-Online</t>
  </si>
  <si>
    <t>Altierus Career College-Fort Worth South (2 year)</t>
  </si>
  <si>
    <t>Virginia International University</t>
  </si>
  <si>
    <t>Geisinger-Lewistown Hospital School of Nursing (2 year)</t>
  </si>
  <si>
    <t>Moreno Valley College (2 year)</t>
  </si>
  <si>
    <t>Norco College (2 year)</t>
  </si>
  <si>
    <t>Universal Technical Institute - Dallas Fort Worth (Male only, 2 year)</t>
  </si>
  <si>
    <t>Stratford School of Aviation Maintenance Technicians (Male only, 2 year)</t>
  </si>
  <si>
    <t>Brown Mackie College-San Antonio</t>
  </si>
  <si>
    <t>ICPR Junior College-Manati (2 year)</t>
  </si>
  <si>
    <t>American Sentinel University</t>
  </si>
  <si>
    <t>Tribeca Flashpoint College</t>
  </si>
  <si>
    <t>Hawaii Medical College (2 year)</t>
  </si>
  <si>
    <t>Virginia College-Baton Rouge (2 year)</t>
  </si>
  <si>
    <t>Remington College-Heathrow Campus</t>
  </si>
  <si>
    <t>Miller-Motte College-Jacksonville (2 year)</t>
  </si>
  <si>
    <t>Miller-Motte Technical College-Augusta (2 year)</t>
  </si>
  <si>
    <t>Miller-Motte Technical College-Conway (2 year)</t>
  </si>
  <si>
    <t>Virginia College-Macon (2 year)</t>
  </si>
  <si>
    <t>Virginia College-Spartanburg (2 year)</t>
  </si>
  <si>
    <t>Aveda Institute-Portland (2 year)</t>
  </si>
  <si>
    <t>Chamberlain University-Virginia</t>
  </si>
  <si>
    <t>Virginia College-Richmond (2 year)</t>
  </si>
  <si>
    <t>American College for Medical Careers</t>
  </si>
  <si>
    <t>Mildred Elley-New York Campus (2 year)</t>
  </si>
  <si>
    <t>National Paralegal College</t>
  </si>
  <si>
    <t>Carolina College of Biblical Studies</t>
  </si>
  <si>
    <t>Allstate Hairstyling &amp; Barber College (2 year)</t>
  </si>
  <si>
    <t>Oxford Graduate School</t>
  </si>
  <si>
    <t>Jung Tao School of Classical Chinese Medicine</t>
  </si>
  <si>
    <t>New York Film Academy</t>
  </si>
  <si>
    <t>Institute of Medical Careers (2 year)</t>
  </si>
  <si>
    <t>Georgia Christian University</t>
  </si>
  <si>
    <t>American Medical Sciences Center (2 year)</t>
  </si>
  <si>
    <t>Jose Maria Vargas University (Female only)</t>
  </si>
  <si>
    <t>Keweenaw Bay Ojibwa Community College (2 year)</t>
  </si>
  <si>
    <t>Meridian Institute of Surgical Assisting (2 year)</t>
  </si>
  <si>
    <t>Shepherds Theological Seminary</t>
  </si>
  <si>
    <t>Grace College of Divinity</t>
  </si>
  <si>
    <t>American Trade School (2 year)</t>
  </si>
  <si>
    <t>Paul Mitchell the School-Honolulu (2 year)</t>
  </si>
  <si>
    <t>Bergin University of Canine Studies</t>
  </si>
  <si>
    <t>Aveda Institute-Boise (2 year)</t>
  </si>
  <si>
    <t>Pima Medical Institute-Aurora (2 year)</t>
  </si>
  <si>
    <t>Lindsey Institute of Cosmetology (Female only, 2 year)</t>
  </si>
  <si>
    <t>Simmons College of Kentucky (HBCU)</t>
  </si>
  <si>
    <t>North American University</t>
  </si>
  <si>
    <t>United Beauty College (2 year)</t>
  </si>
  <si>
    <t>Cinta Aveda Institute (2 year)</t>
  </si>
  <si>
    <t>Mesivta Keser Torah</t>
  </si>
  <si>
    <t>Millennia Atlantic University</t>
  </si>
  <si>
    <t>Colorado Academy of Veterinary Technology (2 year)</t>
  </si>
  <si>
    <t>Elite School of Cosmetology (2 year)</t>
  </si>
  <si>
    <t>Institute for Doctoral Studies in the Visual Arts</t>
  </si>
  <si>
    <t>Paul Mitchell the School-Spokane (2 year)</t>
  </si>
  <si>
    <t>John Paul the Great Catholic University</t>
  </si>
  <si>
    <t>ITT Technical Institute-Durham</t>
  </si>
  <si>
    <t>ITT Technical Institute-Hanover</t>
  </si>
  <si>
    <t>University of Connecticut-Hartford Campus</t>
  </si>
  <si>
    <t>Independence University</t>
  </si>
  <si>
    <t>National American University-Tulsa</t>
  </si>
  <si>
    <t>National American University-Centennial</t>
  </si>
  <si>
    <t>National American University-Lee's Summit</t>
  </si>
  <si>
    <t>National American University-Colorado Springs South</t>
  </si>
  <si>
    <t>Salter College-Chicopee (2 year)</t>
  </si>
  <si>
    <t>Chamberlain University-Missouri</t>
  </si>
  <si>
    <t>Chamberlain University-Texas</t>
  </si>
  <si>
    <t>ITT Technical Institute-Oakland</t>
  </si>
  <si>
    <t>Carrington College-Pomona (2 year)</t>
  </si>
  <si>
    <t>Broadview University-Boise</t>
  </si>
  <si>
    <t>South University-Accelerated Graduate Programs</t>
  </si>
  <si>
    <t>South University-The Art Institute of Fort Worth</t>
  </si>
  <si>
    <t>South University-Novi</t>
  </si>
  <si>
    <t>Northwest College-Eugene (2 year)</t>
  </si>
  <si>
    <t>Northwest College-Tualatin (Female only, 2 year)</t>
  </si>
  <si>
    <t>Harrison College-Morrisville (2 year)</t>
  </si>
  <si>
    <t>National University College-Caguas</t>
  </si>
  <si>
    <t>Dewey University-Manati</t>
  </si>
  <si>
    <t>Midwest Technical Institute-Moline (2 year)</t>
  </si>
  <si>
    <t>WellSpring School of Allied Health-Lawrence (2 year)</t>
  </si>
  <si>
    <t>The Art Institute of Wisconsin</t>
  </si>
  <si>
    <t>Brown Mackie College-Birmingham</t>
  </si>
  <si>
    <t>ITT Technical Institute-Phoenix West</t>
  </si>
  <si>
    <t>ITT Technical Institute-Brooklyn Center</t>
  </si>
  <si>
    <t>ITT Technical Institute-Orlando</t>
  </si>
  <si>
    <t>ITT Technical Institute-Waco</t>
  </si>
  <si>
    <t>ITT Technical Institute-Myrtle Beach</t>
  </si>
  <si>
    <t>Azusa Pacific University College</t>
  </si>
  <si>
    <t>Minneapolis Media Institute</t>
  </si>
  <si>
    <t>CollegeAmerica-Phoenix</t>
  </si>
  <si>
    <t>All-State Career School-Allied Health Campus (2 year)</t>
  </si>
  <si>
    <t>Aveda Institute-Des Moines (Female only, 2 year)</t>
  </si>
  <si>
    <t>Relay Graduate School of Education</t>
  </si>
  <si>
    <t>Brown Mackie College-Oklahoma City</t>
  </si>
  <si>
    <t>Miller-Motte Technical College-Macon (2 year)</t>
  </si>
  <si>
    <t>Miller-Motte Technical College-Gulfport (Female only, 2 year)</t>
  </si>
  <si>
    <t>South University??Savannah Online</t>
  </si>
  <si>
    <t>Fortis College-Montgomery (Female only, 2 year)</t>
  </si>
  <si>
    <t>Rio Grande Bible Institute</t>
  </si>
  <si>
    <t>Miller-Motte Technical College-Roanoke (2 year)</t>
  </si>
  <si>
    <t>Whitworth University-Adult Degree Programs</t>
  </si>
  <si>
    <t>The Santa Barbara and Ventura Colleges of Law at Santa Barbara</t>
  </si>
  <si>
    <t>The University of America</t>
  </si>
  <si>
    <t>Springfield College-School of Professional and Continuing Studies</t>
  </si>
  <si>
    <t>Sanford-Brown College-Brooklyn Center</t>
  </si>
  <si>
    <t>Virginia College-Savannah (2 year)</t>
  </si>
  <si>
    <t>Virginia College-Columbus (2 year)</t>
  </si>
  <si>
    <t>Catholic Distance University</t>
  </si>
  <si>
    <t>Finger Lakes Health College of Nursing (2 year)</t>
  </si>
  <si>
    <t>City College-Hollywood (2 year)</t>
  </si>
  <si>
    <t>Rocky Mountain University of Health Professions</t>
  </si>
  <si>
    <t>Christie's Education</t>
  </si>
  <si>
    <t>Stella and Charles Guttman Community College (2 year)</t>
  </si>
  <si>
    <t>Virginia College-Tulsa (2 year)</t>
  </si>
  <si>
    <t>Criswell College</t>
  </si>
  <si>
    <t>Virginia College-Knoxville (2 year)</t>
  </si>
  <si>
    <t>Beverly Hills Design Institute</t>
  </si>
  <si>
    <t>Bryant &amp; Stratton College-Akron</t>
  </si>
  <si>
    <t>American Medical Academy (2 year)</t>
  </si>
  <si>
    <t>Chamberlain University-Georgia</t>
  </si>
  <si>
    <t>Chamberlain University-Indiana</t>
  </si>
  <si>
    <t>Carrington College-Mesquite (2 year)</t>
  </si>
  <si>
    <t>Universidad Internacional Iberoamericana</t>
  </si>
  <si>
    <t>Sessions College for Professional Design (2 year)</t>
  </si>
  <si>
    <t>Virginia College-Shreveport (2 year)</t>
  </si>
  <si>
    <t>Golf Academy of America-Dallas (Male only, 2 year)</t>
  </si>
  <si>
    <t>Miami Ad School-New York (2 year)</t>
  </si>
  <si>
    <t>Bais HaMedrash and Mesivta of Baltimore (Male only)</t>
  </si>
  <si>
    <t>Salon Institute-Toledo Campus (Female only, 2 year)</t>
  </si>
  <si>
    <t>Yeshiva Gedolah Zichron Leyma (Male only)</t>
  </si>
  <si>
    <t>Be'er Yaakov Talmudic Seminary (Male only)</t>
  </si>
  <si>
    <t>New Dimensions Beauty Academy Inc (Female only, 2 year)</t>
  </si>
  <si>
    <t>Boise Barber College (2 year)</t>
  </si>
  <si>
    <t>Austin Kade Academy (Female only, 2 year)</t>
  </si>
  <si>
    <t>SAE Institute of Technology-Atlanta (2 year)</t>
  </si>
  <si>
    <t>Academy di Firenze (2 year)</t>
  </si>
  <si>
    <t>Colorado State University-Global Campus</t>
  </si>
  <si>
    <t>West Coast University-Dallas</t>
  </si>
  <si>
    <t>National American University-Bellevue</t>
  </si>
  <si>
    <t>National American University-Burnsville</t>
  </si>
  <si>
    <t>National American University-Mesquite</t>
  </si>
  <si>
    <t>California College San Diego</t>
  </si>
  <si>
    <t>ITT Technical Institute-Philadelphia (2 year)</t>
  </si>
  <si>
    <t>ITT Technical Institute-Marlton (2 year)</t>
  </si>
  <si>
    <t>ITT Technical Institute-West Palm Beach</t>
  </si>
  <si>
    <t>ITT Technical Institute-Indianapolis East</t>
  </si>
  <si>
    <t>ITT Technical Institute-Douglasville</t>
  </si>
  <si>
    <t>ITT Technical Institute-Overland Park</t>
  </si>
  <si>
    <t>Pennsylvania State University-World Campus</t>
  </si>
  <si>
    <t>Medical Career Institute (2 year)</t>
  </si>
  <si>
    <t>Montage Academy (2 year)</t>
  </si>
  <si>
    <t>Kaplan University-Augusta Campus</t>
  </si>
  <si>
    <t>South University-Austin</t>
  </si>
  <si>
    <t>South University-Cleveland</t>
  </si>
  <si>
    <t>Bryant &amp; Stratton College-Online</t>
  </si>
  <si>
    <t>Virginia College-Florence (2 year)</t>
  </si>
  <si>
    <t>Elizabethtown College School of Continuing and Professional Studies</t>
  </si>
  <si>
    <t>Ideal Beauty Academy (2 year)</t>
  </si>
  <si>
    <t>Mercyhurst University-North East Campus (2 year)</t>
  </si>
  <si>
    <t>Warner Pacific College Adult Degree Program</t>
  </si>
  <si>
    <t>Platt College-Riverside</t>
  </si>
  <si>
    <t>Savannah Law School</t>
  </si>
  <si>
    <t>American National University-Canton (Female only, 2 year)</t>
  </si>
  <si>
    <t>Shiloh University</t>
  </si>
  <si>
    <t>Vatterott College-Fairview Heights (2 year)</t>
  </si>
  <si>
    <t>Ross Medical Education Center-Bowling Green (2 year)</t>
  </si>
  <si>
    <t>Florida Institute of Technology-Online</t>
  </si>
  <si>
    <t>Rasmussen College-Kansas</t>
  </si>
  <si>
    <t>School of Missionary Aviation Technology (Male only, 2 year)</t>
  </si>
  <si>
    <t>California Miramar University</t>
  </si>
  <si>
    <t>Rocky Vista University</t>
  </si>
  <si>
    <t>Virginia College-Greensboro (2 year)</t>
  </si>
  <si>
    <t>The College of Health Care Professions-Fort Worth (2 year)</t>
  </si>
  <si>
    <t>Gemini School of Visual Arts &amp; Communication</t>
  </si>
  <si>
    <t>College of the Muscogee Nation (2 year)</t>
  </si>
  <si>
    <t>Midwives College of Utah (Female only)</t>
  </si>
  <si>
    <t>Future Generations University</t>
  </si>
  <si>
    <t>Grace Mission University</t>
  </si>
  <si>
    <t>Sotheby's Institute of Art-NY</t>
  </si>
  <si>
    <t>Shepherds College (2 year)</t>
  </si>
  <si>
    <t>Helms College (2 year)</t>
  </si>
  <si>
    <t>Mid-South Christian College</t>
  </si>
  <si>
    <t>Advanced Computing Institute (2 year)</t>
  </si>
  <si>
    <t>Ultrasound Medical Institute (2 year)</t>
  </si>
  <si>
    <t>Grace School of Theology</t>
  </si>
  <si>
    <t>Yeshiva Gedolah Kesser Torah (Male only)</t>
  </si>
  <si>
    <t>Yeshiva Yesodei Hatorah (Male only)</t>
  </si>
  <si>
    <t>Sanford Burnham Prebys Medical Discovery Institute</t>
  </si>
  <si>
    <t>ITT Technical Institute-Pensacola</t>
  </si>
  <si>
    <t>ITT Technical Institute-San Antonio East</t>
  </si>
  <si>
    <t>South University-High Point</t>
  </si>
  <si>
    <t>Court Reporting Institute of St Louis (2 year)</t>
  </si>
  <si>
    <t>Ross Medical Education Center-Kokomo (Female only, 2 year)</t>
  </si>
  <si>
    <t>L'Ecole Culinaire-Kansas City (2 year)</t>
  </si>
  <si>
    <t>InterCoast Colleges-Fairfield (2 year)</t>
  </si>
  <si>
    <t>Vatterott College-ex'treme Institute by Nelly-St Louis (2 year)</t>
  </si>
  <si>
    <t>College of Business and Technology-Miami Gardens</t>
  </si>
  <si>
    <t>Augusta University</t>
  </si>
  <si>
    <t>Middle Georgia State University</t>
  </si>
  <si>
    <t>Paul Mitchell the School-Denver (2 year)</t>
  </si>
  <si>
    <t>Academy of Interactive Entertainment (2 year)</t>
  </si>
  <si>
    <t>Virginia Baptist College</t>
  </si>
  <si>
    <t>Aviation Institute of Maintenance-Las Vegas (2 year)</t>
  </si>
  <si>
    <t>National American University-Austin South</t>
  </si>
  <si>
    <t>National American University-Lewisville</t>
  </si>
  <si>
    <t>National American University-Georgetown</t>
  </si>
  <si>
    <t>National American University-Richardson</t>
  </si>
  <si>
    <t>National American University-Rochester</t>
  </si>
  <si>
    <t>National American University-Wichita West</t>
  </si>
  <si>
    <t>National American University-Indianapolis</t>
  </si>
  <si>
    <t>The Art Institute of St Louis</t>
  </si>
  <si>
    <t>DeVry College of New York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</si>
  <si>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</si>
  <si>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</si>
  <si>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</si>
  <si>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</si>
  <si>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</si>
  <si>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</si>
  <si>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</si>
  <si>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</si>
  <si>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</si>
  <si>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</si>
  <si>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</si>
  <si>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</si>
  <si>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University-Oklahoma</t>
  </si>
  <si>
    <t>DeVry University-Pennsylvania</t>
  </si>
  <si>
    <t>DeVry University-Tennessee</t>
  </si>
  <si>
    <t>DeVry University-Texas</t>
  </si>
  <si>
    <t>DeVry University-Virginia</t>
  </si>
  <si>
    <t>University of North Georgia</t>
  </si>
  <si>
    <t>South Georgia State College</t>
  </si>
  <si>
    <t>Northeastern University Professional Advancement Network</t>
  </si>
  <si>
    <t>Florida Polytechnic University</t>
  </si>
  <si>
    <t>Brown Mackie College-Dallas</t>
  </si>
  <si>
    <t>American Institute-Toms River (2 year)</t>
  </si>
  <si>
    <t>Arizona College-Mesa</t>
  </si>
  <si>
    <t>Antioch College</t>
  </si>
  <si>
    <t>Texas A &amp; M University-Central Texas</t>
  </si>
  <si>
    <t>Central Georgia Technical College (2 year)</t>
  </si>
  <si>
    <t>Arizona State University-Skysong</t>
  </si>
  <si>
    <t>Louisiana Delta Community College (2 year)</t>
  </si>
  <si>
    <t>Learnet Academy Inc (2 year)</t>
  </si>
  <si>
    <t>Virginia College-Lubbock (2 year)</t>
  </si>
  <si>
    <t>Delta College-Slidell Campus (Female only, 2 year)</t>
  </si>
  <si>
    <t>California International Business University</t>
  </si>
  <si>
    <t>Universidad Ana G. Mendez</t>
  </si>
  <si>
    <t>New Horizons Medical Institute (2 year)</t>
  </si>
  <si>
    <t>IGlobal University</t>
  </si>
  <si>
    <t>Standard Healthcare Services-College of Nursing (2 year)</t>
  </si>
  <si>
    <t>LaBarberia Institute of Hair (2 year)</t>
  </si>
  <si>
    <t>Alabama College of Osteopathic Medicine</t>
  </si>
  <si>
    <t>Morthland College</t>
  </si>
  <si>
    <t>High Desert Medical College (2 year)</t>
  </si>
  <si>
    <t>MedQuest College (Female only, 2 year)</t>
  </si>
  <si>
    <t>Tri-Community Adult Education (2 year)</t>
  </si>
  <si>
    <t>Montessori Education Institute of the Pacific Northwest (Female only, 2 year)</t>
  </si>
  <si>
    <t>Ross Medical Education Center-Evansville (Female only, 2 year)</t>
  </si>
  <si>
    <t>North-West College-Santa Ana (2 year)</t>
  </si>
  <si>
    <t>North-West College-Long Beach (2 year)</t>
  </si>
  <si>
    <t>University of Florida-Online</t>
  </si>
  <si>
    <t>University of Phoenix-Arizona</t>
  </si>
  <si>
    <t>University of Phoenix-Arkansas</t>
  </si>
  <si>
    <t>University of Phoenix-California</t>
  </si>
  <si>
    <t>University of Phoenix-Colorado</t>
  </si>
  <si>
    <t>University of Phoenix-Florida</t>
  </si>
  <si>
    <t>University of Phoenix-Georgia</t>
  </si>
  <si>
    <t>University of Phoenix-Louisiana</t>
  </si>
  <si>
    <t>University of Phoenix-Michigan</t>
  </si>
  <si>
    <t>University of Phoenix-Missouri</t>
  </si>
  <si>
    <t>University of Phoenix-Nevada</t>
  </si>
  <si>
    <t>University of Phoenix-North Carolina</t>
  </si>
  <si>
    <t>University of Phoenix-Oklahoma</t>
  </si>
  <si>
    <t>University of Phoenix-Tennessee</t>
  </si>
  <si>
    <t>University of Phoenix-Texas</t>
  </si>
  <si>
    <t>University of Phoenix-Virginia</t>
  </si>
  <si>
    <t>University of Phoenix-Pennsylvania</t>
  </si>
  <si>
    <t>CEM College-Mayaguez</t>
  </si>
  <si>
    <t>Minerva Schools at Keck Graduate Institute</t>
  </si>
  <si>
    <t>University of West Los Angeles</t>
  </si>
  <si>
    <t>Rabbinical College Ohr Yisroel (Male only)</t>
  </si>
  <si>
    <t>University of North Texas at Dallas</t>
  </si>
  <si>
    <t>BridgeValley Community &amp; Technical College (2 year)</t>
  </si>
  <si>
    <t>Northwest College-Medford (2 year)</t>
  </si>
  <si>
    <t>Virginia College-Fort Pierce (2 year)</t>
  </si>
  <si>
    <t>Trine University-Arizona Regional Campus</t>
  </si>
  <si>
    <t>Georgia Military College</t>
  </si>
  <si>
    <t>New Horizons Medical Institute-Winder (2 year)</t>
  </si>
  <si>
    <t>SAE Institute of Technology-Chicago (2 year)</t>
  </si>
  <si>
    <t>West Coast University-Miami</t>
  </si>
  <si>
    <t>National American University-Houston</t>
  </si>
  <si>
    <t>National American University-Harold D. Buckingham Graduate School</t>
  </si>
  <si>
    <t>High Tech High Graduate School of Education</t>
  </si>
  <si>
    <t>Dewey University-Mayaguez (2 year)</t>
  </si>
  <si>
    <t>Coastal Pines Technical College (2 year)</t>
  </si>
  <si>
    <t>International Sports Sciences Association (2 year)</t>
  </si>
  <si>
    <t>University of Texas Health Science Center at Tyler</t>
  </si>
  <si>
    <t>California Intercontinental University</t>
  </si>
  <si>
    <t>Atlantis University</t>
  </si>
  <si>
    <t>Studio Incamminati (2 year)</t>
  </si>
  <si>
    <t>Antioch University Online</t>
  </si>
  <si>
    <t>Bet Medrash Gadol Ateret Torah (Male only)</t>
  </si>
  <si>
    <t>Yeshiva Gedola Ohr Yisrael (Male only)</t>
  </si>
  <si>
    <t>Yeshiva Sholom Shachna (Male only)</t>
  </si>
  <si>
    <t>Bethlehem College &amp; Seminary</t>
  </si>
  <si>
    <t>Elmezzi Graduate School of Molecular Medicine</t>
  </si>
  <si>
    <t>Saint Gregory The Great Seminary</t>
  </si>
  <si>
    <t>Theatre of Arts (2 year)</t>
  </si>
  <si>
    <t>Beth Medrash Meor Yitzchok (Male only)</t>
  </si>
  <si>
    <t>San Ignacio University</t>
  </si>
  <si>
    <t>Valor Christian College (2 year)</t>
  </si>
  <si>
    <t>Bethany Global University</t>
  </si>
  <si>
    <t>Unilatina International College</t>
  </si>
  <si>
    <t>Center for Ultrasound Research &amp; Education (2 year)</t>
  </si>
  <si>
    <t>Saint Michael College of Allied Health (2 year)</t>
  </si>
  <si>
    <t>Presidio Graduate School</t>
  </si>
  <si>
    <t>Wright Graduate University for the Realization of Human Potential</t>
  </si>
  <si>
    <t>California Jazz Conservatory</t>
  </si>
  <si>
    <t>Aviation Institute of Maintenance (Male only, 2 year)</t>
  </si>
  <si>
    <t>Wave Leadership College (2 year)</t>
  </si>
  <si>
    <t>Ross Medical Education Center-Muncie (2 year)</t>
  </si>
  <si>
    <t>Pima Medical Institute-El Paso (2 year)</t>
  </si>
  <si>
    <t>Pima Medical Institute-Phoenix (2 year)</t>
  </si>
  <si>
    <t>Kennesaw State University</t>
  </si>
  <si>
    <t>Wisconsin Academy a Paul Mitchell Partner Group-PMTS Lincoln (2 year)</t>
  </si>
  <si>
    <t>Milligan College</t>
  </si>
  <si>
    <t>Chamberlain University-Nevada</t>
  </si>
  <si>
    <t>Chamberlain University-Michigan</t>
  </si>
  <si>
    <t>Chamberlain University-New Jersey</t>
  </si>
  <si>
    <t>Hussian College-Relativity Campus California</t>
  </si>
  <si>
    <t>The University of Tennessee-Health Science Center</t>
  </si>
  <si>
    <t>Unitech Training Academy-Metairie (Female only, 2 year)</t>
  </si>
  <si>
    <t>Emory University-Oxford College (2 year)</t>
  </si>
  <si>
    <t>The Chicago School of Professional Psychology at Xavier University of Louisiana</t>
  </si>
  <si>
    <t>Southern Regional Technical College (2 year)</t>
  </si>
  <si>
    <t>University of Arizona-South</t>
  </si>
  <si>
    <t>Fortis College-Cuyahoga Falls (2 year)</t>
  </si>
  <si>
    <t>Sunstate Academy-Jones Technical Institute (Male only, 2 year)</t>
  </si>
  <si>
    <t>Texas State Technical College (2 year)</t>
  </si>
  <si>
    <t>American National University-Stow (Female only, 2 year)</t>
  </si>
  <si>
    <t>American National University-Willoughby Hills (Female only, 2 year)</t>
  </si>
  <si>
    <t>Arizona College-Las Vegas</t>
  </si>
  <si>
    <t>Florida Career College (2 year)</t>
  </si>
  <si>
    <t>Florida Career College-West Palm Beach (2 year)</t>
  </si>
  <si>
    <t>Florida Career College-Hialeah (2 year)</t>
  </si>
  <si>
    <t>Florida Career College-Lauderdale Lakes (2 year)</t>
  </si>
  <si>
    <t>Florida Career College-Tampa (2 year)</t>
  </si>
  <si>
    <t>Florida Career College-Jacksonville (2 year)</t>
  </si>
  <si>
    <t>Florida Career College-Boynton Beach (2 year)</t>
  </si>
  <si>
    <t>Florida Career College-Margate (2 year)</t>
  </si>
  <si>
    <t>Florida Career College-Kendall (2 year)</t>
  </si>
  <si>
    <t>Florida Career College-Orlando (2 year)</t>
  </si>
  <si>
    <t>Florida Career College-Houston Campus (2 year)</t>
  </si>
  <si>
    <t>Aveda Institute-Madison (2 year)</t>
  </si>
  <si>
    <t>Husson University</t>
  </si>
  <si>
    <t>Concorde Career College-Southaven (2 year)</t>
  </si>
  <si>
    <t>Universal Technical Institute-Southern California (Male only, 2 year)</t>
  </si>
  <si>
    <t>Northwest University-College of Adult and Professional Studies</t>
  </si>
  <si>
    <t>California Institute of Advanced Management</t>
  </si>
  <si>
    <t>Yeshiva Zichron Aryeh (Male only)</t>
  </si>
  <si>
    <t>Med-Life Institute-Naples (2 year)</t>
  </si>
  <si>
    <t>Med-Life Institute-Lauderdale Lakes (Female only, 2 year)</t>
  </si>
  <si>
    <t>Felbry College School of Nursing (2 year)</t>
  </si>
  <si>
    <t>Martinsburg College (2 year)</t>
  </si>
  <si>
    <t>Alhambra Medical University</t>
  </si>
  <si>
    <t>Central Yeshiva Beth Joseph (Male only)</t>
  </si>
  <si>
    <t>Abraham Lincoln University</t>
  </si>
  <si>
    <t>Huntington College of Health Sciences</t>
  </si>
  <si>
    <t>Sonoran Desert Institute (Male only, 2 year)</t>
  </si>
  <si>
    <t>Northwest Suburban College (2 year)</t>
  </si>
  <si>
    <t>Yeshivas Maharit D'Satmar (Male only)</t>
  </si>
  <si>
    <t>Regina Webb Academy (Female only, 2 year)</t>
  </si>
  <si>
    <t>Elim Bible Institute and College (2 year)</t>
  </si>
  <si>
    <t>Beth Medrash of Asbury Park (Male only)</t>
  </si>
  <si>
    <t>Hope College of Arts and Sciences</t>
  </si>
  <si>
    <t>Yeshiva Gedolah Shaarei Shmuel (Male only)</t>
  </si>
  <si>
    <t>Claremont Lincoln University</t>
  </si>
  <si>
    <t>Seattle Film Institute</t>
  </si>
  <si>
    <t>Arkansas Colleges of Health Education</t>
  </si>
  <si>
    <t>Burrell College of Osteopathic Medicine</t>
  </si>
  <si>
    <t>California Health Sciences University</t>
  </si>
  <si>
    <t>Indiana Wesleyan University-National &amp; Global</t>
  </si>
  <si>
    <t>Northeast Lakeview College (2 year)</t>
  </si>
  <si>
    <t>Radiological Technologies University VT</t>
  </si>
  <si>
    <t>University of Saint Katherine</t>
  </si>
  <si>
    <t>Teachers College of San Joaquin</t>
  </si>
  <si>
    <t>The Colburn Conservatory of Music</t>
  </si>
  <si>
    <t>University of the People</t>
  </si>
  <si>
    <t>Wongu University of Oriental Medicine</t>
  </si>
  <si>
    <t>Tulsa Technology Center (2 year)</t>
  </si>
  <si>
    <t>Le Cordon Bleu College of Culinary Arts - Orlando (2 year)</t>
  </si>
  <si>
    <t>Ross Medical Education Center-Lafayette (Female only, 2 year)</t>
  </si>
  <si>
    <t>Paul Mitchell the School-Nampa (Female only, 2 year)</t>
  </si>
  <si>
    <t>National American University-Westwood Teach-Out Site</t>
  </si>
  <si>
    <t>The College of Health Care Professions-McAllen Campus (2 year)</t>
  </si>
  <si>
    <t>Chamberlain University-North Carolina</t>
  </si>
  <si>
    <t>Chamberlain University-California</t>
  </si>
  <si>
    <t>Milan Institute-Bakersfield West (Male only, 2 year)</t>
  </si>
  <si>
    <t>Kaplan University-Indianapolis</t>
  </si>
  <si>
    <t>Kaplan University-Milwaukee</t>
  </si>
  <si>
    <t>Pima Medical Institute-Dillon (2 year)</t>
  </si>
  <si>
    <t>Med-Life Institute-Kissimmee (2 year)</t>
  </si>
  <si>
    <t>West Coast University-Center for Graduate Studies</t>
  </si>
  <si>
    <t>Piedmont International University</t>
  </si>
  <si>
    <t>Presbyterian Theological Seminary in America</t>
  </si>
  <si>
    <t>Health Career Institute (2 year)</t>
  </si>
  <si>
    <t>Southern States University</t>
  </si>
  <si>
    <t>America Evangelical University</t>
  </si>
  <si>
    <t>Gadsden Technical Institute (2 year)</t>
  </si>
  <si>
    <t>Virginia University of Oriental Medicine</t>
  </si>
  <si>
    <t>Los Angeles Academy of Figurative Art</t>
  </si>
  <si>
    <t>Westcliff University</t>
  </si>
  <si>
    <t>Sacramento Ultrasound Institute (2 year)</t>
  </si>
  <si>
    <t>Medical Prep Institute of Tampa Bay</t>
  </si>
  <si>
    <t>Elite Institute of Cosmetology (2 year)</t>
  </si>
  <si>
    <t>Bolivar Technical College (2 year)</t>
  </si>
  <si>
    <t>Reformed University</t>
  </si>
  <si>
    <t>Yeshiva Shaar Ephraim</t>
  </si>
  <si>
    <t>California Institute of Arts &amp; Technology (2 year)</t>
  </si>
  <si>
    <t>Yeshiva Bais Aharon</t>
  </si>
  <si>
    <t>Mechon L'hoyroa</t>
  </si>
  <si>
    <t>Elyon College (2 year)</t>
  </si>
  <si>
    <t>Western Michigan University Homer Stryker M.D. School of Medicine</t>
  </si>
  <si>
    <t>Metro Detroit Barber College (2 year)</t>
  </si>
  <si>
    <t>Yeshiva Ohr Naftoli</t>
  </si>
  <si>
    <t>Bais Medrash Mayan Hatorah</t>
  </si>
  <si>
    <t>Gwinnett Institute (2 year)</t>
  </si>
  <si>
    <t>Career Quest Learning Center-Mt. Pleasant (2 year)</t>
  </si>
  <si>
    <t>Kansas City University of Medicine and Biosciences-Joplin</t>
  </si>
  <si>
    <t>Cincinnati School of Barbering &amp; Hair Design Inc (2 year)</t>
  </si>
  <si>
    <t>Kaplan University-St. Louis</t>
  </si>
  <si>
    <t>Purdue University Northwest</t>
  </si>
  <si>
    <t>Ross College-Canton (2 year)</t>
  </si>
  <si>
    <t>Platt College-Anaheim</t>
  </si>
  <si>
    <t>Fortis College-Cutler Bay (2 year)</t>
  </si>
  <si>
    <t>Yeshiva Kollel Tifereth Elizer</t>
  </si>
  <si>
    <t>National American University-Garden City</t>
  </si>
  <si>
    <t>National American University-Watertown</t>
  </si>
  <si>
    <t>National American University-Career Point College Teachout Site</t>
  </si>
  <si>
    <t>Advanced College-Stockton (2 year)</t>
  </si>
  <si>
    <t>Galen College of Nursing-ARH (2 year)</t>
  </si>
  <si>
    <t>The Chicago School of Professional Psychology at San Diego</t>
  </si>
  <si>
    <t>Tricoci University of Beauty Culture-Janesville (2 year)</t>
  </si>
  <si>
    <t>University of Wisconsin-Milwaukee Flex</t>
  </si>
  <si>
    <t>University of Wisconsin-Parkside Flex</t>
  </si>
  <si>
    <t>University of Wisconsin Colleges Flex (2 year)</t>
  </si>
  <si>
    <t>Competitive</t>
  </si>
  <si>
    <t>Very Competitive</t>
  </si>
  <si>
    <t>Noncompetitive</t>
  </si>
  <si>
    <t>Highly Competitive</t>
  </si>
  <si>
    <t>2 year (Noncompetitive)</t>
  </si>
  <si>
    <t>Not available</t>
  </si>
  <si>
    <t>Less Competitive</t>
  </si>
  <si>
    <t>2 year (Competitive)</t>
  </si>
  <si>
    <t>Not Available</t>
  </si>
  <si>
    <t>Most Competitive+</t>
  </si>
  <si>
    <t>Most Competitive</t>
  </si>
  <si>
    <t>++/-</t>
  </si>
  <si>
    <t>+++</t>
  </si>
  <si>
    <t>?</t>
  </si>
  <si>
    <t>--</t>
  </si>
  <si>
    <t>---</t>
  </si>
  <si>
    <t>--- (CSS P)</t>
  </si>
  <si>
    <t>+++ (CSS P)</t>
  </si>
  <si>
    <t>? (CSS P)</t>
  </si>
  <si>
    <t>++/- (CSS P)</t>
  </si>
  <si>
    <t>-- (CSS P)</t>
  </si>
  <si>
    <t>++ (CSS P)</t>
  </si>
  <si>
    <t>++</t>
  </si>
  <si>
    <t>+/--</t>
  </si>
  <si>
    <t>+/---</t>
  </si>
  <si>
    <t>+/--- (CSS P)</t>
  </si>
  <si>
    <t>Adams State College</t>
  </si>
  <si>
    <t>Agnes Scott College</t>
  </si>
  <si>
    <t>Alderson Broaddus College</t>
  </si>
  <si>
    <t>Alverno College</t>
  </si>
  <si>
    <t>American Indian College of the Assemblies of God Inc</t>
  </si>
  <si>
    <t>Arizona State University</t>
  </si>
  <si>
    <t>Armstrong Atlantic State University</t>
  </si>
  <si>
    <t>Atlanta Christian College</t>
  </si>
  <si>
    <t>Atlantic Union College</t>
  </si>
  <si>
    <t>Augsburg College</t>
  </si>
  <si>
    <t>Augusta State University</t>
  </si>
  <si>
    <t>Baldwin-Wallace College</t>
  </si>
  <si>
    <t>Barnard College</t>
  </si>
  <si>
    <t>Bay Path College</t>
  </si>
  <si>
    <t>Bennett College for Women (HBCU)</t>
  </si>
  <si>
    <t>Bethel College-Mishawaka</t>
  </si>
  <si>
    <t>Cabrini College</t>
  </si>
  <si>
    <t>Caldwell College</t>
  </si>
  <si>
    <t>California Maritime Academy</t>
  </si>
  <si>
    <t>Capitol College</t>
  </si>
  <si>
    <t>Carson-Newman College</t>
  </si>
  <si>
    <t>Castleton State College</t>
  </si>
  <si>
    <t>Centenary College</t>
  </si>
  <si>
    <t>Central Methodist University-College of Liberal Arts &amp; Sciences</t>
  </si>
  <si>
    <t>Clearwater Christian College</t>
  </si>
  <si>
    <t>Cogswell Polytechnical College</t>
  </si>
  <si>
    <t>College of Mount St. Joseph</t>
  </si>
  <si>
    <t>College of Notre Dame of Maryland</t>
  </si>
  <si>
    <t>College of Saint Benedict</t>
  </si>
  <si>
    <t>College of Saint Mary</t>
  </si>
  <si>
    <t>Columbia College-Chicago</t>
  </si>
  <si>
    <t>Concordia University-Seward</t>
  </si>
  <si>
    <t>Daniel Webster College</t>
  </si>
  <si>
    <t>Delaware Valley College</t>
  </si>
  <si>
    <t>Doane College-Crete</t>
  </si>
  <si>
    <t>Dowling College</t>
  </si>
  <si>
    <t>Embry Riddle Aeronautical University-Daytona Beach</t>
  </si>
  <si>
    <t>Embry Riddle Aeronautical University-Prescott</t>
  </si>
  <si>
    <t>Emory and Henry College</t>
  </si>
  <si>
    <t>Erskine College and Seminary</t>
  </si>
  <si>
    <t>Fairleigh Dickinson University-College at Florham</t>
  </si>
  <si>
    <t>Felician College</t>
  </si>
  <si>
    <t>Florida Hospital College of Health Sciences</t>
  </si>
  <si>
    <t>Franklin W. Olin College of Engineering</t>
  </si>
  <si>
    <t>Furman University</t>
  </si>
  <si>
    <t>Greenville College</t>
  </si>
  <si>
    <t>Gwynedd Mercy College</t>
  </si>
  <si>
    <t>Hampden-Sydney College</t>
  </si>
  <si>
    <t>Hannibal-Lagrange College</t>
  </si>
  <si>
    <t>Hollins University</t>
  </si>
  <si>
    <t>Indiana Wesleyan University</t>
  </si>
  <si>
    <t>Jamestown College</t>
  </si>
  <si>
    <t>Judson College</t>
  </si>
  <si>
    <t>King College</t>
  </si>
  <si>
    <t>Lakeland College</t>
  </si>
  <si>
    <t>Lambuth University</t>
  </si>
  <si>
    <t>Lexington College</t>
  </si>
  <si>
    <t>Lincoln University of Pennsylvania (HBCU)</t>
  </si>
  <si>
    <t>Linfield College</t>
  </si>
  <si>
    <t>Long Island University-Brooklyn Campus</t>
  </si>
  <si>
    <t>Long Island University-C W Post Campus</t>
  </si>
  <si>
    <t>Lourdes College</t>
  </si>
  <si>
    <t>Loyola University-Baltimore</t>
  </si>
  <si>
    <t>Loyola University-Chicago</t>
  </si>
  <si>
    <t>Loyola University-New Orleans</t>
  </si>
  <si>
    <t>Lyme Academy College of Fine Arts</t>
  </si>
  <si>
    <t>Macon State College</t>
  </si>
  <si>
    <t>Manchester College</t>
  </si>
  <si>
    <t>Maranatha Baptist Bible College</t>
  </si>
  <si>
    <t>Mars Hill College</t>
  </si>
  <si>
    <t>Mary Baldwin College</t>
  </si>
  <si>
    <t>Mercyhurst College</t>
  </si>
  <si>
    <t>Meredith College</t>
  </si>
  <si>
    <t>Mesa State College</t>
  </si>
  <si>
    <t>Metropolitan State College of Denver</t>
  </si>
  <si>
    <t>Midway College</t>
  </si>
  <si>
    <t>Minnesota State University-Moorhead</t>
  </si>
  <si>
    <t>Monroe College-Main Campus</t>
  </si>
  <si>
    <t>Moravian College and Moravian Theological Seminary</t>
  </si>
  <si>
    <t>Morehouse College (HBCU)</t>
  </si>
  <si>
    <t>Mount Holyoke College</t>
  </si>
  <si>
    <t>Mount Mary College</t>
  </si>
  <si>
    <t>Mount Olive College</t>
  </si>
  <si>
    <t>Mount St Mary's College</t>
  </si>
  <si>
    <t>Mount St Mary's University</t>
  </si>
  <si>
    <t>National-Louis University</t>
  </si>
  <si>
    <t>Newbury College-Brookline</t>
  </si>
  <si>
    <t>North Georgia College &amp; State University</t>
  </si>
  <si>
    <t>Northwood University-Florida</t>
  </si>
  <si>
    <t>Northwood University-Michigan</t>
  </si>
  <si>
    <t>Northwood University-Texas</t>
  </si>
  <si>
    <t>Our Lady of the Lake University-San Antonio</t>
  </si>
  <si>
    <t>Palm Beach Atlantic University-West Palm Beach</t>
  </si>
  <si>
    <t>Peace College</t>
  </si>
  <si>
    <t>Pennsylvania State University-Brandywine</t>
  </si>
  <si>
    <t>Pennsylvania State University-Penn State Dubois</t>
  </si>
  <si>
    <t>Philadelphia Biblical University-Langhorne</t>
  </si>
  <si>
    <t>Philadelphia University</t>
  </si>
  <si>
    <t>Polytechnic Institute of New York University</t>
  </si>
  <si>
    <t>Rivier College</t>
  </si>
  <si>
    <t>Rockford College</t>
  </si>
  <si>
    <t>Saint Augustines College (HBCU)</t>
  </si>
  <si>
    <t>Saint Bonaventure University</t>
  </si>
  <si>
    <t>Saint Johns University</t>
  </si>
  <si>
    <t>Saint Joseph College</t>
  </si>
  <si>
    <t>Saint Joseph's College-New York</t>
  </si>
  <si>
    <t>Saint Louis University-Main Campus</t>
  </si>
  <si>
    <t>Saint Marys College of California</t>
  </si>
  <si>
    <t>Saint Peter's College</t>
  </si>
  <si>
    <t>Saint Thomas Aquinas College</t>
  </si>
  <si>
    <t>Saint Thomas University</t>
  </si>
  <si>
    <t>Salem College</t>
  </si>
  <si>
    <t>Scripps College</t>
  </si>
  <si>
    <t>Shimer College</t>
  </si>
  <si>
    <t>Southern Illinois University Carbondale</t>
  </si>
  <si>
    <t>Southern Illinois University Edwardsville</t>
  </si>
  <si>
    <t>Southern Polytechnic State University</t>
  </si>
  <si>
    <t>Spelman College (HBCU)</t>
  </si>
  <si>
    <t>St Andrews Presbyterian College</t>
  </si>
  <si>
    <t>St John's College</t>
  </si>
  <si>
    <t>St Marys University</t>
  </si>
  <si>
    <t>St. Francis College</t>
  </si>
  <si>
    <t>Stephens College</t>
  </si>
  <si>
    <t>SUNY at Binghamton</t>
  </si>
  <si>
    <t>SUNY at Geneseo</t>
  </si>
  <si>
    <t>SUNY College at Buffalo</t>
  </si>
  <si>
    <t>SUNY College at Cortland</t>
  </si>
  <si>
    <t>SUNY College at Oneonta</t>
  </si>
  <si>
    <t>SUNY Institute of Technology at Utica-Rome</t>
  </si>
  <si>
    <t>Sweet Briar College</t>
  </si>
  <si>
    <t>Tennessee Wesleyan College</t>
  </si>
  <si>
    <t>Texas A &amp; M University-Galveston</t>
  </si>
  <si>
    <t>Texas State University-San Marcos</t>
  </si>
  <si>
    <t>The King’s College</t>
  </si>
  <si>
    <t>The Master's College and Seminary</t>
  </si>
  <si>
    <t>The Richard Stockton College of New Jersey</t>
  </si>
  <si>
    <t>The University of Tennessee</t>
  </si>
  <si>
    <t>The University of Tennessee at Chattanooga</t>
  </si>
  <si>
    <t>The University of Texas-Pan American</t>
  </si>
  <si>
    <t>University of Alabama at Huntsville</t>
  </si>
  <si>
    <t>University of Colorado at Colorado Springs</t>
  </si>
  <si>
    <t>University of Colorado Denver</t>
  </si>
  <si>
    <t>University of Connecticut-Tri-Campus</t>
  </si>
  <si>
    <t>University of Great Falls</t>
  </si>
  <si>
    <t>University of Louisiana-Lafayette</t>
  </si>
  <si>
    <t>University of Louisiana-Monroe</t>
  </si>
  <si>
    <t>University of Massachusetts Amherst</t>
  </si>
  <si>
    <t>University of Mississippi Main Campus</t>
  </si>
  <si>
    <t>University of North Carolina at Wilmington</t>
  </si>
  <si>
    <t>University of Oklahoma Norman Campus</t>
  </si>
  <si>
    <t>University of South Florida-St. Petersburg Campus</t>
  </si>
  <si>
    <t>Valley Forge Christian College</t>
  </si>
  <si>
    <t>Victory University</t>
  </si>
  <si>
    <t>Virginia Intermont College</t>
  </si>
  <si>
    <t>Virginia Wesleyan College</t>
  </si>
  <si>
    <t>Wellesley College</t>
  </si>
  <si>
    <t>Wesleyan College</t>
  </si>
  <si>
    <t>Western State College of Colorado</t>
  </si>
  <si>
    <t>Widener University-Main Campus</t>
  </si>
  <si>
    <t>York College Pennsylvania</t>
  </si>
  <si>
    <t>GPAcoef</t>
  </si>
  <si>
    <t>ACTcoef</t>
  </si>
  <si>
    <t>Intercept</t>
  </si>
  <si>
    <t>Weight</t>
  </si>
  <si>
    <t>College</t>
  </si>
  <si>
    <t>SchoolCode</t>
  </si>
  <si>
    <t>A:145637</t>
  </si>
  <si>
    <t>A:146427</t>
  </si>
  <si>
    <t>A:170301</t>
  </si>
  <si>
    <t>A:170532</t>
  </si>
  <si>
    <t>A:170976</t>
  </si>
  <si>
    <t>A:174844</t>
  </si>
  <si>
    <t>A:202523</t>
  </si>
  <si>
    <t>B:100654</t>
  </si>
  <si>
    <t>B:100724</t>
  </si>
  <si>
    <t>B:102377</t>
  </si>
  <si>
    <t>B:113698</t>
  </si>
  <si>
    <t>B:120254</t>
  </si>
  <si>
    <t>B:122612</t>
  </si>
  <si>
    <t>B:127060</t>
  </si>
  <si>
    <t>B:131520</t>
  </si>
  <si>
    <t>B:133650</t>
  </si>
  <si>
    <t>B:135726</t>
  </si>
  <si>
    <t>B:138947</t>
  </si>
  <si>
    <t>B:139658</t>
  </si>
  <si>
    <t>B:140553</t>
  </si>
  <si>
    <t>B:141060</t>
  </si>
  <si>
    <t>B:143084</t>
  </si>
  <si>
    <t>B:143118</t>
  </si>
  <si>
    <t>B:143288</t>
  </si>
  <si>
    <t>B:143358</t>
  </si>
  <si>
    <t>B:144005</t>
  </si>
  <si>
    <t>B:144050</t>
  </si>
  <si>
    <t>B:144281</t>
  </si>
  <si>
    <t>B:144351</t>
  </si>
  <si>
    <t>B:144740</t>
  </si>
  <si>
    <t>B:144892</t>
  </si>
  <si>
    <t>B:144962</t>
  </si>
  <si>
    <t>B:145336</t>
  </si>
  <si>
    <t>B:145600</t>
  </si>
  <si>
    <t>B:145637</t>
  </si>
  <si>
    <t>B:145646</t>
  </si>
  <si>
    <t>B:145691</t>
  </si>
  <si>
    <t>B:145725</t>
  </si>
  <si>
    <t>B:145813</t>
  </si>
  <si>
    <t>B:146427</t>
  </si>
  <si>
    <t>B:146481</t>
  </si>
  <si>
    <t>B:146612</t>
  </si>
  <si>
    <t>B:146676</t>
  </si>
  <si>
    <t>B:146719</t>
  </si>
  <si>
    <t>B:147013</t>
  </si>
  <si>
    <t>B:147244</t>
  </si>
  <si>
    <t>B:147341</t>
  </si>
  <si>
    <t>B:147536</t>
  </si>
  <si>
    <t>B:147660</t>
  </si>
  <si>
    <t>B:147679</t>
  </si>
  <si>
    <t>B:147703</t>
  </si>
  <si>
    <t>B:147767</t>
  </si>
  <si>
    <t>B:147776</t>
  </si>
  <si>
    <t>B:148131</t>
  </si>
  <si>
    <t>B:148487</t>
  </si>
  <si>
    <t>B:148496</t>
  </si>
  <si>
    <t>B:148584</t>
  </si>
  <si>
    <t>B:148627</t>
  </si>
  <si>
    <t>B:148654</t>
  </si>
  <si>
    <t>B:149222</t>
  </si>
  <si>
    <t>B:149231</t>
  </si>
  <si>
    <t>B:149505</t>
  </si>
  <si>
    <t>B:149772</t>
  </si>
  <si>
    <t>B:150136</t>
  </si>
  <si>
    <t>B:150163</t>
  </si>
  <si>
    <t>B:150400</t>
  </si>
  <si>
    <t>B:150774</t>
  </si>
  <si>
    <t>B:152248</t>
  </si>
  <si>
    <t>B:152600</t>
  </si>
  <si>
    <t>B:152673</t>
  </si>
  <si>
    <t>B:153144</t>
  </si>
  <si>
    <t>B:153384</t>
  </si>
  <si>
    <t>B:153603</t>
  </si>
  <si>
    <t>B:153658</t>
  </si>
  <si>
    <t>B:153834</t>
  </si>
  <si>
    <t>B:154095</t>
  </si>
  <si>
    <t>B:154493</t>
  </si>
  <si>
    <t>B:154527</t>
  </si>
  <si>
    <t>B:156295</t>
  </si>
  <si>
    <t>B:164924</t>
  </si>
  <si>
    <t>B:168546</t>
  </si>
  <si>
    <t>B:169080</t>
  </si>
  <si>
    <t>B:169248</t>
  </si>
  <si>
    <t>B:170082</t>
  </si>
  <si>
    <t>B:170301</t>
  </si>
  <si>
    <t>B:170532</t>
  </si>
  <si>
    <t>B:170976</t>
  </si>
  <si>
    <t>B:174844</t>
  </si>
  <si>
    <t>B:175856</t>
  </si>
  <si>
    <t>B:176965</t>
  </si>
  <si>
    <t>B:178396</t>
  </si>
  <si>
    <t>B:178615</t>
  </si>
  <si>
    <t>B:179867</t>
  </si>
  <si>
    <t>B:193900</t>
  </si>
  <si>
    <t>B:196413</t>
  </si>
  <si>
    <t>B:199102</t>
  </si>
  <si>
    <t>B:201690</t>
  </si>
  <si>
    <t>B:202480</t>
  </si>
  <si>
    <t>B:202523</t>
  </si>
  <si>
    <t>B:203517</t>
  </si>
  <si>
    <t>B:204796</t>
  </si>
  <si>
    <t>B:206589</t>
  </si>
  <si>
    <t>B:212674</t>
  </si>
  <si>
    <t>B:213668</t>
  </si>
  <si>
    <t>B:216597</t>
  </si>
  <si>
    <t>B:229267</t>
  </si>
  <si>
    <t>B:231174</t>
  </si>
  <si>
    <t>B:232937</t>
  </si>
  <si>
    <t>B:234076</t>
  </si>
  <si>
    <t>B:238333</t>
  </si>
  <si>
    <t>B:239105</t>
  </si>
  <si>
    <t>B:239628</t>
  </si>
  <si>
    <t>B:240444</t>
  </si>
  <si>
    <t>B:Arrupe</t>
  </si>
  <si>
    <t>H:112260</t>
  </si>
  <si>
    <t>H:117946</t>
  </si>
  <si>
    <t>H:121345</t>
  </si>
  <si>
    <t>H:122612</t>
  </si>
  <si>
    <t>H:126678</t>
  </si>
  <si>
    <t>H:127060</t>
  </si>
  <si>
    <t>H:128902</t>
  </si>
  <si>
    <t>H:130697</t>
  </si>
  <si>
    <t>H:131496</t>
  </si>
  <si>
    <t>H:132471</t>
  </si>
  <si>
    <t>H:137847</t>
  </si>
  <si>
    <t>H:138600</t>
  </si>
  <si>
    <t>H:139658</t>
  </si>
  <si>
    <t>H:143084</t>
  </si>
  <si>
    <t>H:143118</t>
  </si>
  <si>
    <t>H:143288</t>
  </si>
  <si>
    <t>H:143358</t>
  </si>
  <si>
    <t>H:144005</t>
  </si>
  <si>
    <t>H:144050</t>
  </si>
  <si>
    <t>H:144281</t>
  </si>
  <si>
    <t>H:144740</t>
  </si>
  <si>
    <t>H:144892</t>
  </si>
  <si>
    <t>H:144962</t>
  </si>
  <si>
    <t>H:145637</t>
  </si>
  <si>
    <t>H:145646</t>
  </si>
  <si>
    <t>H:145691</t>
  </si>
  <si>
    <t>H:145725</t>
  </si>
  <si>
    <t>H:145813</t>
  </si>
  <si>
    <t>H:146427</t>
  </si>
  <si>
    <t>H:146481</t>
  </si>
  <si>
    <t>H:146676</t>
  </si>
  <si>
    <t>H:146719</t>
  </si>
  <si>
    <t>H:147244</t>
  </si>
  <si>
    <t>H:147341</t>
  </si>
  <si>
    <t>H:147536</t>
  </si>
  <si>
    <t>H:147660</t>
  </si>
  <si>
    <t>H:147679</t>
  </si>
  <si>
    <t>H:147703</t>
  </si>
  <si>
    <t>H:147767</t>
  </si>
  <si>
    <t>H:148487</t>
  </si>
  <si>
    <t>H:148584</t>
  </si>
  <si>
    <t>H:149222</t>
  </si>
  <si>
    <t>H:149231</t>
  </si>
  <si>
    <t>H:150163</t>
  </si>
  <si>
    <t>H:150400</t>
  </si>
  <si>
    <t>H:150455</t>
  </si>
  <si>
    <t>H:150774</t>
  </si>
  <si>
    <t>H:151351</t>
  </si>
  <si>
    <t>H:152080</t>
  </si>
  <si>
    <t>H:152600</t>
  </si>
  <si>
    <t>H:152673</t>
  </si>
  <si>
    <t>H:153144</t>
  </si>
  <si>
    <t>H:153162</t>
  </si>
  <si>
    <t>H:153269</t>
  </si>
  <si>
    <t>H:153278</t>
  </si>
  <si>
    <t>H:153384</t>
  </si>
  <si>
    <t>H:153603</t>
  </si>
  <si>
    <t>H:153658</t>
  </si>
  <si>
    <t>H:154095</t>
  </si>
  <si>
    <t>H:154350</t>
  </si>
  <si>
    <t>H:154493</t>
  </si>
  <si>
    <t>H:154527</t>
  </si>
  <si>
    <t>H:156295</t>
  </si>
  <si>
    <t>H:161004</t>
  </si>
  <si>
    <t>H:162928</t>
  </si>
  <si>
    <t>H:164924</t>
  </si>
  <si>
    <t>H:164988</t>
  </si>
  <si>
    <t>H:167358</t>
  </si>
  <si>
    <t>H:168148</t>
  </si>
  <si>
    <t>H:168546</t>
  </si>
  <si>
    <t>H:169248</t>
  </si>
  <si>
    <t>H:170301</t>
  </si>
  <si>
    <t>H:170532</t>
  </si>
  <si>
    <t>H:170976</t>
  </si>
  <si>
    <t>H:173258</t>
  </si>
  <si>
    <t>H:173902</t>
  </si>
  <si>
    <t>H:174817</t>
  </si>
  <si>
    <t>H:174844</t>
  </si>
  <si>
    <t>H:176965</t>
  </si>
  <si>
    <t>H:178396</t>
  </si>
  <si>
    <t>H:178615</t>
  </si>
  <si>
    <t>H:179159</t>
  </si>
  <si>
    <t>H:179867</t>
  </si>
  <si>
    <t>H:182670</t>
  </si>
  <si>
    <t>H:186131</t>
  </si>
  <si>
    <t>H:190099</t>
  </si>
  <si>
    <t>H:195030</t>
  </si>
  <si>
    <t>H:196413</t>
  </si>
  <si>
    <t>H:197869</t>
  </si>
  <si>
    <t>H:198385</t>
  </si>
  <si>
    <t>H:201645</t>
  </si>
  <si>
    <t>H:202480</t>
  </si>
  <si>
    <t>H:202523</t>
  </si>
  <si>
    <t>H:203535</t>
  </si>
  <si>
    <t>H:204024</t>
  </si>
  <si>
    <t>H:204501</t>
  </si>
  <si>
    <t>H:204796</t>
  </si>
  <si>
    <t>H:206589</t>
  </si>
  <si>
    <t>H:209056</t>
  </si>
  <si>
    <t>H:211291</t>
  </si>
  <si>
    <t>H:211440</t>
  </si>
  <si>
    <t>H:212009</t>
  </si>
  <si>
    <t>H:212577</t>
  </si>
  <si>
    <t>H:212674</t>
  </si>
  <si>
    <t>H:213385</t>
  </si>
  <si>
    <t>H:213668</t>
  </si>
  <si>
    <t>H:215062</t>
  </si>
  <si>
    <t>H:216287</t>
  </si>
  <si>
    <t>H:217156</t>
  </si>
  <si>
    <t>H:221351</t>
  </si>
  <si>
    <t>H:221519</t>
  </si>
  <si>
    <t>H:231174</t>
  </si>
  <si>
    <t>H:234076</t>
  </si>
  <si>
    <t>H:238333</t>
  </si>
  <si>
    <t>H:239105</t>
  </si>
  <si>
    <t>H:239628</t>
  </si>
  <si>
    <t>H:240444</t>
  </si>
  <si>
    <t>H:243744</t>
  </si>
  <si>
    <t>H:Arrupe</t>
  </si>
  <si>
    <t>W:145637</t>
  </si>
  <si>
    <t>W:146427</t>
  </si>
  <si>
    <t>W:170301</t>
  </si>
  <si>
    <t>W:170532</t>
  </si>
  <si>
    <t>W:170976</t>
  </si>
  <si>
    <t>W:174844</t>
  </si>
  <si>
    <t>W:202523</t>
  </si>
  <si>
    <t>MatchCode</t>
  </si>
  <si>
    <t>ACT-coef</t>
  </si>
  <si>
    <t>Competitiveness</t>
  </si>
  <si>
    <t>H:Most Competitive+</t>
  </si>
  <si>
    <t>H:Most Competitive</t>
  </si>
  <si>
    <t>H:Highly Competitive</t>
  </si>
  <si>
    <t>H:Very Competitive</t>
  </si>
  <si>
    <t>H:Competitive</t>
  </si>
  <si>
    <t>H:Less Competitive</t>
  </si>
  <si>
    <t>H:Noncompetitive</t>
  </si>
  <si>
    <t>H:2 year (Noncompetitive)</t>
  </si>
  <si>
    <t>H:Not Available</t>
  </si>
  <si>
    <t>H:2 year (Competitive)</t>
  </si>
  <si>
    <t>B:Most Competitive+</t>
  </si>
  <si>
    <t>B:Most Competitive</t>
  </si>
  <si>
    <t>B:Highly Competitive</t>
  </si>
  <si>
    <t>B:Very Competitive</t>
  </si>
  <si>
    <t>B:Competitive</t>
  </si>
  <si>
    <t>B:Less Competitive</t>
  </si>
  <si>
    <t>B:Noncompetitive</t>
  </si>
  <si>
    <t>B:2 year (Noncompetitive)</t>
  </si>
  <si>
    <t>B:Not Available</t>
  </si>
  <si>
    <t>B:2 year (Competitive)</t>
  </si>
  <si>
    <t>W:Most Competitive+</t>
  </si>
  <si>
    <t>W:Most Competitive</t>
  </si>
  <si>
    <t>W:Highly Competitive</t>
  </si>
  <si>
    <t>W:Very Competitive</t>
  </si>
  <si>
    <t>W:Competitive</t>
  </si>
  <si>
    <t>W:Less Competitive</t>
  </si>
  <si>
    <t>W:Noncompetitive</t>
  </si>
  <si>
    <t>W:2 year (Noncompetitive)</t>
  </si>
  <si>
    <t>W:Not Available</t>
  </si>
  <si>
    <t>W:2 year (Competitive)</t>
  </si>
  <si>
    <t>A:Most Competitive+</t>
  </si>
  <si>
    <t>A:Most Competitive</t>
  </si>
  <si>
    <t>A:Highly Competitive</t>
  </si>
  <si>
    <t>A:Very Competitive</t>
  </si>
  <si>
    <t>A:Competitive</t>
  </si>
  <si>
    <t>A:Less Competitive</t>
  </si>
  <si>
    <t>A:Noncompetitive</t>
  </si>
  <si>
    <t>A:2 year (Noncompetitive)</t>
  </si>
  <si>
    <t>A:Not Available</t>
  </si>
  <si>
    <t>A:2 year (Competitive)</t>
  </si>
  <si>
    <t>SAT</t>
  </si>
  <si>
    <t>Index</t>
  </si>
  <si>
    <t>4.3:12</t>
  </si>
  <si>
    <t>4.2:12</t>
  </si>
  <si>
    <t>4.1:12</t>
  </si>
  <si>
    <t>4.0:12</t>
  </si>
  <si>
    <t>3.9:12</t>
  </si>
  <si>
    <t>3.8:12</t>
  </si>
  <si>
    <t>3.7:12</t>
  </si>
  <si>
    <t>3.6:12</t>
  </si>
  <si>
    <t>3.5:12</t>
  </si>
  <si>
    <t>3.4:12</t>
  </si>
  <si>
    <t>3.3:12</t>
  </si>
  <si>
    <t>3.2:12</t>
  </si>
  <si>
    <t>3.1:12</t>
  </si>
  <si>
    <t>3.0:12</t>
  </si>
  <si>
    <t>2.9:12</t>
  </si>
  <si>
    <t>2.8:12</t>
  </si>
  <si>
    <t>2.7:12</t>
  </si>
  <si>
    <t>2.6:12</t>
  </si>
  <si>
    <t>2.5:12</t>
  </si>
  <si>
    <t>2.4:12</t>
  </si>
  <si>
    <t>2.3:12</t>
  </si>
  <si>
    <t>2.2:12</t>
  </si>
  <si>
    <t>2.1:12</t>
  </si>
  <si>
    <t>2.0:12</t>
  </si>
  <si>
    <t>1.9:12</t>
  </si>
  <si>
    <t>1.8:12</t>
  </si>
  <si>
    <t>1.7:12</t>
  </si>
  <si>
    <t>1.6:12</t>
  </si>
  <si>
    <t>1.5:12</t>
  </si>
  <si>
    <t>4.3:13</t>
  </si>
  <si>
    <t>4.2:13</t>
  </si>
  <si>
    <t>4.1:13</t>
  </si>
  <si>
    <t>4.0:13</t>
  </si>
  <si>
    <t>3.9:13</t>
  </si>
  <si>
    <t>3.8:13</t>
  </si>
  <si>
    <t>3.7:13</t>
  </si>
  <si>
    <t>3.6:13</t>
  </si>
  <si>
    <t>3.5:13</t>
  </si>
  <si>
    <t>3.4:13</t>
  </si>
  <si>
    <t>3.3:13</t>
  </si>
  <si>
    <t>3.2:13</t>
  </si>
  <si>
    <t>3.1:13</t>
  </si>
  <si>
    <t>3.0:13</t>
  </si>
  <si>
    <t>2.9:13</t>
  </si>
  <si>
    <t>2.8:13</t>
  </si>
  <si>
    <t>2.7:13</t>
  </si>
  <si>
    <t>2.6:13</t>
  </si>
  <si>
    <t>2.5:13</t>
  </si>
  <si>
    <t>2.4:13</t>
  </si>
  <si>
    <t>2.3:13</t>
  </si>
  <si>
    <t>2.2:13</t>
  </si>
  <si>
    <t>2.1:13</t>
  </si>
  <si>
    <t>2.0:13</t>
  </si>
  <si>
    <t>1.9:13</t>
  </si>
  <si>
    <t>1.8:13</t>
  </si>
  <si>
    <t>1.7:13</t>
  </si>
  <si>
    <t>1.6:13</t>
  </si>
  <si>
    <t>1.5:13</t>
  </si>
  <si>
    <t>4.3:14</t>
  </si>
  <si>
    <t>4.2:14</t>
  </si>
  <si>
    <t>4.1:14</t>
  </si>
  <si>
    <t>4.0:14</t>
  </si>
  <si>
    <t>3.9:14</t>
  </si>
  <si>
    <t>3.8:14</t>
  </si>
  <si>
    <t>3.7:14</t>
  </si>
  <si>
    <t>3.6:14</t>
  </si>
  <si>
    <t>3.5:14</t>
  </si>
  <si>
    <t>3.4:14</t>
  </si>
  <si>
    <t>3.3:14</t>
  </si>
  <si>
    <t>3.2:14</t>
  </si>
  <si>
    <t>3.1:14</t>
  </si>
  <si>
    <t>3.0:14</t>
  </si>
  <si>
    <t>2.9:14</t>
  </si>
  <si>
    <t>2.8:14</t>
  </si>
  <si>
    <t>2.7:14</t>
  </si>
  <si>
    <t>2.6:14</t>
  </si>
  <si>
    <t>2.5:14</t>
  </si>
  <si>
    <t>2.4:14</t>
  </si>
  <si>
    <t>2.3:14</t>
  </si>
  <si>
    <t>2.2:14</t>
  </si>
  <si>
    <t>2.1:14</t>
  </si>
  <si>
    <t>2.0:14</t>
  </si>
  <si>
    <t>1.9:14</t>
  </si>
  <si>
    <t>1.8:14</t>
  </si>
  <si>
    <t>1.7:14</t>
  </si>
  <si>
    <t>1.6:14</t>
  </si>
  <si>
    <t>1.5:14</t>
  </si>
  <si>
    <t>4.3:15</t>
  </si>
  <si>
    <t>4.2:15</t>
  </si>
  <si>
    <t>4.1:15</t>
  </si>
  <si>
    <t>4.0:15</t>
  </si>
  <si>
    <t>3.9:15</t>
  </si>
  <si>
    <t>3.8:15</t>
  </si>
  <si>
    <t>3.7:15</t>
  </si>
  <si>
    <t>3.6:15</t>
  </si>
  <si>
    <t>3.5:15</t>
  </si>
  <si>
    <t>3.4:15</t>
  </si>
  <si>
    <t>3.3:15</t>
  </si>
  <si>
    <t>3.2:15</t>
  </si>
  <si>
    <t>3.1:15</t>
  </si>
  <si>
    <t>3.0:15</t>
  </si>
  <si>
    <t>2.9:15</t>
  </si>
  <si>
    <t>2.8:15</t>
  </si>
  <si>
    <t>2.7:15</t>
  </si>
  <si>
    <t>2.6:15</t>
  </si>
  <si>
    <t>2.5:15</t>
  </si>
  <si>
    <t>2.4:15</t>
  </si>
  <si>
    <t>2.3:15</t>
  </si>
  <si>
    <t>2.2:15</t>
  </si>
  <si>
    <t>2.1:15</t>
  </si>
  <si>
    <t>2.0:15</t>
  </si>
  <si>
    <t>1.9:15</t>
  </si>
  <si>
    <t>1.8:15</t>
  </si>
  <si>
    <t>1.7:15</t>
  </si>
  <si>
    <t>1.6:15</t>
  </si>
  <si>
    <t>1.5:15</t>
  </si>
  <si>
    <t>4.3:16</t>
  </si>
  <si>
    <t>4.2:16</t>
  </si>
  <si>
    <t>4.1:16</t>
  </si>
  <si>
    <t>4.0:16</t>
  </si>
  <si>
    <t>3.9:16</t>
  </si>
  <si>
    <t>3.8:16</t>
  </si>
  <si>
    <t>3.7:16</t>
  </si>
  <si>
    <t>3.6:16</t>
  </si>
  <si>
    <t>3.5:16</t>
  </si>
  <si>
    <t>3.4:16</t>
  </si>
  <si>
    <t>3.3:16</t>
  </si>
  <si>
    <t>3.2:16</t>
  </si>
  <si>
    <t>3.1:16</t>
  </si>
  <si>
    <t>3.0:16</t>
  </si>
  <si>
    <t>2.9:16</t>
  </si>
  <si>
    <t>2.8:16</t>
  </si>
  <si>
    <t>2.7:16</t>
  </si>
  <si>
    <t>2.6:16</t>
  </si>
  <si>
    <t>2.5:16</t>
  </si>
  <si>
    <t>2.4:16</t>
  </si>
  <si>
    <t>2.3:16</t>
  </si>
  <si>
    <t>2.2:16</t>
  </si>
  <si>
    <t>2.1:16</t>
  </si>
  <si>
    <t>2.0:16</t>
  </si>
  <si>
    <t>1.9:16</t>
  </si>
  <si>
    <t>1.8:16</t>
  </si>
  <si>
    <t>1.7:16</t>
  </si>
  <si>
    <t>1.6:16</t>
  </si>
  <si>
    <t>1.5:16</t>
  </si>
  <si>
    <t>4.3:17</t>
  </si>
  <si>
    <t>4.2:17</t>
  </si>
  <si>
    <t>4.1:17</t>
  </si>
  <si>
    <t>4.0:17</t>
  </si>
  <si>
    <t>3.9:17</t>
  </si>
  <si>
    <t>3.8:17</t>
  </si>
  <si>
    <t>3.7:17</t>
  </si>
  <si>
    <t>3.6:17</t>
  </si>
  <si>
    <t>3.5:17</t>
  </si>
  <si>
    <t>3.4:17</t>
  </si>
  <si>
    <t>3.3:17</t>
  </si>
  <si>
    <t>3.2:17</t>
  </si>
  <si>
    <t>3.1:17</t>
  </si>
  <si>
    <t>3.0:17</t>
  </si>
  <si>
    <t>2.9:17</t>
  </si>
  <si>
    <t>2.8:17</t>
  </si>
  <si>
    <t>2.7:17</t>
  </si>
  <si>
    <t>2.6:17</t>
  </si>
  <si>
    <t>2.5:17</t>
  </si>
  <si>
    <t>2.4:17</t>
  </si>
  <si>
    <t>2.3:17</t>
  </si>
  <si>
    <t>2.2:17</t>
  </si>
  <si>
    <t>2.1:17</t>
  </si>
  <si>
    <t>2.0:17</t>
  </si>
  <si>
    <t>1.9:17</t>
  </si>
  <si>
    <t>1.8:17</t>
  </si>
  <si>
    <t>1.7:17</t>
  </si>
  <si>
    <t>1.6:17</t>
  </si>
  <si>
    <t>1.5:17</t>
  </si>
  <si>
    <t>4.3:18</t>
  </si>
  <si>
    <t>4.2:18</t>
  </si>
  <si>
    <t>4.1:18</t>
  </si>
  <si>
    <t>4.0:18</t>
  </si>
  <si>
    <t>3.9:18</t>
  </si>
  <si>
    <t>3.8:18</t>
  </si>
  <si>
    <t>3.7:18</t>
  </si>
  <si>
    <t>3.6:18</t>
  </si>
  <si>
    <t>3.5:18</t>
  </si>
  <si>
    <t>3.4:18</t>
  </si>
  <si>
    <t>3.3:18</t>
  </si>
  <si>
    <t>3.2:18</t>
  </si>
  <si>
    <t>3.1:18</t>
  </si>
  <si>
    <t>3.0:18</t>
  </si>
  <si>
    <t>2.9:18</t>
  </si>
  <si>
    <t>2.8:18</t>
  </si>
  <si>
    <t>2.7:18</t>
  </si>
  <si>
    <t>2.6:18</t>
  </si>
  <si>
    <t>2.5:18</t>
  </si>
  <si>
    <t>2.4:18</t>
  </si>
  <si>
    <t>2.3:18</t>
  </si>
  <si>
    <t>2.2:18</t>
  </si>
  <si>
    <t>2.1:18</t>
  </si>
  <si>
    <t>2.0:18</t>
  </si>
  <si>
    <t>1.9:18</t>
  </si>
  <si>
    <t>1.8:18</t>
  </si>
  <si>
    <t>1.7:18</t>
  </si>
  <si>
    <t>1.6:18</t>
  </si>
  <si>
    <t>1.5:18</t>
  </si>
  <si>
    <t>4.3:19</t>
  </si>
  <si>
    <t>4.2:19</t>
  </si>
  <si>
    <t>4.1:19</t>
  </si>
  <si>
    <t>4.0:19</t>
  </si>
  <si>
    <t>3.9:19</t>
  </si>
  <si>
    <t>3.8:19</t>
  </si>
  <si>
    <t>3.7:19</t>
  </si>
  <si>
    <t>3.6:19</t>
  </si>
  <si>
    <t>3.5:19</t>
  </si>
  <si>
    <t>3.4:19</t>
  </si>
  <si>
    <t>3.3:19</t>
  </si>
  <si>
    <t>3.2:19</t>
  </si>
  <si>
    <t>3.1:19</t>
  </si>
  <si>
    <t>3.0:19</t>
  </si>
  <si>
    <t>2.9:19</t>
  </si>
  <si>
    <t>2.8:19</t>
  </si>
  <si>
    <t>2.7:19</t>
  </si>
  <si>
    <t>2.6:19</t>
  </si>
  <si>
    <t>2.5:19</t>
  </si>
  <si>
    <t>2.4:19</t>
  </si>
  <si>
    <t>2.3:19</t>
  </si>
  <si>
    <t>2.2:19</t>
  </si>
  <si>
    <t>2.1:19</t>
  </si>
  <si>
    <t>2.0:19</t>
  </si>
  <si>
    <t>1.9:19</t>
  </si>
  <si>
    <t>1.8:19</t>
  </si>
  <si>
    <t>1.7:19</t>
  </si>
  <si>
    <t>1.6:19</t>
  </si>
  <si>
    <t>1.5:19</t>
  </si>
  <si>
    <t>4.3:20</t>
  </si>
  <si>
    <t>4.2:20</t>
  </si>
  <si>
    <t>4.1:20</t>
  </si>
  <si>
    <t>4.0:20</t>
  </si>
  <si>
    <t>3.9:20</t>
  </si>
  <si>
    <t>3.8:20</t>
  </si>
  <si>
    <t>3.7:20</t>
  </si>
  <si>
    <t>3.6:20</t>
  </si>
  <si>
    <t>3.5:20</t>
  </si>
  <si>
    <t>3.4:20</t>
  </si>
  <si>
    <t>3.3:20</t>
  </si>
  <si>
    <t>3.2:20</t>
  </si>
  <si>
    <t>3.1:20</t>
  </si>
  <si>
    <t>3.0:20</t>
  </si>
  <si>
    <t>2.9:20</t>
  </si>
  <si>
    <t>2.8:20</t>
  </si>
  <si>
    <t>2.7:20</t>
  </si>
  <si>
    <t>2.6:20</t>
  </si>
  <si>
    <t>2.5:20</t>
  </si>
  <si>
    <t>2.4:20</t>
  </si>
  <si>
    <t>2.3:20</t>
  </si>
  <si>
    <t>2.2:20</t>
  </si>
  <si>
    <t>2.1:20</t>
  </si>
  <si>
    <t>2.0:20</t>
  </si>
  <si>
    <t>1.9:20</t>
  </si>
  <si>
    <t>1.8:20</t>
  </si>
  <si>
    <t>1.7:20</t>
  </si>
  <si>
    <t>1.6:20</t>
  </si>
  <si>
    <t>1.5:20</t>
  </si>
  <si>
    <t>4.3:21</t>
  </si>
  <si>
    <t>4.2:21</t>
  </si>
  <si>
    <t>4.1:21</t>
  </si>
  <si>
    <t>4.0:21</t>
  </si>
  <si>
    <t>3.9:21</t>
  </si>
  <si>
    <t>3.8:21</t>
  </si>
  <si>
    <t>3.7:21</t>
  </si>
  <si>
    <t>3.6:21</t>
  </si>
  <si>
    <t>3.5:21</t>
  </si>
  <si>
    <t>3.4:21</t>
  </si>
  <si>
    <t>3.3:21</t>
  </si>
  <si>
    <t>3.2:21</t>
  </si>
  <si>
    <t>3.1:21</t>
  </si>
  <si>
    <t>3.0:21</t>
  </si>
  <si>
    <t>2.9:21</t>
  </si>
  <si>
    <t>2.8:21</t>
  </si>
  <si>
    <t>2.7:21</t>
  </si>
  <si>
    <t>2.6:21</t>
  </si>
  <si>
    <t>2.5:21</t>
  </si>
  <si>
    <t>2.4:21</t>
  </si>
  <si>
    <t>2.3:21</t>
  </si>
  <si>
    <t>2.2:21</t>
  </si>
  <si>
    <t>2.1:21</t>
  </si>
  <si>
    <t>2.0:21</t>
  </si>
  <si>
    <t>1.9:21</t>
  </si>
  <si>
    <t>1.8:21</t>
  </si>
  <si>
    <t>1.7:21</t>
  </si>
  <si>
    <t>1.6:21</t>
  </si>
  <si>
    <t>1.5:21</t>
  </si>
  <si>
    <t>4.3:22</t>
  </si>
  <si>
    <t>4.2:22</t>
  </si>
  <si>
    <t>4.1:22</t>
  </si>
  <si>
    <t>4.0:22</t>
  </si>
  <si>
    <t>3.9:22</t>
  </si>
  <si>
    <t>3.8:22</t>
  </si>
  <si>
    <t>3.7:22</t>
  </si>
  <si>
    <t>3.6:22</t>
  </si>
  <si>
    <t>3.5:22</t>
  </si>
  <si>
    <t>3.4:22</t>
  </si>
  <si>
    <t>3.3:22</t>
  </si>
  <si>
    <t>3.2:22</t>
  </si>
  <si>
    <t>3.1:22</t>
  </si>
  <si>
    <t>3.0:22</t>
  </si>
  <si>
    <t>2.9:22</t>
  </si>
  <si>
    <t>2.8:22</t>
  </si>
  <si>
    <t>2.7:22</t>
  </si>
  <si>
    <t>2.6:22</t>
  </si>
  <si>
    <t>2.5:22</t>
  </si>
  <si>
    <t>2.4:22</t>
  </si>
  <si>
    <t>2.3:22</t>
  </si>
  <si>
    <t>2.2:22</t>
  </si>
  <si>
    <t>2.1:22</t>
  </si>
  <si>
    <t>2.0:22</t>
  </si>
  <si>
    <t>1.9:22</t>
  </si>
  <si>
    <t>1.8:22</t>
  </si>
  <si>
    <t>1.7:22</t>
  </si>
  <si>
    <t>1.6:22</t>
  </si>
  <si>
    <t>1.5:22</t>
  </si>
  <si>
    <t>4.3:23</t>
  </si>
  <si>
    <t>4.2:23</t>
  </si>
  <si>
    <t>4.1:23</t>
  </si>
  <si>
    <t>4.0:23</t>
  </si>
  <si>
    <t>3.9:23</t>
  </si>
  <si>
    <t>3.8:23</t>
  </si>
  <si>
    <t>3.7:23</t>
  </si>
  <si>
    <t>3.6:23</t>
  </si>
  <si>
    <t>3.5:23</t>
  </si>
  <si>
    <t>3.4:23</t>
  </si>
  <si>
    <t>3.3:23</t>
  </si>
  <si>
    <t>3.2:23</t>
  </si>
  <si>
    <t>3.1:23</t>
  </si>
  <si>
    <t>3.0:23</t>
  </si>
  <si>
    <t>2.9:23</t>
  </si>
  <si>
    <t>2.8:23</t>
  </si>
  <si>
    <t>2.7:23</t>
  </si>
  <si>
    <t>2.6:23</t>
  </si>
  <si>
    <t>2.5:23</t>
  </si>
  <si>
    <t>2.4:23</t>
  </si>
  <si>
    <t>2.3:23</t>
  </si>
  <si>
    <t>2.2:23</t>
  </si>
  <si>
    <t>2.1:23</t>
  </si>
  <si>
    <t>2.0:23</t>
  </si>
  <si>
    <t>1.9:23</t>
  </si>
  <si>
    <t>1.8:23</t>
  </si>
  <si>
    <t>1.7:23</t>
  </si>
  <si>
    <t>1.6:23</t>
  </si>
  <si>
    <t>1.5:23</t>
  </si>
  <si>
    <t>4.3:24</t>
  </si>
  <si>
    <t>4.2:24</t>
  </si>
  <si>
    <t>4.1:24</t>
  </si>
  <si>
    <t>4.0:24</t>
  </si>
  <si>
    <t>3.9:24</t>
  </si>
  <si>
    <t>3.8:24</t>
  </si>
  <si>
    <t>3.7:24</t>
  </si>
  <si>
    <t>3.6:24</t>
  </si>
  <si>
    <t>3.5:24</t>
  </si>
  <si>
    <t>3.4:24</t>
  </si>
  <si>
    <t>3.3:24</t>
  </si>
  <si>
    <t>3.2:24</t>
  </si>
  <si>
    <t>3.1:24</t>
  </si>
  <si>
    <t>3.0:24</t>
  </si>
  <si>
    <t>2.9:24</t>
  </si>
  <si>
    <t>2.8:24</t>
  </si>
  <si>
    <t>2.7:24</t>
  </si>
  <si>
    <t>2.6:24</t>
  </si>
  <si>
    <t>2.5:24</t>
  </si>
  <si>
    <t>2.4:24</t>
  </si>
  <si>
    <t>2.3:24</t>
  </si>
  <si>
    <t>2.2:24</t>
  </si>
  <si>
    <t>2.1:24</t>
  </si>
  <si>
    <t>2.0:24</t>
  </si>
  <si>
    <t>1.9:24</t>
  </si>
  <si>
    <t>1.8:24</t>
  </si>
  <si>
    <t>1.7:24</t>
  </si>
  <si>
    <t>1.6:24</t>
  </si>
  <si>
    <t>1.5:24</t>
  </si>
  <si>
    <t>4.3:25</t>
  </si>
  <si>
    <t>4.2:25</t>
  </si>
  <si>
    <t>4.1:25</t>
  </si>
  <si>
    <t>4.0:25</t>
  </si>
  <si>
    <t>3.9:25</t>
  </si>
  <si>
    <t>3.8:25</t>
  </si>
  <si>
    <t>3.7:25</t>
  </si>
  <si>
    <t>3.6:25</t>
  </si>
  <si>
    <t>3.5:25</t>
  </si>
  <si>
    <t>3.4:25</t>
  </si>
  <si>
    <t>3.3:25</t>
  </si>
  <si>
    <t>3.2:25</t>
  </si>
  <si>
    <t>3.1:25</t>
  </si>
  <si>
    <t>3.0:25</t>
  </si>
  <si>
    <t>2.9:25</t>
  </si>
  <si>
    <t>2.8:25</t>
  </si>
  <si>
    <t>2.7:25</t>
  </si>
  <si>
    <t>2.6:25</t>
  </si>
  <si>
    <t>2.5:25</t>
  </si>
  <si>
    <t>2.4:25</t>
  </si>
  <si>
    <t>2.3:25</t>
  </si>
  <si>
    <t>2.2:25</t>
  </si>
  <si>
    <t>2.1:25</t>
  </si>
  <si>
    <t>2.0:25</t>
  </si>
  <si>
    <t>1.9:25</t>
  </si>
  <si>
    <t>1.8:25</t>
  </si>
  <si>
    <t>1.7:25</t>
  </si>
  <si>
    <t>1.6:25</t>
  </si>
  <si>
    <t>1.5:25</t>
  </si>
  <si>
    <t>4.3:26</t>
  </si>
  <si>
    <t>4.2:26</t>
  </si>
  <si>
    <t>4.1:26</t>
  </si>
  <si>
    <t>4.0:26</t>
  </si>
  <si>
    <t>3.9:26</t>
  </si>
  <si>
    <t>3.8:26</t>
  </si>
  <si>
    <t>3.7:26</t>
  </si>
  <si>
    <t>3.6:26</t>
  </si>
  <si>
    <t>3.5:26</t>
  </si>
  <si>
    <t>3.4:26</t>
  </si>
  <si>
    <t>3.3:26</t>
  </si>
  <si>
    <t>3.2:26</t>
  </si>
  <si>
    <t>3.1:26</t>
  </si>
  <si>
    <t>3.0:26</t>
  </si>
  <si>
    <t>2.9:26</t>
  </si>
  <si>
    <t>2.8:26</t>
  </si>
  <si>
    <t>2.7:26</t>
  </si>
  <si>
    <t>2.6:26</t>
  </si>
  <si>
    <t>2.5:26</t>
  </si>
  <si>
    <t>2.4:26</t>
  </si>
  <si>
    <t>2.3:26</t>
  </si>
  <si>
    <t>2.2:26</t>
  </si>
  <si>
    <t>2.1:26</t>
  </si>
  <si>
    <t>2.0:26</t>
  </si>
  <si>
    <t>1.9:26</t>
  </si>
  <si>
    <t>1.8:26</t>
  </si>
  <si>
    <t>1.7:26</t>
  </si>
  <si>
    <t>1.6:26</t>
  </si>
  <si>
    <t>1.5:26</t>
  </si>
  <si>
    <t>4.3:27</t>
  </si>
  <si>
    <t>4.2:27</t>
  </si>
  <si>
    <t>4.1:27</t>
  </si>
  <si>
    <t>4.0:27</t>
  </si>
  <si>
    <t>3.9:27</t>
  </si>
  <si>
    <t>3.8:27</t>
  </si>
  <si>
    <t>3.7:27</t>
  </si>
  <si>
    <t>3.6:27</t>
  </si>
  <si>
    <t>3.5:27</t>
  </si>
  <si>
    <t>3.4:27</t>
  </si>
  <si>
    <t>3.3:27</t>
  </si>
  <si>
    <t>3.2:27</t>
  </si>
  <si>
    <t>3.1:27</t>
  </si>
  <si>
    <t>3.0:27</t>
  </si>
  <si>
    <t>2.9:27</t>
  </si>
  <si>
    <t>2.8:27</t>
  </si>
  <si>
    <t>2.7:27</t>
  </si>
  <si>
    <t>2.6:27</t>
  </si>
  <si>
    <t>2.5:27</t>
  </si>
  <si>
    <t>2.4:27</t>
  </si>
  <si>
    <t>2.3:27</t>
  </si>
  <si>
    <t>2.2:27</t>
  </si>
  <si>
    <t>2.1:27</t>
  </si>
  <si>
    <t>2.0:27</t>
  </si>
  <si>
    <t>1.9:27</t>
  </si>
  <si>
    <t>1.8:27</t>
  </si>
  <si>
    <t>1.7:27</t>
  </si>
  <si>
    <t>1.6:27</t>
  </si>
  <si>
    <t>1.5:27</t>
  </si>
  <si>
    <t>4.3:28</t>
  </si>
  <si>
    <t>4.2:28</t>
  </si>
  <si>
    <t>4.1:28</t>
  </si>
  <si>
    <t>4.0:28</t>
  </si>
  <si>
    <t>3.9:28</t>
  </si>
  <si>
    <t>3.8:28</t>
  </si>
  <si>
    <t>3.7:28</t>
  </si>
  <si>
    <t>3.6:28</t>
  </si>
  <si>
    <t>3.5:28</t>
  </si>
  <si>
    <t>3.4:28</t>
  </si>
  <si>
    <t>3.3:28</t>
  </si>
  <si>
    <t>3.2:28</t>
  </si>
  <si>
    <t>3.1:28</t>
  </si>
  <si>
    <t>3.0:28</t>
  </si>
  <si>
    <t>2.9:28</t>
  </si>
  <si>
    <t>2.8:28</t>
  </si>
  <si>
    <t>2.7:28</t>
  </si>
  <si>
    <t>2.6:28</t>
  </si>
  <si>
    <t>2.5:28</t>
  </si>
  <si>
    <t>2.4:28</t>
  </si>
  <si>
    <t>2.3:28</t>
  </si>
  <si>
    <t>2.2:28</t>
  </si>
  <si>
    <t>2.1:28</t>
  </si>
  <si>
    <t>2.0:28</t>
  </si>
  <si>
    <t>1.9:28</t>
  </si>
  <si>
    <t>1.8:28</t>
  </si>
  <si>
    <t>1.7:28</t>
  </si>
  <si>
    <t>1.6:28</t>
  </si>
  <si>
    <t>1.5:28</t>
  </si>
  <si>
    <t>4.3:29</t>
  </si>
  <si>
    <t>4.2:29</t>
  </si>
  <si>
    <t>4.1:29</t>
  </si>
  <si>
    <t>4.0:29</t>
  </si>
  <si>
    <t>3.9:29</t>
  </si>
  <si>
    <t>3.8:29</t>
  </si>
  <si>
    <t>3.7:29</t>
  </si>
  <si>
    <t>3.6:29</t>
  </si>
  <si>
    <t>3.5:29</t>
  </si>
  <si>
    <t>3.4:29</t>
  </si>
  <si>
    <t>3.3:29</t>
  </si>
  <si>
    <t>3.2:29</t>
  </si>
  <si>
    <t>3.1:29</t>
  </si>
  <si>
    <t>3.0:29</t>
  </si>
  <si>
    <t>2.9:29</t>
  </si>
  <si>
    <t>2.8:29</t>
  </si>
  <si>
    <t>2.7:29</t>
  </si>
  <si>
    <t>2.6:29</t>
  </si>
  <si>
    <t>2.5:29</t>
  </si>
  <si>
    <t>2.4:29</t>
  </si>
  <si>
    <t>2.3:29</t>
  </si>
  <si>
    <t>2.2:29</t>
  </si>
  <si>
    <t>2.1:29</t>
  </si>
  <si>
    <t>2.0:29</t>
  </si>
  <si>
    <t>1.9:29</t>
  </si>
  <si>
    <t>1.8:29</t>
  </si>
  <si>
    <t>1.7:29</t>
  </si>
  <si>
    <t>1.6:29</t>
  </si>
  <si>
    <t>1.5:29</t>
  </si>
  <si>
    <t>4.3:30</t>
  </si>
  <si>
    <t>4.2:30</t>
  </si>
  <si>
    <t>4.1:30</t>
  </si>
  <si>
    <t>4.0:30</t>
  </si>
  <si>
    <t>3.9:30</t>
  </si>
  <si>
    <t>3.8:30</t>
  </si>
  <si>
    <t>3.7:30</t>
  </si>
  <si>
    <t>3.6:30</t>
  </si>
  <si>
    <t>3.5:30</t>
  </si>
  <si>
    <t>3.4:30</t>
  </si>
  <si>
    <t>3.3:30</t>
  </si>
  <si>
    <t>3.2:30</t>
  </si>
  <si>
    <t>3.1:30</t>
  </si>
  <si>
    <t>3.0:30</t>
  </si>
  <si>
    <t>2.9:30</t>
  </si>
  <si>
    <t>2.8:30</t>
  </si>
  <si>
    <t>2.7:30</t>
  </si>
  <si>
    <t>2.6:30</t>
  </si>
  <si>
    <t>2.5:30</t>
  </si>
  <si>
    <t>2.4:30</t>
  </si>
  <si>
    <t>2.3:30</t>
  </si>
  <si>
    <t>2.2:30</t>
  </si>
  <si>
    <t>2.1:30</t>
  </si>
  <si>
    <t>2.0:30</t>
  </si>
  <si>
    <t>1.9:30</t>
  </si>
  <si>
    <t>1.8:30</t>
  </si>
  <si>
    <t>1.7:30</t>
  </si>
  <si>
    <t>1.6:30</t>
  </si>
  <si>
    <t>1.5:30</t>
  </si>
  <si>
    <t>4.3:31</t>
  </si>
  <si>
    <t>4.2:31</t>
  </si>
  <si>
    <t>4.1:31</t>
  </si>
  <si>
    <t>4.0:31</t>
  </si>
  <si>
    <t>3.9:31</t>
  </si>
  <si>
    <t>3.8:31</t>
  </si>
  <si>
    <t>3.7:31</t>
  </si>
  <si>
    <t>3.6:31</t>
  </si>
  <si>
    <t>3.5:31</t>
  </si>
  <si>
    <t>3.4:31</t>
  </si>
  <si>
    <t>3.3:31</t>
  </si>
  <si>
    <t>3.2:31</t>
  </si>
  <si>
    <t>3.1:31</t>
  </si>
  <si>
    <t>3.0:31</t>
  </si>
  <si>
    <t>2.9:31</t>
  </si>
  <si>
    <t>2.8:31</t>
  </si>
  <si>
    <t>2.7:31</t>
  </si>
  <si>
    <t>2.6:31</t>
  </si>
  <si>
    <t>2.5:31</t>
  </si>
  <si>
    <t>2.4:31</t>
  </si>
  <si>
    <t>2.3:31</t>
  </si>
  <si>
    <t>2.2:31</t>
  </si>
  <si>
    <t>2.1:31</t>
  </si>
  <si>
    <t>2.0:31</t>
  </si>
  <si>
    <t>1.9:31</t>
  </si>
  <si>
    <t>1.8:31</t>
  </si>
  <si>
    <t>1.7:31</t>
  </si>
  <si>
    <t>1.6:31</t>
  </si>
  <si>
    <t>1.5:31</t>
  </si>
  <si>
    <t>4.3:32</t>
  </si>
  <si>
    <t>4.2:32</t>
  </si>
  <si>
    <t>4.1:32</t>
  </si>
  <si>
    <t>4.0:32</t>
  </si>
  <si>
    <t>3.9:32</t>
  </si>
  <si>
    <t>3.8:32</t>
  </si>
  <si>
    <t>3.7:32</t>
  </si>
  <si>
    <t>3.6:32</t>
  </si>
  <si>
    <t>3.5:32</t>
  </si>
  <si>
    <t>3.4:32</t>
  </si>
  <si>
    <t>3.3:32</t>
  </si>
  <si>
    <t>3.2:32</t>
  </si>
  <si>
    <t>3.1:32</t>
  </si>
  <si>
    <t>3.0:32</t>
  </si>
  <si>
    <t>2.9:32</t>
  </si>
  <si>
    <t>2.8:32</t>
  </si>
  <si>
    <t>2.7:32</t>
  </si>
  <si>
    <t>2.6:32</t>
  </si>
  <si>
    <t>2.5:32</t>
  </si>
  <si>
    <t>2.4:32</t>
  </si>
  <si>
    <t>2.3:32</t>
  </si>
  <si>
    <t>2.2:32</t>
  </si>
  <si>
    <t>2.1:32</t>
  </si>
  <si>
    <t>2.0:32</t>
  </si>
  <si>
    <t>1.9:32</t>
  </si>
  <si>
    <t>1.8:32</t>
  </si>
  <si>
    <t>1.7:32</t>
  </si>
  <si>
    <t>1.6:32</t>
  </si>
  <si>
    <t>1.5:32</t>
  </si>
  <si>
    <t>4.3:33</t>
  </si>
  <si>
    <t>4.2:33</t>
  </si>
  <si>
    <t>4.1:33</t>
  </si>
  <si>
    <t>4.0:33</t>
  </si>
  <si>
    <t>3.9:33</t>
  </si>
  <si>
    <t>3.8:33</t>
  </si>
  <si>
    <t>3.7:33</t>
  </si>
  <si>
    <t>3.6:33</t>
  </si>
  <si>
    <t>3.5:33</t>
  </si>
  <si>
    <t>3.4:33</t>
  </si>
  <si>
    <t>3.3:33</t>
  </si>
  <si>
    <t>3.2:33</t>
  </si>
  <si>
    <t>3.1:33</t>
  </si>
  <si>
    <t>3.0:33</t>
  </si>
  <si>
    <t>2.9:33</t>
  </si>
  <si>
    <t>2.8:33</t>
  </si>
  <si>
    <t>2.7:33</t>
  </si>
  <si>
    <t>2.6:33</t>
  </si>
  <si>
    <t>2.5:33</t>
  </si>
  <si>
    <t>2.4:33</t>
  </si>
  <si>
    <t>2.3:33</t>
  </si>
  <si>
    <t>2.2:33</t>
  </si>
  <si>
    <t>2.1:33</t>
  </si>
  <si>
    <t>2.0:33</t>
  </si>
  <si>
    <t>1.9:33</t>
  </si>
  <si>
    <t>1.8:33</t>
  </si>
  <si>
    <t>1.7:33</t>
  </si>
  <si>
    <t>1.6:33</t>
  </si>
  <si>
    <t>1.5:33</t>
  </si>
  <si>
    <t>4.3:34</t>
  </si>
  <si>
    <t>4.2:34</t>
  </si>
  <si>
    <t>4.1:34</t>
  </si>
  <si>
    <t>4.0:34</t>
  </si>
  <si>
    <t>3.9:34</t>
  </si>
  <si>
    <t>3.8:34</t>
  </si>
  <si>
    <t>3.7:34</t>
  </si>
  <si>
    <t>3.6:34</t>
  </si>
  <si>
    <t>3.5:34</t>
  </si>
  <si>
    <t>3.4:34</t>
  </si>
  <si>
    <t>3.3:34</t>
  </si>
  <si>
    <t>3.2:34</t>
  </si>
  <si>
    <t>3.1:34</t>
  </si>
  <si>
    <t>3.0:34</t>
  </si>
  <si>
    <t>2.9:34</t>
  </si>
  <si>
    <t>2.8:34</t>
  </si>
  <si>
    <t>2.7:34</t>
  </si>
  <si>
    <t>2.6:34</t>
  </si>
  <si>
    <t>2.5:34</t>
  </si>
  <si>
    <t>2.4:34</t>
  </si>
  <si>
    <t>2.3:34</t>
  </si>
  <si>
    <t>2.2:34</t>
  </si>
  <si>
    <t>2.1:34</t>
  </si>
  <si>
    <t>2.0:34</t>
  </si>
  <si>
    <t>1.9:34</t>
  </si>
  <si>
    <t>1.8:34</t>
  </si>
  <si>
    <t>1.7:34</t>
  </si>
  <si>
    <t>1.6:34</t>
  </si>
  <si>
    <t>1.5:34</t>
  </si>
  <si>
    <t>4.3:35</t>
  </si>
  <si>
    <t>4.2:35</t>
  </si>
  <si>
    <t>4.1:35</t>
  </si>
  <si>
    <t>4.0:35</t>
  </si>
  <si>
    <t>3.9:35</t>
  </si>
  <si>
    <t>3.8:35</t>
  </si>
  <si>
    <t>3.7:35</t>
  </si>
  <si>
    <t>3.6:35</t>
  </si>
  <si>
    <t>3.5:35</t>
  </si>
  <si>
    <t>3.4:35</t>
  </si>
  <si>
    <t>3.3:35</t>
  </si>
  <si>
    <t>3.2:35</t>
  </si>
  <si>
    <t>3.1:35</t>
  </si>
  <si>
    <t>3.0:35</t>
  </si>
  <si>
    <t>2.9:35</t>
  </si>
  <si>
    <t>2.8:35</t>
  </si>
  <si>
    <t>2.7:35</t>
  </si>
  <si>
    <t>2.6:35</t>
  </si>
  <si>
    <t>2.5:35</t>
  </si>
  <si>
    <t>2.4:35</t>
  </si>
  <si>
    <t>2.3:35</t>
  </si>
  <si>
    <t>2.2:35</t>
  </si>
  <si>
    <t>2.1:35</t>
  </si>
  <si>
    <t>2.0:35</t>
  </si>
  <si>
    <t>1.9:35</t>
  </si>
  <si>
    <t>1.8:35</t>
  </si>
  <si>
    <t>1.7:35</t>
  </si>
  <si>
    <t>1.6:35</t>
  </si>
  <si>
    <t>1.5:35</t>
  </si>
  <si>
    <t>4.3:36</t>
  </si>
  <si>
    <t>4.2:36</t>
  </si>
  <si>
    <t>4.1:36</t>
  </si>
  <si>
    <t>4.0:36</t>
  </si>
  <si>
    <t>3.9:36</t>
  </si>
  <si>
    <t>3.8:36</t>
  </si>
  <si>
    <t>3.7:36</t>
  </si>
  <si>
    <t>3.6:36</t>
  </si>
  <si>
    <t>3.5:36</t>
  </si>
  <si>
    <t>3.4:36</t>
  </si>
  <si>
    <t>3.3:36</t>
  </si>
  <si>
    <t>3.2:36</t>
  </si>
  <si>
    <t>3.1:36</t>
  </si>
  <si>
    <t>3.0:36</t>
  </si>
  <si>
    <t>2.9:36</t>
  </si>
  <si>
    <t>2.8:36</t>
  </si>
  <si>
    <t>2.7:36</t>
  </si>
  <si>
    <t>2.6:36</t>
  </si>
  <si>
    <t>2.5:36</t>
  </si>
  <si>
    <t>2.4:36</t>
  </si>
  <si>
    <t>2.3:36</t>
  </si>
  <si>
    <t>2.2:36</t>
  </si>
  <si>
    <t>2.1:36</t>
  </si>
  <si>
    <t>2.0:36</t>
  </si>
  <si>
    <t>1.9:36</t>
  </si>
  <si>
    <t>1.8:36</t>
  </si>
  <si>
    <t>1.7:36</t>
  </si>
  <si>
    <t>1.6:36</t>
  </si>
  <si>
    <t>1.5:36</t>
  </si>
  <si>
    <t>AA/H_target</t>
  </si>
  <si>
    <t>AA/H_ideal</t>
  </si>
  <si>
    <t>W/A_target</t>
  </si>
  <si>
    <t>W/A_ideal</t>
  </si>
  <si>
    <t>minus1_target</t>
  </si>
  <si>
    <t>minus1_ideal</t>
  </si>
  <si>
    <t>1</t>
  </si>
  <si>
    <t>2</t>
  </si>
  <si>
    <t>3</t>
  </si>
  <si>
    <t>4</t>
  </si>
  <si>
    <t>5+</t>
  </si>
  <si>
    <t>5&lt;</t>
  </si>
  <si>
    <t>6+</t>
  </si>
  <si>
    <t>6&lt;</t>
  </si>
  <si>
    <t>7</t>
  </si>
  <si>
    <t>8</t>
  </si>
  <si>
    <t>9</t>
  </si>
  <si>
    <t>10</t>
  </si>
  <si>
    <t>11</t>
  </si>
  <si>
    <t>Label Reference</t>
  </si>
  <si>
    <t>Label Value</t>
  </si>
  <si>
    <t>Short Value</t>
  </si>
  <si>
    <t>TargetGRLabel</t>
  </si>
  <si>
    <t>Expected</t>
  </si>
  <si>
    <t>IdealGRLabel</t>
  </si>
  <si>
    <t>Ideal</t>
  </si>
  <si>
    <t>BelowGRLabel</t>
  </si>
  <si>
    <t>Below Expected</t>
  </si>
  <si>
    <t>FarBelowGRLabel</t>
  </si>
  <si>
    <t>Far Below Expected</t>
  </si>
  <si>
    <t>SureThingLabel</t>
  </si>
  <si>
    <t>SecureLabel</t>
  </si>
  <si>
    <t>SafetyLabel</t>
  </si>
  <si>
    <t>MatchLabel</t>
  </si>
  <si>
    <t>ReachLabel</t>
  </si>
  <si>
    <t>LongshotLabel</t>
  </si>
  <si>
    <t>HailMaryLabel</t>
  </si>
</sst>
</file>

<file path=xl/styles.xml><?xml version="1.0" encoding="utf-8"?>
<styleSheet xmlns="http://schemas.openxmlformats.org/spreadsheetml/2006/main">
  <numFmts count="5">
    <numFmt numFmtId="164" formatCode="#0"/>
    <numFmt numFmtId="164" formatCode="#0"/>
    <numFmt numFmtId="165" formatCode="0%"/>
    <numFmt numFmtId="165" formatCode="0%"/>
    <numFmt numFmtId="164" formatCode="#0"/>
    <numFmt numFmtId="164" formatCode="#0"/>
    <numFmt numFmtId="165" formatCode="0%"/>
    <numFmt numFmtId="165" formatCode="0%"/>
    <numFmt numFmtId="164" formatCode="#0"/>
    <numFmt numFmtId="164" formatCode="#0"/>
    <numFmt numFmtId="164" formatCode="#0"/>
    <numFmt numFmtId="164" formatCode="#0"/>
    <numFmt numFmtId="166" formatCode="0.00"/>
    <numFmt numFmtId="164" formatCode="#0"/>
    <numFmt numFmtId="165" formatCode="0%"/>
    <numFmt numFmtId="167" formatCode="#"/>
    <numFmt numFmtId="166" formatCode="0.00"/>
    <numFmt numFmtId="165" formatCode="0%"/>
    <numFmt numFmtId="167" formatCode="#"/>
    <numFmt numFmtId="165" formatCode="0%"/>
    <numFmt numFmtId="165" formatCode="0%"/>
    <numFmt numFmtId="164" formatCode="#0"/>
    <numFmt numFmtId="168" formatCode="0.0%"/>
  </numFmts>
  <fonts count="9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4D79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C4D79B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94">
    <xf numFmtId="0" fontId="0" fillId="0" borderId="0" xfId="0"/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center" vertical="top" wrapText="1"/>
    </xf>
    <xf numFmtId="0" fontId="2" fillId="3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2" fillId="4" borderId="2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top" wrapText="1"/>
    </xf>
    <xf numFmtId="0" fontId="2" fillId="5" borderId="2" xfId="0" applyFont="1" applyFill="1" applyBorder="1" applyAlignment="1">
      <alignment horizontal="center" vertical="top" wrapText="1"/>
    </xf>
    <xf numFmtId="0" fontId="2" fillId="6" borderId="1" xfId="0" applyFont="1" applyFill="1" applyBorder="1" applyAlignment="1">
      <alignment horizontal="center" vertical="top" wrapText="1"/>
    </xf>
    <xf numFmtId="164" fontId="0" fillId="0" borderId="3" xfId="0" applyNumberFormat="1" applyBorder="1"/>
    <xf numFmtId="165" fontId="0" fillId="0" borderId="0" xfId="0" applyNumberFormat="1" applyAlignment="1">
      <alignment horizontal="center"/>
    </xf>
    <xf numFmtId="165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2" fillId="0" borderId="4" xfId="0" applyNumberFormat="1" applyFont="1" applyBorder="1" applyAlignment="1">
      <alignment horizontal="center"/>
    </xf>
    <xf numFmtId="165" fontId="2" fillId="0" borderId="4" xfId="0" applyNumberFormat="1" applyFont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164" fontId="2" fillId="0" borderId="5" xfId="0" applyNumberFormat="1" applyFont="1" applyBorder="1" applyAlignment="1">
      <alignment horizontal="center"/>
    </xf>
    <xf numFmtId="0" fontId="0" fillId="3" borderId="0" xfId="0" applyFill="1"/>
    <xf numFmtId="0" fontId="3" fillId="0" borderId="0" xfId="0" applyFont="1" applyAlignment="1">
      <alignment horizontal="left"/>
    </xf>
    <xf numFmtId="0" fontId="0" fillId="5" borderId="0" xfId="0" applyFill="1"/>
    <xf numFmtId="0" fontId="0" fillId="5" borderId="3" xfId="0" applyFill="1" applyBorder="1"/>
    <xf numFmtId="0" fontId="2" fillId="2" borderId="3" xfId="0" applyFont="1" applyFill="1" applyBorder="1"/>
    <xf numFmtId="0" fontId="0" fillId="3" borderId="3" xfId="0" applyFill="1" applyBorder="1"/>
    <xf numFmtId="0" fontId="1" fillId="6" borderId="0" xfId="0" applyFont="1" applyFill="1" applyAlignment="1">
      <alignment horizontal="left"/>
    </xf>
    <xf numFmtId="0" fontId="2" fillId="3" borderId="1" xfId="0" applyFont="1" applyFill="1" applyBorder="1"/>
    <xf numFmtId="0" fontId="2" fillId="3" borderId="2" xfId="0" applyFont="1" applyFill="1" applyBorder="1"/>
    <xf numFmtId="0" fontId="1" fillId="4" borderId="0" xfId="0" applyFont="1" applyFill="1" applyAlignment="1">
      <alignment horizontal="left"/>
    </xf>
    <xf numFmtId="0" fontId="2" fillId="4" borderId="0" xfId="0" applyFont="1" applyFill="1"/>
    <xf numFmtId="0" fontId="2" fillId="4" borderId="3" xfId="0" applyFont="1" applyFill="1" applyBorder="1"/>
    <xf numFmtId="0" fontId="1" fillId="0" borderId="0" xfId="0" applyFont="1" applyAlignment="1">
      <alignment horizontal="left"/>
    </xf>
    <xf numFmtId="0" fontId="1" fillId="7" borderId="0" xfId="0" applyFont="1" applyFill="1"/>
    <xf numFmtId="0" fontId="0" fillId="7" borderId="3" xfId="0" applyFill="1" applyBorder="1"/>
    <xf numFmtId="0" fontId="2" fillId="5" borderId="0" xfId="0" applyFont="1" applyFill="1"/>
    <xf numFmtId="0" fontId="2" fillId="3" borderId="1" xfId="0" applyFont="1" applyFill="1" applyBorder="1" applyAlignment="1">
      <alignment horizontal="left" wrapText="1"/>
    </xf>
    <xf numFmtId="164" fontId="2" fillId="0" borderId="1" xfId="0" applyNumberFormat="1" applyFont="1" applyBorder="1" applyAlignment="1">
      <alignment horizontal="left" wrapText="1"/>
    </xf>
    <xf numFmtId="0" fontId="2" fillId="5" borderId="1" xfId="0" applyFont="1" applyFill="1" applyBorder="1" applyAlignment="1">
      <alignment horizontal="left" wrapText="1"/>
    </xf>
    <xf numFmtId="0" fontId="2" fillId="5" borderId="2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center" vertical="top" wrapText="1"/>
    </xf>
    <xf numFmtId="0" fontId="2" fillId="6" borderId="2" xfId="0" applyFont="1" applyFill="1" applyBorder="1" applyAlignment="1">
      <alignment horizontal="center" vertical="top" wrapText="1"/>
    </xf>
    <xf numFmtId="164" fontId="2" fillId="0" borderId="1" xfId="0" applyNumberFormat="1" applyFont="1" applyBorder="1" applyAlignment="1">
      <alignment horizontal="center" vertical="top" wrapText="1"/>
    </xf>
    <xf numFmtId="164" fontId="2" fillId="0" borderId="2" xfId="0" applyNumberFormat="1" applyFont="1" applyBorder="1" applyAlignment="1">
      <alignment horizontal="center" vertical="top" wrapText="1"/>
    </xf>
    <xf numFmtId="0" fontId="2" fillId="5" borderId="1" xfId="0" applyFont="1" applyFill="1" applyBorder="1" applyAlignment="1">
      <alignment horizontal="center" vertical="top" wrapText="1"/>
    </xf>
    <xf numFmtId="0" fontId="2" fillId="7" borderId="1" xfId="0" applyFont="1" applyFill="1" applyBorder="1" applyAlignment="1">
      <alignment horizontal="center" textRotation="90"/>
    </xf>
    <xf numFmtId="0" fontId="2" fillId="7" borderId="2" xfId="0" applyFont="1" applyFill="1" applyBorder="1" applyAlignment="1">
      <alignment horizontal="center" textRotation="90"/>
    </xf>
    <xf numFmtId="0" fontId="2" fillId="4" borderId="1" xfId="0" applyFont="1" applyFill="1" applyBorder="1" applyAlignment="1">
      <alignment horizontal="center" textRotation="90" wrapText="1"/>
    </xf>
    <xf numFmtId="166" fontId="0" fillId="0" borderId="0" xfId="0" applyNumberFormat="1" applyAlignment="1">
      <alignment horizontal="center"/>
    </xf>
    <xf numFmtId="164" fontId="2" fillId="0" borderId="3" xfId="0" applyNumberFormat="1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4" fillId="0" borderId="0" xfId="0" applyFont="1"/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10" borderId="6" xfId="0" applyFont="1" applyFill="1" applyBorder="1"/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0" fontId="0" fillId="11" borderId="10" xfId="0" applyFill="1" applyBorder="1"/>
    <xf numFmtId="167" fontId="0" fillId="0" borderId="11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10" borderId="11" xfId="0" applyFill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0" fontId="2" fillId="10" borderId="13" xfId="0" applyFont="1" applyFill="1" applyBorder="1"/>
    <xf numFmtId="167" fontId="2" fillId="10" borderId="14" xfId="0" applyNumberFormat="1" applyFont="1" applyFill="1" applyBorder="1" applyAlignment="1">
      <alignment horizontal="center"/>
    </xf>
    <xf numFmtId="0" fontId="0" fillId="10" borderId="15" xfId="0" applyFill="1" applyBorder="1"/>
    <xf numFmtId="0" fontId="0" fillId="0" borderId="16" xfId="0" applyBorder="1"/>
    <xf numFmtId="165" fontId="0" fillId="0" borderId="17" xfId="0" applyNumberFormat="1" applyBorder="1" applyAlignment="1">
      <alignment horizontal="center"/>
    </xf>
    <xf numFmtId="165" fontId="0" fillId="3" borderId="0" xfId="0" applyNumberFormat="1" applyFill="1"/>
    <xf numFmtId="0" fontId="0" fillId="0" borderId="11" xfId="0" applyBorder="1"/>
    <xf numFmtId="0" fontId="0" fillId="0" borderId="18" xfId="0" applyBorder="1"/>
    <xf numFmtId="0" fontId="2" fillId="10" borderId="0" xfId="0" applyFont="1" applyFill="1" applyAlignment="1">
      <alignment wrapText="1"/>
    </xf>
    <xf numFmtId="0" fontId="2" fillId="10" borderId="0" xfId="0" applyFont="1" applyFill="1" applyAlignment="1">
      <alignment horizontal="center" wrapText="1"/>
    </xf>
    <xf numFmtId="0" fontId="6" fillId="10" borderId="0" xfId="0" applyFont="1" applyFill="1" applyAlignment="1">
      <alignment horizontal="center" wrapText="1"/>
    </xf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1" borderId="19" xfId="0" applyFill="1" applyBorder="1"/>
    <xf numFmtId="0" fontId="2" fillId="10" borderId="3" xfId="0" applyFont="1" applyFill="1" applyBorder="1" applyAlignment="1">
      <alignment horizontal="center" wrapText="1"/>
    </xf>
    <xf numFmtId="0" fontId="6" fillId="10" borderId="3" xfId="0" applyFont="1" applyFill="1" applyBorder="1" applyAlignment="1">
      <alignment horizontal="center" wrapText="1"/>
    </xf>
    <xf numFmtId="0" fontId="7" fillId="0" borderId="0" xfId="0" applyFont="1"/>
    <xf numFmtId="0" fontId="8" fillId="0" borderId="20" xfId="0" applyFont="1" applyBorder="1"/>
    <xf numFmtId="0" fontId="0" fillId="0" borderId="16" xfId="0" applyBorder="1" applyAlignment="1">
      <alignment horizontal="left" indent="7"/>
    </xf>
    <xf numFmtId="0" fontId="0" fillId="0" borderId="17" xfId="0" applyBorder="1" applyAlignment="1">
      <alignment horizontal="center"/>
    </xf>
    <xf numFmtId="0" fontId="0" fillId="0" borderId="11" xfId="0" applyBorder="1" applyAlignment="1">
      <alignment horizontal="left" indent="7"/>
    </xf>
    <xf numFmtId="0" fontId="0" fillId="0" borderId="18" xfId="0" applyBorder="1" applyAlignment="1">
      <alignment horizontal="center"/>
    </xf>
    <xf numFmtId="0" fontId="0" fillId="0" borderId="12" xfId="0" applyBorder="1" applyAlignment="1">
      <alignment horizontal="center"/>
    </xf>
    <xf numFmtId="164" fontId="2" fillId="0" borderId="0" xfId="0" applyNumberFormat="1" applyFont="1" applyAlignment="1">
      <alignment horizontal="left"/>
    </xf>
    <xf numFmtId="0" fontId="2" fillId="12" borderId="0" xfId="0" applyFont="1" applyFill="1"/>
    <xf numFmtId="0" fontId="2" fillId="3" borderId="0" xfId="0" applyFont="1" applyFill="1"/>
    <xf numFmtId="0" fontId="2" fillId="2" borderId="0" xfId="0" applyFont="1" applyFill="1"/>
    <xf numFmtId="168" fontId="0" fillId="0" borderId="0" xfId="0" applyNumberFormat="1"/>
    <xf numFmtId="0" fontId="2" fillId="0" borderId="19" xfId="0" applyFont="1" applyBorder="1" applyAlignment="1">
      <alignment horizontal="center" vertical="top"/>
    </xf>
  </cellXfs>
  <cellStyles count="1">
    <cellStyle name="Normal" xfId="0" builtinId="0"/>
  </cellStyles>
  <dxfs count="15">
    <dxf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border>
        <left/>
        <right/>
        <top/>
        <bottom style="thin">
          <color auto="1"/>
        </bottom>
        <vertical/>
        <horizontal/>
      </border>
    </dxf>
    <dxf>
      <numFmt numFmtId="165" formatCode="0%"/>
      <border>
        <left/>
        <right/>
        <top/>
        <bottom style="thin">
          <color auto="1"/>
        </bottom>
        <vertical/>
        <horizontal/>
      </border>
    </dxf>
    <dxf>
      <numFmt numFmtId="165" formatCode="0%"/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numFmt numFmtId="164" formatCode="#0"/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border>
        <left/>
        <right/>
        <top/>
        <bottom style="dashed">
          <color auto="1"/>
        </bottom>
        <vertical/>
        <horizontal/>
      </border>
    </dxf>
    <dxf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5" formatCode="0%"/>
      <border>
        <left/>
        <right/>
        <top/>
        <bottom style="dashed">
          <color auto="1"/>
        </bottom>
        <vertical/>
        <horizontal/>
      </border>
    </dxf>
    <dxf>
      <numFmt numFmtId="165" formatCode="0%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4" formatCode="#0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4" formatCode="#0"/>
      <border>
        <left/>
        <right/>
        <top/>
        <bottom style="dashed">
          <color auto="1"/>
        </bottom>
        <vertical/>
        <horizontal/>
      </border>
    </dxf>
    <dxf>
      <font>
        <b/>
      </font>
      <numFmt numFmtId="164" formatCode="#0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/>
        <color rgb="FF002060"/>
      </font>
    </dxf>
    <dxf>
      <font>
        <color rgb="FFFF0000"/>
      </font>
      <fill>
        <patternFill>
          <bgColor rgb="FFD9D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95250</xdr:colOff>
      <xdr:row>29</xdr:row>
      <xdr:rowOff>152400</xdr:rowOff>
    </xdr:to>
    <xdr:pic>
      <xdr:nvPicPr>
        <xdr:cNvPr id="2" name="Picture 1" descr="strategy_chart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77650" cy="567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75" zoomScaleNormal="75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3"/>
  <sheetViews>
    <sheetView workbookViewId="0"/>
  </sheetViews>
  <sheetFormatPr defaultRowHeight="15"/>
  <cols>
    <col min="1" max="1" width="15.7109375" customWidth="1"/>
    <col min="2" max="2" width="6.85546875" customWidth="1"/>
    <col min="3" max="3" width="6.140625" customWidth="1"/>
    <col min="4" max="4" width="9.28515625" customWidth="1"/>
    <col min="5" max="5" width="7.28515625" customWidth="1"/>
    <col min="6" max="6" width="16.28515625" customWidth="1"/>
    <col min="7" max="7" width="14.7109375" customWidth="1"/>
    <col min="8" max="8" width="14.7109375" customWidth="1"/>
    <col min="9" max="9" width="14.7109375" customWidth="1"/>
    <col min="10" max="10" width="10" customWidth="1"/>
    <col min="11" max="11" width="9.28515625" customWidth="1"/>
    <col min="12" max="12" width="9.140625" style="1" hidden="1"/>
    <col min="13" max="13" width="10.140625" style="1" hidden="1" customWidth="1"/>
    <col min="14" max="14" width="10.140625" style="1" hidden="1" customWidth="1"/>
    <col min="15" max="15" width="10.140625" style="1" hidden="1" customWidth="1"/>
    <col min="16" max="16" width="7.85546875" customWidth="1"/>
    <col min="17" max="17" width="10.7109375" customWidth="1"/>
    <col min="18" max="18" width="12.85546875" customWidth="1"/>
    <col min="19" max="19" width="11.28515625" customWidth="1"/>
  </cols>
  <sheetData>
    <row r="1" spans="1:19" ht="45" customHeight="1">
      <c r="A1" s="2" t="s">
        <v>0</v>
      </c>
      <c r="B1" s="2" t="s">
        <v>1</v>
      </c>
      <c r="C1" s="2"/>
      <c r="D1" s="3">
        <f>TargetGRLabel&amp;" Grad Rate"</f>
        <v>0</v>
      </c>
      <c r="E1" s="4">
        <f>IdealGRLabel&amp;" Grad Rate"</f>
        <v>0</v>
      </c>
      <c r="F1" s="5">
        <f>"Odds of 1+ Money "&amp;TargetGRLabel&amp;" GR or better"</f>
        <v>0</v>
      </c>
      <c r="G1" s="6">
        <f>"Odds of 1+ Money "&amp;IdealGRLabel&amp;" GR or better"</f>
        <v>0</v>
      </c>
      <c r="H1" s="5">
        <f>"% of kids w/ low money "&amp;LOWER(TargetGRLabel)&amp;" gr+ odds"</f>
        <v>0</v>
      </c>
      <c r="I1" s="6">
        <f>"% of kids w/ low money "&amp;LOWER(IdealGRLabel)&amp;" gr+ odds"</f>
        <v>0</v>
      </c>
      <c r="J1" s="7" t="s">
        <v>2</v>
      </c>
      <c r="K1" s="8" t="s">
        <v>3</v>
      </c>
      <c r="L1" s="9" t="s">
        <v>4</v>
      </c>
      <c r="M1" s="9" t="s">
        <v>5</v>
      </c>
      <c r="N1" s="9" t="s">
        <v>6</v>
      </c>
      <c r="O1" s="9" t="s">
        <v>7</v>
      </c>
      <c r="P1" s="4" t="s">
        <v>8</v>
      </c>
      <c r="Q1" s="3" t="s">
        <v>9</v>
      </c>
      <c r="R1" s="5">
        <f>"% Money "&amp;TargetGRLabel&amp;" Grad Rate+"</f>
        <v>0</v>
      </c>
      <c r="S1" s="7">
        <f>"% "&amp;TargetGRLabel&amp;" Grad Rate+"</f>
        <v>0</v>
      </c>
    </row>
    <row r="2" spans="1:19">
      <c r="A2" s="10">
        <v>1</v>
      </c>
      <c r="B2" s="1">
        <f>COUNTIF(Strats,A2)</f>
        <v>0</v>
      </c>
      <c r="C2" s="11">
        <f>B2/B13</f>
        <v>0</v>
      </c>
      <c r="D2" s="11">
        <f>IF(B2&gt;0,SUMIF(Strats,A2,StudentTargets)/B2,"")</f>
        <v>0</v>
      </c>
      <c r="E2" s="12">
        <f>IF(B2&gt;0,SUMIF(Strats,A2,ReachStudentTargets)/B2,"")</f>
        <v>0</v>
      </c>
      <c r="F2" s="11">
        <f>IF(B2&gt;0,SUMIF(Strats,A2,MoneyMGRPlus)/B2,"")</f>
        <v>0</v>
      </c>
      <c r="G2" s="12">
        <f>IF(B2&gt;0,SUMIF(Strats,A2,MoneyRGRPlus)/B2,"")</f>
        <v>0</v>
      </c>
      <c r="H2" s="11">
        <f>IF(B2&gt;0,COUNTIFS(Strats,A2,MoneyMGRPlus,"&lt;0.9")/B2,"")</f>
        <v>0</v>
      </c>
      <c r="I2" s="12">
        <f>IF(B2&gt;0,COUNTIFS(Strats,A2,MoneyRGRPlus,"&lt;0.5")/B2,"")</f>
        <v>0</v>
      </c>
      <c r="J2" s="13">
        <f>IF(B2&gt;0,SUMIF(Strats,A2,Apps)/B2,"")</f>
        <v>0</v>
      </c>
      <c r="K2" s="13">
        <f>IF(B2&gt;0,SUMIF(Strats,A2,AppsSubmitted)/B2,"")</f>
        <v>0</v>
      </c>
      <c r="L2" s="11">
        <f>IF(B2&gt;0,SUMIF(Strats,A2,PredP)/B2,"")</f>
        <v>0</v>
      </c>
      <c r="M2" s="11">
        <f>IF(B2&gt;0,SUMIF(Strats,A2,PredM1)/B2,"")</f>
        <v>0</v>
      </c>
      <c r="N2" s="11">
        <f>IF(B2&gt;0,SUMIF(Strats,A2,PredPref)/B2,"")</f>
        <v>0</v>
      </c>
      <c r="O2" s="12">
        <f>IF(B2&gt;0,SUMIF(Strats,A2,PredEqual)/B2,"")</f>
        <v>0</v>
      </c>
      <c r="P2" s="13">
        <f>IF(B2&gt;0,SUMIF(Strats,A2,AcceptTotal)/B2,"")</f>
        <v>0</v>
      </c>
      <c r="Q2" s="11">
        <f>IF(B2&gt;0,COUNTIFS(Strats,A2,AcceptTotal,"&gt;0")/B2,"")</f>
        <v>0</v>
      </c>
      <c r="R2" s="11">
        <f>IF(AND(B2&gt;0,J2&gt;0),(SUMIF(Strats,A2,MoneyMGRApps)+SUMIF(Strats,A2,MoneyRGRApps))/J2/B2,"")</f>
        <v>0</v>
      </c>
      <c r="S2" s="12">
        <f>IF(AND(B2&gt;0,J2&gt;0),(SUMIF(Strats,A2,MatchGRApps)+SUMIF(Strats,A2,ReachGRApps))/J2/B2,"")</f>
        <v>0</v>
      </c>
    </row>
    <row r="3" spans="1:19">
      <c r="A3" s="10">
        <v>2</v>
      </c>
      <c r="B3" s="1">
        <f>COUNTIF(Strats,A3)</f>
        <v>0</v>
      </c>
      <c r="C3" s="11">
        <f>B3/B13</f>
        <v>0</v>
      </c>
      <c r="D3" s="11">
        <f>IF(B3&gt;0,SUMIF(Strats,A3,StudentTargets)/B3,"")</f>
        <v>0</v>
      </c>
      <c r="E3" s="12">
        <f>IF(B3&gt;0,SUMIF(Strats,A3,ReachStudentTargets)/B3,"")</f>
        <v>0</v>
      </c>
      <c r="F3" s="11">
        <f>IF(B3&gt;0,SUMIF(Strats,A3,MoneyMGRPlus)/B3,"")</f>
        <v>0</v>
      </c>
      <c r="G3" s="12">
        <f>IF(B3&gt;0,SUMIF(Strats,A3,MoneyRGRPlus)/B3,"")</f>
        <v>0</v>
      </c>
      <c r="H3" s="11">
        <f>IF(B3&gt;0,COUNTIFS(Strats,A3,MoneyMGRPlus,"&lt;0.9")/B3,"")</f>
        <v>0</v>
      </c>
      <c r="I3" s="12">
        <f>IF(B3&gt;0,COUNTIFS(Strats,A3,MoneyRGRPlus,"&lt;0.5")/B3,"")</f>
        <v>0</v>
      </c>
      <c r="J3" s="13">
        <f>IF(B3&gt;0,SUMIF(Strats,A3,Apps)/B3,"")</f>
        <v>0</v>
      </c>
      <c r="K3" s="13">
        <f>IF(B3&gt;0,SUMIF(Strats,A3,AppsSubmitted)/B3,"")</f>
        <v>0</v>
      </c>
      <c r="L3" s="11">
        <f>IF(B3&gt;0,SUMIF(Strats,A3,PredP)/B3,"")</f>
        <v>0</v>
      </c>
      <c r="M3" s="11">
        <f>IF(B3&gt;0,SUMIF(Strats,A3,PredM1)/B3,"")</f>
        <v>0</v>
      </c>
      <c r="N3" s="11">
        <f>IF(B3&gt;0,SUMIF(Strats,A3,PredPref)/B3,"")</f>
        <v>0</v>
      </c>
      <c r="O3" s="12">
        <f>IF(B3&gt;0,SUMIF(Strats,A3,PredEqual)/B3,"")</f>
        <v>0</v>
      </c>
      <c r="P3" s="13">
        <f>IF(B3&gt;0,SUMIF(Strats,A3,AcceptTotal)/B3,"")</f>
        <v>0</v>
      </c>
      <c r="Q3" s="11">
        <f>IF(B3&gt;0,COUNTIFS(Strats,A3,AcceptTotal,"&gt;0")/B3,"")</f>
        <v>0</v>
      </c>
      <c r="R3" s="11">
        <f>IF(AND(B3&gt;0,J3&gt;0),(SUMIF(Strats,A3,MoneyMGRApps)+SUMIF(Strats,A3,MoneyRGRApps))/J3/B3,"")</f>
        <v>0</v>
      </c>
      <c r="S3" s="12">
        <f>IF(AND(B3&gt;0,J3&gt;0),(SUMIF(Strats,A3,MatchGRApps)+SUMIF(Strats,A3,ReachGRApps))/J3/B3,"")</f>
        <v>0</v>
      </c>
    </row>
    <row r="4" spans="1:19">
      <c r="A4" s="10">
        <v>3</v>
      </c>
      <c r="B4" s="1">
        <f>COUNTIF(Strats,A4)</f>
        <v>0</v>
      </c>
      <c r="C4" s="11">
        <f>B4/B13</f>
        <v>0</v>
      </c>
      <c r="D4" s="11">
        <f>IF(B4&gt;0,SUMIF(Strats,A4,StudentTargets)/B4,"")</f>
        <v>0</v>
      </c>
      <c r="E4" s="12">
        <f>IF(B4&gt;0,SUMIF(Strats,A4,ReachStudentTargets)/B4,"")</f>
        <v>0</v>
      </c>
      <c r="F4" s="11">
        <f>IF(B4&gt;0,SUMIF(Strats,A4,MoneyMGRPlus)/B4,"")</f>
        <v>0</v>
      </c>
      <c r="G4" s="12">
        <f>IF(B4&gt;0,SUMIF(Strats,A4,MoneyRGRPlus)/B4,"")</f>
        <v>0</v>
      </c>
      <c r="H4" s="11">
        <f>IF(B4&gt;0,COUNTIFS(Strats,A4,MoneyMGRPlus,"&lt;0.9")/B4,"")</f>
        <v>0</v>
      </c>
      <c r="I4" s="12">
        <f>IF(B4&gt;0,COUNTIFS(Strats,A4,MoneyRGRPlus,"&lt;0.5")/B4,"")</f>
        <v>0</v>
      </c>
      <c r="J4" s="13">
        <f>IF(B4&gt;0,SUMIF(Strats,A4,Apps)/B4,"")</f>
        <v>0</v>
      </c>
      <c r="K4" s="13">
        <f>IF(B4&gt;0,SUMIF(Strats,A4,AppsSubmitted)/B4,"")</f>
        <v>0</v>
      </c>
      <c r="L4" s="11">
        <f>IF(B4&gt;0,SUMIF(Strats,A4,PredP)/B4,"")</f>
        <v>0</v>
      </c>
      <c r="M4" s="11">
        <f>IF(B4&gt;0,SUMIF(Strats,A4,PredM1)/B4,"")</f>
        <v>0</v>
      </c>
      <c r="N4" s="11">
        <f>IF(B4&gt;0,SUMIF(Strats,A4,PredPref)/B4,"")</f>
        <v>0</v>
      </c>
      <c r="O4" s="12">
        <f>IF(B4&gt;0,SUMIF(Strats,A4,PredEqual)/B4,"")</f>
        <v>0</v>
      </c>
      <c r="P4" s="13">
        <f>IF(B4&gt;0,SUMIF(Strats,A4,AcceptTotal)/B4,"")</f>
        <v>0</v>
      </c>
      <c r="Q4" s="11">
        <f>IF(B4&gt;0,COUNTIFS(Strats,A4,AcceptTotal,"&gt;0")/B4,"")</f>
        <v>0</v>
      </c>
      <c r="R4" s="11">
        <f>IF(AND(B4&gt;0,J4&gt;0),(SUMIF(Strats,A4,MoneyMGRApps)+SUMIF(Strats,A4,MoneyRGRApps))/J4/B4,"")</f>
        <v>0</v>
      </c>
      <c r="S4" s="12">
        <f>IF(AND(B4&gt;0,J4&gt;0),(SUMIF(Strats,A4,MatchGRApps)+SUMIF(Strats,A4,ReachGRApps))/J4/B4,"")</f>
        <v>0</v>
      </c>
    </row>
    <row r="5" spans="1:19">
      <c r="A5" s="10">
        <v>4</v>
      </c>
      <c r="B5" s="1">
        <f>COUNTIF(Strats,A5)</f>
        <v>0</v>
      </c>
      <c r="C5" s="11">
        <f>B5/B13</f>
        <v>0</v>
      </c>
      <c r="D5" s="11">
        <f>IF(B5&gt;0,SUMIF(Strats,A5,StudentTargets)/B5,"")</f>
        <v>0</v>
      </c>
      <c r="E5" s="12">
        <f>IF(B5&gt;0,SUMIF(Strats,A5,ReachStudentTargets)/B5,"")</f>
        <v>0</v>
      </c>
      <c r="F5" s="11">
        <f>IF(B5&gt;0,SUMIF(Strats,A5,MoneyMGRPlus)/B5,"")</f>
        <v>0</v>
      </c>
      <c r="G5" s="12">
        <f>IF(B5&gt;0,SUMIF(Strats,A5,MoneyRGRPlus)/B5,"")</f>
        <v>0</v>
      </c>
      <c r="H5" s="11">
        <f>IF(B5&gt;0,COUNTIFS(Strats,A5,MoneyMGRPlus,"&lt;0.9")/B5,"")</f>
        <v>0</v>
      </c>
      <c r="I5" s="12">
        <f>IF(B5&gt;0,COUNTIFS(Strats,A5,MoneyRGRPlus,"&lt;0.5")/B5,"")</f>
        <v>0</v>
      </c>
      <c r="J5" s="13">
        <f>IF(B5&gt;0,SUMIF(Strats,A5,Apps)/B5,"")</f>
        <v>0</v>
      </c>
      <c r="K5" s="13">
        <f>IF(B5&gt;0,SUMIF(Strats,A5,AppsSubmitted)/B5,"")</f>
        <v>0</v>
      </c>
      <c r="L5" s="11">
        <f>IF(B5&gt;0,SUMIF(Strats,A5,PredP)/B5,"")</f>
        <v>0</v>
      </c>
      <c r="M5" s="11">
        <f>IF(B5&gt;0,SUMIF(Strats,A5,PredM1)/B5,"")</f>
        <v>0</v>
      </c>
      <c r="N5" s="11">
        <f>IF(B5&gt;0,SUMIF(Strats,A5,PredPref)/B5,"")</f>
        <v>0</v>
      </c>
      <c r="O5" s="12">
        <f>IF(B5&gt;0,SUMIF(Strats,A5,PredEqual)/B5,"")</f>
        <v>0</v>
      </c>
      <c r="P5" s="13">
        <f>IF(B5&gt;0,SUMIF(Strats,A5,AcceptTotal)/B5,"")</f>
        <v>0</v>
      </c>
      <c r="Q5" s="11">
        <f>IF(B5&gt;0,COUNTIFS(Strats,A5,AcceptTotal,"&gt;0")/B5,"")</f>
        <v>0</v>
      </c>
      <c r="R5" s="11">
        <f>IF(AND(B5&gt;0,J5&gt;0),(SUMIF(Strats,A5,MoneyMGRApps)+SUMIF(Strats,A5,MoneyRGRApps))/J5/B5,"")</f>
        <v>0</v>
      </c>
      <c r="S5" s="12">
        <f>IF(AND(B5&gt;0,J5&gt;0),(SUMIF(Strats,A5,MatchGRApps)+SUMIF(Strats,A5,ReachGRApps))/J5/B5,"")</f>
        <v>0</v>
      </c>
    </row>
    <row r="6" spans="1:19">
      <c r="A6" s="10">
        <v>5</v>
      </c>
      <c r="B6" s="1">
        <f>COUNTIF(Strats,A6)</f>
        <v>0</v>
      </c>
      <c r="C6" s="11">
        <f>B6/B13</f>
        <v>0</v>
      </c>
      <c r="D6" s="11">
        <f>IF(B6&gt;0,SUMIF(Strats,A6,StudentTargets)/B6,"")</f>
        <v>0</v>
      </c>
      <c r="E6" s="12">
        <f>IF(B6&gt;0,SUMIF(Strats,A6,ReachStudentTargets)/B6,"")</f>
        <v>0</v>
      </c>
      <c r="F6" s="11">
        <f>IF(B6&gt;0,SUMIF(Strats,A6,MoneyMGRPlus)/B6,"")</f>
        <v>0</v>
      </c>
      <c r="G6" s="12">
        <f>IF(B6&gt;0,SUMIF(Strats,A6,MoneyRGRPlus)/B6,"")</f>
        <v>0</v>
      </c>
      <c r="H6" s="11">
        <f>IF(B6&gt;0,COUNTIFS(Strats,A6,MoneyMGRPlus,"&lt;0.9")/B6,"")</f>
        <v>0</v>
      </c>
      <c r="I6" s="12">
        <f>IF(B6&gt;0,COUNTIFS(Strats,A6,MoneyRGRPlus,"&lt;0.5")/B6,"")</f>
        <v>0</v>
      </c>
      <c r="J6" s="13">
        <f>IF(B6&gt;0,SUMIF(Strats,A6,Apps)/B6,"")</f>
        <v>0</v>
      </c>
      <c r="K6" s="13">
        <f>IF(B6&gt;0,SUMIF(Strats,A6,AppsSubmitted)/B6,"")</f>
        <v>0</v>
      </c>
      <c r="L6" s="11">
        <f>IF(B6&gt;0,SUMIF(Strats,A6,PredP)/B6,"")</f>
        <v>0</v>
      </c>
      <c r="M6" s="11">
        <f>IF(B6&gt;0,SUMIF(Strats,A6,PredM1)/B6,"")</f>
        <v>0</v>
      </c>
      <c r="N6" s="11">
        <f>IF(B6&gt;0,SUMIF(Strats,A6,PredPref)/B6,"")</f>
        <v>0</v>
      </c>
      <c r="O6" s="12">
        <f>IF(B6&gt;0,SUMIF(Strats,A6,PredEqual)/B6,"")</f>
        <v>0</v>
      </c>
      <c r="P6" s="13">
        <f>IF(B6&gt;0,SUMIF(Strats,A6,AcceptTotal)/B6,"")</f>
        <v>0</v>
      </c>
      <c r="Q6" s="11">
        <f>IF(B6&gt;0,COUNTIFS(Strats,A6,AcceptTotal,"&gt;0")/B6,"")</f>
        <v>0</v>
      </c>
      <c r="R6" s="11">
        <f>IF(AND(B6&gt;0,J6&gt;0),(SUMIF(Strats,A6,MoneyMGRApps)+SUMIF(Strats,A6,MoneyRGRApps))/J6/B6,"")</f>
        <v>0</v>
      </c>
      <c r="S6" s="12">
        <f>IF(AND(B6&gt;0,J6&gt;0),(SUMIF(Strats,A6,MatchGRApps)+SUMIF(Strats,A6,ReachGRApps))/J6/B6,"")</f>
        <v>0</v>
      </c>
    </row>
    <row r="7" spans="1:19">
      <c r="A7" s="10">
        <v>6</v>
      </c>
      <c r="B7" s="1">
        <f>COUNTIF(Strats,A7)</f>
        <v>0</v>
      </c>
      <c r="C7" s="11">
        <f>B7/B13</f>
        <v>0</v>
      </c>
      <c r="D7" s="11">
        <f>IF(B7&gt;0,SUMIF(Strats,A7,StudentTargets)/B7,"")</f>
        <v>0</v>
      </c>
      <c r="E7" s="12">
        <f>IF(B7&gt;0,SUMIF(Strats,A7,ReachStudentTargets)/B7,"")</f>
        <v>0</v>
      </c>
      <c r="F7" s="11">
        <f>IF(B7&gt;0,SUMIF(Strats,A7,MoneyMGRPlus)/B7,"")</f>
        <v>0</v>
      </c>
      <c r="G7" s="12">
        <f>IF(B7&gt;0,SUMIF(Strats,A7,MoneyRGRPlus)/B7,"")</f>
        <v>0</v>
      </c>
      <c r="H7" s="11">
        <f>IF(B7&gt;0,COUNTIFS(Strats,A7,MoneyMGRPlus,"&lt;0.9")/B7,"")</f>
        <v>0</v>
      </c>
      <c r="I7" s="12">
        <f>IF(B7&gt;0,COUNTIFS(Strats,A7,MoneyRGRPlus,"&lt;0.5")/B7,"")</f>
        <v>0</v>
      </c>
      <c r="J7" s="13">
        <f>IF(B7&gt;0,SUMIF(Strats,A7,Apps)/B7,"")</f>
        <v>0</v>
      </c>
      <c r="K7" s="13">
        <f>IF(B7&gt;0,SUMIF(Strats,A7,AppsSubmitted)/B7,"")</f>
        <v>0</v>
      </c>
      <c r="L7" s="11">
        <f>IF(B7&gt;0,SUMIF(Strats,A7,PredP)/B7,"")</f>
        <v>0</v>
      </c>
      <c r="M7" s="11">
        <f>IF(B7&gt;0,SUMIF(Strats,A7,PredM1)/B7,"")</f>
        <v>0</v>
      </c>
      <c r="N7" s="11">
        <f>IF(B7&gt;0,SUMIF(Strats,A7,PredPref)/B7,"")</f>
        <v>0</v>
      </c>
      <c r="O7" s="12">
        <f>IF(B7&gt;0,SUMIF(Strats,A7,PredEqual)/B7,"")</f>
        <v>0</v>
      </c>
      <c r="P7" s="13">
        <f>IF(B7&gt;0,SUMIF(Strats,A7,AcceptTotal)/B7,"")</f>
        <v>0</v>
      </c>
      <c r="Q7" s="11">
        <f>IF(B7&gt;0,COUNTIFS(Strats,A7,AcceptTotal,"&gt;0")/B7,"")</f>
        <v>0</v>
      </c>
      <c r="R7" s="11">
        <f>IF(AND(B7&gt;0,J7&gt;0),(SUMIF(Strats,A7,MoneyMGRApps)+SUMIF(Strats,A7,MoneyRGRApps))/J7/B7,"")</f>
        <v>0</v>
      </c>
      <c r="S7" s="12">
        <f>IF(AND(B7&gt;0,J7&gt;0),(SUMIF(Strats,A7,MatchGRApps)+SUMIF(Strats,A7,ReachGRApps))/J7/B7,"")</f>
        <v>0</v>
      </c>
    </row>
    <row r="8" spans="1:19">
      <c r="A8" s="10">
        <v>7</v>
      </c>
      <c r="B8" s="1">
        <f>COUNTIF(Strats,A8)</f>
        <v>0</v>
      </c>
      <c r="C8" s="11">
        <f>B8/B13</f>
        <v>0</v>
      </c>
      <c r="D8" s="11">
        <f>IF(B8&gt;0,SUMIF(Strats,A8,StudentTargets)/B8,"")</f>
        <v>0</v>
      </c>
      <c r="E8" s="12">
        <f>IF(B8&gt;0,SUMIF(Strats,A8,ReachStudentTargets)/B8,"")</f>
        <v>0</v>
      </c>
      <c r="F8" s="11">
        <f>IF(B8&gt;0,SUMIF(Strats,A8,MoneyMGRPlus)/B8,"")</f>
        <v>0</v>
      </c>
      <c r="G8" s="12">
        <f>IF(B8&gt;0,SUMIF(Strats,A8,MoneyRGRPlus)/B8,"")</f>
        <v>0</v>
      </c>
      <c r="H8" s="11">
        <f>IF(B8&gt;0,COUNTIFS(Strats,A8,MoneyMGRPlus,"&lt;0.9")/B8,"")</f>
        <v>0</v>
      </c>
      <c r="I8" s="12">
        <f>IF(B8&gt;0,COUNTIFS(Strats,A8,MoneyRGRPlus,"&lt;0.5")/B8,"")</f>
        <v>0</v>
      </c>
      <c r="J8" s="13">
        <f>IF(B8&gt;0,SUMIF(Strats,A8,Apps)/B8,"")</f>
        <v>0</v>
      </c>
      <c r="K8" s="13">
        <f>IF(B8&gt;0,SUMIF(Strats,A8,AppsSubmitted)/B8,"")</f>
        <v>0</v>
      </c>
      <c r="L8" s="11">
        <f>IF(B8&gt;0,SUMIF(Strats,A8,PredP)/B8,"")</f>
        <v>0</v>
      </c>
      <c r="M8" s="11">
        <f>IF(B8&gt;0,SUMIF(Strats,A8,PredM1)/B8,"")</f>
        <v>0</v>
      </c>
      <c r="N8" s="11">
        <f>IF(B8&gt;0,SUMIF(Strats,A8,PredPref)/B8,"")</f>
        <v>0</v>
      </c>
      <c r="O8" s="12">
        <f>IF(B8&gt;0,SUMIF(Strats,A8,PredEqual)/B8,"")</f>
        <v>0</v>
      </c>
      <c r="P8" s="13">
        <f>IF(B8&gt;0,SUMIF(Strats,A8,AcceptTotal)/B8,"")</f>
        <v>0</v>
      </c>
      <c r="Q8" s="11">
        <f>IF(B8&gt;0,COUNTIFS(Strats,A8,AcceptTotal,"&gt;0")/B8,"")</f>
        <v>0</v>
      </c>
      <c r="R8" s="11">
        <f>IF(AND(B8&gt;0,J8&gt;0),(SUMIF(Strats,A8,MoneyMGRApps)+SUMIF(Strats,A8,MoneyRGRApps))/J8/B8,"")</f>
        <v>0</v>
      </c>
      <c r="S8" s="12">
        <f>IF(AND(B8&gt;0,J8&gt;0),(SUMIF(Strats,A8,MatchGRApps)+SUMIF(Strats,A8,ReachGRApps))/J8/B8,"")</f>
        <v>0</v>
      </c>
    </row>
    <row r="9" spans="1:19">
      <c r="A9" s="10">
        <v>8</v>
      </c>
      <c r="B9" s="1">
        <f>COUNTIF(Strats,A9)</f>
        <v>0</v>
      </c>
      <c r="C9" s="11">
        <f>B9/B13</f>
        <v>0</v>
      </c>
      <c r="D9" s="11">
        <f>IF(B9&gt;0,SUMIF(Strats,A9,StudentTargets)/B9,"")</f>
        <v>0</v>
      </c>
      <c r="E9" s="12">
        <f>IF(B9&gt;0,SUMIF(Strats,A9,ReachStudentTargets)/B9,"")</f>
        <v>0</v>
      </c>
      <c r="F9" s="11">
        <f>IF(B9&gt;0,SUMIF(Strats,A9,MoneyMGRPlus)/B9,"")</f>
        <v>0</v>
      </c>
      <c r="G9" s="12">
        <f>IF(B9&gt;0,SUMIF(Strats,A9,MoneyRGRPlus)/B9,"")</f>
        <v>0</v>
      </c>
      <c r="H9" s="11">
        <f>IF(B9&gt;0,COUNTIFS(Strats,A9,MoneyMGRPlus,"&lt;0.9")/B9,"")</f>
        <v>0</v>
      </c>
      <c r="I9" s="12">
        <f>IF(B9&gt;0,COUNTIFS(Strats,A9,MoneyRGRPlus,"&lt;0.5")/B9,"")</f>
        <v>0</v>
      </c>
      <c r="J9" s="13">
        <f>IF(B9&gt;0,SUMIF(Strats,A9,Apps)/B9,"")</f>
        <v>0</v>
      </c>
      <c r="K9" s="13">
        <f>IF(B9&gt;0,SUMIF(Strats,A9,AppsSubmitted)/B9,"")</f>
        <v>0</v>
      </c>
      <c r="L9" s="11">
        <f>IF(B9&gt;0,SUMIF(Strats,A9,PredP)/B9,"")</f>
        <v>0</v>
      </c>
      <c r="M9" s="11">
        <f>IF(B9&gt;0,SUMIF(Strats,A9,PredM1)/B9,"")</f>
        <v>0</v>
      </c>
      <c r="N9" s="11">
        <f>IF(B9&gt;0,SUMIF(Strats,A9,PredPref)/B9,"")</f>
        <v>0</v>
      </c>
      <c r="O9" s="12">
        <f>IF(B9&gt;0,SUMIF(Strats,A9,PredEqual)/B9,"")</f>
        <v>0</v>
      </c>
      <c r="P9" s="13">
        <f>IF(B9&gt;0,SUMIF(Strats,A9,AcceptTotal)/B9,"")</f>
        <v>0</v>
      </c>
      <c r="Q9" s="11">
        <f>IF(B9&gt;0,COUNTIFS(Strats,A9,AcceptTotal,"&gt;0")/B9,"")</f>
        <v>0</v>
      </c>
      <c r="R9" s="11">
        <f>IF(AND(B9&gt;0,J9&gt;0),(SUMIF(Strats,A9,MoneyMGRApps)+SUMIF(Strats,A9,MoneyRGRApps))/J9/B9,"")</f>
        <v>0</v>
      </c>
      <c r="S9" s="12">
        <f>IF(AND(B9&gt;0,J9&gt;0),(SUMIF(Strats,A9,MatchGRApps)+SUMIF(Strats,A9,ReachGRApps))/J9/B9,"")</f>
        <v>0</v>
      </c>
    </row>
    <row r="10" spans="1:19">
      <c r="A10" s="10">
        <v>9</v>
      </c>
      <c r="B10" s="1">
        <f>COUNTIF(Strats,A10)</f>
        <v>0</v>
      </c>
      <c r="C10" s="11">
        <f>B10/B13</f>
        <v>0</v>
      </c>
      <c r="D10" s="11">
        <f>IF(B10&gt;0,SUMIF(Strats,A10,StudentTargets)/B10,"")</f>
        <v>0</v>
      </c>
      <c r="E10" s="12">
        <f>IF(B10&gt;0,SUMIF(Strats,A10,ReachStudentTargets)/B10,"")</f>
        <v>0</v>
      </c>
      <c r="F10" s="11">
        <f>IF(B10&gt;0,SUMIF(Strats,A10,MoneyMGRPlus)/B10,"")</f>
        <v>0</v>
      </c>
      <c r="G10" s="12">
        <f>IF(B10&gt;0,SUMIF(Strats,A10,MoneyRGRPlus)/B10,"")</f>
        <v>0</v>
      </c>
      <c r="H10" s="11">
        <f>IF(B10&gt;0,COUNTIFS(Strats,A10,MoneyMGRPlus,"&lt;0.9")/B10,"")</f>
        <v>0</v>
      </c>
      <c r="I10" s="12">
        <f>IF(B10&gt;0,COUNTIFS(Strats,A10,MoneyRGRPlus,"&lt;0.5")/B10,"")</f>
        <v>0</v>
      </c>
      <c r="J10" s="13">
        <f>IF(B10&gt;0,SUMIF(Strats,A10,Apps)/B10,"")</f>
        <v>0</v>
      </c>
      <c r="K10" s="13">
        <f>IF(B10&gt;0,SUMIF(Strats,A10,AppsSubmitted)/B10,"")</f>
        <v>0</v>
      </c>
      <c r="L10" s="11">
        <f>IF(B10&gt;0,SUMIF(Strats,A10,PredP)/B10,"")</f>
        <v>0</v>
      </c>
      <c r="M10" s="11">
        <f>IF(B10&gt;0,SUMIF(Strats,A10,PredM1)/B10,"")</f>
        <v>0</v>
      </c>
      <c r="N10" s="11">
        <f>IF(B10&gt;0,SUMIF(Strats,A10,PredPref)/B10,"")</f>
        <v>0</v>
      </c>
      <c r="O10" s="12">
        <f>IF(B10&gt;0,SUMIF(Strats,A10,PredEqual)/B10,"")</f>
        <v>0</v>
      </c>
      <c r="P10" s="13">
        <f>IF(B10&gt;0,SUMIF(Strats,A10,AcceptTotal)/B10,"")</f>
        <v>0</v>
      </c>
      <c r="Q10" s="11">
        <f>IF(B10&gt;0,COUNTIFS(Strats,A10,AcceptTotal,"&gt;0")/B10,"")</f>
        <v>0</v>
      </c>
      <c r="R10" s="11">
        <f>IF(AND(B10&gt;0,J10&gt;0),(SUMIF(Strats,A10,MoneyMGRApps)+SUMIF(Strats,A10,MoneyRGRApps))/J10/B10,"")</f>
        <v>0</v>
      </c>
      <c r="S10" s="12">
        <f>IF(AND(B10&gt;0,J10&gt;0),(SUMIF(Strats,A10,MatchGRApps)+SUMIF(Strats,A10,ReachGRApps))/J10/B10,"")</f>
        <v>0</v>
      </c>
    </row>
    <row r="11" spans="1:19">
      <c r="A11" s="10">
        <v>10</v>
      </c>
      <c r="B11" s="1">
        <f>COUNTIF(Strats,A11)</f>
        <v>0</v>
      </c>
      <c r="C11" s="11">
        <f>B11/B13</f>
        <v>0</v>
      </c>
      <c r="D11" s="11">
        <f>IF(B11&gt;0,SUMIF(Strats,A11,StudentTargets)/B11,"")</f>
        <v>0</v>
      </c>
      <c r="E11" s="12">
        <f>IF(B11&gt;0,SUMIF(Strats,A11,ReachStudentTargets)/B11,"")</f>
        <v>0</v>
      </c>
      <c r="F11" s="11">
        <f>IF(B11&gt;0,SUMIF(Strats,A11,MoneyMGRPlus)/B11,"")</f>
        <v>0</v>
      </c>
      <c r="G11" s="12">
        <f>IF(B11&gt;0,SUMIF(Strats,A11,MoneyRGRPlus)/B11,"")</f>
        <v>0</v>
      </c>
      <c r="H11" s="11">
        <f>IF(B11&gt;0,COUNTIFS(Strats,A11,MoneyMGRPlus,"&lt;0.9")/B11,"")</f>
        <v>0</v>
      </c>
      <c r="I11" s="12">
        <f>IF(B11&gt;0,COUNTIFS(Strats,A11,MoneyRGRPlus,"&lt;0.5")/B11,"")</f>
        <v>0</v>
      </c>
      <c r="J11" s="13">
        <f>IF(B11&gt;0,SUMIF(Strats,A11,Apps)/B11,"")</f>
        <v>0</v>
      </c>
      <c r="K11" s="13">
        <f>IF(B11&gt;0,SUMIF(Strats,A11,AppsSubmitted)/B11,"")</f>
        <v>0</v>
      </c>
      <c r="L11" s="11">
        <f>IF(B11&gt;0,SUMIF(Strats,A11,PredP)/B11,"")</f>
        <v>0</v>
      </c>
      <c r="M11" s="11">
        <f>IF(B11&gt;0,SUMIF(Strats,A11,PredM1)/B11,"")</f>
        <v>0</v>
      </c>
      <c r="N11" s="11">
        <f>IF(B11&gt;0,SUMIF(Strats,A11,PredPref)/B11,"")</f>
        <v>0</v>
      </c>
      <c r="O11" s="12">
        <f>IF(B11&gt;0,SUMIF(Strats,A11,PredEqual)/B11,"")</f>
        <v>0</v>
      </c>
      <c r="P11" s="13">
        <f>IF(B11&gt;0,SUMIF(Strats,A11,AcceptTotal)/B11,"")</f>
        <v>0</v>
      </c>
      <c r="Q11" s="11">
        <f>IF(B11&gt;0,COUNTIFS(Strats,A11,AcceptTotal,"&gt;0")/B11,"")</f>
        <v>0</v>
      </c>
      <c r="R11" s="11">
        <f>IF(AND(B11&gt;0,J11&gt;0),(SUMIF(Strats,A11,MoneyMGRApps)+SUMIF(Strats,A11,MoneyRGRApps))/J11/B11,"")</f>
        <v>0</v>
      </c>
      <c r="S11" s="12">
        <f>IF(AND(B11&gt;0,J11&gt;0),(SUMIF(Strats,A11,MatchGRApps)+SUMIF(Strats,A11,ReachGRApps))/J11/B11,"")</f>
        <v>0</v>
      </c>
    </row>
    <row r="12" spans="1:19">
      <c r="A12" s="10">
        <v>11</v>
      </c>
      <c r="B12" s="1">
        <f>COUNTIF(Strats,A12)</f>
        <v>0</v>
      </c>
      <c r="C12" s="11">
        <f>B12/B13</f>
        <v>0</v>
      </c>
      <c r="D12" s="11">
        <f>IF(B12&gt;0,SUMIF(Strats,A12,StudentTargets)/B12,"")</f>
        <v>0</v>
      </c>
      <c r="E12" s="12">
        <f>IF(B12&gt;0,SUMIF(Strats,A12,ReachStudentTargets)/B12,"")</f>
        <v>0</v>
      </c>
      <c r="F12" s="11">
        <f>IF(B12&gt;0,SUMIF(Strats,A12,MoneyMGRPlus)/B12,"")</f>
        <v>0</v>
      </c>
      <c r="G12" s="12">
        <f>IF(B12&gt;0,SUMIF(Strats,A12,MoneyRGRPlus)/B12,"")</f>
        <v>0</v>
      </c>
      <c r="H12" s="11">
        <f>IF(B12&gt;0,COUNTIFS(Strats,A12,MoneyMGRPlus,"&lt;0.9")/B12,"")</f>
        <v>0</v>
      </c>
      <c r="I12" s="12">
        <f>IF(B12&gt;0,COUNTIFS(Strats,A12,MoneyRGRPlus,"&lt;0.5")/B12,"")</f>
        <v>0</v>
      </c>
      <c r="J12" s="13">
        <f>IF(B12&gt;0,SUMIF(Strats,A12,Apps)/B12,"")</f>
        <v>0</v>
      </c>
      <c r="K12" s="13">
        <f>IF(B12&gt;0,SUMIF(Strats,A12,AppsSubmitted)/B12,"")</f>
        <v>0</v>
      </c>
      <c r="L12" s="11">
        <f>IF(B12&gt;0,SUMIF(Strats,A12,PredP)/B12,"")</f>
        <v>0</v>
      </c>
      <c r="M12" s="11">
        <f>IF(B12&gt;0,SUMIF(Strats,A12,PredM1)/B12,"")</f>
        <v>0</v>
      </c>
      <c r="N12" s="11">
        <f>IF(B12&gt;0,SUMIF(Strats,A12,PredPref)/B12,"")</f>
        <v>0</v>
      </c>
      <c r="O12" s="12">
        <f>IF(B12&gt;0,SUMIF(Strats,A12,PredEqual)/B12,"")</f>
        <v>0</v>
      </c>
      <c r="P12" s="13">
        <f>IF(B12&gt;0,SUMIF(Strats,A12,AcceptTotal)/B12,"")</f>
        <v>0</v>
      </c>
      <c r="Q12" s="11">
        <f>IF(B12&gt;0,COUNTIFS(Strats,A12,AcceptTotal,"&gt;0")/B12,"")</f>
        <v>0</v>
      </c>
      <c r="R12" s="11">
        <f>IF(AND(B12&gt;0,J12&gt;0),(SUMIF(Strats,A12,MoneyMGRApps)+SUMIF(Strats,A12,MoneyRGRApps))/J12/B12,"")</f>
        <v>0</v>
      </c>
      <c r="S12" s="12">
        <f>IF(AND(B12&gt;0,J12&gt;0),(SUMIF(Strats,A12,MatchGRApps)+SUMIF(Strats,A12,ReachGRApps))/J12/B12,"")</f>
        <v>0</v>
      </c>
    </row>
    <row r="13" spans="1:19">
      <c r="A13" s="10"/>
      <c r="B13" s="14">
        <f>SUM(B2:B12)</f>
        <v>0</v>
      </c>
      <c r="C13" s="15">
        <f>B13/B13</f>
        <v>0</v>
      </c>
      <c r="D13" s="15">
        <f>SUMPRODUCT(B2:B12,D2:D12)/B13</f>
        <v>0</v>
      </c>
      <c r="E13" s="16">
        <f>SUMPRODUCT(B2:B12,E2:E12)/B13</f>
        <v>0</v>
      </c>
      <c r="F13" s="15">
        <f>SUMPRODUCT(B2:B12,F2:F12)/B13</f>
        <v>0</v>
      </c>
      <c r="G13" s="16">
        <f>SUMPRODUCT(B2:B12,G2:G12)/B13</f>
        <v>0</v>
      </c>
      <c r="H13" s="15">
        <f>SUMPRODUCT(B2:B12,H2:H12)/B13</f>
        <v>0</v>
      </c>
      <c r="I13" s="16">
        <f>SUMPRODUCT(B2:B12,I2:I12)/B13</f>
        <v>0</v>
      </c>
      <c r="J13" s="17">
        <f>SUM(Apps)/B13</f>
        <v>0</v>
      </c>
      <c r="K13" s="17">
        <f>SUM(AppsSubmitted)/B13</f>
        <v>0</v>
      </c>
      <c r="L13" s="15">
        <f>SUMPRODUCT(B2:B12,L2:L12)/B13</f>
        <v>0</v>
      </c>
      <c r="M13" s="15">
        <f>SUMPRODUCT(B2:B12,M2:M12)/B13</f>
        <v>0</v>
      </c>
      <c r="N13" s="15">
        <f>SUMPRODUCT(B2:B12,N2:N12)/B13</f>
        <v>0</v>
      </c>
      <c r="O13" s="16">
        <f>SUMPRODUCT(B2:B12,O2:O12)/B13</f>
        <v>0</v>
      </c>
      <c r="P13" s="17">
        <f>SUM(AcceptTotal)/B13</f>
        <v>0</v>
      </c>
      <c r="Q13" s="15">
        <f>COUNTIF(AcceptTotal,"&gt;0")/B13</f>
        <v>0</v>
      </c>
      <c r="R13" s="15">
        <f>SUMPRODUCT(B2:B12,R2:R12)/B13</f>
        <v>0</v>
      </c>
      <c r="S13" s="16">
        <f>SUMPRODUCT(B2:B12,S2:S12)/B13</f>
        <v>0</v>
      </c>
    </row>
  </sheetData>
  <conditionalFormatting sqref="A2:A12">
    <cfRule type="expression" dxfId="0" priority="1">
      <formula>IF(MOD(ROW()-1,4)=0,TRUE,FALSE)</formula>
    </cfRule>
  </conditionalFormatting>
  <conditionalFormatting sqref="B2:B12">
    <cfRule type="expression" dxfId="1" priority="2">
      <formula>IF(MOD(ROW()-1,4)=0,TRUE,FALSE)</formula>
    </cfRule>
  </conditionalFormatting>
  <conditionalFormatting sqref="C2:C12">
    <cfRule type="expression" dxfId="2" priority="3">
      <formula>IF(MOD(ROW()-1,4)=0,TRUE,FALSE)</formula>
    </cfRule>
  </conditionalFormatting>
  <conditionalFormatting sqref="D2:D12">
    <cfRule type="expression" dxfId="2" priority="4">
      <formula>IF(MOD(ROW()-1,4)=0,TRUE,FALSE)</formula>
    </cfRule>
  </conditionalFormatting>
  <conditionalFormatting sqref="E2:E12">
    <cfRule type="expression" dxfId="3" priority="5">
      <formula>IF(MOD(ROW()-1,4)=0,TRUE,FALSE)</formula>
    </cfRule>
  </conditionalFormatting>
  <conditionalFormatting sqref="F2:F12">
    <cfRule type="expression" dxfId="2" priority="6">
      <formula>IF(MOD(ROW()-1,4)=0,TRUE,FALSE)</formula>
    </cfRule>
  </conditionalFormatting>
  <conditionalFormatting sqref="G2:G12">
    <cfRule type="expression" dxfId="3" priority="7">
      <formula>IF(MOD(ROW()-1,4)=0,TRUE,FALSE)</formula>
    </cfRule>
  </conditionalFormatting>
  <conditionalFormatting sqref="H2:H12">
    <cfRule type="expression" dxfId="2" priority="8">
      <formula>IF(MOD(ROW()-1,4)=0,TRUE,FALSE)</formula>
    </cfRule>
  </conditionalFormatting>
  <conditionalFormatting sqref="I2:I12">
    <cfRule type="expression" dxfId="3" priority="9">
      <formula>IF(MOD(ROW()-1,4)=0,TRUE,FALSE)</formula>
    </cfRule>
  </conditionalFormatting>
  <conditionalFormatting sqref="J2:J12">
    <cfRule type="expression" dxfId="4" priority="10">
      <formula>IF(MOD(ROW()-1,4)=0,TRUE,FALSE)</formula>
    </cfRule>
  </conditionalFormatting>
  <conditionalFormatting sqref="K2:K12">
    <cfRule type="expression" dxfId="4" priority="11">
      <formula>IF(MOD(ROW()-1,4)=0,TRUE,FALSE)</formula>
    </cfRule>
  </conditionalFormatting>
  <conditionalFormatting sqref="L2:L12">
    <cfRule type="expression" dxfId="2" priority="12">
      <formula>IF(MOD(ROW()-1,4)=0,TRUE,FALSE)</formula>
    </cfRule>
  </conditionalFormatting>
  <conditionalFormatting sqref="M2:M12">
    <cfRule type="expression" dxfId="2" priority="13">
      <formula>IF(MOD(ROW()-1,4)=0,TRUE,FALSE)</formula>
    </cfRule>
  </conditionalFormatting>
  <conditionalFormatting sqref="N2:N12">
    <cfRule type="expression" dxfId="2" priority="14">
      <formula>IF(MOD(ROW()-1,4)=0,TRUE,FALSE)</formula>
    </cfRule>
  </conditionalFormatting>
  <conditionalFormatting sqref="O2:O12">
    <cfRule type="expression" dxfId="3" priority="15">
      <formula>IF(MOD(ROW()-1,4)=0,TRUE,FALSE)</formula>
    </cfRule>
  </conditionalFormatting>
  <conditionalFormatting sqref="P2:P12">
    <cfRule type="expression" dxfId="4" priority="16">
      <formula>IF(MOD(ROW()-1,4)=0,TRUE,FALSE)</formula>
    </cfRule>
  </conditionalFormatting>
  <conditionalFormatting sqref="Q2:Q12">
    <cfRule type="expression" dxfId="2" priority="17">
      <formula>IF(MOD(ROW()-1,4)=0,TRUE,FALSE)</formula>
    </cfRule>
  </conditionalFormatting>
  <conditionalFormatting sqref="R2:R12">
    <cfRule type="expression" dxfId="2" priority="18">
      <formula>IF(MOD(ROW()-1,4)=0,TRUE,FALSE)</formula>
    </cfRule>
  </conditionalFormatting>
  <conditionalFormatting sqref="S2:S12">
    <cfRule type="expression" dxfId="3" priority="19">
      <formula>IF(MOD(ROW()-1,4)=0,TRUE,FALSE)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U77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5"/>
  <cols>
    <col min="1" max="1" width="10.7109375" style="18" hidden="1" customWidth="1"/>
    <col min="2" max="2" width="6.7109375" customWidth="1"/>
    <col min="3" max="3" width="6.7109375" style="18" hidden="1" customWidth="1"/>
    <col min="4" max="4" width="16.7109375" style="18" hidden="1" customWidth="1"/>
    <col min="5" max="5" width="12.7109375" customWidth="1"/>
    <col min="6" max="6" width="12.7109375" customWidth="1"/>
    <col min="7" max="7" width="12.7109375" customWidth="1"/>
    <col min="8" max="8" width="6.28515625" customWidth="1"/>
    <col min="9" max="9" width="6.28515625" customWidth="1"/>
    <col min="10" max="10" width="6.28515625" customWidth="1"/>
    <col min="11" max="11" width="6.28515625" customWidth="1"/>
    <col min="12" max="12" width="6.7109375" customWidth="1"/>
    <col min="13" max="13" width="5.5703125" customWidth="1"/>
    <col min="14" max="14" width="5" customWidth="1"/>
    <col min="15" max="15" width="8.28515625" customWidth="1"/>
    <col min="16" max="16" width="8.28515625" customWidth="1"/>
    <col min="17" max="17" width="8.28515625" style="18" hidden="1" customWidth="1"/>
    <col min="18" max="18" width="8.28515625" customWidth="1"/>
    <col min="19" max="19" width="17" customWidth="1"/>
    <col min="20" max="20" width="17" style="18" hidden="1" customWidth="1"/>
    <col min="21" max="21" width="10.85546875" customWidth="1"/>
    <col min="22" max="22" width="10.85546875" customWidth="1"/>
    <col min="23" max="23" width="11.5703125" customWidth="1"/>
    <col min="24" max="24" width="11.5703125" customWidth="1"/>
    <col min="25" max="25" width="11.5703125" customWidth="1"/>
    <col min="26" max="26" width="11.5703125" customWidth="1"/>
    <col min="27" max="27" width="9.140625"/>
    <col min="28" max="28" width="9.140625"/>
    <col min="29" max="29" width="9.140625"/>
    <col min="30" max="30" width="9.140625"/>
    <col min="31" max="31" width="9.140625"/>
    <col min="32" max="32" width="9.140625"/>
    <col min="33" max="33" width="9.140625"/>
    <col min="34" max="34" width="9.140625"/>
    <col min="35" max="35" width="9.140625"/>
    <col min="36" max="36" width="9.140625"/>
    <col min="37" max="37" width="9.140625"/>
    <col min="38" max="38" width="9.140625"/>
    <col min="39" max="39" width="9.140625"/>
    <col min="40" max="40" width="9.140625"/>
    <col min="41" max="41" width="9.140625"/>
    <col min="42" max="42" width="9.140625"/>
    <col min="43" max="43" width="9.140625"/>
    <col min="44" max="44" width="9.140625"/>
    <col min="45" max="45" width="10.5703125" customWidth="1"/>
    <col min="46" max="46" width="9.140625"/>
    <col min="47" max="47" width="9.140625"/>
    <col min="48" max="48" width="9.140625"/>
    <col min="49" max="49" width="9.140625"/>
    <col min="50" max="50" width="9.140625"/>
    <col min="51" max="51" width="9.140625"/>
    <col min="52" max="52" width="9.140625"/>
    <col min="53" max="53" width="9.140625"/>
    <col min="54" max="54" width="9.140625"/>
    <col min="55" max="55" width="9.140625"/>
    <col min="56" max="56" width="9.140625"/>
    <col min="57" max="57" width="9.140625"/>
    <col min="58" max="58" width="9.140625"/>
    <col min="59" max="59" width="9.140625"/>
    <col min="60" max="60" width="9.140625"/>
    <col min="61" max="61" width="9.140625"/>
    <col min="62" max="62" width="9.140625"/>
    <col min="63" max="63" width="9.140625"/>
    <col min="64" max="64" width="9.140625"/>
    <col min="65" max="65" width="9.140625"/>
    <col min="66" max="66" width="9.140625"/>
    <col min="67" max="67" width="9.140625"/>
    <col min="68" max="68" width="9.140625"/>
    <col min="69" max="69" width="9.140625"/>
    <col min="70" max="70" width="9.140625"/>
    <col min="71" max="71" width="9.140625"/>
    <col min="72" max="72" width="9.140625"/>
    <col min="73" max="73" width="9.140625"/>
  </cols>
  <sheetData>
    <row r="1" spans="1:73">
      <c r="A1" s="18"/>
      <c r="B1" s="19"/>
      <c r="C1" s="18"/>
      <c r="D1" s="18"/>
      <c r="E1" s="19"/>
      <c r="F1" s="20"/>
      <c r="G1" s="21"/>
      <c r="H1" s="2" t="s">
        <v>17</v>
      </c>
      <c r="I1" s="2"/>
      <c r="J1" s="2"/>
      <c r="K1" s="2"/>
      <c r="L1" s="2"/>
      <c r="M1" s="2"/>
      <c r="N1" s="2"/>
      <c r="O1" s="18"/>
      <c r="P1" s="18"/>
      <c r="Q1" s="18"/>
      <c r="R1" s="18"/>
      <c r="S1" s="20"/>
      <c r="T1" s="20"/>
      <c r="U1" s="2" t="s">
        <v>29</v>
      </c>
      <c r="V1" s="22"/>
      <c r="W1" s="23"/>
      <c r="X1" s="18"/>
      <c r="Y1" s="23"/>
      <c r="Z1" s="21"/>
      <c r="AA1" s="24" t="s">
        <v>36</v>
      </c>
      <c r="AB1" s="24"/>
      <c r="AC1" s="24"/>
      <c r="AD1" s="24"/>
      <c r="AE1" s="25" t="s">
        <v>41</v>
      </c>
      <c r="AF1" s="25"/>
      <c r="AG1" s="25"/>
      <c r="AH1" s="25"/>
      <c r="AI1" s="26"/>
      <c r="AJ1" s="27" t="s">
        <v>47</v>
      </c>
      <c r="AK1" s="28"/>
      <c r="AL1" s="28"/>
      <c r="AM1" s="29"/>
      <c r="AN1" s="30" t="s">
        <v>52</v>
      </c>
      <c r="AO1" s="30"/>
      <c r="AP1" s="30"/>
      <c r="AQ1" s="30"/>
      <c r="AR1" s="10"/>
      <c r="AS1" s="21"/>
      <c r="AT1" s="30" t="s">
        <v>29</v>
      </c>
      <c r="AU1" s="10"/>
      <c r="AV1" s="31" t="s">
        <v>52</v>
      </c>
      <c r="AW1" s="31"/>
      <c r="AX1" s="31"/>
      <c r="AY1" s="31"/>
      <c r="AZ1" s="31"/>
      <c r="BA1" s="31"/>
      <c r="BB1" s="31"/>
      <c r="BC1" s="32"/>
      <c r="BD1" s="27" t="s">
        <v>47</v>
      </c>
      <c r="BE1" s="27"/>
      <c r="BF1" s="27"/>
      <c r="BG1" s="27"/>
      <c r="BH1" s="27"/>
      <c r="BI1" s="27" t="s">
        <v>74</v>
      </c>
      <c r="BJ1" s="27"/>
      <c r="BK1" s="27"/>
      <c r="BL1" s="27"/>
      <c r="BM1" s="27"/>
      <c r="BN1" s="33"/>
      <c r="BO1" s="33"/>
      <c r="BP1" s="33"/>
      <c r="BQ1" s="33"/>
      <c r="BR1" s="33"/>
      <c r="BS1" s="30"/>
      <c r="BT1" s="33"/>
      <c r="BU1" s="33"/>
    </row>
    <row r="2" spans="1:73" ht="52" customHeight="1">
      <c r="A2" s="34" t="s">
        <v>10</v>
      </c>
      <c r="B2" s="35" t="s">
        <v>11</v>
      </c>
      <c r="C2" s="34" t="s">
        <v>12</v>
      </c>
      <c r="D2" s="34" t="s">
        <v>13</v>
      </c>
      <c r="E2" s="35" t="s">
        <v>14</v>
      </c>
      <c r="F2" s="36" t="s">
        <v>15</v>
      </c>
      <c r="G2" s="37" t="s">
        <v>16</v>
      </c>
      <c r="H2" s="38" t="s">
        <v>18</v>
      </c>
      <c r="I2" s="38" t="s">
        <v>19</v>
      </c>
      <c r="J2" s="38" t="s">
        <v>20</v>
      </c>
      <c r="K2" s="38" t="s">
        <v>21</v>
      </c>
      <c r="L2" s="38" t="s">
        <v>22</v>
      </c>
      <c r="M2" s="38" t="s">
        <v>23</v>
      </c>
      <c r="N2" s="38" t="s">
        <v>24</v>
      </c>
      <c r="O2" s="3">
        <f>TargetGRLabel&amp;" Grad Rate"</f>
        <v>0</v>
      </c>
      <c r="P2" s="3">
        <f>IdealGRLabel&amp;" Grad Rate"</f>
        <v>0</v>
      </c>
      <c r="Q2" s="3" t="s">
        <v>25</v>
      </c>
      <c r="R2" s="3" t="s">
        <v>26</v>
      </c>
      <c r="S2" s="36" t="s">
        <v>27</v>
      </c>
      <c r="T2" s="36" t="s">
        <v>28</v>
      </c>
      <c r="U2" s="38" t="s">
        <v>30</v>
      </c>
      <c r="V2" s="7" t="s">
        <v>31</v>
      </c>
      <c r="W2" s="4" t="s">
        <v>32</v>
      </c>
      <c r="X2" s="3" t="s">
        <v>33</v>
      </c>
      <c r="Y2" s="4" t="s">
        <v>34</v>
      </c>
      <c r="Z2" s="8" t="s">
        <v>35</v>
      </c>
      <c r="AA2" s="39" t="s">
        <v>37</v>
      </c>
      <c r="AB2" s="39" t="s">
        <v>38</v>
      </c>
      <c r="AC2" s="39" t="s">
        <v>39</v>
      </c>
      <c r="AD2" s="39" t="s">
        <v>40</v>
      </c>
      <c r="AE2" s="8" t="s">
        <v>42</v>
      </c>
      <c r="AF2" s="3" t="s">
        <v>43</v>
      </c>
      <c r="AG2" s="3" t="s">
        <v>44</v>
      </c>
      <c r="AH2" s="3" t="s">
        <v>45</v>
      </c>
      <c r="AI2" s="4" t="s">
        <v>46</v>
      </c>
      <c r="AJ2" s="5" t="s">
        <v>48</v>
      </c>
      <c r="AK2" s="5" t="s">
        <v>49</v>
      </c>
      <c r="AL2" s="5" t="s">
        <v>50</v>
      </c>
      <c r="AM2" s="6" t="s">
        <v>51</v>
      </c>
      <c r="AN2" s="40" t="s">
        <v>53</v>
      </c>
      <c r="AO2" s="40" t="s">
        <v>54</v>
      </c>
      <c r="AP2" s="40" t="s">
        <v>55</v>
      </c>
      <c r="AQ2" s="40" t="s">
        <v>56</v>
      </c>
      <c r="AR2" s="41" t="s">
        <v>57</v>
      </c>
      <c r="AS2" s="42" t="s">
        <v>58</v>
      </c>
      <c r="AT2" s="40" t="s">
        <v>59</v>
      </c>
      <c r="AU2" s="41" t="s">
        <v>60</v>
      </c>
      <c r="AV2" s="43" t="s">
        <v>61</v>
      </c>
      <c r="AW2" s="43" t="s">
        <v>62</v>
      </c>
      <c r="AX2" s="43" t="s">
        <v>63</v>
      </c>
      <c r="AY2" s="43" t="s">
        <v>64</v>
      </c>
      <c r="AZ2" s="43" t="s">
        <v>65</v>
      </c>
      <c r="BA2" s="43" t="s">
        <v>66</v>
      </c>
      <c r="BB2" s="43" t="s">
        <v>67</v>
      </c>
      <c r="BC2" s="44" t="s">
        <v>68</v>
      </c>
      <c r="BD2" s="45" t="s">
        <v>69</v>
      </c>
      <c r="BE2" s="45" t="s">
        <v>70</v>
      </c>
      <c r="BF2" s="45" t="s">
        <v>71</v>
      </c>
      <c r="BG2" s="45" t="s">
        <v>72</v>
      </c>
      <c r="BH2" s="45" t="s">
        <v>73</v>
      </c>
      <c r="BI2" s="45" t="s">
        <v>75</v>
      </c>
      <c r="BJ2" s="5" t="s">
        <v>48</v>
      </c>
      <c r="BK2" s="5" t="s">
        <v>49</v>
      </c>
      <c r="BL2" s="5" t="s">
        <v>76</v>
      </c>
      <c r="BM2" s="5" t="s">
        <v>77</v>
      </c>
      <c r="BN2" s="42" t="s">
        <v>78</v>
      </c>
      <c r="BO2" s="42" t="s">
        <v>79</v>
      </c>
      <c r="BP2" s="42" t="s">
        <v>80</v>
      </c>
      <c r="BQ2" s="42" t="s">
        <v>81</v>
      </c>
      <c r="BR2" s="42" t="s">
        <v>82</v>
      </c>
      <c r="BS2" s="40" t="s">
        <v>83</v>
      </c>
      <c r="BT2" s="42" t="s">
        <v>84</v>
      </c>
      <c r="BU2" s="42" t="s">
        <v>85</v>
      </c>
    </row>
    <row r="3" spans="1:73">
      <c r="A3" s="18" t="s">
        <v>86</v>
      </c>
      <c r="B3" s="19">
        <v>0</v>
      </c>
      <c r="C3" s="18" t="s">
        <v>87</v>
      </c>
      <c r="D3" s="18" t="s">
        <v>88</v>
      </c>
      <c r="E3" s="19">
        <v>22573216</v>
      </c>
      <c r="F3" s="19" t="s">
        <v>89</v>
      </c>
      <c r="G3" s="10" t="s">
        <v>90</v>
      </c>
      <c r="H3" s="46">
        <v>3.9333</v>
      </c>
      <c r="I3" s="1">
        <v>24</v>
      </c>
      <c r="J3" s="1">
        <v>790</v>
      </c>
      <c r="K3" s="1">
        <f>IF(ISNUMBER(J3),VLOOKUP(J3,SATtoACT,2,FALSE),"TBD")</f>
        <v>0</v>
      </c>
      <c r="L3" s="1">
        <f>IF(ISNUMBER(I3),IF(ISNUMBER(K3),MAX(I3,K3),I3),IF(ISNUMBER(K3),K3,"TBD"))</f>
        <v>0</v>
      </c>
      <c r="M3" s="1" t="s">
        <v>91</v>
      </c>
      <c r="N3" s="1">
        <f>IF(AND(H3&lt;&gt;0,L3&lt;&gt;0),IF(ISNUMBER(VLOOKUP(TEXT(MAX(FLOOR(H3*10,1)/10,1.5),"0.0")&amp;":"&amp;MAX(L3,12),StrategyLookup,4,FALSE)),VLOOKUP(TEXT(MAX(FLOOR(H3*10,1)/10,1.5),"0.0")&amp;":"&amp;MAX(L3,12),StrategyLookup,4,FALSE),"TBD"),"TBD")</f>
        <v>0</v>
      </c>
      <c r="O3" s="11">
        <f>IF(ISNUMBER(N3),VLOOKUP(IF(OR(N3=5,N3=6),N3&amp;IF(H3&gt;=3,"+","&lt;"),N3&amp;""),TargetLookup,IF(B3=-1,6,IF(OR(M3="W",M3="A"),4,2)),FALSE),"TBD")</f>
        <v>0</v>
      </c>
      <c r="P3" s="11">
        <f>IF(ISNUMBER(N3),VLOOKUP(IF(OR(N3=5,N3=6),N3&amp;IF(H3&gt;=3,"+","&lt;"),N3&amp;""),TargetLookup,IF(B3=-1,7,IF(OR(M3="W",M3="A"),5,3)),FALSE),"TBD")</f>
        <v>0</v>
      </c>
      <c r="Q3" s="18" t="s">
        <v>92</v>
      </c>
      <c r="R3" s="19" t="s">
        <v>93</v>
      </c>
      <c r="S3" s="19" t="s">
        <v>94</v>
      </c>
      <c r="T3" s="19">
        <f>Q3&amp;S3&amp;D3</f>
        <v>0</v>
      </c>
      <c r="U3" s="11">
        <f t="array" ref="U3">1-PRODUCT(IF(Students=E3,MGRMoneyMult,1))</f>
        <v>0</v>
      </c>
      <c r="V3" s="12">
        <f t="array" ref="V3">1-PRODUCT(IF(Students=E3,RGRMoneyMult,1))</f>
        <v>0</v>
      </c>
      <c r="W3" s="13">
        <f>COUNTIFS(Students,E3,Results,"Accepted!")+COUNTIFS(Students,E3,Results,"CHOICE!")</f>
        <v>0</v>
      </c>
      <c r="X3" s="1">
        <f>COUNTIFS(Students,E3,Results,"Deferred")+COUNTIFS(Students,E3,Results,"Waitlist")</f>
        <v>0</v>
      </c>
      <c r="Y3" s="13">
        <f>COUNTIFS(Students,E3,Results,"Denied")</f>
        <v>0</v>
      </c>
      <c r="Z3" s="13">
        <f>W3+X3+Y3+COUNTIFS(Students,E3,Results,"Submitted")</f>
        <v>0</v>
      </c>
      <c r="AA3" s="12">
        <v>0.8712534106615829</v>
      </c>
      <c r="AB3" s="12">
        <v>0.8438058035289299</v>
      </c>
      <c r="AC3" s="12">
        <v>0.7590226262777992</v>
      </c>
      <c r="AD3" s="12">
        <v>0.7335173646854852</v>
      </c>
      <c r="AE3" s="13">
        <f>COUNTIFS(Students,E3,Results,"CHOICE!")</f>
        <v>0</v>
      </c>
      <c r="AF3" s="1">
        <f>COUNTIFS(MoneyYesNo,1,RGRcount,1,Students,E3,Results,"Accepted!")</f>
        <v>0</v>
      </c>
      <c r="AG3" s="1">
        <f>COUNTIFS(MoneyYesNo,1,MGRcount,1,Students,E3,Results,"Accepted!")-AF3</f>
        <v>0</v>
      </c>
      <c r="AH3" s="1">
        <f>COUNTIFS(MoneyYesNo,1,Students,E3,Results,"Accepted!")-AF3-AG3</f>
        <v>0</v>
      </c>
      <c r="AI3" s="13">
        <f>COUNTIFS(Students,E3,Results,"Accepted!")-AF3-AG3-AH3</f>
        <v>0</v>
      </c>
      <c r="AJ3" s="1">
        <f>SUMIFS(RGRcount,Students,E3,MoneyYesNo,1)</f>
        <v>0</v>
      </c>
      <c r="AK3" s="1">
        <f>SUMIFS(MGRcount,Students,E3,MoneyYesNo,1)-AJ3</f>
        <v>0</v>
      </c>
      <c r="AL3" s="1">
        <f>SUMIF(Students,E3,MoneyYesNo)-AJ3-AK3</f>
        <v>0</v>
      </c>
      <c r="AM3" s="13">
        <f>SUM(AJ3,AK3,AL3)</f>
        <v>0</v>
      </c>
      <c r="AN3" s="1">
        <f>SUMIF(Students,E3,RGRcount)</f>
        <v>0</v>
      </c>
      <c r="AO3" s="1">
        <f>SUMIF(Students,E3,MGRcount)-AN3</f>
        <v>0</v>
      </c>
      <c r="AP3" s="1">
        <f>COUNTIF(Students,E3)-AN3-AO3</f>
        <v>0</v>
      </c>
      <c r="AQ3" s="1">
        <f>SUMIF(Students,E3,FarBelowTGRCount)</f>
        <v>0</v>
      </c>
      <c r="AR3" s="47">
        <f>COUNTIF(Students,E3)</f>
        <v>0</v>
      </c>
      <c r="AS3" s="11">
        <f>IF(AR3&gt;0,Z3/AR3,0)</f>
        <v>0</v>
      </c>
      <c r="AT3" s="11">
        <f t="array" ref="AT3">1-PRODUCT(IF(Students=E3,MGRMult,1))</f>
        <v>0</v>
      </c>
      <c r="AU3" s="12">
        <f t="array" ref="AU3">1-PRODUCT(IF(Students=E3,RGRMult,1))</f>
        <v>0</v>
      </c>
      <c r="AV3" s="1">
        <f>COUNTIFS(Students,E3,Classes,HailMaryLabel)</f>
        <v>0</v>
      </c>
      <c r="AW3" s="1">
        <f>COUNTIFS(Students,E3,Classes,LongshotLabel)</f>
        <v>0</v>
      </c>
      <c r="AX3" s="1">
        <f>COUNTIFS(Students,E3,Classes,ReachLabel)</f>
        <v>0</v>
      </c>
      <c r="AY3" s="1">
        <f>COUNTIFS(Students,E3,Classes,MatchLabel)</f>
        <v>0</v>
      </c>
      <c r="AZ3" s="1">
        <f>COUNTIFS(Students,E3,Classes,SafetyLabel)</f>
        <v>0</v>
      </c>
      <c r="BA3" s="1">
        <f>COUNTIFS(Students,E3,Classes,SecureLabel)</f>
        <v>0</v>
      </c>
      <c r="BB3" s="1">
        <f>COUNTIFS(Students,E3,Classes,SureThingLabel)</f>
        <v>0</v>
      </c>
      <c r="BC3" s="13">
        <f>COUNTIFS(Students,E3,Classes,"Other")</f>
        <v>0</v>
      </c>
      <c r="BD3" s="1">
        <f>COUNTIFS(Students,E3,Classes,ReachLabel,MoneyYesNo,1)</f>
        <v>0</v>
      </c>
      <c r="BE3" s="1">
        <f>COUNTIFS(Students,E3,Classes,MatchLabel,MoneyYesNo,1)</f>
        <v>0</v>
      </c>
      <c r="BF3" s="1">
        <f>COUNTIFS(Students,E3,Classes,SafetyLabel,MoneyYesNo,1)</f>
        <v>0</v>
      </c>
      <c r="BG3" s="1">
        <f>COUNTIFS(Students,E3,Classes,SecureLabel,MoneyYesNo,1)</f>
        <v>0</v>
      </c>
      <c r="BH3" s="1">
        <f>COUNTIFS(Students,E3,Classes,SureThingLabel,MoneyYesNo,1)</f>
        <v>0</v>
      </c>
      <c r="BI3" s="1">
        <f>SUM(BD3:BH3)</f>
        <v>0</v>
      </c>
      <c r="BJ3" s="1">
        <f>SUMIFS(RGRcount,Students,E3,MoneyYesNo,1,Odds,"&gt;=20")</f>
        <v>0</v>
      </c>
      <c r="BK3" s="1">
        <f>SUMIFS(MGRcount,Students,E3,MoneyYesNo,1,Odds,"&gt;=20")-BJ3</f>
        <v>0</v>
      </c>
      <c r="BL3" s="1">
        <f>SUMIFS(RGRcount,Students,E3,MoneyYesNo,1,Odds,"&gt;=10")</f>
        <v>0</v>
      </c>
      <c r="BM3" s="1">
        <f>SUMIFS(MGRcount,Students,E3,MoneyYesNo,1,Odds,"&gt;=10")-BL3</f>
        <v>0</v>
      </c>
      <c r="BN3" s="1">
        <f>COUNTIFS(Students,E3,ILPublic,1)</f>
        <v>0</v>
      </c>
      <c r="BO3" s="1">
        <f>COUNTIFS(Students,E3,ILPublic,1, Classes,MatchLabel)+COUNTIFS(Students,E3,ILPublic,1, Classes,SafetyLabel)+COUNTIFS(Students,E3,ILPublic,1, Classes,SecureLabel)</f>
        <v>0</v>
      </c>
      <c r="BP3" s="1">
        <f>COUNTIFS(Students,E3,ILPublic,1, Classes,SecureLabel)</f>
        <v>0</v>
      </c>
      <c r="BQ3" s="1">
        <f>COUNTIFS(Students,E3,MoneyChicago,1)</f>
        <v>0</v>
      </c>
      <c r="BR3" s="1">
        <f>COUNTIFS(Students,E3,MatchOrUnder,1)</f>
        <v>0</v>
      </c>
      <c r="BS3" s="1">
        <f>SUMIF(Students,E3,MGRcount)</f>
        <v>0</v>
      </c>
      <c r="BT3" s="1">
        <f>COUNTIFS(Students,E3,BadMoney,1)</f>
        <v>0</v>
      </c>
      <c r="BU3" s="1">
        <f>COUNTIFS(Students,E3,GoldenThree,1)</f>
        <v>0</v>
      </c>
    </row>
    <row r="4" spans="1:73">
      <c r="A4" s="18" t="s">
        <v>86</v>
      </c>
      <c r="B4" s="19">
        <v>0</v>
      </c>
      <c r="C4" s="18" t="s">
        <v>87</v>
      </c>
      <c r="D4" s="18" t="s">
        <v>95</v>
      </c>
      <c r="E4" s="19">
        <v>22973265</v>
      </c>
      <c r="F4" s="19" t="s">
        <v>96</v>
      </c>
      <c r="G4" s="10" t="s">
        <v>97</v>
      </c>
      <c r="H4" s="46">
        <v>3.2265</v>
      </c>
      <c r="I4" s="1">
        <v>16</v>
      </c>
      <c r="J4" s="1">
        <v>1070</v>
      </c>
      <c r="K4" s="1">
        <f>IF(ISNUMBER(J4),VLOOKUP(J4,SATtoACT,2,FALSE),"TBD")</f>
        <v>0</v>
      </c>
      <c r="L4" s="1">
        <f>IF(ISNUMBER(I4),IF(ISNUMBER(K4),MAX(I4,K4),I4),IF(ISNUMBER(K4),K4,"TBD"))</f>
        <v>0</v>
      </c>
      <c r="M4" s="1" t="s">
        <v>91</v>
      </c>
      <c r="N4" s="1">
        <f>IF(AND(H4&lt;&gt;0,L4&lt;&gt;0),IF(ISNUMBER(VLOOKUP(TEXT(MAX(FLOOR(H4*10,1)/10,1.5),"0.0")&amp;":"&amp;MAX(L4,12),StrategyLookup,4,FALSE)),VLOOKUP(TEXT(MAX(FLOOR(H4*10,1)/10,1.5),"0.0")&amp;":"&amp;MAX(L4,12),StrategyLookup,4,FALSE),"TBD"),"TBD")</f>
        <v>0</v>
      </c>
      <c r="O4" s="11">
        <f>IF(ISNUMBER(N4),VLOOKUP(IF(OR(N4=5,N4=6),N4&amp;IF(H4&gt;=3,"+","&lt;"),N4&amp;""),TargetLookup,IF(B4=-1,6,IF(OR(M4="W",M4="A"),4,2)),FALSE),"TBD")</f>
        <v>0</v>
      </c>
      <c r="P4" s="11">
        <f>IF(ISNUMBER(N4),VLOOKUP(IF(OR(N4=5,N4=6),N4&amp;IF(H4&gt;=3,"+","&lt;"),N4&amp;""),TargetLookup,IF(B4=-1,7,IF(OR(M4="W",M4="A"),5,3)),FALSE),"TBD")</f>
        <v>0</v>
      </c>
      <c r="Q4" s="18" t="s">
        <v>98</v>
      </c>
      <c r="R4" s="19" t="s">
        <v>99</v>
      </c>
      <c r="S4" s="19" t="s">
        <v>94</v>
      </c>
      <c r="T4" s="19">
        <f>Q4&amp;S4&amp;D4</f>
        <v>0</v>
      </c>
      <c r="U4" s="11">
        <f t="array" ref="U4">1-PRODUCT(IF(Students=E4,MGRMoneyMult,1))</f>
        <v>0</v>
      </c>
      <c r="V4" s="12">
        <f t="array" ref="V4">1-PRODUCT(IF(Students=E4,RGRMoneyMult,1))</f>
        <v>0</v>
      </c>
      <c r="W4" s="13">
        <f>COUNTIFS(Students,E4,Results,"Accepted!")+COUNTIFS(Students,E4,Results,"CHOICE!")</f>
        <v>0</v>
      </c>
      <c r="X4" s="1">
        <f>COUNTIFS(Students,E4,Results,"Deferred")+COUNTIFS(Students,E4,Results,"Waitlist")</f>
        <v>0</v>
      </c>
      <c r="Y4" s="13">
        <f>COUNTIFS(Students,E4,Results,"Denied")</f>
        <v>0</v>
      </c>
      <c r="Z4" s="13">
        <f>W4+X4+Y4+COUNTIFS(Students,E4,Results,"Submitted")</f>
        <v>0</v>
      </c>
      <c r="AA4" s="12">
        <v>0.7138911265979342</v>
      </c>
      <c r="AB4" s="12">
        <v>0.5397625219447451</v>
      </c>
      <c r="AC4" s="12">
        <v>0.5659155248997305</v>
      </c>
      <c r="AD4" s="12">
        <v>0.544355116387504</v>
      </c>
      <c r="AE4" s="13">
        <f>COUNTIFS(Students,E4,Results,"CHOICE!")</f>
        <v>0</v>
      </c>
      <c r="AF4" s="1">
        <f>COUNTIFS(MoneyYesNo,1,RGRcount,1,Students,E4,Results,"Accepted!")</f>
        <v>0</v>
      </c>
      <c r="AG4" s="1">
        <f>COUNTIFS(MoneyYesNo,1,MGRcount,1,Students,E4,Results,"Accepted!")-AF4</f>
        <v>0</v>
      </c>
      <c r="AH4" s="1">
        <f>COUNTIFS(MoneyYesNo,1,Students,E4,Results,"Accepted!")-AF4-AG4</f>
        <v>0</v>
      </c>
      <c r="AI4" s="13">
        <f>COUNTIFS(Students,E4,Results,"Accepted!")-AF4-AG4-AH4</f>
        <v>0</v>
      </c>
      <c r="AJ4" s="1">
        <f>SUMIFS(RGRcount,Students,E4,MoneyYesNo,1)</f>
        <v>0</v>
      </c>
      <c r="AK4" s="1">
        <f>SUMIFS(MGRcount,Students,E4,MoneyYesNo,1)-AJ4</f>
        <v>0</v>
      </c>
      <c r="AL4" s="1">
        <f>SUMIF(Students,E4,MoneyYesNo)-AJ4-AK4</f>
        <v>0</v>
      </c>
      <c r="AM4" s="13">
        <f>SUM(AJ4,AK4,AL4)</f>
        <v>0</v>
      </c>
      <c r="AN4" s="1">
        <f>SUMIF(Students,E4,RGRcount)</f>
        <v>0</v>
      </c>
      <c r="AO4" s="1">
        <f>SUMIF(Students,E4,MGRcount)-AN4</f>
        <v>0</v>
      </c>
      <c r="AP4" s="1">
        <f>COUNTIF(Students,E4)-AN4-AO4</f>
        <v>0</v>
      </c>
      <c r="AQ4" s="1">
        <f>SUMIF(Students,E4,FarBelowTGRCount)</f>
        <v>0</v>
      </c>
      <c r="AR4" s="47">
        <f>COUNTIF(Students,E4)</f>
        <v>0</v>
      </c>
      <c r="AS4" s="11">
        <f>IF(AR4&gt;0,Z4/AR4,0)</f>
        <v>0</v>
      </c>
      <c r="AT4" s="11">
        <f t="array" ref="AT4">1-PRODUCT(IF(Students=E4,MGRMult,1))</f>
        <v>0</v>
      </c>
      <c r="AU4" s="12">
        <f t="array" ref="AU4">1-PRODUCT(IF(Students=E4,RGRMult,1))</f>
        <v>0</v>
      </c>
      <c r="AV4" s="1">
        <f>COUNTIFS(Students,E4,Classes,HailMaryLabel)</f>
        <v>0</v>
      </c>
      <c r="AW4" s="1">
        <f>COUNTIFS(Students,E4,Classes,LongshotLabel)</f>
        <v>0</v>
      </c>
      <c r="AX4" s="1">
        <f>COUNTIFS(Students,E4,Classes,ReachLabel)</f>
        <v>0</v>
      </c>
      <c r="AY4" s="1">
        <f>COUNTIFS(Students,E4,Classes,MatchLabel)</f>
        <v>0</v>
      </c>
      <c r="AZ4" s="1">
        <f>COUNTIFS(Students,E4,Classes,SafetyLabel)</f>
        <v>0</v>
      </c>
      <c r="BA4" s="1">
        <f>COUNTIFS(Students,E4,Classes,SecureLabel)</f>
        <v>0</v>
      </c>
      <c r="BB4" s="1">
        <f>COUNTIFS(Students,E4,Classes,SureThingLabel)</f>
        <v>0</v>
      </c>
      <c r="BC4" s="13">
        <f>COUNTIFS(Students,E4,Classes,"Other")</f>
        <v>0</v>
      </c>
      <c r="BD4" s="1">
        <f>COUNTIFS(Students,E4,Classes,ReachLabel,MoneyYesNo,1)</f>
        <v>0</v>
      </c>
      <c r="BE4" s="1">
        <f>COUNTIFS(Students,E4,Classes,MatchLabel,MoneyYesNo,1)</f>
        <v>0</v>
      </c>
      <c r="BF4" s="1">
        <f>COUNTIFS(Students,E4,Classes,SafetyLabel,MoneyYesNo,1)</f>
        <v>0</v>
      </c>
      <c r="BG4" s="1">
        <f>COUNTIFS(Students,E4,Classes,SecureLabel,MoneyYesNo,1)</f>
        <v>0</v>
      </c>
      <c r="BH4" s="1">
        <f>COUNTIFS(Students,E4,Classes,SureThingLabel,MoneyYesNo,1)</f>
        <v>0</v>
      </c>
      <c r="BI4" s="1">
        <f>SUM(BD4:BH4)</f>
        <v>0</v>
      </c>
      <c r="BJ4" s="1">
        <f>SUMIFS(RGRcount,Students,E4,MoneyYesNo,1,Odds,"&gt;=20")</f>
        <v>0</v>
      </c>
      <c r="BK4" s="1">
        <f>SUMIFS(MGRcount,Students,E4,MoneyYesNo,1,Odds,"&gt;=20")-BJ4</f>
        <v>0</v>
      </c>
      <c r="BL4" s="1">
        <f>SUMIFS(RGRcount,Students,E4,MoneyYesNo,1,Odds,"&gt;=10")</f>
        <v>0</v>
      </c>
      <c r="BM4" s="1">
        <f>SUMIFS(MGRcount,Students,E4,MoneyYesNo,1,Odds,"&gt;=10")-BL4</f>
        <v>0</v>
      </c>
      <c r="BN4" s="1">
        <f>COUNTIFS(Students,E4,ILPublic,1)</f>
        <v>0</v>
      </c>
      <c r="BO4" s="1">
        <f>COUNTIFS(Students,E4,ILPublic,1, Classes,MatchLabel)+COUNTIFS(Students,E4,ILPublic,1, Classes,SafetyLabel)+COUNTIFS(Students,E4,ILPublic,1, Classes,SecureLabel)</f>
        <v>0</v>
      </c>
      <c r="BP4" s="1">
        <f>COUNTIFS(Students,E4,ILPublic,1, Classes,SecureLabel)</f>
        <v>0</v>
      </c>
      <c r="BQ4" s="1">
        <f>COUNTIFS(Students,E4,MoneyChicago,1)</f>
        <v>0</v>
      </c>
      <c r="BR4" s="1">
        <f>COUNTIFS(Students,E4,MatchOrUnder,1)</f>
        <v>0</v>
      </c>
      <c r="BS4" s="1">
        <f>SUMIF(Students,E4,MGRcount)</f>
        <v>0</v>
      </c>
      <c r="BT4" s="1">
        <f>COUNTIFS(Students,E4,BadMoney,1)</f>
        <v>0</v>
      </c>
      <c r="BU4" s="1">
        <f>COUNTIFS(Students,E4,GoldenThree,1)</f>
        <v>0</v>
      </c>
    </row>
    <row r="5" spans="1:73">
      <c r="A5" s="18" t="s">
        <v>86</v>
      </c>
      <c r="B5" s="19">
        <v>0</v>
      </c>
      <c r="C5" s="18" t="s">
        <v>87</v>
      </c>
      <c r="D5" s="18" t="s">
        <v>100</v>
      </c>
      <c r="E5" s="19">
        <v>24126470</v>
      </c>
      <c r="F5" s="19" t="s">
        <v>101</v>
      </c>
      <c r="G5" s="10" t="s">
        <v>102</v>
      </c>
      <c r="H5" s="46">
        <v>3.2423</v>
      </c>
      <c r="I5" s="1">
        <v>23</v>
      </c>
      <c r="J5" s="1">
        <v>830</v>
      </c>
      <c r="K5" s="1">
        <f>IF(ISNUMBER(J5),VLOOKUP(J5,SATtoACT,2,FALSE),"TBD")</f>
        <v>0</v>
      </c>
      <c r="L5" s="1">
        <f>IF(ISNUMBER(I5),IF(ISNUMBER(K5),MAX(I5,K5),I5),IF(ISNUMBER(K5),K5,"TBD"))</f>
        <v>0</v>
      </c>
      <c r="M5" s="1" t="s">
        <v>91</v>
      </c>
      <c r="N5" s="1">
        <f>IF(AND(H5&lt;&gt;0,L5&lt;&gt;0),IF(ISNUMBER(VLOOKUP(TEXT(MAX(FLOOR(H5*10,1)/10,1.5),"0.0")&amp;":"&amp;MAX(L5,12),StrategyLookup,4,FALSE)),VLOOKUP(TEXT(MAX(FLOOR(H5*10,1)/10,1.5),"0.0")&amp;":"&amp;MAX(L5,12),StrategyLookup,4,FALSE),"TBD"),"TBD")</f>
        <v>0</v>
      </c>
      <c r="O5" s="11">
        <f>IF(ISNUMBER(N5),VLOOKUP(IF(OR(N5=5,N5=6),N5&amp;IF(H5&gt;=3,"+","&lt;"),N5&amp;""),TargetLookup,IF(B5=-1,6,IF(OR(M5="W",M5="A"),4,2)),FALSE),"TBD")</f>
        <v>0</v>
      </c>
      <c r="P5" s="11">
        <f>IF(ISNUMBER(N5),VLOOKUP(IF(OR(N5=5,N5=6),N5&amp;IF(H5&gt;=3,"+","&lt;"),N5&amp;""),TargetLookup,IF(B5=-1,7,IF(OR(M5="W",M5="A"),5,3)),FALSE),"TBD")</f>
        <v>0</v>
      </c>
      <c r="Q5" s="18" t="s">
        <v>103</v>
      </c>
      <c r="R5" s="19" t="s">
        <v>104</v>
      </c>
      <c r="S5" s="19" t="s">
        <v>94</v>
      </c>
      <c r="T5" s="19">
        <f>Q5&amp;S5&amp;D5</f>
        <v>0</v>
      </c>
      <c r="U5" s="11">
        <f t="array" ref="U5">1-PRODUCT(IF(Students=E5,MGRMoneyMult,1))</f>
        <v>0</v>
      </c>
      <c r="V5" s="12">
        <f t="array" ref="V5">1-PRODUCT(IF(Students=E5,RGRMoneyMult,1))</f>
        <v>0</v>
      </c>
      <c r="W5" s="13">
        <f>COUNTIFS(Students,E5,Results,"Accepted!")+COUNTIFS(Students,E5,Results,"CHOICE!")</f>
        <v>0</v>
      </c>
      <c r="X5" s="1">
        <f>COUNTIFS(Students,E5,Results,"Deferred")+COUNTIFS(Students,E5,Results,"Waitlist")</f>
        <v>0</v>
      </c>
      <c r="Y5" s="13">
        <f>COUNTIFS(Students,E5,Results,"Denied")</f>
        <v>0</v>
      </c>
      <c r="Z5" s="13">
        <f>W5+X5+Y5+COUNTIFS(Students,E5,Results,"Submitted")</f>
        <v>0</v>
      </c>
      <c r="AA5" s="12">
        <v>0.7691568302412936</v>
      </c>
      <c r="AB5" s="12">
        <v>0.7348865529901499</v>
      </c>
      <c r="AC5" s="12">
        <v>0.6724994924308212</v>
      </c>
      <c r="AD5" s="12">
        <v>0.6451621382861822</v>
      </c>
      <c r="AE5" s="13">
        <f>COUNTIFS(Students,E5,Results,"CHOICE!")</f>
        <v>0</v>
      </c>
      <c r="AF5" s="1">
        <f>COUNTIFS(MoneyYesNo,1,RGRcount,1,Students,E5,Results,"Accepted!")</f>
        <v>0</v>
      </c>
      <c r="AG5" s="1">
        <f>COUNTIFS(MoneyYesNo,1,MGRcount,1,Students,E5,Results,"Accepted!")-AF5</f>
        <v>0</v>
      </c>
      <c r="AH5" s="1">
        <f>COUNTIFS(MoneyYesNo,1,Students,E5,Results,"Accepted!")-AF5-AG5</f>
        <v>0</v>
      </c>
      <c r="AI5" s="13">
        <f>COUNTIFS(Students,E5,Results,"Accepted!")-AF5-AG5-AH5</f>
        <v>0</v>
      </c>
      <c r="AJ5" s="1">
        <f>SUMIFS(RGRcount,Students,E5,MoneyYesNo,1)</f>
        <v>0</v>
      </c>
      <c r="AK5" s="1">
        <f>SUMIFS(MGRcount,Students,E5,MoneyYesNo,1)-AJ5</f>
        <v>0</v>
      </c>
      <c r="AL5" s="1">
        <f>SUMIF(Students,E5,MoneyYesNo)-AJ5-AK5</f>
        <v>0</v>
      </c>
      <c r="AM5" s="13">
        <f>SUM(AJ5,AK5,AL5)</f>
        <v>0</v>
      </c>
      <c r="AN5" s="1">
        <f>SUMIF(Students,E5,RGRcount)</f>
        <v>0</v>
      </c>
      <c r="AO5" s="1">
        <f>SUMIF(Students,E5,MGRcount)-AN5</f>
        <v>0</v>
      </c>
      <c r="AP5" s="1">
        <f>COUNTIF(Students,E5)-AN5-AO5</f>
        <v>0</v>
      </c>
      <c r="AQ5" s="1">
        <f>SUMIF(Students,E5,FarBelowTGRCount)</f>
        <v>0</v>
      </c>
      <c r="AR5" s="47">
        <f>COUNTIF(Students,E5)</f>
        <v>0</v>
      </c>
      <c r="AS5" s="11">
        <f>IF(AR5&gt;0,Z5/AR5,0)</f>
        <v>0</v>
      </c>
      <c r="AT5" s="11">
        <f t="array" ref="AT5">1-PRODUCT(IF(Students=E5,MGRMult,1))</f>
        <v>0</v>
      </c>
      <c r="AU5" s="12">
        <f t="array" ref="AU5">1-PRODUCT(IF(Students=E5,RGRMult,1))</f>
        <v>0</v>
      </c>
      <c r="AV5" s="1">
        <f>COUNTIFS(Students,E5,Classes,HailMaryLabel)</f>
        <v>0</v>
      </c>
      <c r="AW5" s="1">
        <f>COUNTIFS(Students,E5,Classes,LongshotLabel)</f>
        <v>0</v>
      </c>
      <c r="AX5" s="1">
        <f>COUNTIFS(Students,E5,Classes,ReachLabel)</f>
        <v>0</v>
      </c>
      <c r="AY5" s="1">
        <f>COUNTIFS(Students,E5,Classes,MatchLabel)</f>
        <v>0</v>
      </c>
      <c r="AZ5" s="1">
        <f>COUNTIFS(Students,E5,Classes,SafetyLabel)</f>
        <v>0</v>
      </c>
      <c r="BA5" s="1">
        <f>COUNTIFS(Students,E5,Classes,SecureLabel)</f>
        <v>0</v>
      </c>
      <c r="BB5" s="1">
        <f>COUNTIFS(Students,E5,Classes,SureThingLabel)</f>
        <v>0</v>
      </c>
      <c r="BC5" s="13">
        <f>COUNTIFS(Students,E5,Classes,"Other")</f>
        <v>0</v>
      </c>
      <c r="BD5" s="1">
        <f>COUNTIFS(Students,E5,Classes,ReachLabel,MoneyYesNo,1)</f>
        <v>0</v>
      </c>
      <c r="BE5" s="1">
        <f>COUNTIFS(Students,E5,Classes,MatchLabel,MoneyYesNo,1)</f>
        <v>0</v>
      </c>
      <c r="BF5" s="1">
        <f>COUNTIFS(Students,E5,Classes,SafetyLabel,MoneyYesNo,1)</f>
        <v>0</v>
      </c>
      <c r="BG5" s="1">
        <f>COUNTIFS(Students,E5,Classes,SecureLabel,MoneyYesNo,1)</f>
        <v>0</v>
      </c>
      <c r="BH5" s="1">
        <f>COUNTIFS(Students,E5,Classes,SureThingLabel,MoneyYesNo,1)</f>
        <v>0</v>
      </c>
      <c r="BI5" s="1">
        <f>SUM(BD5:BH5)</f>
        <v>0</v>
      </c>
      <c r="BJ5" s="1">
        <f>SUMIFS(RGRcount,Students,E5,MoneyYesNo,1,Odds,"&gt;=20")</f>
        <v>0</v>
      </c>
      <c r="BK5" s="1">
        <f>SUMIFS(MGRcount,Students,E5,MoneyYesNo,1,Odds,"&gt;=20")-BJ5</f>
        <v>0</v>
      </c>
      <c r="BL5" s="1">
        <f>SUMIFS(RGRcount,Students,E5,MoneyYesNo,1,Odds,"&gt;=10")</f>
        <v>0</v>
      </c>
      <c r="BM5" s="1">
        <f>SUMIFS(MGRcount,Students,E5,MoneyYesNo,1,Odds,"&gt;=10")-BL5</f>
        <v>0</v>
      </c>
      <c r="BN5" s="1">
        <f>COUNTIFS(Students,E5,ILPublic,1)</f>
        <v>0</v>
      </c>
      <c r="BO5" s="1">
        <f>COUNTIFS(Students,E5,ILPublic,1, Classes,MatchLabel)+COUNTIFS(Students,E5,ILPublic,1, Classes,SafetyLabel)+COUNTIFS(Students,E5,ILPublic,1, Classes,SecureLabel)</f>
        <v>0</v>
      </c>
      <c r="BP5" s="1">
        <f>COUNTIFS(Students,E5,ILPublic,1, Classes,SecureLabel)</f>
        <v>0</v>
      </c>
      <c r="BQ5" s="1">
        <f>COUNTIFS(Students,E5,MoneyChicago,1)</f>
        <v>0</v>
      </c>
      <c r="BR5" s="1">
        <f>COUNTIFS(Students,E5,MatchOrUnder,1)</f>
        <v>0</v>
      </c>
      <c r="BS5" s="1">
        <f>SUMIF(Students,E5,MGRcount)</f>
        <v>0</v>
      </c>
      <c r="BT5" s="1">
        <f>COUNTIFS(Students,E5,BadMoney,1)</f>
        <v>0</v>
      </c>
      <c r="BU5" s="1">
        <f>COUNTIFS(Students,E5,GoldenThree,1)</f>
        <v>0</v>
      </c>
    </row>
    <row r="6" spans="1:73">
      <c r="A6" s="18" t="s">
        <v>86</v>
      </c>
      <c r="B6" s="19">
        <v>0</v>
      </c>
      <c r="C6" s="18" t="s">
        <v>87</v>
      </c>
      <c r="D6" s="18" t="s">
        <v>105</v>
      </c>
      <c r="E6" s="19">
        <v>23207280</v>
      </c>
      <c r="F6" s="19" t="s">
        <v>106</v>
      </c>
      <c r="G6" s="10" t="s">
        <v>107</v>
      </c>
      <c r="H6" s="46">
        <v>2.6512</v>
      </c>
      <c r="I6" s="1">
        <v>16</v>
      </c>
      <c r="J6" s="1">
        <v>800</v>
      </c>
      <c r="K6" s="1">
        <f>IF(ISNUMBER(J6),VLOOKUP(J6,SATtoACT,2,FALSE),"TBD")</f>
        <v>0</v>
      </c>
      <c r="L6" s="1">
        <f>IF(ISNUMBER(I6),IF(ISNUMBER(K6),MAX(I6,K6),I6),IF(ISNUMBER(K6),K6,"TBD"))</f>
        <v>0</v>
      </c>
      <c r="M6" s="1" t="s">
        <v>91</v>
      </c>
      <c r="N6" s="1">
        <f>IF(AND(H6&lt;&gt;0,L6&lt;&gt;0),IF(ISNUMBER(VLOOKUP(TEXT(MAX(FLOOR(H6*10,1)/10,1.5),"0.0")&amp;":"&amp;MAX(L6,12),StrategyLookup,4,FALSE)),VLOOKUP(TEXT(MAX(FLOOR(H6*10,1)/10,1.5),"0.0")&amp;":"&amp;MAX(L6,12),StrategyLookup,4,FALSE),"TBD"),"TBD")</f>
        <v>0</v>
      </c>
      <c r="O6" s="11">
        <f>IF(ISNUMBER(N6),VLOOKUP(IF(OR(N6=5,N6=6),N6&amp;IF(H6&gt;=3,"+","&lt;"),N6&amp;""),TargetLookup,IF(B6=-1,6,IF(OR(M6="W",M6="A"),4,2)),FALSE),"TBD")</f>
        <v>0</v>
      </c>
      <c r="P6" s="11">
        <f>IF(ISNUMBER(N6),VLOOKUP(IF(OR(N6=5,N6=6),N6&amp;IF(H6&gt;=3,"+","&lt;"),N6&amp;""),TargetLookup,IF(B6=-1,7,IF(OR(M6="W",M6="A"),5,3)),FALSE),"TBD")</f>
        <v>0</v>
      </c>
      <c r="Q6" s="18" t="s">
        <v>103</v>
      </c>
      <c r="R6" s="19" t="s">
        <v>99</v>
      </c>
      <c r="S6" s="19" t="s">
        <v>94</v>
      </c>
      <c r="T6" s="19">
        <f>Q6&amp;S6&amp;D6</f>
        <v>0</v>
      </c>
      <c r="U6" s="11">
        <f t="array" ref="U6">1-PRODUCT(IF(Students=E6,MGRMoneyMult,1))</f>
        <v>0</v>
      </c>
      <c r="V6" s="12">
        <f t="array" ref="V6">1-PRODUCT(IF(Students=E6,RGRMoneyMult,1))</f>
        <v>0</v>
      </c>
      <c r="W6" s="13">
        <f>COUNTIFS(Students,E6,Results,"Accepted!")+COUNTIFS(Students,E6,Results,"CHOICE!")</f>
        <v>0</v>
      </c>
      <c r="X6" s="1">
        <f>COUNTIFS(Students,E6,Results,"Deferred")+COUNTIFS(Students,E6,Results,"Waitlist")</f>
        <v>0</v>
      </c>
      <c r="Y6" s="13">
        <f>COUNTIFS(Students,E6,Results,"Denied")</f>
        <v>0</v>
      </c>
      <c r="Z6" s="13">
        <f>W6+X6+Y6+COUNTIFS(Students,E6,Results,"Submitted")</f>
        <v>0</v>
      </c>
      <c r="AA6" s="12">
        <v>0.4812864371925982</v>
      </c>
      <c r="AB6" s="12">
        <v>0.446471758018794</v>
      </c>
      <c r="AC6" s="12">
        <v>0.4047052487565439</v>
      </c>
      <c r="AD6" s="12">
        <v>0.3823192123521938</v>
      </c>
      <c r="AE6" s="13">
        <f>COUNTIFS(Students,E6,Results,"CHOICE!")</f>
        <v>0</v>
      </c>
      <c r="AF6" s="1">
        <f>COUNTIFS(MoneyYesNo,1,RGRcount,1,Students,E6,Results,"Accepted!")</f>
        <v>0</v>
      </c>
      <c r="AG6" s="1">
        <f>COUNTIFS(MoneyYesNo,1,MGRcount,1,Students,E6,Results,"Accepted!")-AF6</f>
        <v>0</v>
      </c>
      <c r="AH6" s="1">
        <f>COUNTIFS(MoneyYesNo,1,Students,E6,Results,"Accepted!")-AF6-AG6</f>
        <v>0</v>
      </c>
      <c r="AI6" s="13">
        <f>COUNTIFS(Students,E6,Results,"Accepted!")-AF6-AG6-AH6</f>
        <v>0</v>
      </c>
      <c r="AJ6" s="1">
        <f>SUMIFS(RGRcount,Students,E6,MoneyYesNo,1)</f>
        <v>0</v>
      </c>
      <c r="AK6" s="1">
        <f>SUMIFS(MGRcount,Students,E6,MoneyYesNo,1)-AJ6</f>
        <v>0</v>
      </c>
      <c r="AL6" s="1">
        <f>SUMIF(Students,E6,MoneyYesNo)-AJ6-AK6</f>
        <v>0</v>
      </c>
      <c r="AM6" s="13">
        <f>SUM(AJ6,AK6,AL6)</f>
        <v>0</v>
      </c>
      <c r="AN6" s="1">
        <f>SUMIF(Students,E6,RGRcount)</f>
        <v>0</v>
      </c>
      <c r="AO6" s="1">
        <f>SUMIF(Students,E6,MGRcount)-AN6</f>
        <v>0</v>
      </c>
      <c r="AP6" s="1">
        <f>COUNTIF(Students,E6)-AN6-AO6</f>
        <v>0</v>
      </c>
      <c r="AQ6" s="1">
        <f>SUMIF(Students,E6,FarBelowTGRCount)</f>
        <v>0</v>
      </c>
      <c r="AR6" s="47">
        <f>COUNTIF(Students,E6)</f>
        <v>0</v>
      </c>
      <c r="AS6" s="11">
        <f>IF(AR6&gt;0,Z6/AR6,0)</f>
        <v>0</v>
      </c>
      <c r="AT6" s="11">
        <f t="array" ref="AT6">1-PRODUCT(IF(Students=E6,MGRMult,1))</f>
        <v>0</v>
      </c>
      <c r="AU6" s="12">
        <f t="array" ref="AU6">1-PRODUCT(IF(Students=E6,RGRMult,1))</f>
        <v>0</v>
      </c>
      <c r="AV6" s="1">
        <f>COUNTIFS(Students,E6,Classes,HailMaryLabel)</f>
        <v>0</v>
      </c>
      <c r="AW6" s="1">
        <f>COUNTIFS(Students,E6,Classes,LongshotLabel)</f>
        <v>0</v>
      </c>
      <c r="AX6" s="1">
        <f>COUNTIFS(Students,E6,Classes,ReachLabel)</f>
        <v>0</v>
      </c>
      <c r="AY6" s="1">
        <f>COUNTIFS(Students,E6,Classes,MatchLabel)</f>
        <v>0</v>
      </c>
      <c r="AZ6" s="1">
        <f>COUNTIFS(Students,E6,Classes,SafetyLabel)</f>
        <v>0</v>
      </c>
      <c r="BA6" s="1">
        <f>COUNTIFS(Students,E6,Classes,SecureLabel)</f>
        <v>0</v>
      </c>
      <c r="BB6" s="1">
        <f>COUNTIFS(Students,E6,Classes,SureThingLabel)</f>
        <v>0</v>
      </c>
      <c r="BC6" s="13">
        <f>COUNTIFS(Students,E6,Classes,"Other")</f>
        <v>0</v>
      </c>
      <c r="BD6" s="1">
        <f>COUNTIFS(Students,E6,Classes,ReachLabel,MoneyYesNo,1)</f>
        <v>0</v>
      </c>
      <c r="BE6" s="1">
        <f>COUNTIFS(Students,E6,Classes,MatchLabel,MoneyYesNo,1)</f>
        <v>0</v>
      </c>
      <c r="BF6" s="1">
        <f>COUNTIFS(Students,E6,Classes,SafetyLabel,MoneyYesNo,1)</f>
        <v>0</v>
      </c>
      <c r="BG6" s="1">
        <f>COUNTIFS(Students,E6,Classes,SecureLabel,MoneyYesNo,1)</f>
        <v>0</v>
      </c>
      <c r="BH6" s="1">
        <f>COUNTIFS(Students,E6,Classes,SureThingLabel,MoneyYesNo,1)</f>
        <v>0</v>
      </c>
      <c r="BI6" s="1">
        <f>SUM(BD6:BH6)</f>
        <v>0</v>
      </c>
      <c r="BJ6" s="1">
        <f>SUMIFS(RGRcount,Students,E6,MoneyYesNo,1,Odds,"&gt;=20")</f>
        <v>0</v>
      </c>
      <c r="BK6" s="1">
        <f>SUMIFS(MGRcount,Students,E6,MoneyYesNo,1,Odds,"&gt;=20")-BJ6</f>
        <v>0</v>
      </c>
      <c r="BL6" s="1">
        <f>SUMIFS(RGRcount,Students,E6,MoneyYesNo,1,Odds,"&gt;=10")</f>
        <v>0</v>
      </c>
      <c r="BM6" s="1">
        <f>SUMIFS(MGRcount,Students,E6,MoneyYesNo,1,Odds,"&gt;=10")-BL6</f>
        <v>0</v>
      </c>
      <c r="BN6" s="1">
        <f>COUNTIFS(Students,E6,ILPublic,1)</f>
        <v>0</v>
      </c>
      <c r="BO6" s="1">
        <f>COUNTIFS(Students,E6,ILPublic,1, Classes,MatchLabel)+COUNTIFS(Students,E6,ILPublic,1, Classes,SafetyLabel)+COUNTIFS(Students,E6,ILPublic,1, Classes,SecureLabel)</f>
        <v>0</v>
      </c>
      <c r="BP6" s="1">
        <f>COUNTIFS(Students,E6,ILPublic,1, Classes,SecureLabel)</f>
        <v>0</v>
      </c>
      <c r="BQ6" s="1">
        <f>COUNTIFS(Students,E6,MoneyChicago,1)</f>
        <v>0</v>
      </c>
      <c r="BR6" s="1">
        <f>COUNTIFS(Students,E6,MatchOrUnder,1)</f>
        <v>0</v>
      </c>
      <c r="BS6" s="1">
        <f>SUMIF(Students,E6,MGRcount)</f>
        <v>0</v>
      </c>
      <c r="BT6" s="1">
        <f>COUNTIFS(Students,E6,BadMoney,1)</f>
        <v>0</v>
      </c>
      <c r="BU6" s="1">
        <f>COUNTIFS(Students,E6,GoldenThree,1)</f>
        <v>0</v>
      </c>
    </row>
    <row r="7" spans="1:73">
      <c r="A7" s="18" t="s">
        <v>86</v>
      </c>
      <c r="B7" s="19">
        <v>0</v>
      </c>
      <c r="C7" s="18" t="s">
        <v>87</v>
      </c>
      <c r="D7" s="18" t="s">
        <v>108</v>
      </c>
      <c r="E7" s="19">
        <v>23207329</v>
      </c>
      <c r="F7" s="19" t="s">
        <v>109</v>
      </c>
      <c r="G7" s="10" t="s">
        <v>110</v>
      </c>
      <c r="H7" s="46">
        <v>3.3048</v>
      </c>
      <c r="I7" s="1">
        <v>24</v>
      </c>
      <c r="J7" s="1">
        <v>920</v>
      </c>
      <c r="K7" s="1">
        <f>IF(ISNUMBER(J7),VLOOKUP(J7,SATtoACT,2,FALSE),"TBD")</f>
        <v>0</v>
      </c>
      <c r="L7" s="1">
        <f>IF(ISNUMBER(I7),IF(ISNUMBER(K7),MAX(I7,K7),I7),IF(ISNUMBER(K7),K7,"TBD"))</f>
        <v>0</v>
      </c>
      <c r="M7" s="1" t="s">
        <v>91</v>
      </c>
      <c r="N7" s="1">
        <f>IF(AND(H7&lt;&gt;0,L7&lt;&gt;0),IF(ISNUMBER(VLOOKUP(TEXT(MAX(FLOOR(H7*10,1)/10,1.5),"0.0")&amp;":"&amp;MAX(L7,12),StrategyLookup,4,FALSE)),VLOOKUP(TEXT(MAX(FLOOR(H7*10,1)/10,1.5),"0.0")&amp;":"&amp;MAX(L7,12),StrategyLookup,4,FALSE),"TBD"),"TBD")</f>
        <v>0</v>
      </c>
      <c r="O7" s="11">
        <f>IF(ISNUMBER(N7),VLOOKUP(IF(OR(N7=5,N7=6),N7&amp;IF(H7&gt;=3,"+","&lt;"),N7&amp;""),TargetLookup,IF(B7=-1,6,IF(OR(M7="W",M7="A"),4,2)),FALSE),"TBD")</f>
        <v>0</v>
      </c>
      <c r="P7" s="11">
        <f>IF(ISNUMBER(N7),VLOOKUP(IF(OR(N7=5,N7=6),N7&amp;IF(H7&gt;=3,"+","&lt;"),N7&amp;""),TargetLookup,IF(B7=-1,7,IF(OR(M7="W",M7="A"),5,3)),FALSE),"TBD")</f>
        <v>0</v>
      </c>
      <c r="Q7" s="18" t="s">
        <v>92</v>
      </c>
      <c r="R7" s="19" t="s">
        <v>111</v>
      </c>
      <c r="S7" s="19" t="s">
        <v>94</v>
      </c>
      <c r="T7" s="19">
        <f>Q7&amp;S7&amp;D7</f>
        <v>0</v>
      </c>
      <c r="U7" s="11">
        <f t="array" ref="U7">1-PRODUCT(IF(Students=E7,MGRMoneyMult,1))</f>
        <v>0</v>
      </c>
      <c r="V7" s="12">
        <f t="array" ref="V7">1-PRODUCT(IF(Students=E7,RGRMoneyMult,1))</f>
        <v>0</v>
      </c>
      <c r="W7" s="13">
        <f>COUNTIFS(Students,E7,Results,"Accepted!")+COUNTIFS(Students,E7,Results,"CHOICE!")</f>
        <v>0</v>
      </c>
      <c r="X7" s="1">
        <f>COUNTIFS(Students,E7,Results,"Deferred")+COUNTIFS(Students,E7,Results,"Waitlist")</f>
        <v>0</v>
      </c>
      <c r="Y7" s="13">
        <f>COUNTIFS(Students,E7,Results,"Denied")</f>
        <v>0</v>
      </c>
      <c r="Z7" s="13">
        <f>W7+X7+Y7+COUNTIFS(Students,E7,Results,"Submitted")</f>
        <v>0</v>
      </c>
      <c r="AA7" s="12">
        <v>0.7570522388923866</v>
      </c>
      <c r="AB7" s="12">
        <v>0.7497391319501397</v>
      </c>
      <c r="AC7" s="12">
        <v>0.6840293904119574</v>
      </c>
      <c r="AD7" s="12">
        <v>0.660170783870068</v>
      </c>
      <c r="AE7" s="13">
        <f>COUNTIFS(Students,E7,Results,"CHOICE!")</f>
        <v>0</v>
      </c>
      <c r="AF7" s="1">
        <f>COUNTIFS(MoneyYesNo,1,RGRcount,1,Students,E7,Results,"Accepted!")</f>
        <v>0</v>
      </c>
      <c r="AG7" s="1">
        <f>COUNTIFS(MoneyYesNo,1,MGRcount,1,Students,E7,Results,"Accepted!")-AF7</f>
        <v>0</v>
      </c>
      <c r="AH7" s="1">
        <f>COUNTIFS(MoneyYesNo,1,Students,E7,Results,"Accepted!")-AF7-AG7</f>
        <v>0</v>
      </c>
      <c r="AI7" s="13">
        <f>COUNTIFS(Students,E7,Results,"Accepted!")-AF7-AG7-AH7</f>
        <v>0</v>
      </c>
      <c r="AJ7" s="1">
        <f>SUMIFS(RGRcount,Students,E7,MoneyYesNo,1)</f>
        <v>0</v>
      </c>
      <c r="AK7" s="1">
        <f>SUMIFS(MGRcount,Students,E7,MoneyYesNo,1)-AJ7</f>
        <v>0</v>
      </c>
      <c r="AL7" s="1">
        <f>SUMIF(Students,E7,MoneyYesNo)-AJ7-AK7</f>
        <v>0</v>
      </c>
      <c r="AM7" s="13">
        <f>SUM(AJ7,AK7,AL7)</f>
        <v>0</v>
      </c>
      <c r="AN7" s="1">
        <f>SUMIF(Students,E7,RGRcount)</f>
        <v>0</v>
      </c>
      <c r="AO7" s="1">
        <f>SUMIF(Students,E7,MGRcount)-AN7</f>
        <v>0</v>
      </c>
      <c r="AP7" s="1">
        <f>COUNTIF(Students,E7)-AN7-AO7</f>
        <v>0</v>
      </c>
      <c r="AQ7" s="1">
        <f>SUMIF(Students,E7,FarBelowTGRCount)</f>
        <v>0</v>
      </c>
      <c r="AR7" s="47">
        <f>COUNTIF(Students,E7)</f>
        <v>0</v>
      </c>
      <c r="AS7" s="11">
        <f>IF(AR7&gt;0,Z7/AR7,0)</f>
        <v>0</v>
      </c>
      <c r="AT7" s="11">
        <f t="array" ref="AT7">1-PRODUCT(IF(Students=E7,MGRMult,1))</f>
        <v>0</v>
      </c>
      <c r="AU7" s="12">
        <f t="array" ref="AU7">1-PRODUCT(IF(Students=E7,RGRMult,1))</f>
        <v>0</v>
      </c>
      <c r="AV7" s="1">
        <f>COUNTIFS(Students,E7,Classes,HailMaryLabel)</f>
        <v>0</v>
      </c>
      <c r="AW7" s="1">
        <f>COUNTIFS(Students,E7,Classes,LongshotLabel)</f>
        <v>0</v>
      </c>
      <c r="AX7" s="1">
        <f>COUNTIFS(Students,E7,Classes,ReachLabel)</f>
        <v>0</v>
      </c>
      <c r="AY7" s="1">
        <f>COUNTIFS(Students,E7,Classes,MatchLabel)</f>
        <v>0</v>
      </c>
      <c r="AZ7" s="1">
        <f>COUNTIFS(Students,E7,Classes,SafetyLabel)</f>
        <v>0</v>
      </c>
      <c r="BA7" s="1">
        <f>COUNTIFS(Students,E7,Classes,SecureLabel)</f>
        <v>0</v>
      </c>
      <c r="BB7" s="1">
        <f>COUNTIFS(Students,E7,Classes,SureThingLabel)</f>
        <v>0</v>
      </c>
      <c r="BC7" s="13">
        <f>COUNTIFS(Students,E7,Classes,"Other")</f>
        <v>0</v>
      </c>
      <c r="BD7" s="1">
        <f>COUNTIFS(Students,E7,Classes,ReachLabel,MoneyYesNo,1)</f>
        <v>0</v>
      </c>
      <c r="BE7" s="1">
        <f>COUNTIFS(Students,E7,Classes,MatchLabel,MoneyYesNo,1)</f>
        <v>0</v>
      </c>
      <c r="BF7" s="1">
        <f>COUNTIFS(Students,E7,Classes,SafetyLabel,MoneyYesNo,1)</f>
        <v>0</v>
      </c>
      <c r="BG7" s="1">
        <f>COUNTIFS(Students,E7,Classes,SecureLabel,MoneyYesNo,1)</f>
        <v>0</v>
      </c>
      <c r="BH7" s="1">
        <f>COUNTIFS(Students,E7,Classes,SureThingLabel,MoneyYesNo,1)</f>
        <v>0</v>
      </c>
      <c r="BI7" s="1">
        <f>SUM(BD7:BH7)</f>
        <v>0</v>
      </c>
      <c r="BJ7" s="1">
        <f>SUMIFS(RGRcount,Students,E7,MoneyYesNo,1,Odds,"&gt;=20")</f>
        <v>0</v>
      </c>
      <c r="BK7" s="1">
        <f>SUMIFS(MGRcount,Students,E7,MoneyYesNo,1,Odds,"&gt;=20")-BJ7</f>
        <v>0</v>
      </c>
      <c r="BL7" s="1">
        <f>SUMIFS(RGRcount,Students,E7,MoneyYesNo,1,Odds,"&gt;=10")</f>
        <v>0</v>
      </c>
      <c r="BM7" s="1">
        <f>SUMIFS(MGRcount,Students,E7,MoneyYesNo,1,Odds,"&gt;=10")-BL7</f>
        <v>0</v>
      </c>
      <c r="BN7" s="1">
        <f>COUNTIFS(Students,E7,ILPublic,1)</f>
        <v>0</v>
      </c>
      <c r="BO7" s="1">
        <f>COUNTIFS(Students,E7,ILPublic,1, Classes,MatchLabel)+COUNTIFS(Students,E7,ILPublic,1, Classes,SafetyLabel)+COUNTIFS(Students,E7,ILPublic,1, Classes,SecureLabel)</f>
        <v>0</v>
      </c>
      <c r="BP7" s="1">
        <f>COUNTIFS(Students,E7,ILPublic,1, Classes,SecureLabel)</f>
        <v>0</v>
      </c>
      <c r="BQ7" s="1">
        <f>COUNTIFS(Students,E7,MoneyChicago,1)</f>
        <v>0</v>
      </c>
      <c r="BR7" s="1">
        <f>COUNTIFS(Students,E7,MatchOrUnder,1)</f>
        <v>0</v>
      </c>
      <c r="BS7" s="1">
        <f>SUMIF(Students,E7,MGRcount)</f>
        <v>0</v>
      </c>
      <c r="BT7" s="1">
        <f>COUNTIFS(Students,E7,BadMoney,1)</f>
        <v>0</v>
      </c>
      <c r="BU7" s="1">
        <f>COUNTIFS(Students,E7,GoldenThree,1)</f>
        <v>0</v>
      </c>
    </row>
    <row r="8" spans="1:73">
      <c r="A8" s="18" t="s">
        <v>86</v>
      </c>
      <c r="B8" s="19">
        <v>0</v>
      </c>
      <c r="C8" s="18" t="s">
        <v>87</v>
      </c>
      <c r="D8" s="18" t="s">
        <v>112</v>
      </c>
      <c r="E8" s="19">
        <v>23478500</v>
      </c>
      <c r="F8" s="19" t="s">
        <v>113</v>
      </c>
      <c r="G8" s="10" t="s">
        <v>114</v>
      </c>
      <c r="H8" s="46">
        <v>3.7462</v>
      </c>
      <c r="I8" s="1">
        <v>20</v>
      </c>
      <c r="J8" s="1">
        <v>1020</v>
      </c>
      <c r="K8" s="1">
        <f>IF(ISNUMBER(J8),VLOOKUP(J8,SATtoACT,2,FALSE),"TBD")</f>
        <v>0</v>
      </c>
      <c r="L8" s="1">
        <f>IF(ISNUMBER(I8),IF(ISNUMBER(K8),MAX(I8,K8),I8),IF(ISNUMBER(K8),K8,"TBD"))</f>
        <v>0</v>
      </c>
      <c r="M8" s="1" t="s">
        <v>115</v>
      </c>
      <c r="N8" s="1">
        <f>IF(AND(H8&lt;&gt;0,L8&lt;&gt;0),IF(ISNUMBER(VLOOKUP(TEXT(MAX(FLOOR(H8*10,1)/10,1.5),"0.0")&amp;":"&amp;MAX(L8,12),StrategyLookup,4,FALSE)),VLOOKUP(TEXT(MAX(FLOOR(H8*10,1)/10,1.5),"0.0")&amp;":"&amp;MAX(L8,12),StrategyLookup,4,FALSE),"TBD"),"TBD")</f>
        <v>0</v>
      </c>
      <c r="O8" s="11">
        <f>IF(ISNUMBER(N8),VLOOKUP(IF(OR(N8=5,N8=6),N8&amp;IF(H8&gt;=3,"+","&lt;"),N8&amp;""),TargetLookup,IF(B8=-1,6,IF(OR(M8="W",M8="A"),4,2)),FALSE),"TBD")</f>
        <v>0</v>
      </c>
      <c r="P8" s="11">
        <f>IF(ISNUMBER(N8),VLOOKUP(IF(OR(N8=5,N8=6),N8&amp;IF(H8&gt;=3,"+","&lt;"),N8&amp;""),TargetLookup,IF(B8=-1,7,IF(OR(M8="W",M8="A"),5,3)),FALSE),"TBD")</f>
        <v>0</v>
      </c>
      <c r="Q8" s="18" t="s">
        <v>103</v>
      </c>
      <c r="R8" s="19" t="s">
        <v>116</v>
      </c>
      <c r="S8" s="19" t="s">
        <v>94</v>
      </c>
      <c r="T8" s="19">
        <f>Q8&amp;S8&amp;D8</f>
        <v>0</v>
      </c>
      <c r="U8" s="11">
        <f t="array" ref="U8">1-PRODUCT(IF(Students=E8,MGRMoneyMult,1))</f>
        <v>0</v>
      </c>
      <c r="V8" s="12">
        <f t="array" ref="V8">1-PRODUCT(IF(Students=E8,RGRMoneyMult,1))</f>
        <v>0</v>
      </c>
      <c r="W8" s="13">
        <f>COUNTIFS(Students,E8,Results,"Accepted!")+COUNTIFS(Students,E8,Results,"CHOICE!")</f>
        <v>0</v>
      </c>
      <c r="X8" s="1">
        <f>COUNTIFS(Students,E8,Results,"Deferred")+COUNTIFS(Students,E8,Results,"Waitlist")</f>
        <v>0</v>
      </c>
      <c r="Y8" s="13">
        <f>COUNTIFS(Students,E8,Results,"Denied")</f>
        <v>0</v>
      </c>
      <c r="Z8" s="13">
        <f>W8+X8+Y8+COUNTIFS(Students,E8,Results,"Submitted")</f>
        <v>0</v>
      </c>
      <c r="AA8" s="12">
        <v>0.8281216879480106</v>
      </c>
      <c r="AB8" s="12">
        <v>0.8046911249191556</v>
      </c>
      <c r="AC8" s="12">
        <v>0.7706748071112136</v>
      </c>
      <c r="AD8" s="12">
        <v>0.7612652603021658</v>
      </c>
      <c r="AE8" s="13">
        <f>COUNTIFS(Students,E8,Results,"CHOICE!")</f>
        <v>0</v>
      </c>
      <c r="AF8" s="1">
        <f>COUNTIFS(MoneyYesNo,1,RGRcount,1,Students,E8,Results,"Accepted!")</f>
        <v>0</v>
      </c>
      <c r="AG8" s="1">
        <f>COUNTIFS(MoneyYesNo,1,MGRcount,1,Students,E8,Results,"Accepted!")-AF8</f>
        <v>0</v>
      </c>
      <c r="AH8" s="1">
        <f>COUNTIFS(MoneyYesNo,1,Students,E8,Results,"Accepted!")-AF8-AG8</f>
        <v>0</v>
      </c>
      <c r="AI8" s="13">
        <f>COUNTIFS(Students,E8,Results,"Accepted!")-AF8-AG8-AH8</f>
        <v>0</v>
      </c>
      <c r="AJ8" s="1">
        <f>SUMIFS(RGRcount,Students,E8,MoneyYesNo,1)</f>
        <v>0</v>
      </c>
      <c r="AK8" s="1">
        <f>SUMIFS(MGRcount,Students,E8,MoneyYesNo,1)-AJ8</f>
        <v>0</v>
      </c>
      <c r="AL8" s="1">
        <f>SUMIF(Students,E8,MoneyYesNo)-AJ8-AK8</f>
        <v>0</v>
      </c>
      <c r="AM8" s="13">
        <f>SUM(AJ8,AK8,AL8)</f>
        <v>0</v>
      </c>
      <c r="AN8" s="1">
        <f>SUMIF(Students,E8,RGRcount)</f>
        <v>0</v>
      </c>
      <c r="AO8" s="1">
        <f>SUMIF(Students,E8,MGRcount)-AN8</f>
        <v>0</v>
      </c>
      <c r="AP8" s="1">
        <f>COUNTIF(Students,E8)-AN8-AO8</f>
        <v>0</v>
      </c>
      <c r="AQ8" s="1">
        <f>SUMIF(Students,E8,FarBelowTGRCount)</f>
        <v>0</v>
      </c>
      <c r="AR8" s="47">
        <f>COUNTIF(Students,E8)</f>
        <v>0</v>
      </c>
      <c r="AS8" s="11">
        <f>IF(AR8&gt;0,Z8/AR8,0)</f>
        <v>0</v>
      </c>
      <c r="AT8" s="11">
        <f t="array" ref="AT8">1-PRODUCT(IF(Students=E8,MGRMult,1))</f>
        <v>0</v>
      </c>
      <c r="AU8" s="12">
        <f t="array" ref="AU8">1-PRODUCT(IF(Students=E8,RGRMult,1))</f>
        <v>0</v>
      </c>
      <c r="AV8" s="1">
        <f>COUNTIFS(Students,E8,Classes,HailMaryLabel)</f>
        <v>0</v>
      </c>
      <c r="AW8" s="1">
        <f>COUNTIFS(Students,E8,Classes,LongshotLabel)</f>
        <v>0</v>
      </c>
      <c r="AX8" s="1">
        <f>COUNTIFS(Students,E8,Classes,ReachLabel)</f>
        <v>0</v>
      </c>
      <c r="AY8" s="1">
        <f>COUNTIFS(Students,E8,Classes,MatchLabel)</f>
        <v>0</v>
      </c>
      <c r="AZ8" s="1">
        <f>COUNTIFS(Students,E8,Classes,SafetyLabel)</f>
        <v>0</v>
      </c>
      <c r="BA8" s="1">
        <f>COUNTIFS(Students,E8,Classes,SecureLabel)</f>
        <v>0</v>
      </c>
      <c r="BB8" s="1">
        <f>COUNTIFS(Students,E8,Classes,SureThingLabel)</f>
        <v>0</v>
      </c>
      <c r="BC8" s="13">
        <f>COUNTIFS(Students,E8,Classes,"Other")</f>
        <v>0</v>
      </c>
      <c r="BD8" s="1">
        <f>COUNTIFS(Students,E8,Classes,ReachLabel,MoneyYesNo,1)</f>
        <v>0</v>
      </c>
      <c r="BE8" s="1">
        <f>COUNTIFS(Students,E8,Classes,MatchLabel,MoneyYesNo,1)</f>
        <v>0</v>
      </c>
      <c r="BF8" s="1">
        <f>COUNTIFS(Students,E8,Classes,SafetyLabel,MoneyYesNo,1)</f>
        <v>0</v>
      </c>
      <c r="BG8" s="1">
        <f>COUNTIFS(Students,E8,Classes,SecureLabel,MoneyYesNo,1)</f>
        <v>0</v>
      </c>
      <c r="BH8" s="1">
        <f>COUNTIFS(Students,E8,Classes,SureThingLabel,MoneyYesNo,1)</f>
        <v>0</v>
      </c>
      <c r="BI8" s="1">
        <f>SUM(BD8:BH8)</f>
        <v>0</v>
      </c>
      <c r="BJ8" s="1">
        <f>SUMIFS(RGRcount,Students,E8,MoneyYesNo,1,Odds,"&gt;=20")</f>
        <v>0</v>
      </c>
      <c r="BK8" s="1">
        <f>SUMIFS(MGRcount,Students,E8,MoneyYesNo,1,Odds,"&gt;=20")-BJ8</f>
        <v>0</v>
      </c>
      <c r="BL8" s="1">
        <f>SUMIFS(RGRcount,Students,E8,MoneyYesNo,1,Odds,"&gt;=10")</f>
        <v>0</v>
      </c>
      <c r="BM8" s="1">
        <f>SUMIFS(MGRcount,Students,E8,MoneyYesNo,1,Odds,"&gt;=10")-BL8</f>
        <v>0</v>
      </c>
      <c r="BN8" s="1">
        <f>COUNTIFS(Students,E8,ILPublic,1)</f>
        <v>0</v>
      </c>
      <c r="BO8" s="1">
        <f>COUNTIFS(Students,E8,ILPublic,1, Classes,MatchLabel)+COUNTIFS(Students,E8,ILPublic,1, Classes,SafetyLabel)+COUNTIFS(Students,E8,ILPublic,1, Classes,SecureLabel)</f>
        <v>0</v>
      </c>
      <c r="BP8" s="1">
        <f>COUNTIFS(Students,E8,ILPublic,1, Classes,SecureLabel)</f>
        <v>0</v>
      </c>
      <c r="BQ8" s="1">
        <f>COUNTIFS(Students,E8,MoneyChicago,1)</f>
        <v>0</v>
      </c>
      <c r="BR8" s="1">
        <f>COUNTIFS(Students,E8,MatchOrUnder,1)</f>
        <v>0</v>
      </c>
      <c r="BS8" s="1">
        <f>SUMIF(Students,E8,MGRcount)</f>
        <v>0</v>
      </c>
      <c r="BT8" s="1">
        <f>COUNTIFS(Students,E8,BadMoney,1)</f>
        <v>0</v>
      </c>
      <c r="BU8" s="1">
        <f>COUNTIFS(Students,E8,GoldenThree,1)</f>
        <v>0</v>
      </c>
    </row>
    <row r="9" spans="1:73">
      <c r="A9" s="18" t="s">
        <v>86</v>
      </c>
      <c r="B9" s="19">
        <v>0</v>
      </c>
      <c r="C9" s="18" t="s">
        <v>87</v>
      </c>
      <c r="D9" s="18" t="s">
        <v>117</v>
      </c>
      <c r="E9" s="19">
        <v>24512354</v>
      </c>
      <c r="F9" s="19" t="s">
        <v>118</v>
      </c>
      <c r="G9" s="10" t="s">
        <v>119</v>
      </c>
      <c r="H9" s="46">
        <v>3.2019</v>
      </c>
      <c r="I9" s="1">
        <v>20</v>
      </c>
      <c r="J9" s="1">
        <v>820</v>
      </c>
      <c r="K9" s="1">
        <f>IF(ISNUMBER(J9),VLOOKUP(J9,SATtoACT,2,FALSE),"TBD")</f>
        <v>0</v>
      </c>
      <c r="L9" s="1">
        <f>IF(ISNUMBER(I9),IF(ISNUMBER(K9),MAX(I9,K9),I9),IF(ISNUMBER(K9),K9,"TBD"))</f>
        <v>0</v>
      </c>
      <c r="M9" s="1" t="s">
        <v>91</v>
      </c>
      <c r="N9" s="1">
        <f>IF(AND(H9&lt;&gt;0,L9&lt;&gt;0),IF(ISNUMBER(VLOOKUP(TEXT(MAX(FLOOR(H9*10,1)/10,1.5),"0.0")&amp;":"&amp;MAX(L9,12),StrategyLookup,4,FALSE)),VLOOKUP(TEXT(MAX(FLOOR(H9*10,1)/10,1.5),"0.0")&amp;":"&amp;MAX(L9,12),StrategyLookup,4,FALSE),"TBD"),"TBD")</f>
        <v>0</v>
      </c>
      <c r="O9" s="11">
        <f>IF(ISNUMBER(N9),VLOOKUP(IF(OR(N9=5,N9=6),N9&amp;IF(H9&gt;=3,"+","&lt;"),N9&amp;""),TargetLookup,IF(B9=-1,6,IF(OR(M9="W",M9="A"),4,2)),FALSE),"TBD")</f>
        <v>0</v>
      </c>
      <c r="P9" s="11">
        <f>IF(ISNUMBER(N9),VLOOKUP(IF(OR(N9=5,N9=6),N9&amp;IF(H9&gt;=3,"+","&lt;"),N9&amp;""),TargetLookup,IF(B9=-1,7,IF(OR(M9="W",M9="A"),5,3)),FALSE),"TBD")</f>
        <v>0</v>
      </c>
      <c r="Q9" s="18" t="s">
        <v>120</v>
      </c>
      <c r="R9" s="19" t="s">
        <v>121</v>
      </c>
      <c r="S9" s="19" t="s">
        <v>94</v>
      </c>
      <c r="T9" s="19">
        <f>Q9&amp;S9&amp;D9</f>
        <v>0</v>
      </c>
      <c r="U9" s="11">
        <f t="array" ref="U9">1-PRODUCT(IF(Students=E9,MGRMoneyMult,1))</f>
        <v>0</v>
      </c>
      <c r="V9" s="12">
        <f t="array" ref="V9">1-PRODUCT(IF(Students=E9,RGRMoneyMult,1))</f>
        <v>0</v>
      </c>
      <c r="W9" s="13">
        <f>COUNTIFS(Students,E9,Results,"Accepted!")+COUNTIFS(Students,E9,Results,"CHOICE!")</f>
        <v>0</v>
      </c>
      <c r="X9" s="1">
        <f>COUNTIFS(Students,E9,Results,"Deferred")+COUNTIFS(Students,E9,Results,"Waitlist")</f>
        <v>0</v>
      </c>
      <c r="Y9" s="13">
        <f>COUNTIFS(Students,E9,Results,"Denied")</f>
        <v>0</v>
      </c>
      <c r="Z9" s="13">
        <f>W9+X9+Y9+COUNTIFS(Students,E9,Results,"Submitted")</f>
        <v>0</v>
      </c>
      <c r="AA9" s="12">
        <v>0.6353735093491234</v>
      </c>
      <c r="AB9" s="12">
        <v>0.573570123671115</v>
      </c>
      <c r="AC9" s="12">
        <v>0.5475309891234327</v>
      </c>
      <c r="AD9" s="12">
        <v>0.5330272423492988</v>
      </c>
      <c r="AE9" s="13">
        <f>COUNTIFS(Students,E9,Results,"CHOICE!")</f>
        <v>0</v>
      </c>
      <c r="AF9" s="1">
        <f>COUNTIFS(MoneyYesNo,1,RGRcount,1,Students,E9,Results,"Accepted!")</f>
        <v>0</v>
      </c>
      <c r="AG9" s="1">
        <f>COUNTIFS(MoneyYesNo,1,MGRcount,1,Students,E9,Results,"Accepted!")-AF9</f>
        <v>0</v>
      </c>
      <c r="AH9" s="1">
        <f>COUNTIFS(MoneyYesNo,1,Students,E9,Results,"Accepted!")-AF9-AG9</f>
        <v>0</v>
      </c>
      <c r="AI9" s="13">
        <f>COUNTIFS(Students,E9,Results,"Accepted!")-AF9-AG9-AH9</f>
        <v>0</v>
      </c>
      <c r="AJ9" s="1">
        <f>SUMIFS(RGRcount,Students,E9,MoneyYesNo,1)</f>
        <v>0</v>
      </c>
      <c r="AK9" s="1">
        <f>SUMIFS(MGRcount,Students,E9,MoneyYesNo,1)-AJ9</f>
        <v>0</v>
      </c>
      <c r="AL9" s="1">
        <f>SUMIF(Students,E9,MoneyYesNo)-AJ9-AK9</f>
        <v>0</v>
      </c>
      <c r="AM9" s="13">
        <f>SUM(AJ9,AK9,AL9)</f>
        <v>0</v>
      </c>
      <c r="AN9" s="1">
        <f>SUMIF(Students,E9,RGRcount)</f>
        <v>0</v>
      </c>
      <c r="AO9" s="1">
        <f>SUMIF(Students,E9,MGRcount)-AN9</f>
        <v>0</v>
      </c>
      <c r="AP9" s="1">
        <f>COUNTIF(Students,E9)-AN9-AO9</f>
        <v>0</v>
      </c>
      <c r="AQ9" s="1">
        <f>SUMIF(Students,E9,FarBelowTGRCount)</f>
        <v>0</v>
      </c>
      <c r="AR9" s="47">
        <f>COUNTIF(Students,E9)</f>
        <v>0</v>
      </c>
      <c r="AS9" s="11">
        <f>IF(AR9&gt;0,Z9/AR9,0)</f>
        <v>0</v>
      </c>
      <c r="AT9" s="11">
        <f t="array" ref="AT9">1-PRODUCT(IF(Students=E9,MGRMult,1))</f>
        <v>0</v>
      </c>
      <c r="AU9" s="12">
        <f t="array" ref="AU9">1-PRODUCT(IF(Students=E9,RGRMult,1))</f>
        <v>0</v>
      </c>
      <c r="AV9" s="1">
        <f>COUNTIFS(Students,E9,Classes,HailMaryLabel)</f>
        <v>0</v>
      </c>
      <c r="AW9" s="1">
        <f>COUNTIFS(Students,E9,Classes,LongshotLabel)</f>
        <v>0</v>
      </c>
      <c r="AX9" s="1">
        <f>COUNTIFS(Students,E9,Classes,ReachLabel)</f>
        <v>0</v>
      </c>
      <c r="AY9" s="1">
        <f>COUNTIFS(Students,E9,Classes,MatchLabel)</f>
        <v>0</v>
      </c>
      <c r="AZ9" s="1">
        <f>COUNTIFS(Students,E9,Classes,SafetyLabel)</f>
        <v>0</v>
      </c>
      <c r="BA9" s="1">
        <f>COUNTIFS(Students,E9,Classes,SecureLabel)</f>
        <v>0</v>
      </c>
      <c r="BB9" s="1">
        <f>COUNTIFS(Students,E9,Classes,SureThingLabel)</f>
        <v>0</v>
      </c>
      <c r="BC9" s="13">
        <f>COUNTIFS(Students,E9,Classes,"Other")</f>
        <v>0</v>
      </c>
      <c r="BD9" s="1">
        <f>COUNTIFS(Students,E9,Classes,ReachLabel,MoneyYesNo,1)</f>
        <v>0</v>
      </c>
      <c r="BE9" s="1">
        <f>COUNTIFS(Students,E9,Classes,MatchLabel,MoneyYesNo,1)</f>
        <v>0</v>
      </c>
      <c r="BF9" s="1">
        <f>COUNTIFS(Students,E9,Classes,SafetyLabel,MoneyYesNo,1)</f>
        <v>0</v>
      </c>
      <c r="BG9" s="1">
        <f>COUNTIFS(Students,E9,Classes,SecureLabel,MoneyYesNo,1)</f>
        <v>0</v>
      </c>
      <c r="BH9" s="1">
        <f>COUNTIFS(Students,E9,Classes,SureThingLabel,MoneyYesNo,1)</f>
        <v>0</v>
      </c>
      <c r="BI9" s="1">
        <f>SUM(BD9:BH9)</f>
        <v>0</v>
      </c>
      <c r="BJ9" s="1">
        <f>SUMIFS(RGRcount,Students,E9,MoneyYesNo,1,Odds,"&gt;=20")</f>
        <v>0</v>
      </c>
      <c r="BK9" s="1">
        <f>SUMIFS(MGRcount,Students,E9,MoneyYesNo,1,Odds,"&gt;=20")-BJ9</f>
        <v>0</v>
      </c>
      <c r="BL9" s="1">
        <f>SUMIFS(RGRcount,Students,E9,MoneyYesNo,1,Odds,"&gt;=10")</f>
        <v>0</v>
      </c>
      <c r="BM9" s="1">
        <f>SUMIFS(MGRcount,Students,E9,MoneyYesNo,1,Odds,"&gt;=10")-BL9</f>
        <v>0</v>
      </c>
      <c r="BN9" s="1">
        <f>COUNTIFS(Students,E9,ILPublic,1)</f>
        <v>0</v>
      </c>
      <c r="BO9" s="1">
        <f>COUNTIFS(Students,E9,ILPublic,1, Classes,MatchLabel)+COUNTIFS(Students,E9,ILPublic,1, Classes,SafetyLabel)+COUNTIFS(Students,E9,ILPublic,1, Classes,SecureLabel)</f>
        <v>0</v>
      </c>
      <c r="BP9" s="1">
        <f>COUNTIFS(Students,E9,ILPublic,1, Classes,SecureLabel)</f>
        <v>0</v>
      </c>
      <c r="BQ9" s="1">
        <f>COUNTIFS(Students,E9,MoneyChicago,1)</f>
        <v>0</v>
      </c>
      <c r="BR9" s="1">
        <f>COUNTIFS(Students,E9,MatchOrUnder,1)</f>
        <v>0</v>
      </c>
      <c r="BS9" s="1">
        <f>SUMIF(Students,E9,MGRcount)</f>
        <v>0</v>
      </c>
      <c r="BT9" s="1">
        <f>COUNTIFS(Students,E9,BadMoney,1)</f>
        <v>0</v>
      </c>
      <c r="BU9" s="1">
        <f>COUNTIFS(Students,E9,GoldenThree,1)</f>
        <v>0</v>
      </c>
    </row>
    <row r="10" spans="1:73">
      <c r="A10" s="18" t="s">
        <v>86</v>
      </c>
      <c r="B10" s="19">
        <v>0</v>
      </c>
      <c r="C10" s="18" t="s">
        <v>87</v>
      </c>
      <c r="D10" s="18" t="s">
        <v>122</v>
      </c>
      <c r="E10" s="19">
        <v>30115187</v>
      </c>
      <c r="F10" s="19" t="s">
        <v>123</v>
      </c>
      <c r="G10" s="10" t="s">
        <v>124</v>
      </c>
      <c r="H10" s="46">
        <v>3.274</v>
      </c>
      <c r="I10" s="1">
        <v>22</v>
      </c>
      <c r="J10" s="1">
        <v>1030</v>
      </c>
      <c r="K10" s="1">
        <f>IF(ISNUMBER(J10),VLOOKUP(J10,SATtoACT,2,FALSE),"TBD")</f>
        <v>0</v>
      </c>
      <c r="L10" s="1">
        <f>IF(ISNUMBER(I10),IF(ISNUMBER(K10),MAX(I10,K10),I10),IF(ISNUMBER(K10),K10,"TBD"))</f>
        <v>0</v>
      </c>
      <c r="M10" s="1" t="s">
        <v>91</v>
      </c>
      <c r="N10" s="1">
        <f>IF(AND(H10&lt;&gt;0,L10&lt;&gt;0),IF(ISNUMBER(VLOOKUP(TEXT(MAX(FLOOR(H10*10,1)/10,1.5),"0.0")&amp;":"&amp;MAX(L10,12),StrategyLookup,4,FALSE)),VLOOKUP(TEXT(MAX(FLOOR(H10*10,1)/10,1.5),"0.0")&amp;":"&amp;MAX(L10,12),StrategyLookup,4,FALSE),"TBD"),"TBD")</f>
        <v>0</v>
      </c>
      <c r="O10" s="11">
        <f>IF(ISNUMBER(N10),VLOOKUP(IF(OR(N10=5,N10=6),N10&amp;IF(H10&gt;=3,"+","&lt;"),N10&amp;""),TargetLookup,IF(B10=-1,6,IF(OR(M10="W",M10="A"),4,2)),FALSE),"TBD")</f>
        <v>0</v>
      </c>
      <c r="P10" s="11">
        <f>IF(ISNUMBER(N10),VLOOKUP(IF(OR(N10=5,N10=6),N10&amp;IF(H10&gt;=3,"+","&lt;"),N10&amp;""),TargetLookup,IF(B10=-1,7,IF(OR(M10="W",M10="A"),5,3)),FALSE),"TBD")</f>
        <v>0</v>
      </c>
      <c r="Q10" s="18" t="s">
        <v>103</v>
      </c>
      <c r="R10" s="19" t="s">
        <v>93</v>
      </c>
      <c r="S10" s="19" t="s">
        <v>94</v>
      </c>
      <c r="T10" s="19">
        <f>Q10&amp;S10&amp;D10</f>
        <v>0</v>
      </c>
      <c r="U10" s="11">
        <f t="array" ref="U10">1-PRODUCT(IF(Students=E10,MGRMoneyMult,1))</f>
        <v>0</v>
      </c>
      <c r="V10" s="12">
        <f t="array" ref="V10">1-PRODUCT(IF(Students=E10,RGRMoneyMult,1))</f>
        <v>0</v>
      </c>
      <c r="W10" s="13">
        <f>COUNTIFS(Students,E10,Results,"Accepted!")+COUNTIFS(Students,E10,Results,"CHOICE!")</f>
        <v>0</v>
      </c>
      <c r="X10" s="1">
        <f>COUNTIFS(Students,E10,Results,"Deferred")+COUNTIFS(Students,E10,Results,"Waitlist")</f>
        <v>0</v>
      </c>
      <c r="Y10" s="13">
        <f>COUNTIFS(Students,E10,Results,"Denied")</f>
        <v>0</v>
      </c>
      <c r="Z10" s="13">
        <f>W10+X10+Y10+COUNTIFS(Students,E10,Results,"Submitted")</f>
        <v>0</v>
      </c>
      <c r="AA10" s="12">
        <v>0.7157852758224443</v>
      </c>
      <c r="AB10" s="12">
        <v>0.6389632670364511</v>
      </c>
      <c r="AC10" s="12">
        <v>0.6578781239798324</v>
      </c>
      <c r="AD10" s="12">
        <v>0.6236610836646985</v>
      </c>
      <c r="AE10" s="13">
        <f>COUNTIFS(Students,E10,Results,"CHOICE!")</f>
        <v>0</v>
      </c>
      <c r="AF10" s="1">
        <f>COUNTIFS(MoneyYesNo,1,RGRcount,1,Students,E10,Results,"Accepted!")</f>
        <v>0</v>
      </c>
      <c r="AG10" s="1">
        <f>COUNTIFS(MoneyYesNo,1,MGRcount,1,Students,E10,Results,"Accepted!")-AF10</f>
        <v>0</v>
      </c>
      <c r="AH10" s="1">
        <f>COUNTIFS(MoneyYesNo,1,Students,E10,Results,"Accepted!")-AF10-AG10</f>
        <v>0</v>
      </c>
      <c r="AI10" s="13">
        <f>COUNTIFS(Students,E10,Results,"Accepted!")-AF10-AG10-AH10</f>
        <v>0</v>
      </c>
      <c r="AJ10" s="1">
        <f>SUMIFS(RGRcount,Students,E10,MoneyYesNo,1)</f>
        <v>0</v>
      </c>
      <c r="AK10" s="1">
        <f>SUMIFS(MGRcount,Students,E10,MoneyYesNo,1)-AJ10</f>
        <v>0</v>
      </c>
      <c r="AL10" s="1">
        <f>SUMIF(Students,E10,MoneyYesNo)-AJ10-AK10</f>
        <v>0</v>
      </c>
      <c r="AM10" s="13">
        <f>SUM(AJ10,AK10,AL10)</f>
        <v>0</v>
      </c>
      <c r="AN10" s="1">
        <f>SUMIF(Students,E10,RGRcount)</f>
        <v>0</v>
      </c>
      <c r="AO10" s="1">
        <f>SUMIF(Students,E10,MGRcount)-AN10</f>
        <v>0</v>
      </c>
      <c r="AP10" s="1">
        <f>COUNTIF(Students,E10)-AN10-AO10</f>
        <v>0</v>
      </c>
      <c r="AQ10" s="1">
        <f>SUMIF(Students,E10,FarBelowTGRCount)</f>
        <v>0</v>
      </c>
      <c r="AR10" s="47">
        <f>COUNTIF(Students,E10)</f>
        <v>0</v>
      </c>
      <c r="AS10" s="11">
        <f>IF(AR10&gt;0,Z10/AR10,0)</f>
        <v>0</v>
      </c>
      <c r="AT10" s="11">
        <f t="array" ref="AT10">1-PRODUCT(IF(Students=E10,MGRMult,1))</f>
        <v>0</v>
      </c>
      <c r="AU10" s="12">
        <f t="array" ref="AU10">1-PRODUCT(IF(Students=E10,RGRMult,1))</f>
        <v>0</v>
      </c>
      <c r="AV10" s="1">
        <f>COUNTIFS(Students,E10,Classes,HailMaryLabel)</f>
        <v>0</v>
      </c>
      <c r="AW10" s="1">
        <f>COUNTIFS(Students,E10,Classes,LongshotLabel)</f>
        <v>0</v>
      </c>
      <c r="AX10" s="1">
        <f>COUNTIFS(Students,E10,Classes,ReachLabel)</f>
        <v>0</v>
      </c>
      <c r="AY10" s="1">
        <f>COUNTIFS(Students,E10,Classes,MatchLabel)</f>
        <v>0</v>
      </c>
      <c r="AZ10" s="1">
        <f>COUNTIFS(Students,E10,Classes,SafetyLabel)</f>
        <v>0</v>
      </c>
      <c r="BA10" s="1">
        <f>COUNTIFS(Students,E10,Classes,SecureLabel)</f>
        <v>0</v>
      </c>
      <c r="BB10" s="1">
        <f>COUNTIFS(Students,E10,Classes,SureThingLabel)</f>
        <v>0</v>
      </c>
      <c r="BC10" s="13">
        <f>COUNTIFS(Students,E10,Classes,"Other")</f>
        <v>0</v>
      </c>
      <c r="BD10" s="1">
        <f>COUNTIFS(Students,E10,Classes,ReachLabel,MoneyYesNo,1)</f>
        <v>0</v>
      </c>
      <c r="BE10" s="1">
        <f>COUNTIFS(Students,E10,Classes,MatchLabel,MoneyYesNo,1)</f>
        <v>0</v>
      </c>
      <c r="BF10" s="1">
        <f>COUNTIFS(Students,E10,Classes,SafetyLabel,MoneyYesNo,1)</f>
        <v>0</v>
      </c>
      <c r="BG10" s="1">
        <f>COUNTIFS(Students,E10,Classes,SecureLabel,MoneyYesNo,1)</f>
        <v>0</v>
      </c>
      <c r="BH10" s="1">
        <f>COUNTIFS(Students,E10,Classes,SureThingLabel,MoneyYesNo,1)</f>
        <v>0</v>
      </c>
      <c r="BI10" s="1">
        <f>SUM(BD10:BH10)</f>
        <v>0</v>
      </c>
      <c r="BJ10" s="1">
        <f>SUMIFS(RGRcount,Students,E10,MoneyYesNo,1,Odds,"&gt;=20")</f>
        <v>0</v>
      </c>
      <c r="BK10" s="1">
        <f>SUMIFS(MGRcount,Students,E10,MoneyYesNo,1,Odds,"&gt;=20")-BJ10</f>
        <v>0</v>
      </c>
      <c r="BL10" s="1">
        <f>SUMIFS(RGRcount,Students,E10,MoneyYesNo,1,Odds,"&gt;=10")</f>
        <v>0</v>
      </c>
      <c r="BM10" s="1">
        <f>SUMIFS(MGRcount,Students,E10,MoneyYesNo,1,Odds,"&gt;=10")-BL10</f>
        <v>0</v>
      </c>
      <c r="BN10" s="1">
        <f>COUNTIFS(Students,E10,ILPublic,1)</f>
        <v>0</v>
      </c>
      <c r="BO10" s="1">
        <f>COUNTIFS(Students,E10,ILPublic,1, Classes,MatchLabel)+COUNTIFS(Students,E10,ILPublic,1, Classes,SafetyLabel)+COUNTIFS(Students,E10,ILPublic,1, Classes,SecureLabel)</f>
        <v>0</v>
      </c>
      <c r="BP10" s="1">
        <f>COUNTIFS(Students,E10,ILPublic,1, Classes,SecureLabel)</f>
        <v>0</v>
      </c>
      <c r="BQ10" s="1">
        <f>COUNTIFS(Students,E10,MoneyChicago,1)</f>
        <v>0</v>
      </c>
      <c r="BR10" s="1">
        <f>COUNTIFS(Students,E10,MatchOrUnder,1)</f>
        <v>0</v>
      </c>
      <c r="BS10" s="1">
        <f>SUMIF(Students,E10,MGRcount)</f>
        <v>0</v>
      </c>
      <c r="BT10" s="1">
        <f>COUNTIFS(Students,E10,BadMoney,1)</f>
        <v>0</v>
      </c>
      <c r="BU10" s="1">
        <f>COUNTIFS(Students,E10,GoldenThree,1)</f>
        <v>0</v>
      </c>
    </row>
    <row r="11" spans="1:73">
      <c r="A11" s="18" t="s">
        <v>86</v>
      </c>
      <c r="B11" s="19">
        <v>-1</v>
      </c>
      <c r="C11" s="18" t="s">
        <v>87</v>
      </c>
      <c r="D11" s="18" t="s">
        <v>125</v>
      </c>
      <c r="E11" s="19">
        <v>23036214</v>
      </c>
      <c r="F11" s="19" t="s">
        <v>126</v>
      </c>
      <c r="G11" s="10" t="s">
        <v>127</v>
      </c>
      <c r="H11" s="46">
        <v>3.6271</v>
      </c>
      <c r="I11" s="1">
        <v>22</v>
      </c>
      <c r="J11" s="1">
        <v>810</v>
      </c>
      <c r="K11" s="1">
        <f>IF(ISNUMBER(J11),VLOOKUP(J11,SATtoACT,2,FALSE),"TBD")</f>
        <v>0</v>
      </c>
      <c r="L11" s="1">
        <f>IF(ISNUMBER(I11),IF(ISNUMBER(K11),MAX(I11,K11),I11),IF(ISNUMBER(K11),K11,"TBD"))</f>
        <v>0</v>
      </c>
      <c r="M11" s="1" t="s">
        <v>91</v>
      </c>
      <c r="N11" s="1">
        <f>IF(AND(H11&lt;&gt;0,L11&lt;&gt;0),IF(ISNUMBER(VLOOKUP(TEXT(MAX(FLOOR(H11*10,1)/10,1.5),"0.0")&amp;":"&amp;MAX(L11,12),StrategyLookup,4,FALSE)),VLOOKUP(TEXT(MAX(FLOOR(H11*10,1)/10,1.5),"0.0")&amp;":"&amp;MAX(L11,12),StrategyLookup,4,FALSE),"TBD"),"TBD")</f>
        <v>0</v>
      </c>
      <c r="O11" s="11">
        <f>IF(ISNUMBER(N11),VLOOKUP(IF(OR(N11=5,N11=6),N11&amp;IF(H11&gt;=3,"+","&lt;"),N11&amp;""),TargetLookup,IF(B11=-1,6,IF(OR(M11="W",M11="A"),4,2)),FALSE),"TBD")</f>
        <v>0</v>
      </c>
      <c r="P11" s="11">
        <f>IF(ISNUMBER(N11),VLOOKUP(IF(OR(N11=5,N11=6),N11&amp;IF(H11&gt;=3,"+","&lt;"),N11&amp;""),TargetLookup,IF(B11=-1,7,IF(OR(M11="W",M11="A"),5,3)),FALSE),"TBD")</f>
        <v>0</v>
      </c>
      <c r="Q11" s="18" t="s">
        <v>120</v>
      </c>
      <c r="R11" s="19" t="s">
        <v>116</v>
      </c>
      <c r="S11" s="19" t="s">
        <v>94</v>
      </c>
      <c r="T11" s="19">
        <f>Q11&amp;S11&amp;D11</f>
        <v>0</v>
      </c>
      <c r="U11" s="11">
        <f t="array" ref="U11">1-PRODUCT(IF(Students=E11,MGRMoneyMult,1))</f>
        <v>0</v>
      </c>
      <c r="V11" s="12">
        <f t="array" ref="V11">1-PRODUCT(IF(Students=E11,RGRMoneyMult,1))</f>
        <v>0</v>
      </c>
      <c r="W11" s="13">
        <f>COUNTIFS(Students,E11,Results,"Accepted!")+COUNTIFS(Students,E11,Results,"CHOICE!")</f>
        <v>0</v>
      </c>
      <c r="X11" s="1">
        <f>COUNTIFS(Students,E11,Results,"Deferred")+COUNTIFS(Students,E11,Results,"Waitlist")</f>
        <v>0</v>
      </c>
      <c r="Y11" s="13">
        <f>COUNTIFS(Students,E11,Results,"Denied")</f>
        <v>0</v>
      </c>
      <c r="Z11" s="13">
        <f>W11+X11+Y11+COUNTIFS(Students,E11,Results,"Submitted")</f>
        <v>0</v>
      </c>
      <c r="AA11" s="12">
        <v>0.8130165298336895</v>
      </c>
      <c r="AB11" s="12">
        <v>0.7864253067117976</v>
      </c>
      <c r="AC11" s="12">
        <v>0.5955090180010206</v>
      </c>
      <c r="AD11" s="12">
        <v>0.5653597944031981</v>
      </c>
      <c r="AE11" s="13">
        <f>COUNTIFS(Students,E11,Results,"CHOICE!")</f>
        <v>0</v>
      </c>
      <c r="AF11" s="1">
        <f>COUNTIFS(MoneyYesNo,1,RGRcount,1,Students,E11,Results,"Accepted!")</f>
        <v>0</v>
      </c>
      <c r="AG11" s="1">
        <f>COUNTIFS(MoneyYesNo,1,MGRcount,1,Students,E11,Results,"Accepted!")-AF11</f>
        <v>0</v>
      </c>
      <c r="AH11" s="1">
        <f>COUNTIFS(MoneyYesNo,1,Students,E11,Results,"Accepted!")-AF11-AG11</f>
        <v>0</v>
      </c>
      <c r="AI11" s="13">
        <f>COUNTIFS(Students,E11,Results,"Accepted!")-AF11-AG11-AH11</f>
        <v>0</v>
      </c>
      <c r="AJ11" s="1">
        <f>SUMIFS(RGRcount,Students,E11,MoneyYesNo,1)</f>
        <v>0</v>
      </c>
      <c r="AK11" s="1">
        <f>SUMIFS(MGRcount,Students,E11,MoneyYesNo,1)-AJ11</f>
        <v>0</v>
      </c>
      <c r="AL11" s="1">
        <f>SUMIF(Students,E11,MoneyYesNo)-AJ11-AK11</f>
        <v>0</v>
      </c>
      <c r="AM11" s="13">
        <f>SUM(AJ11,AK11,AL11)</f>
        <v>0</v>
      </c>
      <c r="AN11" s="1">
        <f>SUMIF(Students,E11,RGRcount)</f>
        <v>0</v>
      </c>
      <c r="AO11" s="1">
        <f>SUMIF(Students,E11,MGRcount)-AN11</f>
        <v>0</v>
      </c>
      <c r="AP11" s="1">
        <f>COUNTIF(Students,E11)-AN11-AO11</f>
        <v>0</v>
      </c>
      <c r="AQ11" s="1">
        <f>SUMIF(Students,E11,FarBelowTGRCount)</f>
        <v>0</v>
      </c>
      <c r="AR11" s="47">
        <f>COUNTIF(Students,E11)</f>
        <v>0</v>
      </c>
      <c r="AS11" s="11">
        <f>IF(AR11&gt;0,Z11/AR11,0)</f>
        <v>0</v>
      </c>
      <c r="AT11" s="11">
        <f t="array" ref="AT11">1-PRODUCT(IF(Students=E11,MGRMult,1))</f>
        <v>0</v>
      </c>
      <c r="AU11" s="12">
        <f t="array" ref="AU11">1-PRODUCT(IF(Students=E11,RGRMult,1))</f>
        <v>0</v>
      </c>
      <c r="AV11" s="1">
        <f>COUNTIFS(Students,E11,Classes,HailMaryLabel)</f>
        <v>0</v>
      </c>
      <c r="AW11" s="1">
        <f>COUNTIFS(Students,E11,Classes,LongshotLabel)</f>
        <v>0</v>
      </c>
      <c r="AX11" s="1">
        <f>COUNTIFS(Students,E11,Classes,ReachLabel)</f>
        <v>0</v>
      </c>
      <c r="AY11" s="1">
        <f>COUNTIFS(Students,E11,Classes,MatchLabel)</f>
        <v>0</v>
      </c>
      <c r="AZ11" s="1">
        <f>COUNTIFS(Students,E11,Classes,SafetyLabel)</f>
        <v>0</v>
      </c>
      <c r="BA11" s="1">
        <f>COUNTIFS(Students,E11,Classes,SecureLabel)</f>
        <v>0</v>
      </c>
      <c r="BB11" s="1">
        <f>COUNTIFS(Students,E11,Classes,SureThingLabel)</f>
        <v>0</v>
      </c>
      <c r="BC11" s="13">
        <f>COUNTIFS(Students,E11,Classes,"Other")</f>
        <v>0</v>
      </c>
      <c r="BD11" s="1">
        <f>COUNTIFS(Students,E11,Classes,ReachLabel,MoneyYesNo,1)</f>
        <v>0</v>
      </c>
      <c r="BE11" s="1">
        <f>COUNTIFS(Students,E11,Classes,MatchLabel,MoneyYesNo,1)</f>
        <v>0</v>
      </c>
      <c r="BF11" s="1">
        <f>COUNTIFS(Students,E11,Classes,SafetyLabel,MoneyYesNo,1)</f>
        <v>0</v>
      </c>
      <c r="BG11" s="1">
        <f>COUNTIFS(Students,E11,Classes,SecureLabel,MoneyYesNo,1)</f>
        <v>0</v>
      </c>
      <c r="BH11" s="1">
        <f>COUNTIFS(Students,E11,Classes,SureThingLabel,MoneyYesNo,1)</f>
        <v>0</v>
      </c>
      <c r="BI11" s="1">
        <f>SUM(BD11:BH11)</f>
        <v>0</v>
      </c>
      <c r="BJ11" s="1">
        <f>SUMIFS(RGRcount,Students,E11,MoneyYesNo,1,Odds,"&gt;=20")</f>
        <v>0</v>
      </c>
      <c r="BK11" s="1">
        <f>SUMIFS(MGRcount,Students,E11,MoneyYesNo,1,Odds,"&gt;=20")-BJ11</f>
        <v>0</v>
      </c>
      <c r="BL11" s="1">
        <f>SUMIFS(RGRcount,Students,E11,MoneyYesNo,1,Odds,"&gt;=10")</f>
        <v>0</v>
      </c>
      <c r="BM11" s="1">
        <f>SUMIFS(MGRcount,Students,E11,MoneyYesNo,1,Odds,"&gt;=10")-BL11</f>
        <v>0</v>
      </c>
      <c r="BN11" s="1">
        <f>COUNTIFS(Students,E11,ILPublic,1)</f>
        <v>0</v>
      </c>
      <c r="BO11" s="1">
        <f>COUNTIFS(Students,E11,ILPublic,1, Classes,MatchLabel)+COUNTIFS(Students,E11,ILPublic,1, Classes,SafetyLabel)+COUNTIFS(Students,E11,ILPublic,1, Classes,SecureLabel)</f>
        <v>0</v>
      </c>
      <c r="BP11" s="1">
        <f>COUNTIFS(Students,E11,ILPublic,1, Classes,SecureLabel)</f>
        <v>0</v>
      </c>
      <c r="BQ11" s="1">
        <f>COUNTIFS(Students,E11,MoneyChicago,1)</f>
        <v>0</v>
      </c>
      <c r="BR11" s="1">
        <f>COUNTIFS(Students,E11,MatchOrUnder,1)</f>
        <v>0</v>
      </c>
      <c r="BS11" s="1">
        <f>SUMIF(Students,E11,MGRcount)</f>
        <v>0</v>
      </c>
      <c r="BT11" s="1">
        <f>COUNTIFS(Students,E11,BadMoney,1)</f>
        <v>0</v>
      </c>
      <c r="BU11" s="1">
        <f>COUNTIFS(Students,E11,GoldenThree,1)</f>
        <v>0</v>
      </c>
    </row>
    <row r="12" spans="1:73">
      <c r="A12" s="18" t="s">
        <v>86</v>
      </c>
      <c r="B12" s="19">
        <v>-1</v>
      </c>
      <c r="C12" s="18" t="s">
        <v>87</v>
      </c>
      <c r="D12" s="18" t="s">
        <v>128</v>
      </c>
      <c r="E12" s="19">
        <v>30373557</v>
      </c>
      <c r="F12" s="19" t="s">
        <v>129</v>
      </c>
      <c r="G12" s="10" t="s">
        <v>130</v>
      </c>
      <c r="H12" s="46">
        <v>2.1268</v>
      </c>
      <c r="I12" s="1">
        <v>12</v>
      </c>
      <c r="J12" s="1">
        <v>980</v>
      </c>
      <c r="K12" s="1">
        <f>IF(ISNUMBER(J12),VLOOKUP(J12,SATtoACT,2,FALSE),"TBD")</f>
        <v>0</v>
      </c>
      <c r="L12" s="1">
        <f>IF(ISNUMBER(I12),IF(ISNUMBER(K12),MAX(I12,K12),I12),IF(ISNUMBER(K12),K12,"TBD"))</f>
        <v>0</v>
      </c>
      <c r="M12" s="1" t="s">
        <v>91</v>
      </c>
      <c r="N12" s="1">
        <f>IF(AND(H12&lt;&gt;0,L12&lt;&gt;0),IF(ISNUMBER(VLOOKUP(TEXT(MAX(FLOOR(H12*10,1)/10,1.5),"0.0")&amp;":"&amp;MAX(L12,12),StrategyLookup,4,FALSE)),VLOOKUP(TEXT(MAX(FLOOR(H12*10,1)/10,1.5),"0.0")&amp;":"&amp;MAX(L12,12),StrategyLookup,4,FALSE),"TBD"),"TBD")</f>
        <v>0</v>
      </c>
      <c r="O12" s="11">
        <f>IF(ISNUMBER(N12),VLOOKUP(IF(OR(N12=5,N12=6),N12&amp;IF(H12&gt;=3,"+","&lt;"),N12&amp;""),TargetLookup,IF(B12=-1,6,IF(OR(M12="W",M12="A"),4,2)),FALSE),"TBD")</f>
        <v>0</v>
      </c>
      <c r="P12" s="11">
        <f>IF(ISNUMBER(N12),VLOOKUP(IF(OR(N12=5,N12=6),N12&amp;IF(H12&gt;=3,"+","&lt;"),N12&amp;""),TargetLookup,IF(B12=-1,7,IF(OR(M12="W",M12="A"),5,3)),FALSE),"TBD")</f>
        <v>0</v>
      </c>
      <c r="Q12" s="18" t="s">
        <v>98</v>
      </c>
      <c r="R12" s="19" t="s">
        <v>131</v>
      </c>
      <c r="S12" s="19" t="s">
        <v>94</v>
      </c>
      <c r="T12" s="19">
        <f>Q12&amp;S12&amp;D12</f>
        <v>0</v>
      </c>
      <c r="U12" s="11">
        <f t="array" ref="U12">1-PRODUCT(IF(Students=E12,MGRMoneyMult,1))</f>
        <v>0</v>
      </c>
      <c r="V12" s="12">
        <f t="array" ref="V12">1-PRODUCT(IF(Students=E12,RGRMoneyMult,1))</f>
        <v>0</v>
      </c>
      <c r="W12" s="13">
        <f>COUNTIFS(Students,E12,Results,"Accepted!")+COUNTIFS(Students,E12,Results,"CHOICE!")</f>
        <v>0</v>
      </c>
      <c r="X12" s="1">
        <f>COUNTIFS(Students,E12,Results,"Deferred")+COUNTIFS(Students,E12,Results,"Waitlist")</f>
        <v>0</v>
      </c>
      <c r="Y12" s="13">
        <f>COUNTIFS(Students,E12,Results,"Denied")</f>
        <v>0</v>
      </c>
      <c r="Z12" s="13">
        <f>W12+X12+Y12+COUNTIFS(Students,E12,Results,"Submitted")</f>
        <v>0</v>
      </c>
      <c r="AA12" s="12">
        <v>0.415638782</v>
      </c>
      <c r="AB12" s="12">
        <v>0.40283</v>
      </c>
      <c r="AC12" s="12">
        <v>0.352747030628899</v>
      </c>
      <c r="AD12" s="12">
        <v>0.3324585054157251</v>
      </c>
      <c r="AE12" s="13">
        <f>COUNTIFS(Students,E12,Results,"CHOICE!")</f>
        <v>0</v>
      </c>
      <c r="AF12" s="1">
        <f>COUNTIFS(MoneyYesNo,1,RGRcount,1,Students,E12,Results,"Accepted!")</f>
        <v>0</v>
      </c>
      <c r="AG12" s="1">
        <f>COUNTIFS(MoneyYesNo,1,MGRcount,1,Students,E12,Results,"Accepted!")-AF12</f>
        <v>0</v>
      </c>
      <c r="AH12" s="1">
        <f>COUNTIFS(MoneyYesNo,1,Students,E12,Results,"Accepted!")-AF12-AG12</f>
        <v>0</v>
      </c>
      <c r="AI12" s="13">
        <f>COUNTIFS(Students,E12,Results,"Accepted!")-AF12-AG12-AH12</f>
        <v>0</v>
      </c>
      <c r="AJ12" s="1">
        <f>SUMIFS(RGRcount,Students,E12,MoneyYesNo,1)</f>
        <v>0</v>
      </c>
      <c r="AK12" s="1">
        <f>SUMIFS(MGRcount,Students,E12,MoneyYesNo,1)-AJ12</f>
        <v>0</v>
      </c>
      <c r="AL12" s="1">
        <f>SUMIF(Students,E12,MoneyYesNo)-AJ12-AK12</f>
        <v>0</v>
      </c>
      <c r="AM12" s="13">
        <f>SUM(AJ12,AK12,AL12)</f>
        <v>0</v>
      </c>
      <c r="AN12" s="1">
        <f>SUMIF(Students,E12,RGRcount)</f>
        <v>0</v>
      </c>
      <c r="AO12" s="1">
        <f>SUMIF(Students,E12,MGRcount)-AN12</f>
        <v>0</v>
      </c>
      <c r="AP12" s="1">
        <f>COUNTIF(Students,E12)-AN12-AO12</f>
        <v>0</v>
      </c>
      <c r="AQ12" s="1">
        <f>SUMIF(Students,E12,FarBelowTGRCount)</f>
        <v>0</v>
      </c>
      <c r="AR12" s="47">
        <f>COUNTIF(Students,E12)</f>
        <v>0</v>
      </c>
      <c r="AS12" s="11">
        <f>IF(AR12&gt;0,Z12/AR12,0)</f>
        <v>0</v>
      </c>
      <c r="AT12" s="11">
        <f t="array" ref="AT12">1-PRODUCT(IF(Students=E12,MGRMult,1))</f>
        <v>0</v>
      </c>
      <c r="AU12" s="12">
        <f t="array" ref="AU12">1-PRODUCT(IF(Students=E12,RGRMult,1))</f>
        <v>0</v>
      </c>
      <c r="AV12" s="1">
        <f>COUNTIFS(Students,E12,Classes,HailMaryLabel)</f>
        <v>0</v>
      </c>
      <c r="AW12" s="1">
        <f>COUNTIFS(Students,E12,Classes,LongshotLabel)</f>
        <v>0</v>
      </c>
      <c r="AX12" s="1">
        <f>COUNTIFS(Students,E12,Classes,ReachLabel)</f>
        <v>0</v>
      </c>
      <c r="AY12" s="1">
        <f>COUNTIFS(Students,E12,Classes,MatchLabel)</f>
        <v>0</v>
      </c>
      <c r="AZ12" s="1">
        <f>COUNTIFS(Students,E12,Classes,SafetyLabel)</f>
        <v>0</v>
      </c>
      <c r="BA12" s="1">
        <f>COUNTIFS(Students,E12,Classes,SecureLabel)</f>
        <v>0</v>
      </c>
      <c r="BB12" s="1">
        <f>COUNTIFS(Students,E12,Classes,SureThingLabel)</f>
        <v>0</v>
      </c>
      <c r="BC12" s="13">
        <f>COUNTIFS(Students,E12,Classes,"Other")</f>
        <v>0</v>
      </c>
      <c r="BD12" s="1">
        <f>COUNTIFS(Students,E12,Classes,ReachLabel,MoneyYesNo,1)</f>
        <v>0</v>
      </c>
      <c r="BE12" s="1">
        <f>COUNTIFS(Students,E12,Classes,MatchLabel,MoneyYesNo,1)</f>
        <v>0</v>
      </c>
      <c r="BF12" s="1">
        <f>COUNTIFS(Students,E12,Classes,SafetyLabel,MoneyYesNo,1)</f>
        <v>0</v>
      </c>
      <c r="BG12" s="1">
        <f>COUNTIFS(Students,E12,Classes,SecureLabel,MoneyYesNo,1)</f>
        <v>0</v>
      </c>
      <c r="BH12" s="1">
        <f>COUNTIFS(Students,E12,Classes,SureThingLabel,MoneyYesNo,1)</f>
        <v>0</v>
      </c>
      <c r="BI12" s="1">
        <f>SUM(BD12:BH12)</f>
        <v>0</v>
      </c>
      <c r="BJ12" s="1">
        <f>SUMIFS(RGRcount,Students,E12,MoneyYesNo,1,Odds,"&gt;=20")</f>
        <v>0</v>
      </c>
      <c r="BK12" s="1">
        <f>SUMIFS(MGRcount,Students,E12,MoneyYesNo,1,Odds,"&gt;=20")-BJ12</f>
        <v>0</v>
      </c>
      <c r="BL12" s="1">
        <f>SUMIFS(RGRcount,Students,E12,MoneyYesNo,1,Odds,"&gt;=10")</f>
        <v>0</v>
      </c>
      <c r="BM12" s="1">
        <f>SUMIFS(MGRcount,Students,E12,MoneyYesNo,1,Odds,"&gt;=10")-BL12</f>
        <v>0</v>
      </c>
      <c r="BN12" s="1">
        <f>COUNTIFS(Students,E12,ILPublic,1)</f>
        <v>0</v>
      </c>
      <c r="BO12" s="1">
        <f>COUNTIFS(Students,E12,ILPublic,1, Classes,MatchLabel)+COUNTIFS(Students,E12,ILPublic,1, Classes,SafetyLabel)+COUNTIFS(Students,E12,ILPublic,1, Classes,SecureLabel)</f>
        <v>0</v>
      </c>
      <c r="BP12" s="1">
        <f>COUNTIFS(Students,E12,ILPublic,1, Classes,SecureLabel)</f>
        <v>0</v>
      </c>
      <c r="BQ12" s="1">
        <f>COUNTIFS(Students,E12,MoneyChicago,1)</f>
        <v>0</v>
      </c>
      <c r="BR12" s="1">
        <f>COUNTIFS(Students,E12,MatchOrUnder,1)</f>
        <v>0</v>
      </c>
      <c r="BS12" s="1">
        <f>SUMIF(Students,E12,MGRcount)</f>
        <v>0</v>
      </c>
      <c r="BT12" s="1">
        <f>COUNTIFS(Students,E12,BadMoney,1)</f>
        <v>0</v>
      </c>
      <c r="BU12" s="1">
        <f>COUNTIFS(Students,E12,GoldenThree,1)</f>
        <v>0</v>
      </c>
    </row>
    <row r="13" spans="1:73">
      <c r="A13" s="18" t="s">
        <v>86</v>
      </c>
      <c r="B13" s="19">
        <v>0</v>
      </c>
      <c r="C13" s="18" t="s">
        <v>87</v>
      </c>
      <c r="D13" s="18" t="s">
        <v>132</v>
      </c>
      <c r="E13" s="19">
        <v>22054227</v>
      </c>
      <c r="F13" s="19" t="s">
        <v>133</v>
      </c>
      <c r="G13" s="10" t="s">
        <v>134</v>
      </c>
      <c r="H13" s="46">
        <v>3.4604</v>
      </c>
      <c r="I13" s="1">
        <v>23</v>
      </c>
      <c r="J13" s="1">
        <v>910</v>
      </c>
      <c r="K13" s="1">
        <f>IF(ISNUMBER(J13),VLOOKUP(J13,SATtoACT,2,FALSE),"TBD")</f>
        <v>0</v>
      </c>
      <c r="L13" s="1">
        <f>IF(ISNUMBER(I13),IF(ISNUMBER(K13),MAX(I13,K13),I13),IF(ISNUMBER(K13),K13,"TBD"))</f>
        <v>0</v>
      </c>
      <c r="M13" s="1" t="s">
        <v>91</v>
      </c>
      <c r="N13" s="1">
        <f>IF(AND(H13&lt;&gt;0,L13&lt;&gt;0),IF(ISNUMBER(VLOOKUP(TEXT(MAX(FLOOR(H13*10,1)/10,1.5),"0.0")&amp;":"&amp;MAX(L13,12),StrategyLookup,4,FALSE)),VLOOKUP(TEXT(MAX(FLOOR(H13*10,1)/10,1.5),"0.0")&amp;":"&amp;MAX(L13,12),StrategyLookup,4,FALSE),"TBD"),"TBD")</f>
        <v>0</v>
      </c>
      <c r="O13" s="11">
        <f>IF(ISNUMBER(N13),VLOOKUP(IF(OR(N13=5,N13=6),N13&amp;IF(H13&gt;=3,"+","&lt;"),N13&amp;""),TargetLookup,IF(B13=-1,6,IF(OR(M13="W",M13="A"),4,2)),FALSE),"TBD")</f>
        <v>0</v>
      </c>
      <c r="P13" s="11">
        <f>IF(ISNUMBER(N13),VLOOKUP(IF(OR(N13=5,N13=6),N13&amp;IF(H13&gt;=3,"+","&lt;"),N13&amp;""),TargetLookup,IF(B13=-1,7,IF(OR(M13="W",M13="A"),5,3)),FALSE),"TBD")</f>
        <v>0</v>
      </c>
      <c r="Q13" s="18" t="s">
        <v>103</v>
      </c>
      <c r="R13" s="19" t="s">
        <v>121</v>
      </c>
      <c r="S13" s="19" t="s">
        <v>94</v>
      </c>
      <c r="T13" s="19">
        <f>Q13&amp;S13&amp;D13</f>
        <v>0</v>
      </c>
      <c r="U13" s="11">
        <f t="array" ref="U13">1-PRODUCT(IF(Students=E13,MGRMoneyMult,1))</f>
        <v>0</v>
      </c>
      <c r="V13" s="12">
        <f t="array" ref="V13">1-PRODUCT(IF(Students=E13,RGRMoneyMult,1))</f>
        <v>0</v>
      </c>
      <c r="W13" s="13">
        <f>COUNTIFS(Students,E13,Results,"Accepted!")+COUNTIFS(Students,E13,Results,"CHOICE!")</f>
        <v>0</v>
      </c>
      <c r="X13" s="1">
        <f>COUNTIFS(Students,E13,Results,"Deferred")+COUNTIFS(Students,E13,Results,"Waitlist")</f>
        <v>0</v>
      </c>
      <c r="Y13" s="13">
        <f>COUNTIFS(Students,E13,Results,"Denied")</f>
        <v>0</v>
      </c>
      <c r="Z13" s="13">
        <f>W13+X13+Y13+COUNTIFS(Students,E13,Results,"Submitted")</f>
        <v>0</v>
      </c>
      <c r="AA13" s="12">
        <v>0.7946671891688889</v>
      </c>
      <c r="AB13" s="12">
        <v>0.7943268492765257</v>
      </c>
      <c r="AC13" s="12">
        <v>0.7553781637093065</v>
      </c>
      <c r="AD13" s="12">
        <v>0.7474862578270637</v>
      </c>
      <c r="AE13" s="13">
        <f>COUNTIFS(Students,E13,Results,"CHOICE!")</f>
        <v>0</v>
      </c>
      <c r="AF13" s="1">
        <f>COUNTIFS(MoneyYesNo,1,RGRcount,1,Students,E13,Results,"Accepted!")</f>
        <v>0</v>
      </c>
      <c r="AG13" s="1">
        <f>COUNTIFS(MoneyYesNo,1,MGRcount,1,Students,E13,Results,"Accepted!")-AF13</f>
        <v>0</v>
      </c>
      <c r="AH13" s="1">
        <f>COUNTIFS(MoneyYesNo,1,Students,E13,Results,"Accepted!")-AF13-AG13</f>
        <v>0</v>
      </c>
      <c r="AI13" s="13">
        <f>COUNTIFS(Students,E13,Results,"Accepted!")-AF13-AG13-AH13</f>
        <v>0</v>
      </c>
      <c r="AJ13" s="1">
        <f>SUMIFS(RGRcount,Students,E13,MoneyYesNo,1)</f>
        <v>0</v>
      </c>
      <c r="AK13" s="1">
        <f>SUMIFS(MGRcount,Students,E13,MoneyYesNo,1)-AJ13</f>
        <v>0</v>
      </c>
      <c r="AL13" s="1">
        <f>SUMIF(Students,E13,MoneyYesNo)-AJ13-AK13</f>
        <v>0</v>
      </c>
      <c r="AM13" s="13">
        <f>SUM(AJ13,AK13,AL13)</f>
        <v>0</v>
      </c>
      <c r="AN13" s="1">
        <f>SUMIF(Students,E13,RGRcount)</f>
        <v>0</v>
      </c>
      <c r="AO13" s="1">
        <f>SUMIF(Students,E13,MGRcount)-AN13</f>
        <v>0</v>
      </c>
      <c r="AP13" s="1">
        <f>COUNTIF(Students,E13)-AN13-AO13</f>
        <v>0</v>
      </c>
      <c r="AQ13" s="1">
        <f>SUMIF(Students,E13,FarBelowTGRCount)</f>
        <v>0</v>
      </c>
      <c r="AR13" s="47">
        <f>COUNTIF(Students,E13)</f>
        <v>0</v>
      </c>
      <c r="AS13" s="11">
        <f>IF(AR13&gt;0,Z13/AR13,0)</f>
        <v>0</v>
      </c>
      <c r="AT13" s="11">
        <f t="array" ref="AT13">1-PRODUCT(IF(Students=E13,MGRMult,1))</f>
        <v>0</v>
      </c>
      <c r="AU13" s="12">
        <f t="array" ref="AU13">1-PRODUCT(IF(Students=E13,RGRMult,1))</f>
        <v>0</v>
      </c>
      <c r="AV13" s="1">
        <f>COUNTIFS(Students,E13,Classes,HailMaryLabel)</f>
        <v>0</v>
      </c>
      <c r="AW13" s="1">
        <f>COUNTIFS(Students,E13,Classes,LongshotLabel)</f>
        <v>0</v>
      </c>
      <c r="AX13" s="1">
        <f>COUNTIFS(Students,E13,Classes,ReachLabel)</f>
        <v>0</v>
      </c>
      <c r="AY13" s="1">
        <f>COUNTIFS(Students,E13,Classes,MatchLabel)</f>
        <v>0</v>
      </c>
      <c r="AZ13" s="1">
        <f>COUNTIFS(Students,E13,Classes,SafetyLabel)</f>
        <v>0</v>
      </c>
      <c r="BA13" s="1">
        <f>COUNTIFS(Students,E13,Classes,SecureLabel)</f>
        <v>0</v>
      </c>
      <c r="BB13" s="1">
        <f>COUNTIFS(Students,E13,Classes,SureThingLabel)</f>
        <v>0</v>
      </c>
      <c r="BC13" s="13">
        <f>COUNTIFS(Students,E13,Classes,"Other")</f>
        <v>0</v>
      </c>
      <c r="BD13" s="1">
        <f>COUNTIFS(Students,E13,Classes,ReachLabel,MoneyYesNo,1)</f>
        <v>0</v>
      </c>
      <c r="BE13" s="1">
        <f>COUNTIFS(Students,E13,Classes,MatchLabel,MoneyYesNo,1)</f>
        <v>0</v>
      </c>
      <c r="BF13" s="1">
        <f>COUNTIFS(Students,E13,Classes,SafetyLabel,MoneyYesNo,1)</f>
        <v>0</v>
      </c>
      <c r="BG13" s="1">
        <f>COUNTIFS(Students,E13,Classes,SecureLabel,MoneyYesNo,1)</f>
        <v>0</v>
      </c>
      <c r="BH13" s="1">
        <f>COUNTIFS(Students,E13,Classes,SureThingLabel,MoneyYesNo,1)</f>
        <v>0</v>
      </c>
      <c r="BI13" s="1">
        <f>SUM(BD13:BH13)</f>
        <v>0</v>
      </c>
      <c r="BJ13" s="1">
        <f>SUMIFS(RGRcount,Students,E13,MoneyYesNo,1,Odds,"&gt;=20")</f>
        <v>0</v>
      </c>
      <c r="BK13" s="1">
        <f>SUMIFS(MGRcount,Students,E13,MoneyYesNo,1,Odds,"&gt;=20")-BJ13</f>
        <v>0</v>
      </c>
      <c r="BL13" s="1">
        <f>SUMIFS(RGRcount,Students,E13,MoneyYesNo,1,Odds,"&gt;=10")</f>
        <v>0</v>
      </c>
      <c r="BM13" s="1">
        <f>SUMIFS(MGRcount,Students,E13,MoneyYesNo,1,Odds,"&gt;=10")-BL13</f>
        <v>0</v>
      </c>
      <c r="BN13" s="1">
        <f>COUNTIFS(Students,E13,ILPublic,1)</f>
        <v>0</v>
      </c>
      <c r="BO13" s="1">
        <f>COUNTIFS(Students,E13,ILPublic,1, Classes,MatchLabel)+COUNTIFS(Students,E13,ILPublic,1, Classes,SafetyLabel)+COUNTIFS(Students,E13,ILPublic,1, Classes,SecureLabel)</f>
        <v>0</v>
      </c>
      <c r="BP13" s="1">
        <f>COUNTIFS(Students,E13,ILPublic,1, Classes,SecureLabel)</f>
        <v>0</v>
      </c>
      <c r="BQ13" s="1">
        <f>COUNTIFS(Students,E13,MoneyChicago,1)</f>
        <v>0</v>
      </c>
      <c r="BR13" s="1">
        <f>COUNTIFS(Students,E13,MatchOrUnder,1)</f>
        <v>0</v>
      </c>
      <c r="BS13" s="1">
        <f>SUMIF(Students,E13,MGRcount)</f>
        <v>0</v>
      </c>
      <c r="BT13" s="1">
        <f>COUNTIFS(Students,E13,BadMoney,1)</f>
        <v>0</v>
      </c>
      <c r="BU13" s="1">
        <f>COUNTIFS(Students,E13,GoldenThree,1)</f>
        <v>0</v>
      </c>
    </row>
    <row r="14" spans="1:73">
      <c r="A14" s="18" t="s">
        <v>86</v>
      </c>
      <c r="B14" s="19">
        <v>0</v>
      </c>
      <c r="C14" s="18" t="s">
        <v>87</v>
      </c>
      <c r="D14" s="18" t="s">
        <v>135</v>
      </c>
      <c r="E14" s="19">
        <v>30323072</v>
      </c>
      <c r="F14" s="19" t="s">
        <v>136</v>
      </c>
      <c r="G14" s="10" t="s">
        <v>137</v>
      </c>
      <c r="H14" s="46">
        <v>3.65</v>
      </c>
      <c r="I14" s="1">
        <v>24</v>
      </c>
      <c r="J14" s="1">
        <v>1130</v>
      </c>
      <c r="K14" s="1">
        <f>IF(ISNUMBER(J14),VLOOKUP(J14,SATtoACT,2,FALSE),"TBD")</f>
        <v>0</v>
      </c>
      <c r="L14" s="1">
        <f>IF(ISNUMBER(I14),IF(ISNUMBER(K14),MAX(I14,K14),I14),IF(ISNUMBER(K14),K14,"TBD"))</f>
        <v>0</v>
      </c>
      <c r="M14" s="1" t="s">
        <v>91</v>
      </c>
      <c r="N14" s="1">
        <f>IF(AND(H14&lt;&gt;0,L14&lt;&gt;0),IF(ISNUMBER(VLOOKUP(TEXT(MAX(FLOOR(H14*10,1)/10,1.5),"0.0")&amp;":"&amp;MAX(L14,12),StrategyLookup,4,FALSE)),VLOOKUP(TEXT(MAX(FLOOR(H14*10,1)/10,1.5),"0.0")&amp;":"&amp;MAX(L14,12),StrategyLookup,4,FALSE),"TBD"),"TBD")</f>
        <v>0</v>
      </c>
      <c r="O14" s="11">
        <f>IF(ISNUMBER(N14),VLOOKUP(IF(OR(N14=5,N14=6),N14&amp;IF(H14&gt;=3,"+","&lt;"),N14&amp;""),TargetLookup,IF(B14=-1,6,IF(OR(M14="W",M14="A"),4,2)),FALSE),"TBD")</f>
        <v>0</v>
      </c>
      <c r="P14" s="11">
        <f>IF(ISNUMBER(N14),VLOOKUP(IF(OR(N14=5,N14=6),N14&amp;IF(H14&gt;=3,"+","&lt;"),N14&amp;""),TargetLookup,IF(B14=-1,7,IF(OR(M14="W",M14="A"),5,3)),FALSE),"TBD")</f>
        <v>0</v>
      </c>
      <c r="Q14" s="18" t="s">
        <v>120</v>
      </c>
      <c r="R14" s="19" t="s">
        <v>116</v>
      </c>
      <c r="S14" s="19" t="s">
        <v>94</v>
      </c>
      <c r="T14" s="19">
        <f>Q14&amp;S14&amp;D14</f>
        <v>0</v>
      </c>
      <c r="U14" s="11">
        <f t="array" ref="U14">1-PRODUCT(IF(Students=E14,MGRMoneyMult,1))</f>
        <v>0</v>
      </c>
      <c r="V14" s="12">
        <f t="array" ref="V14">1-PRODUCT(IF(Students=E14,RGRMoneyMult,1))</f>
        <v>0</v>
      </c>
      <c r="W14" s="13">
        <f>COUNTIFS(Students,E14,Results,"Accepted!")+COUNTIFS(Students,E14,Results,"CHOICE!")</f>
        <v>0</v>
      </c>
      <c r="X14" s="1">
        <f>COUNTIFS(Students,E14,Results,"Deferred")+COUNTIFS(Students,E14,Results,"Waitlist")</f>
        <v>0</v>
      </c>
      <c r="Y14" s="13">
        <f>COUNTIFS(Students,E14,Results,"Denied")</f>
        <v>0</v>
      </c>
      <c r="Z14" s="13">
        <f>W14+X14+Y14+COUNTIFS(Students,E14,Results,"Submitted")</f>
        <v>0</v>
      </c>
      <c r="AA14" s="12">
        <v>0.8648237884075083</v>
      </c>
      <c r="AB14" s="12">
        <v>0.8427280738014135</v>
      </c>
      <c r="AC14" s="12">
        <v>0.8012857713887409</v>
      </c>
      <c r="AD14" s="12">
        <v>0.7913473508296243</v>
      </c>
      <c r="AE14" s="13">
        <f>COUNTIFS(Students,E14,Results,"CHOICE!")</f>
        <v>0</v>
      </c>
      <c r="AF14" s="1">
        <f>COUNTIFS(MoneyYesNo,1,RGRcount,1,Students,E14,Results,"Accepted!")</f>
        <v>0</v>
      </c>
      <c r="AG14" s="1">
        <f>COUNTIFS(MoneyYesNo,1,MGRcount,1,Students,E14,Results,"Accepted!")-AF14</f>
        <v>0</v>
      </c>
      <c r="AH14" s="1">
        <f>COUNTIFS(MoneyYesNo,1,Students,E14,Results,"Accepted!")-AF14-AG14</f>
        <v>0</v>
      </c>
      <c r="AI14" s="13">
        <f>COUNTIFS(Students,E14,Results,"Accepted!")-AF14-AG14-AH14</f>
        <v>0</v>
      </c>
      <c r="AJ14" s="1">
        <f>SUMIFS(RGRcount,Students,E14,MoneyYesNo,1)</f>
        <v>0</v>
      </c>
      <c r="AK14" s="1">
        <f>SUMIFS(MGRcount,Students,E14,MoneyYesNo,1)-AJ14</f>
        <v>0</v>
      </c>
      <c r="AL14" s="1">
        <f>SUMIF(Students,E14,MoneyYesNo)-AJ14-AK14</f>
        <v>0</v>
      </c>
      <c r="AM14" s="13">
        <f>SUM(AJ14,AK14,AL14)</f>
        <v>0</v>
      </c>
      <c r="AN14" s="1">
        <f>SUMIF(Students,E14,RGRcount)</f>
        <v>0</v>
      </c>
      <c r="AO14" s="1">
        <f>SUMIF(Students,E14,MGRcount)-AN14</f>
        <v>0</v>
      </c>
      <c r="AP14" s="1">
        <f>COUNTIF(Students,E14)-AN14-AO14</f>
        <v>0</v>
      </c>
      <c r="AQ14" s="1">
        <f>SUMIF(Students,E14,FarBelowTGRCount)</f>
        <v>0</v>
      </c>
      <c r="AR14" s="47">
        <f>COUNTIF(Students,E14)</f>
        <v>0</v>
      </c>
      <c r="AS14" s="11">
        <f>IF(AR14&gt;0,Z14/AR14,0)</f>
        <v>0</v>
      </c>
      <c r="AT14" s="11">
        <f t="array" ref="AT14">1-PRODUCT(IF(Students=E14,MGRMult,1))</f>
        <v>0</v>
      </c>
      <c r="AU14" s="12">
        <f t="array" ref="AU14">1-PRODUCT(IF(Students=E14,RGRMult,1))</f>
        <v>0</v>
      </c>
      <c r="AV14" s="1">
        <f>COUNTIFS(Students,E14,Classes,HailMaryLabel)</f>
        <v>0</v>
      </c>
      <c r="AW14" s="1">
        <f>COUNTIFS(Students,E14,Classes,LongshotLabel)</f>
        <v>0</v>
      </c>
      <c r="AX14" s="1">
        <f>COUNTIFS(Students,E14,Classes,ReachLabel)</f>
        <v>0</v>
      </c>
      <c r="AY14" s="1">
        <f>COUNTIFS(Students,E14,Classes,MatchLabel)</f>
        <v>0</v>
      </c>
      <c r="AZ14" s="1">
        <f>COUNTIFS(Students,E14,Classes,SafetyLabel)</f>
        <v>0</v>
      </c>
      <c r="BA14" s="1">
        <f>COUNTIFS(Students,E14,Classes,SecureLabel)</f>
        <v>0</v>
      </c>
      <c r="BB14" s="1">
        <f>COUNTIFS(Students,E14,Classes,SureThingLabel)</f>
        <v>0</v>
      </c>
      <c r="BC14" s="13">
        <f>COUNTIFS(Students,E14,Classes,"Other")</f>
        <v>0</v>
      </c>
      <c r="BD14" s="1">
        <f>COUNTIFS(Students,E14,Classes,ReachLabel,MoneyYesNo,1)</f>
        <v>0</v>
      </c>
      <c r="BE14" s="1">
        <f>COUNTIFS(Students,E14,Classes,MatchLabel,MoneyYesNo,1)</f>
        <v>0</v>
      </c>
      <c r="BF14" s="1">
        <f>COUNTIFS(Students,E14,Classes,SafetyLabel,MoneyYesNo,1)</f>
        <v>0</v>
      </c>
      <c r="BG14" s="1">
        <f>COUNTIFS(Students,E14,Classes,SecureLabel,MoneyYesNo,1)</f>
        <v>0</v>
      </c>
      <c r="BH14" s="1">
        <f>COUNTIFS(Students,E14,Classes,SureThingLabel,MoneyYesNo,1)</f>
        <v>0</v>
      </c>
      <c r="BI14" s="1">
        <f>SUM(BD14:BH14)</f>
        <v>0</v>
      </c>
      <c r="BJ14" s="1">
        <f>SUMIFS(RGRcount,Students,E14,MoneyYesNo,1,Odds,"&gt;=20")</f>
        <v>0</v>
      </c>
      <c r="BK14" s="1">
        <f>SUMIFS(MGRcount,Students,E14,MoneyYesNo,1,Odds,"&gt;=20")-BJ14</f>
        <v>0</v>
      </c>
      <c r="BL14" s="1">
        <f>SUMIFS(RGRcount,Students,E14,MoneyYesNo,1,Odds,"&gt;=10")</f>
        <v>0</v>
      </c>
      <c r="BM14" s="1">
        <f>SUMIFS(MGRcount,Students,E14,MoneyYesNo,1,Odds,"&gt;=10")-BL14</f>
        <v>0</v>
      </c>
      <c r="BN14" s="1">
        <f>COUNTIFS(Students,E14,ILPublic,1)</f>
        <v>0</v>
      </c>
      <c r="BO14" s="1">
        <f>COUNTIFS(Students,E14,ILPublic,1, Classes,MatchLabel)+COUNTIFS(Students,E14,ILPublic,1, Classes,SafetyLabel)+COUNTIFS(Students,E14,ILPublic,1, Classes,SecureLabel)</f>
        <v>0</v>
      </c>
      <c r="BP14" s="1">
        <f>COUNTIFS(Students,E14,ILPublic,1, Classes,SecureLabel)</f>
        <v>0</v>
      </c>
      <c r="BQ14" s="1">
        <f>COUNTIFS(Students,E14,MoneyChicago,1)</f>
        <v>0</v>
      </c>
      <c r="BR14" s="1">
        <f>COUNTIFS(Students,E14,MatchOrUnder,1)</f>
        <v>0</v>
      </c>
      <c r="BS14" s="1">
        <f>SUMIF(Students,E14,MGRcount)</f>
        <v>0</v>
      </c>
      <c r="BT14" s="1">
        <f>COUNTIFS(Students,E14,BadMoney,1)</f>
        <v>0</v>
      </c>
      <c r="BU14" s="1">
        <f>COUNTIFS(Students,E14,GoldenThree,1)</f>
        <v>0</v>
      </c>
    </row>
    <row r="15" spans="1:73">
      <c r="A15" s="18" t="s">
        <v>86</v>
      </c>
      <c r="B15" s="19">
        <v>-1</v>
      </c>
      <c r="C15" s="18" t="s">
        <v>138</v>
      </c>
      <c r="D15" s="18" t="s">
        <v>139</v>
      </c>
      <c r="E15" s="19">
        <v>23463287</v>
      </c>
      <c r="F15" s="19" t="s">
        <v>140</v>
      </c>
      <c r="G15" s="10" t="s">
        <v>141</v>
      </c>
      <c r="H15" s="46">
        <v>2.0821</v>
      </c>
      <c r="I15" s="1">
        <v>13</v>
      </c>
      <c r="J15" s="1">
        <v>1140</v>
      </c>
      <c r="K15" s="1">
        <f>IF(ISNUMBER(J15),VLOOKUP(J15,SATtoACT,2,FALSE),"TBD")</f>
        <v>0</v>
      </c>
      <c r="L15" s="1">
        <f>IF(ISNUMBER(I15),IF(ISNUMBER(K15),MAX(I15,K15),I15),IF(ISNUMBER(K15),K15,"TBD"))</f>
        <v>0</v>
      </c>
      <c r="M15" s="1" t="s">
        <v>91</v>
      </c>
      <c r="N15" s="1">
        <f>IF(AND(H15&lt;&gt;0,L15&lt;&gt;0),IF(ISNUMBER(VLOOKUP(TEXT(MAX(FLOOR(H15*10,1)/10,1.5),"0.0")&amp;":"&amp;MAX(L15,12),StrategyLookup,4,FALSE)),VLOOKUP(TEXT(MAX(FLOOR(H15*10,1)/10,1.5),"0.0")&amp;":"&amp;MAX(L15,12),StrategyLookup,4,FALSE),"TBD"),"TBD")</f>
        <v>0</v>
      </c>
      <c r="O15" s="11">
        <f>IF(ISNUMBER(N15),VLOOKUP(IF(OR(N15=5,N15=6),N15&amp;IF(H15&gt;=3,"+","&lt;"),N15&amp;""),TargetLookup,IF(B15=-1,6,IF(OR(M15="W",M15="A"),4,2)),FALSE),"TBD")</f>
        <v>0</v>
      </c>
      <c r="P15" s="11">
        <f>IF(ISNUMBER(N15),VLOOKUP(IF(OR(N15=5,N15=6),N15&amp;IF(H15&gt;=3,"+","&lt;"),N15&amp;""),TargetLookup,IF(B15=-1,7,IF(OR(M15="W",M15="A"),5,3)),FALSE),"TBD")</f>
        <v>0</v>
      </c>
      <c r="Q15" s="18" t="s">
        <v>98</v>
      </c>
      <c r="R15" s="19" t="s">
        <v>131</v>
      </c>
      <c r="S15" s="19" t="s">
        <v>94</v>
      </c>
      <c r="T15" s="19">
        <f>Q15&amp;S15&amp;D15</f>
        <v>0</v>
      </c>
      <c r="U15" s="11">
        <f t="array" ref="U15">1-PRODUCT(IF(Students=E15,MGRMoneyMult,1))</f>
        <v>0</v>
      </c>
      <c r="V15" s="12">
        <f t="array" ref="V15">1-PRODUCT(IF(Students=E15,RGRMoneyMult,1))</f>
        <v>0</v>
      </c>
      <c r="W15" s="13">
        <f>COUNTIFS(Students,E15,Results,"Accepted!")+COUNTIFS(Students,E15,Results,"CHOICE!")</f>
        <v>0</v>
      </c>
      <c r="X15" s="1">
        <f>COUNTIFS(Students,E15,Results,"Deferred")+COUNTIFS(Students,E15,Results,"Waitlist")</f>
        <v>0</v>
      </c>
      <c r="Y15" s="13">
        <f>COUNTIFS(Students,E15,Results,"Denied")</f>
        <v>0</v>
      </c>
      <c r="Z15" s="13">
        <f>W15+X15+Y15+COUNTIFS(Students,E15,Results,"Submitted")</f>
        <v>0</v>
      </c>
      <c r="AA15" s="12">
        <v>0.43670709382784</v>
      </c>
      <c r="AB15" s="12">
        <v>0.4175228288</v>
      </c>
      <c r="AC15" s="12">
        <v>0.3356432203408397</v>
      </c>
      <c r="AD15" s="12">
        <v>0.3077087298303683</v>
      </c>
      <c r="AE15" s="13">
        <f>COUNTIFS(Students,E15,Results,"CHOICE!")</f>
        <v>0</v>
      </c>
      <c r="AF15" s="1">
        <f>COUNTIFS(MoneyYesNo,1,RGRcount,1,Students,E15,Results,"Accepted!")</f>
        <v>0</v>
      </c>
      <c r="AG15" s="1">
        <f>COUNTIFS(MoneyYesNo,1,MGRcount,1,Students,E15,Results,"Accepted!")-AF15</f>
        <v>0</v>
      </c>
      <c r="AH15" s="1">
        <f>COUNTIFS(MoneyYesNo,1,Students,E15,Results,"Accepted!")-AF15-AG15</f>
        <v>0</v>
      </c>
      <c r="AI15" s="13">
        <f>COUNTIFS(Students,E15,Results,"Accepted!")-AF15-AG15-AH15</f>
        <v>0</v>
      </c>
      <c r="AJ15" s="1">
        <f>SUMIFS(RGRcount,Students,E15,MoneyYesNo,1)</f>
        <v>0</v>
      </c>
      <c r="AK15" s="1">
        <f>SUMIFS(MGRcount,Students,E15,MoneyYesNo,1)-AJ15</f>
        <v>0</v>
      </c>
      <c r="AL15" s="1">
        <f>SUMIF(Students,E15,MoneyYesNo)-AJ15-AK15</f>
        <v>0</v>
      </c>
      <c r="AM15" s="13">
        <f>SUM(AJ15,AK15,AL15)</f>
        <v>0</v>
      </c>
      <c r="AN15" s="1">
        <f>SUMIF(Students,E15,RGRcount)</f>
        <v>0</v>
      </c>
      <c r="AO15" s="1">
        <f>SUMIF(Students,E15,MGRcount)-AN15</f>
        <v>0</v>
      </c>
      <c r="AP15" s="1">
        <f>COUNTIF(Students,E15)-AN15-AO15</f>
        <v>0</v>
      </c>
      <c r="AQ15" s="1">
        <f>SUMIF(Students,E15,FarBelowTGRCount)</f>
        <v>0</v>
      </c>
      <c r="AR15" s="47">
        <f>COUNTIF(Students,E15)</f>
        <v>0</v>
      </c>
      <c r="AS15" s="11">
        <f>IF(AR15&gt;0,Z15/AR15,0)</f>
        <v>0</v>
      </c>
      <c r="AT15" s="11">
        <f t="array" ref="AT15">1-PRODUCT(IF(Students=E15,MGRMult,1))</f>
        <v>0</v>
      </c>
      <c r="AU15" s="12">
        <f t="array" ref="AU15">1-PRODUCT(IF(Students=E15,RGRMult,1))</f>
        <v>0</v>
      </c>
      <c r="AV15" s="1">
        <f>COUNTIFS(Students,E15,Classes,HailMaryLabel)</f>
        <v>0</v>
      </c>
      <c r="AW15" s="1">
        <f>COUNTIFS(Students,E15,Classes,LongshotLabel)</f>
        <v>0</v>
      </c>
      <c r="AX15" s="1">
        <f>COUNTIFS(Students,E15,Classes,ReachLabel)</f>
        <v>0</v>
      </c>
      <c r="AY15" s="1">
        <f>COUNTIFS(Students,E15,Classes,MatchLabel)</f>
        <v>0</v>
      </c>
      <c r="AZ15" s="1">
        <f>COUNTIFS(Students,E15,Classes,SafetyLabel)</f>
        <v>0</v>
      </c>
      <c r="BA15" s="1">
        <f>COUNTIFS(Students,E15,Classes,SecureLabel)</f>
        <v>0</v>
      </c>
      <c r="BB15" s="1">
        <f>COUNTIFS(Students,E15,Classes,SureThingLabel)</f>
        <v>0</v>
      </c>
      <c r="BC15" s="13">
        <f>COUNTIFS(Students,E15,Classes,"Other")</f>
        <v>0</v>
      </c>
      <c r="BD15" s="1">
        <f>COUNTIFS(Students,E15,Classes,ReachLabel,MoneyYesNo,1)</f>
        <v>0</v>
      </c>
      <c r="BE15" s="1">
        <f>COUNTIFS(Students,E15,Classes,MatchLabel,MoneyYesNo,1)</f>
        <v>0</v>
      </c>
      <c r="BF15" s="1">
        <f>COUNTIFS(Students,E15,Classes,SafetyLabel,MoneyYesNo,1)</f>
        <v>0</v>
      </c>
      <c r="BG15" s="1">
        <f>COUNTIFS(Students,E15,Classes,SecureLabel,MoneyYesNo,1)</f>
        <v>0</v>
      </c>
      <c r="BH15" s="1">
        <f>COUNTIFS(Students,E15,Classes,SureThingLabel,MoneyYesNo,1)</f>
        <v>0</v>
      </c>
      <c r="BI15" s="1">
        <f>SUM(BD15:BH15)</f>
        <v>0</v>
      </c>
      <c r="BJ15" s="1">
        <f>SUMIFS(RGRcount,Students,E15,MoneyYesNo,1,Odds,"&gt;=20")</f>
        <v>0</v>
      </c>
      <c r="BK15" s="1">
        <f>SUMIFS(MGRcount,Students,E15,MoneyYesNo,1,Odds,"&gt;=20")-BJ15</f>
        <v>0</v>
      </c>
      <c r="BL15" s="1">
        <f>SUMIFS(RGRcount,Students,E15,MoneyYesNo,1,Odds,"&gt;=10")</f>
        <v>0</v>
      </c>
      <c r="BM15" s="1">
        <f>SUMIFS(MGRcount,Students,E15,MoneyYesNo,1,Odds,"&gt;=10")-BL15</f>
        <v>0</v>
      </c>
      <c r="BN15" s="1">
        <f>COUNTIFS(Students,E15,ILPublic,1)</f>
        <v>0</v>
      </c>
      <c r="BO15" s="1">
        <f>COUNTIFS(Students,E15,ILPublic,1, Classes,MatchLabel)+COUNTIFS(Students,E15,ILPublic,1, Classes,SafetyLabel)+COUNTIFS(Students,E15,ILPublic,1, Classes,SecureLabel)</f>
        <v>0</v>
      </c>
      <c r="BP15" s="1">
        <f>COUNTIFS(Students,E15,ILPublic,1, Classes,SecureLabel)</f>
        <v>0</v>
      </c>
      <c r="BQ15" s="1">
        <f>COUNTIFS(Students,E15,MoneyChicago,1)</f>
        <v>0</v>
      </c>
      <c r="BR15" s="1">
        <f>COUNTIFS(Students,E15,MatchOrUnder,1)</f>
        <v>0</v>
      </c>
      <c r="BS15" s="1">
        <f>SUMIF(Students,E15,MGRcount)</f>
        <v>0</v>
      </c>
      <c r="BT15" s="1">
        <f>COUNTIFS(Students,E15,BadMoney,1)</f>
        <v>0</v>
      </c>
      <c r="BU15" s="1">
        <f>COUNTIFS(Students,E15,GoldenThree,1)</f>
        <v>0</v>
      </c>
    </row>
    <row r="16" spans="1:73">
      <c r="A16" s="18" t="s">
        <v>86</v>
      </c>
      <c r="B16" s="19">
        <v>0</v>
      </c>
      <c r="C16" s="18" t="s">
        <v>138</v>
      </c>
      <c r="D16" s="18" t="s">
        <v>142</v>
      </c>
      <c r="E16" s="19">
        <v>21702780</v>
      </c>
      <c r="F16" s="19" t="s">
        <v>143</v>
      </c>
      <c r="G16" s="10" t="s">
        <v>144</v>
      </c>
      <c r="H16" s="46">
        <v>2.5235</v>
      </c>
      <c r="I16" s="1">
        <v>16</v>
      </c>
      <c r="J16" s="1">
        <v>950</v>
      </c>
      <c r="K16" s="1">
        <f>IF(ISNUMBER(J16),VLOOKUP(J16,SATtoACT,2,FALSE),"TBD")</f>
        <v>0</v>
      </c>
      <c r="L16" s="1">
        <f>IF(ISNUMBER(I16),IF(ISNUMBER(K16),MAX(I16,K16),I16),IF(ISNUMBER(K16),K16,"TBD"))</f>
        <v>0</v>
      </c>
      <c r="M16" s="1" t="s">
        <v>91</v>
      </c>
      <c r="N16" s="1">
        <f>IF(AND(H16&lt;&gt;0,L16&lt;&gt;0),IF(ISNUMBER(VLOOKUP(TEXT(MAX(FLOOR(H16*10,1)/10,1.5),"0.0")&amp;":"&amp;MAX(L16,12),StrategyLookup,4,FALSE)),VLOOKUP(TEXT(MAX(FLOOR(H16*10,1)/10,1.5),"0.0")&amp;":"&amp;MAX(L16,12),StrategyLookup,4,FALSE),"TBD"),"TBD")</f>
        <v>0</v>
      </c>
      <c r="O16" s="11">
        <f>IF(ISNUMBER(N16),VLOOKUP(IF(OR(N16=5,N16=6),N16&amp;IF(H16&gt;=3,"+","&lt;"),N16&amp;""),TargetLookup,IF(B16=-1,6,IF(OR(M16="W",M16="A"),4,2)),FALSE),"TBD")</f>
        <v>0</v>
      </c>
      <c r="P16" s="11">
        <f>IF(ISNUMBER(N16),VLOOKUP(IF(OR(N16=5,N16=6),N16&amp;IF(H16&gt;=3,"+","&lt;"),N16&amp;""),TargetLookup,IF(B16=-1,7,IF(OR(M16="W",M16="A"),5,3)),FALSE),"TBD")</f>
        <v>0</v>
      </c>
      <c r="Q16" s="18" t="s">
        <v>145</v>
      </c>
      <c r="R16" s="19" t="s">
        <v>111</v>
      </c>
      <c r="S16" s="19" t="s">
        <v>94</v>
      </c>
      <c r="T16" s="19">
        <f>Q16&amp;S16&amp;D16</f>
        <v>0</v>
      </c>
      <c r="U16" s="11">
        <f t="array" ref="U16">1-PRODUCT(IF(Students=E16,MGRMoneyMult,1))</f>
        <v>0</v>
      </c>
      <c r="V16" s="12">
        <f t="array" ref="V16">1-PRODUCT(IF(Students=E16,RGRMoneyMult,1))</f>
        <v>0</v>
      </c>
      <c r="W16" s="13">
        <f>COUNTIFS(Students,E16,Results,"Accepted!")+COUNTIFS(Students,E16,Results,"CHOICE!")</f>
        <v>0</v>
      </c>
      <c r="X16" s="1">
        <f>COUNTIFS(Students,E16,Results,"Deferred")+COUNTIFS(Students,E16,Results,"Waitlist")</f>
        <v>0</v>
      </c>
      <c r="Y16" s="13">
        <f>COUNTIFS(Students,E16,Results,"Denied")</f>
        <v>0</v>
      </c>
      <c r="Z16" s="13">
        <f>W16+X16+Y16+COUNTIFS(Students,E16,Results,"Submitted")</f>
        <v>0</v>
      </c>
      <c r="AA16" s="12">
        <v>0.4691117294947361</v>
      </c>
      <c r="AB16" s="12">
        <v>0.4243095460766119</v>
      </c>
      <c r="AC16" s="12">
        <v>0.3390402166474585</v>
      </c>
      <c r="AD16" s="12">
        <v>0.3164581532535674</v>
      </c>
      <c r="AE16" s="13">
        <f>COUNTIFS(Students,E16,Results,"CHOICE!")</f>
        <v>0</v>
      </c>
      <c r="AF16" s="1">
        <f>COUNTIFS(MoneyYesNo,1,RGRcount,1,Students,E16,Results,"Accepted!")</f>
        <v>0</v>
      </c>
      <c r="AG16" s="1">
        <f>COUNTIFS(MoneyYesNo,1,MGRcount,1,Students,E16,Results,"Accepted!")-AF16</f>
        <v>0</v>
      </c>
      <c r="AH16" s="1">
        <f>COUNTIFS(MoneyYesNo,1,Students,E16,Results,"Accepted!")-AF16-AG16</f>
        <v>0</v>
      </c>
      <c r="AI16" s="13">
        <f>COUNTIFS(Students,E16,Results,"Accepted!")-AF16-AG16-AH16</f>
        <v>0</v>
      </c>
      <c r="AJ16" s="1">
        <f>SUMIFS(RGRcount,Students,E16,MoneyYesNo,1)</f>
        <v>0</v>
      </c>
      <c r="AK16" s="1">
        <f>SUMIFS(MGRcount,Students,E16,MoneyYesNo,1)-AJ16</f>
        <v>0</v>
      </c>
      <c r="AL16" s="1">
        <f>SUMIF(Students,E16,MoneyYesNo)-AJ16-AK16</f>
        <v>0</v>
      </c>
      <c r="AM16" s="13">
        <f>SUM(AJ16,AK16,AL16)</f>
        <v>0</v>
      </c>
      <c r="AN16" s="1">
        <f>SUMIF(Students,E16,RGRcount)</f>
        <v>0</v>
      </c>
      <c r="AO16" s="1">
        <f>SUMIF(Students,E16,MGRcount)-AN16</f>
        <v>0</v>
      </c>
      <c r="AP16" s="1">
        <f>COUNTIF(Students,E16)-AN16-AO16</f>
        <v>0</v>
      </c>
      <c r="AQ16" s="1">
        <f>SUMIF(Students,E16,FarBelowTGRCount)</f>
        <v>0</v>
      </c>
      <c r="AR16" s="47">
        <f>COUNTIF(Students,E16)</f>
        <v>0</v>
      </c>
      <c r="AS16" s="11">
        <f>IF(AR16&gt;0,Z16/AR16,0)</f>
        <v>0</v>
      </c>
      <c r="AT16" s="11">
        <f t="array" ref="AT16">1-PRODUCT(IF(Students=E16,MGRMult,1))</f>
        <v>0</v>
      </c>
      <c r="AU16" s="12">
        <f t="array" ref="AU16">1-PRODUCT(IF(Students=E16,RGRMult,1))</f>
        <v>0</v>
      </c>
      <c r="AV16" s="1">
        <f>COUNTIFS(Students,E16,Classes,HailMaryLabel)</f>
        <v>0</v>
      </c>
      <c r="AW16" s="1">
        <f>COUNTIFS(Students,E16,Classes,LongshotLabel)</f>
        <v>0</v>
      </c>
      <c r="AX16" s="1">
        <f>COUNTIFS(Students,E16,Classes,ReachLabel)</f>
        <v>0</v>
      </c>
      <c r="AY16" s="1">
        <f>COUNTIFS(Students,E16,Classes,MatchLabel)</f>
        <v>0</v>
      </c>
      <c r="AZ16" s="1">
        <f>COUNTIFS(Students,E16,Classes,SafetyLabel)</f>
        <v>0</v>
      </c>
      <c r="BA16" s="1">
        <f>COUNTIFS(Students,E16,Classes,SecureLabel)</f>
        <v>0</v>
      </c>
      <c r="BB16" s="1">
        <f>COUNTIFS(Students,E16,Classes,SureThingLabel)</f>
        <v>0</v>
      </c>
      <c r="BC16" s="13">
        <f>COUNTIFS(Students,E16,Classes,"Other")</f>
        <v>0</v>
      </c>
      <c r="BD16" s="1">
        <f>COUNTIFS(Students,E16,Classes,ReachLabel,MoneyYesNo,1)</f>
        <v>0</v>
      </c>
      <c r="BE16" s="1">
        <f>COUNTIFS(Students,E16,Classes,MatchLabel,MoneyYesNo,1)</f>
        <v>0</v>
      </c>
      <c r="BF16" s="1">
        <f>COUNTIFS(Students,E16,Classes,SafetyLabel,MoneyYesNo,1)</f>
        <v>0</v>
      </c>
      <c r="BG16" s="1">
        <f>COUNTIFS(Students,E16,Classes,SecureLabel,MoneyYesNo,1)</f>
        <v>0</v>
      </c>
      <c r="BH16" s="1">
        <f>COUNTIFS(Students,E16,Classes,SureThingLabel,MoneyYesNo,1)</f>
        <v>0</v>
      </c>
      <c r="BI16" s="1">
        <f>SUM(BD16:BH16)</f>
        <v>0</v>
      </c>
      <c r="BJ16" s="1">
        <f>SUMIFS(RGRcount,Students,E16,MoneyYesNo,1,Odds,"&gt;=20")</f>
        <v>0</v>
      </c>
      <c r="BK16" s="1">
        <f>SUMIFS(MGRcount,Students,E16,MoneyYesNo,1,Odds,"&gt;=20")-BJ16</f>
        <v>0</v>
      </c>
      <c r="BL16" s="1">
        <f>SUMIFS(RGRcount,Students,E16,MoneyYesNo,1,Odds,"&gt;=10")</f>
        <v>0</v>
      </c>
      <c r="BM16" s="1">
        <f>SUMIFS(MGRcount,Students,E16,MoneyYesNo,1,Odds,"&gt;=10")-BL16</f>
        <v>0</v>
      </c>
      <c r="BN16" s="1">
        <f>COUNTIFS(Students,E16,ILPublic,1)</f>
        <v>0</v>
      </c>
      <c r="BO16" s="1">
        <f>COUNTIFS(Students,E16,ILPublic,1, Classes,MatchLabel)+COUNTIFS(Students,E16,ILPublic,1, Classes,SafetyLabel)+COUNTIFS(Students,E16,ILPublic,1, Classes,SecureLabel)</f>
        <v>0</v>
      </c>
      <c r="BP16" s="1">
        <f>COUNTIFS(Students,E16,ILPublic,1, Classes,SecureLabel)</f>
        <v>0</v>
      </c>
      <c r="BQ16" s="1">
        <f>COUNTIFS(Students,E16,MoneyChicago,1)</f>
        <v>0</v>
      </c>
      <c r="BR16" s="1">
        <f>COUNTIFS(Students,E16,MatchOrUnder,1)</f>
        <v>0</v>
      </c>
      <c r="BS16" s="1">
        <f>SUMIF(Students,E16,MGRcount)</f>
        <v>0</v>
      </c>
      <c r="BT16" s="1">
        <f>COUNTIFS(Students,E16,BadMoney,1)</f>
        <v>0</v>
      </c>
      <c r="BU16" s="1">
        <f>COUNTIFS(Students,E16,GoldenThree,1)</f>
        <v>0</v>
      </c>
    </row>
    <row r="17" spans="1:73">
      <c r="A17" s="18" t="s">
        <v>86</v>
      </c>
      <c r="B17" s="19">
        <v>0</v>
      </c>
      <c r="C17" s="18" t="s">
        <v>87</v>
      </c>
      <c r="D17" s="18" t="s">
        <v>146</v>
      </c>
      <c r="E17" s="19">
        <v>23319069</v>
      </c>
      <c r="F17" s="19" t="s">
        <v>147</v>
      </c>
      <c r="G17" s="10" t="s">
        <v>148</v>
      </c>
      <c r="H17" s="46">
        <v>3.4923</v>
      </c>
      <c r="I17" s="1">
        <v>20</v>
      </c>
      <c r="J17" s="1">
        <v>1060</v>
      </c>
      <c r="K17" s="1">
        <f>IF(ISNUMBER(J17),VLOOKUP(J17,SATtoACT,2,FALSE),"TBD")</f>
        <v>0</v>
      </c>
      <c r="L17" s="1">
        <f>IF(ISNUMBER(I17),IF(ISNUMBER(K17),MAX(I17,K17),I17),IF(ISNUMBER(K17),K17,"TBD"))</f>
        <v>0</v>
      </c>
      <c r="M17" s="1" t="s">
        <v>91</v>
      </c>
      <c r="N17" s="1">
        <f>IF(AND(H17&lt;&gt;0,L17&lt;&gt;0),IF(ISNUMBER(VLOOKUP(TEXT(MAX(FLOOR(H17*10,1)/10,1.5),"0.0")&amp;":"&amp;MAX(L17,12),StrategyLookup,4,FALSE)),VLOOKUP(TEXT(MAX(FLOOR(H17*10,1)/10,1.5),"0.0")&amp;":"&amp;MAX(L17,12),StrategyLookup,4,FALSE),"TBD"),"TBD")</f>
        <v>0</v>
      </c>
      <c r="O17" s="11">
        <f>IF(ISNUMBER(N17),VLOOKUP(IF(OR(N17=5,N17=6),N17&amp;IF(H17&gt;=3,"+","&lt;"),N17&amp;""),TargetLookup,IF(B17=-1,6,IF(OR(M17="W",M17="A"),4,2)),FALSE),"TBD")</f>
        <v>0</v>
      </c>
      <c r="P17" s="11">
        <f>IF(ISNUMBER(N17),VLOOKUP(IF(OR(N17=5,N17=6),N17&amp;IF(H17&gt;=3,"+","&lt;"),N17&amp;""),TargetLookup,IF(B17=-1,7,IF(OR(M17="W",M17="A"),5,3)),FALSE),"TBD")</f>
        <v>0</v>
      </c>
      <c r="Q17" s="18" t="s">
        <v>98</v>
      </c>
      <c r="R17" s="19" t="s">
        <v>99</v>
      </c>
      <c r="S17" s="19" t="s">
        <v>94</v>
      </c>
      <c r="T17" s="19">
        <f>Q17&amp;S17&amp;D17</f>
        <v>0</v>
      </c>
      <c r="U17" s="11">
        <f t="array" ref="U17">1-PRODUCT(IF(Students=E17,MGRMoneyMult,1))</f>
        <v>0</v>
      </c>
      <c r="V17" s="12">
        <f t="array" ref="V17">1-PRODUCT(IF(Students=E17,RGRMoneyMult,1))</f>
        <v>0</v>
      </c>
      <c r="W17" s="13">
        <f>COUNTIFS(Students,E17,Results,"Accepted!")+COUNTIFS(Students,E17,Results,"CHOICE!")</f>
        <v>0</v>
      </c>
      <c r="X17" s="1">
        <f>COUNTIFS(Students,E17,Results,"Deferred")+COUNTIFS(Students,E17,Results,"Waitlist")</f>
        <v>0</v>
      </c>
      <c r="Y17" s="13">
        <f>COUNTIFS(Students,E17,Results,"Denied")</f>
        <v>0</v>
      </c>
      <c r="Z17" s="13">
        <f>W17+X17+Y17+COUNTIFS(Students,E17,Results,"Submitted")</f>
        <v>0</v>
      </c>
      <c r="AA17" s="12">
        <v>0.7689876054770795</v>
      </c>
      <c r="AB17" s="12">
        <v>0.7620408087650309</v>
      </c>
      <c r="AC17" s="12">
        <v>0.6995767191633712</v>
      </c>
      <c r="AD17" s="12">
        <v>0.6792949885013415</v>
      </c>
      <c r="AE17" s="13">
        <f>COUNTIFS(Students,E17,Results,"CHOICE!")</f>
        <v>0</v>
      </c>
      <c r="AF17" s="1">
        <f>COUNTIFS(MoneyYesNo,1,RGRcount,1,Students,E17,Results,"Accepted!")</f>
        <v>0</v>
      </c>
      <c r="AG17" s="1">
        <f>COUNTIFS(MoneyYesNo,1,MGRcount,1,Students,E17,Results,"Accepted!")-AF17</f>
        <v>0</v>
      </c>
      <c r="AH17" s="1">
        <f>COUNTIFS(MoneyYesNo,1,Students,E17,Results,"Accepted!")-AF17-AG17</f>
        <v>0</v>
      </c>
      <c r="AI17" s="13">
        <f>COUNTIFS(Students,E17,Results,"Accepted!")-AF17-AG17-AH17</f>
        <v>0</v>
      </c>
      <c r="AJ17" s="1">
        <f>SUMIFS(RGRcount,Students,E17,MoneyYesNo,1)</f>
        <v>0</v>
      </c>
      <c r="AK17" s="1">
        <f>SUMIFS(MGRcount,Students,E17,MoneyYesNo,1)-AJ17</f>
        <v>0</v>
      </c>
      <c r="AL17" s="1">
        <f>SUMIF(Students,E17,MoneyYesNo)-AJ17-AK17</f>
        <v>0</v>
      </c>
      <c r="AM17" s="13">
        <f>SUM(AJ17,AK17,AL17)</f>
        <v>0</v>
      </c>
      <c r="AN17" s="1">
        <f>SUMIF(Students,E17,RGRcount)</f>
        <v>0</v>
      </c>
      <c r="AO17" s="1">
        <f>SUMIF(Students,E17,MGRcount)-AN17</f>
        <v>0</v>
      </c>
      <c r="AP17" s="1">
        <f>COUNTIF(Students,E17)-AN17-AO17</f>
        <v>0</v>
      </c>
      <c r="AQ17" s="1">
        <f>SUMIF(Students,E17,FarBelowTGRCount)</f>
        <v>0</v>
      </c>
      <c r="AR17" s="47">
        <f>COUNTIF(Students,E17)</f>
        <v>0</v>
      </c>
      <c r="AS17" s="11">
        <f>IF(AR17&gt;0,Z17/AR17,0)</f>
        <v>0</v>
      </c>
      <c r="AT17" s="11">
        <f t="array" ref="AT17">1-PRODUCT(IF(Students=E17,MGRMult,1))</f>
        <v>0</v>
      </c>
      <c r="AU17" s="12">
        <f t="array" ref="AU17">1-PRODUCT(IF(Students=E17,RGRMult,1))</f>
        <v>0</v>
      </c>
      <c r="AV17" s="1">
        <f>COUNTIFS(Students,E17,Classes,HailMaryLabel)</f>
        <v>0</v>
      </c>
      <c r="AW17" s="1">
        <f>COUNTIFS(Students,E17,Classes,LongshotLabel)</f>
        <v>0</v>
      </c>
      <c r="AX17" s="1">
        <f>COUNTIFS(Students,E17,Classes,ReachLabel)</f>
        <v>0</v>
      </c>
      <c r="AY17" s="1">
        <f>COUNTIFS(Students,E17,Classes,MatchLabel)</f>
        <v>0</v>
      </c>
      <c r="AZ17" s="1">
        <f>COUNTIFS(Students,E17,Classes,SafetyLabel)</f>
        <v>0</v>
      </c>
      <c r="BA17" s="1">
        <f>COUNTIFS(Students,E17,Classes,SecureLabel)</f>
        <v>0</v>
      </c>
      <c r="BB17" s="1">
        <f>COUNTIFS(Students,E17,Classes,SureThingLabel)</f>
        <v>0</v>
      </c>
      <c r="BC17" s="13">
        <f>COUNTIFS(Students,E17,Classes,"Other")</f>
        <v>0</v>
      </c>
      <c r="BD17" s="1">
        <f>COUNTIFS(Students,E17,Classes,ReachLabel,MoneyYesNo,1)</f>
        <v>0</v>
      </c>
      <c r="BE17" s="1">
        <f>COUNTIFS(Students,E17,Classes,MatchLabel,MoneyYesNo,1)</f>
        <v>0</v>
      </c>
      <c r="BF17" s="1">
        <f>COUNTIFS(Students,E17,Classes,SafetyLabel,MoneyYesNo,1)</f>
        <v>0</v>
      </c>
      <c r="BG17" s="1">
        <f>COUNTIFS(Students,E17,Classes,SecureLabel,MoneyYesNo,1)</f>
        <v>0</v>
      </c>
      <c r="BH17" s="1">
        <f>COUNTIFS(Students,E17,Classes,SureThingLabel,MoneyYesNo,1)</f>
        <v>0</v>
      </c>
      <c r="BI17" s="1">
        <f>SUM(BD17:BH17)</f>
        <v>0</v>
      </c>
      <c r="BJ17" s="1">
        <f>SUMIFS(RGRcount,Students,E17,MoneyYesNo,1,Odds,"&gt;=20")</f>
        <v>0</v>
      </c>
      <c r="BK17" s="1">
        <f>SUMIFS(MGRcount,Students,E17,MoneyYesNo,1,Odds,"&gt;=20")-BJ17</f>
        <v>0</v>
      </c>
      <c r="BL17" s="1">
        <f>SUMIFS(RGRcount,Students,E17,MoneyYesNo,1,Odds,"&gt;=10")</f>
        <v>0</v>
      </c>
      <c r="BM17" s="1">
        <f>SUMIFS(MGRcount,Students,E17,MoneyYesNo,1,Odds,"&gt;=10")-BL17</f>
        <v>0</v>
      </c>
      <c r="BN17" s="1">
        <f>COUNTIFS(Students,E17,ILPublic,1)</f>
        <v>0</v>
      </c>
      <c r="BO17" s="1">
        <f>COUNTIFS(Students,E17,ILPublic,1, Classes,MatchLabel)+COUNTIFS(Students,E17,ILPublic,1, Classes,SafetyLabel)+COUNTIFS(Students,E17,ILPublic,1, Classes,SecureLabel)</f>
        <v>0</v>
      </c>
      <c r="BP17" s="1">
        <f>COUNTIFS(Students,E17,ILPublic,1, Classes,SecureLabel)</f>
        <v>0</v>
      </c>
      <c r="BQ17" s="1">
        <f>COUNTIFS(Students,E17,MoneyChicago,1)</f>
        <v>0</v>
      </c>
      <c r="BR17" s="1">
        <f>COUNTIFS(Students,E17,MatchOrUnder,1)</f>
        <v>0</v>
      </c>
      <c r="BS17" s="1">
        <f>SUMIF(Students,E17,MGRcount)</f>
        <v>0</v>
      </c>
      <c r="BT17" s="1">
        <f>COUNTIFS(Students,E17,BadMoney,1)</f>
        <v>0</v>
      </c>
      <c r="BU17" s="1">
        <f>COUNTIFS(Students,E17,GoldenThree,1)</f>
        <v>0</v>
      </c>
    </row>
    <row r="18" spans="1:73">
      <c r="A18" s="18" t="s">
        <v>86</v>
      </c>
      <c r="B18" s="19">
        <v>0</v>
      </c>
      <c r="C18" s="18" t="s">
        <v>87</v>
      </c>
      <c r="D18" s="18" t="s">
        <v>149</v>
      </c>
      <c r="E18" s="19">
        <v>22942005</v>
      </c>
      <c r="F18" s="19" t="s">
        <v>150</v>
      </c>
      <c r="G18" s="10" t="s">
        <v>151</v>
      </c>
      <c r="H18" s="46">
        <v>2.6375</v>
      </c>
      <c r="I18" s="1">
        <v>18</v>
      </c>
      <c r="J18" s="1">
        <v>790</v>
      </c>
      <c r="K18" s="1">
        <f>IF(ISNUMBER(J18),VLOOKUP(J18,SATtoACT,2,FALSE),"TBD")</f>
        <v>0</v>
      </c>
      <c r="L18" s="1">
        <f>IF(ISNUMBER(I18),IF(ISNUMBER(K18),MAX(I18,K18),I18),IF(ISNUMBER(K18),K18,"TBD"))</f>
        <v>0</v>
      </c>
      <c r="M18" s="1" t="s">
        <v>91</v>
      </c>
      <c r="N18" s="1">
        <f>IF(AND(H18&lt;&gt;0,L18&lt;&gt;0),IF(ISNUMBER(VLOOKUP(TEXT(MAX(FLOOR(H18*10,1)/10,1.5),"0.0")&amp;":"&amp;MAX(L18,12),StrategyLookup,4,FALSE)),VLOOKUP(TEXT(MAX(FLOOR(H18*10,1)/10,1.5),"0.0")&amp;":"&amp;MAX(L18,12),StrategyLookup,4,FALSE),"TBD"),"TBD")</f>
        <v>0</v>
      </c>
      <c r="O18" s="11">
        <f>IF(ISNUMBER(N18),VLOOKUP(IF(OR(N18=5,N18=6),N18&amp;IF(H18&gt;=3,"+","&lt;"),N18&amp;""),TargetLookup,IF(B18=-1,6,IF(OR(M18="W",M18="A"),4,2)),FALSE),"TBD")</f>
        <v>0</v>
      </c>
      <c r="P18" s="11">
        <f>IF(ISNUMBER(N18),VLOOKUP(IF(OR(N18=5,N18=6),N18&amp;IF(H18&gt;=3,"+","&lt;"),N18&amp;""),TargetLookup,IF(B18=-1,7,IF(OR(M18="W",M18="A"),5,3)),FALSE),"TBD")</f>
        <v>0</v>
      </c>
      <c r="Q18" s="18" t="s">
        <v>103</v>
      </c>
      <c r="R18" s="19" t="s">
        <v>93</v>
      </c>
      <c r="S18" s="19" t="s">
        <v>94</v>
      </c>
      <c r="T18" s="19">
        <f>Q18&amp;S18&amp;D18</f>
        <v>0</v>
      </c>
      <c r="U18" s="11">
        <f t="array" ref="U18">1-PRODUCT(IF(Students=E18,MGRMoneyMult,1))</f>
        <v>0</v>
      </c>
      <c r="V18" s="12">
        <f t="array" ref="V18">1-PRODUCT(IF(Students=E18,RGRMoneyMult,1))</f>
        <v>0</v>
      </c>
      <c r="W18" s="13">
        <f>COUNTIFS(Students,E18,Results,"Accepted!")+COUNTIFS(Students,E18,Results,"CHOICE!")</f>
        <v>0</v>
      </c>
      <c r="X18" s="1">
        <f>COUNTIFS(Students,E18,Results,"Deferred")+COUNTIFS(Students,E18,Results,"Waitlist")</f>
        <v>0</v>
      </c>
      <c r="Y18" s="13">
        <f>COUNTIFS(Students,E18,Results,"Denied")</f>
        <v>0</v>
      </c>
      <c r="Z18" s="13">
        <f>W18+X18+Y18+COUNTIFS(Students,E18,Results,"Submitted")</f>
        <v>0</v>
      </c>
      <c r="AA18" s="12">
        <v>0.5225542375642556</v>
      </c>
      <c r="AB18" s="12">
        <v>0.5061278422658719</v>
      </c>
      <c r="AC18" s="12">
        <v>0.4227823291575738</v>
      </c>
      <c r="AD18" s="12">
        <v>0.4093944896911</v>
      </c>
      <c r="AE18" s="13">
        <f>COUNTIFS(Students,E18,Results,"CHOICE!")</f>
        <v>0</v>
      </c>
      <c r="AF18" s="1">
        <f>COUNTIFS(MoneyYesNo,1,RGRcount,1,Students,E18,Results,"Accepted!")</f>
        <v>0</v>
      </c>
      <c r="AG18" s="1">
        <f>COUNTIFS(MoneyYesNo,1,MGRcount,1,Students,E18,Results,"Accepted!")-AF18</f>
        <v>0</v>
      </c>
      <c r="AH18" s="1">
        <f>COUNTIFS(MoneyYesNo,1,Students,E18,Results,"Accepted!")-AF18-AG18</f>
        <v>0</v>
      </c>
      <c r="AI18" s="13">
        <f>COUNTIFS(Students,E18,Results,"Accepted!")-AF18-AG18-AH18</f>
        <v>0</v>
      </c>
      <c r="AJ18" s="1">
        <f>SUMIFS(RGRcount,Students,E18,MoneyYesNo,1)</f>
        <v>0</v>
      </c>
      <c r="AK18" s="1">
        <f>SUMIFS(MGRcount,Students,E18,MoneyYesNo,1)-AJ18</f>
        <v>0</v>
      </c>
      <c r="AL18" s="1">
        <f>SUMIF(Students,E18,MoneyYesNo)-AJ18-AK18</f>
        <v>0</v>
      </c>
      <c r="AM18" s="13">
        <f>SUM(AJ18,AK18,AL18)</f>
        <v>0</v>
      </c>
      <c r="AN18" s="1">
        <f>SUMIF(Students,E18,RGRcount)</f>
        <v>0</v>
      </c>
      <c r="AO18" s="1">
        <f>SUMIF(Students,E18,MGRcount)-AN18</f>
        <v>0</v>
      </c>
      <c r="AP18" s="1">
        <f>COUNTIF(Students,E18)-AN18-AO18</f>
        <v>0</v>
      </c>
      <c r="AQ18" s="1">
        <f>SUMIF(Students,E18,FarBelowTGRCount)</f>
        <v>0</v>
      </c>
      <c r="AR18" s="47">
        <f>COUNTIF(Students,E18)</f>
        <v>0</v>
      </c>
      <c r="AS18" s="11">
        <f>IF(AR18&gt;0,Z18/AR18,0)</f>
        <v>0</v>
      </c>
      <c r="AT18" s="11">
        <f t="array" ref="AT18">1-PRODUCT(IF(Students=E18,MGRMult,1))</f>
        <v>0</v>
      </c>
      <c r="AU18" s="12">
        <f t="array" ref="AU18">1-PRODUCT(IF(Students=E18,RGRMult,1))</f>
        <v>0</v>
      </c>
      <c r="AV18" s="1">
        <f>COUNTIFS(Students,E18,Classes,HailMaryLabel)</f>
        <v>0</v>
      </c>
      <c r="AW18" s="1">
        <f>COUNTIFS(Students,E18,Classes,LongshotLabel)</f>
        <v>0</v>
      </c>
      <c r="AX18" s="1">
        <f>COUNTIFS(Students,E18,Classes,ReachLabel)</f>
        <v>0</v>
      </c>
      <c r="AY18" s="1">
        <f>COUNTIFS(Students,E18,Classes,MatchLabel)</f>
        <v>0</v>
      </c>
      <c r="AZ18" s="1">
        <f>COUNTIFS(Students,E18,Classes,SafetyLabel)</f>
        <v>0</v>
      </c>
      <c r="BA18" s="1">
        <f>COUNTIFS(Students,E18,Classes,SecureLabel)</f>
        <v>0</v>
      </c>
      <c r="BB18" s="1">
        <f>COUNTIFS(Students,E18,Classes,SureThingLabel)</f>
        <v>0</v>
      </c>
      <c r="BC18" s="13">
        <f>COUNTIFS(Students,E18,Classes,"Other")</f>
        <v>0</v>
      </c>
      <c r="BD18" s="1">
        <f>COUNTIFS(Students,E18,Classes,ReachLabel,MoneyYesNo,1)</f>
        <v>0</v>
      </c>
      <c r="BE18" s="1">
        <f>COUNTIFS(Students,E18,Classes,MatchLabel,MoneyYesNo,1)</f>
        <v>0</v>
      </c>
      <c r="BF18" s="1">
        <f>COUNTIFS(Students,E18,Classes,SafetyLabel,MoneyYesNo,1)</f>
        <v>0</v>
      </c>
      <c r="BG18" s="1">
        <f>COUNTIFS(Students,E18,Classes,SecureLabel,MoneyYesNo,1)</f>
        <v>0</v>
      </c>
      <c r="BH18" s="1">
        <f>COUNTIFS(Students,E18,Classes,SureThingLabel,MoneyYesNo,1)</f>
        <v>0</v>
      </c>
      <c r="BI18" s="1">
        <f>SUM(BD18:BH18)</f>
        <v>0</v>
      </c>
      <c r="BJ18" s="1">
        <f>SUMIFS(RGRcount,Students,E18,MoneyYesNo,1,Odds,"&gt;=20")</f>
        <v>0</v>
      </c>
      <c r="BK18" s="1">
        <f>SUMIFS(MGRcount,Students,E18,MoneyYesNo,1,Odds,"&gt;=20")-BJ18</f>
        <v>0</v>
      </c>
      <c r="BL18" s="1">
        <f>SUMIFS(RGRcount,Students,E18,MoneyYesNo,1,Odds,"&gt;=10")</f>
        <v>0</v>
      </c>
      <c r="BM18" s="1">
        <f>SUMIFS(MGRcount,Students,E18,MoneyYesNo,1,Odds,"&gt;=10")-BL18</f>
        <v>0</v>
      </c>
      <c r="BN18" s="1">
        <f>COUNTIFS(Students,E18,ILPublic,1)</f>
        <v>0</v>
      </c>
      <c r="BO18" s="1">
        <f>COUNTIFS(Students,E18,ILPublic,1, Classes,MatchLabel)+COUNTIFS(Students,E18,ILPublic,1, Classes,SafetyLabel)+COUNTIFS(Students,E18,ILPublic,1, Classes,SecureLabel)</f>
        <v>0</v>
      </c>
      <c r="BP18" s="1">
        <f>COUNTIFS(Students,E18,ILPublic,1, Classes,SecureLabel)</f>
        <v>0</v>
      </c>
      <c r="BQ18" s="1">
        <f>COUNTIFS(Students,E18,MoneyChicago,1)</f>
        <v>0</v>
      </c>
      <c r="BR18" s="1">
        <f>COUNTIFS(Students,E18,MatchOrUnder,1)</f>
        <v>0</v>
      </c>
      <c r="BS18" s="1">
        <f>SUMIF(Students,E18,MGRcount)</f>
        <v>0</v>
      </c>
      <c r="BT18" s="1">
        <f>COUNTIFS(Students,E18,BadMoney,1)</f>
        <v>0</v>
      </c>
      <c r="BU18" s="1">
        <f>COUNTIFS(Students,E18,GoldenThree,1)</f>
        <v>0</v>
      </c>
    </row>
    <row r="19" spans="1:73">
      <c r="A19" s="18" t="s">
        <v>86</v>
      </c>
      <c r="B19" s="19">
        <v>-1</v>
      </c>
      <c r="C19" s="18" t="s">
        <v>87</v>
      </c>
      <c r="D19" s="18" t="s">
        <v>152</v>
      </c>
      <c r="E19" s="19">
        <v>23050586</v>
      </c>
      <c r="F19" s="19" t="s">
        <v>153</v>
      </c>
      <c r="G19" s="10" t="s">
        <v>154</v>
      </c>
      <c r="H19" s="46">
        <v>3.2423</v>
      </c>
      <c r="I19" s="1">
        <v>21</v>
      </c>
      <c r="J19" s="1">
        <v>1020</v>
      </c>
      <c r="K19" s="1">
        <f>IF(ISNUMBER(J19),VLOOKUP(J19,SATtoACT,2,FALSE),"TBD")</f>
        <v>0</v>
      </c>
      <c r="L19" s="1">
        <f>IF(ISNUMBER(I19),IF(ISNUMBER(K19),MAX(I19,K19),I19),IF(ISNUMBER(K19),K19,"TBD"))</f>
        <v>0</v>
      </c>
      <c r="M19" s="1" t="s">
        <v>91</v>
      </c>
      <c r="N19" s="1">
        <f>IF(AND(H19&lt;&gt;0,L19&lt;&gt;0),IF(ISNUMBER(VLOOKUP(TEXT(MAX(FLOOR(H19*10,1)/10,1.5),"0.0")&amp;":"&amp;MAX(L19,12),StrategyLookup,4,FALSE)),VLOOKUP(TEXT(MAX(FLOOR(H19*10,1)/10,1.5),"0.0")&amp;":"&amp;MAX(L19,12),StrategyLookup,4,FALSE),"TBD"),"TBD")</f>
        <v>0</v>
      </c>
      <c r="O19" s="11">
        <f>IF(ISNUMBER(N19),VLOOKUP(IF(OR(N19=5,N19=6),N19&amp;IF(H19&gt;=3,"+","&lt;"),N19&amp;""),TargetLookup,IF(B19=-1,6,IF(OR(M19="W",M19="A"),4,2)),FALSE),"TBD")</f>
        <v>0</v>
      </c>
      <c r="P19" s="11">
        <f>IF(ISNUMBER(N19),VLOOKUP(IF(OR(N19=5,N19=6),N19&amp;IF(H19&gt;=3,"+","&lt;"),N19&amp;""),TargetLookup,IF(B19=-1,7,IF(OR(M19="W",M19="A"),5,3)),FALSE),"TBD")</f>
        <v>0</v>
      </c>
      <c r="Q19" s="18" t="s">
        <v>120</v>
      </c>
      <c r="R19" s="19" t="s">
        <v>155</v>
      </c>
      <c r="S19" s="19" t="s">
        <v>94</v>
      </c>
      <c r="T19" s="19">
        <f>Q19&amp;S19&amp;D19</f>
        <v>0</v>
      </c>
      <c r="U19" s="11">
        <f t="array" ref="U19">1-PRODUCT(IF(Students=E19,MGRMoneyMult,1))</f>
        <v>0</v>
      </c>
      <c r="V19" s="12">
        <f t="array" ref="V19">1-PRODUCT(IF(Students=E19,RGRMoneyMult,1))</f>
        <v>0</v>
      </c>
      <c r="W19" s="13">
        <f>COUNTIFS(Students,E19,Results,"Accepted!")+COUNTIFS(Students,E19,Results,"CHOICE!")</f>
        <v>0</v>
      </c>
      <c r="X19" s="1">
        <f>COUNTIFS(Students,E19,Results,"Deferred")+COUNTIFS(Students,E19,Results,"Waitlist")</f>
        <v>0</v>
      </c>
      <c r="Y19" s="13">
        <f>COUNTIFS(Students,E19,Results,"Denied")</f>
        <v>0</v>
      </c>
      <c r="Z19" s="13">
        <f>W19+X19+Y19+COUNTIFS(Students,E19,Results,"Submitted")</f>
        <v>0</v>
      </c>
      <c r="AA19" s="12">
        <v>0.746159073241212</v>
      </c>
      <c r="AB19" s="12">
        <v>0.6675905207955841</v>
      </c>
      <c r="AC19" s="12">
        <v>0.5586766058652659</v>
      </c>
      <c r="AD19" s="12">
        <v>0.536216346817617</v>
      </c>
      <c r="AE19" s="13">
        <f>COUNTIFS(Students,E19,Results,"CHOICE!")</f>
        <v>0</v>
      </c>
      <c r="AF19" s="1">
        <f>COUNTIFS(MoneyYesNo,1,RGRcount,1,Students,E19,Results,"Accepted!")</f>
        <v>0</v>
      </c>
      <c r="AG19" s="1">
        <f>COUNTIFS(MoneyYesNo,1,MGRcount,1,Students,E19,Results,"Accepted!")-AF19</f>
        <v>0</v>
      </c>
      <c r="AH19" s="1">
        <f>COUNTIFS(MoneyYesNo,1,Students,E19,Results,"Accepted!")-AF19-AG19</f>
        <v>0</v>
      </c>
      <c r="AI19" s="13">
        <f>COUNTIFS(Students,E19,Results,"Accepted!")-AF19-AG19-AH19</f>
        <v>0</v>
      </c>
      <c r="AJ19" s="1">
        <f>SUMIFS(RGRcount,Students,E19,MoneyYesNo,1)</f>
        <v>0</v>
      </c>
      <c r="AK19" s="1">
        <f>SUMIFS(MGRcount,Students,E19,MoneyYesNo,1)-AJ19</f>
        <v>0</v>
      </c>
      <c r="AL19" s="1">
        <f>SUMIF(Students,E19,MoneyYesNo)-AJ19-AK19</f>
        <v>0</v>
      </c>
      <c r="AM19" s="13">
        <f>SUM(AJ19,AK19,AL19)</f>
        <v>0</v>
      </c>
      <c r="AN19" s="1">
        <f>SUMIF(Students,E19,RGRcount)</f>
        <v>0</v>
      </c>
      <c r="AO19" s="1">
        <f>SUMIF(Students,E19,MGRcount)-AN19</f>
        <v>0</v>
      </c>
      <c r="AP19" s="1">
        <f>COUNTIF(Students,E19)-AN19-AO19</f>
        <v>0</v>
      </c>
      <c r="AQ19" s="1">
        <f>SUMIF(Students,E19,FarBelowTGRCount)</f>
        <v>0</v>
      </c>
      <c r="AR19" s="47">
        <f>COUNTIF(Students,E19)</f>
        <v>0</v>
      </c>
      <c r="AS19" s="11">
        <f>IF(AR19&gt;0,Z19/AR19,0)</f>
        <v>0</v>
      </c>
      <c r="AT19" s="11">
        <f t="array" ref="AT19">1-PRODUCT(IF(Students=E19,MGRMult,1))</f>
        <v>0</v>
      </c>
      <c r="AU19" s="12">
        <f t="array" ref="AU19">1-PRODUCT(IF(Students=E19,RGRMult,1))</f>
        <v>0</v>
      </c>
      <c r="AV19" s="1">
        <f>COUNTIFS(Students,E19,Classes,HailMaryLabel)</f>
        <v>0</v>
      </c>
      <c r="AW19" s="1">
        <f>COUNTIFS(Students,E19,Classes,LongshotLabel)</f>
        <v>0</v>
      </c>
      <c r="AX19" s="1">
        <f>COUNTIFS(Students,E19,Classes,ReachLabel)</f>
        <v>0</v>
      </c>
      <c r="AY19" s="1">
        <f>COUNTIFS(Students,E19,Classes,MatchLabel)</f>
        <v>0</v>
      </c>
      <c r="AZ19" s="1">
        <f>COUNTIFS(Students,E19,Classes,SafetyLabel)</f>
        <v>0</v>
      </c>
      <c r="BA19" s="1">
        <f>COUNTIFS(Students,E19,Classes,SecureLabel)</f>
        <v>0</v>
      </c>
      <c r="BB19" s="1">
        <f>COUNTIFS(Students,E19,Classes,SureThingLabel)</f>
        <v>0</v>
      </c>
      <c r="BC19" s="13">
        <f>COUNTIFS(Students,E19,Classes,"Other")</f>
        <v>0</v>
      </c>
      <c r="BD19" s="1">
        <f>COUNTIFS(Students,E19,Classes,ReachLabel,MoneyYesNo,1)</f>
        <v>0</v>
      </c>
      <c r="BE19" s="1">
        <f>COUNTIFS(Students,E19,Classes,MatchLabel,MoneyYesNo,1)</f>
        <v>0</v>
      </c>
      <c r="BF19" s="1">
        <f>COUNTIFS(Students,E19,Classes,SafetyLabel,MoneyYesNo,1)</f>
        <v>0</v>
      </c>
      <c r="BG19" s="1">
        <f>COUNTIFS(Students,E19,Classes,SecureLabel,MoneyYesNo,1)</f>
        <v>0</v>
      </c>
      <c r="BH19" s="1">
        <f>COUNTIFS(Students,E19,Classes,SureThingLabel,MoneyYesNo,1)</f>
        <v>0</v>
      </c>
      <c r="BI19" s="1">
        <f>SUM(BD19:BH19)</f>
        <v>0</v>
      </c>
      <c r="BJ19" s="1">
        <f>SUMIFS(RGRcount,Students,E19,MoneyYesNo,1,Odds,"&gt;=20")</f>
        <v>0</v>
      </c>
      <c r="BK19" s="1">
        <f>SUMIFS(MGRcount,Students,E19,MoneyYesNo,1,Odds,"&gt;=20")-BJ19</f>
        <v>0</v>
      </c>
      <c r="BL19" s="1">
        <f>SUMIFS(RGRcount,Students,E19,MoneyYesNo,1,Odds,"&gt;=10")</f>
        <v>0</v>
      </c>
      <c r="BM19" s="1">
        <f>SUMIFS(MGRcount,Students,E19,MoneyYesNo,1,Odds,"&gt;=10")-BL19</f>
        <v>0</v>
      </c>
      <c r="BN19" s="1">
        <f>COUNTIFS(Students,E19,ILPublic,1)</f>
        <v>0</v>
      </c>
      <c r="BO19" s="1">
        <f>COUNTIFS(Students,E19,ILPublic,1, Classes,MatchLabel)+COUNTIFS(Students,E19,ILPublic,1, Classes,SafetyLabel)+COUNTIFS(Students,E19,ILPublic,1, Classes,SecureLabel)</f>
        <v>0</v>
      </c>
      <c r="BP19" s="1">
        <f>COUNTIFS(Students,E19,ILPublic,1, Classes,SecureLabel)</f>
        <v>0</v>
      </c>
      <c r="BQ19" s="1">
        <f>COUNTIFS(Students,E19,MoneyChicago,1)</f>
        <v>0</v>
      </c>
      <c r="BR19" s="1">
        <f>COUNTIFS(Students,E19,MatchOrUnder,1)</f>
        <v>0</v>
      </c>
      <c r="BS19" s="1">
        <f>SUMIF(Students,E19,MGRcount)</f>
        <v>0</v>
      </c>
      <c r="BT19" s="1">
        <f>COUNTIFS(Students,E19,BadMoney,1)</f>
        <v>0</v>
      </c>
      <c r="BU19" s="1">
        <f>COUNTIFS(Students,E19,GoldenThree,1)</f>
        <v>0</v>
      </c>
    </row>
    <row r="20" spans="1:73">
      <c r="A20" s="18" t="s">
        <v>86</v>
      </c>
      <c r="B20" s="19">
        <v>0</v>
      </c>
      <c r="C20" s="18" t="s">
        <v>87</v>
      </c>
      <c r="D20" s="18" t="s">
        <v>156</v>
      </c>
      <c r="E20" s="19">
        <v>30051791</v>
      </c>
      <c r="F20" s="19" t="s">
        <v>157</v>
      </c>
      <c r="G20" s="10" t="s">
        <v>158</v>
      </c>
      <c r="H20" s="46">
        <v>3.8885</v>
      </c>
      <c r="I20" s="1">
        <v>19</v>
      </c>
      <c r="J20" s="1">
        <v>800</v>
      </c>
      <c r="K20" s="1">
        <f>IF(ISNUMBER(J20),VLOOKUP(J20,SATtoACT,2,FALSE),"TBD")</f>
        <v>0</v>
      </c>
      <c r="L20" s="1">
        <f>IF(ISNUMBER(I20),IF(ISNUMBER(K20),MAX(I20,K20),I20),IF(ISNUMBER(K20),K20,"TBD"))</f>
        <v>0</v>
      </c>
      <c r="M20" s="1" t="s">
        <v>91</v>
      </c>
      <c r="N20" s="1">
        <f>IF(AND(H20&lt;&gt;0,L20&lt;&gt;0),IF(ISNUMBER(VLOOKUP(TEXT(MAX(FLOOR(H20*10,1)/10,1.5),"0.0")&amp;":"&amp;MAX(L20,12),StrategyLookup,4,FALSE)),VLOOKUP(TEXT(MAX(FLOOR(H20*10,1)/10,1.5),"0.0")&amp;":"&amp;MAX(L20,12),StrategyLookup,4,FALSE),"TBD"),"TBD")</f>
        <v>0</v>
      </c>
      <c r="O20" s="11">
        <f>IF(ISNUMBER(N20),VLOOKUP(IF(OR(N20=5,N20=6),N20&amp;IF(H20&gt;=3,"+","&lt;"),N20&amp;""),TargetLookup,IF(B20=-1,6,IF(OR(M20="W",M20="A"),4,2)),FALSE),"TBD")</f>
        <v>0</v>
      </c>
      <c r="P20" s="11">
        <f>IF(ISNUMBER(N20),VLOOKUP(IF(OR(N20=5,N20=6),N20&amp;IF(H20&gt;=3,"+","&lt;"),N20&amp;""),TargetLookup,IF(B20=-1,7,IF(OR(M20="W",M20="A"),5,3)),FALSE),"TBD")</f>
        <v>0</v>
      </c>
      <c r="Q20" s="18" t="s">
        <v>145</v>
      </c>
      <c r="R20" s="19" t="s">
        <v>111</v>
      </c>
      <c r="S20" s="19" t="s">
        <v>94</v>
      </c>
      <c r="T20" s="19">
        <f>Q20&amp;S20&amp;D20</f>
        <v>0</v>
      </c>
      <c r="U20" s="11">
        <f t="array" ref="U20">1-PRODUCT(IF(Students=E20,MGRMoneyMult,1))</f>
        <v>0</v>
      </c>
      <c r="V20" s="12">
        <f t="array" ref="V20">1-PRODUCT(IF(Students=E20,RGRMoneyMult,1))</f>
        <v>0</v>
      </c>
      <c r="W20" s="13">
        <f>COUNTIFS(Students,E20,Results,"Accepted!")+COUNTIFS(Students,E20,Results,"CHOICE!")</f>
        <v>0</v>
      </c>
      <c r="X20" s="1">
        <f>COUNTIFS(Students,E20,Results,"Deferred")+COUNTIFS(Students,E20,Results,"Waitlist")</f>
        <v>0</v>
      </c>
      <c r="Y20" s="13">
        <f>COUNTIFS(Students,E20,Results,"Denied")</f>
        <v>0</v>
      </c>
      <c r="Z20" s="13">
        <f>W20+X20+Y20+COUNTIFS(Students,E20,Results,"Submitted")</f>
        <v>0</v>
      </c>
      <c r="AA20" s="12">
        <v>0.8580299599236157</v>
      </c>
      <c r="AB20" s="12">
        <v>0.8223306419275782</v>
      </c>
      <c r="AC20" s="12">
        <v>0.7849768955649117</v>
      </c>
      <c r="AD20" s="12">
        <v>0.7743126829881631</v>
      </c>
      <c r="AE20" s="13">
        <f>COUNTIFS(Students,E20,Results,"CHOICE!")</f>
        <v>0</v>
      </c>
      <c r="AF20" s="1">
        <f>COUNTIFS(MoneyYesNo,1,RGRcount,1,Students,E20,Results,"Accepted!")</f>
        <v>0</v>
      </c>
      <c r="AG20" s="1">
        <f>COUNTIFS(MoneyYesNo,1,MGRcount,1,Students,E20,Results,"Accepted!")-AF20</f>
        <v>0</v>
      </c>
      <c r="AH20" s="1">
        <f>COUNTIFS(MoneyYesNo,1,Students,E20,Results,"Accepted!")-AF20-AG20</f>
        <v>0</v>
      </c>
      <c r="AI20" s="13">
        <f>COUNTIFS(Students,E20,Results,"Accepted!")-AF20-AG20-AH20</f>
        <v>0</v>
      </c>
      <c r="AJ20" s="1">
        <f>SUMIFS(RGRcount,Students,E20,MoneyYesNo,1)</f>
        <v>0</v>
      </c>
      <c r="AK20" s="1">
        <f>SUMIFS(MGRcount,Students,E20,MoneyYesNo,1)-AJ20</f>
        <v>0</v>
      </c>
      <c r="AL20" s="1">
        <f>SUMIF(Students,E20,MoneyYesNo)-AJ20-AK20</f>
        <v>0</v>
      </c>
      <c r="AM20" s="13">
        <f>SUM(AJ20,AK20,AL20)</f>
        <v>0</v>
      </c>
      <c r="AN20" s="1">
        <f>SUMIF(Students,E20,RGRcount)</f>
        <v>0</v>
      </c>
      <c r="AO20" s="1">
        <f>SUMIF(Students,E20,MGRcount)-AN20</f>
        <v>0</v>
      </c>
      <c r="AP20" s="1">
        <f>COUNTIF(Students,E20)-AN20-AO20</f>
        <v>0</v>
      </c>
      <c r="AQ20" s="1">
        <f>SUMIF(Students,E20,FarBelowTGRCount)</f>
        <v>0</v>
      </c>
      <c r="AR20" s="47">
        <f>COUNTIF(Students,E20)</f>
        <v>0</v>
      </c>
      <c r="AS20" s="11">
        <f>IF(AR20&gt;0,Z20/AR20,0)</f>
        <v>0</v>
      </c>
      <c r="AT20" s="11">
        <f t="array" ref="AT20">1-PRODUCT(IF(Students=E20,MGRMult,1))</f>
        <v>0</v>
      </c>
      <c r="AU20" s="12">
        <f t="array" ref="AU20">1-PRODUCT(IF(Students=E20,RGRMult,1))</f>
        <v>0</v>
      </c>
      <c r="AV20" s="1">
        <f>COUNTIFS(Students,E20,Classes,HailMaryLabel)</f>
        <v>0</v>
      </c>
      <c r="AW20" s="1">
        <f>COUNTIFS(Students,E20,Classes,LongshotLabel)</f>
        <v>0</v>
      </c>
      <c r="AX20" s="1">
        <f>COUNTIFS(Students,E20,Classes,ReachLabel)</f>
        <v>0</v>
      </c>
      <c r="AY20" s="1">
        <f>COUNTIFS(Students,E20,Classes,MatchLabel)</f>
        <v>0</v>
      </c>
      <c r="AZ20" s="1">
        <f>COUNTIFS(Students,E20,Classes,SafetyLabel)</f>
        <v>0</v>
      </c>
      <c r="BA20" s="1">
        <f>COUNTIFS(Students,E20,Classes,SecureLabel)</f>
        <v>0</v>
      </c>
      <c r="BB20" s="1">
        <f>COUNTIFS(Students,E20,Classes,SureThingLabel)</f>
        <v>0</v>
      </c>
      <c r="BC20" s="13">
        <f>COUNTIFS(Students,E20,Classes,"Other")</f>
        <v>0</v>
      </c>
      <c r="BD20" s="1">
        <f>COUNTIFS(Students,E20,Classes,ReachLabel,MoneyYesNo,1)</f>
        <v>0</v>
      </c>
      <c r="BE20" s="1">
        <f>COUNTIFS(Students,E20,Classes,MatchLabel,MoneyYesNo,1)</f>
        <v>0</v>
      </c>
      <c r="BF20" s="1">
        <f>COUNTIFS(Students,E20,Classes,SafetyLabel,MoneyYesNo,1)</f>
        <v>0</v>
      </c>
      <c r="BG20" s="1">
        <f>COUNTIFS(Students,E20,Classes,SecureLabel,MoneyYesNo,1)</f>
        <v>0</v>
      </c>
      <c r="BH20" s="1">
        <f>COUNTIFS(Students,E20,Classes,SureThingLabel,MoneyYesNo,1)</f>
        <v>0</v>
      </c>
      <c r="BI20" s="1">
        <f>SUM(BD20:BH20)</f>
        <v>0</v>
      </c>
      <c r="BJ20" s="1">
        <f>SUMIFS(RGRcount,Students,E20,MoneyYesNo,1,Odds,"&gt;=20")</f>
        <v>0</v>
      </c>
      <c r="BK20" s="1">
        <f>SUMIFS(MGRcount,Students,E20,MoneyYesNo,1,Odds,"&gt;=20")-BJ20</f>
        <v>0</v>
      </c>
      <c r="BL20" s="1">
        <f>SUMIFS(RGRcount,Students,E20,MoneyYesNo,1,Odds,"&gt;=10")</f>
        <v>0</v>
      </c>
      <c r="BM20" s="1">
        <f>SUMIFS(MGRcount,Students,E20,MoneyYesNo,1,Odds,"&gt;=10")-BL20</f>
        <v>0</v>
      </c>
      <c r="BN20" s="1">
        <f>COUNTIFS(Students,E20,ILPublic,1)</f>
        <v>0</v>
      </c>
      <c r="BO20" s="1">
        <f>COUNTIFS(Students,E20,ILPublic,1, Classes,MatchLabel)+COUNTIFS(Students,E20,ILPublic,1, Classes,SafetyLabel)+COUNTIFS(Students,E20,ILPublic,1, Classes,SecureLabel)</f>
        <v>0</v>
      </c>
      <c r="BP20" s="1">
        <f>COUNTIFS(Students,E20,ILPublic,1, Classes,SecureLabel)</f>
        <v>0</v>
      </c>
      <c r="BQ20" s="1">
        <f>COUNTIFS(Students,E20,MoneyChicago,1)</f>
        <v>0</v>
      </c>
      <c r="BR20" s="1">
        <f>COUNTIFS(Students,E20,MatchOrUnder,1)</f>
        <v>0</v>
      </c>
      <c r="BS20" s="1">
        <f>SUMIF(Students,E20,MGRcount)</f>
        <v>0</v>
      </c>
      <c r="BT20" s="1">
        <f>COUNTIFS(Students,E20,BadMoney,1)</f>
        <v>0</v>
      </c>
      <c r="BU20" s="1">
        <f>COUNTIFS(Students,E20,GoldenThree,1)</f>
        <v>0</v>
      </c>
    </row>
    <row r="21" spans="1:73">
      <c r="A21" s="18" t="s">
        <v>86</v>
      </c>
      <c r="B21" s="19">
        <v>0</v>
      </c>
      <c r="C21" s="18" t="s">
        <v>87</v>
      </c>
      <c r="D21" s="18" t="s">
        <v>159</v>
      </c>
      <c r="E21" s="19">
        <v>23759127</v>
      </c>
      <c r="F21" s="19" t="s">
        <v>160</v>
      </c>
      <c r="G21" s="10" t="s">
        <v>161</v>
      </c>
      <c r="H21" s="46">
        <v>3.2687</v>
      </c>
      <c r="I21" s="1">
        <v>19</v>
      </c>
      <c r="J21" s="1">
        <v>960</v>
      </c>
      <c r="K21" s="1">
        <f>IF(ISNUMBER(J21),VLOOKUP(J21,SATtoACT,2,FALSE),"TBD")</f>
        <v>0</v>
      </c>
      <c r="L21" s="1">
        <f>IF(ISNUMBER(I21),IF(ISNUMBER(K21),MAX(I21,K21),I21),IF(ISNUMBER(K21),K21,"TBD"))</f>
        <v>0</v>
      </c>
      <c r="M21" s="1" t="s">
        <v>91</v>
      </c>
      <c r="N21" s="1">
        <f>IF(AND(H21&lt;&gt;0,L21&lt;&gt;0),IF(ISNUMBER(VLOOKUP(TEXT(MAX(FLOOR(H21*10,1)/10,1.5),"0.0")&amp;":"&amp;MAX(L21,12),StrategyLookup,4,FALSE)),VLOOKUP(TEXT(MAX(FLOOR(H21*10,1)/10,1.5),"0.0")&amp;":"&amp;MAX(L21,12),StrategyLookup,4,FALSE),"TBD"),"TBD")</f>
        <v>0</v>
      </c>
      <c r="O21" s="11">
        <f>IF(ISNUMBER(N21),VLOOKUP(IF(OR(N21=5,N21=6),N21&amp;IF(H21&gt;=3,"+","&lt;"),N21&amp;""),TargetLookup,IF(B21=-1,6,IF(OR(M21="W",M21="A"),4,2)),FALSE),"TBD")</f>
        <v>0</v>
      </c>
      <c r="P21" s="11">
        <f>IF(ISNUMBER(N21),VLOOKUP(IF(OR(N21=5,N21=6),N21&amp;IF(H21&gt;=3,"+","&lt;"),N21&amp;""),TargetLookup,IF(B21=-1,7,IF(OR(M21="W",M21="A"),5,3)),FALSE),"TBD")</f>
        <v>0</v>
      </c>
      <c r="Q21" s="18" t="s">
        <v>103</v>
      </c>
      <c r="R21" s="19" t="s">
        <v>99</v>
      </c>
      <c r="S21" s="19" t="s">
        <v>94</v>
      </c>
      <c r="T21" s="19">
        <f>Q21&amp;S21&amp;D21</f>
        <v>0</v>
      </c>
      <c r="U21" s="11">
        <f t="array" ref="U21">1-PRODUCT(IF(Students=E21,MGRMoneyMult,1))</f>
        <v>0</v>
      </c>
      <c r="V21" s="12">
        <f t="array" ref="V21">1-PRODUCT(IF(Students=E21,RGRMoneyMult,1))</f>
        <v>0</v>
      </c>
      <c r="W21" s="13">
        <f>COUNTIFS(Students,E21,Results,"Accepted!")+COUNTIFS(Students,E21,Results,"CHOICE!")</f>
        <v>0</v>
      </c>
      <c r="X21" s="1">
        <f>COUNTIFS(Students,E21,Results,"Deferred")+COUNTIFS(Students,E21,Results,"Waitlist")</f>
        <v>0</v>
      </c>
      <c r="Y21" s="13">
        <f>COUNTIFS(Students,E21,Results,"Denied")</f>
        <v>0</v>
      </c>
      <c r="Z21" s="13">
        <f>W21+X21+Y21+COUNTIFS(Students,E21,Results,"Submitted")</f>
        <v>0</v>
      </c>
      <c r="AA21" s="12">
        <v>0.6688056250083769</v>
      </c>
      <c r="AB21" s="12">
        <v>0.6184259034327937</v>
      </c>
      <c r="AC21" s="12">
        <v>0.5496224066245855</v>
      </c>
      <c r="AD21" s="12">
        <v>0.5250035477004451</v>
      </c>
      <c r="AE21" s="13">
        <f>COUNTIFS(Students,E21,Results,"CHOICE!")</f>
        <v>0</v>
      </c>
      <c r="AF21" s="1">
        <f>COUNTIFS(MoneyYesNo,1,RGRcount,1,Students,E21,Results,"Accepted!")</f>
        <v>0</v>
      </c>
      <c r="AG21" s="1">
        <f>COUNTIFS(MoneyYesNo,1,MGRcount,1,Students,E21,Results,"Accepted!")-AF21</f>
        <v>0</v>
      </c>
      <c r="AH21" s="1">
        <f>COUNTIFS(MoneyYesNo,1,Students,E21,Results,"Accepted!")-AF21-AG21</f>
        <v>0</v>
      </c>
      <c r="AI21" s="13">
        <f>COUNTIFS(Students,E21,Results,"Accepted!")-AF21-AG21-AH21</f>
        <v>0</v>
      </c>
      <c r="AJ21" s="1">
        <f>SUMIFS(RGRcount,Students,E21,MoneyYesNo,1)</f>
        <v>0</v>
      </c>
      <c r="AK21" s="1">
        <f>SUMIFS(MGRcount,Students,E21,MoneyYesNo,1)-AJ21</f>
        <v>0</v>
      </c>
      <c r="AL21" s="1">
        <f>SUMIF(Students,E21,MoneyYesNo)-AJ21-AK21</f>
        <v>0</v>
      </c>
      <c r="AM21" s="13">
        <f>SUM(AJ21,AK21,AL21)</f>
        <v>0</v>
      </c>
      <c r="AN21" s="1">
        <f>SUMIF(Students,E21,RGRcount)</f>
        <v>0</v>
      </c>
      <c r="AO21" s="1">
        <f>SUMIF(Students,E21,MGRcount)-AN21</f>
        <v>0</v>
      </c>
      <c r="AP21" s="1">
        <f>COUNTIF(Students,E21)-AN21-AO21</f>
        <v>0</v>
      </c>
      <c r="AQ21" s="1">
        <f>SUMIF(Students,E21,FarBelowTGRCount)</f>
        <v>0</v>
      </c>
      <c r="AR21" s="47">
        <f>COUNTIF(Students,E21)</f>
        <v>0</v>
      </c>
      <c r="AS21" s="11">
        <f>IF(AR21&gt;0,Z21/AR21,0)</f>
        <v>0</v>
      </c>
      <c r="AT21" s="11">
        <f t="array" ref="AT21">1-PRODUCT(IF(Students=E21,MGRMult,1))</f>
        <v>0</v>
      </c>
      <c r="AU21" s="12">
        <f t="array" ref="AU21">1-PRODUCT(IF(Students=E21,RGRMult,1))</f>
        <v>0</v>
      </c>
      <c r="AV21" s="1">
        <f>COUNTIFS(Students,E21,Classes,HailMaryLabel)</f>
        <v>0</v>
      </c>
      <c r="AW21" s="1">
        <f>COUNTIFS(Students,E21,Classes,LongshotLabel)</f>
        <v>0</v>
      </c>
      <c r="AX21" s="1">
        <f>COUNTIFS(Students,E21,Classes,ReachLabel)</f>
        <v>0</v>
      </c>
      <c r="AY21" s="1">
        <f>COUNTIFS(Students,E21,Classes,MatchLabel)</f>
        <v>0</v>
      </c>
      <c r="AZ21" s="1">
        <f>COUNTIFS(Students,E21,Classes,SafetyLabel)</f>
        <v>0</v>
      </c>
      <c r="BA21" s="1">
        <f>COUNTIFS(Students,E21,Classes,SecureLabel)</f>
        <v>0</v>
      </c>
      <c r="BB21" s="1">
        <f>COUNTIFS(Students,E21,Classes,SureThingLabel)</f>
        <v>0</v>
      </c>
      <c r="BC21" s="13">
        <f>COUNTIFS(Students,E21,Classes,"Other")</f>
        <v>0</v>
      </c>
      <c r="BD21" s="1">
        <f>COUNTIFS(Students,E21,Classes,ReachLabel,MoneyYesNo,1)</f>
        <v>0</v>
      </c>
      <c r="BE21" s="1">
        <f>COUNTIFS(Students,E21,Classes,MatchLabel,MoneyYesNo,1)</f>
        <v>0</v>
      </c>
      <c r="BF21" s="1">
        <f>COUNTIFS(Students,E21,Classes,SafetyLabel,MoneyYesNo,1)</f>
        <v>0</v>
      </c>
      <c r="BG21" s="1">
        <f>COUNTIFS(Students,E21,Classes,SecureLabel,MoneyYesNo,1)</f>
        <v>0</v>
      </c>
      <c r="BH21" s="1">
        <f>COUNTIFS(Students,E21,Classes,SureThingLabel,MoneyYesNo,1)</f>
        <v>0</v>
      </c>
      <c r="BI21" s="1">
        <f>SUM(BD21:BH21)</f>
        <v>0</v>
      </c>
      <c r="BJ21" s="1">
        <f>SUMIFS(RGRcount,Students,E21,MoneyYesNo,1,Odds,"&gt;=20")</f>
        <v>0</v>
      </c>
      <c r="BK21" s="1">
        <f>SUMIFS(MGRcount,Students,E21,MoneyYesNo,1,Odds,"&gt;=20")-BJ21</f>
        <v>0</v>
      </c>
      <c r="BL21" s="1">
        <f>SUMIFS(RGRcount,Students,E21,MoneyYesNo,1,Odds,"&gt;=10")</f>
        <v>0</v>
      </c>
      <c r="BM21" s="1">
        <f>SUMIFS(MGRcount,Students,E21,MoneyYesNo,1,Odds,"&gt;=10")-BL21</f>
        <v>0</v>
      </c>
      <c r="BN21" s="1">
        <f>COUNTIFS(Students,E21,ILPublic,1)</f>
        <v>0</v>
      </c>
      <c r="BO21" s="1">
        <f>COUNTIFS(Students,E21,ILPublic,1, Classes,MatchLabel)+COUNTIFS(Students,E21,ILPublic,1, Classes,SafetyLabel)+COUNTIFS(Students,E21,ILPublic,1, Classes,SecureLabel)</f>
        <v>0</v>
      </c>
      <c r="BP21" s="1">
        <f>COUNTIFS(Students,E21,ILPublic,1, Classes,SecureLabel)</f>
        <v>0</v>
      </c>
      <c r="BQ21" s="1">
        <f>COUNTIFS(Students,E21,MoneyChicago,1)</f>
        <v>0</v>
      </c>
      <c r="BR21" s="1">
        <f>COUNTIFS(Students,E21,MatchOrUnder,1)</f>
        <v>0</v>
      </c>
      <c r="BS21" s="1">
        <f>SUMIF(Students,E21,MGRcount)</f>
        <v>0</v>
      </c>
      <c r="BT21" s="1">
        <f>COUNTIFS(Students,E21,BadMoney,1)</f>
        <v>0</v>
      </c>
      <c r="BU21" s="1">
        <f>COUNTIFS(Students,E21,GoldenThree,1)</f>
        <v>0</v>
      </c>
    </row>
    <row r="22" spans="1:73">
      <c r="A22" s="18" t="s">
        <v>86</v>
      </c>
      <c r="B22" s="19">
        <v>0</v>
      </c>
      <c r="C22" s="18" t="s">
        <v>87</v>
      </c>
      <c r="D22" s="18" t="s">
        <v>162</v>
      </c>
      <c r="E22" s="19">
        <v>22264507</v>
      </c>
      <c r="F22" s="19" t="s">
        <v>163</v>
      </c>
      <c r="G22" s="10" t="s">
        <v>164</v>
      </c>
      <c r="H22" s="46">
        <v>2.9981</v>
      </c>
      <c r="I22" s="1">
        <v>16</v>
      </c>
      <c r="J22" s="1" t="s">
        <v>165</v>
      </c>
      <c r="K22" s="1">
        <f>IF(ISNUMBER(J22),VLOOKUP(J22,SATtoACT,2,FALSE),"TBD")</f>
        <v>0</v>
      </c>
      <c r="L22" s="1">
        <f>IF(ISNUMBER(I22),IF(ISNUMBER(K22),MAX(I22,K22),I22),IF(ISNUMBER(K22),K22,"TBD"))</f>
        <v>0</v>
      </c>
      <c r="M22" s="1" t="s">
        <v>91</v>
      </c>
      <c r="N22" s="1">
        <f>IF(AND(H22&lt;&gt;0,L22&lt;&gt;0),IF(ISNUMBER(VLOOKUP(TEXT(MAX(FLOOR(H22*10,1)/10,1.5),"0.0")&amp;":"&amp;MAX(L22,12),StrategyLookup,4,FALSE)),VLOOKUP(TEXT(MAX(FLOOR(H22*10,1)/10,1.5),"0.0")&amp;":"&amp;MAX(L22,12),StrategyLookup,4,FALSE),"TBD"),"TBD")</f>
        <v>0</v>
      </c>
      <c r="O22" s="11">
        <f>IF(ISNUMBER(N22),VLOOKUP(IF(OR(N22=5,N22=6),N22&amp;IF(H22&gt;=3,"+","&lt;"),N22&amp;""),TargetLookup,IF(B22=-1,6,IF(OR(M22="W",M22="A"),4,2)),FALSE),"TBD")</f>
        <v>0</v>
      </c>
      <c r="P22" s="11">
        <f>IF(ISNUMBER(N22),VLOOKUP(IF(OR(N22=5,N22=6),N22&amp;IF(H22&gt;=3,"+","&lt;"),N22&amp;""),TargetLookup,IF(B22=-1,7,IF(OR(M22="W",M22="A"),5,3)),FALSE),"TBD")</f>
        <v>0</v>
      </c>
      <c r="Q22" s="18" t="s">
        <v>120</v>
      </c>
      <c r="R22" s="19" t="s">
        <v>116</v>
      </c>
      <c r="S22" s="19" t="s">
        <v>94</v>
      </c>
      <c r="T22" s="19">
        <f>Q22&amp;S22&amp;D22</f>
        <v>0</v>
      </c>
      <c r="U22" s="11">
        <f t="array" ref="U22">1-PRODUCT(IF(Students=E22,MGRMoneyMult,1))</f>
        <v>0</v>
      </c>
      <c r="V22" s="12">
        <f t="array" ref="V22">1-PRODUCT(IF(Students=E22,RGRMoneyMult,1))</f>
        <v>0</v>
      </c>
      <c r="W22" s="13">
        <f>COUNTIFS(Students,E22,Results,"Accepted!")+COUNTIFS(Students,E22,Results,"CHOICE!")</f>
        <v>0</v>
      </c>
      <c r="X22" s="1">
        <f>COUNTIFS(Students,E22,Results,"Deferred")+COUNTIFS(Students,E22,Results,"Waitlist")</f>
        <v>0</v>
      </c>
      <c r="Y22" s="13">
        <f>COUNTIFS(Students,E22,Results,"Denied")</f>
        <v>0</v>
      </c>
      <c r="Z22" s="13">
        <f>W22+X22+Y22+COUNTIFS(Students,E22,Results,"Submitted")</f>
        <v>0</v>
      </c>
      <c r="AA22" s="12">
        <v>0.5609418277828527</v>
      </c>
      <c r="AB22" s="12">
        <v>0.555217830361789</v>
      </c>
      <c r="AC22" s="12">
        <v>0.476662592111125</v>
      </c>
      <c r="AD22" s="12">
        <v>0.4635508446505465</v>
      </c>
      <c r="AE22" s="13">
        <f>COUNTIFS(Students,E22,Results,"CHOICE!")</f>
        <v>0</v>
      </c>
      <c r="AF22" s="1">
        <f>COUNTIFS(MoneyYesNo,1,RGRcount,1,Students,E22,Results,"Accepted!")</f>
        <v>0</v>
      </c>
      <c r="AG22" s="1">
        <f>COUNTIFS(MoneyYesNo,1,MGRcount,1,Students,E22,Results,"Accepted!")-AF22</f>
        <v>0</v>
      </c>
      <c r="AH22" s="1">
        <f>COUNTIFS(MoneyYesNo,1,Students,E22,Results,"Accepted!")-AF22-AG22</f>
        <v>0</v>
      </c>
      <c r="AI22" s="13">
        <f>COUNTIFS(Students,E22,Results,"Accepted!")-AF22-AG22-AH22</f>
        <v>0</v>
      </c>
      <c r="AJ22" s="1">
        <f>SUMIFS(RGRcount,Students,E22,MoneyYesNo,1)</f>
        <v>0</v>
      </c>
      <c r="AK22" s="1">
        <f>SUMIFS(MGRcount,Students,E22,MoneyYesNo,1)-AJ22</f>
        <v>0</v>
      </c>
      <c r="AL22" s="1">
        <f>SUMIF(Students,E22,MoneyYesNo)-AJ22-AK22</f>
        <v>0</v>
      </c>
      <c r="AM22" s="13">
        <f>SUM(AJ22,AK22,AL22)</f>
        <v>0</v>
      </c>
      <c r="AN22" s="1">
        <f>SUMIF(Students,E22,RGRcount)</f>
        <v>0</v>
      </c>
      <c r="AO22" s="1">
        <f>SUMIF(Students,E22,MGRcount)-AN22</f>
        <v>0</v>
      </c>
      <c r="AP22" s="1">
        <f>COUNTIF(Students,E22)-AN22-AO22</f>
        <v>0</v>
      </c>
      <c r="AQ22" s="1">
        <f>SUMIF(Students,E22,FarBelowTGRCount)</f>
        <v>0</v>
      </c>
      <c r="AR22" s="47">
        <f>COUNTIF(Students,E22)</f>
        <v>0</v>
      </c>
      <c r="AS22" s="11">
        <f>IF(AR22&gt;0,Z22/AR22,0)</f>
        <v>0</v>
      </c>
      <c r="AT22" s="11">
        <f t="array" ref="AT22">1-PRODUCT(IF(Students=E22,MGRMult,1))</f>
        <v>0</v>
      </c>
      <c r="AU22" s="12">
        <f t="array" ref="AU22">1-PRODUCT(IF(Students=E22,RGRMult,1))</f>
        <v>0</v>
      </c>
      <c r="AV22" s="1">
        <f>COUNTIFS(Students,E22,Classes,HailMaryLabel)</f>
        <v>0</v>
      </c>
      <c r="AW22" s="1">
        <f>COUNTIFS(Students,E22,Classes,LongshotLabel)</f>
        <v>0</v>
      </c>
      <c r="AX22" s="1">
        <f>COUNTIFS(Students,E22,Classes,ReachLabel)</f>
        <v>0</v>
      </c>
      <c r="AY22" s="1">
        <f>COUNTIFS(Students,E22,Classes,MatchLabel)</f>
        <v>0</v>
      </c>
      <c r="AZ22" s="1">
        <f>COUNTIFS(Students,E22,Classes,SafetyLabel)</f>
        <v>0</v>
      </c>
      <c r="BA22" s="1">
        <f>COUNTIFS(Students,E22,Classes,SecureLabel)</f>
        <v>0</v>
      </c>
      <c r="BB22" s="1">
        <f>COUNTIFS(Students,E22,Classes,SureThingLabel)</f>
        <v>0</v>
      </c>
      <c r="BC22" s="13">
        <f>COUNTIFS(Students,E22,Classes,"Other")</f>
        <v>0</v>
      </c>
      <c r="BD22" s="1">
        <f>COUNTIFS(Students,E22,Classes,ReachLabel,MoneyYesNo,1)</f>
        <v>0</v>
      </c>
      <c r="BE22" s="1">
        <f>COUNTIFS(Students,E22,Classes,MatchLabel,MoneyYesNo,1)</f>
        <v>0</v>
      </c>
      <c r="BF22" s="1">
        <f>COUNTIFS(Students,E22,Classes,SafetyLabel,MoneyYesNo,1)</f>
        <v>0</v>
      </c>
      <c r="BG22" s="1">
        <f>COUNTIFS(Students,E22,Classes,SecureLabel,MoneyYesNo,1)</f>
        <v>0</v>
      </c>
      <c r="BH22" s="1">
        <f>COUNTIFS(Students,E22,Classes,SureThingLabel,MoneyYesNo,1)</f>
        <v>0</v>
      </c>
      <c r="BI22" s="1">
        <f>SUM(BD22:BH22)</f>
        <v>0</v>
      </c>
      <c r="BJ22" s="1">
        <f>SUMIFS(RGRcount,Students,E22,MoneyYesNo,1,Odds,"&gt;=20")</f>
        <v>0</v>
      </c>
      <c r="BK22" s="1">
        <f>SUMIFS(MGRcount,Students,E22,MoneyYesNo,1,Odds,"&gt;=20")-BJ22</f>
        <v>0</v>
      </c>
      <c r="BL22" s="1">
        <f>SUMIFS(RGRcount,Students,E22,MoneyYesNo,1,Odds,"&gt;=10")</f>
        <v>0</v>
      </c>
      <c r="BM22" s="1">
        <f>SUMIFS(MGRcount,Students,E22,MoneyYesNo,1,Odds,"&gt;=10")-BL22</f>
        <v>0</v>
      </c>
      <c r="BN22" s="1">
        <f>COUNTIFS(Students,E22,ILPublic,1)</f>
        <v>0</v>
      </c>
      <c r="BO22" s="1">
        <f>COUNTIFS(Students,E22,ILPublic,1, Classes,MatchLabel)+COUNTIFS(Students,E22,ILPublic,1, Classes,SafetyLabel)+COUNTIFS(Students,E22,ILPublic,1, Classes,SecureLabel)</f>
        <v>0</v>
      </c>
      <c r="BP22" s="1">
        <f>COUNTIFS(Students,E22,ILPublic,1, Classes,SecureLabel)</f>
        <v>0</v>
      </c>
      <c r="BQ22" s="1">
        <f>COUNTIFS(Students,E22,MoneyChicago,1)</f>
        <v>0</v>
      </c>
      <c r="BR22" s="1">
        <f>COUNTIFS(Students,E22,MatchOrUnder,1)</f>
        <v>0</v>
      </c>
      <c r="BS22" s="1">
        <f>SUMIF(Students,E22,MGRcount)</f>
        <v>0</v>
      </c>
      <c r="BT22" s="1">
        <f>COUNTIFS(Students,E22,BadMoney,1)</f>
        <v>0</v>
      </c>
      <c r="BU22" s="1">
        <f>COUNTIFS(Students,E22,GoldenThree,1)</f>
        <v>0</v>
      </c>
    </row>
    <row r="23" spans="1:73">
      <c r="A23" s="18" t="s">
        <v>86</v>
      </c>
      <c r="B23" s="19">
        <v>0</v>
      </c>
      <c r="C23" s="18" t="s">
        <v>87</v>
      </c>
      <c r="D23" s="18" t="s">
        <v>166</v>
      </c>
      <c r="E23" s="19">
        <v>30323076</v>
      </c>
      <c r="F23" s="19" t="s">
        <v>167</v>
      </c>
      <c r="G23" s="10" t="s">
        <v>168</v>
      </c>
      <c r="H23" s="46">
        <v>3.4125</v>
      </c>
      <c r="I23" s="1">
        <v>24</v>
      </c>
      <c r="J23" s="1">
        <v>740</v>
      </c>
      <c r="K23" s="1">
        <f>IF(ISNUMBER(J23),VLOOKUP(J23,SATtoACT,2,FALSE),"TBD")</f>
        <v>0</v>
      </c>
      <c r="L23" s="1">
        <f>IF(ISNUMBER(I23),IF(ISNUMBER(K23),MAX(I23,K23),I23),IF(ISNUMBER(K23),K23,"TBD"))</f>
        <v>0</v>
      </c>
      <c r="M23" s="1" t="s">
        <v>91</v>
      </c>
      <c r="N23" s="1">
        <f>IF(AND(H23&lt;&gt;0,L23&lt;&gt;0),IF(ISNUMBER(VLOOKUP(TEXT(MAX(FLOOR(H23*10,1)/10,1.5),"0.0")&amp;":"&amp;MAX(L23,12),StrategyLookup,4,FALSE)),VLOOKUP(TEXT(MAX(FLOOR(H23*10,1)/10,1.5),"0.0")&amp;":"&amp;MAX(L23,12),StrategyLookup,4,FALSE),"TBD"),"TBD")</f>
        <v>0</v>
      </c>
      <c r="O23" s="11">
        <f>IF(ISNUMBER(N23),VLOOKUP(IF(OR(N23=5,N23=6),N23&amp;IF(H23&gt;=3,"+","&lt;"),N23&amp;""),TargetLookup,IF(B23=-1,6,IF(OR(M23="W",M23="A"),4,2)),FALSE),"TBD")</f>
        <v>0</v>
      </c>
      <c r="P23" s="11">
        <f>IF(ISNUMBER(N23),VLOOKUP(IF(OR(N23=5,N23=6),N23&amp;IF(H23&gt;=3,"+","&lt;"),N23&amp;""),TargetLookup,IF(B23=-1,7,IF(OR(M23="W",M23="A"),5,3)),FALSE),"TBD")</f>
        <v>0</v>
      </c>
      <c r="Q23" s="18" t="s">
        <v>145</v>
      </c>
      <c r="R23" s="19" t="s">
        <v>116</v>
      </c>
      <c r="S23" s="19" t="s">
        <v>94</v>
      </c>
      <c r="T23" s="19">
        <f>Q23&amp;S23&amp;D23</f>
        <v>0</v>
      </c>
      <c r="U23" s="11">
        <f t="array" ref="U23">1-PRODUCT(IF(Students=E23,MGRMoneyMult,1))</f>
        <v>0</v>
      </c>
      <c r="V23" s="12">
        <f t="array" ref="V23">1-PRODUCT(IF(Students=E23,RGRMoneyMult,1))</f>
        <v>0</v>
      </c>
      <c r="W23" s="13">
        <f>COUNTIFS(Students,E23,Results,"Accepted!")+COUNTIFS(Students,E23,Results,"CHOICE!")</f>
        <v>0</v>
      </c>
      <c r="X23" s="1">
        <f>COUNTIFS(Students,E23,Results,"Deferred")+COUNTIFS(Students,E23,Results,"Waitlist")</f>
        <v>0</v>
      </c>
      <c r="Y23" s="13">
        <f>COUNTIFS(Students,E23,Results,"Denied")</f>
        <v>0</v>
      </c>
      <c r="Z23" s="13">
        <f>W23+X23+Y23+COUNTIFS(Students,E23,Results,"Submitted")</f>
        <v>0</v>
      </c>
      <c r="AA23" s="12">
        <v>0.7662226290877719</v>
      </c>
      <c r="AB23" s="12">
        <v>0.7545102337961422</v>
      </c>
      <c r="AC23" s="12">
        <v>0.6107157510268592</v>
      </c>
      <c r="AD23" s="12">
        <v>0.5647402769416014</v>
      </c>
      <c r="AE23" s="13">
        <f>COUNTIFS(Students,E23,Results,"CHOICE!")</f>
        <v>0</v>
      </c>
      <c r="AF23" s="1">
        <f>COUNTIFS(MoneyYesNo,1,RGRcount,1,Students,E23,Results,"Accepted!")</f>
        <v>0</v>
      </c>
      <c r="AG23" s="1">
        <f>COUNTIFS(MoneyYesNo,1,MGRcount,1,Students,E23,Results,"Accepted!")-AF23</f>
        <v>0</v>
      </c>
      <c r="AH23" s="1">
        <f>COUNTIFS(MoneyYesNo,1,Students,E23,Results,"Accepted!")-AF23-AG23</f>
        <v>0</v>
      </c>
      <c r="AI23" s="13">
        <f>COUNTIFS(Students,E23,Results,"Accepted!")-AF23-AG23-AH23</f>
        <v>0</v>
      </c>
      <c r="AJ23" s="1">
        <f>SUMIFS(RGRcount,Students,E23,MoneyYesNo,1)</f>
        <v>0</v>
      </c>
      <c r="AK23" s="1">
        <f>SUMIFS(MGRcount,Students,E23,MoneyYesNo,1)-AJ23</f>
        <v>0</v>
      </c>
      <c r="AL23" s="1">
        <f>SUMIF(Students,E23,MoneyYesNo)-AJ23-AK23</f>
        <v>0</v>
      </c>
      <c r="AM23" s="13">
        <f>SUM(AJ23,AK23,AL23)</f>
        <v>0</v>
      </c>
      <c r="AN23" s="1">
        <f>SUMIF(Students,E23,RGRcount)</f>
        <v>0</v>
      </c>
      <c r="AO23" s="1">
        <f>SUMIF(Students,E23,MGRcount)-AN23</f>
        <v>0</v>
      </c>
      <c r="AP23" s="1">
        <f>COUNTIF(Students,E23)-AN23-AO23</f>
        <v>0</v>
      </c>
      <c r="AQ23" s="1">
        <f>SUMIF(Students,E23,FarBelowTGRCount)</f>
        <v>0</v>
      </c>
      <c r="AR23" s="47">
        <f>COUNTIF(Students,E23)</f>
        <v>0</v>
      </c>
      <c r="AS23" s="11">
        <f>IF(AR23&gt;0,Z23/AR23,0)</f>
        <v>0</v>
      </c>
      <c r="AT23" s="11">
        <f t="array" ref="AT23">1-PRODUCT(IF(Students=E23,MGRMult,1))</f>
        <v>0</v>
      </c>
      <c r="AU23" s="12">
        <f t="array" ref="AU23">1-PRODUCT(IF(Students=E23,RGRMult,1))</f>
        <v>0</v>
      </c>
      <c r="AV23" s="1">
        <f>COUNTIFS(Students,E23,Classes,HailMaryLabel)</f>
        <v>0</v>
      </c>
      <c r="AW23" s="1">
        <f>COUNTIFS(Students,E23,Classes,LongshotLabel)</f>
        <v>0</v>
      </c>
      <c r="AX23" s="1">
        <f>COUNTIFS(Students,E23,Classes,ReachLabel)</f>
        <v>0</v>
      </c>
      <c r="AY23" s="1">
        <f>COUNTIFS(Students,E23,Classes,MatchLabel)</f>
        <v>0</v>
      </c>
      <c r="AZ23" s="1">
        <f>COUNTIFS(Students,E23,Classes,SafetyLabel)</f>
        <v>0</v>
      </c>
      <c r="BA23" s="1">
        <f>COUNTIFS(Students,E23,Classes,SecureLabel)</f>
        <v>0</v>
      </c>
      <c r="BB23" s="1">
        <f>COUNTIFS(Students,E23,Classes,SureThingLabel)</f>
        <v>0</v>
      </c>
      <c r="BC23" s="13">
        <f>COUNTIFS(Students,E23,Classes,"Other")</f>
        <v>0</v>
      </c>
      <c r="BD23" s="1">
        <f>COUNTIFS(Students,E23,Classes,ReachLabel,MoneyYesNo,1)</f>
        <v>0</v>
      </c>
      <c r="BE23" s="1">
        <f>COUNTIFS(Students,E23,Classes,MatchLabel,MoneyYesNo,1)</f>
        <v>0</v>
      </c>
      <c r="BF23" s="1">
        <f>COUNTIFS(Students,E23,Classes,SafetyLabel,MoneyYesNo,1)</f>
        <v>0</v>
      </c>
      <c r="BG23" s="1">
        <f>COUNTIFS(Students,E23,Classes,SecureLabel,MoneyYesNo,1)</f>
        <v>0</v>
      </c>
      <c r="BH23" s="1">
        <f>COUNTIFS(Students,E23,Classes,SureThingLabel,MoneyYesNo,1)</f>
        <v>0</v>
      </c>
      <c r="BI23" s="1">
        <f>SUM(BD23:BH23)</f>
        <v>0</v>
      </c>
      <c r="BJ23" s="1">
        <f>SUMIFS(RGRcount,Students,E23,MoneyYesNo,1,Odds,"&gt;=20")</f>
        <v>0</v>
      </c>
      <c r="BK23" s="1">
        <f>SUMIFS(MGRcount,Students,E23,MoneyYesNo,1,Odds,"&gt;=20")-BJ23</f>
        <v>0</v>
      </c>
      <c r="BL23" s="1">
        <f>SUMIFS(RGRcount,Students,E23,MoneyYesNo,1,Odds,"&gt;=10")</f>
        <v>0</v>
      </c>
      <c r="BM23" s="1">
        <f>SUMIFS(MGRcount,Students,E23,MoneyYesNo,1,Odds,"&gt;=10")-BL23</f>
        <v>0</v>
      </c>
      <c r="BN23" s="1">
        <f>COUNTIFS(Students,E23,ILPublic,1)</f>
        <v>0</v>
      </c>
      <c r="BO23" s="1">
        <f>COUNTIFS(Students,E23,ILPublic,1, Classes,MatchLabel)+COUNTIFS(Students,E23,ILPublic,1, Classes,SafetyLabel)+COUNTIFS(Students,E23,ILPublic,1, Classes,SecureLabel)</f>
        <v>0</v>
      </c>
      <c r="BP23" s="1">
        <f>COUNTIFS(Students,E23,ILPublic,1, Classes,SecureLabel)</f>
        <v>0</v>
      </c>
      <c r="BQ23" s="1">
        <f>COUNTIFS(Students,E23,MoneyChicago,1)</f>
        <v>0</v>
      </c>
      <c r="BR23" s="1">
        <f>COUNTIFS(Students,E23,MatchOrUnder,1)</f>
        <v>0</v>
      </c>
      <c r="BS23" s="1">
        <f>SUMIF(Students,E23,MGRcount)</f>
        <v>0</v>
      </c>
      <c r="BT23" s="1">
        <f>COUNTIFS(Students,E23,BadMoney,1)</f>
        <v>0</v>
      </c>
      <c r="BU23" s="1">
        <f>COUNTIFS(Students,E23,GoldenThree,1)</f>
        <v>0</v>
      </c>
    </row>
    <row r="24" spans="1:73">
      <c r="A24" s="18" t="s">
        <v>86</v>
      </c>
      <c r="B24" s="19">
        <v>0</v>
      </c>
      <c r="C24" s="18" t="s">
        <v>87</v>
      </c>
      <c r="D24" s="18" t="s">
        <v>169</v>
      </c>
      <c r="E24" s="19">
        <v>23340223</v>
      </c>
      <c r="F24" s="19" t="s">
        <v>170</v>
      </c>
      <c r="G24" s="10" t="s">
        <v>171</v>
      </c>
      <c r="H24" s="46">
        <v>2.8074</v>
      </c>
      <c r="I24" s="1">
        <v>22</v>
      </c>
      <c r="J24" s="1">
        <v>830</v>
      </c>
      <c r="K24" s="1">
        <f>IF(ISNUMBER(J24),VLOOKUP(J24,SATtoACT,2,FALSE),"TBD")</f>
        <v>0</v>
      </c>
      <c r="L24" s="1">
        <f>IF(ISNUMBER(I24),IF(ISNUMBER(K24),MAX(I24,K24),I24),IF(ISNUMBER(K24),K24,"TBD"))</f>
        <v>0</v>
      </c>
      <c r="M24" s="1" t="s">
        <v>91</v>
      </c>
      <c r="N24" s="1">
        <f>IF(AND(H24&lt;&gt;0,L24&lt;&gt;0),IF(ISNUMBER(VLOOKUP(TEXT(MAX(FLOOR(H24*10,1)/10,1.5),"0.0")&amp;":"&amp;MAX(L24,12),StrategyLookup,4,FALSE)),VLOOKUP(TEXT(MAX(FLOOR(H24*10,1)/10,1.5),"0.0")&amp;":"&amp;MAX(L24,12),StrategyLookup,4,FALSE),"TBD"),"TBD")</f>
        <v>0</v>
      </c>
      <c r="O24" s="11">
        <f>IF(ISNUMBER(N24),VLOOKUP(IF(OR(N24=5,N24=6),N24&amp;IF(H24&gt;=3,"+","&lt;"),N24&amp;""),TargetLookup,IF(B24=-1,6,IF(OR(M24="W",M24="A"),4,2)),FALSE),"TBD")</f>
        <v>0</v>
      </c>
      <c r="P24" s="11">
        <f>IF(ISNUMBER(N24),VLOOKUP(IF(OR(N24=5,N24=6),N24&amp;IF(H24&gt;=3,"+","&lt;"),N24&amp;""),TargetLookup,IF(B24=-1,7,IF(OR(M24="W",M24="A"),5,3)),FALSE),"TBD")</f>
        <v>0</v>
      </c>
      <c r="Q24" s="18" t="s">
        <v>103</v>
      </c>
      <c r="R24" s="19" t="s">
        <v>104</v>
      </c>
      <c r="S24" s="19" t="s">
        <v>94</v>
      </c>
      <c r="T24" s="19">
        <f>Q24&amp;S24&amp;D24</f>
        <v>0</v>
      </c>
      <c r="U24" s="11">
        <f t="array" ref="U24">1-PRODUCT(IF(Students=E24,MGRMoneyMult,1))</f>
        <v>0</v>
      </c>
      <c r="V24" s="12">
        <f t="array" ref="V24">1-PRODUCT(IF(Students=E24,RGRMoneyMult,1))</f>
        <v>0</v>
      </c>
      <c r="W24" s="13">
        <f>COUNTIFS(Students,E24,Results,"Accepted!")+COUNTIFS(Students,E24,Results,"CHOICE!")</f>
        <v>0</v>
      </c>
      <c r="X24" s="1">
        <f>COUNTIFS(Students,E24,Results,"Deferred")+COUNTIFS(Students,E24,Results,"Waitlist")</f>
        <v>0</v>
      </c>
      <c r="Y24" s="13">
        <f>COUNTIFS(Students,E24,Results,"Denied")</f>
        <v>0</v>
      </c>
      <c r="Z24" s="13">
        <f>W24+X24+Y24+COUNTIFS(Students,E24,Results,"Submitted")</f>
        <v>0</v>
      </c>
      <c r="AA24" s="12">
        <v>0.5383370144425312</v>
      </c>
      <c r="AB24" s="12">
        <v>0.528861449715548</v>
      </c>
      <c r="AC24" s="12">
        <v>0.5111812968708016</v>
      </c>
      <c r="AD24" s="12">
        <v>0.5044845917984691</v>
      </c>
      <c r="AE24" s="13">
        <f>COUNTIFS(Students,E24,Results,"CHOICE!")</f>
        <v>0</v>
      </c>
      <c r="AF24" s="1">
        <f>COUNTIFS(MoneyYesNo,1,RGRcount,1,Students,E24,Results,"Accepted!")</f>
        <v>0</v>
      </c>
      <c r="AG24" s="1">
        <f>COUNTIFS(MoneyYesNo,1,MGRcount,1,Students,E24,Results,"Accepted!")-AF24</f>
        <v>0</v>
      </c>
      <c r="AH24" s="1">
        <f>COUNTIFS(MoneyYesNo,1,Students,E24,Results,"Accepted!")-AF24-AG24</f>
        <v>0</v>
      </c>
      <c r="AI24" s="13">
        <f>COUNTIFS(Students,E24,Results,"Accepted!")-AF24-AG24-AH24</f>
        <v>0</v>
      </c>
      <c r="AJ24" s="1">
        <f>SUMIFS(RGRcount,Students,E24,MoneyYesNo,1)</f>
        <v>0</v>
      </c>
      <c r="AK24" s="1">
        <f>SUMIFS(MGRcount,Students,E24,MoneyYesNo,1)-AJ24</f>
        <v>0</v>
      </c>
      <c r="AL24" s="1">
        <f>SUMIF(Students,E24,MoneyYesNo)-AJ24-AK24</f>
        <v>0</v>
      </c>
      <c r="AM24" s="13">
        <f>SUM(AJ24,AK24,AL24)</f>
        <v>0</v>
      </c>
      <c r="AN24" s="1">
        <f>SUMIF(Students,E24,RGRcount)</f>
        <v>0</v>
      </c>
      <c r="AO24" s="1">
        <f>SUMIF(Students,E24,MGRcount)-AN24</f>
        <v>0</v>
      </c>
      <c r="AP24" s="1">
        <f>COUNTIF(Students,E24)-AN24-AO24</f>
        <v>0</v>
      </c>
      <c r="AQ24" s="1">
        <f>SUMIF(Students,E24,FarBelowTGRCount)</f>
        <v>0</v>
      </c>
      <c r="AR24" s="47">
        <f>COUNTIF(Students,E24)</f>
        <v>0</v>
      </c>
      <c r="AS24" s="11">
        <f>IF(AR24&gt;0,Z24/AR24,0)</f>
        <v>0</v>
      </c>
      <c r="AT24" s="11">
        <f t="array" ref="AT24">1-PRODUCT(IF(Students=E24,MGRMult,1))</f>
        <v>0</v>
      </c>
      <c r="AU24" s="12">
        <f t="array" ref="AU24">1-PRODUCT(IF(Students=E24,RGRMult,1))</f>
        <v>0</v>
      </c>
      <c r="AV24" s="1">
        <f>COUNTIFS(Students,E24,Classes,HailMaryLabel)</f>
        <v>0</v>
      </c>
      <c r="AW24" s="1">
        <f>COUNTIFS(Students,E24,Classes,LongshotLabel)</f>
        <v>0</v>
      </c>
      <c r="AX24" s="1">
        <f>COUNTIFS(Students,E24,Classes,ReachLabel)</f>
        <v>0</v>
      </c>
      <c r="AY24" s="1">
        <f>COUNTIFS(Students,E24,Classes,MatchLabel)</f>
        <v>0</v>
      </c>
      <c r="AZ24" s="1">
        <f>COUNTIFS(Students,E24,Classes,SafetyLabel)</f>
        <v>0</v>
      </c>
      <c r="BA24" s="1">
        <f>COUNTIFS(Students,E24,Classes,SecureLabel)</f>
        <v>0</v>
      </c>
      <c r="BB24" s="1">
        <f>COUNTIFS(Students,E24,Classes,SureThingLabel)</f>
        <v>0</v>
      </c>
      <c r="BC24" s="13">
        <f>COUNTIFS(Students,E24,Classes,"Other")</f>
        <v>0</v>
      </c>
      <c r="BD24" s="1">
        <f>COUNTIFS(Students,E24,Classes,ReachLabel,MoneyYesNo,1)</f>
        <v>0</v>
      </c>
      <c r="BE24" s="1">
        <f>COUNTIFS(Students,E24,Classes,MatchLabel,MoneyYesNo,1)</f>
        <v>0</v>
      </c>
      <c r="BF24" s="1">
        <f>COUNTIFS(Students,E24,Classes,SafetyLabel,MoneyYesNo,1)</f>
        <v>0</v>
      </c>
      <c r="BG24" s="1">
        <f>COUNTIFS(Students,E24,Classes,SecureLabel,MoneyYesNo,1)</f>
        <v>0</v>
      </c>
      <c r="BH24" s="1">
        <f>COUNTIFS(Students,E24,Classes,SureThingLabel,MoneyYesNo,1)</f>
        <v>0</v>
      </c>
      <c r="BI24" s="1">
        <f>SUM(BD24:BH24)</f>
        <v>0</v>
      </c>
      <c r="BJ24" s="1">
        <f>SUMIFS(RGRcount,Students,E24,MoneyYesNo,1,Odds,"&gt;=20")</f>
        <v>0</v>
      </c>
      <c r="BK24" s="1">
        <f>SUMIFS(MGRcount,Students,E24,MoneyYesNo,1,Odds,"&gt;=20")-BJ24</f>
        <v>0</v>
      </c>
      <c r="BL24" s="1">
        <f>SUMIFS(RGRcount,Students,E24,MoneyYesNo,1,Odds,"&gt;=10")</f>
        <v>0</v>
      </c>
      <c r="BM24" s="1">
        <f>SUMIFS(MGRcount,Students,E24,MoneyYesNo,1,Odds,"&gt;=10")-BL24</f>
        <v>0</v>
      </c>
      <c r="BN24" s="1">
        <f>COUNTIFS(Students,E24,ILPublic,1)</f>
        <v>0</v>
      </c>
      <c r="BO24" s="1">
        <f>COUNTIFS(Students,E24,ILPublic,1, Classes,MatchLabel)+COUNTIFS(Students,E24,ILPublic,1, Classes,SafetyLabel)+COUNTIFS(Students,E24,ILPublic,1, Classes,SecureLabel)</f>
        <v>0</v>
      </c>
      <c r="BP24" s="1">
        <f>COUNTIFS(Students,E24,ILPublic,1, Classes,SecureLabel)</f>
        <v>0</v>
      </c>
      <c r="BQ24" s="1">
        <f>COUNTIFS(Students,E24,MoneyChicago,1)</f>
        <v>0</v>
      </c>
      <c r="BR24" s="1">
        <f>COUNTIFS(Students,E24,MatchOrUnder,1)</f>
        <v>0</v>
      </c>
      <c r="BS24" s="1">
        <f>SUMIF(Students,E24,MGRcount)</f>
        <v>0</v>
      </c>
      <c r="BT24" s="1">
        <f>COUNTIFS(Students,E24,BadMoney,1)</f>
        <v>0</v>
      </c>
      <c r="BU24" s="1">
        <f>COUNTIFS(Students,E24,GoldenThree,1)</f>
        <v>0</v>
      </c>
    </row>
    <row r="25" spans="1:73">
      <c r="A25" s="18" t="s">
        <v>86</v>
      </c>
      <c r="B25" s="19">
        <v>-1</v>
      </c>
      <c r="C25" s="18" t="s">
        <v>87</v>
      </c>
      <c r="D25" s="18" t="s">
        <v>172</v>
      </c>
      <c r="E25" s="19">
        <v>23018720</v>
      </c>
      <c r="F25" s="19" t="s">
        <v>173</v>
      </c>
      <c r="G25" s="10" t="s">
        <v>174</v>
      </c>
      <c r="H25" s="46">
        <v>2.3788</v>
      </c>
      <c r="I25" s="1">
        <v>20</v>
      </c>
      <c r="J25" s="1">
        <v>1200</v>
      </c>
      <c r="K25" s="1">
        <f>IF(ISNUMBER(J25),VLOOKUP(J25,SATtoACT,2,FALSE),"TBD")</f>
        <v>0</v>
      </c>
      <c r="L25" s="1">
        <f>IF(ISNUMBER(I25),IF(ISNUMBER(K25),MAX(I25,K25),I25),IF(ISNUMBER(K25),K25,"TBD"))</f>
        <v>0</v>
      </c>
      <c r="M25" s="1" t="s">
        <v>91</v>
      </c>
      <c r="N25" s="1">
        <f>IF(AND(H25&lt;&gt;0,L25&lt;&gt;0),IF(ISNUMBER(VLOOKUP(TEXT(MAX(FLOOR(H25*10,1)/10,1.5),"0.0")&amp;":"&amp;MAX(L25,12),StrategyLookup,4,FALSE)),VLOOKUP(TEXT(MAX(FLOOR(H25*10,1)/10,1.5),"0.0")&amp;":"&amp;MAX(L25,12),StrategyLookup,4,FALSE),"TBD"),"TBD")</f>
        <v>0</v>
      </c>
      <c r="O25" s="11">
        <f>IF(ISNUMBER(N25),VLOOKUP(IF(OR(N25=5,N25=6),N25&amp;IF(H25&gt;=3,"+","&lt;"),N25&amp;""),TargetLookup,IF(B25=-1,6,IF(OR(M25="W",M25="A"),4,2)),FALSE),"TBD")</f>
        <v>0</v>
      </c>
      <c r="P25" s="11">
        <f>IF(ISNUMBER(N25),VLOOKUP(IF(OR(N25=5,N25=6),N25&amp;IF(H25&gt;=3,"+","&lt;"),N25&amp;""),TargetLookup,IF(B25=-1,7,IF(OR(M25="W",M25="A"),5,3)),FALSE),"TBD")</f>
        <v>0</v>
      </c>
      <c r="Q25" s="18" t="s">
        <v>98</v>
      </c>
      <c r="R25" s="19" t="s">
        <v>111</v>
      </c>
      <c r="S25" s="19" t="s">
        <v>94</v>
      </c>
      <c r="T25" s="19">
        <f>Q25&amp;S25&amp;D25</f>
        <v>0</v>
      </c>
      <c r="U25" s="11">
        <f t="array" ref="U25">1-PRODUCT(IF(Students=E25,MGRMoneyMult,1))</f>
        <v>0</v>
      </c>
      <c r="V25" s="12">
        <f t="array" ref="V25">1-PRODUCT(IF(Students=E25,RGRMoneyMult,1))</f>
        <v>0</v>
      </c>
      <c r="W25" s="13">
        <f>COUNTIFS(Students,E25,Results,"Accepted!")+COUNTIFS(Students,E25,Results,"CHOICE!")</f>
        <v>0</v>
      </c>
      <c r="X25" s="1">
        <f>COUNTIFS(Students,E25,Results,"Deferred")+COUNTIFS(Students,E25,Results,"Waitlist")</f>
        <v>0</v>
      </c>
      <c r="Y25" s="13">
        <f>COUNTIFS(Students,E25,Results,"Denied")</f>
        <v>0</v>
      </c>
      <c r="Z25" s="13">
        <f>W25+X25+Y25+COUNTIFS(Students,E25,Results,"Submitted")</f>
        <v>0</v>
      </c>
      <c r="AA25" s="12">
        <v>0.5367425427411141</v>
      </c>
      <c r="AB25" s="12">
        <v>0.527786062021425</v>
      </c>
      <c r="AC25" s="12">
        <v>0.4692689883481516</v>
      </c>
      <c r="AD25" s="12">
        <v>0.4532026823910279</v>
      </c>
      <c r="AE25" s="13">
        <f>COUNTIFS(Students,E25,Results,"CHOICE!")</f>
        <v>0</v>
      </c>
      <c r="AF25" s="1">
        <f>COUNTIFS(MoneyYesNo,1,RGRcount,1,Students,E25,Results,"Accepted!")</f>
        <v>0</v>
      </c>
      <c r="AG25" s="1">
        <f>COUNTIFS(MoneyYesNo,1,MGRcount,1,Students,E25,Results,"Accepted!")-AF25</f>
        <v>0</v>
      </c>
      <c r="AH25" s="1">
        <f>COUNTIFS(MoneyYesNo,1,Students,E25,Results,"Accepted!")-AF25-AG25</f>
        <v>0</v>
      </c>
      <c r="AI25" s="13">
        <f>COUNTIFS(Students,E25,Results,"Accepted!")-AF25-AG25-AH25</f>
        <v>0</v>
      </c>
      <c r="AJ25" s="1">
        <f>SUMIFS(RGRcount,Students,E25,MoneyYesNo,1)</f>
        <v>0</v>
      </c>
      <c r="AK25" s="1">
        <f>SUMIFS(MGRcount,Students,E25,MoneyYesNo,1)-AJ25</f>
        <v>0</v>
      </c>
      <c r="AL25" s="1">
        <f>SUMIF(Students,E25,MoneyYesNo)-AJ25-AK25</f>
        <v>0</v>
      </c>
      <c r="AM25" s="13">
        <f>SUM(AJ25,AK25,AL25)</f>
        <v>0</v>
      </c>
      <c r="AN25" s="1">
        <f>SUMIF(Students,E25,RGRcount)</f>
        <v>0</v>
      </c>
      <c r="AO25" s="1">
        <f>SUMIF(Students,E25,MGRcount)-AN25</f>
        <v>0</v>
      </c>
      <c r="AP25" s="1">
        <f>COUNTIF(Students,E25)-AN25-AO25</f>
        <v>0</v>
      </c>
      <c r="AQ25" s="1">
        <f>SUMIF(Students,E25,FarBelowTGRCount)</f>
        <v>0</v>
      </c>
      <c r="AR25" s="47">
        <f>COUNTIF(Students,E25)</f>
        <v>0</v>
      </c>
      <c r="AS25" s="11">
        <f>IF(AR25&gt;0,Z25/AR25,0)</f>
        <v>0</v>
      </c>
      <c r="AT25" s="11">
        <f t="array" ref="AT25">1-PRODUCT(IF(Students=E25,MGRMult,1))</f>
        <v>0</v>
      </c>
      <c r="AU25" s="12">
        <f t="array" ref="AU25">1-PRODUCT(IF(Students=E25,RGRMult,1))</f>
        <v>0</v>
      </c>
      <c r="AV25" s="1">
        <f>COUNTIFS(Students,E25,Classes,HailMaryLabel)</f>
        <v>0</v>
      </c>
      <c r="AW25" s="1">
        <f>COUNTIFS(Students,E25,Classes,LongshotLabel)</f>
        <v>0</v>
      </c>
      <c r="AX25" s="1">
        <f>COUNTIFS(Students,E25,Classes,ReachLabel)</f>
        <v>0</v>
      </c>
      <c r="AY25" s="1">
        <f>COUNTIFS(Students,E25,Classes,MatchLabel)</f>
        <v>0</v>
      </c>
      <c r="AZ25" s="1">
        <f>COUNTIFS(Students,E25,Classes,SafetyLabel)</f>
        <v>0</v>
      </c>
      <c r="BA25" s="1">
        <f>COUNTIFS(Students,E25,Classes,SecureLabel)</f>
        <v>0</v>
      </c>
      <c r="BB25" s="1">
        <f>COUNTIFS(Students,E25,Classes,SureThingLabel)</f>
        <v>0</v>
      </c>
      <c r="BC25" s="13">
        <f>COUNTIFS(Students,E25,Classes,"Other")</f>
        <v>0</v>
      </c>
      <c r="BD25" s="1">
        <f>COUNTIFS(Students,E25,Classes,ReachLabel,MoneyYesNo,1)</f>
        <v>0</v>
      </c>
      <c r="BE25" s="1">
        <f>COUNTIFS(Students,E25,Classes,MatchLabel,MoneyYesNo,1)</f>
        <v>0</v>
      </c>
      <c r="BF25" s="1">
        <f>COUNTIFS(Students,E25,Classes,SafetyLabel,MoneyYesNo,1)</f>
        <v>0</v>
      </c>
      <c r="BG25" s="1">
        <f>COUNTIFS(Students,E25,Classes,SecureLabel,MoneyYesNo,1)</f>
        <v>0</v>
      </c>
      <c r="BH25" s="1">
        <f>COUNTIFS(Students,E25,Classes,SureThingLabel,MoneyYesNo,1)</f>
        <v>0</v>
      </c>
      <c r="BI25" s="1">
        <f>SUM(BD25:BH25)</f>
        <v>0</v>
      </c>
      <c r="BJ25" s="1">
        <f>SUMIFS(RGRcount,Students,E25,MoneyYesNo,1,Odds,"&gt;=20")</f>
        <v>0</v>
      </c>
      <c r="BK25" s="1">
        <f>SUMIFS(MGRcount,Students,E25,MoneyYesNo,1,Odds,"&gt;=20")-BJ25</f>
        <v>0</v>
      </c>
      <c r="BL25" s="1">
        <f>SUMIFS(RGRcount,Students,E25,MoneyYesNo,1,Odds,"&gt;=10")</f>
        <v>0</v>
      </c>
      <c r="BM25" s="1">
        <f>SUMIFS(MGRcount,Students,E25,MoneyYesNo,1,Odds,"&gt;=10")-BL25</f>
        <v>0</v>
      </c>
      <c r="BN25" s="1">
        <f>COUNTIFS(Students,E25,ILPublic,1)</f>
        <v>0</v>
      </c>
      <c r="BO25" s="1">
        <f>COUNTIFS(Students,E25,ILPublic,1, Classes,MatchLabel)+COUNTIFS(Students,E25,ILPublic,1, Classes,SafetyLabel)+COUNTIFS(Students,E25,ILPublic,1, Classes,SecureLabel)</f>
        <v>0</v>
      </c>
      <c r="BP25" s="1">
        <f>COUNTIFS(Students,E25,ILPublic,1, Classes,SecureLabel)</f>
        <v>0</v>
      </c>
      <c r="BQ25" s="1">
        <f>COUNTIFS(Students,E25,MoneyChicago,1)</f>
        <v>0</v>
      </c>
      <c r="BR25" s="1">
        <f>COUNTIFS(Students,E25,MatchOrUnder,1)</f>
        <v>0</v>
      </c>
      <c r="BS25" s="1">
        <f>SUMIF(Students,E25,MGRcount)</f>
        <v>0</v>
      </c>
      <c r="BT25" s="1">
        <f>COUNTIFS(Students,E25,BadMoney,1)</f>
        <v>0</v>
      </c>
      <c r="BU25" s="1">
        <f>COUNTIFS(Students,E25,GoldenThree,1)</f>
        <v>0</v>
      </c>
    </row>
    <row r="26" spans="1:73">
      <c r="A26" s="18" t="s">
        <v>86</v>
      </c>
      <c r="B26" s="19">
        <v>0</v>
      </c>
      <c r="C26" s="18" t="s">
        <v>87</v>
      </c>
      <c r="D26" s="18" t="s">
        <v>175</v>
      </c>
      <c r="E26" s="19">
        <v>22347828</v>
      </c>
      <c r="F26" s="19" t="s">
        <v>176</v>
      </c>
      <c r="G26" s="10" t="s">
        <v>177</v>
      </c>
      <c r="H26" s="46">
        <v>3.7269</v>
      </c>
      <c r="I26" s="1">
        <v>18</v>
      </c>
      <c r="J26" s="1">
        <v>1000</v>
      </c>
      <c r="K26" s="1">
        <f>IF(ISNUMBER(J26),VLOOKUP(J26,SATtoACT,2,FALSE),"TBD")</f>
        <v>0</v>
      </c>
      <c r="L26" s="1">
        <f>IF(ISNUMBER(I26),IF(ISNUMBER(K26),MAX(I26,K26),I26),IF(ISNUMBER(K26),K26,"TBD"))</f>
        <v>0</v>
      </c>
      <c r="M26" s="1" t="s">
        <v>91</v>
      </c>
      <c r="N26" s="1">
        <f>IF(AND(H26&lt;&gt;0,L26&lt;&gt;0),IF(ISNUMBER(VLOOKUP(TEXT(MAX(FLOOR(H26*10,1)/10,1.5),"0.0")&amp;":"&amp;MAX(L26,12),StrategyLookup,4,FALSE)),VLOOKUP(TEXT(MAX(FLOOR(H26*10,1)/10,1.5),"0.0")&amp;":"&amp;MAX(L26,12),StrategyLookup,4,FALSE),"TBD"),"TBD")</f>
        <v>0</v>
      </c>
      <c r="O26" s="11">
        <f>IF(ISNUMBER(N26),VLOOKUP(IF(OR(N26=5,N26=6),N26&amp;IF(H26&gt;=3,"+","&lt;"),N26&amp;""),TargetLookup,IF(B26=-1,6,IF(OR(M26="W",M26="A"),4,2)),FALSE),"TBD")</f>
        <v>0</v>
      </c>
      <c r="P26" s="11">
        <f>IF(ISNUMBER(N26),VLOOKUP(IF(OR(N26=5,N26=6),N26&amp;IF(H26&gt;=3,"+","&lt;"),N26&amp;""),TargetLookup,IF(B26=-1,7,IF(OR(M26="W",M26="A"),5,3)),FALSE),"TBD")</f>
        <v>0</v>
      </c>
      <c r="Q26" s="18" t="s">
        <v>145</v>
      </c>
      <c r="R26" s="19" t="s">
        <v>121</v>
      </c>
      <c r="S26" s="19" t="s">
        <v>94</v>
      </c>
      <c r="T26" s="19">
        <f>Q26&amp;S26&amp;D26</f>
        <v>0</v>
      </c>
      <c r="U26" s="11">
        <f t="array" ref="U26">1-PRODUCT(IF(Students=E26,MGRMoneyMult,1))</f>
        <v>0</v>
      </c>
      <c r="V26" s="12">
        <f t="array" ref="V26">1-PRODUCT(IF(Students=E26,RGRMoneyMult,1))</f>
        <v>0</v>
      </c>
      <c r="W26" s="13">
        <f>COUNTIFS(Students,E26,Results,"Accepted!")+COUNTIFS(Students,E26,Results,"CHOICE!")</f>
        <v>0</v>
      </c>
      <c r="X26" s="1">
        <f>COUNTIFS(Students,E26,Results,"Deferred")+COUNTIFS(Students,E26,Results,"Waitlist")</f>
        <v>0</v>
      </c>
      <c r="Y26" s="13">
        <f>COUNTIFS(Students,E26,Results,"Denied")</f>
        <v>0</v>
      </c>
      <c r="Z26" s="13">
        <f>W26+X26+Y26+COUNTIFS(Students,E26,Results,"Submitted")</f>
        <v>0</v>
      </c>
      <c r="AA26" s="12">
        <v>0.7592080504581781</v>
      </c>
      <c r="AB26" s="12">
        <v>0.7433070750882467</v>
      </c>
      <c r="AC26" s="12">
        <v>0.6913181095218682</v>
      </c>
      <c r="AD26" s="12">
        <v>0.6580365047601722</v>
      </c>
      <c r="AE26" s="13">
        <f>COUNTIFS(Students,E26,Results,"CHOICE!")</f>
        <v>0</v>
      </c>
      <c r="AF26" s="1">
        <f>COUNTIFS(MoneyYesNo,1,RGRcount,1,Students,E26,Results,"Accepted!")</f>
        <v>0</v>
      </c>
      <c r="AG26" s="1">
        <f>COUNTIFS(MoneyYesNo,1,MGRcount,1,Students,E26,Results,"Accepted!")-AF26</f>
        <v>0</v>
      </c>
      <c r="AH26" s="1">
        <f>COUNTIFS(MoneyYesNo,1,Students,E26,Results,"Accepted!")-AF26-AG26</f>
        <v>0</v>
      </c>
      <c r="AI26" s="13">
        <f>COUNTIFS(Students,E26,Results,"Accepted!")-AF26-AG26-AH26</f>
        <v>0</v>
      </c>
      <c r="AJ26" s="1">
        <f>SUMIFS(RGRcount,Students,E26,MoneyYesNo,1)</f>
        <v>0</v>
      </c>
      <c r="AK26" s="1">
        <f>SUMIFS(MGRcount,Students,E26,MoneyYesNo,1)-AJ26</f>
        <v>0</v>
      </c>
      <c r="AL26" s="1">
        <f>SUMIF(Students,E26,MoneyYesNo)-AJ26-AK26</f>
        <v>0</v>
      </c>
      <c r="AM26" s="13">
        <f>SUM(AJ26,AK26,AL26)</f>
        <v>0</v>
      </c>
      <c r="AN26" s="1">
        <f>SUMIF(Students,E26,RGRcount)</f>
        <v>0</v>
      </c>
      <c r="AO26" s="1">
        <f>SUMIF(Students,E26,MGRcount)-AN26</f>
        <v>0</v>
      </c>
      <c r="AP26" s="1">
        <f>COUNTIF(Students,E26)-AN26-AO26</f>
        <v>0</v>
      </c>
      <c r="AQ26" s="1">
        <f>SUMIF(Students,E26,FarBelowTGRCount)</f>
        <v>0</v>
      </c>
      <c r="AR26" s="47">
        <f>COUNTIF(Students,E26)</f>
        <v>0</v>
      </c>
      <c r="AS26" s="11">
        <f>IF(AR26&gt;0,Z26/AR26,0)</f>
        <v>0</v>
      </c>
      <c r="AT26" s="11">
        <f t="array" ref="AT26">1-PRODUCT(IF(Students=E26,MGRMult,1))</f>
        <v>0</v>
      </c>
      <c r="AU26" s="12">
        <f t="array" ref="AU26">1-PRODUCT(IF(Students=E26,RGRMult,1))</f>
        <v>0</v>
      </c>
      <c r="AV26" s="1">
        <f>COUNTIFS(Students,E26,Classes,HailMaryLabel)</f>
        <v>0</v>
      </c>
      <c r="AW26" s="1">
        <f>COUNTIFS(Students,E26,Classes,LongshotLabel)</f>
        <v>0</v>
      </c>
      <c r="AX26" s="1">
        <f>COUNTIFS(Students,E26,Classes,ReachLabel)</f>
        <v>0</v>
      </c>
      <c r="AY26" s="1">
        <f>COUNTIFS(Students,E26,Classes,MatchLabel)</f>
        <v>0</v>
      </c>
      <c r="AZ26" s="1">
        <f>COUNTIFS(Students,E26,Classes,SafetyLabel)</f>
        <v>0</v>
      </c>
      <c r="BA26" s="1">
        <f>COUNTIFS(Students,E26,Classes,SecureLabel)</f>
        <v>0</v>
      </c>
      <c r="BB26" s="1">
        <f>COUNTIFS(Students,E26,Classes,SureThingLabel)</f>
        <v>0</v>
      </c>
      <c r="BC26" s="13">
        <f>COUNTIFS(Students,E26,Classes,"Other")</f>
        <v>0</v>
      </c>
      <c r="BD26" s="1">
        <f>COUNTIFS(Students,E26,Classes,ReachLabel,MoneyYesNo,1)</f>
        <v>0</v>
      </c>
      <c r="BE26" s="1">
        <f>COUNTIFS(Students,E26,Classes,MatchLabel,MoneyYesNo,1)</f>
        <v>0</v>
      </c>
      <c r="BF26" s="1">
        <f>COUNTIFS(Students,E26,Classes,SafetyLabel,MoneyYesNo,1)</f>
        <v>0</v>
      </c>
      <c r="BG26" s="1">
        <f>COUNTIFS(Students,E26,Classes,SecureLabel,MoneyYesNo,1)</f>
        <v>0</v>
      </c>
      <c r="BH26" s="1">
        <f>COUNTIFS(Students,E26,Classes,SureThingLabel,MoneyYesNo,1)</f>
        <v>0</v>
      </c>
      <c r="BI26" s="1">
        <f>SUM(BD26:BH26)</f>
        <v>0</v>
      </c>
      <c r="BJ26" s="1">
        <f>SUMIFS(RGRcount,Students,E26,MoneyYesNo,1,Odds,"&gt;=20")</f>
        <v>0</v>
      </c>
      <c r="BK26" s="1">
        <f>SUMIFS(MGRcount,Students,E26,MoneyYesNo,1,Odds,"&gt;=20")-BJ26</f>
        <v>0</v>
      </c>
      <c r="BL26" s="1">
        <f>SUMIFS(RGRcount,Students,E26,MoneyYesNo,1,Odds,"&gt;=10")</f>
        <v>0</v>
      </c>
      <c r="BM26" s="1">
        <f>SUMIFS(MGRcount,Students,E26,MoneyYesNo,1,Odds,"&gt;=10")-BL26</f>
        <v>0</v>
      </c>
      <c r="BN26" s="1">
        <f>COUNTIFS(Students,E26,ILPublic,1)</f>
        <v>0</v>
      </c>
      <c r="BO26" s="1">
        <f>COUNTIFS(Students,E26,ILPublic,1, Classes,MatchLabel)+COUNTIFS(Students,E26,ILPublic,1, Classes,SafetyLabel)+COUNTIFS(Students,E26,ILPublic,1, Classes,SecureLabel)</f>
        <v>0</v>
      </c>
      <c r="BP26" s="1">
        <f>COUNTIFS(Students,E26,ILPublic,1, Classes,SecureLabel)</f>
        <v>0</v>
      </c>
      <c r="BQ26" s="1">
        <f>COUNTIFS(Students,E26,MoneyChicago,1)</f>
        <v>0</v>
      </c>
      <c r="BR26" s="1">
        <f>COUNTIFS(Students,E26,MatchOrUnder,1)</f>
        <v>0</v>
      </c>
      <c r="BS26" s="1">
        <f>SUMIF(Students,E26,MGRcount)</f>
        <v>0</v>
      </c>
      <c r="BT26" s="1">
        <f>COUNTIFS(Students,E26,BadMoney,1)</f>
        <v>0</v>
      </c>
      <c r="BU26" s="1">
        <f>COUNTIFS(Students,E26,GoldenThree,1)</f>
        <v>0</v>
      </c>
    </row>
    <row r="27" spans="1:73">
      <c r="A27" s="18" t="s">
        <v>86</v>
      </c>
      <c r="B27" s="19">
        <v>-1</v>
      </c>
      <c r="C27" s="18" t="s">
        <v>87</v>
      </c>
      <c r="D27" s="18" t="s">
        <v>178</v>
      </c>
      <c r="E27" s="19">
        <v>22410481</v>
      </c>
      <c r="F27" s="19" t="s">
        <v>179</v>
      </c>
      <c r="G27" s="10" t="s">
        <v>180</v>
      </c>
      <c r="H27" s="46">
        <v>2.6077</v>
      </c>
      <c r="I27" s="1">
        <v>15</v>
      </c>
      <c r="J27" s="1">
        <v>1020</v>
      </c>
      <c r="K27" s="1">
        <f>IF(ISNUMBER(J27),VLOOKUP(J27,SATtoACT,2,FALSE),"TBD")</f>
        <v>0</v>
      </c>
      <c r="L27" s="1">
        <f>IF(ISNUMBER(I27),IF(ISNUMBER(K27),MAX(I27,K27),I27),IF(ISNUMBER(K27),K27,"TBD"))</f>
        <v>0</v>
      </c>
      <c r="M27" s="1" t="s">
        <v>91</v>
      </c>
      <c r="N27" s="1">
        <f>IF(AND(H27&lt;&gt;0,L27&lt;&gt;0),IF(ISNUMBER(VLOOKUP(TEXT(MAX(FLOOR(H27*10,1)/10,1.5),"0.0")&amp;":"&amp;MAX(L27,12),StrategyLookup,4,FALSE)),VLOOKUP(TEXT(MAX(FLOOR(H27*10,1)/10,1.5),"0.0")&amp;":"&amp;MAX(L27,12),StrategyLookup,4,FALSE),"TBD"),"TBD")</f>
        <v>0</v>
      </c>
      <c r="O27" s="11">
        <f>IF(ISNUMBER(N27),VLOOKUP(IF(OR(N27=5,N27=6),N27&amp;IF(H27&gt;=3,"+","&lt;"),N27&amp;""),TargetLookup,IF(B27=-1,6,IF(OR(M27="W",M27="A"),4,2)),FALSE),"TBD")</f>
        <v>0</v>
      </c>
      <c r="P27" s="11">
        <f>IF(ISNUMBER(N27),VLOOKUP(IF(OR(N27=5,N27=6),N27&amp;IF(H27&gt;=3,"+","&lt;"),N27&amp;""),TargetLookup,IF(B27=-1,7,IF(OR(M27="W",M27="A"),5,3)),FALSE),"TBD")</f>
        <v>0</v>
      </c>
      <c r="Q27" s="18" t="s">
        <v>98</v>
      </c>
      <c r="R27" s="19" t="s">
        <v>93</v>
      </c>
      <c r="S27" s="19" t="s">
        <v>94</v>
      </c>
      <c r="T27" s="19">
        <f>Q27&amp;S27&amp;D27</f>
        <v>0</v>
      </c>
      <c r="U27" s="11">
        <f t="array" ref="U27">1-PRODUCT(IF(Students=E27,MGRMoneyMult,1))</f>
        <v>0</v>
      </c>
      <c r="V27" s="12">
        <f t="array" ref="V27">1-PRODUCT(IF(Students=E27,RGRMoneyMult,1))</f>
        <v>0</v>
      </c>
      <c r="W27" s="13">
        <f>COUNTIFS(Students,E27,Results,"Accepted!")+COUNTIFS(Students,E27,Results,"CHOICE!")</f>
        <v>0</v>
      </c>
      <c r="X27" s="1">
        <f>COUNTIFS(Students,E27,Results,"Deferred")+COUNTIFS(Students,E27,Results,"Waitlist")</f>
        <v>0</v>
      </c>
      <c r="Y27" s="13">
        <f>COUNTIFS(Students,E27,Results,"Denied")</f>
        <v>0</v>
      </c>
      <c r="Z27" s="13">
        <f>W27+X27+Y27+COUNTIFS(Students,E27,Results,"Submitted")</f>
        <v>0</v>
      </c>
      <c r="AA27" s="12">
        <v>0.4259490375482</v>
      </c>
      <c r="AB27" s="12">
        <v>0.409989401</v>
      </c>
      <c r="AC27" s="12">
        <v>0.3284578623590746</v>
      </c>
      <c r="AD27" s="12">
        <v>0.3056826202208454</v>
      </c>
      <c r="AE27" s="13">
        <f>COUNTIFS(Students,E27,Results,"CHOICE!")</f>
        <v>0</v>
      </c>
      <c r="AF27" s="1">
        <f>COUNTIFS(MoneyYesNo,1,RGRcount,1,Students,E27,Results,"Accepted!")</f>
        <v>0</v>
      </c>
      <c r="AG27" s="1">
        <f>COUNTIFS(MoneyYesNo,1,MGRcount,1,Students,E27,Results,"Accepted!")-AF27</f>
        <v>0</v>
      </c>
      <c r="AH27" s="1">
        <f>COUNTIFS(MoneyYesNo,1,Students,E27,Results,"Accepted!")-AF27-AG27</f>
        <v>0</v>
      </c>
      <c r="AI27" s="13">
        <f>COUNTIFS(Students,E27,Results,"Accepted!")-AF27-AG27-AH27</f>
        <v>0</v>
      </c>
      <c r="AJ27" s="1">
        <f>SUMIFS(RGRcount,Students,E27,MoneyYesNo,1)</f>
        <v>0</v>
      </c>
      <c r="AK27" s="1">
        <f>SUMIFS(MGRcount,Students,E27,MoneyYesNo,1)-AJ27</f>
        <v>0</v>
      </c>
      <c r="AL27" s="1">
        <f>SUMIF(Students,E27,MoneyYesNo)-AJ27-AK27</f>
        <v>0</v>
      </c>
      <c r="AM27" s="13">
        <f>SUM(AJ27,AK27,AL27)</f>
        <v>0</v>
      </c>
      <c r="AN27" s="1">
        <f>SUMIF(Students,E27,RGRcount)</f>
        <v>0</v>
      </c>
      <c r="AO27" s="1">
        <f>SUMIF(Students,E27,MGRcount)-AN27</f>
        <v>0</v>
      </c>
      <c r="AP27" s="1">
        <f>COUNTIF(Students,E27)-AN27-AO27</f>
        <v>0</v>
      </c>
      <c r="AQ27" s="1">
        <f>SUMIF(Students,E27,FarBelowTGRCount)</f>
        <v>0</v>
      </c>
      <c r="AR27" s="47">
        <f>COUNTIF(Students,E27)</f>
        <v>0</v>
      </c>
      <c r="AS27" s="11">
        <f>IF(AR27&gt;0,Z27/AR27,0)</f>
        <v>0</v>
      </c>
      <c r="AT27" s="11">
        <f t="array" ref="AT27">1-PRODUCT(IF(Students=E27,MGRMult,1))</f>
        <v>0</v>
      </c>
      <c r="AU27" s="12">
        <f t="array" ref="AU27">1-PRODUCT(IF(Students=E27,RGRMult,1))</f>
        <v>0</v>
      </c>
      <c r="AV27" s="1">
        <f>COUNTIFS(Students,E27,Classes,HailMaryLabel)</f>
        <v>0</v>
      </c>
      <c r="AW27" s="1">
        <f>COUNTIFS(Students,E27,Classes,LongshotLabel)</f>
        <v>0</v>
      </c>
      <c r="AX27" s="1">
        <f>COUNTIFS(Students,E27,Classes,ReachLabel)</f>
        <v>0</v>
      </c>
      <c r="AY27" s="1">
        <f>COUNTIFS(Students,E27,Classes,MatchLabel)</f>
        <v>0</v>
      </c>
      <c r="AZ27" s="1">
        <f>COUNTIFS(Students,E27,Classes,SafetyLabel)</f>
        <v>0</v>
      </c>
      <c r="BA27" s="1">
        <f>COUNTIFS(Students,E27,Classes,SecureLabel)</f>
        <v>0</v>
      </c>
      <c r="BB27" s="1">
        <f>COUNTIFS(Students,E27,Classes,SureThingLabel)</f>
        <v>0</v>
      </c>
      <c r="BC27" s="13">
        <f>COUNTIFS(Students,E27,Classes,"Other")</f>
        <v>0</v>
      </c>
      <c r="BD27" s="1">
        <f>COUNTIFS(Students,E27,Classes,ReachLabel,MoneyYesNo,1)</f>
        <v>0</v>
      </c>
      <c r="BE27" s="1">
        <f>COUNTIFS(Students,E27,Classes,MatchLabel,MoneyYesNo,1)</f>
        <v>0</v>
      </c>
      <c r="BF27" s="1">
        <f>COUNTIFS(Students,E27,Classes,SafetyLabel,MoneyYesNo,1)</f>
        <v>0</v>
      </c>
      <c r="BG27" s="1">
        <f>COUNTIFS(Students,E27,Classes,SecureLabel,MoneyYesNo,1)</f>
        <v>0</v>
      </c>
      <c r="BH27" s="1">
        <f>COUNTIFS(Students,E27,Classes,SureThingLabel,MoneyYesNo,1)</f>
        <v>0</v>
      </c>
      <c r="BI27" s="1">
        <f>SUM(BD27:BH27)</f>
        <v>0</v>
      </c>
      <c r="BJ27" s="1">
        <f>SUMIFS(RGRcount,Students,E27,MoneyYesNo,1,Odds,"&gt;=20")</f>
        <v>0</v>
      </c>
      <c r="BK27" s="1">
        <f>SUMIFS(MGRcount,Students,E27,MoneyYesNo,1,Odds,"&gt;=20")-BJ27</f>
        <v>0</v>
      </c>
      <c r="BL27" s="1">
        <f>SUMIFS(RGRcount,Students,E27,MoneyYesNo,1,Odds,"&gt;=10")</f>
        <v>0</v>
      </c>
      <c r="BM27" s="1">
        <f>SUMIFS(MGRcount,Students,E27,MoneyYesNo,1,Odds,"&gt;=10")-BL27</f>
        <v>0</v>
      </c>
      <c r="BN27" s="1">
        <f>COUNTIFS(Students,E27,ILPublic,1)</f>
        <v>0</v>
      </c>
      <c r="BO27" s="1">
        <f>COUNTIFS(Students,E27,ILPublic,1, Classes,MatchLabel)+COUNTIFS(Students,E27,ILPublic,1, Classes,SafetyLabel)+COUNTIFS(Students,E27,ILPublic,1, Classes,SecureLabel)</f>
        <v>0</v>
      </c>
      <c r="BP27" s="1">
        <f>COUNTIFS(Students,E27,ILPublic,1, Classes,SecureLabel)</f>
        <v>0</v>
      </c>
      <c r="BQ27" s="1">
        <f>COUNTIFS(Students,E27,MoneyChicago,1)</f>
        <v>0</v>
      </c>
      <c r="BR27" s="1">
        <f>COUNTIFS(Students,E27,MatchOrUnder,1)</f>
        <v>0</v>
      </c>
      <c r="BS27" s="1">
        <f>SUMIF(Students,E27,MGRcount)</f>
        <v>0</v>
      </c>
      <c r="BT27" s="1">
        <f>COUNTIFS(Students,E27,BadMoney,1)</f>
        <v>0</v>
      </c>
      <c r="BU27" s="1">
        <f>COUNTIFS(Students,E27,GoldenThree,1)</f>
        <v>0</v>
      </c>
    </row>
    <row r="28" spans="1:73">
      <c r="A28" s="18" t="s">
        <v>86</v>
      </c>
      <c r="B28" s="19">
        <v>0</v>
      </c>
      <c r="C28" s="18" t="s">
        <v>87</v>
      </c>
      <c r="D28" s="18" t="s">
        <v>181</v>
      </c>
      <c r="E28" s="19">
        <v>24090662</v>
      </c>
      <c r="F28" s="19" t="s">
        <v>182</v>
      </c>
      <c r="G28" s="10" t="s">
        <v>183</v>
      </c>
      <c r="H28" s="46">
        <v>2.2347</v>
      </c>
      <c r="I28" s="1">
        <v>18</v>
      </c>
      <c r="J28" s="1">
        <v>950</v>
      </c>
      <c r="K28" s="1">
        <f>IF(ISNUMBER(J28),VLOOKUP(J28,SATtoACT,2,FALSE),"TBD")</f>
        <v>0</v>
      </c>
      <c r="L28" s="1">
        <f>IF(ISNUMBER(I28),IF(ISNUMBER(K28),MAX(I28,K28),I28),IF(ISNUMBER(K28),K28,"TBD"))</f>
        <v>0</v>
      </c>
      <c r="M28" s="1" t="s">
        <v>91</v>
      </c>
      <c r="N28" s="1">
        <f>IF(AND(H28&lt;&gt;0,L28&lt;&gt;0),IF(ISNUMBER(VLOOKUP(TEXT(MAX(FLOOR(H28*10,1)/10,1.5),"0.0")&amp;":"&amp;MAX(L28,12),StrategyLookup,4,FALSE)),VLOOKUP(TEXT(MAX(FLOOR(H28*10,1)/10,1.5),"0.0")&amp;":"&amp;MAX(L28,12),StrategyLookup,4,FALSE),"TBD"),"TBD")</f>
        <v>0</v>
      </c>
      <c r="O28" s="11">
        <f>IF(ISNUMBER(N28),VLOOKUP(IF(OR(N28=5,N28=6),N28&amp;IF(H28&gt;=3,"+","&lt;"),N28&amp;""),TargetLookup,IF(B28=-1,6,IF(OR(M28="W",M28="A"),4,2)),FALSE),"TBD")</f>
        <v>0</v>
      </c>
      <c r="P28" s="11">
        <f>IF(ISNUMBER(N28),VLOOKUP(IF(OR(N28=5,N28=6),N28&amp;IF(H28&gt;=3,"+","&lt;"),N28&amp;""),TargetLookup,IF(B28=-1,7,IF(OR(M28="W",M28="A"),5,3)),FALSE),"TBD")</f>
        <v>0</v>
      </c>
      <c r="Q28" s="18" t="s">
        <v>103</v>
      </c>
      <c r="R28" s="19" t="s">
        <v>104</v>
      </c>
      <c r="S28" s="19" t="s">
        <v>94</v>
      </c>
      <c r="T28" s="19">
        <f>Q28&amp;S28&amp;D28</f>
        <v>0</v>
      </c>
      <c r="U28" s="11">
        <f t="array" ref="U28">1-PRODUCT(IF(Students=E28,MGRMoneyMult,1))</f>
        <v>0</v>
      </c>
      <c r="V28" s="12">
        <f t="array" ref="V28">1-PRODUCT(IF(Students=E28,RGRMoneyMult,1))</f>
        <v>0</v>
      </c>
      <c r="W28" s="13">
        <f>COUNTIFS(Students,E28,Results,"Accepted!")+COUNTIFS(Students,E28,Results,"CHOICE!")</f>
        <v>0</v>
      </c>
      <c r="X28" s="1">
        <f>COUNTIFS(Students,E28,Results,"Deferred")+COUNTIFS(Students,E28,Results,"Waitlist")</f>
        <v>0</v>
      </c>
      <c r="Y28" s="13">
        <f>COUNTIFS(Students,E28,Results,"Denied")</f>
        <v>0</v>
      </c>
      <c r="Z28" s="13">
        <f>W28+X28+Y28+COUNTIFS(Students,E28,Results,"Submitted")</f>
        <v>0</v>
      </c>
      <c r="AA28" s="12">
        <v>0.4669110540989472</v>
      </c>
      <c r="AB28" s="12">
        <v>0.4383834863555111</v>
      </c>
      <c r="AC28" s="12">
        <v>0.3978001525787342</v>
      </c>
      <c r="AD28" s="12">
        <v>0.3801543226948393</v>
      </c>
      <c r="AE28" s="13">
        <f>COUNTIFS(Students,E28,Results,"CHOICE!")</f>
        <v>0</v>
      </c>
      <c r="AF28" s="1">
        <f>COUNTIFS(MoneyYesNo,1,RGRcount,1,Students,E28,Results,"Accepted!")</f>
        <v>0</v>
      </c>
      <c r="AG28" s="1">
        <f>COUNTIFS(MoneyYesNo,1,MGRcount,1,Students,E28,Results,"Accepted!")-AF28</f>
        <v>0</v>
      </c>
      <c r="AH28" s="1">
        <f>COUNTIFS(MoneyYesNo,1,Students,E28,Results,"Accepted!")-AF28-AG28</f>
        <v>0</v>
      </c>
      <c r="AI28" s="13">
        <f>COUNTIFS(Students,E28,Results,"Accepted!")-AF28-AG28-AH28</f>
        <v>0</v>
      </c>
      <c r="AJ28" s="1">
        <f>SUMIFS(RGRcount,Students,E28,MoneyYesNo,1)</f>
        <v>0</v>
      </c>
      <c r="AK28" s="1">
        <f>SUMIFS(MGRcount,Students,E28,MoneyYesNo,1)-AJ28</f>
        <v>0</v>
      </c>
      <c r="AL28" s="1">
        <f>SUMIF(Students,E28,MoneyYesNo)-AJ28-AK28</f>
        <v>0</v>
      </c>
      <c r="AM28" s="13">
        <f>SUM(AJ28,AK28,AL28)</f>
        <v>0</v>
      </c>
      <c r="AN28" s="1">
        <f>SUMIF(Students,E28,RGRcount)</f>
        <v>0</v>
      </c>
      <c r="AO28" s="1">
        <f>SUMIF(Students,E28,MGRcount)-AN28</f>
        <v>0</v>
      </c>
      <c r="AP28" s="1">
        <f>COUNTIF(Students,E28)-AN28-AO28</f>
        <v>0</v>
      </c>
      <c r="AQ28" s="1">
        <f>SUMIF(Students,E28,FarBelowTGRCount)</f>
        <v>0</v>
      </c>
      <c r="AR28" s="47">
        <f>COUNTIF(Students,E28)</f>
        <v>0</v>
      </c>
      <c r="AS28" s="11">
        <f>IF(AR28&gt;0,Z28/AR28,0)</f>
        <v>0</v>
      </c>
      <c r="AT28" s="11">
        <f t="array" ref="AT28">1-PRODUCT(IF(Students=E28,MGRMult,1))</f>
        <v>0</v>
      </c>
      <c r="AU28" s="12">
        <f t="array" ref="AU28">1-PRODUCT(IF(Students=E28,RGRMult,1))</f>
        <v>0</v>
      </c>
      <c r="AV28" s="1">
        <f>COUNTIFS(Students,E28,Classes,HailMaryLabel)</f>
        <v>0</v>
      </c>
      <c r="AW28" s="1">
        <f>COUNTIFS(Students,E28,Classes,LongshotLabel)</f>
        <v>0</v>
      </c>
      <c r="AX28" s="1">
        <f>COUNTIFS(Students,E28,Classes,ReachLabel)</f>
        <v>0</v>
      </c>
      <c r="AY28" s="1">
        <f>COUNTIFS(Students,E28,Classes,MatchLabel)</f>
        <v>0</v>
      </c>
      <c r="AZ28" s="1">
        <f>COUNTIFS(Students,E28,Classes,SafetyLabel)</f>
        <v>0</v>
      </c>
      <c r="BA28" s="1">
        <f>COUNTIFS(Students,E28,Classes,SecureLabel)</f>
        <v>0</v>
      </c>
      <c r="BB28" s="1">
        <f>COUNTIFS(Students,E28,Classes,SureThingLabel)</f>
        <v>0</v>
      </c>
      <c r="BC28" s="13">
        <f>COUNTIFS(Students,E28,Classes,"Other")</f>
        <v>0</v>
      </c>
      <c r="BD28" s="1">
        <f>COUNTIFS(Students,E28,Classes,ReachLabel,MoneyYesNo,1)</f>
        <v>0</v>
      </c>
      <c r="BE28" s="1">
        <f>COUNTIFS(Students,E28,Classes,MatchLabel,MoneyYesNo,1)</f>
        <v>0</v>
      </c>
      <c r="BF28" s="1">
        <f>COUNTIFS(Students,E28,Classes,SafetyLabel,MoneyYesNo,1)</f>
        <v>0</v>
      </c>
      <c r="BG28" s="1">
        <f>COUNTIFS(Students,E28,Classes,SecureLabel,MoneyYesNo,1)</f>
        <v>0</v>
      </c>
      <c r="BH28" s="1">
        <f>COUNTIFS(Students,E28,Classes,SureThingLabel,MoneyYesNo,1)</f>
        <v>0</v>
      </c>
      <c r="BI28" s="1">
        <f>SUM(BD28:BH28)</f>
        <v>0</v>
      </c>
      <c r="BJ28" s="1">
        <f>SUMIFS(RGRcount,Students,E28,MoneyYesNo,1,Odds,"&gt;=20")</f>
        <v>0</v>
      </c>
      <c r="BK28" s="1">
        <f>SUMIFS(MGRcount,Students,E28,MoneyYesNo,1,Odds,"&gt;=20")-BJ28</f>
        <v>0</v>
      </c>
      <c r="BL28" s="1">
        <f>SUMIFS(RGRcount,Students,E28,MoneyYesNo,1,Odds,"&gt;=10")</f>
        <v>0</v>
      </c>
      <c r="BM28" s="1">
        <f>SUMIFS(MGRcount,Students,E28,MoneyYesNo,1,Odds,"&gt;=10")-BL28</f>
        <v>0</v>
      </c>
      <c r="BN28" s="1">
        <f>COUNTIFS(Students,E28,ILPublic,1)</f>
        <v>0</v>
      </c>
      <c r="BO28" s="1">
        <f>COUNTIFS(Students,E28,ILPublic,1, Classes,MatchLabel)+COUNTIFS(Students,E28,ILPublic,1, Classes,SafetyLabel)+COUNTIFS(Students,E28,ILPublic,1, Classes,SecureLabel)</f>
        <v>0</v>
      </c>
      <c r="BP28" s="1">
        <f>COUNTIFS(Students,E28,ILPublic,1, Classes,SecureLabel)</f>
        <v>0</v>
      </c>
      <c r="BQ28" s="1">
        <f>COUNTIFS(Students,E28,MoneyChicago,1)</f>
        <v>0</v>
      </c>
      <c r="BR28" s="1">
        <f>COUNTIFS(Students,E28,MatchOrUnder,1)</f>
        <v>0</v>
      </c>
      <c r="BS28" s="1">
        <f>SUMIF(Students,E28,MGRcount)</f>
        <v>0</v>
      </c>
      <c r="BT28" s="1">
        <f>COUNTIFS(Students,E28,BadMoney,1)</f>
        <v>0</v>
      </c>
      <c r="BU28" s="1">
        <f>COUNTIFS(Students,E28,GoldenThree,1)</f>
        <v>0</v>
      </c>
    </row>
    <row r="29" spans="1:73">
      <c r="A29" s="18" t="s">
        <v>86</v>
      </c>
      <c r="B29" s="19">
        <v>0</v>
      </c>
      <c r="C29" s="18" t="s">
        <v>87</v>
      </c>
      <c r="D29" s="18" t="s">
        <v>184</v>
      </c>
      <c r="E29" s="19">
        <v>22165076</v>
      </c>
      <c r="F29" s="19" t="s">
        <v>185</v>
      </c>
      <c r="G29" s="10" t="s">
        <v>186</v>
      </c>
      <c r="H29" s="46">
        <v>3.788</v>
      </c>
      <c r="I29" s="1">
        <v>29</v>
      </c>
      <c r="J29" s="1">
        <v>1110</v>
      </c>
      <c r="K29" s="1">
        <f>IF(ISNUMBER(J29),VLOOKUP(J29,SATtoACT,2,FALSE),"TBD")</f>
        <v>0</v>
      </c>
      <c r="L29" s="1">
        <f>IF(ISNUMBER(I29),IF(ISNUMBER(K29),MAX(I29,K29),I29),IF(ISNUMBER(K29),K29,"TBD"))</f>
        <v>0</v>
      </c>
      <c r="M29" s="1" t="s">
        <v>91</v>
      </c>
      <c r="N29" s="1">
        <f>IF(AND(H29&lt;&gt;0,L29&lt;&gt;0),IF(ISNUMBER(VLOOKUP(TEXT(MAX(FLOOR(H29*10,1)/10,1.5),"0.0")&amp;":"&amp;MAX(L29,12),StrategyLookup,4,FALSE)),VLOOKUP(TEXT(MAX(FLOOR(H29*10,1)/10,1.5),"0.0")&amp;":"&amp;MAX(L29,12),StrategyLookup,4,FALSE),"TBD"),"TBD")</f>
        <v>0</v>
      </c>
      <c r="O29" s="11">
        <f>IF(ISNUMBER(N29),VLOOKUP(IF(OR(N29=5,N29=6),N29&amp;IF(H29&gt;=3,"+","&lt;"),N29&amp;""),TargetLookup,IF(B29=-1,6,IF(OR(M29="W",M29="A"),4,2)),FALSE),"TBD")</f>
        <v>0</v>
      </c>
      <c r="P29" s="11">
        <f>IF(ISNUMBER(N29),VLOOKUP(IF(OR(N29=5,N29=6),N29&amp;IF(H29&gt;=3,"+","&lt;"),N29&amp;""),TargetLookup,IF(B29=-1,7,IF(OR(M29="W",M29="A"),5,3)),FALSE),"TBD")</f>
        <v>0</v>
      </c>
      <c r="Q29" s="18" t="s">
        <v>103</v>
      </c>
      <c r="R29" s="19" t="s">
        <v>131</v>
      </c>
      <c r="S29" s="19" t="s">
        <v>94</v>
      </c>
      <c r="T29" s="19">
        <f>Q29&amp;S29&amp;D29</f>
        <v>0</v>
      </c>
      <c r="U29" s="11">
        <f t="array" ref="U29">1-PRODUCT(IF(Students=E29,MGRMoneyMult,1))</f>
        <v>0</v>
      </c>
      <c r="V29" s="12">
        <f t="array" ref="V29">1-PRODUCT(IF(Students=E29,RGRMoneyMult,1))</f>
        <v>0</v>
      </c>
      <c r="W29" s="13">
        <f>COUNTIFS(Students,E29,Results,"Accepted!")+COUNTIFS(Students,E29,Results,"CHOICE!")</f>
        <v>0</v>
      </c>
      <c r="X29" s="1">
        <f>COUNTIFS(Students,E29,Results,"Deferred")+COUNTIFS(Students,E29,Results,"Waitlist")</f>
        <v>0</v>
      </c>
      <c r="Y29" s="13">
        <f>COUNTIFS(Students,E29,Results,"Denied")</f>
        <v>0</v>
      </c>
      <c r="Z29" s="13">
        <f>W29+X29+Y29+COUNTIFS(Students,E29,Results,"Submitted")</f>
        <v>0</v>
      </c>
      <c r="AA29" s="12">
        <v>0.9206060576007805</v>
      </c>
      <c r="AB29" s="12">
        <v>0.9123780965452284</v>
      </c>
      <c r="AC29" s="12">
        <v>0.8543163394287565</v>
      </c>
      <c r="AD29" s="12">
        <v>0.841081283099286</v>
      </c>
      <c r="AE29" s="13">
        <f>COUNTIFS(Students,E29,Results,"CHOICE!")</f>
        <v>0</v>
      </c>
      <c r="AF29" s="1">
        <f>COUNTIFS(MoneyYesNo,1,RGRcount,1,Students,E29,Results,"Accepted!")</f>
        <v>0</v>
      </c>
      <c r="AG29" s="1">
        <f>COUNTIFS(MoneyYesNo,1,MGRcount,1,Students,E29,Results,"Accepted!")-AF29</f>
        <v>0</v>
      </c>
      <c r="AH29" s="1">
        <f>COUNTIFS(MoneyYesNo,1,Students,E29,Results,"Accepted!")-AF29-AG29</f>
        <v>0</v>
      </c>
      <c r="AI29" s="13">
        <f>COUNTIFS(Students,E29,Results,"Accepted!")-AF29-AG29-AH29</f>
        <v>0</v>
      </c>
      <c r="AJ29" s="1">
        <f>SUMIFS(RGRcount,Students,E29,MoneyYesNo,1)</f>
        <v>0</v>
      </c>
      <c r="AK29" s="1">
        <f>SUMIFS(MGRcount,Students,E29,MoneyYesNo,1)-AJ29</f>
        <v>0</v>
      </c>
      <c r="AL29" s="1">
        <f>SUMIF(Students,E29,MoneyYesNo)-AJ29-AK29</f>
        <v>0</v>
      </c>
      <c r="AM29" s="13">
        <f>SUM(AJ29,AK29,AL29)</f>
        <v>0</v>
      </c>
      <c r="AN29" s="1">
        <f>SUMIF(Students,E29,RGRcount)</f>
        <v>0</v>
      </c>
      <c r="AO29" s="1">
        <f>SUMIF(Students,E29,MGRcount)-AN29</f>
        <v>0</v>
      </c>
      <c r="AP29" s="1">
        <f>COUNTIF(Students,E29)-AN29-AO29</f>
        <v>0</v>
      </c>
      <c r="AQ29" s="1">
        <f>SUMIF(Students,E29,FarBelowTGRCount)</f>
        <v>0</v>
      </c>
      <c r="AR29" s="47">
        <f>COUNTIF(Students,E29)</f>
        <v>0</v>
      </c>
      <c r="AS29" s="11">
        <f>IF(AR29&gt;0,Z29/AR29,0)</f>
        <v>0</v>
      </c>
      <c r="AT29" s="11">
        <f t="array" ref="AT29">1-PRODUCT(IF(Students=E29,MGRMult,1))</f>
        <v>0</v>
      </c>
      <c r="AU29" s="12">
        <f t="array" ref="AU29">1-PRODUCT(IF(Students=E29,RGRMult,1))</f>
        <v>0</v>
      </c>
      <c r="AV29" s="1">
        <f>COUNTIFS(Students,E29,Classes,HailMaryLabel)</f>
        <v>0</v>
      </c>
      <c r="AW29" s="1">
        <f>COUNTIFS(Students,E29,Classes,LongshotLabel)</f>
        <v>0</v>
      </c>
      <c r="AX29" s="1">
        <f>COUNTIFS(Students,E29,Classes,ReachLabel)</f>
        <v>0</v>
      </c>
      <c r="AY29" s="1">
        <f>COUNTIFS(Students,E29,Classes,MatchLabel)</f>
        <v>0</v>
      </c>
      <c r="AZ29" s="1">
        <f>COUNTIFS(Students,E29,Classes,SafetyLabel)</f>
        <v>0</v>
      </c>
      <c r="BA29" s="1">
        <f>COUNTIFS(Students,E29,Classes,SecureLabel)</f>
        <v>0</v>
      </c>
      <c r="BB29" s="1">
        <f>COUNTIFS(Students,E29,Classes,SureThingLabel)</f>
        <v>0</v>
      </c>
      <c r="BC29" s="13">
        <f>COUNTIFS(Students,E29,Classes,"Other")</f>
        <v>0</v>
      </c>
      <c r="BD29" s="1">
        <f>COUNTIFS(Students,E29,Classes,ReachLabel,MoneyYesNo,1)</f>
        <v>0</v>
      </c>
      <c r="BE29" s="1">
        <f>COUNTIFS(Students,E29,Classes,MatchLabel,MoneyYesNo,1)</f>
        <v>0</v>
      </c>
      <c r="BF29" s="1">
        <f>COUNTIFS(Students,E29,Classes,SafetyLabel,MoneyYesNo,1)</f>
        <v>0</v>
      </c>
      <c r="BG29" s="1">
        <f>COUNTIFS(Students,E29,Classes,SecureLabel,MoneyYesNo,1)</f>
        <v>0</v>
      </c>
      <c r="BH29" s="1">
        <f>COUNTIFS(Students,E29,Classes,SureThingLabel,MoneyYesNo,1)</f>
        <v>0</v>
      </c>
      <c r="BI29" s="1">
        <f>SUM(BD29:BH29)</f>
        <v>0</v>
      </c>
      <c r="BJ29" s="1">
        <f>SUMIFS(RGRcount,Students,E29,MoneyYesNo,1,Odds,"&gt;=20")</f>
        <v>0</v>
      </c>
      <c r="BK29" s="1">
        <f>SUMIFS(MGRcount,Students,E29,MoneyYesNo,1,Odds,"&gt;=20")-BJ29</f>
        <v>0</v>
      </c>
      <c r="BL29" s="1">
        <f>SUMIFS(RGRcount,Students,E29,MoneyYesNo,1,Odds,"&gt;=10")</f>
        <v>0</v>
      </c>
      <c r="BM29" s="1">
        <f>SUMIFS(MGRcount,Students,E29,MoneyYesNo,1,Odds,"&gt;=10")-BL29</f>
        <v>0</v>
      </c>
      <c r="BN29" s="1">
        <f>COUNTIFS(Students,E29,ILPublic,1)</f>
        <v>0</v>
      </c>
      <c r="BO29" s="1">
        <f>COUNTIFS(Students,E29,ILPublic,1, Classes,MatchLabel)+COUNTIFS(Students,E29,ILPublic,1, Classes,SafetyLabel)+COUNTIFS(Students,E29,ILPublic,1, Classes,SecureLabel)</f>
        <v>0</v>
      </c>
      <c r="BP29" s="1">
        <f>COUNTIFS(Students,E29,ILPublic,1, Classes,SecureLabel)</f>
        <v>0</v>
      </c>
      <c r="BQ29" s="1">
        <f>COUNTIFS(Students,E29,MoneyChicago,1)</f>
        <v>0</v>
      </c>
      <c r="BR29" s="1">
        <f>COUNTIFS(Students,E29,MatchOrUnder,1)</f>
        <v>0</v>
      </c>
      <c r="BS29" s="1">
        <f>SUMIF(Students,E29,MGRcount)</f>
        <v>0</v>
      </c>
      <c r="BT29" s="1">
        <f>COUNTIFS(Students,E29,BadMoney,1)</f>
        <v>0</v>
      </c>
      <c r="BU29" s="1">
        <f>COUNTIFS(Students,E29,GoldenThree,1)</f>
        <v>0</v>
      </c>
    </row>
    <row r="30" spans="1:73">
      <c r="A30" s="18" t="s">
        <v>86</v>
      </c>
      <c r="B30" s="19">
        <v>0</v>
      </c>
      <c r="C30" s="18" t="s">
        <v>138</v>
      </c>
      <c r="D30" s="18" t="s">
        <v>187</v>
      </c>
      <c r="E30" s="19">
        <v>30084672</v>
      </c>
      <c r="F30" s="19" t="s">
        <v>188</v>
      </c>
      <c r="G30" s="10" t="s">
        <v>189</v>
      </c>
      <c r="H30" s="46">
        <v>1.9915</v>
      </c>
      <c r="I30" s="1">
        <v>15</v>
      </c>
      <c r="J30" s="1">
        <v>1150</v>
      </c>
      <c r="K30" s="1">
        <f>IF(ISNUMBER(J30),VLOOKUP(J30,SATtoACT,2,FALSE),"TBD")</f>
        <v>0</v>
      </c>
      <c r="L30" s="1">
        <f>IF(ISNUMBER(I30),IF(ISNUMBER(K30),MAX(I30,K30),I30),IF(ISNUMBER(K30),K30,"TBD"))</f>
        <v>0</v>
      </c>
      <c r="M30" s="1" t="s">
        <v>91</v>
      </c>
      <c r="N30" s="1">
        <f>IF(AND(H30&lt;&gt;0,L30&lt;&gt;0),IF(ISNUMBER(VLOOKUP(TEXT(MAX(FLOOR(H30*10,1)/10,1.5),"0.0")&amp;":"&amp;MAX(L30,12),StrategyLookup,4,FALSE)),VLOOKUP(TEXT(MAX(FLOOR(H30*10,1)/10,1.5),"0.0")&amp;":"&amp;MAX(L30,12),StrategyLookup,4,FALSE),"TBD"),"TBD")</f>
        <v>0</v>
      </c>
      <c r="O30" s="11">
        <f>IF(ISNUMBER(N30),VLOOKUP(IF(OR(N30=5,N30=6),N30&amp;IF(H30&gt;=3,"+","&lt;"),N30&amp;""),TargetLookup,IF(B30=-1,6,IF(OR(M30="W",M30="A"),4,2)),FALSE),"TBD")</f>
        <v>0</v>
      </c>
      <c r="P30" s="11">
        <f>IF(ISNUMBER(N30),VLOOKUP(IF(OR(N30=5,N30=6),N30&amp;IF(H30&gt;=3,"+","&lt;"),N30&amp;""),TargetLookup,IF(B30=-1,7,IF(OR(M30="W",M30="A"),5,3)),FALSE),"TBD")</f>
        <v>0</v>
      </c>
      <c r="Q30" s="18" t="s">
        <v>92</v>
      </c>
      <c r="R30" s="19" t="s">
        <v>104</v>
      </c>
      <c r="S30" s="19" t="s">
        <v>94</v>
      </c>
      <c r="T30" s="19">
        <f>Q30&amp;S30&amp;D30</f>
        <v>0</v>
      </c>
      <c r="U30" s="11">
        <f t="array" ref="U30">1-PRODUCT(IF(Students=E30,MGRMoneyMult,1))</f>
        <v>0</v>
      </c>
      <c r="V30" s="12">
        <f t="array" ref="V30">1-PRODUCT(IF(Students=E30,RGRMoneyMult,1))</f>
        <v>0</v>
      </c>
      <c r="W30" s="13">
        <f>COUNTIFS(Students,E30,Results,"Accepted!")+COUNTIFS(Students,E30,Results,"CHOICE!")</f>
        <v>0</v>
      </c>
      <c r="X30" s="1">
        <f>COUNTIFS(Students,E30,Results,"Deferred")+COUNTIFS(Students,E30,Results,"Waitlist")</f>
        <v>0</v>
      </c>
      <c r="Y30" s="13">
        <f>COUNTIFS(Students,E30,Results,"Denied")</f>
        <v>0</v>
      </c>
      <c r="Z30" s="13">
        <f>W30+X30+Y30+COUNTIFS(Students,E30,Results,"Submitted")</f>
        <v>0</v>
      </c>
      <c r="AA30" s="12">
        <v>0.26572</v>
      </c>
      <c r="AB30" s="12">
        <v>0.19</v>
      </c>
      <c r="AC30" s="12">
        <v>0.29</v>
      </c>
      <c r="AD30" s="12">
        <v>0.29</v>
      </c>
      <c r="AE30" s="13">
        <f>COUNTIFS(Students,E30,Results,"CHOICE!")</f>
        <v>0</v>
      </c>
      <c r="AF30" s="1">
        <f>COUNTIFS(MoneyYesNo,1,RGRcount,1,Students,E30,Results,"Accepted!")</f>
        <v>0</v>
      </c>
      <c r="AG30" s="1">
        <f>COUNTIFS(MoneyYesNo,1,MGRcount,1,Students,E30,Results,"Accepted!")-AF30</f>
        <v>0</v>
      </c>
      <c r="AH30" s="1">
        <f>COUNTIFS(MoneyYesNo,1,Students,E30,Results,"Accepted!")-AF30-AG30</f>
        <v>0</v>
      </c>
      <c r="AI30" s="13">
        <f>COUNTIFS(Students,E30,Results,"Accepted!")-AF30-AG30-AH30</f>
        <v>0</v>
      </c>
      <c r="AJ30" s="1">
        <f>SUMIFS(RGRcount,Students,E30,MoneyYesNo,1)</f>
        <v>0</v>
      </c>
      <c r="AK30" s="1">
        <f>SUMIFS(MGRcount,Students,E30,MoneyYesNo,1)-AJ30</f>
        <v>0</v>
      </c>
      <c r="AL30" s="1">
        <f>SUMIF(Students,E30,MoneyYesNo)-AJ30-AK30</f>
        <v>0</v>
      </c>
      <c r="AM30" s="13">
        <f>SUM(AJ30,AK30,AL30)</f>
        <v>0</v>
      </c>
      <c r="AN30" s="1">
        <f>SUMIF(Students,E30,RGRcount)</f>
        <v>0</v>
      </c>
      <c r="AO30" s="1">
        <f>SUMIF(Students,E30,MGRcount)-AN30</f>
        <v>0</v>
      </c>
      <c r="AP30" s="1">
        <f>COUNTIF(Students,E30)-AN30-AO30</f>
        <v>0</v>
      </c>
      <c r="AQ30" s="1">
        <f>SUMIF(Students,E30,FarBelowTGRCount)</f>
        <v>0</v>
      </c>
      <c r="AR30" s="47">
        <f>COUNTIF(Students,E30)</f>
        <v>0</v>
      </c>
      <c r="AS30" s="11">
        <f>IF(AR30&gt;0,Z30/AR30,0)</f>
        <v>0</v>
      </c>
      <c r="AT30" s="11">
        <f t="array" ref="AT30">1-PRODUCT(IF(Students=E30,MGRMult,1))</f>
        <v>0</v>
      </c>
      <c r="AU30" s="12">
        <f t="array" ref="AU30">1-PRODUCT(IF(Students=E30,RGRMult,1))</f>
        <v>0</v>
      </c>
      <c r="AV30" s="1">
        <f>COUNTIFS(Students,E30,Classes,HailMaryLabel)</f>
        <v>0</v>
      </c>
      <c r="AW30" s="1">
        <f>COUNTIFS(Students,E30,Classes,LongshotLabel)</f>
        <v>0</v>
      </c>
      <c r="AX30" s="1">
        <f>COUNTIFS(Students,E30,Classes,ReachLabel)</f>
        <v>0</v>
      </c>
      <c r="AY30" s="1">
        <f>COUNTIFS(Students,E30,Classes,MatchLabel)</f>
        <v>0</v>
      </c>
      <c r="AZ30" s="1">
        <f>COUNTIFS(Students,E30,Classes,SafetyLabel)</f>
        <v>0</v>
      </c>
      <c r="BA30" s="1">
        <f>COUNTIFS(Students,E30,Classes,SecureLabel)</f>
        <v>0</v>
      </c>
      <c r="BB30" s="1">
        <f>COUNTIFS(Students,E30,Classes,SureThingLabel)</f>
        <v>0</v>
      </c>
      <c r="BC30" s="13">
        <f>COUNTIFS(Students,E30,Classes,"Other")</f>
        <v>0</v>
      </c>
      <c r="BD30" s="1">
        <f>COUNTIFS(Students,E30,Classes,ReachLabel,MoneyYesNo,1)</f>
        <v>0</v>
      </c>
      <c r="BE30" s="1">
        <f>COUNTIFS(Students,E30,Classes,MatchLabel,MoneyYesNo,1)</f>
        <v>0</v>
      </c>
      <c r="BF30" s="1">
        <f>COUNTIFS(Students,E30,Classes,SafetyLabel,MoneyYesNo,1)</f>
        <v>0</v>
      </c>
      <c r="BG30" s="1">
        <f>COUNTIFS(Students,E30,Classes,SecureLabel,MoneyYesNo,1)</f>
        <v>0</v>
      </c>
      <c r="BH30" s="1">
        <f>COUNTIFS(Students,E30,Classes,SureThingLabel,MoneyYesNo,1)</f>
        <v>0</v>
      </c>
      <c r="BI30" s="1">
        <f>SUM(BD30:BH30)</f>
        <v>0</v>
      </c>
      <c r="BJ30" s="1">
        <f>SUMIFS(RGRcount,Students,E30,MoneyYesNo,1,Odds,"&gt;=20")</f>
        <v>0</v>
      </c>
      <c r="BK30" s="1">
        <f>SUMIFS(MGRcount,Students,E30,MoneyYesNo,1,Odds,"&gt;=20")-BJ30</f>
        <v>0</v>
      </c>
      <c r="BL30" s="1">
        <f>SUMIFS(RGRcount,Students,E30,MoneyYesNo,1,Odds,"&gt;=10")</f>
        <v>0</v>
      </c>
      <c r="BM30" s="1">
        <f>SUMIFS(MGRcount,Students,E30,MoneyYesNo,1,Odds,"&gt;=10")-BL30</f>
        <v>0</v>
      </c>
      <c r="BN30" s="1">
        <f>COUNTIFS(Students,E30,ILPublic,1)</f>
        <v>0</v>
      </c>
      <c r="BO30" s="1">
        <f>COUNTIFS(Students,E30,ILPublic,1, Classes,MatchLabel)+COUNTIFS(Students,E30,ILPublic,1, Classes,SafetyLabel)+COUNTIFS(Students,E30,ILPublic,1, Classes,SecureLabel)</f>
        <v>0</v>
      </c>
      <c r="BP30" s="1">
        <f>COUNTIFS(Students,E30,ILPublic,1, Classes,SecureLabel)</f>
        <v>0</v>
      </c>
      <c r="BQ30" s="1">
        <f>COUNTIFS(Students,E30,MoneyChicago,1)</f>
        <v>0</v>
      </c>
      <c r="BR30" s="1">
        <f>COUNTIFS(Students,E30,MatchOrUnder,1)</f>
        <v>0</v>
      </c>
      <c r="BS30" s="1">
        <f>SUMIF(Students,E30,MGRcount)</f>
        <v>0</v>
      </c>
      <c r="BT30" s="1">
        <f>COUNTIFS(Students,E30,BadMoney,1)</f>
        <v>0</v>
      </c>
      <c r="BU30" s="1">
        <f>COUNTIFS(Students,E30,GoldenThree,1)</f>
        <v>0</v>
      </c>
    </row>
    <row r="31" spans="1:73">
      <c r="A31" s="18" t="s">
        <v>86</v>
      </c>
      <c r="B31" s="19">
        <v>-1</v>
      </c>
      <c r="C31" s="18" t="s">
        <v>138</v>
      </c>
      <c r="D31" s="18" t="s">
        <v>190</v>
      </c>
      <c r="E31" s="19">
        <v>24230510</v>
      </c>
      <c r="F31" s="19" t="s">
        <v>191</v>
      </c>
      <c r="G31" s="10" t="s">
        <v>192</v>
      </c>
      <c r="H31" s="46">
        <v>2.9385</v>
      </c>
      <c r="I31" s="1">
        <v>16</v>
      </c>
      <c r="J31" s="1">
        <v>1390</v>
      </c>
      <c r="K31" s="1">
        <f>IF(ISNUMBER(J31),VLOOKUP(J31,SATtoACT,2,FALSE),"TBD")</f>
        <v>0</v>
      </c>
      <c r="L31" s="1">
        <f>IF(ISNUMBER(I31),IF(ISNUMBER(K31),MAX(I31,K31),I31),IF(ISNUMBER(K31),K31,"TBD"))</f>
        <v>0</v>
      </c>
      <c r="M31" s="1" t="s">
        <v>91</v>
      </c>
      <c r="N31" s="1">
        <f>IF(AND(H31&lt;&gt;0,L31&lt;&gt;0),IF(ISNUMBER(VLOOKUP(TEXT(MAX(FLOOR(H31*10,1)/10,1.5),"0.0")&amp;":"&amp;MAX(L31,12),StrategyLookup,4,FALSE)),VLOOKUP(TEXT(MAX(FLOOR(H31*10,1)/10,1.5),"0.0")&amp;":"&amp;MAX(L31,12),StrategyLookup,4,FALSE),"TBD"),"TBD")</f>
        <v>0</v>
      </c>
      <c r="O31" s="11">
        <f>IF(ISNUMBER(N31),VLOOKUP(IF(OR(N31=5,N31=6),N31&amp;IF(H31&gt;=3,"+","&lt;"),N31&amp;""),TargetLookup,IF(B31=-1,6,IF(OR(M31="W",M31="A"),4,2)),FALSE),"TBD")</f>
        <v>0</v>
      </c>
      <c r="P31" s="11">
        <f>IF(ISNUMBER(N31),VLOOKUP(IF(OR(N31=5,N31=6),N31&amp;IF(H31&gt;=3,"+","&lt;"),N31&amp;""),TargetLookup,IF(B31=-1,7,IF(OR(M31="W",M31="A"),5,3)),FALSE),"TBD")</f>
        <v>0</v>
      </c>
      <c r="Q31" s="18" t="s">
        <v>98</v>
      </c>
      <c r="R31" s="19" t="s">
        <v>99</v>
      </c>
      <c r="S31" s="19" t="s">
        <v>94</v>
      </c>
      <c r="T31" s="19">
        <f>Q31&amp;S31&amp;D31</f>
        <v>0</v>
      </c>
      <c r="U31" s="11">
        <f t="array" ref="U31">1-PRODUCT(IF(Students=E31,MGRMoneyMult,1))</f>
        <v>0</v>
      </c>
      <c r="V31" s="12">
        <f t="array" ref="V31">1-PRODUCT(IF(Students=E31,RGRMoneyMult,1))</f>
        <v>0</v>
      </c>
      <c r="W31" s="13">
        <f>COUNTIFS(Students,E31,Results,"Accepted!")+COUNTIFS(Students,E31,Results,"CHOICE!")</f>
        <v>0</v>
      </c>
      <c r="X31" s="1">
        <f>COUNTIFS(Students,E31,Results,"Deferred")+COUNTIFS(Students,E31,Results,"Waitlist")</f>
        <v>0</v>
      </c>
      <c r="Y31" s="13">
        <f>COUNTIFS(Students,E31,Results,"Denied")</f>
        <v>0</v>
      </c>
      <c r="Z31" s="13">
        <f>W31+X31+Y31+COUNTIFS(Students,E31,Results,"Submitted")</f>
        <v>0</v>
      </c>
      <c r="AA31" s="12">
        <v>0.5299519615695201</v>
      </c>
      <c r="AB31" s="12">
        <v>0.4499359492</v>
      </c>
      <c r="AC31" s="12">
        <v>0.4026548776497101</v>
      </c>
      <c r="AD31" s="12">
        <v>0.3800713127091523</v>
      </c>
      <c r="AE31" s="13">
        <f>COUNTIFS(Students,E31,Results,"CHOICE!")</f>
        <v>0</v>
      </c>
      <c r="AF31" s="1">
        <f>COUNTIFS(MoneyYesNo,1,RGRcount,1,Students,E31,Results,"Accepted!")</f>
        <v>0</v>
      </c>
      <c r="AG31" s="1">
        <f>COUNTIFS(MoneyYesNo,1,MGRcount,1,Students,E31,Results,"Accepted!")-AF31</f>
        <v>0</v>
      </c>
      <c r="AH31" s="1">
        <f>COUNTIFS(MoneyYesNo,1,Students,E31,Results,"Accepted!")-AF31-AG31</f>
        <v>0</v>
      </c>
      <c r="AI31" s="13">
        <f>COUNTIFS(Students,E31,Results,"Accepted!")-AF31-AG31-AH31</f>
        <v>0</v>
      </c>
      <c r="AJ31" s="1">
        <f>SUMIFS(RGRcount,Students,E31,MoneyYesNo,1)</f>
        <v>0</v>
      </c>
      <c r="AK31" s="1">
        <f>SUMIFS(MGRcount,Students,E31,MoneyYesNo,1)-AJ31</f>
        <v>0</v>
      </c>
      <c r="AL31" s="1">
        <f>SUMIF(Students,E31,MoneyYesNo)-AJ31-AK31</f>
        <v>0</v>
      </c>
      <c r="AM31" s="13">
        <f>SUM(AJ31,AK31,AL31)</f>
        <v>0</v>
      </c>
      <c r="AN31" s="1">
        <f>SUMIF(Students,E31,RGRcount)</f>
        <v>0</v>
      </c>
      <c r="AO31" s="1">
        <f>SUMIF(Students,E31,MGRcount)-AN31</f>
        <v>0</v>
      </c>
      <c r="AP31" s="1">
        <f>COUNTIF(Students,E31)-AN31-AO31</f>
        <v>0</v>
      </c>
      <c r="AQ31" s="1">
        <f>SUMIF(Students,E31,FarBelowTGRCount)</f>
        <v>0</v>
      </c>
      <c r="AR31" s="47">
        <f>COUNTIF(Students,E31)</f>
        <v>0</v>
      </c>
      <c r="AS31" s="11">
        <f>IF(AR31&gt;0,Z31/AR31,0)</f>
        <v>0</v>
      </c>
      <c r="AT31" s="11">
        <f t="array" ref="AT31">1-PRODUCT(IF(Students=E31,MGRMult,1))</f>
        <v>0</v>
      </c>
      <c r="AU31" s="12">
        <f t="array" ref="AU31">1-PRODUCT(IF(Students=E31,RGRMult,1))</f>
        <v>0</v>
      </c>
      <c r="AV31" s="1">
        <f>COUNTIFS(Students,E31,Classes,HailMaryLabel)</f>
        <v>0</v>
      </c>
      <c r="AW31" s="1">
        <f>COUNTIFS(Students,E31,Classes,LongshotLabel)</f>
        <v>0</v>
      </c>
      <c r="AX31" s="1">
        <f>COUNTIFS(Students,E31,Classes,ReachLabel)</f>
        <v>0</v>
      </c>
      <c r="AY31" s="1">
        <f>COUNTIFS(Students,E31,Classes,MatchLabel)</f>
        <v>0</v>
      </c>
      <c r="AZ31" s="1">
        <f>COUNTIFS(Students,E31,Classes,SafetyLabel)</f>
        <v>0</v>
      </c>
      <c r="BA31" s="1">
        <f>COUNTIFS(Students,E31,Classes,SecureLabel)</f>
        <v>0</v>
      </c>
      <c r="BB31" s="1">
        <f>COUNTIFS(Students,E31,Classes,SureThingLabel)</f>
        <v>0</v>
      </c>
      <c r="BC31" s="13">
        <f>COUNTIFS(Students,E31,Classes,"Other")</f>
        <v>0</v>
      </c>
      <c r="BD31" s="1">
        <f>COUNTIFS(Students,E31,Classes,ReachLabel,MoneyYesNo,1)</f>
        <v>0</v>
      </c>
      <c r="BE31" s="1">
        <f>COUNTIFS(Students,E31,Classes,MatchLabel,MoneyYesNo,1)</f>
        <v>0</v>
      </c>
      <c r="BF31" s="1">
        <f>COUNTIFS(Students,E31,Classes,SafetyLabel,MoneyYesNo,1)</f>
        <v>0</v>
      </c>
      <c r="BG31" s="1">
        <f>COUNTIFS(Students,E31,Classes,SecureLabel,MoneyYesNo,1)</f>
        <v>0</v>
      </c>
      <c r="BH31" s="1">
        <f>COUNTIFS(Students,E31,Classes,SureThingLabel,MoneyYesNo,1)</f>
        <v>0</v>
      </c>
      <c r="BI31" s="1">
        <f>SUM(BD31:BH31)</f>
        <v>0</v>
      </c>
      <c r="BJ31" s="1">
        <f>SUMIFS(RGRcount,Students,E31,MoneyYesNo,1,Odds,"&gt;=20")</f>
        <v>0</v>
      </c>
      <c r="BK31" s="1">
        <f>SUMIFS(MGRcount,Students,E31,MoneyYesNo,1,Odds,"&gt;=20")-BJ31</f>
        <v>0</v>
      </c>
      <c r="BL31" s="1">
        <f>SUMIFS(RGRcount,Students,E31,MoneyYesNo,1,Odds,"&gt;=10")</f>
        <v>0</v>
      </c>
      <c r="BM31" s="1">
        <f>SUMIFS(MGRcount,Students,E31,MoneyYesNo,1,Odds,"&gt;=10")-BL31</f>
        <v>0</v>
      </c>
      <c r="BN31" s="1">
        <f>COUNTIFS(Students,E31,ILPublic,1)</f>
        <v>0</v>
      </c>
      <c r="BO31" s="1">
        <f>COUNTIFS(Students,E31,ILPublic,1, Classes,MatchLabel)+COUNTIFS(Students,E31,ILPublic,1, Classes,SafetyLabel)+COUNTIFS(Students,E31,ILPublic,1, Classes,SecureLabel)</f>
        <v>0</v>
      </c>
      <c r="BP31" s="1">
        <f>COUNTIFS(Students,E31,ILPublic,1, Classes,SecureLabel)</f>
        <v>0</v>
      </c>
      <c r="BQ31" s="1">
        <f>COUNTIFS(Students,E31,MoneyChicago,1)</f>
        <v>0</v>
      </c>
      <c r="BR31" s="1">
        <f>COUNTIFS(Students,E31,MatchOrUnder,1)</f>
        <v>0</v>
      </c>
      <c r="BS31" s="1">
        <f>SUMIF(Students,E31,MGRcount)</f>
        <v>0</v>
      </c>
      <c r="BT31" s="1">
        <f>COUNTIFS(Students,E31,BadMoney,1)</f>
        <v>0</v>
      </c>
      <c r="BU31" s="1">
        <f>COUNTIFS(Students,E31,GoldenThree,1)</f>
        <v>0</v>
      </c>
    </row>
    <row r="32" spans="1:73">
      <c r="A32" s="18" t="s">
        <v>86</v>
      </c>
      <c r="B32" s="19">
        <v>0</v>
      </c>
      <c r="C32" s="18" t="s">
        <v>87</v>
      </c>
      <c r="D32" s="18" t="s">
        <v>193</v>
      </c>
      <c r="E32" s="19">
        <v>23416005</v>
      </c>
      <c r="F32" s="19" t="s">
        <v>194</v>
      </c>
      <c r="G32" s="10" t="s">
        <v>195</v>
      </c>
      <c r="H32" s="46">
        <v>3.2635</v>
      </c>
      <c r="I32" s="1">
        <v>21</v>
      </c>
      <c r="J32" s="1">
        <v>1020</v>
      </c>
      <c r="K32" s="1">
        <f>IF(ISNUMBER(J32),VLOOKUP(J32,SATtoACT,2,FALSE),"TBD")</f>
        <v>0</v>
      </c>
      <c r="L32" s="1">
        <f>IF(ISNUMBER(I32),IF(ISNUMBER(K32),MAX(I32,K32),I32),IF(ISNUMBER(K32),K32,"TBD"))</f>
        <v>0</v>
      </c>
      <c r="M32" s="1" t="s">
        <v>91</v>
      </c>
      <c r="N32" s="1">
        <f>IF(AND(H32&lt;&gt;0,L32&lt;&gt;0),IF(ISNUMBER(VLOOKUP(TEXT(MAX(FLOOR(H32*10,1)/10,1.5),"0.0")&amp;":"&amp;MAX(L32,12),StrategyLookup,4,FALSE)),VLOOKUP(TEXT(MAX(FLOOR(H32*10,1)/10,1.5),"0.0")&amp;":"&amp;MAX(L32,12),StrategyLookup,4,FALSE),"TBD"),"TBD")</f>
        <v>0</v>
      </c>
      <c r="O32" s="11">
        <f>IF(ISNUMBER(N32),VLOOKUP(IF(OR(N32=5,N32=6),N32&amp;IF(H32&gt;=3,"+","&lt;"),N32&amp;""),TargetLookup,IF(B32=-1,6,IF(OR(M32="W",M32="A"),4,2)),FALSE),"TBD")</f>
        <v>0</v>
      </c>
      <c r="P32" s="11">
        <f>IF(ISNUMBER(N32),VLOOKUP(IF(OR(N32=5,N32=6),N32&amp;IF(H32&gt;=3,"+","&lt;"),N32&amp;""),TargetLookup,IF(B32=-1,7,IF(OR(M32="W",M32="A"),5,3)),FALSE),"TBD")</f>
        <v>0</v>
      </c>
      <c r="Q32" s="18" t="s">
        <v>145</v>
      </c>
      <c r="R32" s="19" t="s">
        <v>93</v>
      </c>
      <c r="S32" s="19" t="s">
        <v>94</v>
      </c>
      <c r="T32" s="19">
        <f>Q32&amp;S32&amp;D32</f>
        <v>0</v>
      </c>
      <c r="U32" s="11">
        <f t="array" ref="U32">1-PRODUCT(IF(Students=E32,MGRMoneyMult,1))</f>
        <v>0</v>
      </c>
      <c r="V32" s="12">
        <f t="array" ref="V32">1-PRODUCT(IF(Students=E32,RGRMoneyMult,1))</f>
        <v>0</v>
      </c>
      <c r="W32" s="13">
        <f>COUNTIFS(Students,E32,Results,"Accepted!")+COUNTIFS(Students,E32,Results,"CHOICE!")</f>
        <v>0</v>
      </c>
      <c r="X32" s="1">
        <f>COUNTIFS(Students,E32,Results,"Deferred")+COUNTIFS(Students,E32,Results,"Waitlist")</f>
        <v>0</v>
      </c>
      <c r="Y32" s="13">
        <f>COUNTIFS(Students,E32,Results,"Denied")</f>
        <v>0</v>
      </c>
      <c r="Z32" s="13">
        <f>W32+X32+Y32+COUNTIFS(Students,E32,Results,"Submitted")</f>
        <v>0</v>
      </c>
      <c r="AA32" s="12">
        <v>0.7083573837599502</v>
      </c>
      <c r="AB32" s="12">
        <v>0.6520170016150104</v>
      </c>
      <c r="AC32" s="12">
        <v>0.5923823484550033</v>
      </c>
      <c r="AD32" s="12">
        <v>0.5672231055841658</v>
      </c>
      <c r="AE32" s="13">
        <f>COUNTIFS(Students,E32,Results,"CHOICE!")</f>
        <v>0</v>
      </c>
      <c r="AF32" s="1">
        <f>COUNTIFS(MoneyYesNo,1,RGRcount,1,Students,E32,Results,"Accepted!")</f>
        <v>0</v>
      </c>
      <c r="AG32" s="1">
        <f>COUNTIFS(MoneyYesNo,1,MGRcount,1,Students,E32,Results,"Accepted!")-AF32</f>
        <v>0</v>
      </c>
      <c r="AH32" s="1">
        <f>COUNTIFS(MoneyYesNo,1,Students,E32,Results,"Accepted!")-AF32-AG32</f>
        <v>0</v>
      </c>
      <c r="AI32" s="13">
        <f>COUNTIFS(Students,E32,Results,"Accepted!")-AF32-AG32-AH32</f>
        <v>0</v>
      </c>
      <c r="AJ32" s="1">
        <f>SUMIFS(RGRcount,Students,E32,MoneyYesNo,1)</f>
        <v>0</v>
      </c>
      <c r="AK32" s="1">
        <f>SUMIFS(MGRcount,Students,E32,MoneyYesNo,1)-AJ32</f>
        <v>0</v>
      </c>
      <c r="AL32" s="1">
        <f>SUMIF(Students,E32,MoneyYesNo)-AJ32-AK32</f>
        <v>0</v>
      </c>
      <c r="AM32" s="13">
        <f>SUM(AJ32,AK32,AL32)</f>
        <v>0</v>
      </c>
      <c r="AN32" s="1">
        <f>SUMIF(Students,E32,RGRcount)</f>
        <v>0</v>
      </c>
      <c r="AO32" s="1">
        <f>SUMIF(Students,E32,MGRcount)-AN32</f>
        <v>0</v>
      </c>
      <c r="AP32" s="1">
        <f>COUNTIF(Students,E32)-AN32-AO32</f>
        <v>0</v>
      </c>
      <c r="AQ32" s="1">
        <f>SUMIF(Students,E32,FarBelowTGRCount)</f>
        <v>0</v>
      </c>
      <c r="AR32" s="47">
        <f>COUNTIF(Students,E32)</f>
        <v>0</v>
      </c>
      <c r="AS32" s="11">
        <f>IF(AR32&gt;0,Z32/AR32,0)</f>
        <v>0</v>
      </c>
      <c r="AT32" s="11">
        <f t="array" ref="AT32">1-PRODUCT(IF(Students=E32,MGRMult,1))</f>
        <v>0</v>
      </c>
      <c r="AU32" s="12">
        <f t="array" ref="AU32">1-PRODUCT(IF(Students=E32,RGRMult,1))</f>
        <v>0</v>
      </c>
      <c r="AV32" s="1">
        <f>COUNTIFS(Students,E32,Classes,HailMaryLabel)</f>
        <v>0</v>
      </c>
      <c r="AW32" s="1">
        <f>COUNTIFS(Students,E32,Classes,LongshotLabel)</f>
        <v>0</v>
      </c>
      <c r="AX32" s="1">
        <f>COUNTIFS(Students,E32,Classes,ReachLabel)</f>
        <v>0</v>
      </c>
      <c r="AY32" s="1">
        <f>COUNTIFS(Students,E32,Classes,MatchLabel)</f>
        <v>0</v>
      </c>
      <c r="AZ32" s="1">
        <f>COUNTIFS(Students,E32,Classes,SafetyLabel)</f>
        <v>0</v>
      </c>
      <c r="BA32" s="1">
        <f>COUNTIFS(Students,E32,Classes,SecureLabel)</f>
        <v>0</v>
      </c>
      <c r="BB32" s="1">
        <f>COUNTIFS(Students,E32,Classes,SureThingLabel)</f>
        <v>0</v>
      </c>
      <c r="BC32" s="13">
        <f>COUNTIFS(Students,E32,Classes,"Other")</f>
        <v>0</v>
      </c>
      <c r="BD32" s="1">
        <f>COUNTIFS(Students,E32,Classes,ReachLabel,MoneyYesNo,1)</f>
        <v>0</v>
      </c>
      <c r="BE32" s="1">
        <f>COUNTIFS(Students,E32,Classes,MatchLabel,MoneyYesNo,1)</f>
        <v>0</v>
      </c>
      <c r="BF32" s="1">
        <f>COUNTIFS(Students,E32,Classes,SafetyLabel,MoneyYesNo,1)</f>
        <v>0</v>
      </c>
      <c r="BG32" s="1">
        <f>COUNTIFS(Students,E32,Classes,SecureLabel,MoneyYesNo,1)</f>
        <v>0</v>
      </c>
      <c r="BH32" s="1">
        <f>COUNTIFS(Students,E32,Classes,SureThingLabel,MoneyYesNo,1)</f>
        <v>0</v>
      </c>
      <c r="BI32" s="1">
        <f>SUM(BD32:BH32)</f>
        <v>0</v>
      </c>
      <c r="BJ32" s="1">
        <f>SUMIFS(RGRcount,Students,E32,MoneyYesNo,1,Odds,"&gt;=20")</f>
        <v>0</v>
      </c>
      <c r="BK32" s="1">
        <f>SUMIFS(MGRcount,Students,E32,MoneyYesNo,1,Odds,"&gt;=20")-BJ32</f>
        <v>0</v>
      </c>
      <c r="BL32" s="1">
        <f>SUMIFS(RGRcount,Students,E32,MoneyYesNo,1,Odds,"&gt;=10")</f>
        <v>0</v>
      </c>
      <c r="BM32" s="1">
        <f>SUMIFS(MGRcount,Students,E32,MoneyYesNo,1,Odds,"&gt;=10")-BL32</f>
        <v>0</v>
      </c>
      <c r="BN32" s="1">
        <f>COUNTIFS(Students,E32,ILPublic,1)</f>
        <v>0</v>
      </c>
      <c r="BO32" s="1">
        <f>COUNTIFS(Students,E32,ILPublic,1, Classes,MatchLabel)+COUNTIFS(Students,E32,ILPublic,1, Classes,SafetyLabel)+COUNTIFS(Students,E32,ILPublic,1, Classes,SecureLabel)</f>
        <v>0</v>
      </c>
      <c r="BP32" s="1">
        <f>COUNTIFS(Students,E32,ILPublic,1, Classes,SecureLabel)</f>
        <v>0</v>
      </c>
      <c r="BQ32" s="1">
        <f>COUNTIFS(Students,E32,MoneyChicago,1)</f>
        <v>0</v>
      </c>
      <c r="BR32" s="1">
        <f>COUNTIFS(Students,E32,MatchOrUnder,1)</f>
        <v>0</v>
      </c>
      <c r="BS32" s="1">
        <f>SUMIF(Students,E32,MGRcount)</f>
        <v>0</v>
      </c>
      <c r="BT32" s="1">
        <f>COUNTIFS(Students,E32,BadMoney,1)</f>
        <v>0</v>
      </c>
      <c r="BU32" s="1">
        <f>COUNTIFS(Students,E32,GoldenThree,1)</f>
        <v>0</v>
      </c>
    </row>
    <row r="33" spans="1:73">
      <c r="A33" s="18" t="s">
        <v>86</v>
      </c>
      <c r="B33" s="19">
        <v>0</v>
      </c>
      <c r="C33" s="18" t="s">
        <v>87</v>
      </c>
      <c r="D33" s="18" t="s">
        <v>196</v>
      </c>
      <c r="E33" s="19">
        <v>22248900</v>
      </c>
      <c r="F33" s="19" t="s">
        <v>197</v>
      </c>
      <c r="G33" s="10" t="s">
        <v>198</v>
      </c>
      <c r="H33" s="46">
        <v>3.1365</v>
      </c>
      <c r="I33" s="1">
        <v>22</v>
      </c>
      <c r="J33" s="1">
        <v>900</v>
      </c>
      <c r="K33" s="1">
        <f>IF(ISNUMBER(J33),VLOOKUP(J33,SATtoACT,2,FALSE),"TBD")</f>
        <v>0</v>
      </c>
      <c r="L33" s="1">
        <f>IF(ISNUMBER(I33),IF(ISNUMBER(K33),MAX(I33,K33),I33),IF(ISNUMBER(K33),K33,"TBD"))</f>
        <v>0</v>
      </c>
      <c r="M33" s="1" t="s">
        <v>91</v>
      </c>
      <c r="N33" s="1">
        <f>IF(AND(H33&lt;&gt;0,L33&lt;&gt;0),IF(ISNUMBER(VLOOKUP(TEXT(MAX(FLOOR(H33*10,1)/10,1.5),"0.0")&amp;":"&amp;MAX(L33,12),StrategyLookup,4,FALSE)),VLOOKUP(TEXT(MAX(FLOOR(H33*10,1)/10,1.5),"0.0")&amp;":"&amp;MAX(L33,12),StrategyLookup,4,FALSE),"TBD"),"TBD")</f>
        <v>0</v>
      </c>
      <c r="O33" s="11">
        <f>IF(ISNUMBER(N33),VLOOKUP(IF(OR(N33=5,N33=6),N33&amp;IF(H33&gt;=3,"+","&lt;"),N33&amp;""),TargetLookup,IF(B33=-1,6,IF(OR(M33="W",M33="A"),4,2)),FALSE),"TBD")</f>
        <v>0</v>
      </c>
      <c r="P33" s="11">
        <f>IF(ISNUMBER(N33),VLOOKUP(IF(OR(N33=5,N33=6),N33&amp;IF(H33&gt;=3,"+","&lt;"),N33&amp;""),TargetLookup,IF(B33=-1,7,IF(OR(M33="W",M33="A"),5,3)),FALSE),"TBD")</f>
        <v>0</v>
      </c>
      <c r="Q33" s="18" t="s">
        <v>165</v>
      </c>
      <c r="R33" s="19" t="s">
        <v>99</v>
      </c>
      <c r="S33" s="19" t="s">
        <v>94</v>
      </c>
      <c r="T33" s="19">
        <f>Q33&amp;S33&amp;D33</f>
        <v>0</v>
      </c>
      <c r="U33" s="11">
        <f t="array" ref="U33">1-PRODUCT(IF(Students=E33,MGRMoneyMult,1))</f>
        <v>0</v>
      </c>
      <c r="V33" s="12">
        <f t="array" ref="V33">1-PRODUCT(IF(Students=E33,RGRMoneyMult,1))</f>
        <v>0</v>
      </c>
      <c r="W33" s="13">
        <f>COUNTIFS(Students,E33,Results,"Accepted!")+COUNTIFS(Students,E33,Results,"CHOICE!")</f>
        <v>0</v>
      </c>
      <c r="X33" s="1">
        <f>COUNTIFS(Students,E33,Results,"Deferred")+COUNTIFS(Students,E33,Results,"Waitlist")</f>
        <v>0</v>
      </c>
      <c r="Y33" s="13">
        <f>COUNTIFS(Students,E33,Results,"Denied")</f>
        <v>0</v>
      </c>
      <c r="Z33" s="13">
        <f>W33+X33+Y33+COUNTIFS(Students,E33,Results,"Submitted")</f>
        <v>0</v>
      </c>
      <c r="AA33" s="12">
        <v>0</v>
      </c>
      <c r="AB33" s="12">
        <v>0</v>
      </c>
      <c r="AC33" s="12">
        <v>0</v>
      </c>
      <c r="AD33" s="12">
        <v>0</v>
      </c>
      <c r="AE33" s="13">
        <f>COUNTIFS(Students,E33,Results,"CHOICE!")</f>
        <v>0</v>
      </c>
      <c r="AF33" s="1">
        <f>COUNTIFS(MoneyYesNo,1,RGRcount,1,Students,E33,Results,"Accepted!")</f>
        <v>0</v>
      </c>
      <c r="AG33" s="1">
        <f>COUNTIFS(MoneyYesNo,1,MGRcount,1,Students,E33,Results,"Accepted!")-AF33</f>
        <v>0</v>
      </c>
      <c r="AH33" s="1">
        <f>COUNTIFS(MoneyYesNo,1,Students,E33,Results,"Accepted!")-AF33-AG33</f>
        <v>0</v>
      </c>
      <c r="AI33" s="13">
        <f>COUNTIFS(Students,E33,Results,"Accepted!")-AF33-AG33-AH33</f>
        <v>0</v>
      </c>
      <c r="AJ33" s="1">
        <f>SUMIFS(RGRcount,Students,E33,MoneyYesNo,1)</f>
        <v>0</v>
      </c>
      <c r="AK33" s="1">
        <f>SUMIFS(MGRcount,Students,E33,MoneyYesNo,1)-AJ33</f>
        <v>0</v>
      </c>
      <c r="AL33" s="1">
        <f>SUMIF(Students,E33,MoneyYesNo)-AJ33-AK33</f>
        <v>0</v>
      </c>
      <c r="AM33" s="13">
        <f>SUM(AJ33,AK33,AL33)</f>
        <v>0</v>
      </c>
      <c r="AN33" s="1">
        <f>SUMIF(Students,E33,RGRcount)</f>
        <v>0</v>
      </c>
      <c r="AO33" s="1">
        <f>SUMIF(Students,E33,MGRcount)-AN33</f>
        <v>0</v>
      </c>
      <c r="AP33" s="1">
        <f>COUNTIF(Students,E33)-AN33-AO33</f>
        <v>0</v>
      </c>
      <c r="AQ33" s="1">
        <f>SUMIF(Students,E33,FarBelowTGRCount)</f>
        <v>0</v>
      </c>
      <c r="AR33" s="47">
        <f>COUNTIF(Students,E33)</f>
        <v>0</v>
      </c>
      <c r="AS33" s="11">
        <f>IF(AR33&gt;0,Z33/AR33,0)</f>
        <v>0</v>
      </c>
      <c r="AT33" s="11">
        <f t="array" ref="AT33">1-PRODUCT(IF(Students=E33,MGRMult,1))</f>
        <v>0</v>
      </c>
      <c r="AU33" s="12">
        <f t="array" ref="AU33">1-PRODUCT(IF(Students=E33,RGRMult,1))</f>
        <v>0</v>
      </c>
      <c r="AV33" s="1">
        <f>COUNTIFS(Students,E33,Classes,HailMaryLabel)</f>
        <v>0</v>
      </c>
      <c r="AW33" s="1">
        <f>COUNTIFS(Students,E33,Classes,LongshotLabel)</f>
        <v>0</v>
      </c>
      <c r="AX33" s="1">
        <f>COUNTIFS(Students,E33,Classes,ReachLabel)</f>
        <v>0</v>
      </c>
      <c r="AY33" s="1">
        <f>COUNTIFS(Students,E33,Classes,MatchLabel)</f>
        <v>0</v>
      </c>
      <c r="AZ33" s="1">
        <f>COUNTIFS(Students,E33,Classes,SafetyLabel)</f>
        <v>0</v>
      </c>
      <c r="BA33" s="1">
        <f>COUNTIFS(Students,E33,Classes,SecureLabel)</f>
        <v>0</v>
      </c>
      <c r="BB33" s="1">
        <f>COUNTIFS(Students,E33,Classes,SureThingLabel)</f>
        <v>0</v>
      </c>
      <c r="BC33" s="13">
        <f>COUNTIFS(Students,E33,Classes,"Other")</f>
        <v>0</v>
      </c>
      <c r="BD33" s="1">
        <f>COUNTIFS(Students,E33,Classes,ReachLabel,MoneyYesNo,1)</f>
        <v>0</v>
      </c>
      <c r="BE33" s="1">
        <f>COUNTIFS(Students,E33,Classes,MatchLabel,MoneyYesNo,1)</f>
        <v>0</v>
      </c>
      <c r="BF33" s="1">
        <f>COUNTIFS(Students,E33,Classes,SafetyLabel,MoneyYesNo,1)</f>
        <v>0</v>
      </c>
      <c r="BG33" s="1">
        <f>COUNTIFS(Students,E33,Classes,SecureLabel,MoneyYesNo,1)</f>
        <v>0</v>
      </c>
      <c r="BH33" s="1">
        <f>COUNTIFS(Students,E33,Classes,SureThingLabel,MoneyYesNo,1)</f>
        <v>0</v>
      </c>
      <c r="BI33" s="1">
        <f>SUM(BD33:BH33)</f>
        <v>0</v>
      </c>
      <c r="BJ33" s="1">
        <f>SUMIFS(RGRcount,Students,E33,MoneyYesNo,1,Odds,"&gt;=20")</f>
        <v>0</v>
      </c>
      <c r="BK33" s="1">
        <f>SUMIFS(MGRcount,Students,E33,MoneyYesNo,1,Odds,"&gt;=20")-BJ33</f>
        <v>0</v>
      </c>
      <c r="BL33" s="1">
        <f>SUMIFS(RGRcount,Students,E33,MoneyYesNo,1,Odds,"&gt;=10")</f>
        <v>0</v>
      </c>
      <c r="BM33" s="1">
        <f>SUMIFS(MGRcount,Students,E33,MoneyYesNo,1,Odds,"&gt;=10")-BL33</f>
        <v>0</v>
      </c>
      <c r="BN33" s="1">
        <f>COUNTIFS(Students,E33,ILPublic,1)</f>
        <v>0</v>
      </c>
      <c r="BO33" s="1">
        <f>COUNTIFS(Students,E33,ILPublic,1, Classes,MatchLabel)+COUNTIFS(Students,E33,ILPublic,1, Classes,SafetyLabel)+COUNTIFS(Students,E33,ILPublic,1, Classes,SecureLabel)</f>
        <v>0</v>
      </c>
      <c r="BP33" s="1">
        <f>COUNTIFS(Students,E33,ILPublic,1, Classes,SecureLabel)</f>
        <v>0</v>
      </c>
      <c r="BQ33" s="1">
        <f>COUNTIFS(Students,E33,MoneyChicago,1)</f>
        <v>0</v>
      </c>
      <c r="BR33" s="1">
        <f>COUNTIFS(Students,E33,MatchOrUnder,1)</f>
        <v>0</v>
      </c>
      <c r="BS33" s="1">
        <f>SUMIF(Students,E33,MGRcount)</f>
        <v>0</v>
      </c>
      <c r="BT33" s="1">
        <f>COUNTIFS(Students,E33,BadMoney,1)</f>
        <v>0</v>
      </c>
      <c r="BU33" s="1">
        <f>COUNTIFS(Students,E33,GoldenThree,1)</f>
        <v>0</v>
      </c>
    </row>
    <row r="34" spans="1:73">
      <c r="A34" s="18" t="s">
        <v>86</v>
      </c>
      <c r="B34" s="19">
        <v>0</v>
      </c>
      <c r="C34" s="18" t="s">
        <v>87</v>
      </c>
      <c r="D34" s="18" t="s">
        <v>199</v>
      </c>
      <c r="E34" s="19">
        <v>22511393</v>
      </c>
      <c r="F34" s="19" t="s">
        <v>200</v>
      </c>
      <c r="G34" s="10" t="s">
        <v>201</v>
      </c>
      <c r="H34" s="46">
        <v>3.5962</v>
      </c>
      <c r="I34" s="1">
        <v>19</v>
      </c>
      <c r="J34" s="1">
        <v>910</v>
      </c>
      <c r="K34" s="1">
        <f>IF(ISNUMBER(J34),VLOOKUP(J34,SATtoACT,2,FALSE),"TBD")</f>
        <v>0</v>
      </c>
      <c r="L34" s="1">
        <f>IF(ISNUMBER(I34),IF(ISNUMBER(K34),MAX(I34,K34),I34),IF(ISNUMBER(K34),K34,"TBD"))</f>
        <v>0</v>
      </c>
      <c r="M34" s="1" t="s">
        <v>91</v>
      </c>
      <c r="N34" s="1">
        <f>IF(AND(H34&lt;&gt;0,L34&lt;&gt;0),IF(ISNUMBER(VLOOKUP(TEXT(MAX(FLOOR(H34*10,1)/10,1.5),"0.0")&amp;":"&amp;MAX(L34,12),StrategyLookup,4,FALSE)),VLOOKUP(TEXT(MAX(FLOOR(H34*10,1)/10,1.5),"0.0")&amp;":"&amp;MAX(L34,12),StrategyLookup,4,FALSE),"TBD"),"TBD")</f>
        <v>0</v>
      </c>
      <c r="O34" s="11">
        <f>IF(ISNUMBER(N34),VLOOKUP(IF(OR(N34=5,N34=6),N34&amp;IF(H34&gt;=3,"+","&lt;"),N34&amp;""),TargetLookup,IF(B34=-1,6,IF(OR(M34="W",M34="A"),4,2)),FALSE),"TBD")</f>
        <v>0</v>
      </c>
      <c r="P34" s="11">
        <f>IF(ISNUMBER(N34),VLOOKUP(IF(OR(N34=5,N34=6),N34&amp;IF(H34&gt;=3,"+","&lt;"),N34&amp;""),TargetLookup,IF(B34=-1,7,IF(OR(M34="W",M34="A"),5,3)),FALSE),"TBD")</f>
        <v>0</v>
      </c>
      <c r="Q34" s="18" t="s">
        <v>145</v>
      </c>
      <c r="R34" s="19" t="s">
        <v>116</v>
      </c>
      <c r="S34" s="19" t="s">
        <v>94</v>
      </c>
      <c r="T34" s="19">
        <f>Q34&amp;S34&amp;D34</f>
        <v>0</v>
      </c>
      <c r="U34" s="11">
        <f t="array" ref="U34">1-PRODUCT(IF(Students=E34,MGRMoneyMult,1))</f>
        <v>0</v>
      </c>
      <c r="V34" s="12">
        <f t="array" ref="V34">1-PRODUCT(IF(Students=E34,RGRMoneyMult,1))</f>
        <v>0</v>
      </c>
      <c r="W34" s="13">
        <f>COUNTIFS(Students,E34,Results,"Accepted!")+COUNTIFS(Students,E34,Results,"CHOICE!")</f>
        <v>0</v>
      </c>
      <c r="X34" s="1">
        <f>COUNTIFS(Students,E34,Results,"Deferred")+COUNTIFS(Students,E34,Results,"Waitlist")</f>
        <v>0</v>
      </c>
      <c r="Y34" s="13">
        <f>COUNTIFS(Students,E34,Results,"Denied")</f>
        <v>0</v>
      </c>
      <c r="Z34" s="13">
        <f>W34+X34+Y34+COUNTIFS(Students,E34,Results,"Submitted")</f>
        <v>0</v>
      </c>
      <c r="AA34" s="12">
        <v>0.77417753602184</v>
      </c>
      <c r="AB34" s="12">
        <v>0.7668991308186592</v>
      </c>
      <c r="AC34" s="12">
        <v>0.7485300350539302</v>
      </c>
      <c r="AD34" s="12">
        <v>0.7393606166269039</v>
      </c>
      <c r="AE34" s="13">
        <f>COUNTIFS(Students,E34,Results,"CHOICE!")</f>
        <v>0</v>
      </c>
      <c r="AF34" s="1">
        <f>COUNTIFS(MoneyYesNo,1,RGRcount,1,Students,E34,Results,"Accepted!")</f>
        <v>0</v>
      </c>
      <c r="AG34" s="1">
        <f>COUNTIFS(MoneyYesNo,1,MGRcount,1,Students,E34,Results,"Accepted!")-AF34</f>
        <v>0</v>
      </c>
      <c r="AH34" s="1">
        <f>COUNTIFS(MoneyYesNo,1,Students,E34,Results,"Accepted!")-AF34-AG34</f>
        <v>0</v>
      </c>
      <c r="AI34" s="13">
        <f>COUNTIFS(Students,E34,Results,"Accepted!")-AF34-AG34-AH34</f>
        <v>0</v>
      </c>
      <c r="AJ34" s="1">
        <f>SUMIFS(RGRcount,Students,E34,MoneyYesNo,1)</f>
        <v>0</v>
      </c>
      <c r="AK34" s="1">
        <f>SUMIFS(MGRcount,Students,E34,MoneyYesNo,1)-AJ34</f>
        <v>0</v>
      </c>
      <c r="AL34" s="1">
        <f>SUMIF(Students,E34,MoneyYesNo)-AJ34-AK34</f>
        <v>0</v>
      </c>
      <c r="AM34" s="13">
        <f>SUM(AJ34,AK34,AL34)</f>
        <v>0</v>
      </c>
      <c r="AN34" s="1">
        <f>SUMIF(Students,E34,RGRcount)</f>
        <v>0</v>
      </c>
      <c r="AO34" s="1">
        <f>SUMIF(Students,E34,MGRcount)-AN34</f>
        <v>0</v>
      </c>
      <c r="AP34" s="1">
        <f>COUNTIF(Students,E34)-AN34-AO34</f>
        <v>0</v>
      </c>
      <c r="AQ34" s="1">
        <f>SUMIF(Students,E34,FarBelowTGRCount)</f>
        <v>0</v>
      </c>
      <c r="AR34" s="47">
        <f>COUNTIF(Students,E34)</f>
        <v>0</v>
      </c>
      <c r="AS34" s="11">
        <f>IF(AR34&gt;0,Z34/AR34,0)</f>
        <v>0</v>
      </c>
      <c r="AT34" s="11">
        <f t="array" ref="AT34">1-PRODUCT(IF(Students=E34,MGRMult,1))</f>
        <v>0</v>
      </c>
      <c r="AU34" s="12">
        <f t="array" ref="AU34">1-PRODUCT(IF(Students=E34,RGRMult,1))</f>
        <v>0</v>
      </c>
      <c r="AV34" s="1">
        <f>COUNTIFS(Students,E34,Classes,HailMaryLabel)</f>
        <v>0</v>
      </c>
      <c r="AW34" s="1">
        <f>COUNTIFS(Students,E34,Classes,LongshotLabel)</f>
        <v>0</v>
      </c>
      <c r="AX34" s="1">
        <f>COUNTIFS(Students,E34,Classes,ReachLabel)</f>
        <v>0</v>
      </c>
      <c r="AY34" s="1">
        <f>COUNTIFS(Students,E34,Classes,MatchLabel)</f>
        <v>0</v>
      </c>
      <c r="AZ34" s="1">
        <f>COUNTIFS(Students,E34,Classes,SafetyLabel)</f>
        <v>0</v>
      </c>
      <c r="BA34" s="1">
        <f>COUNTIFS(Students,E34,Classes,SecureLabel)</f>
        <v>0</v>
      </c>
      <c r="BB34" s="1">
        <f>COUNTIFS(Students,E34,Classes,SureThingLabel)</f>
        <v>0</v>
      </c>
      <c r="BC34" s="13">
        <f>COUNTIFS(Students,E34,Classes,"Other")</f>
        <v>0</v>
      </c>
      <c r="BD34" s="1">
        <f>COUNTIFS(Students,E34,Classes,ReachLabel,MoneyYesNo,1)</f>
        <v>0</v>
      </c>
      <c r="BE34" s="1">
        <f>COUNTIFS(Students,E34,Classes,MatchLabel,MoneyYesNo,1)</f>
        <v>0</v>
      </c>
      <c r="BF34" s="1">
        <f>COUNTIFS(Students,E34,Classes,SafetyLabel,MoneyYesNo,1)</f>
        <v>0</v>
      </c>
      <c r="BG34" s="1">
        <f>COUNTIFS(Students,E34,Classes,SecureLabel,MoneyYesNo,1)</f>
        <v>0</v>
      </c>
      <c r="BH34" s="1">
        <f>COUNTIFS(Students,E34,Classes,SureThingLabel,MoneyYesNo,1)</f>
        <v>0</v>
      </c>
      <c r="BI34" s="1">
        <f>SUM(BD34:BH34)</f>
        <v>0</v>
      </c>
      <c r="BJ34" s="1">
        <f>SUMIFS(RGRcount,Students,E34,MoneyYesNo,1,Odds,"&gt;=20")</f>
        <v>0</v>
      </c>
      <c r="BK34" s="1">
        <f>SUMIFS(MGRcount,Students,E34,MoneyYesNo,1,Odds,"&gt;=20")-BJ34</f>
        <v>0</v>
      </c>
      <c r="BL34" s="1">
        <f>SUMIFS(RGRcount,Students,E34,MoneyYesNo,1,Odds,"&gt;=10")</f>
        <v>0</v>
      </c>
      <c r="BM34" s="1">
        <f>SUMIFS(MGRcount,Students,E34,MoneyYesNo,1,Odds,"&gt;=10")-BL34</f>
        <v>0</v>
      </c>
      <c r="BN34" s="1">
        <f>COUNTIFS(Students,E34,ILPublic,1)</f>
        <v>0</v>
      </c>
      <c r="BO34" s="1">
        <f>COUNTIFS(Students,E34,ILPublic,1, Classes,MatchLabel)+COUNTIFS(Students,E34,ILPublic,1, Classes,SafetyLabel)+COUNTIFS(Students,E34,ILPublic,1, Classes,SecureLabel)</f>
        <v>0</v>
      </c>
      <c r="BP34" s="1">
        <f>COUNTIFS(Students,E34,ILPublic,1, Classes,SecureLabel)</f>
        <v>0</v>
      </c>
      <c r="BQ34" s="1">
        <f>COUNTIFS(Students,E34,MoneyChicago,1)</f>
        <v>0</v>
      </c>
      <c r="BR34" s="1">
        <f>COUNTIFS(Students,E34,MatchOrUnder,1)</f>
        <v>0</v>
      </c>
      <c r="BS34" s="1">
        <f>SUMIF(Students,E34,MGRcount)</f>
        <v>0</v>
      </c>
      <c r="BT34" s="1">
        <f>COUNTIFS(Students,E34,BadMoney,1)</f>
        <v>0</v>
      </c>
      <c r="BU34" s="1">
        <f>COUNTIFS(Students,E34,GoldenThree,1)</f>
        <v>0</v>
      </c>
    </row>
    <row r="35" spans="1:73">
      <c r="A35" s="18" t="s">
        <v>86</v>
      </c>
      <c r="B35" s="19">
        <v>0</v>
      </c>
      <c r="C35" s="18" t="s">
        <v>87</v>
      </c>
      <c r="D35" s="18" t="s">
        <v>202</v>
      </c>
      <c r="E35" s="19">
        <v>30490744</v>
      </c>
      <c r="F35" s="19" t="s">
        <v>203</v>
      </c>
      <c r="G35" s="10" t="s">
        <v>204</v>
      </c>
      <c r="H35" s="46">
        <v>2.8646</v>
      </c>
      <c r="I35" s="1">
        <v>24</v>
      </c>
      <c r="J35" s="1">
        <v>730</v>
      </c>
      <c r="K35" s="1">
        <f>IF(ISNUMBER(J35),VLOOKUP(J35,SATtoACT,2,FALSE),"TBD")</f>
        <v>0</v>
      </c>
      <c r="L35" s="1">
        <f>IF(ISNUMBER(I35),IF(ISNUMBER(K35),MAX(I35,K35),I35),IF(ISNUMBER(K35),K35,"TBD"))</f>
        <v>0</v>
      </c>
      <c r="M35" s="1" t="s">
        <v>91</v>
      </c>
      <c r="N35" s="1">
        <f>IF(AND(H35&lt;&gt;0,L35&lt;&gt;0),IF(ISNUMBER(VLOOKUP(TEXT(MAX(FLOOR(H35*10,1)/10,1.5),"0.0")&amp;":"&amp;MAX(L35,12),StrategyLookup,4,FALSE)),VLOOKUP(TEXT(MAX(FLOOR(H35*10,1)/10,1.5),"0.0")&amp;":"&amp;MAX(L35,12),StrategyLookup,4,FALSE),"TBD"),"TBD")</f>
        <v>0</v>
      </c>
      <c r="O35" s="11">
        <f>IF(ISNUMBER(N35),VLOOKUP(IF(OR(N35=5,N35=6),N35&amp;IF(H35&gt;=3,"+","&lt;"),N35&amp;""),TargetLookup,IF(B35=-1,6,IF(OR(M35="W",M35="A"),4,2)),FALSE),"TBD")</f>
        <v>0</v>
      </c>
      <c r="P35" s="11">
        <f>IF(ISNUMBER(N35),VLOOKUP(IF(OR(N35=5,N35=6),N35&amp;IF(H35&gt;=3,"+","&lt;"),N35&amp;""),TargetLookup,IF(B35=-1,7,IF(OR(M35="W",M35="A"),5,3)),FALSE),"TBD")</f>
        <v>0</v>
      </c>
      <c r="Q35" s="18" t="s">
        <v>120</v>
      </c>
      <c r="R35" s="19" t="s">
        <v>111</v>
      </c>
      <c r="S35" s="19" t="s">
        <v>94</v>
      </c>
      <c r="T35" s="19">
        <f>Q35&amp;S35&amp;D35</f>
        <v>0</v>
      </c>
      <c r="U35" s="11">
        <f t="array" ref="U35">1-PRODUCT(IF(Students=E35,MGRMoneyMult,1))</f>
        <v>0</v>
      </c>
      <c r="V35" s="12">
        <f t="array" ref="V35">1-PRODUCT(IF(Students=E35,RGRMoneyMult,1))</f>
        <v>0</v>
      </c>
      <c r="W35" s="13">
        <f>COUNTIFS(Students,E35,Results,"Accepted!")+COUNTIFS(Students,E35,Results,"CHOICE!")</f>
        <v>0</v>
      </c>
      <c r="X35" s="1">
        <f>COUNTIFS(Students,E35,Results,"Deferred")+COUNTIFS(Students,E35,Results,"Waitlist")</f>
        <v>0</v>
      </c>
      <c r="Y35" s="13">
        <f>COUNTIFS(Students,E35,Results,"Denied")</f>
        <v>0</v>
      </c>
      <c r="Z35" s="13">
        <f>W35+X35+Y35+COUNTIFS(Students,E35,Results,"Submitted")</f>
        <v>0</v>
      </c>
      <c r="AA35" s="12">
        <v>0.7141928641112143</v>
      </c>
      <c r="AB35" s="12">
        <v>0.5730104627999089</v>
      </c>
      <c r="AC35" s="12">
        <v>0.589882220883107</v>
      </c>
      <c r="AD35" s="12">
        <v>0.5628065531400462</v>
      </c>
      <c r="AE35" s="13">
        <f>COUNTIFS(Students,E35,Results,"CHOICE!")</f>
        <v>0</v>
      </c>
      <c r="AF35" s="1">
        <f>COUNTIFS(MoneyYesNo,1,RGRcount,1,Students,E35,Results,"Accepted!")</f>
        <v>0</v>
      </c>
      <c r="AG35" s="1">
        <f>COUNTIFS(MoneyYesNo,1,MGRcount,1,Students,E35,Results,"Accepted!")-AF35</f>
        <v>0</v>
      </c>
      <c r="AH35" s="1">
        <f>COUNTIFS(MoneyYesNo,1,Students,E35,Results,"Accepted!")-AF35-AG35</f>
        <v>0</v>
      </c>
      <c r="AI35" s="13">
        <f>COUNTIFS(Students,E35,Results,"Accepted!")-AF35-AG35-AH35</f>
        <v>0</v>
      </c>
      <c r="AJ35" s="1">
        <f>SUMIFS(RGRcount,Students,E35,MoneyYesNo,1)</f>
        <v>0</v>
      </c>
      <c r="AK35" s="1">
        <f>SUMIFS(MGRcount,Students,E35,MoneyYesNo,1)-AJ35</f>
        <v>0</v>
      </c>
      <c r="AL35" s="1">
        <f>SUMIF(Students,E35,MoneyYesNo)-AJ35-AK35</f>
        <v>0</v>
      </c>
      <c r="AM35" s="13">
        <f>SUM(AJ35,AK35,AL35)</f>
        <v>0</v>
      </c>
      <c r="AN35" s="1">
        <f>SUMIF(Students,E35,RGRcount)</f>
        <v>0</v>
      </c>
      <c r="AO35" s="1">
        <f>SUMIF(Students,E35,MGRcount)-AN35</f>
        <v>0</v>
      </c>
      <c r="AP35" s="1">
        <f>COUNTIF(Students,E35)-AN35-AO35</f>
        <v>0</v>
      </c>
      <c r="AQ35" s="1">
        <f>SUMIF(Students,E35,FarBelowTGRCount)</f>
        <v>0</v>
      </c>
      <c r="AR35" s="47">
        <f>COUNTIF(Students,E35)</f>
        <v>0</v>
      </c>
      <c r="AS35" s="11">
        <f>IF(AR35&gt;0,Z35/AR35,0)</f>
        <v>0</v>
      </c>
      <c r="AT35" s="11">
        <f t="array" ref="AT35">1-PRODUCT(IF(Students=E35,MGRMult,1))</f>
        <v>0</v>
      </c>
      <c r="AU35" s="12">
        <f t="array" ref="AU35">1-PRODUCT(IF(Students=E35,RGRMult,1))</f>
        <v>0</v>
      </c>
      <c r="AV35" s="1">
        <f>COUNTIFS(Students,E35,Classes,HailMaryLabel)</f>
        <v>0</v>
      </c>
      <c r="AW35" s="1">
        <f>COUNTIFS(Students,E35,Classes,LongshotLabel)</f>
        <v>0</v>
      </c>
      <c r="AX35" s="1">
        <f>COUNTIFS(Students,E35,Classes,ReachLabel)</f>
        <v>0</v>
      </c>
      <c r="AY35" s="1">
        <f>COUNTIFS(Students,E35,Classes,MatchLabel)</f>
        <v>0</v>
      </c>
      <c r="AZ35" s="1">
        <f>COUNTIFS(Students,E35,Classes,SafetyLabel)</f>
        <v>0</v>
      </c>
      <c r="BA35" s="1">
        <f>COUNTIFS(Students,E35,Classes,SecureLabel)</f>
        <v>0</v>
      </c>
      <c r="BB35" s="1">
        <f>COUNTIFS(Students,E35,Classes,SureThingLabel)</f>
        <v>0</v>
      </c>
      <c r="BC35" s="13">
        <f>COUNTIFS(Students,E35,Classes,"Other")</f>
        <v>0</v>
      </c>
      <c r="BD35" s="1">
        <f>COUNTIFS(Students,E35,Classes,ReachLabel,MoneyYesNo,1)</f>
        <v>0</v>
      </c>
      <c r="BE35" s="1">
        <f>COUNTIFS(Students,E35,Classes,MatchLabel,MoneyYesNo,1)</f>
        <v>0</v>
      </c>
      <c r="BF35" s="1">
        <f>COUNTIFS(Students,E35,Classes,SafetyLabel,MoneyYesNo,1)</f>
        <v>0</v>
      </c>
      <c r="BG35" s="1">
        <f>COUNTIFS(Students,E35,Classes,SecureLabel,MoneyYesNo,1)</f>
        <v>0</v>
      </c>
      <c r="BH35" s="1">
        <f>COUNTIFS(Students,E35,Classes,SureThingLabel,MoneyYesNo,1)</f>
        <v>0</v>
      </c>
      <c r="BI35" s="1">
        <f>SUM(BD35:BH35)</f>
        <v>0</v>
      </c>
      <c r="BJ35" s="1">
        <f>SUMIFS(RGRcount,Students,E35,MoneyYesNo,1,Odds,"&gt;=20")</f>
        <v>0</v>
      </c>
      <c r="BK35" s="1">
        <f>SUMIFS(MGRcount,Students,E35,MoneyYesNo,1,Odds,"&gt;=20")-BJ35</f>
        <v>0</v>
      </c>
      <c r="BL35" s="1">
        <f>SUMIFS(RGRcount,Students,E35,MoneyYesNo,1,Odds,"&gt;=10")</f>
        <v>0</v>
      </c>
      <c r="BM35" s="1">
        <f>SUMIFS(MGRcount,Students,E35,MoneyYesNo,1,Odds,"&gt;=10")-BL35</f>
        <v>0</v>
      </c>
      <c r="BN35" s="1">
        <f>COUNTIFS(Students,E35,ILPublic,1)</f>
        <v>0</v>
      </c>
      <c r="BO35" s="1">
        <f>COUNTIFS(Students,E35,ILPublic,1, Classes,MatchLabel)+COUNTIFS(Students,E35,ILPublic,1, Classes,SafetyLabel)+COUNTIFS(Students,E35,ILPublic,1, Classes,SecureLabel)</f>
        <v>0</v>
      </c>
      <c r="BP35" s="1">
        <f>COUNTIFS(Students,E35,ILPublic,1, Classes,SecureLabel)</f>
        <v>0</v>
      </c>
      <c r="BQ35" s="1">
        <f>COUNTIFS(Students,E35,MoneyChicago,1)</f>
        <v>0</v>
      </c>
      <c r="BR35" s="1">
        <f>COUNTIFS(Students,E35,MatchOrUnder,1)</f>
        <v>0</v>
      </c>
      <c r="BS35" s="1">
        <f>SUMIF(Students,E35,MGRcount)</f>
        <v>0</v>
      </c>
      <c r="BT35" s="1">
        <f>COUNTIFS(Students,E35,BadMoney,1)</f>
        <v>0</v>
      </c>
      <c r="BU35" s="1">
        <f>COUNTIFS(Students,E35,GoldenThree,1)</f>
        <v>0</v>
      </c>
    </row>
    <row r="36" spans="1:73">
      <c r="A36" s="18" t="s">
        <v>86</v>
      </c>
      <c r="B36" s="19">
        <v>0</v>
      </c>
      <c r="C36" s="18" t="s">
        <v>87</v>
      </c>
      <c r="D36" s="18" t="s">
        <v>205</v>
      </c>
      <c r="E36" s="19">
        <v>23152737</v>
      </c>
      <c r="F36" s="19" t="s">
        <v>206</v>
      </c>
      <c r="G36" s="10" t="s">
        <v>207</v>
      </c>
      <c r="H36" s="46">
        <v>3.0173</v>
      </c>
      <c r="I36" s="1">
        <v>17</v>
      </c>
      <c r="J36" s="1">
        <v>880</v>
      </c>
      <c r="K36" s="1">
        <f>IF(ISNUMBER(J36),VLOOKUP(J36,SATtoACT,2,FALSE),"TBD")</f>
        <v>0</v>
      </c>
      <c r="L36" s="1">
        <f>IF(ISNUMBER(I36),IF(ISNUMBER(K36),MAX(I36,K36),I36),IF(ISNUMBER(K36),K36,"TBD"))</f>
        <v>0</v>
      </c>
      <c r="M36" s="1" t="s">
        <v>91</v>
      </c>
      <c r="N36" s="1">
        <f>IF(AND(H36&lt;&gt;0,L36&lt;&gt;0),IF(ISNUMBER(VLOOKUP(TEXT(MAX(FLOOR(H36*10,1)/10,1.5),"0.0")&amp;":"&amp;MAX(L36,12),StrategyLookup,4,FALSE)),VLOOKUP(TEXT(MAX(FLOOR(H36*10,1)/10,1.5),"0.0")&amp;":"&amp;MAX(L36,12),StrategyLookup,4,FALSE),"TBD"),"TBD")</f>
        <v>0</v>
      </c>
      <c r="O36" s="11">
        <f>IF(ISNUMBER(N36),VLOOKUP(IF(OR(N36=5,N36=6),N36&amp;IF(H36&gt;=3,"+","&lt;"),N36&amp;""),TargetLookup,IF(B36=-1,6,IF(OR(M36="W",M36="A"),4,2)),FALSE),"TBD")</f>
        <v>0</v>
      </c>
      <c r="P36" s="11">
        <f>IF(ISNUMBER(N36),VLOOKUP(IF(OR(N36=5,N36=6),N36&amp;IF(H36&gt;=3,"+","&lt;"),N36&amp;""),TargetLookup,IF(B36=-1,7,IF(OR(M36="W",M36="A"),5,3)),FALSE),"TBD")</f>
        <v>0</v>
      </c>
      <c r="Q36" s="18" t="s">
        <v>92</v>
      </c>
      <c r="R36" s="19" t="s">
        <v>155</v>
      </c>
      <c r="S36" s="19" t="s">
        <v>94</v>
      </c>
      <c r="T36" s="19">
        <f>Q36&amp;S36&amp;D36</f>
        <v>0</v>
      </c>
      <c r="U36" s="11">
        <f t="array" ref="U36">1-PRODUCT(IF(Students=E36,MGRMoneyMult,1))</f>
        <v>0</v>
      </c>
      <c r="V36" s="12">
        <f t="array" ref="V36">1-PRODUCT(IF(Students=E36,RGRMoneyMult,1))</f>
        <v>0</v>
      </c>
      <c r="W36" s="13">
        <f>COUNTIFS(Students,E36,Results,"Accepted!")+COUNTIFS(Students,E36,Results,"CHOICE!")</f>
        <v>0</v>
      </c>
      <c r="X36" s="1">
        <f>COUNTIFS(Students,E36,Results,"Deferred")+COUNTIFS(Students,E36,Results,"Waitlist")</f>
        <v>0</v>
      </c>
      <c r="Y36" s="13">
        <f>COUNTIFS(Students,E36,Results,"Denied")</f>
        <v>0</v>
      </c>
      <c r="Z36" s="13">
        <f>W36+X36+Y36+COUNTIFS(Students,E36,Results,"Submitted")</f>
        <v>0</v>
      </c>
      <c r="AA36" s="12">
        <v>0.5242150979880408</v>
      </c>
      <c r="AB36" s="12">
        <v>0.511491959523281</v>
      </c>
      <c r="AC36" s="12">
        <v>0.4188133657436247</v>
      </c>
      <c r="AD36" s="12">
        <v>0.3944136510211393</v>
      </c>
      <c r="AE36" s="13">
        <f>COUNTIFS(Students,E36,Results,"CHOICE!")</f>
        <v>0</v>
      </c>
      <c r="AF36" s="1">
        <f>COUNTIFS(MoneyYesNo,1,RGRcount,1,Students,E36,Results,"Accepted!")</f>
        <v>0</v>
      </c>
      <c r="AG36" s="1">
        <f>COUNTIFS(MoneyYesNo,1,MGRcount,1,Students,E36,Results,"Accepted!")-AF36</f>
        <v>0</v>
      </c>
      <c r="AH36" s="1">
        <f>COUNTIFS(MoneyYesNo,1,Students,E36,Results,"Accepted!")-AF36-AG36</f>
        <v>0</v>
      </c>
      <c r="AI36" s="13">
        <f>COUNTIFS(Students,E36,Results,"Accepted!")-AF36-AG36-AH36</f>
        <v>0</v>
      </c>
      <c r="AJ36" s="1">
        <f>SUMIFS(RGRcount,Students,E36,MoneyYesNo,1)</f>
        <v>0</v>
      </c>
      <c r="AK36" s="1">
        <f>SUMIFS(MGRcount,Students,E36,MoneyYesNo,1)-AJ36</f>
        <v>0</v>
      </c>
      <c r="AL36" s="1">
        <f>SUMIF(Students,E36,MoneyYesNo)-AJ36-AK36</f>
        <v>0</v>
      </c>
      <c r="AM36" s="13">
        <f>SUM(AJ36,AK36,AL36)</f>
        <v>0</v>
      </c>
      <c r="AN36" s="1">
        <f>SUMIF(Students,E36,RGRcount)</f>
        <v>0</v>
      </c>
      <c r="AO36" s="1">
        <f>SUMIF(Students,E36,MGRcount)-AN36</f>
        <v>0</v>
      </c>
      <c r="AP36" s="1">
        <f>COUNTIF(Students,E36)-AN36-AO36</f>
        <v>0</v>
      </c>
      <c r="AQ36" s="1">
        <f>SUMIF(Students,E36,FarBelowTGRCount)</f>
        <v>0</v>
      </c>
      <c r="AR36" s="47">
        <f>COUNTIF(Students,E36)</f>
        <v>0</v>
      </c>
      <c r="AS36" s="11">
        <f>IF(AR36&gt;0,Z36/AR36,0)</f>
        <v>0</v>
      </c>
      <c r="AT36" s="11">
        <f t="array" ref="AT36">1-PRODUCT(IF(Students=E36,MGRMult,1))</f>
        <v>0</v>
      </c>
      <c r="AU36" s="12">
        <f t="array" ref="AU36">1-PRODUCT(IF(Students=E36,RGRMult,1))</f>
        <v>0</v>
      </c>
      <c r="AV36" s="1">
        <f>COUNTIFS(Students,E36,Classes,HailMaryLabel)</f>
        <v>0</v>
      </c>
      <c r="AW36" s="1">
        <f>COUNTIFS(Students,E36,Classes,LongshotLabel)</f>
        <v>0</v>
      </c>
      <c r="AX36" s="1">
        <f>COUNTIFS(Students,E36,Classes,ReachLabel)</f>
        <v>0</v>
      </c>
      <c r="AY36" s="1">
        <f>COUNTIFS(Students,E36,Classes,MatchLabel)</f>
        <v>0</v>
      </c>
      <c r="AZ36" s="1">
        <f>COUNTIFS(Students,E36,Classes,SafetyLabel)</f>
        <v>0</v>
      </c>
      <c r="BA36" s="1">
        <f>COUNTIFS(Students,E36,Classes,SecureLabel)</f>
        <v>0</v>
      </c>
      <c r="BB36" s="1">
        <f>COUNTIFS(Students,E36,Classes,SureThingLabel)</f>
        <v>0</v>
      </c>
      <c r="BC36" s="13">
        <f>COUNTIFS(Students,E36,Classes,"Other")</f>
        <v>0</v>
      </c>
      <c r="BD36" s="1">
        <f>COUNTIFS(Students,E36,Classes,ReachLabel,MoneyYesNo,1)</f>
        <v>0</v>
      </c>
      <c r="BE36" s="1">
        <f>COUNTIFS(Students,E36,Classes,MatchLabel,MoneyYesNo,1)</f>
        <v>0</v>
      </c>
      <c r="BF36" s="1">
        <f>COUNTIFS(Students,E36,Classes,SafetyLabel,MoneyYesNo,1)</f>
        <v>0</v>
      </c>
      <c r="BG36" s="1">
        <f>COUNTIFS(Students,E36,Classes,SecureLabel,MoneyYesNo,1)</f>
        <v>0</v>
      </c>
      <c r="BH36" s="1">
        <f>COUNTIFS(Students,E36,Classes,SureThingLabel,MoneyYesNo,1)</f>
        <v>0</v>
      </c>
      <c r="BI36" s="1">
        <f>SUM(BD36:BH36)</f>
        <v>0</v>
      </c>
      <c r="BJ36" s="1">
        <f>SUMIFS(RGRcount,Students,E36,MoneyYesNo,1,Odds,"&gt;=20")</f>
        <v>0</v>
      </c>
      <c r="BK36" s="1">
        <f>SUMIFS(MGRcount,Students,E36,MoneyYesNo,1,Odds,"&gt;=20")-BJ36</f>
        <v>0</v>
      </c>
      <c r="BL36" s="1">
        <f>SUMIFS(RGRcount,Students,E36,MoneyYesNo,1,Odds,"&gt;=10")</f>
        <v>0</v>
      </c>
      <c r="BM36" s="1">
        <f>SUMIFS(MGRcount,Students,E36,MoneyYesNo,1,Odds,"&gt;=10")-BL36</f>
        <v>0</v>
      </c>
      <c r="BN36" s="1">
        <f>COUNTIFS(Students,E36,ILPublic,1)</f>
        <v>0</v>
      </c>
      <c r="BO36" s="1">
        <f>COUNTIFS(Students,E36,ILPublic,1, Classes,MatchLabel)+COUNTIFS(Students,E36,ILPublic,1, Classes,SafetyLabel)+COUNTIFS(Students,E36,ILPublic,1, Classes,SecureLabel)</f>
        <v>0</v>
      </c>
      <c r="BP36" s="1">
        <f>COUNTIFS(Students,E36,ILPublic,1, Classes,SecureLabel)</f>
        <v>0</v>
      </c>
      <c r="BQ36" s="1">
        <f>COUNTIFS(Students,E36,MoneyChicago,1)</f>
        <v>0</v>
      </c>
      <c r="BR36" s="1">
        <f>COUNTIFS(Students,E36,MatchOrUnder,1)</f>
        <v>0</v>
      </c>
      <c r="BS36" s="1">
        <f>SUMIF(Students,E36,MGRcount)</f>
        <v>0</v>
      </c>
      <c r="BT36" s="1">
        <f>COUNTIFS(Students,E36,BadMoney,1)</f>
        <v>0</v>
      </c>
      <c r="BU36" s="1">
        <f>COUNTIFS(Students,E36,GoldenThree,1)</f>
        <v>0</v>
      </c>
    </row>
    <row r="37" spans="1:73">
      <c r="A37" s="18" t="s">
        <v>86</v>
      </c>
      <c r="B37" s="19">
        <v>0</v>
      </c>
      <c r="C37" s="18" t="s">
        <v>138</v>
      </c>
      <c r="D37" s="18" t="s">
        <v>208</v>
      </c>
      <c r="E37" s="19">
        <v>24136022</v>
      </c>
      <c r="F37" s="19" t="s">
        <v>209</v>
      </c>
      <c r="G37" s="10" t="s">
        <v>210</v>
      </c>
      <c r="H37" s="46">
        <v>2.1404</v>
      </c>
      <c r="I37" s="1">
        <v>17</v>
      </c>
      <c r="J37" s="1">
        <v>850</v>
      </c>
      <c r="K37" s="1">
        <f>IF(ISNUMBER(J37),VLOOKUP(J37,SATtoACT,2,FALSE),"TBD")</f>
        <v>0</v>
      </c>
      <c r="L37" s="1">
        <f>IF(ISNUMBER(I37),IF(ISNUMBER(K37),MAX(I37,K37),I37),IF(ISNUMBER(K37),K37,"TBD"))</f>
        <v>0</v>
      </c>
      <c r="M37" s="1" t="s">
        <v>115</v>
      </c>
      <c r="N37" s="1">
        <f>IF(AND(H37&lt;&gt;0,L37&lt;&gt;0),IF(ISNUMBER(VLOOKUP(TEXT(MAX(FLOOR(H37*10,1)/10,1.5),"0.0")&amp;":"&amp;MAX(L37,12),StrategyLookup,4,FALSE)),VLOOKUP(TEXT(MAX(FLOOR(H37*10,1)/10,1.5),"0.0")&amp;":"&amp;MAX(L37,12),StrategyLookup,4,FALSE),"TBD"),"TBD")</f>
        <v>0</v>
      </c>
      <c r="O37" s="11">
        <f>IF(ISNUMBER(N37),VLOOKUP(IF(OR(N37=5,N37=6),N37&amp;IF(H37&gt;=3,"+","&lt;"),N37&amp;""),TargetLookup,IF(B37=-1,6,IF(OR(M37="W",M37="A"),4,2)),FALSE),"TBD")</f>
        <v>0</v>
      </c>
      <c r="P37" s="11">
        <f>IF(ISNUMBER(N37),VLOOKUP(IF(OR(N37=5,N37=6),N37&amp;IF(H37&gt;=3,"+","&lt;"),N37&amp;""),TargetLookup,IF(B37=-1,7,IF(OR(M37="W",M37="A"),5,3)),FALSE),"TBD")</f>
        <v>0</v>
      </c>
      <c r="Q37" s="18" t="s">
        <v>92</v>
      </c>
      <c r="R37" s="19" t="s">
        <v>155</v>
      </c>
      <c r="S37" s="19" t="s">
        <v>94</v>
      </c>
      <c r="T37" s="19">
        <f>Q37&amp;S37&amp;D37</f>
        <v>0</v>
      </c>
      <c r="U37" s="11">
        <f t="array" ref="U37">1-PRODUCT(IF(Students=E37,MGRMoneyMult,1))</f>
        <v>0</v>
      </c>
      <c r="V37" s="12">
        <f t="array" ref="V37">1-PRODUCT(IF(Students=E37,RGRMoneyMult,1))</f>
        <v>0</v>
      </c>
      <c r="W37" s="13">
        <f>COUNTIFS(Students,E37,Results,"Accepted!")+COUNTIFS(Students,E37,Results,"CHOICE!")</f>
        <v>0</v>
      </c>
      <c r="X37" s="1">
        <f>COUNTIFS(Students,E37,Results,"Deferred")+COUNTIFS(Students,E37,Results,"Waitlist")</f>
        <v>0</v>
      </c>
      <c r="Y37" s="13">
        <f>COUNTIFS(Students,E37,Results,"Denied")</f>
        <v>0</v>
      </c>
      <c r="Z37" s="13">
        <f>W37+X37+Y37+COUNTIFS(Students,E37,Results,"Submitted")</f>
        <v>0</v>
      </c>
      <c r="AA37" s="12">
        <v>0.4229204331646354</v>
      </c>
      <c r="AB37" s="12">
        <v>0.4181859069791002</v>
      </c>
      <c r="AC37" s="12">
        <v>0.371513386002579</v>
      </c>
      <c r="AD37" s="12">
        <v>0.3560354988798897</v>
      </c>
      <c r="AE37" s="13">
        <f>COUNTIFS(Students,E37,Results,"CHOICE!")</f>
        <v>0</v>
      </c>
      <c r="AF37" s="1">
        <f>COUNTIFS(MoneyYesNo,1,RGRcount,1,Students,E37,Results,"Accepted!")</f>
        <v>0</v>
      </c>
      <c r="AG37" s="1">
        <f>COUNTIFS(MoneyYesNo,1,MGRcount,1,Students,E37,Results,"Accepted!")-AF37</f>
        <v>0</v>
      </c>
      <c r="AH37" s="1">
        <f>COUNTIFS(MoneyYesNo,1,Students,E37,Results,"Accepted!")-AF37-AG37</f>
        <v>0</v>
      </c>
      <c r="AI37" s="13">
        <f>COUNTIFS(Students,E37,Results,"Accepted!")-AF37-AG37-AH37</f>
        <v>0</v>
      </c>
      <c r="AJ37" s="1">
        <f>SUMIFS(RGRcount,Students,E37,MoneyYesNo,1)</f>
        <v>0</v>
      </c>
      <c r="AK37" s="1">
        <f>SUMIFS(MGRcount,Students,E37,MoneyYesNo,1)-AJ37</f>
        <v>0</v>
      </c>
      <c r="AL37" s="1">
        <f>SUMIF(Students,E37,MoneyYesNo)-AJ37-AK37</f>
        <v>0</v>
      </c>
      <c r="AM37" s="13">
        <f>SUM(AJ37,AK37,AL37)</f>
        <v>0</v>
      </c>
      <c r="AN37" s="1">
        <f>SUMIF(Students,E37,RGRcount)</f>
        <v>0</v>
      </c>
      <c r="AO37" s="1">
        <f>SUMIF(Students,E37,MGRcount)-AN37</f>
        <v>0</v>
      </c>
      <c r="AP37" s="1">
        <f>COUNTIF(Students,E37)-AN37-AO37</f>
        <v>0</v>
      </c>
      <c r="AQ37" s="1">
        <f>SUMIF(Students,E37,FarBelowTGRCount)</f>
        <v>0</v>
      </c>
      <c r="AR37" s="47">
        <f>COUNTIF(Students,E37)</f>
        <v>0</v>
      </c>
      <c r="AS37" s="11">
        <f>IF(AR37&gt;0,Z37/AR37,0)</f>
        <v>0</v>
      </c>
      <c r="AT37" s="11">
        <f t="array" ref="AT37">1-PRODUCT(IF(Students=E37,MGRMult,1))</f>
        <v>0</v>
      </c>
      <c r="AU37" s="12">
        <f t="array" ref="AU37">1-PRODUCT(IF(Students=E37,RGRMult,1))</f>
        <v>0</v>
      </c>
      <c r="AV37" s="1">
        <f>COUNTIFS(Students,E37,Classes,HailMaryLabel)</f>
        <v>0</v>
      </c>
      <c r="AW37" s="1">
        <f>COUNTIFS(Students,E37,Classes,LongshotLabel)</f>
        <v>0</v>
      </c>
      <c r="AX37" s="1">
        <f>COUNTIFS(Students,E37,Classes,ReachLabel)</f>
        <v>0</v>
      </c>
      <c r="AY37" s="1">
        <f>COUNTIFS(Students,E37,Classes,MatchLabel)</f>
        <v>0</v>
      </c>
      <c r="AZ37" s="1">
        <f>COUNTIFS(Students,E37,Classes,SafetyLabel)</f>
        <v>0</v>
      </c>
      <c r="BA37" s="1">
        <f>COUNTIFS(Students,E37,Classes,SecureLabel)</f>
        <v>0</v>
      </c>
      <c r="BB37" s="1">
        <f>COUNTIFS(Students,E37,Classes,SureThingLabel)</f>
        <v>0</v>
      </c>
      <c r="BC37" s="13">
        <f>COUNTIFS(Students,E37,Classes,"Other")</f>
        <v>0</v>
      </c>
      <c r="BD37" s="1">
        <f>COUNTIFS(Students,E37,Classes,ReachLabel,MoneyYesNo,1)</f>
        <v>0</v>
      </c>
      <c r="BE37" s="1">
        <f>COUNTIFS(Students,E37,Classes,MatchLabel,MoneyYesNo,1)</f>
        <v>0</v>
      </c>
      <c r="BF37" s="1">
        <f>COUNTIFS(Students,E37,Classes,SafetyLabel,MoneyYesNo,1)</f>
        <v>0</v>
      </c>
      <c r="BG37" s="1">
        <f>COUNTIFS(Students,E37,Classes,SecureLabel,MoneyYesNo,1)</f>
        <v>0</v>
      </c>
      <c r="BH37" s="1">
        <f>COUNTIFS(Students,E37,Classes,SureThingLabel,MoneyYesNo,1)</f>
        <v>0</v>
      </c>
      <c r="BI37" s="1">
        <f>SUM(BD37:BH37)</f>
        <v>0</v>
      </c>
      <c r="BJ37" s="1">
        <f>SUMIFS(RGRcount,Students,E37,MoneyYesNo,1,Odds,"&gt;=20")</f>
        <v>0</v>
      </c>
      <c r="BK37" s="1">
        <f>SUMIFS(MGRcount,Students,E37,MoneyYesNo,1,Odds,"&gt;=20")-BJ37</f>
        <v>0</v>
      </c>
      <c r="BL37" s="1">
        <f>SUMIFS(RGRcount,Students,E37,MoneyYesNo,1,Odds,"&gt;=10")</f>
        <v>0</v>
      </c>
      <c r="BM37" s="1">
        <f>SUMIFS(MGRcount,Students,E37,MoneyYesNo,1,Odds,"&gt;=10")-BL37</f>
        <v>0</v>
      </c>
      <c r="BN37" s="1">
        <f>COUNTIFS(Students,E37,ILPublic,1)</f>
        <v>0</v>
      </c>
      <c r="BO37" s="1">
        <f>COUNTIFS(Students,E37,ILPublic,1, Classes,MatchLabel)+COUNTIFS(Students,E37,ILPublic,1, Classes,SafetyLabel)+COUNTIFS(Students,E37,ILPublic,1, Classes,SecureLabel)</f>
        <v>0</v>
      </c>
      <c r="BP37" s="1">
        <f>COUNTIFS(Students,E37,ILPublic,1, Classes,SecureLabel)</f>
        <v>0</v>
      </c>
      <c r="BQ37" s="1">
        <f>COUNTIFS(Students,E37,MoneyChicago,1)</f>
        <v>0</v>
      </c>
      <c r="BR37" s="1">
        <f>COUNTIFS(Students,E37,MatchOrUnder,1)</f>
        <v>0</v>
      </c>
      <c r="BS37" s="1">
        <f>SUMIF(Students,E37,MGRcount)</f>
        <v>0</v>
      </c>
      <c r="BT37" s="1">
        <f>COUNTIFS(Students,E37,BadMoney,1)</f>
        <v>0</v>
      </c>
      <c r="BU37" s="1">
        <f>COUNTIFS(Students,E37,GoldenThree,1)</f>
        <v>0</v>
      </c>
    </row>
    <row r="38" spans="1:73">
      <c r="A38" s="18" t="s">
        <v>86</v>
      </c>
      <c r="B38" s="19">
        <v>0</v>
      </c>
      <c r="C38" s="18" t="s">
        <v>87</v>
      </c>
      <c r="D38" s="18" t="s">
        <v>211</v>
      </c>
      <c r="E38" s="19">
        <v>23438312</v>
      </c>
      <c r="F38" s="19" t="s">
        <v>212</v>
      </c>
      <c r="G38" s="10" t="s">
        <v>213</v>
      </c>
      <c r="H38" s="46">
        <v>3.4442</v>
      </c>
      <c r="I38" s="1">
        <v>20</v>
      </c>
      <c r="J38" s="1">
        <v>840</v>
      </c>
      <c r="K38" s="1">
        <f>IF(ISNUMBER(J38),VLOOKUP(J38,SATtoACT,2,FALSE),"TBD")</f>
        <v>0</v>
      </c>
      <c r="L38" s="1">
        <f>IF(ISNUMBER(I38),IF(ISNUMBER(K38),MAX(I38,K38),I38),IF(ISNUMBER(K38),K38,"TBD"))</f>
        <v>0</v>
      </c>
      <c r="M38" s="1" t="s">
        <v>91</v>
      </c>
      <c r="N38" s="1">
        <f>IF(AND(H38&lt;&gt;0,L38&lt;&gt;0),IF(ISNUMBER(VLOOKUP(TEXT(MAX(FLOOR(H38*10,1)/10,1.5),"0.0")&amp;":"&amp;MAX(L38,12),StrategyLookup,4,FALSE)),VLOOKUP(TEXT(MAX(FLOOR(H38*10,1)/10,1.5),"0.0")&amp;":"&amp;MAX(L38,12),StrategyLookup,4,FALSE),"TBD"),"TBD")</f>
        <v>0</v>
      </c>
      <c r="O38" s="11">
        <f>IF(ISNUMBER(N38),VLOOKUP(IF(OR(N38=5,N38=6),N38&amp;IF(H38&gt;=3,"+","&lt;"),N38&amp;""),TargetLookup,IF(B38=-1,6,IF(OR(M38="W",M38="A"),4,2)),FALSE),"TBD")</f>
        <v>0</v>
      </c>
      <c r="P38" s="11">
        <f>IF(ISNUMBER(N38),VLOOKUP(IF(OR(N38=5,N38=6),N38&amp;IF(H38&gt;=3,"+","&lt;"),N38&amp;""),TargetLookup,IF(B38=-1,7,IF(OR(M38="W",M38="A"),5,3)),FALSE),"TBD")</f>
        <v>0</v>
      </c>
      <c r="Q38" s="18" t="s">
        <v>120</v>
      </c>
      <c r="R38" s="19" t="s">
        <v>131</v>
      </c>
      <c r="S38" s="19" t="s">
        <v>94</v>
      </c>
      <c r="T38" s="19">
        <f>Q38&amp;S38&amp;D38</f>
        <v>0</v>
      </c>
      <c r="U38" s="11">
        <f t="array" ref="U38">1-PRODUCT(IF(Students=E38,MGRMoneyMult,1))</f>
        <v>0</v>
      </c>
      <c r="V38" s="12">
        <f t="array" ref="V38">1-PRODUCT(IF(Students=E38,RGRMoneyMult,1))</f>
        <v>0</v>
      </c>
      <c r="W38" s="13">
        <f>COUNTIFS(Students,E38,Results,"Accepted!")+COUNTIFS(Students,E38,Results,"CHOICE!")</f>
        <v>0</v>
      </c>
      <c r="X38" s="1">
        <f>COUNTIFS(Students,E38,Results,"Deferred")+COUNTIFS(Students,E38,Results,"Waitlist")</f>
        <v>0</v>
      </c>
      <c r="Y38" s="13">
        <f>COUNTIFS(Students,E38,Results,"Denied")</f>
        <v>0</v>
      </c>
      <c r="Z38" s="13">
        <f>W38+X38+Y38+COUNTIFS(Students,E38,Results,"Submitted")</f>
        <v>0</v>
      </c>
      <c r="AA38" s="12">
        <v>0.7349169642394112</v>
      </c>
      <c r="AB38" s="12">
        <v>0.675330370753829</v>
      </c>
      <c r="AC38" s="12">
        <v>0.6492414599270598</v>
      </c>
      <c r="AD38" s="12">
        <v>0.6205482298409654</v>
      </c>
      <c r="AE38" s="13">
        <f>COUNTIFS(Students,E38,Results,"CHOICE!")</f>
        <v>0</v>
      </c>
      <c r="AF38" s="1">
        <f>COUNTIFS(MoneyYesNo,1,RGRcount,1,Students,E38,Results,"Accepted!")</f>
        <v>0</v>
      </c>
      <c r="AG38" s="1">
        <f>COUNTIFS(MoneyYesNo,1,MGRcount,1,Students,E38,Results,"Accepted!")-AF38</f>
        <v>0</v>
      </c>
      <c r="AH38" s="1">
        <f>COUNTIFS(MoneyYesNo,1,Students,E38,Results,"Accepted!")-AF38-AG38</f>
        <v>0</v>
      </c>
      <c r="AI38" s="13">
        <f>COUNTIFS(Students,E38,Results,"Accepted!")-AF38-AG38-AH38</f>
        <v>0</v>
      </c>
      <c r="AJ38" s="1">
        <f>SUMIFS(RGRcount,Students,E38,MoneyYesNo,1)</f>
        <v>0</v>
      </c>
      <c r="AK38" s="1">
        <f>SUMIFS(MGRcount,Students,E38,MoneyYesNo,1)-AJ38</f>
        <v>0</v>
      </c>
      <c r="AL38" s="1">
        <f>SUMIF(Students,E38,MoneyYesNo)-AJ38-AK38</f>
        <v>0</v>
      </c>
      <c r="AM38" s="13">
        <f>SUM(AJ38,AK38,AL38)</f>
        <v>0</v>
      </c>
      <c r="AN38" s="1">
        <f>SUMIF(Students,E38,RGRcount)</f>
        <v>0</v>
      </c>
      <c r="AO38" s="1">
        <f>SUMIF(Students,E38,MGRcount)-AN38</f>
        <v>0</v>
      </c>
      <c r="AP38" s="1">
        <f>COUNTIF(Students,E38)-AN38-AO38</f>
        <v>0</v>
      </c>
      <c r="AQ38" s="1">
        <f>SUMIF(Students,E38,FarBelowTGRCount)</f>
        <v>0</v>
      </c>
      <c r="AR38" s="47">
        <f>COUNTIF(Students,E38)</f>
        <v>0</v>
      </c>
      <c r="AS38" s="11">
        <f>IF(AR38&gt;0,Z38/AR38,0)</f>
        <v>0</v>
      </c>
      <c r="AT38" s="11">
        <f t="array" ref="AT38">1-PRODUCT(IF(Students=E38,MGRMult,1))</f>
        <v>0</v>
      </c>
      <c r="AU38" s="12">
        <f t="array" ref="AU38">1-PRODUCT(IF(Students=E38,RGRMult,1))</f>
        <v>0</v>
      </c>
      <c r="AV38" s="1">
        <f>COUNTIFS(Students,E38,Classes,HailMaryLabel)</f>
        <v>0</v>
      </c>
      <c r="AW38" s="1">
        <f>COUNTIFS(Students,E38,Classes,LongshotLabel)</f>
        <v>0</v>
      </c>
      <c r="AX38" s="1">
        <f>COUNTIFS(Students,E38,Classes,ReachLabel)</f>
        <v>0</v>
      </c>
      <c r="AY38" s="1">
        <f>COUNTIFS(Students,E38,Classes,MatchLabel)</f>
        <v>0</v>
      </c>
      <c r="AZ38" s="1">
        <f>COUNTIFS(Students,E38,Classes,SafetyLabel)</f>
        <v>0</v>
      </c>
      <c r="BA38" s="1">
        <f>COUNTIFS(Students,E38,Classes,SecureLabel)</f>
        <v>0</v>
      </c>
      <c r="BB38" s="1">
        <f>COUNTIFS(Students,E38,Classes,SureThingLabel)</f>
        <v>0</v>
      </c>
      <c r="BC38" s="13">
        <f>COUNTIFS(Students,E38,Classes,"Other")</f>
        <v>0</v>
      </c>
      <c r="BD38" s="1">
        <f>COUNTIFS(Students,E38,Classes,ReachLabel,MoneyYesNo,1)</f>
        <v>0</v>
      </c>
      <c r="BE38" s="1">
        <f>COUNTIFS(Students,E38,Classes,MatchLabel,MoneyYesNo,1)</f>
        <v>0</v>
      </c>
      <c r="BF38" s="1">
        <f>COUNTIFS(Students,E38,Classes,SafetyLabel,MoneyYesNo,1)</f>
        <v>0</v>
      </c>
      <c r="BG38" s="1">
        <f>COUNTIFS(Students,E38,Classes,SecureLabel,MoneyYesNo,1)</f>
        <v>0</v>
      </c>
      <c r="BH38" s="1">
        <f>COUNTIFS(Students,E38,Classes,SureThingLabel,MoneyYesNo,1)</f>
        <v>0</v>
      </c>
      <c r="BI38" s="1">
        <f>SUM(BD38:BH38)</f>
        <v>0</v>
      </c>
      <c r="BJ38" s="1">
        <f>SUMIFS(RGRcount,Students,E38,MoneyYesNo,1,Odds,"&gt;=20")</f>
        <v>0</v>
      </c>
      <c r="BK38" s="1">
        <f>SUMIFS(MGRcount,Students,E38,MoneyYesNo,1,Odds,"&gt;=20")-BJ38</f>
        <v>0</v>
      </c>
      <c r="BL38" s="1">
        <f>SUMIFS(RGRcount,Students,E38,MoneyYesNo,1,Odds,"&gt;=10")</f>
        <v>0</v>
      </c>
      <c r="BM38" s="1">
        <f>SUMIFS(MGRcount,Students,E38,MoneyYesNo,1,Odds,"&gt;=10")-BL38</f>
        <v>0</v>
      </c>
      <c r="BN38" s="1">
        <f>COUNTIFS(Students,E38,ILPublic,1)</f>
        <v>0</v>
      </c>
      <c r="BO38" s="1">
        <f>COUNTIFS(Students,E38,ILPublic,1, Classes,MatchLabel)+COUNTIFS(Students,E38,ILPublic,1, Classes,SafetyLabel)+COUNTIFS(Students,E38,ILPublic,1, Classes,SecureLabel)</f>
        <v>0</v>
      </c>
      <c r="BP38" s="1">
        <f>COUNTIFS(Students,E38,ILPublic,1, Classes,SecureLabel)</f>
        <v>0</v>
      </c>
      <c r="BQ38" s="1">
        <f>COUNTIFS(Students,E38,MoneyChicago,1)</f>
        <v>0</v>
      </c>
      <c r="BR38" s="1">
        <f>COUNTIFS(Students,E38,MatchOrUnder,1)</f>
        <v>0</v>
      </c>
      <c r="BS38" s="1">
        <f>SUMIF(Students,E38,MGRcount)</f>
        <v>0</v>
      </c>
      <c r="BT38" s="1">
        <f>COUNTIFS(Students,E38,BadMoney,1)</f>
        <v>0</v>
      </c>
      <c r="BU38" s="1">
        <f>COUNTIFS(Students,E38,GoldenThree,1)</f>
        <v>0</v>
      </c>
    </row>
    <row r="39" spans="1:73">
      <c r="A39" s="18" t="s">
        <v>86</v>
      </c>
      <c r="B39" s="19">
        <v>0</v>
      </c>
      <c r="C39" s="18" t="s">
        <v>87</v>
      </c>
      <c r="D39" s="18" t="s">
        <v>214</v>
      </c>
      <c r="E39" s="19">
        <v>24155152</v>
      </c>
      <c r="F39" s="19" t="s">
        <v>215</v>
      </c>
      <c r="G39" s="10" t="s">
        <v>216</v>
      </c>
      <c r="H39" s="46">
        <v>3.1788</v>
      </c>
      <c r="I39" s="1">
        <v>21</v>
      </c>
      <c r="J39" s="1" t="s">
        <v>165</v>
      </c>
      <c r="K39" s="1">
        <f>IF(ISNUMBER(J39),VLOOKUP(J39,SATtoACT,2,FALSE),"TBD")</f>
        <v>0</v>
      </c>
      <c r="L39" s="1">
        <f>IF(ISNUMBER(I39),IF(ISNUMBER(K39),MAX(I39,K39),I39),IF(ISNUMBER(K39),K39,"TBD"))</f>
        <v>0</v>
      </c>
      <c r="M39" s="1" t="s">
        <v>115</v>
      </c>
      <c r="N39" s="1">
        <f>IF(AND(H39&lt;&gt;0,L39&lt;&gt;0),IF(ISNUMBER(VLOOKUP(TEXT(MAX(FLOOR(H39*10,1)/10,1.5),"0.0")&amp;":"&amp;MAX(L39,12),StrategyLookup,4,FALSE)),VLOOKUP(TEXT(MAX(FLOOR(H39*10,1)/10,1.5),"0.0")&amp;":"&amp;MAX(L39,12),StrategyLookup,4,FALSE),"TBD"),"TBD")</f>
        <v>0</v>
      </c>
      <c r="O39" s="11">
        <f>IF(ISNUMBER(N39),VLOOKUP(IF(OR(N39=5,N39=6),N39&amp;IF(H39&gt;=3,"+","&lt;"),N39&amp;""),TargetLookup,IF(B39=-1,6,IF(OR(M39="W",M39="A"),4,2)),FALSE),"TBD")</f>
        <v>0</v>
      </c>
      <c r="P39" s="11">
        <f>IF(ISNUMBER(N39),VLOOKUP(IF(OR(N39=5,N39=6),N39&amp;IF(H39&gt;=3,"+","&lt;"),N39&amp;""),TargetLookup,IF(B39=-1,7,IF(OR(M39="W",M39="A"),5,3)),FALSE),"TBD")</f>
        <v>0</v>
      </c>
      <c r="Q39" s="18" t="s">
        <v>92</v>
      </c>
      <c r="R39" s="19" t="s">
        <v>121</v>
      </c>
      <c r="S39" s="19" t="s">
        <v>94</v>
      </c>
      <c r="T39" s="19">
        <f>Q39&amp;S39&amp;D39</f>
        <v>0</v>
      </c>
      <c r="U39" s="11">
        <f t="array" ref="U39">1-PRODUCT(IF(Students=E39,MGRMoneyMult,1))</f>
        <v>0</v>
      </c>
      <c r="V39" s="12">
        <f t="array" ref="V39">1-PRODUCT(IF(Students=E39,RGRMoneyMult,1))</f>
        <v>0</v>
      </c>
      <c r="W39" s="13">
        <f>COUNTIFS(Students,E39,Results,"Accepted!")+COUNTIFS(Students,E39,Results,"CHOICE!")</f>
        <v>0</v>
      </c>
      <c r="X39" s="1">
        <f>COUNTIFS(Students,E39,Results,"Deferred")+COUNTIFS(Students,E39,Results,"Waitlist")</f>
        <v>0</v>
      </c>
      <c r="Y39" s="13">
        <f>COUNTIFS(Students,E39,Results,"Denied")</f>
        <v>0</v>
      </c>
      <c r="Z39" s="13">
        <f>W39+X39+Y39+COUNTIFS(Students,E39,Results,"Submitted")</f>
        <v>0</v>
      </c>
      <c r="AA39" s="12">
        <v>0.648735902430717</v>
      </c>
      <c r="AB39" s="12">
        <v>0.6207109444550788</v>
      </c>
      <c r="AC39" s="12">
        <v>0.4971370335649283</v>
      </c>
      <c r="AD39" s="12">
        <v>0.4730903989352134</v>
      </c>
      <c r="AE39" s="13">
        <f>COUNTIFS(Students,E39,Results,"CHOICE!")</f>
        <v>0</v>
      </c>
      <c r="AF39" s="1">
        <f>COUNTIFS(MoneyYesNo,1,RGRcount,1,Students,E39,Results,"Accepted!")</f>
        <v>0</v>
      </c>
      <c r="AG39" s="1">
        <f>COUNTIFS(MoneyYesNo,1,MGRcount,1,Students,E39,Results,"Accepted!")-AF39</f>
        <v>0</v>
      </c>
      <c r="AH39" s="1">
        <f>COUNTIFS(MoneyYesNo,1,Students,E39,Results,"Accepted!")-AF39-AG39</f>
        <v>0</v>
      </c>
      <c r="AI39" s="13">
        <f>COUNTIFS(Students,E39,Results,"Accepted!")-AF39-AG39-AH39</f>
        <v>0</v>
      </c>
      <c r="AJ39" s="1">
        <f>SUMIFS(RGRcount,Students,E39,MoneyYesNo,1)</f>
        <v>0</v>
      </c>
      <c r="AK39" s="1">
        <f>SUMIFS(MGRcount,Students,E39,MoneyYesNo,1)-AJ39</f>
        <v>0</v>
      </c>
      <c r="AL39" s="1">
        <f>SUMIF(Students,E39,MoneyYesNo)-AJ39-AK39</f>
        <v>0</v>
      </c>
      <c r="AM39" s="13">
        <f>SUM(AJ39,AK39,AL39)</f>
        <v>0</v>
      </c>
      <c r="AN39" s="1">
        <f>SUMIF(Students,E39,RGRcount)</f>
        <v>0</v>
      </c>
      <c r="AO39" s="1">
        <f>SUMIF(Students,E39,MGRcount)-AN39</f>
        <v>0</v>
      </c>
      <c r="AP39" s="1">
        <f>COUNTIF(Students,E39)-AN39-AO39</f>
        <v>0</v>
      </c>
      <c r="AQ39" s="1">
        <f>SUMIF(Students,E39,FarBelowTGRCount)</f>
        <v>0</v>
      </c>
      <c r="AR39" s="47">
        <f>COUNTIF(Students,E39)</f>
        <v>0</v>
      </c>
      <c r="AS39" s="11">
        <f>IF(AR39&gt;0,Z39/AR39,0)</f>
        <v>0</v>
      </c>
      <c r="AT39" s="11">
        <f t="array" ref="AT39">1-PRODUCT(IF(Students=E39,MGRMult,1))</f>
        <v>0</v>
      </c>
      <c r="AU39" s="12">
        <f t="array" ref="AU39">1-PRODUCT(IF(Students=E39,RGRMult,1))</f>
        <v>0</v>
      </c>
      <c r="AV39" s="1">
        <f>COUNTIFS(Students,E39,Classes,HailMaryLabel)</f>
        <v>0</v>
      </c>
      <c r="AW39" s="1">
        <f>COUNTIFS(Students,E39,Classes,LongshotLabel)</f>
        <v>0</v>
      </c>
      <c r="AX39" s="1">
        <f>COUNTIFS(Students,E39,Classes,ReachLabel)</f>
        <v>0</v>
      </c>
      <c r="AY39" s="1">
        <f>COUNTIFS(Students,E39,Classes,MatchLabel)</f>
        <v>0</v>
      </c>
      <c r="AZ39" s="1">
        <f>COUNTIFS(Students,E39,Classes,SafetyLabel)</f>
        <v>0</v>
      </c>
      <c r="BA39" s="1">
        <f>COUNTIFS(Students,E39,Classes,SecureLabel)</f>
        <v>0</v>
      </c>
      <c r="BB39" s="1">
        <f>COUNTIFS(Students,E39,Classes,SureThingLabel)</f>
        <v>0</v>
      </c>
      <c r="BC39" s="13">
        <f>COUNTIFS(Students,E39,Classes,"Other")</f>
        <v>0</v>
      </c>
      <c r="BD39" s="1">
        <f>COUNTIFS(Students,E39,Classes,ReachLabel,MoneyYesNo,1)</f>
        <v>0</v>
      </c>
      <c r="BE39" s="1">
        <f>COUNTIFS(Students,E39,Classes,MatchLabel,MoneyYesNo,1)</f>
        <v>0</v>
      </c>
      <c r="BF39" s="1">
        <f>COUNTIFS(Students,E39,Classes,SafetyLabel,MoneyYesNo,1)</f>
        <v>0</v>
      </c>
      <c r="BG39" s="1">
        <f>COUNTIFS(Students,E39,Classes,SecureLabel,MoneyYesNo,1)</f>
        <v>0</v>
      </c>
      <c r="BH39" s="1">
        <f>COUNTIFS(Students,E39,Classes,SureThingLabel,MoneyYesNo,1)</f>
        <v>0</v>
      </c>
      <c r="BI39" s="1">
        <f>SUM(BD39:BH39)</f>
        <v>0</v>
      </c>
      <c r="BJ39" s="1">
        <f>SUMIFS(RGRcount,Students,E39,MoneyYesNo,1,Odds,"&gt;=20")</f>
        <v>0</v>
      </c>
      <c r="BK39" s="1">
        <f>SUMIFS(MGRcount,Students,E39,MoneyYesNo,1,Odds,"&gt;=20")-BJ39</f>
        <v>0</v>
      </c>
      <c r="BL39" s="1">
        <f>SUMIFS(RGRcount,Students,E39,MoneyYesNo,1,Odds,"&gt;=10")</f>
        <v>0</v>
      </c>
      <c r="BM39" s="1">
        <f>SUMIFS(MGRcount,Students,E39,MoneyYesNo,1,Odds,"&gt;=10")-BL39</f>
        <v>0</v>
      </c>
      <c r="BN39" s="1">
        <f>COUNTIFS(Students,E39,ILPublic,1)</f>
        <v>0</v>
      </c>
      <c r="BO39" s="1">
        <f>COUNTIFS(Students,E39,ILPublic,1, Classes,MatchLabel)+COUNTIFS(Students,E39,ILPublic,1, Classes,SafetyLabel)+COUNTIFS(Students,E39,ILPublic,1, Classes,SecureLabel)</f>
        <v>0</v>
      </c>
      <c r="BP39" s="1">
        <f>COUNTIFS(Students,E39,ILPublic,1, Classes,SecureLabel)</f>
        <v>0</v>
      </c>
      <c r="BQ39" s="1">
        <f>COUNTIFS(Students,E39,MoneyChicago,1)</f>
        <v>0</v>
      </c>
      <c r="BR39" s="1">
        <f>COUNTIFS(Students,E39,MatchOrUnder,1)</f>
        <v>0</v>
      </c>
      <c r="BS39" s="1">
        <f>SUMIF(Students,E39,MGRcount)</f>
        <v>0</v>
      </c>
      <c r="BT39" s="1">
        <f>COUNTIFS(Students,E39,BadMoney,1)</f>
        <v>0</v>
      </c>
      <c r="BU39" s="1">
        <f>COUNTIFS(Students,E39,GoldenThree,1)</f>
        <v>0</v>
      </c>
    </row>
    <row r="40" spans="1:73">
      <c r="A40" s="18" t="s">
        <v>86</v>
      </c>
      <c r="B40" s="19">
        <v>0</v>
      </c>
      <c r="C40" s="18" t="s">
        <v>87</v>
      </c>
      <c r="D40" s="18" t="s">
        <v>217</v>
      </c>
      <c r="E40" s="19">
        <v>30323075</v>
      </c>
      <c r="F40" s="19" t="s">
        <v>218</v>
      </c>
      <c r="G40" s="10" t="s">
        <v>219</v>
      </c>
      <c r="H40" s="46">
        <v>3.4021</v>
      </c>
      <c r="I40" s="1">
        <v>21</v>
      </c>
      <c r="J40" s="1">
        <v>1270</v>
      </c>
      <c r="K40" s="1">
        <f>IF(ISNUMBER(J40),VLOOKUP(J40,SATtoACT,2,FALSE),"TBD")</f>
        <v>0</v>
      </c>
      <c r="L40" s="1">
        <f>IF(ISNUMBER(I40),IF(ISNUMBER(K40),MAX(I40,K40),I40),IF(ISNUMBER(K40),K40,"TBD"))</f>
        <v>0</v>
      </c>
      <c r="M40" s="1" t="s">
        <v>91</v>
      </c>
      <c r="N40" s="1">
        <f>IF(AND(H40&lt;&gt;0,L40&lt;&gt;0),IF(ISNUMBER(VLOOKUP(TEXT(MAX(FLOOR(H40*10,1)/10,1.5),"0.0")&amp;":"&amp;MAX(L40,12),StrategyLookup,4,FALSE)),VLOOKUP(TEXT(MAX(FLOOR(H40*10,1)/10,1.5),"0.0")&amp;":"&amp;MAX(L40,12),StrategyLookup,4,FALSE),"TBD"),"TBD")</f>
        <v>0</v>
      </c>
      <c r="O40" s="11">
        <f>IF(ISNUMBER(N40),VLOOKUP(IF(OR(N40=5,N40=6),N40&amp;IF(H40&gt;=3,"+","&lt;"),N40&amp;""),TargetLookup,IF(B40=-1,6,IF(OR(M40="W",M40="A"),4,2)),FALSE),"TBD")</f>
        <v>0</v>
      </c>
      <c r="P40" s="11">
        <f>IF(ISNUMBER(N40),VLOOKUP(IF(OR(N40=5,N40=6),N40&amp;IF(H40&gt;=3,"+","&lt;"),N40&amp;""),TargetLookup,IF(B40=-1,7,IF(OR(M40="W",M40="A"),5,3)),FALSE),"TBD")</f>
        <v>0</v>
      </c>
      <c r="Q40" s="18" t="s">
        <v>103</v>
      </c>
      <c r="R40" s="19" t="s">
        <v>93</v>
      </c>
      <c r="S40" s="19" t="s">
        <v>94</v>
      </c>
      <c r="T40" s="19">
        <f>Q40&amp;S40&amp;D40</f>
        <v>0</v>
      </c>
      <c r="U40" s="11">
        <f t="array" ref="U40">1-PRODUCT(IF(Students=E40,MGRMoneyMult,1))</f>
        <v>0</v>
      </c>
      <c r="V40" s="12">
        <f t="array" ref="V40">1-PRODUCT(IF(Students=E40,RGRMoneyMult,1))</f>
        <v>0</v>
      </c>
      <c r="W40" s="13">
        <f>COUNTIFS(Students,E40,Results,"Accepted!")+COUNTIFS(Students,E40,Results,"CHOICE!")</f>
        <v>0</v>
      </c>
      <c r="X40" s="1">
        <f>COUNTIFS(Students,E40,Results,"Deferred")+COUNTIFS(Students,E40,Results,"Waitlist")</f>
        <v>0</v>
      </c>
      <c r="Y40" s="13">
        <f>COUNTIFS(Students,E40,Results,"Denied")</f>
        <v>0</v>
      </c>
      <c r="Z40" s="13">
        <f>W40+X40+Y40+COUNTIFS(Students,E40,Results,"Submitted")</f>
        <v>0</v>
      </c>
      <c r="AA40" s="12">
        <v>0.7620458395610248</v>
      </c>
      <c r="AB40" s="12">
        <v>0.74720870934391</v>
      </c>
      <c r="AC40" s="12">
        <v>0.6890105784935341</v>
      </c>
      <c r="AD40" s="12">
        <v>0.6586243522648174</v>
      </c>
      <c r="AE40" s="13">
        <f>COUNTIFS(Students,E40,Results,"CHOICE!")</f>
        <v>0</v>
      </c>
      <c r="AF40" s="1">
        <f>COUNTIFS(MoneyYesNo,1,RGRcount,1,Students,E40,Results,"Accepted!")</f>
        <v>0</v>
      </c>
      <c r="AG40" s="1">
        <f>COUNTIFS(MoneyYesNo,1,MGRcount,1,Students,E40,Results,"Accepted!")-AF40</f>
        <v>0</v>
      </c>
      <c r="AH40" s="1">
        <f>COUNTIFS(MoneyYesNo,1,Students,E40,Results,"Accepted!")-AF40-AG40</f>
        <v>0</v>
      </c>
      <c r="AI40" s="13">
        <f>COUNTIFS(Students,E40,Results,"Accepted!")-AF40-AG40-AH40</f>
        <v>0</v>
      </c>
      <c r="AJ40" s="1">
        <f>SUMIFS(RGRcount,Students,E40,MoneyYesNo,1)</f>
        <v>0</v>
      </c>
      <c r="AK40" s="1">
        <f>SUMIFS(MGRcount,Students,E40,MoneyYesNo,1)-AJ40</f>
        <v>0</v>
      </c>
      <c r="AL40" s="1">
        <f>SUMIF(Students,E40,MoneyYesNo)-AJ40-AK40</f>
        <v>0</v>
      </c>
      <c r="AM40" s="13">
        <f>SUM(AJ40,AK40,AL40)</f>
        <v>0</v>
      </c>
      <c r="AN40" s="1">
        <f>SUMIF(Students,E40,RGRcount)</f>
        <v>0</v>
      </c>
      <c r="AO40" s="1">
        <f>SUMIF(Students,E40,MGRcount)-AN40</f>
        <v>0</v>
      </c>
      <c r="AP40" s="1">
        <f>COUNTIF(Students,E40)-AN40-AO40</f>
        <v>0</v>
      </c>
      <c r="AQ40" s="1">
        <f>SUMIF(Students,E40,FarBelowTGRCount)</f>
        <v>0</v>
      </c>
      <c r="AR40" s="47">
        <f>COUNTIF(Students,E40)</f>
        <v>0</v>
      </c>
      <c r="AS40" s="11">
        <f>IF(AR40&gt;0,Z40/AR40,0)</f>
        <v>0</v>
      </c>
      <c r="AT40" s="11">
        <f t="array" ref="AT40">1-PRODUCT(IF(Students=E40,MGRMult,1))</f>
        <v>0</v>
      </c>
      <c r="AU40" s="12">
        <f t="array" ref="AU40">1-PRODUCT(IF(Students=E40,RGRMult,1))</f>
        <v>0</v>
      </c>
      <c r="AV40" s="1">
        <f>COUNTIFS(Students,E40,Classes,HailMaryLabel)</f>
        <v>0</v>
      </c>
      <c r="AW40" s="1">
        <f>COUNTIFS(Students,E40,Classes,LongshotLabel)</f>
        <v>0</v>
      </c>
      <c r="AX40" s="1">
        <f>COUNTIFS(Students,E40,Classes,ReachLabel)</f>
        <v>0</v>
      </c>
      <c r="AY40" s="1">
        <f>COUNTIFS(Students,E40,Classes,MatchLabel)</f>
        <v>0</v>
      </c>
      <c r="AZ40" s="1">
        <f>COUNTIFS(Students,E40,Classes,SafetyLabel)</f>
        <v>0</v>
      </c>
      <c r="BA40" s="1">
        <f>COUNTIFS(Students,E40,Classes,SecureLabel)</f>
        <v>0</v>
      </c>
      <c r="BB40" s="1">
        <f>COUNTIFS(Students,E40,Classes,SureThingLabel)</f>
        <v>0</v>
      </c>
      <c r="BC40" s="13">
        <f>COUNTIFS(Students,E40,Classes,"Other")</f>
        <v>0</v>
      </c>
      <c r="BD40" s="1">
        <f>COUNTIFS(Students,E40,Classes,ReachLabel,MoneyYesNo,1)</f>
        <v>0</v>
      </c>
      <c r="BE40" s="1">
        <f>COUNTIFS(Students,E40,Classes,MatchLabel,MoneyYesNo,1)</f>
        <v>0</v>
      </c>
      <c r="BF40" s="1">
        <f>COUNTIFS(Students,E40,Classes,SafetyLabel,MoneyYesNo,1)</f>
        <v>0</v>
      </c>
      <c r="BG40" s="1">
        <f>COUNTIFS(Students,E40,Classes,SecureLabel,MoneyYesNo,1)</f>
        <v>0</v>
      </c>
      <c r="BH40" s="1">
        <f>COUNTIFS(Students,E40,Classes,SureThingLabel,MoneyYesNo,1)</f>
        <v>0</v>
      </c>
      <c r="BI40" s="1">
        <f>SUM(BD40:BH40)</f>
        <v>0</v>
      </c>
      <c r="BJ40" s="1">
        <f>SUMIFS(RGRcount,Students,E40,MoneyYesNo,1,Odds,"&gt;=20")</f>
        <v>0</v>
      </c>
      <c r="BK40" s="1">
        <f>SUMIFS(MGRcount,Students,E40,MoneyYesNo,1,Odds,"&gt;=20")-BJ40</f>
        <v>0</v>
      </c>
      <c r="BL40" s="1">
        <f>SUMIFS(RGRcount,Students,E40,MoneyYesNo,1,Odds,"&gt;=10")</f>
        <v>0</v>
      </c>
      <c r="BM40" s="1">
        <f>SUMIFS(MGRcount,Students,E40,MoneyYesNo,1,Odds,"&gt;=10")-BL40</f>
        <v>0</v>
      </c>
      <c r="BN40" s="1">
        <f>COUNTIFS(Students,E40,ILPublic,1)</f>
        <v>0</v>
      </c>
      <c r="BO40" s="1">
        <f>COUNTIFS(Students,E40,ILPublic,1, Classes,MatchLabel)+COUNTIFS(Students,E40,ILPublic,1, Classes,SafetyLabel)+COUNTIFS(Students,E40,ILPublic,1, Classes,SecureLabel)</f>
        <v>0</v>
      </c>
      <c r="BP40" s="1">
        <f>COUNTIFS(Students,E40,ILPublic,1, Classes,SecureLabel)</f>
        <v>0</v>
      </c>
      <c r="BQ40" s="1">
        <f>COUNTIFS(Students,E40,MoneyChicago,1)</f>
        <v>0</v>
      </c>
      <c r="BR40" s="1">
        <f>COUNTIFS(Students,E40,MatchOrUnder,1)</f>
        <v>0</v>
      </c>
      <c r="BS40" s="1">
        <f>SUMIF(Students,E40,MGRcount)</f>
        <v>0</v>
      </c>
      <c r="BT40" s="1">
        <f>COUNTIFS(Students,E40,BadMoney,1)</f>
        <v>0</v>
      </c>
      <c r="BU40" s="1">
        <f>COUNTIFS(Students,E40,GoldenThree,1)</f>
        <v>0</v>
      </c>
    </row>
    <row r="41" spans="1:73">
      <c r="A41" s="18" t="s">
        <v>86</v>
      </c>
      <c r="B41" s="19">
        <v>0</v>
      </c>
      <c r="C41" s="18" t="s">
        <v>87</v>
      </c>
      <c r="D41" s="18" t="s">
        <v>220</v>
      </c>
      <c r="E41" s="19">
        <v>22489025</v>
      </c>
      <c r="F41" s="19" t="s">
        <v>221</v>
      </c>
      <c r="G41" s="10" t="s">
        <v>222</v>
      </c>
      <c r="H41" s="46">
        <v>3.4558</v>
      </c>
      <c r="I41" s="1">
        <v>20</v>
      </c>
      <c r="J41" s="1">
        <v>1250</v>
      </c>
      <c r="K41" s="1">
        <f>IF(ISNUMBER(J41),VLOOKUP(J41,SATtoACT,2,FALSE),"TBD")</f>
        <v>0</v>
      </c>
      <c r="L41" s="1">
        <f>IF(ISNUMBER(I41),IF(ISNUMBER(K41),MAX(I41,K41),I41),IF(ISNUMBER(K41),K41,"TBD"))</f>
        <v>0</v>
      </c>
      <c r="M41" s="1" t="s">
        <v>115</v>
      </c>
      <c r="N41" s="1">
        <f>IF(AND(H41&lt;&gt;0,L41&lt;&gt;0),IF(ISNUMBER(VLOOKUP(TEXT(MAX(FLOOR(H41*10,1)/10,1.5),"0.0")&amp;":"&amp;MAX(L41,12),StrategyLookup,4,FALSE)),VLOOKUP(TEXT(MAX(FLOOR(H41*10,1)/10,1.5),"0.0")&amp;":"&amp;MAX(L41,12),StrategyLookup,4,FALSE),"TBD"),"TBD")</f>
        <v>0</v>
      </c>
      <c r="O41" s="11">
        <f>IF(ISNUMBER(N41),VLOOKUP(IF(OR(N41=5,N41=6),N41&amp;IF(H41&gt;=3,"+","&lt;"),N41&amp;""),TargetLookup,IF(B41=-1,6,IF(OR(M41="W",M41="A"),4,2)),FALSE),"TBD")</f>
        <v>0</v>
      </c>
      <c r="P41" s="11">
        <f>IF(ISNUMBER(N41),VLOOKUP(IF(OR(N41=5,N41=6),N41&amp;IF(H41&gt;=3,"+","&lt;"),N41&amp;""),TargetLookup,IF(B41=-1,7,IF(OR(M41="W",M41="A"),5,3)),FALSE),"TBD")</f>
        <v>0</v>
      </c>
      <c r="Q41" s="18" t="s">
        <v>92</v>
      </c>
      <c r="R41" s="19" t="s">
        <v>131</v>
      </c>
      <c r="S41" s="19" t="s">
        <v>94</v>
      </c>
      <c r="T41" s="19">
        <f>Q41&amp;S41&amp;D41</f>
        <v>0</v>
      </c>
      <c r="U41" s="11">
        <f t="array" ref="U41">1-PRODUCT(IF(Students=E41,MGRMoneyMult,1))</f>
        <v>0</v>
      </c>
      <c r="V41" s="12">
        <f t="array" ref="V41">1-PRODUCT(IF(Students=E41,RGRMoneyMult,1))</f>
        <v>0</v>
      </c>
      <c r="W41" s="13">
        <f>COUNTIFS(Students,E41,Results,"Accepted!")+COUNTIFS(Students,E41,Results,"CHOICE!")</f>
        <v>0</v>
      </c>
      <c r="X41" s="1">
        <f>COUNTIFS(Students,E41,Results,"Deferred")+COUNTIFS(Students,E41,Results,"Waitlist")</f>
        <v>0</v>
      </c>
      <c r="Y41" s="13">
        <f>COUNTIFS(Students,E41,Results,"Denied")</f>
        <v>0</v>
      </c>
      <c r="Z41" s="13">
        <f>W41+X41+Y41+COUNTIFS(Students,E41,Results,"Submitted")</f>
        <v>0</v>
      </c>
      <c r="AA41" s="12">
        <v>0.9032201972806287</v>
      </c>
      <c r="AB41" s="12">
        <v>0.8594449559026655</v>
      </c>
      <c r="AC41" s="12">
        <v>0.760859070022413</v>
      </c>
      <c r="AD41" s="12">
        <v>0.7429117077890661</v>
      </c>
      <c r="AE41" s="13">
        <f>COUNTIFS(Students,E41,Results,"CHOICE!")</f>
        <v>0</v>
      </c>
      <c r="AF41" s="1">
        <f>COUNTIFS(MoneyYesNo,1,RGRcount,1,Students,E41,Results,"Accepted!")</f>
        <v>0</v>
      </c>
      <c r="AG41" s="1">
        <f>COUNTIFS(MoneyYesNo,1,MGRcount,1,Students,E41,Results,"Accepted!")-AF41</f>
        <v>0</v>
      </c>
      <c r="AH41" s="1">
        <f>COUNTIFS(MoneyYesNo,1,Students,E41,Results,"Accepted!")-AF41-AG41</f>
        <v>0</v>
      </c>
      <c r="AI41" s="13">
        <f>COUNTIFS(Students,E41,Results,"Accepted!")-AF41-AG41-AH41</f>
        <v>0</v>
      </c>
      <c r="AJ41" s="1">
        <f>SUMIFS(RGRcount,Students,E41,MoneyYesNo,1)</f>
        <v>0</v>
      </c>
      <c r="AK41" s="1">
        <f>SUMIFS(MGRcount,Students,E41,MoneyYesNo,1)-AJ41</f>
        <v>0</v>
      </c>
      <c r="AL41" s="1">
        <f>SUMIF(Students,E41,MoneyYesNo)-AJ41-AK41</f>
        <v>0</v>
      </c>
      <c r="AM41" s="13">
        <f>SUM(AJ41,AK41,AL41)</f>
        <v>0</v>
      </c>
      <c r="AN41" s="1">
        <f>SUMIF(Students,E41,RGRcount)</f>
        <v>0</v>
      </c>
      <c r="AO41" s="1">
        <f>SUMIF(Students,E41,MGRcount)-AN41</f>
        <v>0</v>
      </c>
      <c r="AP41" s="1">
        <f>COUNTIF(Students,E41)-AN41-AO41</f>
        <v>0</v>
      </c>
      <c r="AQ41" s="1">
        <f>SUMIF(Students,E41,FarBelowTGRCount)</f>
        <v>0</v>
      </c>
      <c r="AR41" s="47">
        <f>COUNTIF(Students,E41)</f>
        <v>0</v>
      </c>
      <c r="AS41" s="11">
        <f>IF(AR41&gt;0,Z41/AR41,0)</f>
        <v>0</v>
      </c>
      <c r="AT41" s="11">
        <f t="array" ref="AT41">1-PRODUCT(IF(Students=E41,MGRMult,1))</f>
        <v>0</v>
      </c>
      <c r="AU41" s="12">
        <f t="array" ref="AU41">1-PRODUCT(IF(Students=E41,RGRMult,1))</f>
        <v>0</v>
      </c>
      <c r="AV41" s="1">
        <f>COUNTIFS(Students,E41,Classes,HailMaryLabel)</f>
        <v>0</v>
      </c>
      <c r="AW41" s="1">
        <f>COUNTIFS(Students,E41,Classes,LongshotLabel)</f>
        <v>0</v>
      </c>
      <c r="AX41" s="1">
        <f>COUNTIFS(Students,E41,Classes,ReachLabel)</f>
        <v>0</v>
      </c>
      <c r="AY41" s="1">
        <f>COUNTIFS(Students,E41,Classes,MatchLabel)</f>
        <v>0</v>
      </c>
      <c r="AZ41" s="1">
        <f>COUNTIFS(Students,E41,Classes,SafetyLabel)</f>
        <v>0</v>
      </c>
      <c r="BA41" s="1">
        <f>COUNTIFS(Students,E41,Classes,SecureLabel)</f>
        <v>0</v>
      </c>
      <c r="BB41" s="1">
        <f>COUNTIFS(Students,E41,Classes,SureThingLabel)</f>
        <v>0</v>
      </c>
      <c r="BC41" s="13">
        <f>COUNTIFS(Students,E41,Classes,"Other")</f>
        <v>0</v>
      </c>
      <c r="BD41" s="1">
        <f>COUNTIFS(Students,E41,Classes,ReachLabel,MoneyYesNo,1)</f>
        <v>0</v>
      </c>
      <c r="BE41" s="1">
        <f>COUNTIFS(Students,E41,Classes,MatchLabel,MoneyYesNo,1)</f>
        <v>0</v>
      </c>
      <c r="BF41" s="1">
        <f>COUNTIFS(Students,E41,Classes,SafetyLabel,MoneyYesNo,1)</f>
        <v>0</v>
      </c>
      <c r="BG41" s="1">
        <f>COUNTIFS(Students,E41,Classes,SecureLabel,MoneyYesNo,1)</f>
        <v>0</v>
      </c>
      <c r="BH41" s="1">
        <f>COUNTIFS(Students,E41,Classes,SureThingLabel,MoneyYesNo,1)</f>
        <v>0</v>
      </c>
      <c r="BI41" s="1">
        <f>SUM(BD41:BH41)</f>
        <v>0</v>
      </c>
      <c r="BJ41" s="1">
        <f>SUMIFS(RGRcount,Students,E41,MoneyYesNo,1,Odds,"&gt;=20")</f>
        <v>0</v>
      </c>
      <c r="BK41" s="1">
        <f>SUMIFS(MGRcount,Students,E41,MoneyYesNo,1,Odds,"&gt;=20")-BJ41</f>
        <v>0</v>
      </c>
      <c r="BL41" s="1">
        <f>SUMIFS(RGRcount,Students,E41,MoneyYesNo,1,Odds,"&gt;=10")</f>
        <v>0</v>
      </c>
      <c r="BM41" s="1">
        <f>SUMIFS(MGRcount,Students,E41,MoneyYesNo,1,Odds,"&gt;=10")-BL41</f>
        <v>0</v>
      </c>
      <c r="BN41" s="1">
        <f>COUNTIFS(Students,E41,ILPublic,1)</f>
        <v>0</v>
      </c>
      <c r="BO41" s="1">
        <f>COUNTIFS(Students,E41,ILPublic,1, Classes,MatchLabel)+COUNTIFS(Students,E41,ILPublic,1, Classes,SafetyLabel)+COUNTIFS(Students,E41,ILPublic,1, Classes,SecureLabel)</f>
        <v>0</v>
      </c>
      <c r="BP41" s="1">
        <f>COUNTIFS(Students,E41,ILPublic,1, Classes,SecureLabel)</f>
        <v>0</v>
      </c>
      <c r="BQ41" s="1">
        <f>COUNTIFS(Students,E41,MoneyChicago,1)</f>
        <v>0</v>
      </c>
      <c r="BR41" s="1">
        <f>COUNTIFS(Students,E41,MatchOrUnder,1)</f>
        <v>0</v>
      </c>
      <c r="BS41" s="1">
        <f>SUMIF(Students,E41,MGRcount)</f>
        <v>0</v>
      </c>
      <c r="BT41" s="1">
        <f>COUNTIFS(Students,E41,BadMoney,1)</f>
        <v>0</v>
      </c>
      <c r="BU41" s="1">
        <f>COUNTIFS(Students,E41,GoldenThree,1)</f>
        <v>0</v>
      </c>
    </row>
    <row r="42" spans="1:73">
      <c r="A42" s="18" t="s">
        <v>86</v>
      </c>
      <c r="B42" s="19">
        <v>0</v>
      </c>
      <c r="C42" s="18" t="s">
        <v>87</v>
      </c>
      <c r="D42" s="18" t="s">
        <v>223</v>
      </c>
      <c r="E42" s="19">
        <v>30313392</v>
      </c>
      <c r="F42" s="19" t="s">
        <v>224</v>
      </c>
      <c r="G42" s="10" t="s">
        <v>225</v>
      </c>
      <c r="H42" s="46">
        <v>2.5173</v>
      </c>
      <c r="I42" s="1">
        <v>15</v>
      </c>
      <c r="J42" s="1">
        <v>1340</v>
      </c>
      <c r="K42" s="1">
        <f>IF(ISNUMBER(J42),VLOOKUP(J42,SATtoACT,2,FALSE),"TBD")</f>
        <v>0</v>
      </c>
      <c r="L42" s="1">
        <f>IF(ISNUMBER(I42),IF(ISNUMBER(K42),MAX(I42,K42),I42),IF(ISNUMBER(K42),K42,"TBD"))</f>
        <v>0</v>
      </c>
      <c r="M42" s="1" t="s">
        <v>91</v>
      </c>
      <c r="N42" s="1">
        <f>IF(AND(H42&lt;&gt;0,L42&lt;&gt;0),IF(ISNUMBER(VLOOKUP(TEXT(MAX(FLOOR(H42*10,1)/10,1.5),"0.0")&amp;":"&amp;MAX(L42,12),StrategyLookup,4,FALSE)),VLOOKUP(TEXT(MAX(FLOOR(H42*10,1)/10,1.5),"0.0")&amp;":"&amp;MAX(L42,12),StrategyLookup,4,FALSE),"TBD"),"TBD")</f>
        <v>0</v>
      </c>
      <c r="O42" s="11">
        <f>IF(ISNUMBER(N42),VLOOKUP(IF(OR(N42=5,N42=6),N42&amp;IF(H42&gt;=3,"+","&lt;"),N42&amp;""),TargetLookup,IF(B42=-1,6,IF(OR(M42="W",M42="A"),4,2)),FALSE),"TBD")</f>
        <v>0</v>
      </c>
      <c r="P42" s="11">
        <f>IF(ISNUMBER(N42),VLOOKUP(IF(OR(N42=5,N42=6),N42&amp;IF(H42&gt;=3,"+","&lt;"),N42&amp;""),TargetLookup,IF(B42=-1,7,IF(OR(M42="W",M42="A"),5,3)),FALSE),"TBD")</f>
        <v>0</v>
      </c>
      <c r="Q42" s="18" t="s">
        <v>92</v>
      </c>
      <c r="R42" s="19" t="s">
        <v>111</v>
      </c>
      <c r="S42" s="19" t="s">
        <v>94</v>
      </c>
      <c r="T42" s="19">
        <f>Q42&amp;S42&amp;D42</f>
        <v>0</v>
      </c>
      <c r="U42" s="11">
        <f t="array" ref="U42">1-PRODUCT(IF(Students=E42,MGRMoneyMult,1))</f>
        <v>0</v>
      </c>
      <c r="V42" s="12">
        <f t="array" ref="V42">1-PRODUCT(IF(Students=E42,RGRMoneyMult,1))</f>
        <v>0</v>
      </c>
      <c r="W42" s="13">
        <f>COUNTIFS(Students,E42,Results,"Accepted!")+COUNTIFS(Students,E42,Results,"CHOICE!")</f>
        <v>0</v>
      </c>
      <c r="X42" s="1">
        <f>COUNTIFS(Students,E42,Results,"Deferred")+COUNTIFS(Students,E42,Results,"Waitlist")</f>
        <v>0</v>
      </c>
      <c r="Y42" s="13">
        <f>COUNTIFS(Students,E42,Results,"Denied")</f>
        <v>0</v>
      </c>
      <c r="Z42" s="13">
        <f>W42+X42+Y42+COUNTIFS(Students,E42,Results,"Submitted")</f>
        <v>0</v>
      </c>
      <c r="AA42" s="12">
        <v>0.5294685927642999</v>
      </c>
      <c r="AB42" s="12">
        <v>0.4399309770000001</v>
      </c>
      <c r="AC42" s="12">
        <v>0.3963637469926744</v>
      </c>
      <c r="AD42" s="12">
        <v>0.377032440016034</v>
      </c>
      <c r="AE42" s="13">
        <f>COUNTIFS(Students,E42,Results,"CHOICE!")</f>
        <v>0</v>
      </c>
      <c r="AF42" s="1">
        <f>COUNTIFS(MoneyYesNo,1,RGRcount,1,Students,E42,Results,"Accepted!")</f>
        <v>0</v>
      </c>
      <c r="AG42" s="1">
        <f>COUNTIFS(MoneyYesNo,1,MGRcount,1,Students,E42,Results,"Accepted!")-AF42</f>
        <v>0</v>
      </c>
      <c r="AH42" s="1">
        <f>COUNTIFS(MoneyYesNo,1,Students,E42,Results,"Accepted!")-AF42-AG42</f>
        <v>0</v>
      </c>
      <c r="AI42" s="13">
        <f>COUNTIFS(Students,E42,Results,"Accepted!")-AF42-AG42-AH42</f>
        <v>0</v>
      </c>
      <c r="AJ42" s="1">
        <f>SUMIFS(RGRcount,Students,E42,MoneyYesNo,1)</f>
        <v>0</v>
      </c>
      <c r="AK42" s="1">
        <f>SUMIFS(MGRcount,Students,E42,MoneyYesNo,1)-AJ42</f>
        <v>0</v>
      </c>
      <c r="AL42" s="1">
        <f>SUMIF(Students,E42,MoneyYesNo)-AJ42-AK42</f>
        <v>0</v>
      </c>
      <c r="AM42" s="13">
        <f>SUM(AJ42,AK42,AL42)</f>
        <v>0</v>
      </c>
      <c r="AN42" s="1">
        <f>SUMIF(Students,E42,RGRcount)</f>
        <v>0</v>
      </c>
      <c r="AO42" s="1">
        <f>SUMIF(Students,E42,MGRcount)-AN42</f>
        <v>0</v>
      </c>
      <c r="AP42" s="1">
        <f>COUNTIF(Students,E42)-AN42-AO42</f>
        <v>0</v>
      </c>
      <c r="AQ42" s="1">
        <f>SUMIF(Students,E42,FarBelowTGRCount)</f>
        <v>0</v>
      </c>
      <c r="AR42" s="47">
        <f>COUNTIF(Students,E42)</f>
        <v>0</v>
      </c>
      <c r="AS42" s="11">
        <f>IF(AR42&gt;0,Z42/AR42,0)</f>
        <v>0</v>
      </c>
      <c r="AT42" s="11">
        <f t="array" ref="AT42">1-PRODUCT(IF(Students=E42,MGRMult,1))</f>
        <v>0</v>
      </c>
      <c r="AU42" s="12">
        <f t="array" ref="AU42">1-PRODUCT(IF(Students=E42,RGRMult,1))</f>
        <v>0</v>
      </c>
      <c r="AV42" s="1">
        <f>COUNTIFS(Students,E42,Classes,HailMaryLabel)</f>
        <v>0</v>
      </c>
      <c r="AW42" s="1">
        <f>COUNTIFS(Students,E42,Classes,LongshotLabel)</f>
        <v>0</v>
      </c>
      <c r="AX42" s="1">
        <f>COUNTIFS(Students,E42,Classes,ReachLabel)</f>
        <v>0</v>
      </c>
      <c r="AY42" s="1">
        <f>COUNTIFS(Students,E42,Classes,MatchLabel)</f>
        <v>0</v>
      </c>
      <c r="AZ42" s="1">
        <f>COUNTIFS(Students,E42,Classes,SafetyLabel)</f>
        <v>0</v>
      </c>
      <c r="BA42" s="1">
        <f>COUNTIFS(Students,E42,Classes,SecureLabel)</f>
        <v>0</v>
      </c>
      <c r="BB42" s="1">
        <f>COUNTIFS(Students,E42,Classes,SureThingLabel)</f>
        <v>0</v>
      </c>
      <c r="BC42" s="13">
        <f>COUNTIFS(Students,E42,Classes,"Other")</f>
        <v>0</v>
      </c>
      <c r="BD42" s="1">
        <f>COUNTIFS(Students,E42,Classes,ReachLabel,MoneyYesNo,1)</f>
        <v>0</v>
      </c>
      <c r="BE42" s="1">
        <f>COUNTIFS(Students,E42,Classes,MatchLabel,MoneyYesNo,1)</f>
        <v>0</v>
      </c>
      <c r="BF42" s="1">
        <f>COUNTIFS(Students,E42,Classes,SafetyLabel,MoneyYesNo,1)</f>
        <v>0</v>
      </c>
      <c r="BG42" s="1">
        <f>COUNTIFS(Students,E42,Classes,SecureLabel,MoneyYesNo,1)</f>
        <v>0</v>
      </c>
      <c r="BH42" s="1">
        <f>COUNTIFS(Students,E42,Classes,SureThingLabel,MoneyYesNo,1)</f>
        <v>0</v>
      </c>
      <c r="BI42" s="1">
        <f>SUM(BD42:BH42)</f>
        <v>0</v>
      </c>
      <c r="BJ42" s="1">
        <f>SUMIFS(RGRcount,Students,E42,MoneyYesNo,1,Odds,"&gt;=20")</f>
        <v>0</v>
      </c>
      <c r="BK42" s="1">
        <f>SUMIFS(MGRcount,Students,E42,MoneyYesNo,1,Odds,"&gt;=20")-BJ42</f>
        <v>0</v>
      </c>
      <c r="BL42" s="1">
        <f>SUMIFS(RGRcount,Students,E42,MoneyYesNo,1,Odds,"&gt;=10")</f>
        <v>0</v>
      </c>
      <c r="BM42" s="1">
        <f>SUMIFS(MGRcount,Students,E42,MoneyYesNo,1,Odds,"&gt;=10")-BL42</f>
        <v>0</v>
      </c>
      <c r="BN42" s="1">
        <f>COUNTIFS(Students,E42,ILPublic,1)</f>
        <v>0</v>
      </c>
      <c r="BO42" s="1">
        <f>COUNTIFS(Students,E42,ILPublic,1, Classes,MatchLabel)+COUNTIFS(Students,E42,ILPublic,1, Classes,SafetyLabel)+COUNTIFS(Students,E42,ILPublic,1, Classes,SecureLabel)</f>
        <v>0</v>
      </c>
      <c r="BP42" s="1">
        <f>COUNTIFS(Students,E42,ILPublic,1, Classes,SecureLabel)</f>
        <v>0</v>
      </c>
      <c r="BQ42" s="1">
        <f>COUNTIFS(Students,E42,MoneyChicago,1)</f>
        <v>0</v>
      </c>
      <c r="BR42" s="1">
        <f>COUNTIFS(Students,E42,MatchOrUnder,1)</f>
        <v>0</v>
      </c>
      <c r="BS42" s="1">
        <f>SUMIF(Students,E42,MGRcount)</f>
        <v>0</v>
      </c>
      <c r="BT42" s="1">
        <f>COUNTIFS(Students,E42,BadMoney,1)</f>
        <v>0</v>
      </c>
      <c r="BU42" s="1">
        <f>COUNTIFS(Students,E42,GoldenThree,1)</f>
        <v>0</v>
      </c>
    </row>
    <row r="43" spans="1:73">
      <c r="A43" s="18" t="s">
        <v>86</v>
      </c>
      <c r="B43" s="19">
        <v>0</v>
      </c>
      <c r="C43" s="18" t="s">
        <v>87</v>
      </c>
      <c r="D43" s="18" t="s">
        <v>226</v>
      </c>
      <c r="E43" s="19">
        <v>23476024</v>
      </c>
      <c r="F43" s="19" t="s">
        <v>227</v>
      </c>
      <c r="G43" s="10" t="s">
        <v>228</v>
      </c>
      <c r="H43" s="46">
        <v>3.0312</v>
      </c>
      <c r="I43" s="1">
        <v>20</v>
      </c>
      <c r="J43" s="1">
        <v>1280</v>
      </c>
      <c r="K43" s="1">
        <f>IF(ISNUMBER(J43),VLOOKUP(J43,SATtoACT,2,FALSE),"TBD")</f>
        <v>0</v>
      </c>
      <c r="L43" s="1">
        <f>IF(ISNUMBER(I43),IF(ISNUMBER(K43),MAX(I43,K43),I43),IF(ISNUMBER(K43),K43,"TBD"))</f>
        <v>0</v>
      </c>
      <c r="M43" s="1" t="s">
        <v>91</v>
      </c>
      <c r="N43" s="1">
        <f>IF(AND(H43&lt;&gt;0,L43&lt;&gt;0),IF(ISNUMBER(VLOOKUP(TEXT(MAX(FLOOR(H43*10,1)/10,1.5),"0.0")&amp;":"&amp;MAX(L43,12),StrategyLookup,4,FALSE)),VLOOKUP(TEXT(MAX(FLOOR(H43*10,1)/10,1.5),"0.0")&amp;":"&amp;MAX(L43,12),StrategyLookup,4,FALSE),"TBD"),"TBD")</f>
        <v>0</v>
      </c>
      <c r="O43" s="11">
        <f>IF(ISNUMBER(N43),VLOOKUP(IF(OR(N43=5,N43=6),N43&amp;IF(H43&gt;=3,"+","&lt;"),N43&amp;""),TargetLookup,IF(B43=-1,6,IF(OR(M43="W",M43="A"),4,2)),FALSE),"TBD")</f>
        <v>0</v>
      </c>
      <c r="P43" s="11">
        <f>IF(ISNUMBER(N43),VLOOKUP(IF(OR(N43=5,N43=6),N43&amp;IF(H43&gt;=3,"+","&lt;"),N43&amp;""),TargetLookup,IF(B43=-1,7,IF(OR(M43="W",M43="A"),5,3)),FALSE),"TBD")</f>
        <v>0</v>
      </c>
      <c r="Q43" s="18" t="s">
        <v>120</v>
      </c>
      <c r="R43" s="19" t="s">
        <v>121</v>
      </c>
      <c r="S43" s="19" t="s">
        <v>94</v>
      </c>
      <c r="T43" s="19">
        <f>Q43&amp;S43&amp;D43</f>
        <v>0</v>
      </c>
      <c r="U43" s="11">
        <f t="array" ref="U43">1-PRODUCT(IF(Students=E43,MGRMoneyMult,1))</f>
        <v>0</v>
      </c>
      <c r="V43" s="12">
        <f t="array" ref="V43">1-PRODUCT(IF(Students=E43,RGRMoneyMult,1))</f>
        <v>0</v>
      </c>
      <c r="W43" s="13">
        <f>COUNTIFS(Students,E43,Results,"Accepted!")+COUNTIFS(Students,E43,Results,"CHOICE!")</f>
        <v>0</v>
      </c>
      <c r="X43" s="1">
        <f>COUNTIFS(Students,E43,Results,"Deferred")+COUNTIFS(Students,E43,Results,"Waitlist")</f>
        <v>0</v>
      </c>
      <c r="Y43" s="13">
        <f>COUNTIFS(Students,E43,Results,"Denied")</f>
        <v>0</v>
      </c>
      <c r="Z43" s="13">
        <f>W43+X43+Y43+COUNTIFS(Students,E43,Results,"Submitted")</f>
        <v>0</v>
      </c>
      <c r="AA43" s="12">
        <v>0.7661875893759197</v>
      </c>
      <c r="AB43" s="12">
        <v>0.6896773599986975</v>
      </c>
      <c r="AC43" s="12">
        <v>0.596302321549938</v>
      </c>
      <c r="AD43" s="12">
        <v>0.5711432740701033</v>
      </c>
      <c r="AE43" s="13">
        <f>COUNTIFS(Students,E43,Results,"CHOICE!")</f>
        <v>0</v>
      </c>
      <c r="AF43" s="1">
        <f>COUNTIFS(MoneyYesNo,1,RGRcount,1,Students,E43,Results,"Accepted!")</f>
        <v>0</v>
      </c>
      <c r="AG43" s="1">
        <f>COUNTIFS(MoneyYesNo,1,MGRcount,1,Students,E43,Results,"Accepted!")-AF43</f>
        <v>0</v>
      </c>
      <c r="AH43" s="1">
        <f>COUNTIFS(MoneyYesNo,1,Students,E43,Results,"Accepted!")-AF43-AG43</f>
        <v>0</v>
      </c>
      <c r="AI43" s="13">
        <f>COUNTIFS(Students,E43,Results,"Accepted!")-AF43-AG43-AH43</f>
        <v>0</v>
      </c>
      <c r="AJ43" s="1">
        <f>SUMIFS(RGRcount,Students,E43,MoneyYesNo,1)</f>
        <v>0</v>
      </c>
      <c r="AK43" s="1">
        <f>SUMIFS(MGRcount,Students,E43,MoneyYesNo,1)-AJ43</f>
        <v>0</v>
      </c>
      <c r="AL43" s="1">
        <f>SUMIF(Students,E43,MoneyYesNo)-AJ43-AK43</f>
        <v>0</v>
      </c>
      <c r="AM43" s="13">
        <f>SUM(AJ43,AK43,AL43)</f>
        <v>0</v>
      </c>
      <c r="AN43" s="1">
        <f>SUMIF(Students,E43,RGRcount)</f>
        <v>0</v>
      </c>
      <c r="AO43" s="1">
        <f>SUMIF(Students,E43,MGRcount)-AN43</f>
        <v>0</v>
      </c>
      <c r="AP43" s="1">
        <f>COUNTIF(Students,E43)-AN43-AO43</f>
        <v>0</v>
      </c>
      <c r="AQ43" s="1">
        <f>SUMIF(Students,E43,FarBelowTGRCount)</f>
        <v>0</v>
      </c>
      <c r="AR43" s="47">
        <f>COUNTIF(Students,E43)</f>
        <v>0</v>
      </c>
      <c r="AS43" s="11">
        <f>IF(AR43&gt;0,Z43/AR43,0)</f>
        <v>0</v>
      </c>
      <c r="AT43" s="11">
        <f t="array" ref="AT43">1-PRODUCT(IF(Students=E43,MGRMult,1))</f>
        <v>0</v>
      </c>
      <c r="AU43" s="12">
        <f t="array" ref="AU43">1-PRODUCT(IF(Students=E43,RGRMult,1))</f>
        <v>0</v>
      </c>
      <c r="AV43" s="1">
        <f>COUNTIFS(Students,E43,Classes,HailMaryLabel)</f>
        <v>0</v>
      </c>
      <c r="AW43" s="1">
        <f>COUNTIFS(Students,E43,Classes,LongshotLabel)</f>
        <v>0</v>
      </c>
      <c r="AX43" s="1">
        <f>COUNTIFS(Students,E43,Classes,ReachLabel)</f>
        <v>0</v>
      </c>
      <c r="AY43" s="1">
        <f>COUNTIFS(Students,E43,Classes,MatchLabel)</f>
        <v>0</v>
      </c>
      <c r="AZ43" s="1">
        <f>COUNTIFS(Students,E43,Classes,SafetyLabel)</f>
        <v>0</v>
      </c>
      <c r="BA43" s="1">
        <f>COUNTIFS(Students,E43,Classes,SecureLabel)</f>
        <v>0</v>
      </c>
      <c r="BB43" s="1">
        <f>COUNTIFS(Students,E43,Classes,SureThingLabel)</f>
        <v>0</v>
      </c>
      <c r="BC43" s="13">
        <f>COUNTIFS(Students,E43,Classes,"Other")</f>
        <v>0</v>
      </c>
      <c r="BD43" s="1">
        <f>COUNTIFS(Students,E43,Classes,ReachLabel,MoneyYesNo,1)</f>
        <v>0</v>
      </c>
      <c r="BE43" s="1">
        <f>COUNTIFS(Students,E43,Classes,MatchLabel,MoneyYesNo,1)</f>
        <v>0</v>
      </c>
      <c r="BF43" s="1">
        <f>COUNTIFS(Students,E43,Classes,SafetyLabel,MoneyYesNo,1)</f>
        <v>0</v>
      </c>
      <c r="BG43" s="1">
        <f>COUNTIFS(Students,E43,Classes,SecureLabel,MoneyYesNo,1)</f>
        <v>0</v>
      </c>
      <c r="BH43" s="1">
        <f>COUNTIFS(Students,E43,Classes,SureThingLabel,MoneyYesNo,1)</f>
        <v>0</v>
      </c>
      <c r="BI43" s="1">
        <f>SUM(BD43:BH43)</f>
        <v>0</v>
      </c>
      <c r="BJ43" s="1">
        <f>SUMIFS(RGRcount,Students,E43,MoneyYesNo,1,Odds,"&gt;=20")</f>
        <v>0</v>
      </c>
      <c r="BK43" s="1">
        <f>SUMIFS(MGRcount,Students,E43,MoneyYesNo,1,Odds,"&gt;=20")-BJ43</f>
        <v>0</v>
      </c>
      <c r="BL43" s="1">
        <f>SUMIFS(RGRcount,Students,E43,MoneyYesNo,1,Odds,"&gt;=10")</f>
        <v>0</v>
      </c>
      <c r="BM43" s="1">
        <f>SUMIFS(MGRcount,Students,E43,MoneyYesNo,1,Odds,"&gt;=10")-BL43</f>
        <v>0</v>
      </c>
      <c r="BN43" s="1">
        <f>COUNTIFS(Students,E43,ILPublic,1)</f>
        <v>0</v>
      </c>
      <c r="BO43" s="1">
        <f>COUNTIFS(Students,E43,ILPublic,1, Classes,MatchLabel)+COUNTIFS(Students,E43,ILPublic,1, Classes,SafetyLabel)+COUNTIFS(Students,E43,ILPublic,1, Classes,SecureLabel)</f>
        <v>0</v>
      </c>
      <c r="BP43" s="1">
        <f>COUNTIFS(Students,E43,ILPublic,1, Classes,SecureLabel)</f>
        <v>0</v>
      </c>
      <c r="BQ43" s="1">
        <f>COUNTIFS(Students,E43,MoneyChicago,1)</f>
        <v>0</v>
      </c>
      <c r="BR43" s="1">
        <f>COUNTIFS(Students,E43,MatchOrUnder,1)</f>
        <v>0</v>
      </c>
      <c r="BS43" s="1">
        <f>SUMIF(Students,E43,MGRcount)</f>
        <v>0</v>
      </c>
      <c r="BT43" s="1">
        <f>COUNTIFS(Students,E43,BadMoney,1)</f>
        <v>0</v>
      </c>
      <c r="BU43" s="1">
        <f>COUNTIFS(Students,E43,GoldenThree,1)</f>
        <v>0</v>
      </c>
    </row>
    <row r="44" spans="1:73">
      <c r="A44" s="18" t="s">
        <v>86</v>
      </c>
      <c r="B44" s="19">
        <v>0</v>
      </c>
      <c r="C44" s="18" t="s">
        <v>87</v>
      </c>
      <c r="D44" s="18" t="s">
        <v>229</v>
      </c>
      <c r="E44" s="19">
        <v>22853391</v>
      </c>
      <c r="F44" s="19" t="s">
        <v>230</v>
      </c>
      <c r="G44" s="10" t="s">
        <v>231</v>
      </c>
      <c r="H44" s="46">
        <v>3.0346</v>
      </c>
      <c r="I44" s="1">
        <v>17</v>
      </c>
      <c r="J44" s="1">
        <v>980</v>
      </c>
      <c r="K44" s="1">
        <f>IF(ISNUMBER(J44),VLOOKUP(J44,SATtoACT,2,FALSE),"TBD")</f>
        <v>0</v>
      </c>
      <c r="L44" s="1">
        <f>IF(ISNUMBER(I44),IF(ISNUMBER(K44),MAX(I44,K44),I44),IF(ISNUMBER(K44),K44,"TBD"))</f>
        <v>0</v>
      </c>
      <c r="M44" s="1" t="s">
        <v>91</v>
      </c>
      <c r="N44" s="1">
        <f>IF(AND(H44&lt;&gt;0,L44&lt;&gt;0),IF(ISNUMBER(VLOOKUP(TEXT(MAX(FLOOR(H44*10,1)/10,1.5),"0.0")&amp;":"&amp;MAX(L44,12),StrategyLookup,4,FALSE)),VLOOKUP(TEXT(MAX(FLOOR(H44*10,1)/10,1.5),"0.0")&amp;":"&amp;MAX(L44,12),StrategyLookup,4,FALSE),"TBD"),"TBD")</f>
        <v>0</v>
      </c>
      <c r="O44" s="11">
        <f>IF(ISNUMBER(N44),VLOOKUP(IF(OR(N44=5,N44=6),N44&amp;IF(H44&gt;=3,"+","&lt;"),N44&amp;""),TargetLookup,IF(B44=-1,6,IF(OR(M44="W",M44="A"),4,2)),FALSE),"TBD")</f>
        <v>0</v>
      </c>
      <c r="P44" s="11">
        <f>IF(ISNUMBER(N44),VLOOKUP(IF(OR(N44=5,N44=6),N44&amp;IF(H44&gt;=3,"+","&lt;"),N44&amp;""),TargetLookup,IF(B44=-1,7,IF(OR(M44="W",M44="A"),5,3)),FALSE),"TBD")</f>
        <v>0</v>
      </c>
      <c r="Q44" s="18" t="s">
        <v>103</v>
      </c>
      <c r="R44" s="19" t="s">
        <v>99</v>
      </c>
      <c r="S44" s="19" t="s">
        <v>94</v>
      </c>
      <c r="T44" s="19">
        <f>Q44&amp;S44&amp;D44</f>
        <v>0</v>
      </c>
      <c r="U44" s="11">
        <f t="array" ref="U44">1-PRODUCT(IF(Students=E44,MGRMoneyMult,1))</f>
        <v>0</v>
      </c>
      <c r="V44" s="12">
        <f t="array" ref="V44">1-PRODUCT(IF(Students=E44,RGRMoneyMult,1))</f>
        <v>0</v>
      </c>
      <c r="W44" s="13">
        <f>COUNTIFS(Students,E44,Results,"Accepted!")+COUNTIFS(Students,E44,Results,"CHOICE!")</f>
        <v>0</v>
      </c>
      <c r="X44" s="1">
        <f>COUNTIFS(Students,E44,Results,"Deferred")+COUNTIFS(Students,E44,Results,"Waitlist")</f>
        <v>0</v>
      </c>
      <c r="Y44" s="13">
        <f>COUNTIFS(Students,E44,Results,"Denied")</f>
        <v>0</v>
      </c>
      <c r="Z44" s="13">
        <f>W44+X44+Y44+COUNTIFS(Students,E44,Results,"Submitted")</f>
        <v>0</v>
      </c>
      <c r="AA44" s="12">
        <v>0.6093839595484668</v>
      </c>
      <c r="AB44" s="12">
        <v>0.5341121450263867</v>
      </c>
      <c r="AC44" s="12">
        <v>0.4893121177553101</v>
      </c>
      <c r="AD44" s="12">
        <v>0.4725216709848703</v>
      </c>
      <c r="AE44" s="13">
        <f>COUNTIFS(Students,E44,Results,"CHOICE!")</f>
        <v>0</v>
      </c>
      <c r="AF44" s="1">
        <f>COUNTIFS(MoneyYesNo,1,RGRcount,1,Students,E44,Results,"Accepted!")</f>
        <v>0</v>
      </c>
      <c r="AG44" s="1">
        <f>COUNTIFS(MoneyYesNo,1,MGRcount,1,Students,E44,Results,"Accepted!")-AF44</f>
        <v>0</v>
      </c>
      <c r="AH44" s="1">
        <f>COUNTIFS(MoneyYesNo,1,Students,E44,Results,"Accepted!")-AF44-AG44</f>
        <v>0</v>
      </c>
      <c r="AI44" s="13">
        <f>COUNTIFS(Students,E44,Results,"Accepted!")-AF44-AG44-AH44</f>
        <v>0</v>
      </c>
      <c r="AJ44" s="1">
        <f>SUMIFS(RGRcount,Students,E44,MoneyYesNo,1)</f>
        <v>0</v>
      </c>
      <c r="AK44" s="1">
        <f>SUMIFS(MGRcount,Students,E44,MoneyYesNo,1)-AJ44</f>
        <v>0</v>
      </c>
      <c r="AL44" s="1">
        <f>SUMIF(Students,E44,MoneyYesNo)-AJ44-AK44</f>
        <v>0</v>
      </c>
      <c r="AM44" s="13">
        <f>SUM(AJ44,AK44,AL44)</f>
        <v>0</v>
      </c>
      <c r="AN44" s="1">
        <f>SUMIF(Students,E44,RGRcount)</f>
        <v>0</v>
      </c>
      <c r="AO44" s="1">
        <f>SUMIF(Students,E44,MGRcount)-AN44</f>
        <v>0</v>
      </c>
      <c r="AP44" s="1">
        <f>COUNTIF(Students,E44)-AN44-AO44</f>
        <v>0</v>
      </c>
      <c r="AQ44" s="1">
        <f>SUMIF(Students,E44,FarBelowTGRCount)</f>
        <v>0</v>
      </c>
      <c r="AR44" s="47">
        <f>COUNTIF(Students,E44)</f>
        <v>0</v>
      </c>
      <c r="AS44" s="11">
        <f>IF(AR44&gt;0,Z44/AR44,0)</f>
        <v>0</v>
      </c>
      <c r="AT44" s="11">
        <f t="array" ref="AT44">1-PRODUCT(IF(Students=E44,MGRMult,1))</f>
        <v>0</v>
      </c>
      <c r="AU44" s="12">
        <f t="array" ref="AU44">1-PRODUCT(IF(Students=E44,RGRMult,1))</f>
        <v>0</v>
      </c>
      <c r="AV44" s="1">
        <f>COUNTIFS(Students,E44,Classes,HailMaryLabel)</f>
        <v>0</v>
      </c>
      <c r="AW44" s="1">
        <f>COUNTIFS(Students,E44,Classes,LongshotLabel)</f>
        <v>0</v>
      </c>
      <c r="AX44" s="1">
        <f>COUNTIFS(Students,E44,Classes,ReachLabel)</f>
        <v>0</v>
      </c>
      <c r="AY44" s="1">
        <f>COUNTIFS(Students,E44,Classes,MatchLabel)</f>
        <v>0</v>
      </c>
      <c r="AZ44" s="1">
        <f>COUNTIFS(Students,E44,Classes,SafetyLabel)</f>
        <v>0</v>
      </c>
      <c r="BA44" s="1">
        <f>COUNTIFS(Students,E44,Classes,SecureLabel)</f>
        <v>0</v>
      </c>
      <c r="BB44" s="1">
        <f>COUNTIFS(Students,E44,Classes,SureThingLabel)</f>
        <v>0</v>
      </c>
      <c r="BC44" s="13">
        <f>COUNTIFS(Students,E44,Classes,"Other")</f>
        <v>0</v>
      </c>
      <c r="BD44" s="1">
        <f>COUNTIFS(Students,E44,Classes,ReachLabel,MoneyYesNo,1)</f>
        <v>0</v>
      </c>
      <c r="BE44" s="1">
        <f>COUNTIFS(Students,E44,Classes,MatchLabel,MoneyYesNo,1)</f>
        <v>0</v>
      </c>
      <c r="BF44" s="1">
        <f>COUNTIFS(Students,E44,Classes,SafetyLabel,MoneyYesNo,1)</f>
        <v>0</v>
      </c>
      <c r="BG44" s="1">
        <f>COUNTIFS(Students,E44,Classes,SecureLabel,MoneyYesNo,1)</f>
        <v>0</v>
      </c>
      <c r="BH44" s="1">
        <f>COUNTIFS(Students,E44,Classes,SureThingLabel,MoneyYesNo,1)</f>
        <v>0</v>
      </c>
      <c r="BI44" s="1">
        <f>SUM(BD44:BH44)</f>
        <v>0</v>
      </c>
      <c r="BJ44" s="1">
        <f>SUMIFS(RGRcount,Students,E44,MoneyYesNo,1,Odds,"&gt;=20")</f>
        <v>0</v>
      </c>
      <c r="BK44" s="1">
        <f>SUMIFS(MGRcount,Students,E44,MoneyYesNo,1,Odds,"&gt;=20")-BJ44</f>
        <v>0</v>
      </c>
      <c r="BL44" s="1">
        <f>SUMIFS(RGRcount,Students,E44,MoneyYesNo,1,Odds,"&gt;=10")</f>
        <v>0</v>
      </c>
      <c r="BM44" s="1">
        <f>SUMIFS(MGRcount,Students,E44,MoneyYesNo,1,Odds,"&gt;=10")-BL44</f>
        <v>0</v>
      </c>
      <c r="BN44" s="1">
        <f>COUNTIFS(Students,E44,ILPublic,1)</f>
        <v>0</v>
      </c>
      <c r="BO44" s="1">
        <f>COUNTIFS(Students,E44,ILPublic,1, Classes,MatchLabel)+COUNTIFS(Students,E44,ILPublic,1, Classes,SafetyLabel)+COUNTIFS(Students,E44,ILPublic,1, Classes,SecureLabel)</f>
        <v>0</v>
      </c>
      <c r="BP44" s="1">
        <f>COUNTIFS(Students,E44,ILPublic,1, Classes,SecureLabel)</f>
        <v>0</v>
      </c>
      <c r="BQ44" s="1">
        <f>COUNTIFS(Students,E44,MoneyChicago,1)</f>
        <v>0</v>
      </c>
      <c r="BR44" s="1">
        <f>COUNTIFS(Students,E44,MatchOrUnder,1)</f>
        <v>0</v>
      </c>
      <c r="BS44" s="1">
        <f>SUMIF(Students,E44,MGRcount)</f>
        <v>0</v>
      </c>
      <c r="BT44" s="1">
        <f>COUNTIFS(Students,E44,BadMoney,1)</f>
        <v>0</v>
      </c>
      <c r="BU44" s="1">
        <f>COUNTIFS(Students,E44,GoldenThree,1)</f>
        <v>0</v>
      </c>
    </row>
    <row r="45" spans="1:73">
      <c r="A45" s="18" t="s">
        <v>86</v>
      </c>
      <c r="B45" s="19">
        <v>0</v>
      </c>
      <c r="C45" s="18" t="s">
        <v>138</v>
      </c>
      <c r="D45" s="18" t="s">
        <v>232</v>
      </c>
      <c r="E45" s="19">
        <v>23478035</v>
      </c>
      <c r="F45" s="19" t="s">
        <v>233</v>
      </c>
      <c r="G45" s="10" t="s">
        <v>234</v>
      </c>
      <c r="H45" s="46">
        <v>2.7135</v>
      </c>
      <c r="I45" s="1">
        <v>17</v>
      </c>
      <c r="J45" s="1">
        <v>1060</v>
      </c>
      <c r="K45" s="1">
        <f>IF(ISNUMBER(J45),VLOOKUP(J45,SATtoACT,2,FALSE),"TBD")</f>
        <v>0</v>
      </c>
      <c r="L45" s="1">
        <f>IF(ISNUMBER(I45),IF(ISNUMBER(K45),MAX(I45,K45),I45),IF(ISNUMBER(K45),K45,"TBD"))</f>
        <v>0</v>
      </c>
      <c r="M45" s="1" t="s">
        <v>115</v>
      </c>
      <c r="N45" s="1">
        <f>IF(AND(H45&lt;&gt;0,L45&lt;&gt;0),IF(ISNUMBER(VLOOKUP(TEXT(MAX(FLOOR(H45*10,1)/10,1.5),"0.0")&amp;":"&amp;MAX(L45,12),StrategyLookup,4,FALSE)),VLOOKUP(TEXT(MAX(FLOOR(H45*10,1)/10,1.5),"0.0")&amp;":"&amp;MAX(L45,12),StrategyLookup,4,FALSE),"TBD"),"TBD")</f>
        <v>0</v>
      </c>
      <c r="O45" s="11">
        <f>IF(ISNUMBER(N45),VLOOKUP(IF(OR(N45=5,N45=6),N45&amp;IF(H45&gt;=3,"+","&lt;"),N45&amp;""),TargetLookup,IF(B45=-1,6,IF(OR(M45="W",M45="A"),4,2)),FALSE),"TBD")</f>
        <v>0</v>
      </c>
      <c r="P45" s="11">
        <f>IF(ISNUMBER(N45),VLOOKUP(IF(OR(N45=5,N45=6),N45&amp;IF(H45&gt;=3,"+","&lt;"),N45&amp;""),TargetLookup,IF(B45=-1,7,IF(OR(M45="W",M45="A"),5,3)),FALSE),"TBD")</f>
        <v>0</v>
      </c>
      <c r="Q45" s="18" t="s">
        <v>92</v>
      </c>
      <c r="R45" s="19" t="s">
        <v>104</v>
      </c>
      <c r="S45" s="19" t="s">
        <v>94</v>
      </c>
      <c r="T45" s="19">
        <f>Q45&amp;S45&amp;D45</f>
        <v>0</v>
      </c>
      <c r="U45" s="11">
        <f t="array" ref="U45">1-PRODUCT(IF(Students=E45,MGRMoneyMult,1))</f>
        <v>0</v>
      </c>
      <c r="V45" s="12">
        <f t="array" ref="V45">1-PRODUCT(IF(Students=E45,RGRMoneyMult,1))</f>
        <v>0</v>
      </c>
      <c r="W45" s="13">
        <f>COUNTIFS(Students,E45,Results,"Accepted!")+COUNTIFS(Students,E45,Results,"CHOICE!")</f>
        <v>0</v>
      </c>
      <c r="X45" s="1">
        <f>COUNTIFS(Students,E45,Results,"Deferred")+COUNTIFS(Students,E45,Results,"Waitlist")</f>
        <v>0</v>
      </c>
      <c r="Y45" s="13">
        <f>COUNTIFS(Students,E45,Results,"Denied")</f>
        <v>0</v>
      </c>
      <c r="Z45" s="13">
        <f>W45+X45+Y45+COUNTIFS(Students,E45,Results,"Submitted")</f>
        <v>0</v>
      </c>
      <c r="AA45" s="12">
        <v>0.5293056500513733</v>
      </c>
      <c r="AB45" s="12">
        <v>0.5269941560665509</v>
      </c>
      <c r="AC45" s="12">
        <v>0.4469924566664674</v>
      </c>
      <c r="AD45" s="12">
        <v>0.4250629221583162</v>
      </c>
      <c r="AE45" s="13">
        <f>COUNTIFS(Students,E45,Results,"CHOICE!")</f>
        <v>0</v>
      </c>
      <c r="AF45" s="1">
        <f>COUNTIFS(MoneyYesNo,1,RGRcount,1,Students,E45,Results,"Accepted!")</f>
        <v>0</v>
      </c>
      <c r="AG45" s="1">
        <f>COUNTIFS(MoneyYesNo,1,MGRcount,1,Students,E45,Results,"Accepted!")-AF45</f>
        <v>0</v>
      </c>
      <c r="AH45" s="1">
        <f>COUNTIFS(MoneyYesNo,1,Students,E45,Results,"Accepted!")-AF45-AG45</f>
        <v>0</v>
      </c>
      <c r="AI45" s="13">
        <f>COUNTIFS(Students,E45,Results,"Accepted!")-AF45-AG45-AH45</f>
        <v>0</v>
      </c>
      <c r="AJ45" s="1">
        <f>SUMIFS(RGRcount,Students,E45,MoneyYesNo,1)</f>
        <v>0</v>
      </c>
      <c r="AK45" s="1">
        <f>SUMIFS(MGRcount,Students,E45,MoneyYesNo,1)-AJ45</f>
        <v>0</v>
      </c>
      <c r="AL45" s="1">
        <f>SUMIF(Students,E45,MoneyYesNo)-AJ45-AK45</f>
        <v>0</v>
      </c>
      <c r="AM45" s="13">
        <f>SUM(AJ45,AK45,AL45)</f>
        <v>0</v>
      </c>
      <c r="AN45" s="1">
        <f>SUMIF(Students,E45,RGRcount)</f>
        <v>0</v>
      </c>
      <c r="AO45" s="1">
        <f>SUMIF(Students,E45,MGRcount)-AN45</f>
        <v>0</v>
      </c>
      <c r="AP45" s="1">
        <f>COUNTIF(Students,E45)-AN45-AO45</f>
        <v>0</v>
      </c>
      <c r="AQ45" s="1">
        <f>SUMIF(Students,E45,FarBelowTGRCount)</f>
        <v>0</v>
      </c>
      <c r="AR45" s="47">
        <f>COUNTIF(Students,E45)</f>
        <v>0</v>
      </c>
      <c r="AS45" s="11">
        <f>IF(AR45&gt;0,Z45/AR45,0)</f>
        <v>0</v>
      </c>
      <c r="AT45" s="11">
        <f t="array" ref="AT45">1-PRODUCT(IF(Students=E45,MGRMult,1))</f>
        <v>0</v>
      </c>
      <c r="AU45" s="12">
        <f t="array" ref="AU45">1-PRODUCT(IF(Students=E45,RGRMult,1))</f>
        <v>0</v>
      </c>
      <c r="AV45" s="1">
        <f>COUNTIFS(Students,E45,Classes,HailMaryLabel)</f>
        <v>0</v>
      </c>
      <c r="AW45" s="1">
        <f>COUNTIFS(Students,E45,Classes,LongshotLabel)</f>
        <v>0</v>
      </c>
      <c r="AX45" s="1">
        <f>COUNTIFS(Students,E45,Classes,ReachLabel)</f>
        <v>0</v>
      </c>
      <c r="AY45" s="1">
        <f>COUNTIFS(Students,E45,Classes,MatchLabel)</f>
        <v>0</v>
      </c>
      <c r="AZ45" s="1">
        <f>COUNTIFS(Students,E45,Classes,SafetyLabel)</f>
        <v>0</v>
      </c>
      <c r="BA45" s="1">
        <f>COUNTIFS(Students,E45,Classes,SecureLabel)</f>
        <v>0</v>
      </c>
      <c r="BB45" s="1">
        <f>COUNTIFS(Students,E45,Classes,SureThingLabel)</f>
        <v>0</v>
      </c>
      <c r="BC45" s="13">
        <f>COUNTIFS(Students,E45,Classes,"Other")</f>
        <v>0</v>
      </c>
      <c r="BD45" s="1">
        <f>COUNTIFS(Students,E45,Classes,ReachLabel,MoneyYesNo,1)</f>
        <v>0</v>
      </c>
      <c r="BE45" s="1">
        <f>COUNTIFS(Students,E45,Classes,MatchLabel,MoneyYesNo,1)</f>
        <v>0</v>
      </c>
      <c r="BF45" s="1">
        <f>COUNTIFS(Students,E45,Classes,SafetyLabel,MoneyYesNo,1)</f>
        <v>0</v>
      </c>
      <c r="BG45" s="1">
        <f>COUNTIFS(Students,E45,Classes,SecureLabel,MoneyYesNo,1)</f>
        <v>0</v>
      </c>
      <c r="BH45" s="1">
        <f>COUNTIFS(Students,E45,Classes,SureThingLabel,MoneyYesNo,1)</f>
        <v>0</v>
      </c>
      <c r="BI45" s="1">
        <f>SUM(BD45:BH45)</f>
        <v>0</v>
      </c>
      <c r="BJ45" s="1">
        <f>SUMIFS(RGRcount,Students,E45,MoneyYesNo,1,Odds,"&gt;=20")</f>
        <v>0</v>
      </c>
      <c r="BK45" s="1">
        <f>SUMIFS(MGRcount,Students,E45,MoneyYesNo,1,Odds,"&gt;=20")-BJ45</f>
        <v>0</v>
      </c>
      <c r="BL45" s="1">
        <f>SUMIFS(RGRcount,Students,E45,MoneyYesNo,1,Odds,"&gt;=10")</f>
        <v>0</v>
      </c>
      <c r="BM45" s="1">
        <f>SUMIFS(MGRcount,Students,E45,MoneyYesNo,1,Odds,"&gt;=10")-BL45</f>
        <v>0</v>
      </c>
      <c r="BN45" s="1">
        <f>COUNTIFS(Students,E45,ILPublic,1)</f>
        <v>0</v>
      </c>
      <c r="BO45" s="1">
        <f>COUNTIFS(Students,E45,ILPublic,1, Classes,MatchLabel)+COUNTIFS(Students,E45,ILPublic,1, Classes,SafetyLabel)+COUNTIFS(Students,E45,ILPublic,1, Classes,SecureLabel)</f>
        <v>0</v>
      </c>
      <c r="BP45" s="1">
        <f>COUNTIFS(Students,E45,ILPublic,1, Classes,SecureLabel)</f>
        <v>0</v>
      </c>
      <c r="BQ45" s="1">
        <f>COUNTIFS(Students,E45,MoneyChicago,1)</f>
        <v>0</v>
      </c>
      <c r="BR45" s="1">
        <f>COUNTIFS(Students,E45,MatchOrUnder,1)</f>
        <v>0</v>
      </c>
      <c r="BS45" s="1">
        <f>SUMIF(Students,E45,MGRcount)</f>
        <v>0</v>
      </c>
      <c r="BT45" s="1">
        <f>COUNTIFS(Students,E45,BadMoney,1)</f>
        <v>0</v>
      </c>
      <c r="BU45" s="1">
        <f>COUNTIFS(Students,E45,GoldenThree,1)</f>
        <v>0</v>
      </c>
    </row>
    <row r="46" spans="1:73">
      <c r="A46" s="18" t="s">
        <v>86</v>
      </c>
      <c r="B46" s="19">
        <v>0</v>
      </c>
      <c r="C46" s="18" t="s">
        <v>138</v>
      </c>
      <c r="D46" s="18" t="s">
        <v>235</v>
      </c>
      <c r="E46" s="19">
        <v>23477954</v>
      </c>
      <c r="F46" s="19" t="s">
        <v>236</v>
      </c>
      <c r="G46" s="10" t="s">
        <v>237</v>
      </c>
      <c r="H46" s="46">
        <v>2.8404</v>
      </c>
      <c r="I46" s="1">
        <v>18</v>
      </c>
      <c r="J46" s="1">
        <v>1060</v>
      </c>
      <c r="K46" s="1">
        <f>IF(ISNUMBER(J46),VLOOKUP(J46,SATtoACT,2,FALSE),"TBD")</f>
        <v>0</v>
      </c>
      <c r="L46" s="1">
        <f>IF(ISNUMBER(I46),IF(ISNUMBER(K46),MAX(I46,K46),I46),IF(ISNUMBER(K46),K46,"TBD"))</f>
        <v>0</v>
      </c>
      <c r="M46" s="1" t="s">
        <v>115</v>
      </c>
      <c r="N46" s="1">
        <f>IF(AND(H46&lt;&gt;0,L46&lt;&gt;0),IF(ISNUMBER(VLOOKUP(TEXT(MAX(FLOOR(H46*10,1)/10,1.5),"0.0")&amp;":"&amp;MAX(L46,12),StrategyLookup,4,FALSE)),VLOOKUP(TEXT(MAX(FLOOR(H46*10,1)/10,1.5),"0.0")&amp;":"&amp;MAX(L46,12),StrategyLookup,4,FALSE),"TBD"),"TBD")</f>
        <v>0</v>
      </c>
      <c r="O46" s="11">
        <f>IF(ISNUMBER(N46),VLOOKUP(IF(OR(N46=5,N46=6),N46&amp;IF(H46&gt;=3,"+","&lt;"),N46&amp;""),TargetLookup,IF(B46=-1,6,IF(OR(M46="W",M46="A"),4,2)),FALSE),"TBD")</f>
        <v>0</v>
      </c>
      <c r="P46" s="11">
        <f>IF(ISNUMBER(N46),VLOOKUP(IF(OR(N46=5,N46=6),N46&amp;IF(H46&gt;=3,"+","&lt;"),N46&amp;""),TargetLookup,IF(B46=-1,7,IF(OR(M46="W",M46="A"),5,3)),FALSE),"TBD")</f>
        <v>0</v>
      </c>
      <c r="Q46" s="18" t="s">
        <v>92</v>
      </c>
      <c r="R46" s="19" t="s">
        <v>131</v>
      </c>
      <c r="S46" s="19" t="s">
        <v>94</v>
      </c>
      <c r="T46" s="19">
        <f>Q46&amp;S46&amp;D46</f>
        <v>0</v>
      </c>
      <c r="U46" s="11">
        <f t="array" ref="U46">1-PRODUCT(IF(Students=E46,MGRMoneyMult,1))</f>
        <v>0</v>
      </c>
      <c r="V46" s="12">
        <f t="array" ref="V46">1-PRODUCT(IF(Students=E46,RGRMoneyMult,1))</f>
        <v>0</v>
      </c>
      <c r="W46" s="13">
        <f>COUNTIFS(Students,E46,Results,"Accepted!")+COUNTIFS(Students,E46,Results,"CHOICE!")</f>
        <v>0</v>
      </c>
      <c r="X46" s="1">
        <f>COUNTIFS(Students,E46,Results,"Deferred")+COUNTIFS(Students,E46,Results,"Waitlist")</f>
        <v>0</v>
      </c>
      <c r="Y46" s="13">
        <f>COUNTIFS(Students,E46,Results,"Denied")</f>
        <v>0</v>
      </c>
      <c r="Z46" s="13">
        <f>W46+X46+Y46+COUNTIFS(Students,E46,Results,"Submitted")</f>
        <v>0</v>
      </c>
      <c r="AA46" s="12">
        <v>0.5298211687562545</v>
      </c>
      <c r="AB46" s="12">
        <v>0.5284959525336813</v>
      </c>
      <c r="AC46" s="12">
        <v>0.4477934619106672</v>
      </c>
      <c r="AD46" s="12">
        <v>0.4289927663734116</v>
      </c>
      <c r="AE46" s="13">
        <f>COUNTIFS(Students,E46,Results,"CHOICE!")</f>
        <v>0</v>
      </c>
      <c r="AF46" s="1">
        <f>COUNTIFS(MoneyYesNo,1,RGRcount,1,Students,E46,Results,"Accepted!")</f>
        <v>0</v>
      </c>
      <c r="AG46" s="1">
        <f>COUNTIFS(MoneyYesNo,1,MGRcount,1,Students,E46,Results,"Accepted!")-AF46</f>
        <v>0</v>
      </c>
      <c r="AH46" s="1">
        <f>COUNTIFS(MoneyYesNo,1,Students,E46,Results,"Accepted!")-AF46-AG46</f>
        <v>0</v>
      </c>
      <c r="AI46" s="13">
        <f>COUNTIFS(Students,E46,Results,"Accepted!")-AF46-AG46-AH46</f>
        <v>0</v>
      </c>
      <c r="AJ46" s="1">
        <f>SUMIFS(RGRcount,Students,E46,MoneyYesNo,1)</f>
        <v>0</v>
      </c>
      <c r="AK46" s="1">
        <f>SUMIFS(MGRcount,Students,E46,MoneyYesNo,1)-AJ46</f>
        <v>0</v>
      </c>
      <c r="AL46" s="1">
        <f>SUMIF(Students,E46,MoneyYesNo)-AJ46-AK46</f>
        <v>0</v>
      </c>
      <c r="AM46" s="13">
        <f>SUM(AJ46,AK46,AL46)</f>
        <v>0</v>
      </c>
      <c r="AN46" s="1">
        <f>SUMIF(Students,E46,RGRcount)</f>
        <v>0</v>
      </c>
      <c r="AO46" s="1">
        <f>SUMIF(Students,E46,MGRcount)-AN46</f>
        <v>0</v>
      </c>
      <c r="AP46" s="1">
        <f>COUNTIF(Students,E46)-AN46-AO46</f>
        <v>0</v>
      </c>
      <c r="AQ46" s="1">
        <f>SUMIF(Students,E46,FarBelowTGRCount)</f>
        <v>0</v>
      </c>
      <c r="AR46" s="47">
        <f>COUNTIF(Students,E46)</f>
        <v>0</v>
      </c>
      <c r="AS46" s="11">
        <f>IF(AR46&gt;0,Z46/AR46,0)</f>
        <v>0</v>
      </c>
      <c r="AT46" s="11">
        <f t="array" ref="AT46">1-PRODUCT(IF(Students=E46,MGRMult,1))</f>
        <v>0</v>
      </c>
      <c r="AU46" s="12">
        <f t="array" ref="AU46">1-PRODUCT(IF(Students=E46,RGRMult,1))</f>
        <v>0</v>
      </c>
      <c r="AV46" s="1">
        <f>COUNTIFS(Students,E46,Classes,HailMaryLabel)</f>
        <v>0</v>
      </c>
      <c r="AW46" s="1">
        <f>COUNTIFS(Students,E46,Classes,LongshotLabel)</f>
        <v>0</v>
      </c>
      <c r="AX46" s="1">
        <f>COUNTIFS(Students,E46,Classes,ReachLabel)</f>
        <v>0</v>
      </c>
      <c r="AY46" s="1">
        <f>COUNTIFS(Students,E46,Classes,MatchLabel)</f>
        <v>0</v>
      </c>
      <c r="AZ46" s="1">
        <f>COUNTIFS(Students,E46,Classes,SafetyLabel)</f>
        <v>0</v>
      </c>
      <c r="BA46" s="1">
        <f>COUNTIFS(Students,E46,Classes,SecureLabel)</f>
        <v>0</v>
      </c>
      <c r="BB46" s="1">
        <f>COUNTIFS(Students,E46,Classes,SureThingLabel)</f>
        <v>0</v>
      </c>
      <c r="BC46" s="13">
        <f>COUNTIFS(Students,E46,Classes,"Other")</f>
        <v>0</v>
      </c>
      <c r="BD46" s="1">
        <f>COUNTIFS(Students,E46,Classes,ReachLabel,MoneyYesNo,1)</f>
        <v>0</v>
      </c>
      <c r="BE46" s="1">
        <f>COUNTIFS(Students,E46,Classes,MatchLabel,MoneyYesNo,1)</f>
        <v>0</v>
      </c>
      <c r="BF46" s="1">
        <f>COUNTIFS(Students,E46,Classes,SafetyLabel,MoneyYesNo,1)</f>
        <v>0</v>
      </c>
      <c r="BG46" s="1">
        <f>COUNTIFS(Students,E46,Classes,SecureLabel,MoneyYesNo,1)</f>
        <v>0</v>
      </c>
      <c r="BH46" s="1">
        <f>COUNTIFS(Students,E46,Classes,SureThingLabel,MoneyYesNo,1)</f>
        <v>0</v>
      </c>
      <c r="BI46" s="1">
        <f>SUM(BD46:BH46)</f>
        <v>0</v>
      </c>
      <c r="BJ46" s="1">
        <f>SUMIFS(RGRcount,Students,E46,MoneyYesNo,1,Odds,"&gt;=20")</f>
        <v>0</v>
      </c>
      <c r="BK46" s="1">
        <f>SUMIFS(MGRcount,Students,E46,MoneyYesNo,1,Odds,"&gt;=20")-BJ46</f>
        <v>0</v>
      </c>
      <c r="BL46" s="1">
        <f>SUMIFS(RGRcount,Students,E46,MoneyYesNo,1,Odds,"&gt;=10")</f>
        <v>0</v>
      </c>
      <c r="BM46" s="1">
        <f>SUMIFS(MGRcount,Students,E46,MoneyYesNo,1,Odds,"&gt;=10")-BL46</f>
        <v>0</v>
      </c>
      <c r="BN46" s="1">
        <f>COUNTIFS(Students,E46,ILPublic,1)</f>
        <v>0</v>
      </c>
      <c r="BO46" s="1">
        <f>COUNTIFS(Students,E46,ILPublic,1, Classes,MatchLabel)+COUNTIFS(Students,E46,ILPublic,1, Classes,SafetyLabel)+COUNTIFS(Students,E46,ILPublic,1, Classes,SecureLabel)</f>
        <v>0</v>
      </c>
      <c r="BP46" s="1">
        <f>COUNTIFS(Students,E46,ILPublic,1, Classes,SecureLabel)</f>
        <v>0</v>
      </c>
      <c r="BQ46" s="1">
        <f>COUNTIFS(Students,E46,MoneyChicago,1)</f>
        <v>0</v>
      </c>
      <c r="BR46" s="1">
        <f>COUNTIFS(Students,E46,MatchOrUnder,1)</f>
        <v>0</v>
      </c>
      <c r="BS46" s="1">
        <f>SUMIF(Students,E46,MGRcount)</f>
        <v>0</v>
      </c>
      <c r="BT46" s="1">
        <f>COUNTIFS(Students,E46,BadMoney,1)</f>
        <v>0</v>
      </c>
      <c r="BU46" s="1">
        <f>COUNTIFS(Students,E46,GoldenThree,1)</f>
        <v>0</v>
      </c>
    </row>
    <row r="47" spans="1:73">
      <c r="A47" s="18" t="s">
        <v>86</v>
      </c>
      <c r="B47" s="19">
        <v>0</v>
      </c>
      <c r="C47" s="18" t="s">
        <v>87</v>
      </c>
      <c r="D47" s="18" t="s">
        <v>238</v>
      </c>
      <c r="E47" s="19">
        <v>23473460</v>
      </c>
      <c r="F47" s="19" t="s">
        <v>239</v>
      </c>
      <c r="G47" s="10" t="s">
        <v>240</v>
      </c>
      <c r="H47" s="46">
        <v>3.3308</v>
      </c>
      <c r="I47" s="1">
        <v>20</v>
      </c>
      <c r="J47" s="1">
        <v>810</v>
      </c>
      <c r="K47" s="1">
        <f>IF(ISNUMBER(J47),VLOOKUP(J47,SATtoACT,2,FALSE),"TBD")</f>
        <v>0</v>
      </c>
      <c r="L47" s="1">
        <f>IF(ISNUMBER(I47),IF(ISNUMBER(K47),MAX(I47,K47),I47),IF(ISNUMBER(K47),K47,"TBD"))</f>
        <v>0</v>
      </c>
      <c r="M47" s="1" t="s">
        <v>91</v>
      </c>
      <c r="N47" s="1">
        <f>IF(AND(H47&lt;&gt;0,L47&lt;&gt;0),IF(ISNUMBER(VLOOKUP(TEXT(MAX(FLOOR(H47*10,1)/10,1.5),"0.0")&amp;":"&amp;MAX(L47,12),StrategyLookup,4,FALSE)),VLOOKUP(TEXT(MAX(FLOOR(H47*10,1)/10,1.5),"0.0")&amp;":"&amp;MAX(L47,12),StrategyLookup,4,FALSE),"TBD"),"TBD")</f>
        <v>0</v>
      </c>
      <c r="O47" s="11">
        <f>IF(ISNUMBER(N47),VLOOKUP(IF(OR(N47=5,N47=6),N47&amp;IF(H47&gt;=3,"+","&lt;"),N47&amp;""),TargetLookup,IF(B47=-1,6,IF(OR(M47="W",M47="A"),4,2)),FALSE),"TBD")</f>
        <v>0</v>
      </c>
      <c r="P47" s="11">
        <f>IF(ISNUMBER(N47),VLOOKUP(IF(OR(N47=5,N47=6),N47&amp;IF(H47&gt;=3,"+","&lt;"),N47&amp;""),TargetLookup,IF(B47=-1,7,IF(OR(M47="W",M47="A"),5,3)),FALSE),"TBD")</f>
        <v>0</v>
      </c>
      <c r="Q47" s="18" t="s">
        <v>92</v>
      </c>
      <c r="R47" s="19" t="s">
        <v>111</v>
      </c>
      <c r="S47" s="19" t="s">
        <v>94</v>
      </c>
      <c r="T47" s="19">
        <f>Q47&amp;S47&amp;D47</f>
        <v>0</v>
      </c>
      <c r="U47" s="11">
        <f t="array" ref="U47">1-PRODUCT(IF(Students=E47,MGRMoneyMult,1))</f>
        <v>0</v>
      </c>
      <c r="V47" s="12">
        <f t="array" ref="V47">1-PRODUCT(IF(Students=E47,RGRMoneyMult,1))</f>
        <v>0</v>
      </c>
      <c r="W47" s="13">
        <f>COUNTIFS(Students,E47,Results,"Accepted!")+COUNTIFS(Students,E47,Results,"CHOICE!")</f>
        <v>0</v>
      </c>
      <c r="X47" s="1">
        <f>COUNTIFS(Students,E47,Results,"Deferred")+COUNTIFS(Students,E47,Results,"Waitlist")</f>
        <v>0</v>
      </c>
      <c r="Y47" s="13">
        <f>COUNTIFS(Students,E47,Results,"Denied")</f>
        <v>0</v>
      </c>
      <c r="Z47" s="13">
        <f>W47+X47+Y47+COUNTIFS(Students,E47,Results,"Submitted")</f>
        <v>0</v>
      </c>
      <c r="AA47" s="12">
        <v>0.752963863154217</v>
      </c>
      <c r="AB47" s="12">
        <v>0.6997478892957402</v>
      </c>
      <c r="AC47" s="12">
        <v>0.6130166904123318</v>
      </c>
      <c r="AD47" s="12">
        <v>0.5830514093307414</v>
      </c>
      <c r="AE47" s="13">
        <f>COUNTIFS(Students,E47,Results,"CHOICE!")</f>
        <v>0</v>
      </c>
      <c r="AF47" s="1">
        <f>COUNTIFS(MoneyYesNo,1,RGRcount,1,Students,E47,Results,"Accepted!")</f>
        <v>0</v>
      </c>
      <c r="AG47" s="1">
        <f>COUNTIFS(MoneyYesNo,1,MGRcount,1,Students,E47,Results,"Accepted!")-AF47</f>
        <v>0</v>
      </c>
      <c r="AH47" s="1">
        <f>COUNTIFS(MoneyYesNo,1,Students,E47,Results,"Accepted!")-AF47-AG47</f>
        <v>0</v>
      </c>
      <c r="AI47" s="13">
        <f>COUNTIFS(Students,E47,Results,"Accepted!")-AF47-AG47-AH47</f>
        <v>0</v>
      </c>
      <c r="AJ47" s="1">
        <f>SUMIFS(RGRcount,Students,E47,MoneyYesNo,1)</f>
        <v>0</v>
      </c>
      <c r="AK47" s="1">
        <f>SUMIFS(MGRcount,Students,E47,MoneyYesNo,1)-AJ47</f>
        <v>0</v>
      </c>
      <c r="AL47" s="1">
        <f>SUMIF(Students,E47,MoneyYesNo)-AJ47-AK47</f>
        <v>0</v>
      </c>
      <c r="AM47" s="13">
        <f>SUM(AJ47,AK47,AL47)</f>
        <v>0</v>
      </c>
      <c r="AN47" s="1">
        <f>SUMIF(Students,E47,RGRcount)</f>
        <v>0</v>
      </c>
      <c r="AO47" s="1">
        <f>SUMIF(Students,E47,MGRcount)-AN47</f>
        <v>0</v>
      </c>
      <c r="AP47" s="1">
        <f>COUNTIF(Students,E47)-AN47-AO47</f>
        <v>0</v>
      </c>
      <c r="AQ47" s="1">
        <f>SUMIF(Students,E47,FarBelowTGRCount)</f>
        <v>0</v>
      </c>
      <c r="AR47" s="47">
        <f>COUNTIF(Students,E47)</f>
        <v>0</v>
      </c>
      <c r="AS47" s="11">
        <f>IF(AR47&gt;0,Z47/AR47,0)</f>
        <v>0</v>
      </c>
      <c r="AT47" s="11">
        <f t="array" ref="AT47">1-PRODUCT(IF(Students=E47,MGRMult,1))</f>
        <v>0</v>
      </c>
      <c r="AU47" s="12">
        <f t="array" ref="AU47">1-PRODUCT(IF(Students=E47,RGRMult,1))</f>
        <v>0</v>
      </c>
      <c r="AV47" s="1">
        <f>COUNTIFS(Students,E47,Classes,HailMaryLabel)</f>
        <v>0</v>
      </c>
      <c r="AW47" s="1">
        <f>COUNTIFS(Students,E47,Classes,LongshotLabel)</f>
        <v>0</v>
      </c>
      <c r="AX47" s="1">
        <f>COUNTIFS(Students,E47,Classes,ReachLabel)</f>
        <v>0</v>
      </c>
      <c r="AY47" s="1">
        <f>COUNTIFS(Students,E47,Classes,MatchLabel)</f>
        <v>0</v>
      </c>
      <c r="AZ47" s="1">
        <f>COUNTIFS(Students,E47,Classes,SafetyLabel)</f>
        <v>0</v>
      </c>
      <c r="BA47" s="1">
        <f>COUNTIFS(Students,E47,Classes,SecureLabel)</f>
        <v>0</v>
      </c>
      <c r="BB47" s="1">
        <f>COUNTIFS(Students,E47,Classes,SureThingLabel)</f>
        <v>0</v>
      </c>
      <c r="BC47" s="13">
        <f>COUNTIFS(Students,E47,Classes,"Other")</f>
        <v>0</v>
      </c>
      <c r="BD47" s="1">
        <f>COUNTIFS(Students,E47,Classes,ReachLabel,MoneyYesNo,1)</f>
        <v>0</v>
      </c>
      <c r="BE47" s="1">
        <f>COUNTIFS(Students,E47,Classes,MatchLabel,MoneyYesNo,1)</f>
        <v>0</v>
      </c>
      <c r="BF47" s="1">
        <f>COUNTIFS(Students,E47,Classes,SafetyLabel,MoneyYesNo,1)</f>
        <v>0</v>
      </c>
      <c r="BG47" s="1">
        <f>COUNTIFS(Students,E47,Classes,SecureLabel,MoneyYesNo,1)</f>
        <v>0</v>
      </c>
      <c r="BH47" s="1">
        <f>COUNTIFS(Students,E47,Classes,SureThingLabel,MoneyYesNo,1)</f>
        <v>0</v>
      </c>
      <c r="BI47" s="1">
        <f>SUM(BD47:BH47)</f>
        <v>0</v>
      </c>
      <c r="BJ47" s="1">
        <f>SUMIFS(RGRcount,Students,E47,MoneyYesNo,1,Odds,"&gt;=20")</f>
        <v>0</v>
      </c>
      <c r="BK47" s="1">
        <f>SUMIFS(MGRcount,Students,E47,MoneyYesNo,1,Odds,"&gt;=20")-BJ47</f>
        <v>0</v>
      </c>
      <c r="BL47" s="1">
        <f>SUMIFS(RGRcount,Students,E47,MoneyYesNo,1,Odds,"&gt;=10")</f>
        <v>0</v>
      </c>
      <c r="BM47" s="1">
        <f>SUMIFS(MGRcount,Students,E47,MoneyYesNo,1,Odds,"&gt;=10")-BL47</f>
        <v>0</v>
      </c>
      <c r="BN47" s="1">
        <f>COUNTIFS(Students,E47,ILPublic,1)</f>
        <v>0</v>
      </c>
      <c r="BO47" s="1">
        <f>COUNTIFS(Students,E47,ILPublic,1, Classes,MatchLabel)+COUNTIFS(Students,E47,ILPublic,1, Classes,SafetyLabel)+COUNTIFS(Students,E47,ILPublic,1, Classes,SecureLabel)</f>
        <v>0</v>
      </c>
      <c r="BP47" s="1">
        <f>COUNTIFS(Students,E47,ILPublic,1, Classes,SecureLabel)</f>
        <v>0</v>
      </c>
      <c r="BQ47" s="1">
        <f>COUNTIFS(Students,E47,MoneyChicago,1)</f>
        <v>0</v>
      </c>
      <c r="BR47" s="1">
        <f>COUNTIFS(Students,E47,MatchOrUnder,1)</f>
        <v>0</v>
      </c>
      <c r="BS47" s="1">
        <f>SUMIF(Students,E47,MGRcount)</f>
        <v>0</v>
      </c>
      <c r="BT47" s="1">
        <f>COUNTIFS(Students,E47,BadMoney,1)</f>
        <v>0</v>
      </c>
      <c r="BU47" s="1">
        <f>COUNTIFS(Students,E47,GoldenThree,1)</f>
        <v>0</v>
      </c>
    </row>
    <row r="48" spans="1:73">
      <c r="A48" s="18" t="s">
        <v>86</v>
      </c>
      <c r="B48" s="19">
        <v>0</v>
      </c>
      <c r="C48" s="18" t="s">
        <v>87</v>
      </c>
      <c r="D48" s="18" t="s">
        <v>241</v>
      </c>
      <c r="E48" s="19">
        <v>23383224</v>
      </c>
      <c r="F48" s="19" t="s">
        <v>242</v>
      </c>
      <c r="G48" s="10" t="s">
        <v>243</v>
      </c>
      <c r="H48" s="46">
        <v>3.4462</v>
      </c>
      <c r="I48" s="1">
        <v>20</v>
      </c>
      <c r="J48" s="1">
        <v>1050</v>
      </c>
      <c r="K48" s="1">
        <f>IF(ISNUMBER(J48),VLOOKUP(J48,SATtoACT,2,FALSE),"TBD")</f>
        <v>0</v>
      </c>
      <c r="L48" s="1">
        <f>IF(ISNUMBER(I48),IF(ISNUMBER(K48),MAX(I48,K48),I48),IF(ISNUMBER(K48),K48,"TBD"))</f>
        <v>0</v>
      </c>
      <c r="M48" s="1" t="s">
        <v>91</v>
      </c>
      <c r="N48" s="1">
        <f>IF(AND(H48&lt;&gt;0,L48&lt;&gt;0),IF(ISNUMBER(VLOOKUP(TEXT(MAX(FLOOR(H48*10,1)/10,1.5),"0.0")&amp;":"&amp;MAX(L48,12),StrategyLookup,4,FALSE)),VLOOKUP(TEXT(MAX(FLOOR(H48*10,1)/10,1.5),"0.0")&amp;":"&amp;MAX(L48,12),StrategyLookup,4,FALSE),"TBD"),"TBD")</f>
        <v>0</v>
      </c>
      <c r="O48" s="11">
        <f>IF(ISNUMBER(N48),VLOOKUP(IF(OR(N48=5,N48=6),N48&amp;IF(H48&gt;=3,"+","&lt;"),N48&amp;""),TargetLookup,IF(B48=-1,6,IF(OR(M48="W",M48="A"),4,2)),FALSE),"TBD")</f>
        <v>0</v>
      </c>
      <c r="P48" s="11">
        <f>IF(ISNUMBER(N48),VLOOKUP(IF(OR(N48=5,N48=6),N48&amp;IF(H48&gt;=3,"+","&lt;"),N48&amp;""),TargetLookup,IF(B48=-1,7,IF(OR(M48="W",M48="A"),5,3)),FALSE),"TBD")</f>
        <v>0</v>
      </c>
      <c r="Q48" s="18" t="s">
        <v>120</v>
      </c>
      <c r="R48" s="19" t="s">
        <v>99</v>
      </c>
      <c r="S48" s="19" t="s">
        <v>94</v>
      </c>
      <c r="T48" s="19">
        <f>Q48&amp;S48&amp;D48</f>
        <v>0</v>
      </c>
      <c r="U48" s="11">
        <f t="array" ref="U48">1-PRODUCT(IF(Students=E48,MGRMoneyMult,1))</f>
        <v>0</v>
      </c>
      <c r="V48" s="12">
        <f t="array" ref="V48">1-PRODUCT(IF(Students=E48,RGRMoneyMult,1))</f>
        <v>0</v>
      </c>
      <c r="W48" s="13">
        <f>COUNTIFS(Students,E48,Results,"Accepted!")+COUNTIFS(Students,E48,Results,"CHOICE!")</f>
        <v>0</v>
      </c>
      <c r="X48" s="1">
        <f>COUNTIFS(Students,E48,Results,"Deferred")+COUNTIFS(Students,E48,Results,"Waitlist")</f>
        <v>0</v>
      </c>
      <c r="Y48" s="13">
        <f>COUNTIFS(Students,E48,Results,"Denied")</f>
        <v>0</v>
      </c>
      <c r="Z48" s="13">
        <f>W48+X48+Y48+COUNTIFS(Students,E48,Results,"Submitted")</f>
        <v>0</v>
      </c>
      <c r="AA48" s="12">
        <v>0.7435321845152324</v>
      </c>
      <c r="AB48" s="12">
        <v>0.702206688025978</v>
      </c>
      <c r="AC48" s="12">
        <v>0.6293651430960997</v>
      </c>
      <c r="AD48" s="12">
        <v>0.6056275422331342</v>
      </c>
      <c r="AE48" s="13">
        <f>COUNTIFS(Students,E48,Results,"CHOICE!")</f>
        <v>0</v>
      </c>
      <c r="AF48" s="1">
        <f>COUNTIFS(MoneyYesNo,1,RGRcount,1,Students,E48,Results,"Accepted!")</f>
        <v>0</v>
      </c>
      <c r="AG48" s="1">
        <f>COUNTIFS(MoneyYesNo,1,MGRcount,1,Students,E48,Results,"Accepted!")-AF48</f>
        <v>0</v>
      </c>
      <c r="AH48" s="1">
        <f>COUNTIFS(MoneyYesNo,1,Students,E48,Results,"Accepted!")-AF48-AG48</f>
        <v>0</v>
      </c>
      <c r="AI48" s="13">
        <f>COUNTIFS(Students,E48,Results,"Accepted!")-AF48-AG48-AH48</f>
        <v>0</v>
      </c>
      <c r="AJ48" s="1">
        <f>SUMIFS(RGRcount,Students,E48,MoneyYesNo,1)</f>
        <v>0</v>
      </c>
      <c r="AK48" s="1">
        <f>SUMIFS(MGRcount,Students,E48,MoneyYesNo,1)-AJ48</f>
        <v>0</v>
      </c>
      <c r="AL48" s="1">
        <f>SUMIF(Students,E48,MoneyYesNo)-AJ48-AK48</f>
        <v>0</v>
      </c>
      <c r="AM48" s="13">
        <f>SUM(AJ48,AK48,AL48)</f>
        <v>0</v>
      </c>
      <c r="AN48" s="1">
        <f>SUMIF(Students,E48,RGRcount)</f>
        <v>0</v>
      </c>
      <c r="AO48" s="1">
        <f>SUMIF(Students,E48,MGRcount)-AN48</f>
        <v>0</v>
      </c>
      <c r="AP48" s="1">
        <f>COUNTIF(Students,E48)-AN48-AO48</f>
        <v>0</v>
      </c>
      <c r="AQ48" s="1">
        <f>SUMIF(Students,E48,FarBelowTGRCount)</f>
        <v>0</v>
      </c>
      <c r="AR48" s="47">
        <f>COUNTIF(Students,E48)</f>
        <v>0</v>
      </c>
      <c r="AS48" s="11">
        <f>IF(AR48&gt;0,Z48/AR48,0)</f>
        <v>0</v>
      </c>
      <c r="AT48" s="11">
        <f t="array" ref="AT48">1-PRODUCT(IF(Students=E48,MGRMult,1))</f>
        <v>0</v>
      </c>
      <c r="AU48" s="12">
        <f t="array" ref="AU48">1-PRODUCT(IF(Students=E48,RGRMult,1))</f>
        <v>0</v>
      </c>
      <c r="AV48" s="1">
        <f>COUNTIFS(Students,E48,Classes,HailMaryLabel)</f>
        <v>0</v>
      </c>
      <c r="AW48" s="1">
        <f>COUNTIFS(Students,E48,Classes,LongshotLabel)</f>
        <v>0</v>
      </c>
      <c r="AX48" s="1">
        <f>COUNTIFS(Students,E48,Classes,ReachLabel)</f>
        <v>0</v>
      </c>
      <c r="AY48" s="1">
        <f>COUNTIFS(Students,E48,Classes,MatchLabel)</f>
        <v>0</v>
      </c>
      <c r="AZ48" s="1">
        <f>COUNTIFS(Students,E48,Classes,SafetyLabel)</f>
        <v>0</v>
      </c>
      <c r="BA48" s="1">
        <f>COUNTIFS(Students,E48,Classes,SecureLabel)</f>
        <v>0</v>
      </c>
      <c r="BB48" s="1">
        <f>COUNTIFS(Students,E48,Classes,SureThingLabel)</f>
        <v>0</v>
      </c>
      <c r="BC48" s="13">
        <f>COUNTIFS(Students,E48,Classes,"Other")</f>
        <v>0</v>
      </c>
      <c r="BD48" s="1">
        <f>COUNTIFS(Students,E48,Classes,ReachLabel,MoneyYesNo,1)</f>
        <v>0</v>
      </c>
      <c r="BE48" s="1">
        <f>COUNTIFS(Students,E48,Classes,MatchLabel,MoneyYesNo,1)</f>
        <v>0</v>
      </c>
      <c r="BF48" s="1">
        <f>COUNTIFS(Students,E48,Classes,SafetyLabel,MoneyYesNo,1)</f>
        <v>0</v>
      </c>
      <c r="BG48" s="1">
        <f>COUNTIFS(Students,E48,Classes,SecureLabel,MoneyYesNo,1)</f>
        <v>0</v>
      </c>
      <c r="BH48" s="1">
        <f>COUNTIFS(Students,E48,Classes,SureThingLabel,MoneyYesNo,1)</f>
        <v>0</v>
      </c>
      <c r="BI48" s="1">
        <f>SUM(BD48:BH48)</f>
        <v>0</v>
      </c>
      <c r="BJ48" s="1">
        <f>SUMIFS(RGRcount,Students,E48,MoneyYesNo,1,Odds,"&gt;=20")</f>
        <v>0</v>
      </c>
      <c r="BK48" s="1">
        <f>SUMIFS(MGRcount,Students,E48,MoneyYesNo,1,Odds,"&gt;=20")-BJ48</f>
        <v>0</v>
      </c>
      <c r="BL48" s="1">
        <f>SUMIFS(RGRcount,Students,E48,MoneyYesNo,1,Odds,"&gt;=10")</f>
        <v>0</v>
      </c>
      <c r="BM48" s="1">
        <f>SUMIFS(MGRcount,Students,E48,MoneyYesNo,1,Odds,"&gt;=10")-BL48</f>
        <v>0</v>
      </c>
      <c r="BN48" s="1">
        <f>COUNTIFS(Students,E48,ILPublic,1)</f>
        <v>0</v>
      </c>
      <c r="BO48" s="1">
        <f>COUNTIFS(Students,E48,ILPublic,1, Classes,MatchLabel)+COUNTIFS(Students,E48,ILPublic,1, Classes,SafetyLabel)+COUNTIFS(Students,E48,ILPublic,1, Classes,SecureLabel)</f>
        <v>0</v>
      </c>
      <c r="BP48" s="1">
        <f>COUNTIFS(Students,E48,ILPublic,1, Classes,SecureLabel)</f>
        <v>0</v>
      </c>
      <c r="BQ48" s="1">
        <f>COUNTIFS(Students,E48,MoneyChicago,1)</f>
        <v>0</v>
      </c>
      <c r="BR48" s="1">
        <f>COUNTIFS(Students,E48,MatchOrUnder,1)</f>
        <v>0</v>
      </c>
      <c r="BS48" s="1">
        <f>SUMIF(Students,E48,MGRcount)</f>
        <v>0</v>
      </c>
      <c r="BT48" s="1">
        <f>COUNTIFS(Students,E48,BadMoney,1)</f>
        <v>0</v>
      </c>
      <c r="BU48" s="1">
        <f>COUNTIFS(Students,E48,GoldenThree,1)</f>
        <v>0</v>
      </c>
    </row>
    <row r="49" spans="1:73">
      <c r="A49" s="18" t="s">
        <v>86</v>
      </c>
      <c r="B49" s="19">
        <v>0</v>
      </c>
      <c r="C49" s="18" t="s">
        <v>87</v>
      </c>
      <c r="D49" s="18" t="s">
        <v>244</v>
      </c>
      <c r="E49" s="19">
        <v>23403578</v>
      </c>
      <c r="F49" s="19" t="s">
        <v>245</v>
      </c>
      <c r="G49" s="10" t="s">
        <v>246</v>
      </c>
      <c r="H49" s="46">
        <v>3.178</v>
      </c>
      <c r="I49" s="1">
        <v>18</v>
      </c>
      <c r="J49" s="1">
        <v>1180</v>
      </c>
      <c r="K49" s="1">
        <f>IF(ISNUMBER(J49),VLOOKUP(J49,SATtoACT,2,FALSE),"TBD")</f>
        <v>0</v>
      </c>
      <c r="L49" s="1">
        <f>IF(ISNUMBER(I49),IF(ISNUMBER(K49),MAX(I49,K49),I49),IF(ISNUMBER(K49),K49,"TBD"))</f>
        <v>0</v>
      </c>
      <c r="M49" s="1" t="s">
        <v>115</v>
      </c>
      <c r="N49" s="1">
        <f>IF(AND(H49&lt;&gt;0,L49&lt;&gt;0),IF(ISNUMBER(VLOOKUP(TEXT(MAX(FLOOR(H49*10,1)/10,1.5),"0.0")&amp;":"&amp;MAX(L49,12),StrategyLookup,4,FALSE)),VLOOKUP(TEXT(MAX(FLOOR(H49*10,1)/10,1.5),"0.0")&amp;":"&amp;MAX(L49,12),StrategyLookup,4,FALSE),"TBD"),"TBD")</f>
        <v>0</v>
      </c>
      <c r="O49" s="11">
        <f>IF(ISNUMBER(N49),VLOOKUP(IF(OR(N49=5,N49=6),N49&amp;IF(H49&gt;=3,"+","&lt;"),N49&amp;""),TargetLookup,IF(B49=-1,6,IF(OR(M49="W",M49="A"),4,2)),FALSE),"TBD")</f>
        <v>0</v>
      </c>
      <c r="P49" s="11">
        <f>IF(ISNUMBER(N49),VLOOKUP(IF(OR(N49=5,N49=6),N49&amp;IF(H49&gt;=3,"+","&lt;"),N49&amp;""),TargetLookup,IF(B49=-1,7,IF(OR(M49="W",M49="A"),5,3)),FALSE),"TBD")</f>
        <v>0</v>
      </c>
      <c r="Q49" s="18" t="s">
        <v>103</v>
      </c>
      <c r="R49" s="19" t="s">
        <v>104</v>
      </c>
      <c r="S49" s="19" t="s">
        <v>94</v>
      </c>
      <c r="T49" s="19">
        <f>Q49&amp;S49&amp;D49</f>
        <v>0</v>
      </c>
      <c r="U49" s="11">
        <f t="array" ref="U49">1-PRODUCT(IF(Students=E49,MGRMoneyMult,1))</f>
        <v>0</v>
      </c>
      <c r="V49" s="12">
        <f t="array" ref="V49">1-PRODUCT(IF(Students=E49,RGRMoneyMult,1))</f>
        <v>0</v>
      </c>
      <c r="W49" s="13">
        <f>COUNTIFS(Students,E49,Results,"Accepted!")+COUNTIFS(Students,E49,Results,"CHOICE!")</f>
        <v>0</v>
      </c>
      <c r="X49" s="1">
        <f>COUNTIFS(Students,E49,Results,"Deferred")+COUNTIFS(Students,E49,Results,"Waitlist")</f>
        <v>0</v>
      </c>
      <c r="Y49" s="13">
        <f>COUNTIFS(Students,E49,Results,"Denied")</f>
        <v>0</v>
      </c>
      <c r="Z49" s="13">
        <f>W49+X49+Y49+COUNTIFS(Students,E49,Results,"Submitted")</f>
        <v>0</v>
      </c>
      <c r="AA49" s="12">
        <v>0.6986156452140432</v>
      </c>
      <c r="AB49" s="12">
        <v>0.5399249599919999</v>
      </c>
      <c r="AC49" s="12">
        <v>0.5224124952351262</v>
      </c>
      <c r="AD49" s="12">
        <v>0.5012956353026555</v>
      </c>
      <c r="AE49" s="13">
        <f>COUNTIFS(Students,E49,Results,"CHOICE!")</f>
        <v>0</v>
      </c>
      <c r="AF49" s="1">
        <f>COUNTIFS(MoneyYesNo,1,RGRcount,1,Students,E49,Results,"Accepted!")</f>
        <v>0</v>
      </c>
      <c r="AG49" s="1">
        <f>COUNTIFS(MoneyYesNo,1,MGRcount,1,Students,E49,Results,"Accepted!")-AF49</f>
        <v>0</v>
      </c>
      <c r="AH49" s="1">
        <f>COUNTIFS(MoneyYesNo,1,Students,E49,Results,"Accepted!")-AF49-AG49</f>
        <v>0</v>
      </c>
      <c r="AI49" s="13">
        <f>COUNTIFS(Students,E49,Results,"Accepted!")-AF49-AG49-AH49</f>
        <v>0</v>
      </c>
      <c r="AJ49" s="1">
        <f>SUMIFS(RGRcount,Students,E49,MoneyYesNo,1)</f>
        <v>0</v>
      </c>
      <c r="AK49" s="1">
        <f>SUMIFS(MGRcount,Students,E49,MoneyYesNo,1)-AJ49</f>
        <v>0</v>
      </c>
      <c r="AL49" s="1">
        <f>SUMIF(Students,E49,MoneyYesNo)-AJ49-AK49</f>
        <v>0</v>
      </c>
      <c r="AM49" s="13">
        <f>SUM(AJ49,AK49,AL49)</f>
        <v>0</v>
      </c>
      <c r="AN49" s="1">
        <f>SUMIF(Students,E49,RGRcount)</f>
        <v>0</v>
      </c>
      <c r="AO49" s="1">
        <f>SUMIF(Students,E49,MGRcount)-AN49</f>
        <v>0</v>
      </c>
      <c r="AP49" s="1">
        <f>COUNTIF(Students,E49)-AN49-AO49</f>
        <v>0</v>
      </c>
      <c r="AQ49" s="1">
        <f>SUMIF(Students,E49,FarBelowTGRCount)</f>
        <v>0</v>
      </c>
      <c r="AR49" s="47">
        <f>COUNTIF(Students,E49)</f>
        <v>0</v>
      </c>
      <c r="AS49" s="11">
        <f>IF(AR49&gt;0,Z49/AR49,0)</f>
        <v>0</v>
      </c>
      <c r="AT49" s="11">
        <f t="array" ref="AT49">1-PRODUCT(IF(Students=E49,MGRMult,1))</f>
        <v>0</v>
      </c>
      <c r="AU49" s="12">
        <f t="array" ref="AU49">1-PRODUCT(IF(Students=E49,RGRMult,1))</f>
        <v>0</v>
      </c>
      <c r="AV49" s="1">
        <f>COUNTIFS(Students,E49,Classes,HailMaryLabel)</f>
        <v>0</v>
      </c>
      <c r="AW49" s="1">
        <f>COUNTIFS(Students,E49,Classes,LongshotLabel)</f>
        <v>0</v>
      </c>
      <c r="AX49" s="1">
        <f>COUNTIFS(Students,E49,Classes,ReachLabel)</f>
        <v>0</v>
      </c>
      <c r="AY49" s="1">
        <f>COUNTIFS(Students,E49,Classes,MatchLabel)</f>
        <v>0</v>
      </c>
      <c r="AZ49" s="1">
        <f>COUNTIFS(Students,E49,Classes,SafetyLabel)</f>
        <v>0</v>
      </c>
      <c r="BA49" s="1">
        <f>COUNTIFS(Students,E49,Classes,SecureLabel)</f>
        <v>0</v>
      </c>
      <c r="BB49" s="1">
        <f>COUNTIFS(Students,E49,Classes,SureThingLabel)</f>
        <v>0</v>
      </c>
      <c r="BC49" s="13">
        <f>COUNTIFS(Students,E49,Classes,"Other")</f>
        <v>0</v>
      </c>
      <c r="BD49" s="1">
        <f>COUNTIFS(Students,E49,Classes,ReachLabel,MoneyYesNo,1)</f>
        <v>0</v>
      </c>
      <c r="BE49" s="1">
        <f>COUNTIFS(Students,E49,Classes,MatchLabel,MoneyYesNo,1)</f>
        <v>0</v>
      </c>
      <c r="BF49" s="1">
        <f>COUNTIFS(Students,E49,Classes,SafetyLabel,MoneyYesNo,1)</f>
        <v>0</v>
      </c>
      <c r="BG49" s="1">
        <f>COUNTIFS(Students,E49,Classes,SecureLabel,MoneyYesNo,1)</f>
        <v>0</v>
      </c>
      <c r="BH49" s="1">
        <f>COUNTIFS(Students,E49,Classes,SureThingLabel,MoneyYesNo,1)</f>
        <v>0</v>
      </c>
      <c r="BI49" s="1">
        <f>SUM(BD49:BH49)</f>
        <v>0</v>
      </c>
      <c r="BJ49" s="1">
        <f>SUMIFS(RGRcount,Students,E49,MoneyYesNo,1,Odds,"&gt;=20")</f>
        <v>0</v>
      </c>
      <c r="BK49" s="1">
        <f>SUMIFS(MGRcount,Students,E49,MoneyYesNo,1,Odds,"&gt;=20")-BJ49</f>
        <v>0</v>
      </c>
      <c r="BL49" s="1">
        <f>SUMIFS(RGRcount,Students,E49,MoneyYesNo,1,Odds,"&gt;=10")</f>
        <v>0</v>
      </c>
      <c r="BM49" s="1">
        <f>SUMIFS(MGRcount,Students,E49,MoneyYesNo,1,Odds,"&gt;=10")-BL49</f>
        <v>0</v>
      </c>
      <c r="BN49" s="1">
        <f>COUNTIFS(Students,E49,ILPublic,1)</f>
        <v>0</v>
      </c>
      <c r="BO49" s="1">
        <f>COUNTIFS(Students,E49,ILPublic,1, Classes,MatchLabel)+COUNTIFS(Students,E49,ILPublic,1, Classes,SafetyLabel)+COUNTIFS(Students,E49,ILPublic,1, Classes,SecureLabel)</f>
        <v>0</v>
      </c>
      <c r="BP49" s="1">
        <f>COUNTIFS(Students,E49,ILPublic,1, Classes,SecureLabel)</f>
        <v>0</v>
      </c>
      <c r="BQ49" s="1">
        <f>COUNTIFS(Students,E49,MoneyChicago,1)</f>
        <v>0</v>
      </c>
      <c r="BR49" s="1">
        <f>COUNTIFS(Students,E49,MatchOrUnder,1)</f>
        <v>0</v>
      </c>
      <c r="BS49" s="1">
        <f>SUMIF(Students,E49,MGRcount)</f>
        <v>0</v>
      </c>
      <c r="BT49" s="1">
        <f>COUNTIFS(Students,E49,BadMoney,1)</f>
        <v>0</v>
      </c>
      <c r="BU49" s="1">
        <f>COUNTIFS(Students,E49,GoldenThree,1)</f>
        <v>0</v>
      </c>
    </row>
    <row r="50" spans="1:73">
      <c r="A50" s="18" t="s">
        <v>86</v>
      </c>
      <c r="B50" s="19">
        <v>0</v>
      </c>
      <c r="C50" s="18" t="s">
        <v>138</v>
      </c>
      <c r="D50" s="18" t="s">
        <v>247</v>
      </c>
      <c r="E50" s="19">
        <v>30494148</v>
      </c>
      <c r="F50" s="19" t="s">
        <v>248</v>
      </c>
      <c r="G50" s="10" t="s">
        <v>249</v>
      </c>
      <c r="H50" s="46">
        <v>2.9</v>
      </c>
      <c r="I50" s="1">
        <v>13</v>
      </c>
      <c r="J50" s="1">
        <v>750</v>
      </c>
      <c r="K50" s="1">
        <f>IF(ISNUMBER(J50),VLOOKUP(J50,SATtoACT,2,FALSE),"TBD")</f>
        <v>0</v>
      </c>
      <c r="L50" s="1">
        <f>IF(ISNUMBER(I50),IF(ISNUMBER(K50),MAX(I50,K50),I50),IF(ISNUMBER(K50),K50,"TBD"))</f>
        <v>0</v>
      </c>
      <c r="M50" s="1" t="s">
        <v>91</v>
      </c>
      <c r="N50" s="1">
        <f>IF(AND(H50&lt;&gt;0,L50&lt;&gt;0),IF(ISNUMBER(VLOOKUP(TEXT(MAX(FLOOR(H50*10,1)/10,1.5),"0.0")&amp;":"&amp;MAX(L50,12),StrategyLookup,4,FALSE)),VLOOKUP(TEXT(MAX(FLOOR(H50*10,1)/10,1.5),"0.0")&amp;":"&amp;MAX(L50,12),StrategyLookup,4,FALSE),"TBD"),"TBD")</f>
        <v>0</v>
      </c>
      <c r="O50" s="11">
        <f>IF(ISNUMBER(N50),VLOOKUP(IF(OR(N50=5,N50=6),N50&amp;IF(H50&gt;=3,"+","&lt;"),N50&amp;""),TargetLookup,IF(B50=-1,6,IF(OR(M50="W",M50="A"),4,2)),FALSE),"TBD")</f>
        <v>0</v>
      </c>
      <c r="P50" s="11">
        <f>IF(ISNUMBER(N50),VLOOKUP(IF(OR(N50=5,N50=6),N50&amp;IF(H50&gt;=3,"+","&lt;"),N50&amp;""),TargetLookup,IF(B50=-1,7,IF(OR(M50="W",M50="A"),5,3)),FALSE),"TBD")</f>
        <v>0</v>
      </c>
      <c r="Q50" s="18" t="s">
        <v>165</v>
      </c>
      <c r="R50" s="19" t="s">
        <v>93</v>
      </c>
      <c r="S50" s="19" t="s">
        <v>94</v>
      </c>
      <c r="T50" s="19">
        <f>Q50&amp;S50&amp;D50</f>
        <v>0</v>
      </c>
      <c r="U50" s="11">
        <f t="array" ref="U50">1-PRODUCT(IF(Students=E50,MGRMoneyMult,1))</f>
        <v>0</v>
      </c>
      <c r="V50" s="12">
        <f t="array" ref="V50">1-PRODUCT(IF(Students=E50,RGRMoneyMult,1))</f>
        <v>0</v>
      </c>
      <c r="W50" s="13">
        <f>COUNTIFS(Students,E50,Results,"Accepted!")+COUNTIFS(Students,E50,Results,"CHOICE!")</f>
        <v>0</v>
      </c>
      <c r="X50" s="1">
        <f>COUNTIFS(Students,E50,Results,"Deferred")+COUNTIFS(Students,E50,Results,"Waitlist")</f>
        <v>0</v>
      </c>
      <c r="Y50" s="13">
        <f>COUNTIFS(Students,E50,Results,"Denied")</f>
        <v>0</v>
      </c>
      <c r="Z50" s="13">
        <f>W50+X50+Y50+COUNTIFS(Students,E50,Results,"Submitted")</f>
        <v>0</v>
      </c>
      <c r="AA50" s="12">
        <v>0</v>
      </c>
      <c r="AB50" s="12">
        <v>0</v>
      </c>
      <c r="AC50" s="12">
        <v>0</v>
      </c>
      <c r="AD50" s="12">
        <v>0</v>
      </c>
      <c r="AE50" s="13">
        <f>COUNTIFS(Students,E50,Results,"CHOICE!")</f>
        <v>0</v>
      </c>
      <c r="AF50" s="1">
        <f>COUNTIFS(MoneyYesNo,1,RGRcount,1,Students,E50,Results,"Accepted!")</f>
        <v>0</v>
      </c>
      <c r="AG50" s="1">
        <f>COUNTIFS(MoneyYesNo,1,MGRcount,1,Students,E50,Results,"Accepted!")-AF50</f>
        <v>0</v>
      </c>
      <c r="AH50" s="1">
        <f>COUNTIFS(MoneyYesNo,1,Students,E50,Results,"Accepted!")-AF50-AG50</f>
        <v>0</v>
      </c>
      <c r="AI50" s="13">
        <f>COUNTIFS(Students,E50,Results,"Accepted!")-AF50-AG50-AH50</f>
        <v>0</v>
      </c>
      <c r="AJ50" s="1">
        <f>SUMIFS(RGRcount,Students,E50,MoneyYesNo,1)</f>
        <v>0</v>
      </c>
      <c r="AK50" s="1">
        <f>SUMIFS(MGRcount,Students,E50,MoneyYesNo,1)-AJ50</f>
        <v>0</v>
      </c>
      <c r="AL50" s="1">
        <f>SUMIF(Students,E50,MoneyYesNo)-AJ50-AK50</f>
        <v>0</v>
      </c>
      <c r="AM50" s="13">
        <f>SUM(AJ50,AK50,AL50)</f>
        <v>0</v>
      </c>
      <c r="AN50" s="1">
        <f>SUMIF(Students,E50,RGRcount)</f>
        <v>0</v>
      </c>
      <c r="AO50" s="1">
        <f>SUMIF(Students,E50,MGRcount)-AN50</f>
        <v>0</v>
      </c>
      <c r="AP50" s="1">
        <f>COUNTIF(Students,E50)-AN50-AO50</f>
        <v>0</v>
      </c>
      <c r="AQ50" s="1">
        <f>SUMIF(Students,E50,FarBelowTGRCount)</f>
        <v>0</v>
      </c>
      <c r="AR50" s="47">
        <f>COUNTIF(Students,E50)</f>
        <v>0</v>
      </c>
      <c r="AS50" s="11">
        <f>IF(AR50&gt;0,Z50/AR50,0)</f>
        <v>0</v>
      </c>
      <c r="AT50" s="11">
        <f t="array" ref="AT50">1-PRODUCT(IF(Students=E50,MGRMult,1))</f>
        <v>0</v>
      </c>
      <c r="AU50" s="12">
        <f t="array" ref="AU50">1-PRODUCT(IF(Students=E50,RGRMult,1))</f>
        <v>0</v>
      </c>
      <c r="AV50" s="1">
        <f>COUNTIFS(Students,E50,Classes,HailMaryLabel)</f>
        <v>0</v>
      </c>
      <c r="AW50" s="1">
        <f>COUNTIFS(Students,E50,Classes,LongshotLabel)</f>
        <v>0</v>
      </c>
      <c r="AX50" s="1">
        <f>COUNTIFS(Students,E50,Classes,ReachLabel)</f>
        <v>0</v>
      </c>
      <c r="AY50" s="1">
        <f>COUNTIFS(Students,E50,Classes,MatchLabel)</f>
        <v>0</v>
      </c>
      <c r="AZ50" s="1">
        <f>COUNTIFS(Students,E50,Classes,SafetyLabel)</f>
        <v>0</v>
      </c>
      <c r="BA50" s="1">
        <f>COUNTIFS(Students,E50,Classes,SecureLabel)</f>
        <v>0</v>
      </c>
      <c r="BB50" s="1">
        <f>COUNTIFS(Students,E50,Classes,SureThingLabel)</f>
        <v>0</v>
      </c>
      <c r="BC50" s="13">
        <f>COUNTIFS(Students,E50,Classes,"Other")</f>
        <v>0</v>
      </c>
      <c r="BD50" s="1">
        <f>COUNTIFS(Students,E50,Classes,ReachLabel,MoneyYesNo,1)</f>
        <v>0</v>
      </c>
      <c r="BE50" s="1">
        <f>COUNTIFS(Students,E50,Classes,MatchLabel,MoneyYesNo,1)</f>
        <v>0</v>
      </c>
      <c r="BF50" s="1">
        <f>COUNTIFS(Students,E50,Classes,SafetyLabel,MoneyYesNo,1)</f>
        <v>0</v>
      </c>
      <c r="BG50" s="1">
        <f>COUNTIFS(Students,E50,Classes,SecureLabel,MoneyYesNo,1)</f>
        <v>0</v>
      </c>
      <c r="BH50" s="1">
        <f>COUNTIFS(Students,E50,Classes,SureThingLabel,MoneyYesNo,1)</f>
        <v>0</v>
      </c>
      <c r="BI50" s="1">
        <f>SUM(BD50:BH50)</f>
        <v>0</v>
      </c>
      <c r="BJ50" s="1">
        <f>SUMIFS(RGRcount,Students,E50,MoneyYesNo,1,Odds,"&gt;=20")</f>
        <v>0</v>
      </c>
      <c r="BK50" s="1">
        <f>SUMIFS(MGRcount,Students,E50,MoneyYesNo,1,Odds,"&gt;=20")-BJ50</f>
        <v>0</v>
      </c>
      <c r="BL50" s="1">
        <f>SUMIFS(RGRcount,Students,E50,MoneyYesNo,1,Odds,"&gt;=10")</f>
        <v>0</v>
      </c>
      <c r="BM50" s="1">
        <f>SUMIFS(MGRcount,Students,E50,MoneyYesNo,1,Odds,"&gt;=10")-BL50</f>
        <v>0</v>
      </c>
      <c r="BN50" s="1">
        <f>COUNTIFS(Students,E50,ILPublic,1)</f>
        <v>0</v>
      </c>
      <c r="BO50" s="1">
        <f>COUNTIFS(Students,E50,ILPublic,1, Classes,MatchLabel)+COUNTIFS(Students,E50,ILPublic,1, Classes,SafetyLabel)+COUNTIFS(Students,E50,ILPublic,1, Classes,SecureLabel)</f>
        <v>0</v>
      </c>
      <c r="BP50" s="1">
        <f>COUNTIFS(Students,E50,ILPublic,1, Classes,SecureLabel)</f>
        <v>0</v>
      </c>
      <c r="BQ50" s="1">
        <f>COUNTIFS(Students,E50,MoneyChicago,1)</f>
        <v>0</v>
      </c>
      <c r="BR50" s="1">
        <f>COUNTIFS(Students,E50,MatchOrUnder,1)</f>
        <v>0</v>
      </c>
      <c r="BS50" s="1">
        <f>SUMIF(Students,E50,MGRcount)</f>
        <v>0</v>
      </c>
      <c r="BT50" s="1">
        <f>COUNTIFS(Students,E50,BadMoney,1)</f>
        <v>0</v>
      </c>
      <c r="BU50" s="1">
        <f>COUNTIFS(Students,E50,GoldenThree,1)</f>
        <v>0</v>
      </c>
    </row>
    <row r="51" spans="1:73">
      <c r="A51" s="18" t="s">
        <v>86</v>
      </c>
      <c r="B51" s="19">
        <v>0</v>
      </c>
      <c r="C51" s="18" t="s">
        <v>87</v>
      </c>
      <c r="D51" s="18" t="s">
        <v>250</v>
      </c>
      <c r="E51" s="19">
        <v>23107053</v>
      </c>
      <c r="F51" s="19" t="s">
        <v>251</v>
      </c>
      <c r="G51" s="10" t="s">
        <v>252</v>
      </c>
      <c r="H51" s="46">
        <v>3.0173</v>
      </c>
      <c r="I51" s="1">
        <v>20</v>
      </c>
      <c r="J51" s="1">
        <v>1270</v>
      </c>
      <c r="K51" s="1">
        <f>IF(ISNUMBER(J51),VLOOKUP(J51,SATtoACT,2,FALSE),"TBD")</f>
        <v>0</v>
      </c>
      <c r="L51" s="1">
        <f>IF(ISNUMBER(I51),IF(ISNUMBER(K51),MAX(I51,K51),I51),IF(ISNUMBER(K51),K51,"TBD"))</f>
        <v>0</v>
      </c>
      <c r="M51" s="1" t="s">
        <v>91</v>
      </c>
      <c r="N51" s="1">
        <f>IF(AND(H51&lt;&gt;0,L51&lt;&gt;0),IF(ISNUMBER(VLOOKUP(TEXT(MAX(FLOOR(H51*10,1)/10,1.5),"0.0")&amp;":"&amp;MAX(L51,12),StrategyLookup,4,FALSE)),VLOOKUP(TEXT(MAX(FLOOR(H51*10,1)/10,1.5),"0.0")&amp;":"&amp;MAX(L51,12),StrategyLookup,4,FALSE),"TBD"),"TBD")</f>
        <v>0</v>
      </c>
      <c r="O51" s="11">
        <f>IF(ISNUMBER(N51),VLOOKUP(IF(OR(N51=5,N51=6),N51&amp;IF(H51&gt;=3,"+","&lt;"),N51&amp;""),TargetLookup,IF(B51=-1,6,IF(OR(M51="W",M51="A"),4,2)),FALSE),"TBD")</f>
        <v>0</v>
      </c>
      <c r="P51" s="11">
        <f>IF(ISNUMBER(N51),VLOOKUP(IF(OR(N51=5,N51=6),N51&amp;IF(H51&gt;=3,"+","&lt;"),N51&amp;""),TargetLookup,IF(B51=-1,7,IF(OR(M51="W",M51="A"),5,3)),FALSE),"TBD")</f>
        <v>0</v>
      </c>
      <c r="Q51" s="18" t="s">
        <v>145</v>
      </c>
      <c r="R51" s="19" t="s">
        <v>121</v>
      </c>
      <c r="S51" s="19" t="s">
        <v>94</v>
      </c>
      <c r="T51" s="19">
        <f>Q51&amp;S51&amp;D51</f>
        <v>0</v>
      </c>
      <c r="U51" s="11">
        <f t="array" ref="U51">1-PRODUCT(IF(Students=E51,MGRMoneyMult,1))</f>
        <v>0</v>
      </c>
      <c r="V51" s="12">
        <f t="array" ref="V51">1-PRODUCT(IF(Students=E51,RGRMoneyMult,1))</f>
        <v>0</v>
      </c>
      <c r="W51" s="13">
        <f>COUNTIFS(Students,E51,Results,"Accepted!")+COUNTIFS(Students,E51,Results,"CHOICE!")</f>
        <v>0</v>
      </c>
      <c r="X51" s="1">
        <f>COUNTIFS(Students,E51,Results,"Deferred")+COUNTIFS(Students,E51,Results,"Waitlist")</f>
        <v>0</v>
      </c>
      <c r="Y51" s="13">
        <f>COUNTIFS(Students,E51,Results,"Denied")</f>
        <v>0</v>
      </c>
      <c r="Z51" s="13">
        <f>W51+X51+Y51+COUNTIFS(Students,E51,Results,"Submitted")</f>
        <v>0</v>
      </c>
      <c r="AA51" s="12">
        <v>0.6696890766977525</v>
      </c>
      <c r="AB51" s="12">
        <v>0.5399818951301057</v>
      </c>
      <c r="AC51" s="12">
        <v>0.5352170363074947</v>
      </c>
      <c r="AD51" s="12">
        <v>0.517461687858465</v>
      </c>
      <c r="AE51" s="13">
        <f>COUNTIFS(Students,E51,Results,"CHOICE!")</f>
        <v>0</v>
      </c>
      <c r="AF51" s="1">
        <f>COUNTIFS(MoneyYesNo,1,RGRcount,1,Students,E51,Results,"Accepted!")</f>
        <v>0</v>
      </c>
      <c r="AG51" s="1">
        <f>COUNTIFS(MoneyYesNo,1,MGRcount,1,Students,E51,Results,"Accepted!")-AF51</f>
        <v>0</v>
      </c>
      <c r="AH51" s="1">
        <f>COUNTIFS(MoneyYesNo,1,Students,E51,Results,"Accepted!")-AF51-AG51</f>
        <v>0</v>
      </c>
      <c r="AI51" s="13">
        <f>COUNTIFS(Students,E51,Results,"Accepted!")-AF51-AG51-AH51</f>
        <v>0</v>
      </c>
      <c r="AJ51" s="1">
        <f>SUMIFS(RGRcount,Students,E51,MoneyYesNo,1)</f>
        <v>0</v>
      </c>
      <c r="AK51" s="1">
        <f>SUMIFS(MGRcount,Students,E51,MoneyYesNo,1)-AJ51</f>
        <v>0</v>
      </c>
      <c r="AL51" s="1">
        <f>SUMIF(Students,E51,MoneyYesNo)-AJ51-AK51</f>
        <v>0</v>
      </c>
      <c r="AM51" s="13">
        <f>SUM(AJ51,AK51,AL51)</f>
        <v>0</v>
      </c>
      <c r="AN51" s="1">
        <f>SUMIF(Students,E51,RGRcount)</f>
        <v>0</v>
      </c>
      <c r="AO51" s="1">
        <f>SUMIF(Students,E51,MGRcount)-AN51</f>
        <v>0</v>
      </c>
      <c r="AP51" s="1">
        <f>COUNTIF(Students,E51)-AN51-AO51</f>
        <v>0</v>
      </c>
      <c r="AQ51" s="1">
        <f>SUMIF(Students,E51,FarBelowTGRCount)</f>
        <v>0</v>
      </c>
      <c r="AR51" s="47">
        <f>COUNTIF(Students,E51)</f>
        <v>0</v>
      </c>
      <c r="AS51" s="11">
        <f>IF(AR51&gt;0,Z51/AR51,0)</f>
        <v>0</v>
      </c>
      <c r="AT51" s="11">
        <f t="array" ref="AT51">1-PRODUCT(IF(Students=E51,MGRMult,1))</f>
        <v>0</v>
      </c>
      <c r="AU51" s="12">
        <f t="array" ref="AU51">1-PRODUCT(IF(Students=E51,RGRMult,1))</f>
        <v>0</v>
      </c>
      <c r="AV51" s="1">
        <f>COUNTIFS(Students,E51,Classes,HailMaryLabel)</f>
        <v>0</v>
      </c>
      <c r="AW51" s="1">
        <f>COUNTIFS(Students,E51,Classes,LongshotLabel)</f>
        <v>0</v>
      </c>
      <c r="AX51" s="1">
        <f>COUNTIFS(Students,E51,Classes,ReachLabel)</f>
        <v>0</v>
      </c>
      <c r="AY51" s="1">
        <f>COUNTIFS(Students,E51,Classes,MatchLabel)</f>
        <v>0</v>
      </c>
      <c r="AZ51" s="1">
        <f>COUNTIFS(Students,E51,Classes,SafetyLabel)</f>
        <v>0</v>
      </c>
      <c r="BA51" s="1">
        <f>COUNTIFS(Students,E51,Classes,SecureLabel)</f>
        <v>0</v>
      </c>
      <c r="BB51" s="1">
        <f>COUNTIFS(Students,E51,Classes,SureThingLabel)</f>
        <v>0</v>
      </c>
      <c r="BC51" s="13">
        <f>COUNTIFS(Students,E51,Classes,"Other")</f>
        <v>0</v>
      </c>
      <c r="BD51" s="1">
        <f>COUNTIFS(Students,E51,Classes,ReachLabel,MoneyYesNo,1)</f>
        <v>0</v>
      </c>
      <c r="BE51" s="1">
        <f>COUNTIFS(Students,E51,Classes,MatchLabel,MoneyYesNo,1)</f>
        <v>0</v>
      </c>
      <c r="BF51" s="1">
        <f>COUNTIFS(Students,E51,Classes,SafetyLabel,MoneyYesNo,1)</f>
        <v>0</v>
      </c>
      <c r="BG51" s="1">
        <f>COUNTIFS(Students,E51,Classes,SecureLabel,MoneyYesNo,1)</f>
        <v>0</v>
      </c>
      <c r="BH51" s="1">
        <f>COUNTIFS(Students,E51,Classes,SureThingLabel,MoneyYesNo,1)</f>
        <v>0</v>
      </c>
      <c r="BI51" s="1">
        <f>SUM(BD51:BH51)</f>
        <v>0</v>
      </c>
      <c r="BJ51" s="1">
        <f>SUMIFS(RGRcount,Students,E51,MoneyYesNo,1,Odds,"&gt;=20")</f>
        <v>0</v>
      </c>
      <c r="BK51" s="1">
        <f>SUMIFS(MGRcount,Students,E51,MoneyYesNo,1,Odds,"&gt;=20")-BJ51</f>
        <v>0</v>
      </c>
      <c r="BL51" s="1">
        <f>SUMIFS(RGRcount,Students,E51,MoneyYesNo,1,Odds,"&gt;=10")</f>
        <v>0</v>
      </c>
      <c r="BM51" s="1">
        <f>SUMIFS(MGRcount,Students,E51,MoneyYesNo,1,Odds,"&gt;=10")-BL51</f>
        <v>0</v>
      </c>
      <c r="BN51" s="1">
        <f>COUNTIFS(Students,E51,ILPublic,1)</f>
        <v>0</v>
      </c>
      <c r="BO51" s="1">
        <f>COUNTIFS(Students,E51,ILPublic,1, Classes,MatchLabel)+COUNTIFS(Students,E51,ILPublic,1, Classes,SafetyLabel)+COUNTIFS(Students,E51,ILPublic,1, Classes,SecureLabel)</f>
        <v>0</v>
      </c>
      <c r="BP51" s="1">
        <f>COUNTIFS(Students,E51,ILPublic,1, Classes,SecureLabel)</f>
        <v>0</v>
      </c>
      <c r="BQ51" s="1">
        <f>COUNTIFS(Students,E51,MoneyChicago,1)</f>
        <v>0</v>
      </c>
      <c r="BR51" s="1">
        <f>COUNTIFS(Students,E51,MatchOrUnder,1)</f>
        <v>0</v>
      </c>
      <c r="BS51" s="1">
        <f>SUMIF(Students,E51,MGRcount)</f>
        <v>0</v>
      </c>
      <c r="BT51" s="1">
        <f>COUNTIFS(Students,E51,BadMoney,1)</f>
        <v>0</v>
      </c>
      <c r="BU51" s="1">
        <f>COUNTIFS(Students,E51,GoldenThree,1)</f>
        <v>0</v>
      </c>
    </row>
    <row r="52" spans="1:73">
      <c r="A52" s="18" t="s">
        <v>86</v>
      </c>
      <c r="B52" s="19">
        <v>0</v>
      </c>
      <c r="C52" s="18" t="s">
        <v>87</v>
      </c>
      <c r="D52" s="18" t="s">
        <v>253</v>
      </c>
      <c r="E52" s="19">
        <v>23560568</v>
      </c>
      <c r="F52" s="19" t="s">
        <v>254</v>
      </c>
      <c r="G52" s="10" t="s">
        <v>255</v>
      </c>
      <c r="H52" s="46">
        <v>3</v>
      </c>
      <c r="I52" s="1">
        <v>23</v>
      </c>
      <c r="J52" s="1">
        <v>900</v>
      </c>
      <c r="K52" s="1">
        <f>IF(ISNUMBER(J52),VLOOKUP(J52,SATtoACT,2,FALSE),"TBD")</f>
        <v>0</v>
      </c>
      <c r="L52" s="1">
        <f>IF(ISNUMBER(I52),IF(ISNUMBER(K52),MAX(I52,K52),I52),IF(ISNUMBER(K52),K52,"TBD"))</f>
        <v>0</v>
      </c>
      <c r="M52" s="1" t="s">
        <v>91</v>
      </c>
      <c r="N52" s="1">
        <f>IF(AND(H52&lt;&gt;0,L52&lt;&gt;0),IF(ISNUMBER(VLOOKUP(TEXT(MAX(FLOOR(H52*10,1)/10,1.5),"0.0")&amp;":"&amp;MAX(L52,12),StrategyLookup,4,FALSE)),VLOOKUP(TEXT(MAX(FLOOR(H52*10,1)/10,1.5),"0.0")&amp;":"&amp;MAX(L52,12),StrategyLookup,4,FALSE),"TBD"),"TBD")</f>
        <v>0</v>
      </c>
      <c r="O52" s="11">
        <f>IF(ISNUMBER(N52),VLOOKUP(IF(OR(N52=5,N52=6),N52&amp;IF(H52&gt;=3,"+","&lt;"),N52&amp;""),TargetLookup,IF(B52=-1,6,IF(OR(M52="W",M52="A"),4,2)),FALSE),"TBD")</f>
        <v>0</v>
      </c>
      <c r="P52" s="11">
        <f>IF(ISNUMBER(N52),VLOOKUP(IF(OR(N52=5,N52=6),N52&amp;IF(H52&gt;=3,"+","&lt;"),N52&amp;""),TargetLookup,IF(B52=-1,7,IF(OR(M52="W",M52="A"),5,3)),FALSE),"TBD")</f>
        <v>0</v>
      </c>
      <c r="Q52" s="18" t="s">
        <v>120</v>
      </c>
      <c r="R52" s="19" t="s">
        <v>93</v>
      </c>
      <c r="S52" s="19" t="s">
        <v>94</v>
      </c>
      <c r="T52" s="19">
        <f>Q52&amp;S52&amp;D52</f>
        <v>0</v>
      </c>
      <c r="U52" s="11">
        <f t="array" ref="U52">1-PRODUCT(IF(Students=E52,MGRMoneyMult,1))</f>
        <v>0</v>
      </c>
      <c r="V52" s="12">
        <f t="array" ref="V52">1-PRODUCT(IF(Students=E52,RGRMoneyMult,1))</f>
        <v>0</v>
      </c>
      <c r="W52" s="13">
        <f>COUNTIFS(Students,E52,Results,"Accepted!")+COUNTIFS(Students,E52,Results,"CHOICE!")</f>
        <v>0</v>
      </c>
      <c r="X52" s="1">
        <f>COUNTIFS(Students,E52,Results,"Deferred")+COUNTIFS(Students,E52,Results,"Waitlist")</f>
        <v>0</v>
      </c>
      <c r="Y52" s="13">
        <f>COUNTIFS(Students,E52,Results,"Denied")</f>
        <v>0</v>
      </c>
      <c r="Z52" s="13">
        <f>W52+X52+Y52+COUNTIFS(Students,E52,Results,"Submitted")</f>
        <v>0</v>
      </c>
      <c r="AA52" s="12">
        <v>0.7373300923798822</v>
      </c>
      <c r="AB52" s="12">
        <v>0.6437638809114458</v>
      </c>
      <c r="AC52" s="12">
        <v>0.5558307350891837</v>
      </c>
      <c r="AD52" s="12">
        <v>0.5292346483092186</v>
      </c>
      <c r="AE52" s="13">
        <f>COUNTIFS(Students,E52,Results,"CHOICE!")</f>
        <v>0</v>
      </c>
      <c r="AF52" s="1">
        <f>COUNTIFS(MoneyYesNo,1,RGRcount,1,Students,E52,Results,"Accepted!")</f>
        <v>0</v>
      </c>
      <c r="AG52" s="1">
        <f>COUNTIFS(MoneyYesNo,1,MGRcount,1,Students,E52,Results,"Accepted!")-AF52</f>
        <v>0</v>
      </c>
      <c r="AH52" s="1">
        <f>COUNTIFS(MoneyYesNo,1,Students,E52,Results,"Accepted!")-AF52-AG52</f>
        <v>0</v>
      </c>
      <c r="AI52" s="13">
        <f>COUNTIFS(Students,E52,Results,"Accepted!")-AF52-AG52-AH52</f>
        <v>0</v>
      </c>
      <c r="AJ52" s="1">
        <f>SUMIFS(RGRcount,Students,E52,MoneyYesNo,1)</f>
        <v>0</v>
      </c>
      <c r="AK52" s="1">
        <f>SUMIFS(MGRcount,Students,E52,MoneyYesNo,1)-AJ52</f>
        <v>0</v>
      </c>
      <c r="AL52" s="1">
        <f>SUMIF(Students,E52,MoneyYesNo)-AJ52-AK52</f>
        <v>0</v>
      </c>
      <c r="AM52" s="13">
        <f>SUM(AJ52,AK52,AL52)</f>
        <v>0</v>
      </c>
      <c r="AN52" s="1">
        <f>SUMIF(Students,E52,RGRcount)</f>
        <v>0</v>
      </c>
      <c r="AO52" s="1">
        <f>SUMIF(Students,E52,MGRcount)-AN52</f>
        <v>0</v>
      </c>
      <c r="AP52" s="1">
        <f>COUNTIF(Students,E52)-AN52-AO52</f>
        <v>0</v>
      </c>
      <c r="AQ52" s="1">
        <f>SUMIF(Students,E52,FarBelowTGRCount)</f>
        <v>0</v>
      </c>
      <c r="AR52" s="47">
        <f>COUNTIF(Students,E52)</f>
        <v>0</v>
      </c>
      <c r="AS52" s="11">
        <f>IF(AR52&gt;0,Z52/AR52,0)</f>
        <v>0</v>
      </c>
      <c r="AT52" s="11">
        <f t="array" ref="AT52">1-PRODUCT(IF(Students=E52,MGRMult,1))</f>
        <v>0</v>
      </c>
      <c r="AU52" s="12">
        <f t="array" ref="AU52">1-PRODUCT(IF(Students=E52,RGRMult,1))</f>
        <v>0</v>
      </c>
      <c r="AV52" s="1">
        <f>COUNTIFS(Students,E52,Classes,HailMaryLabel)</f>
        <v>0</v>
      </c>
      <c r="AW52" s="1">
        <f>COUNTIFS(Students,E52,Classes,LongshotLabel)</f>
        <v>0</v>
      </c>
      <c r="AX52" s="1">
        <f>COUNTIFS(Students,E52,Classes,ReachLabel)</f>
        <v>0</v>
      </c>
      <c r="AY52" s="1">
        <f>COUNTIFS(Students,E52,Classes,MatchLabel)</f>
        <v>0</v>
      </c>
      <c r="AZ52" s="1">
        <f>COUNTIFS(Students,E52,Classes,SafetyLabel)</f>
        <v>0</v>
      </c>
      <c r="BA52" s="1">
        <f>COUNTIFS(Students,E52,Classes,SecureLabel)</f>
        <v>0</v>
      </c>
      <c r="BB52" s="1">
        <f>COUNTIFS(Students,E52,Classes,SureThingLabel)</f>
        <v>0</v>
      </c>
      <c r="BC52" s="13">
        <f>COUNTIFS(Students,E52,Classes,"Other")</f>
        <v>0</v>
      </c>
      <c r="BD52" s="1">
        <f>COUNTIFS(Students,E52,Classes,ReachLabel,MoneyYesNo,1)</f>
        <v>0</v>
      </c>
      <c r="BE52" s="1">
        <f>COUNTIFS(Students,E52,Classes,MatchLabel,MoneyYesNo,1)</f>
        <v>0</v>
      </c>
      <c r="BF52" s="1">
        <f>COUNTIFS(Students,E52,Classes,SafetyLabel,MoneyYesNo,1)</f>
        <v>0</v>
      </c>
      <c r="BG52" s="1">
        <f>COUNTIFS(Students,E52,Classes,SecureLabel,MoneyYesNo,1)</f>
        <v>0</v>
      </c>
      <c r="BH52" s="1">
        <f>COUNTIFS(Students,E52,Classes,SureThingLabel,MoneyYesNo,1)</f>
        <v>0</v>
      </c>
      <c r="BI52" s="1">
        <f>SUM(BD52:BH52)</f>
        <v>0</v>
      </c>
      <c r="BJ52" s="1">
        <f>SUMIFS(RGRcount,Students,E52,MoneyYesNo,1,Odds,"&gt;=20")</f>
        <v>0</v>
      </c>
      <c r="BK52" s="1">
        <f>SUMIFS(MGRcount,Students,E52,MoneyYesNo,1,Odds,"&gt;=20")-BJ52</f>
        <v>0</v>
      </c>
      <c r="BL52" s="1">
        <f>SUMIFS(RGRcount,Students,E52,MoneyYesNo,1,Odds,"&gt;=10")</f>
        <v>0</v>
      </c>
      <c r="BM52" s="1">
        <f>SUMIFS(MGRcount,Students,E52,MoneyYesNo,1,Odds,"&gt;=10")-BL52</f>
        <v>0</v>
      </c>
      <c r="BN52" s="1">
        <f>COUNTIFS(Students,E52,ILPublic,1)</f>
        <v>0</v>
      </c>
      <c r="BO52" s="1">
        <f>COUNTIFS(Students,E52,ILPublic,1, Classes,MatchLabel)+COUNTIFS(Students,E52,ILPublic,1, Classes,SafetyLabel)+COUNTIFS(Students,E52,ILPublic,1, Classes,SecureLabel)</f>
        <v>0</v>
      </c>
      <c r="BP52" s="1">
        <f>COUNTIFS(Students,E52,ILPublic,1, Classes,SecureLabel)</f>
        <v>0</v>
      </c>
      <c r="BQ52" s="1">
        <f>COUNTIFS(Students,E52,MoneyChicago,1)</f>
        <v>0</v>
      </c>
      <c r="BR52" s="1">
        <f>COUNTIFS(Students,E52,MatchOrUnder,1)</f>
        <v>0</v>
      </c>
      <c r="BS52" s="1">
        <f>SUMIF(Students,E52,MGRcount)</f>
        <v>0</v>
      </c>
      <c r="BT52" s="1">
        <f>COUNTIFS(Students,E52,BadMoney,1)</f>
        <v>0</v>
      </c>
      <c r="BU52" s="1">
        <f>COUNTIFS(Students,E52,GoldenThree,1)</f>
        <v>0</v>
      </c>
    </row>
    <row r="53" spans="1:73">
      <c r="A53" s="18" t="s">
        <v>86</v>
      </c>
      <c r="B53" s="19">
        <v>0</v>
      </c>
      <c r="C53" s="18" t="s">
        <v>138</v>
      </c>
      <c r="D53" s="18" t="s">
        <v>256</v>
      </c>
      <c r="E53" s="19">
        <v>22587209</v>
      </c>
      <c r="F53" s="19" t="s">
        <v>257</v>
      </c>
      <c r="G53" s="10" t="s">
        <v>258</v>
      </c>
      <c r="H53" s="46">
        <v>1.5845</v>
      </c>
      <c r="I53" s="1">
        <v>14</v>
      </c>
      <c r="J53" s="1">
        <v>1360</v>
      </c>
      <c r="K53" s="1">
        <f>IF(ISNUMBER(J53),VLOOKUP(J53,SATtoACT,2,FALSE),"TBD")</f>
        <v>0</v>
      </c>
      <c r="L53" s="1">
        <f>IF(ISNUMBER(I53),IF(ISNUMBER(K53),MAX(I53,K53),I53),IF(ISNUMBER(K53),K53,"TBD"))</f>
        <v>0</v>
      </c>
      <c r="M53" s="1" t="s">
        <v>91</v>
      </c>
      <c r="N53" s="1">
        <f>IF(AND(H53&lt;&gt;0,L53&lt;&gt;0),IF(ISNUMBER(VLOOKUP(TEXT(MAX(FLOOR(H53*10,1)/10,1.5),"0.0")&amp;":"&amp;MAX(L53,12),StrategyLookup,4,FALSE)),VLOOKUP(TEXT(MAX(FLOOR(H53*10,1)/10,1.5),"0.0")&amp;":"&amp;MAX(L53,12),StrategyLookup,4,FALSE),"TBD"),"TBD")</f>
        <v>0</v>
      </c>
      <c r="O53" s="11">
        <f>IF(ISNUMBER(N53),VLOOKUP(IF(OR(N53=5,N53=6),N53&amp;IF(H53&gt;=3,"+","&lt;"),N53&amp;""),TargetLookup,IF(B53=-1,6,IF(OR(M53="W",M53="A"),4,2)),FALSE),"TBD")</f>
        <v>0</v>
      </c>
      <c r="P53" s="11">
        <f>IF(ISNUMBER(N53),VLOOKUP(IF(OR(N53=5,N53=6),N53&amp;IF(H53&gt;=3,"+","&lt;"),N53&amp;""),TargetLookup,IF(B53=-1,7,IF(OR(M53="W",M53="A"),5,3)),FALSE),"TBD")</f>
        <v>0</v>
      </c>
      <c r="Q53" s="18" t="s">
        <v>92</v>
      </c>
      <c r="R53" s="19" t="s">
        <v>131</v>
      </c>
      <c r="S53" s="19" t="s">
        <v>94</v>
      </c>
      <c r="T53" s="19">
        <f>Q53&amp;S53&amp;D53</f>
        <v>0</v>
      </c>
      <c r="U53" s="11">
        <f t="array" ref="U53">1-PRODUCT(IF(Students=E53,MGRMoneyMult,1))</f>
        <v>0</v>
      </c>
      <c r="V53" s="12">
        <f t="array" ref="V53">1-PRODUCT(IF(Students=E53,RGRMoneyMult,1))</f>
        <v>0</v>
      </c>
      <c r="W53" s="13">
        <f>COUNTIFS(Students,E53,Results,"Accepted!")+COUNTIFS(Students,E53,Results,"CHOICE!")</f>
        <v>0</v>
      </c>
      <c r="X53" s="1">
        <f>COUNTIFS(Students,E53,Results,"Deferred")+COUNTIFS(Students,E53,Results,"Waitlist")</f>
        <v>0</v>
      </c>
      <c r="Y53" s="13">
        <f>COUNTIFS(Students,E53,Results,"Denied")</f>
        <v>0</v>
      </c>
      <c r="Z53" s="13">
        <f>W53+X53+Y53+COUNTIFS(Students,E53,Results,"Submitted")</f>
        <v>0</v>
      </c>
      <c r="AA53" s="12">
        <v>0.4456421499046742</v>
      </c>
      <c r="AB53" s="12">
        <v>0.41239991289624</v>
      </c>
      <c r="AC53" s="12">
        <v>0.3547394358232283</v>
      </c>
      <c r="AD53" s="12">
        <v>0.3337719644434422</v>
      </c>
      <c r="AE53" s="13">
        <f>COUNTIFS(Students,E53,Results,"CHOICE!")</f>
        <v>0</v>
      </c>
      <c r="AF53" s="1">
        <f>COUNTIFS(MoneyYesNo,1,RGRcount,1,Students,E53,Results,"Accepted!")</f>
        <v>0</v>
      </c>
      <c r="AG53" s="1">
        <f>COUNTIFS(MoneyYesNo,1,MGRcount,1,Students,E53,Results,"Accepted!")-AF53</f>
        <v>0</v>
      </c>
      <c r="AH53" s="1">
        <f>COUNTIFS(MoneyYesNo,1,Students,E53,Results,"Accepted!")-AF53-AG53</f>
        <v>0</v>
      </c>
      <c r="AI53" s="13">
        <f>COUNTIFS(Students,E53,Results,"Accepted!")-AF53-AG53-AH53</f>
        <v>0</v>
      </c>
      <c r="AJ53" s="1">
        <f>SUMIFS(RGRcount,Students,E53,MoneyYesNo,1)</f>
        <v>0</v>
      </c>
      <c r="AK53" s="1">
        <f>SUMIFS(MGRcount,Students,E53,MoneyYesNo,1)-AJ53</f>
        <v>0</v>
      </c>
      <c r="AL53" s="1">
        <f>SUMIF(Students,E53,MoneyYesNo)-AJ53-AK53</f>
        <v>0</v>
      </c>
      <c r="AM53" s="13">
        <f>SUM(AJ53,AK53,AL53)</f>
        <v>0</v>
      </c>
      <c r="AN53" s="1">
        <f>SUMIF(Students,E53,RGRcount)</f>
        <v>0</v>
      </c>
      <c r="AO53" s="1">
        <f>SUMIF(Students,E53,MGRcount)-AN53</f>
        <v>0</v>
      </c>
      <c r="AP53" s="1">
        <f>COUNTIF(Students,E53)-AN53-AO53</f>
        <v>0</v>
      </c>
      <c r="AQ53" s="1">
        <f>SUMIF(Students,E53,FarBelowTGRCount)</f>
        <v>0</v>
      </c>
      <c r="AR53" s="47">
        <f>COUNTIF(Students,E53)</f>
        <v>0</v>
      </c>
      <c r="AS53" s="11">
        <f>IF(AR53&gt;0,Z53/AR53,0)</f>
        <v>0</v>
      </c>
      <c r="AT53" s="11">
        <f t="array" ref="AT53">1-PRODUCT(IF(Students=E53,MGRMult,1))</f>
        <v>0</v>
      </c>
      <c r="AU53" s="12">
        <f t="array" ref="AU53">1-PRODUCT(IF(Students=E53,RGRMult,1))</f>
        <v>0</v>
      </c>
      <c r="AV53" s="1">
        <f>COUNTIFS(Students,E53,Classes,HailMaryLabel)</f>
        <v>0</v>
      </c>
      <c r="AW53" s="1">
        <f>COUNTIFS(Students,E53,Classes,LongshotLabel)</f>
        <v>0</v>
      </c>
      <c r="AX53" s="1">
        <f>COUNTIFS(Students,E53,Classes,ReachLabel)</f>
        <v>0</v>
      </c>
      <c r="AY53" s="1">
        <f>COUNTIFS(Students,E53,Classes,MatchLabel)</f>
        <v>0</v>
      </c>
      <c r="AZ53" s="1">
        <f>COUNTIFS(Students,E53,Classes,SafetyLabel)</f>
        <v>0</v>
      </c>
      <c r="BA53" s="1">
        <f>COUNTIFS(Students,E53,Classes,SecureLabel)</f>
        <v>0</v>
      </c>
      <c r="BB53" s="1">
        <f>COUNTIFS(Students,E53,Classes,SureThingLabel)</f>
        <v>0</v>
      </c>
      <c r="BC53" s="13">
        <f>COUNTIFS(Students,E53,Classes,"Other")</f>
        <v>0</v>
      </c>
      <c r="BD53" s="1">
        <f>COUNTIFS(Students,E53,Classes,ReachLabel,MoneyYesNo,1)</f>
        <v>0</v>
      </c>
      <c r="BE53" s="1">
        <f>COUNTIFS(Students,E53,Classes,MatchLabel,MoneyYesNo,1)</f>
        <v>0</v>
      </c>
      <c r="BF53" s="1">
        <f>COUNTIFS(Students,E53,Classes,SafetyLabel,MoneyYesNo,1)</f>
        <v>0</v>
      </c>
      <c r="BG53" s="1">
        <f>COUNTIFS(Students,E53,Classes,SecureLabel,MoneyYesNo,1)</f>
        <v>0</v>
      </c>
      <c r="BH53" s="1">
        <f>COUNTIFS(Students,E53,Classes,SureThingLabel,MoneyYesNo,1)</f>
        <v>0</v>
      </c>
      <c r="BI53" s="1">
        <f>SUM(BD53:BH53)</f>
        <v>0</v>
      </c>
      <c r="BJ53" s="1">
        <f>SUMIFS(RGRcount,Students,E53,MoneyYesNo,1,Odds,"&gt;=20")</f>
        <v>0</v>
      </c>
      <c r="BK53" s="1">
        <f>SUMIFS(MGRcount,Students,E53,MoneyYesNo,1,Odds,"&gt;=20")-BJ53</f>
        <v>0</v>
      </c>
      <c r="BL53" s="1">
        <f>SUMIFS(RGRcount,Students,E53,MoneyYesNo,1,Odds,"&gt;=10")</f>
        <v>0</v>
      </c>
      <c r="BM53" s="1">
        <f>SUMIFS(MGRcount,Students,E53,MoneyYesNo,1,Odds,"&gt;=10")-BL53</f>
        <v>0</v>
      </c>
      <c r="BN53" s="1">
        <f>COUNTIFS(Students,E53,ILPublic,1)</f>
        <v>0</v>
      </c>
      <c r="BO53" s="1">
        <f>COUNTIFS(Students,E53,ILPublic,1, Classes,MatchLabel)+COUNTIFS(Students,E53,ILPublic,1, Classes,SafetyLabel)+COUNTIFS(Students,E53,ILPublic,1, Classes,SecureLabel)</f>
        <v>0</v>
      </c>
      <c r="BP53" s="1">
        <f>COUNTIFS(Students,E53,ILPublic,1, Classes,SecureLabel)</f>
        <v>0</v>
      </c>
      <c r="BQ53" s="1">
        <f>COUNTIFS(Students,E53,MoneyChicago,1)</f>
        <v>0</v>
      </c>
      <c r="BR53" s="1">
        <f>COUNTIFS(Students,E53,MatchOrUnder,1)</f>
        <v>0</v>
      </c>
      <c r="BS53" s="1">
        <f>SUMIF(Students,E53,MGRcount)</f>
        <v>0</v>
      </c>
      <c r="BT53" s="1">
        <f>COUNTIFS(Students,E53,BadMoney,1)</f>
        <v>0</v>
      </c>
      <c r="BU53" s="1">
        <f>COUNTIFS(Students,E53,GoldenThree,1)</f>
        <v>0</v>
      </c>
    </row>
    <row r="54" spans="1:73">
      <c r="A54" s="18" t="s">
        <v>86</v>
      </c>
      <c r="B54" s="19">
        <v>0</v>
      </c>
      <c r="C54" s="18" t="s">
        <v>87</v>
      </c>
      <c r="D54" s="18" t="s">
        <v>259</v>
      </c>
      <c r="E54" s="19">
        <v>23274999</v>
      </c>
      <c r="F54" s="19" t="s">
        <v>260</v>
      </c>
      <c r="G54" s="10" t="s">
        <v>261</v>
      </c>
      <c r="H54" s="46">
        <v>3.4038</v>
      </c>
      <c r="I54" s="1">
        <v>19</v>
      </c>
      <c r="J54" s="1">
        <v>1090</v>
      </c>
      <c r="K54" s="1">
        <f>IF(ISNUMBER(J54),VLOOKUP(J54,SATtoACT,2,FALSE),"TBD")</f>
        <v>0</v>
      </c>
      <c r="L54" s="1">
        <f>IF(ISNUMBER(I54),IF(ISNUMBER(K54),MAX(I54,K54),I54),IF(ISNUMBER(K54),K54,"TBD"))</f>
        <v>0</v>
      </c>
      <c r="M54" s="1" t="s">
        <v>91</v>
      </c>
      <c r="N54" s="1">
        <f>IF(AND(H54&lt;&gt;0,L54&lt;&gt;0),IF(ISNUMBER(VLOOKUP(TEXT(MAX(FLOOR(H54*10,1)/10,1.5),"0.0")&amp;":"&amp;MAX(L54,12),StrategyLookup,4,FALSE)),VLOOKUP(TEXT(MAX(FLOOR(H54*10,1)/10,1.5),"0.0")&amp;":"&amp;MAX(L54,12),StrategyLookup,4,FALSE),"TBD"),"TBD")</f>
        <v>0</v>
      </c>
      <c r="O54" s="11">
        <f>IF(ISNUMBER(N54),VLOOKUP(IF(OR(N54=5,N54=6),N54&amp;IF(H54&gt;=3,"+","&lt;"),N54&amp;""),TargetLookup,IF(B54=-1,6,IF(OR(M54="W",M54="A"),4,2)),FALSE),"TBD")</f>
        <v>0</v>
      </c>
      <c r="P54" s="11">
        <f>IF(ISNUMBER(N54),VLOOKUP(IF(OR(N54=5,N54=6),N54&amp;IF(H54&gt;=3,"+","&lt;"),N54&amp;""),TargetLookup,IF(B54=-1,7,IF(OR(M54="W",M54="A"),5,3)),FALSE),"TBD")</f>
        <v>0</v>
      </c>
      <c r="Q54" s="18" t="s">
        <v>120</v>
      </c>
      <c r="R54" s="19" t="s">
        <v>155</v>
      </c>
      <c r="S54" s="19" t="s">
        <v>94</v>
      </c>
      <c r="T54" s="19">
        <f>Q54&amp;S54&amp;D54</f>
        <v>0</v>
      </c>
      <c r="U54" s="11">
        <f t="array" ref="U54">1-PRODUCT(IF(Students=E54,MGRMoneyMult,1))</f>
        <v>0</v>
      </c>
      <c r="V54" s="12">
        <f t="array" ref="V54">1-PRODUCT(IF(Students=E54,RGRMoneyMult,1))</f>
        <v>0</v>
      </c>
      <c r="W54" s="13">
        <f>COUNTIFS(Students,E54,Results,"Accepted!")+COUNTIFS(Students,E54,Results,"CHOICE!")</f>
        <v>0</v>
      </c>
      <c r="X54" s="1">
        <f>COUNTIFS(Students,E54,Results,"Deferred")+COUNTIFS(Students,E54,Results,"Waitlist")</f>
        <v>0</v>
      </c>
      <c r="Y54" s="13">
        <f>COUNTIFS(Students,E54,Results,"Denied")</f>
        <v>0</v>
      </c>
      <c r="Z54" s="13">
        <f>W54+X54+Y54+COUNTIFS(Students,E54,Results,"Submitted")</f>
        <v>0</v>
      </c>
      <c r="AA54" s="12">
        <v>0.7704986441828514</v>
      </c>
      <c r="AB54" s="12">
        <v>0.7384699652410989</v>
      </c>
      <c r="AC54" s="12">
        <v>0.6308293561323167</v>
      </c>
      <c r="AD54" s="12">
        <v>0.6020223166843782</v>
      </c>
      <c r="AE54" s="13">
        <f>COUNTIFS(Students,E54,Results,"CHOICE!")</f>
        <v>0</v>
      </c>
      <c r="AF54" s="1">
        <f>COUNTIFS(MoneyYesNo,1,RGRcount,1,Students,E54,Results,"Accepted!")</f>
        <v>0</v>
      </c>
      <c r="AG54" s="1">
        <f>COUNTIFS(MoneyYesNo,1,MGRcount,1,Students,E54,Results,"Accepted!")-AF54</f>
        <v>0</v>
      </c>
      <c r="AH54" s="1">
        <f>COUNTIFS(MoneyYesNo,1,Students,E54,Results,"Accepted!")-AF54-AG54</f>
        <v>0</v>
      </c>
      <c r="AI54" s="13">
        <f>COUNTIFS(Students,E54,Results,"Accepted!")-AF54-AG54-AH54</f>
        <v>0</v>
      </c>
      <c r="AJ54" s="1">
        <f>SUMIFS(RGRcount,Students,E54,MoneyYesNo,1)</f>
        <v>0</v>
      </c>
      <c r="AK54" s="1">
        <f>SUMIFS(MGRcount,Students,E54,MoneyYesNo,1)-AJ54</f>
        <v>0</v>
      </c>
      <c r="AL54" s="1">
        <f>SUMIF(Students,E54,MoneyYesNo)-AJ54-AK54</f>
        <v>0</v>
      </c>
      <c r="AM54" s="13">
        <f>SUM(AJ54,AK54,AL54)</f>
        <v>0</v>
      </c>
      <c r="AN54" s="1">
        <f>SUMIF(Students,E54,RGRcount)</f>
        <v>0</v>
      </c>
      <c r="AO54" s="1">
        <f>SUMIF(Students,E54,MGRcount)-AN54</f>
        <v>0</v>
      </c>
      <c r="AP54" s="1">
        <f>COUNTIF(Students,E54)-AN54-AO54</f>
        <v>0</v>
      </c>
      <c r="AQ54" s="1">
        <f>SUMIF(Students,E54,FarBelowTGRCount)</f>
        <v>0</v>
      </c>
      <c r="AR54" s="47">
        <f>COUNTIF(Students,E54)</f>
        <v>0</v>
      </c>
      <c r="AS54" s="11">
        <f>IF(AR54&gt;0,Z54/AR54,0)</f>
        <v>0</v>
      </c>
      <c r="AT54" s="11">
        <f t="array" ref="AT54">1-PRODUCT(IF(Students=E54,MGRMult,1))</f>
        <v>0</v>
      </c>
      <c r="AU54" s="12">
        <f t="array" ref="AU54">1-PRODUCT(IF(Students=E54,RGRMult,1))</f>
        <v>0</v>
      </c>
      <c r="AV54" s="1">
        <f>COUNTIFS(Students,E54,Classes,HailMaryLabel)</f>
        <v>0</v>
      </c>
      <c r="AW54" s="1">
        <f>COUNTIFS(Students,E54,Classes,LongshotLabel)</f>
        <v>0</v>
      </c>
      <c r="AX54" s="1">
        <f>COUNTIFS(Students,E54,Classes,ReachLabel)</f>
        <v>0</v>
      </c>
      <c r="AY54" s="1">
        <f>COUNTIFS(Students,E54,Classes,MatchLabel)</f>
        <v>0</v>
      </c>
      <c r="AZ54" s="1">
        <f>COUNTIFS(Students,E54,Classes,SafetyLabel)</f>
        <v>0</v>
      </c>
      <c r="BA54" s="1">
        <f>COUNTIFS(Students,E54,Classes,SecureLabel)</f>
        <v>0</v>
      </c>
      <c r="BB54" s="1">
        <f>COUNTIFS(Students,E54,Classes,SureThingLabel)</f>
        <v>0</v>
      </c>
      <c r="BC54" s="13">
        <f>COUNTIFS(Students,E54,Classes,"Other")</f>
        <v>0</v>
      </c>
      <c r="BD54" s="1">
        <f>COUNTIFS(Students,E54,Classes,ReachLabel,MoneyYesNo,1)</f>
        <v>0</v>
      </c>
      <c r="BE54" s="1">
        <f>COUNTIFS(Students,E54,Classes,MatchLabel,MoneyYesNo,1)</f>
        <v>0</v>
      </c>
      <c r="BF54" s="1">
        <f>COUNTIFS(Students,E54,Classes,SafetyLabel,MoneyYesNo,1)</f>
        <v>0</v>
      </c>
      <c r="BG54" s="1">
        <f>COUNTIFS(Students,E54,Classes,SecureLabel,MoneyYesNo,1)</f>
        <v>0</v>
      </c>
      <c r="BH54" s="1">
        <f>COUNTIFS(Students,E54,Classes,SureThingLabel,MoneyYesNo,1)</f>
        <v>0</v>
      </c>
      <c r="BI54" s="1">
        <f>SUM(BD54:BH54)</f>
        <v>0</v>
      </c>
      <c r="BJ54" s="1">
        <f>SUMIFS(RGRcount,Students,E54,MoneyYesNo,1,Odds,"&gt;=20")</f>
        <v>0</v>
      </c>
      <c r="BK54" s="1">
        <f>SUMIFS(MGRcount,Students,E54,MoneyYesNo,1,Odds,"&gt;=20")-BJ54</f>
        <v>0</v>
      </c>
      <c r="BL54" s="1">
        <f>SUMIFS(RGRcount,Students,E54,MoneyYesNo,1,Odds,"&gt;=10")</f>
        <v>0</v>
      </c>
      <c r="BM54" s="1">
        <f>SUMIFS(MGRcount,Students,E54,MoneyYesNo,1,Odds,"&gt;=10")-BL54</f>
        <v>0</v>
      </c>
      <c r="BN54" s="1">
        <f>COUNTIFS(Students,E54,ILPublic,1)</f>
        <v>0</v>
      </c>
      <c r="BO54" s="1">
        <f>COUNTIFS(Students,E54,ILPublic,1, Classes,MatchLabel)+COUNTIFS(Students,E54,ILPublic,1, Classes,SafetyLabel)+COUNTIFS(Students,E54,ILPublic,1, Classes,SecureLabel)</f>
        <v>0</v>
      </c>
      <c r="BP54" s="1">
        <f>COUNTIFS(Students,E54,ILPublic,1, Classes,SecureLabel)</f>
        <v>0</v>
      </c>
      <c r="BQ54" s="1">
        <f>COUNTIFS(Students,E54,MoneyChicago,1)</f>
        <v>0</v>
      </c>
      <c r="BR54" s="1">
        <f>COUNTIFS(Students,E54,MatchOrUnder,1)</f>
        <v>0</v>
      </c>
      <c r="BS54" s="1">
        <f>SUMIF(Students,E54,MGRcount)</f>
        <v>0</v>
      </c>
      <c r="BT54" s="1">
        <f>COUNTIFS(Students,E54,BadMoney,1)</f>
        <v>0</v>
      </c>
      <c r="BU54" s="1">
        <f>COUNTIFS(Students,E54,GoldenThree,1)</f>
        <v>0</v>
      </c>
    </row>
    <row r="55" spans="1:73">
      <c r="A55" s="18" t="s">
        <v>86</v>
      </c>
      <c r="B55" s="19">
        <v>0</v>
      </c>
      <c r="C55" s="18" t="s">
        <v>87</v>
      </c>
      <c r="D55" s="18" t="s">
        <v>262</v>
      </c>
      <c r="E55" s="19">
        <v>24026808</v>
      </c>
      <c r="F55" s="19" t="s">
        <v>263</v>
      </c>
      <c r="G55" s="10" t="s">
        <v>264</v>
      </c>
      <c r="H55" s="46">
        <v>2.6846</v>
      </c>
      <c r="I55" s="1">
        <v>20</v>
      </c>
      <c r="J55" s="1">
        <v>1110</v>
      </c>
      <c r="K55" s="1">
        <f>IF(ISNUMBER(J55),VLOOKUP(J55,SATtoACT,2,FALSE),"TBD")</f>
        <v>0</v>
      </c>
      <c r="L55" s="1">
        <f>IF(ISNUMBER(I55),IF(ISNUMBER(K55),MAX(I55,K55),I55),IF(ISNUMBER(K55),K55,"TBD"))</f>
        <v>0</v>
      </c>
      <c r="M55" s="1" t="s">
        <v>91</v>
      </c>
      <c r="N55" s="1">
        <f>IF(AND(H55&lt;&gt;0,L55&lt;&gt;0),IF(ISNUMBER(VLOOKUP(TEXT(MAX(FLOOR(H55*10,1)/10,1.5),"0.0")&amp;":"&amp;MAX(L55,12),StrategyLookup,4,FALSE)),VLOOKUP(TEXT(MAX(FLOOR(H55*10,1)/10,1.5),"0.0")&amp;":"&amp;MAX(L55,12),StrategyLookup,4,FALSE),"TBD"),"TBD")</f>
        <v>0</v>
      </c>
      <c r="O55" s="11">
        <f>IF(ISNUMBER(N55),VLOOKUP(IF(OR(N55=5,N55=6),N55&amp;IF(H55&gt;=3,"+","&lt;"),N55&amp;""),TargetLookup,IF(B55=-1,6,IF(OR(M55="W",M55="A"),4,2)),FALSE),"TBD")</f>
        <v>0</v>
      </c>
      <c r="P55" s="11">
        <f>IF(ISNUMBER(N55),VLOOKUP(IF(OR(N55=5,N55=6),N55&amp;IF(H55&gt;=3,"+","&lt;"),N55&amp;""),TargetLookup,IF(B55=-1,7,IF(OR(M55="W",M55="A"),5,3)),FALSE),"TBD")</f>
        <v>0</v>
      </c>
      <c r="Q55" s="18" t="s">
        <v>165</v>
      </c>
      <c r="R55" s="19" t="s">
        <v>131</v>
      </c>
      <c r="S55" s="19" t="s">
        <v>94</v>
      </c>
      <c r="T55" s="19">
        <f>Q55&amp;S55&amp;D55</f>
        <v>0</v>
      </c>
      <c r="U55" s="11">
        <f t="array" ref="U55">1-PRODUCT(IF(Students=E55,MGRMoneyMult,1))</f>
        <v>0</v>
      </c>
      <c r="V55" s="12">
        <f t="array" ref="V55">1-PRODUCT(IF(Students=E55,RGRMoneyMult,1))</f>
        <v>0</v>
      </c>
      <c r="W55" s="13">
        <f>COUNTIFS(Students,E55,Results,"Accepted!")+COUNTIFS(Students,E55,Results,"CHOICE!")</f>
        <v>0</v>
      </c>
      <c r="X55" s="1">
        <f>COUNTIFS(Students,E55,Results,"Deferred")+COUNTIFS(Students,E55,Results,"Waitlist")</f>
        <v>0</v>
      </c>
      <c r="Y55" s="13">
        <f>COUNTIFS(Students,E55,Results,"Denied")</f>
        <v>0</v>
      </c>
      <c r="Z55" s="13">
        <f>W55+X55+Y55+COUNTIFS(Students,E55,Results,"Submitted")</f>
        <v>0</v>
      </c>
      <c r="AA55" s="12">
        <v>0</v>
      </c>
      <c r="AB55" s="12">
        <v>0</v>
      </c>
      <c r="AC55" s="12">
        <v>0</v>
      </c>
      <c r="AD55" s="12">
        <v>0</v>
      </c>
      <c r="AE55" s="13">
        <f>COUNTIFS(Students,E55,Results,"CHOICE!")</f>
        <v>0</v>
      </c>
      <c r="AF55" s="1">
        <f>COUNTIFS(MoneyYesNo,1,RGRcount,1,Students,E55,Results,"Accepted!")</f>
        <v>0</v>
      </c>
      <c r="AG55" s="1">
        <f>COUNTIFS(MoneyYesNo,1,MGRcount,1,Students,E55,Results,"Accepted!")-AF55</f>
        <v>0</v>
      </c>
      <c r="AH55" s="1">
        <f>COUNTIFS(MoneyYesNo,1,Students,E55,Results,"Accepted!")-AF55-AG55</f>
        <v>0</v>
      </c>
      <c r="AI55" s="13">
        <f>COUNTIFS(Students,E55,Results,"Accepted!")-AF55-AG55-AH55</f>
        <v>0</v>
      </c>
      <c r="AJ55" s="1">
        <f>SUMIFS(RGRcount,Students,E55,MoneyYesNo,1)</f>
        <v>0</v>
      </c>
      <c r="AK55" s="1">
        <f>SUMIFS(MGRcount,Students,E55,MoneyYesNo,1)-AJ55</f>
        <v>0</v>
      </c>
      <c r="AL55" s="1">
        <f>SUMIF(Students,E55,MoneyYesNo)-AJ55-AK55</f>
        <v>0</v>
      </c>
      <c r="AM55" s="13">
        <f>SUM(AJ55,AK55,AL55)</f>
        <v>0</v>
      </c>
      <c r="AN55" s="1">
        <f>SUMIF(Students,E55,RGRcount)</f>
        <v>0</v>
      </c>
      <c r="AO55" s="1">
        <f>SUMIF(Students,E55,MGRcount)-AN55</f>
        <v>0</v>
      </c>
      <c r="AP55" s="1">
        <f>COUNTIF(Students,E55)-AN55-AO55</f>
        <v>0</v>
      </c>
      <c r="AQ55" s="1">
        <f>SUMIF(Students,E55,FarBelowTGRCount)</f>
        <v>0</v>
      </c>
      <c r="AR55" s="47">
        <f>COUNTIF(Students,E55)</f>
        <v>0</v>
      </c>
      <c r="AS55" s="11">
        <f>IF(AR55&gt;0,Z55/AR55,0)</f>
        <v>0</v>
      </c>
      <c r="AT55" s="11">
        <f t="array" ref="AT55">1-PRODUCT(IF(Students=E55,MGRMult,1))</f>
        <v>0</v>
      </c>
      <c r="AU55" s="12">
        <f t="array" ref="AU55">1-PRODUCT(IF(Students=E55,RGRMult,1))</f>
        <v>0</v>
      </c>
      <c r="AV55" s="1">
        <f>COUNTIFS(Students,E55,Classes,HailMaryLabel)</f>
        <v>0</v>
      </c>
      <c r="AW55" s="1">
        <f>COUNTIFS(Students,E55,Classes,LongshotLabel)</f>
        <v>0</v>
      </c>
      <c r="AX55" s="1">
        <f>COUNTIFS(Students,E55,Classes,ReachLabel)</f>
        <v>0</v>
      </c>
      <c r="AY55" s="1">
        <f>COUNTIFS(Students,E55,Classes,MatchLabel)</f>
        <v>0</v>
      </c>
      <c r="AZ55" s="1">
        <f>COUNTIFS(Students,E55,Classes,SafetyLabel)</f>
        <v>0</v>
      </c>
      <c r="BA55" s="1">
        <f>COUNTIFS(Students,E55,Classes,SecureLabel)</f>
        <v>0</v>
      </c>
      <c r="BB55" s="1">
        <f>COUNTIFS(Students,E55,Classes,SureThingLabel)</f>
        <v>0</v>
      </c>
      <c r="BC55" s="13">
        <f>COUNTIFS(Students,E55,Classes,"Other")</f>
        <v>0</v>
      </c>
      <c r="BD55" s="1">
        <f>COUNTIFS(Students,E55,Classes,ReachLabel,MoneyYesNo,1)</f>
        <v>0</v>
      </c>
      <c r="BE55" s="1">
        <f>COUNTIFS(Students,E55,Classes,MatchLabel,MoneyYesNo,1)</f>
        <v>0</v>
      </c>
      <c r="BF55" s="1">
        <f>COUNTIFS(Students,E55,Classes,SafetyLabel,MoneyYesNo,1)</f>
        <v>0</v>
      </c>
      <c r="BG55" s="1">
        <f>COUNTIFS(Students,E55,Classes,SecureLabel,MoneyYesNo,1)</f>
        <v>0</v>
      </c>
      <c r="BH55" s="1">
        <f>COUNTIFS(Students,E55,Classes,SureThingLabel,MoneyYesNo,1)</f>
        <v>0</v>
      </c>
      <c r="BI55" s="1">
        <f>SUM(BD55:BH55)</f>
        <v>0</v>
      </c>
      <c r="BJ55" s="1">
        <f>SUMIFS(RGRcount,Students,E55,MoneyYesNo,1,Odds,"&gt;=20")</f>
        <v>0</v>
      </c>
      <c r="BK55" s="1">
        <f>SUMIFS(MGRcount,Students,E55,MoneyYesNo,1,Odds,"&gt;=20")-BJ55</f>
        <v>0</v>
      </c>
      <c r="BL55" s="1">
        <f>SUMIFS(RGRcount,Students,E55,MoneyYesNo,1,Odds,"&gt;=10")</f>
        <v>0</v>
      </c>
      <c r="BM55" s="1">
        <f>SUMIFS(MGRcount,Students,E55,MoneyYesNo,1,Odds,"&gt;=10")-BL55</f>
        <v>0</v>
      </c>
      <c r="BN55" s="1">
        <f>COUNTIFS(Students,E55,ILPublic,1)</f>
        <v>0</v>
      </c>
      <c r="BO55" s="1">
        <f>COUNTIFS(Students,E55,ILPublic,1, Classes,MatchLabel)+COUNTIFS(Students,E55,ILPublic,1, Classes,SafetyLabel)+COUNTIFS(Students,E55,ILPublic,1, Classes,SecureLabel)</f>
        <v>0</v>
      </c>
      <c r="BP55" s="1">
        <f>COUNTIFS(Students,E55,ILPublic,1, Classes,SecureLabel)</f>
        <v>0</v>
      </c>
      <c r="BQ55" s="1">
        <f>COUNTIFS(Students,E55,MoneyChicago,1)</f>
        <v>0</v>
      </c>
      <c r="BR55" s="1">
        <f>COUNTIFS(Students,E55,MatchOrUnder,1)</f>
        <v>0</v>
      </c>
      <c r="BS55" s="1">
        <f>SUMIF(Students,E55,MGRcount)</f>
        <v>0</v>
      </c>
      <c r="BT55" s="1">
        <f>COUNTIFS(Students,E55,BadMoney,1)</f>
        <v>0</v>
      </c>
      <c r="BU55" s="1">
        <f>COUNTIFS(Students,E55,GoldenThree,1)</f>
        <v>0</v>
      </c>
    </row>
    <row r="56" spans="1:73">
      <c r="A56" s="18" t="s">
        <v>86</v>
      </c>
      <c r="B56" s="19">
        <v>0</v>
      </c>
      <c r="C56" s="18" t="s">
        <v>138</v>
      </c>
      <c r="D56" s="18" t="s">
        <v>265</v>
      </c>
      <c r="E56" s="19">
        <v>22372458</v>
      </c>
      <c r="F56" s="19" t="s">
        <v>266</v>
      </c>
      <c r="G56" s="10" t="s">
        <v>267</v>
      </c>
      <c r="H56" s="46">
        <v>1.9904</v>
      </c>
      <c r="I56" s="1">
        <v>18</v>
      </c>
      <c r="J56" s="1">
        <v>1030</v>
      </c>
      <c r="K56" s="1">
        <f>IF(ISNUMBER(J56),VLOOKUP(J56,SATtoACT,2,FALSE),"TBD")</f>
        <v>0</v>
      </c>
      <c r="L56" s="1">
        <f>IF(ISNUMBER(I56),IF(ISNUMBER(K56),MAX(I56,K56),I56),IF(ISNUMBER(K56),K56,"TBD"))</f>
        <v>0</v>
      </c>
      <c r="M56" s="1" t="s">
        <v>91</v>
      </c>
      <c r="N56" s="1">
        <f>IF(AND(H56&lt;&gt;0,L56&lt;&gt;0),IF(ISNUMBER(VLOOKUP(TEXT(MAX(FLOOR(H56*10,1)/10,1.5),"0.0")&amp;":"&amp;MAX(L56,12),StrategyLookup,4,FALSE)),VLOOKUP(TEXT(MAX(FLOOR(H56*10,1)/10,1.5),"0.0")&amp;":"&amp;MAX(L56,12),StrategyLookup,4,FALSE),"TBD"),"TBD")</f>
        <v>0</v>
      </c>
      <c r="O56" s="11">
        <f>IF(ISNUMBER(N56),VLOOKUP(IF(OR(N56=5,N56=6),N56&amp;IF(H56&gt;=3,"+","&lt;"),N56&amp;""),TargetLookup,IF(B56=-1,6,IF(OR(M56="W",M56="A"),4,2)),FALSE),"TBD")</f>
        <v>0</v>
      </c>
      <c r="P56" s="11">
        <f>IF(ISNUMBER(N56),VLOOKUP(IF(OR(N56=5,N56=6),N56&amp;IF(H56&gt;=3,"+","&lt;"),N56&amp;""),TargetLookup,IF(B56=-1,7,IF(OR(M56="W",M56="A"),5,3)),FALSE),"TBD")</f>
        <v>0</v>
      </c>
      <c r="Q56" s="18" t="s">
        <v>92</v>
      </c>
      <c r="R56" s="19" t="s">
        <v>116</v>
      </c>
      <c r="S56" s="19" t="s">
        <v>94</v>
      </c>
      <c r="T56" s="19">
        <f>Q56&amp;S56&amp;D56</f>
        <v>0</v>
      </c>
      <c r="U56" s="11">
        <f t="array" ref="U56">1-PRODUCT(IF(Students=E56,MGRMoneyMult,1))</f>
        <v>0</v>
      </c>
      <c r="V56" s="12">
        <f t="array" ref="V56">1-PRODUCT(IF(Students=E56,RGRMoneyMult,1))</f>
        <v>0</v>
      </c>
      <c r="W56" s="13">
        <f>COUNTIFS(Students,E56,Results,"Accepted!")+COUNTIFS(Students,E56,Results,"CHOICE!")</f>
        <v>0</v>
      </c>
      <c r="X56" s="1">
        <f>COUNTIFS(Students,E56,Results,"Deferred")+COUNTIFS(Students,E56,Results,"Waitlist")</f>
        <v>0</v>
      </c>
      <c r="Y56" s="13">
        <f>COUNTIFS(Students,E56,Results,"Denied")</f>
        <v>0</v>
      </c>
      <c r="Z56" s="13">
        <f>W56+X56+Y56+COUNTIFS(Students,E56,Results,"Submitted")</f>
        <v>0</v>
      </c>
      <c r="AA56" s="12">
        <v>0.4077724905558582</v>
      </c>
      <c r="AB56" s="12">
        <v>0.3909026364348845</v>
      </c>
      <c r="AC56" s="12">
        <v>0.3253089582697439</v>
      </c>
      <c r="AD56" s="12">
        <v>0.3122141663278674</v>
      </c>
      <c r="AE56" s="13">
        <f>COUNTIFS(Students,E56,Results,"CHOICE!")</f>
        <v>0</v>
      </c>
      <c r="AF56" s="1">
        <f>COUNTIFS(MoneyYesNo,1,RGRcount,1,Students,E56,Results,"Accepted!")</f>
        <v>0</v>
      </c>
      <c r="AG56" s="1">
        <f>COUNTIFS(MoneyYesNo,1,MGRcount,1,Students,E56,Results,"Accepted!")-AF56</f>
        <v>0</v>
      </c>
      <c r="AH56" s="1">
        <f>COUNTIFS(MoneyYesNo,1,Students,E56,Results,"Accepted!")-AF56-AG56</f>
        <v>0</v>
      </c>
      <c r="AI56" s="13">
        <f>COUNTIFS(Students,E56,Results,"Accepted!")-AF56-AG56-AH56</f>
        <v>0</v>
      </c>
      <c r="AJ56" s="1">
        <f>SUMIFS(RGRcount,Students,E56,MoneyYesNo,1)</f>
        <v>0</v>
      </c>
      <c r="AK56" s="1">
        <f>SUMIFS(MGRcount,Students,E56,MoneyYesNo,1)-AJ56</f>
        <v>0</v>
      </c>
      <c r="AL56" s="1">
        <f>SUMIF(Students,E56,MoneyYesNo)-AJ56-AK56</f>
        <v>0</v>
      </c>
      <c r="AM56" s="13">
        <f>SUM(AJ56,AK56,AL56)</f>
        <v>0</v>
      </c>
      <c r="AN56" s="1">
        <f>SUMIF(Students,E56,RGRcount)</f>
        <v>0</v>
      </c>
      <c r="AO56" s="1">
        <f>SUMIF(Students,E56,MGRcount)-AN56</f>
        <v>0</v>
      </c>
      <c r="AP56" s="1">
        <f>COUNTIF(Students,E56)-AN56-AO56</f>
        <v>0</v>
      </c>
      <c r="AQ56" s="1">
        <f>SUMIF(Students,E56,FarBelowTGRCount)</f>
        <v>0</v>
      </c>
      <c r="AR56" s="47">
        <f>COUNTIF(Students,E56)</f>
        <v>0</v>
      </c>
      <c r="AS56" s="11">
        <f>IF(AR56&gt;0,Z56/AR56,0)</f>
        <v>0</v>
      </c>
      <c r="AT56" s="11">
        <f t="array" ref="AT56">1-PRODUCT(IF(Students=E56,MGRMult,1))</f>
        <v>0</v>
      </c>
      <c r="AU56" s="12">
        <f t="array" ref="AU56">1-PRODUCT(IF(Students=E56,RGRMult,1))</f>
        <v>0</v>
      </c>
      <c r="AV56" s="1">
        <f>COUNTIFS(Students,E56,Classes,HailMaryLabel)</f>
        <v>0</v>
      </c>
      <c r="AW56" s="1">
        <f>COUNTIFS(Students,E56,Classes,LongshotLabel)</f>
        <v>0</v>
      </c>
      <c r="AX56" s="1">
        <f>COUNTIFS(Students,E56,Classes,ReachLabel)</f>
        <v>0</v>
      </c>
      <c r="AY56" s="1">
        <f>COUNTIFS(Students,E56,Classes,MatchLabel)</f>
        <v>0</v>
      </c>
      <c r="AZ56" s="1">
        <f>COUNTIFS(Students,E56,Classes,SafetyLabel)</f>
        <v>0</v>
      </c>
      <c r="BA56" s="1">
        <f>COUNTIFS(Students,E56,Classes,SecureLabel)</f>
        <v>0</v>
      </c>
      <c r="BB56" s="1">
        <f>COUNTIFS(Students,E56,Classes,SureThingLabel)</f>
        <v>0</v>
      </c>
      <c r="BC56" s="13">
        <f>COUNTIFS(Students,E56,Classes,"Other")</f>
        <v>0</v>
      </c>
      <c r="BD56" s="1">
        <f>COUNTIFS(Students,E56,Classes,ReachLabel,MoneyYesNo,1)</f>
        <v>0</v>
      </c>
      <c r="BE56" s="1">
        <f>COUNTIFS(Students,E56,Classes,MatchLabel,MoneyYesNo,1)</f>
        <v>0</v>
      </c>
      <c r="BF56" s="1">
        <f>COUNTIFS(Students,E56,Classes,SafetyLabel,MoneyYesNo,1)</f>
        <v>0</v>
      </c>
      <c r="BG56" s="1">
        <f>COUNTIFS(Students,E56,Classes,SecureLabel,MoneyYesNo,1)</f>
        <v>0</v>
      </c>
      <c r="BH56" s="1">
        <f>COUNTIFS(Students,E56,Classes,SureThingLabel,MoneyYesNo,1)</f>
        <v>0</v>
      </c>
      <c r="BI56" s="1">
        <f>SUM(BD56:BH56)</f>
        <v>0</v>
      </c>
      <c r="BJ56" s="1">
        <f>SUMIFS(RGRcount,Students,E56,MoneyYesNo,1,Odds,"&gt;=20")</f>
        <v>0</v>
      </c>
      <c r="BK56" s="1">
        <f>SUMIFS(MGRcount,Students,E56,MoneyYesNo,1,Odds,"&gt;=20")-BJ56</f>
        <v>0</v>
      </c>
      <c r="BL56" s="1">
        <f>SUMIFS(RGRcount,Students,E56,MoneyYesNo,1,Odds,"&gt;=10")</f>
        <v>0</v>
      </c>
      <c r="BM56" s="1">
        <f>SUMIFS(MGRcount,Students,E56,MoneyYesNo,1,Odds,"&gt;=10")-BL56</f>
        <v>0</v>
      </c>
      <c r="BN56" s="1">
        <f>COUNTIFS(Students,E56,ILPublic,1)</f>
        <v>0</v>
      </c>
      <c r="BO56" s="1">
        <f>COUNTIFS(Students,E56,ILPublic,1, Classes,MatchLabel)+COUNTIFS(Students,E56,ILPublic,1, Classes,SafetyLabel)+COUNTIFS(Students,E56,ILPublic,1, Classes,SecureLabel)</f>
        <v>0</v>
      </c>
      <c r="BP56" s="1">
        <f>COUNTIFS(Students,E56,ILPublic,1, Classes,SecureLabel)</f>
        <v>0</v>
      </c>
      <c r="BQ56" s="1">
        <f>COUNTIFS(Students,E56,MoneyChicago,1)</f>
        <v>0</v>
      </c>
      <c r="BR56" s="1">
        <f>COUNTIFS(Students,E56,MatchOrUnder,1)</f>
        <v>0</v>
      </c>
      <c r="BS56" s="1">
        <f>SUMIF(Students,E56,MGRcount)</f>
        <v>0</v>
      </c>
      <c r="BT56" s="1">
        <f>COUNTIFS(Students,E56,BadMoney,1)</f>
        <v>0</v>
      </c>
      <c r="BU56" s="1">
        <f>COUNTIFS(Students,E56,GoldenThree,1)</f>
        <v>0</v>
      </c>
    </row>
    <row r="57" spans="1:73">
      <c r="A57" s="18" t="s">
        <v>86</v>
      </c>
      <c r="B57" s="19">
        <v>-1</v>
      </c>
      <c r="C57" s="18" t="s">
        <v>87</v>
      </c>
      <c r="D57" s="18" t="s">
        <v>268</v>
      </c>
      <c r="E57" s="19">
        <v>23395591</v>
      </c>
      <c r="F57" s="19" t="s">
        <v>269</v>
      </c>
      <c r="G57" s="10" t="s">
        <v>270</v>
      </c>
      <c r="H57" s="46">
        <v>2.0333</v>
      </c>
      <c r="I57" s="1">
        <v>15</v>
      </c>
      <c r="J57" s="1">
        <v>1040</v>
      </c>
      <c r="K57" s="1">
        <f>IF(ISNUMBER(J57),VLOOKUP(J57,SATtoACT,2,FALSE),"TBD")</f>
        <v>0</v>
      </c>
      <c r="L57" s="1">
        <f>IF(ISNUMBER(I57),IF(ISNUMBER(K57),MAX(I57,K57),I57),IF(ISNUMBER(K57),K57,"TBD"))</f>
        <v>0</v>
      </c>
      <c r="M57" s="1" t="s">
        <v>91</v>
      </c>
      <c r="N57" s="1">
        <f>IF(AND(H57&lt;&gt;0,L57&lt;&gt;0),IF(ISNUMBER(VLOOKUP(TEXT(MAX(FLOOR(H57*10,1)/10,1.5),"0.0")&amp;":"&amp;MAX(L57,12),StrategyLookup,4,FALSE)),VLOOKUP(TEXT(MAX(FLOOR(H57*10,1)/10,1.5),"0.0")&amp;":"&amp;MAX(L57,12),StrategyLookup,4,FALSE),"TBD"),"TBD")</f>
        <v>0</v>
      </c>
      <c r="O57" s="11">
        <f>IF(ISNUMBER(N57),VLOOKUP(IF(OR(N57=5,N57=6),N57&amp;IF(H57&gt;=3,"+","&lt;"),N57&amp;""),TargetLookup,IF(B57=-1,6,IF(OR(M57="W",M57="A"),4,2)),FALSE),"TBD")</f>
        <v>0</v>
      </c>
      <c r="P57" s="11">
        <f>IF(ISNUMBER(N57),VLOOKUP(IF(OR(N57=5,N57=6),N57&amp;IF(H57&gt;=3,"+","&lt;"),N57&amp;""),TargetLookup,IF(B57=-1,7,IF(OR(M57="W",M57="A"),5,3)),FALSE),"TBD")</f>
        <v>0</v>
      </c>
      <c r="Q57" s="18" t="s">
        <v>98</v>
      </c>
      <c r="R57" s="19" t="s">
        <v>131</v>
      </c>
      <c r="S57" s="19" t="s">
        <v>94</v>
      </c>
      <c r="T57" s="19">
        <f>Q57&amp;S57&amp;D57</f>
        <v>0</v>
      </c>
      <c r="U57" s="11">
        <f t="array" ref="U57">1-PRODUCT(IF(Students=E57,MGRMoneyMult,1))</f>
        <v>0</v>
      </c>
      <c r="V57" s="12">
        <f t="array" ref="V57">1-PRODUCT(IF(Students=E57,RGRMoneyMult,1))</f>
        <v>0</v>
      </c>
      <c r="W57" s="13">
        <f>COUNTIFS(Students,E57,Results,"Accepted!")+COUNTIFS(Students,E57,Results,"CHOICE!")</f>
        <v>0</v>
      </c>
      <c r="X57" s="1">
        <f>COUNTIFS(Students,E57,Results,"Deferred")+COUNTIFS(Students,E57,Results,"Waitlist")</f>
        <v>0</v>
      </c>
      <c r="Y57" s="13">
        <f>COUNTIFS(Students,E57,Results,"Denied")</f>
        <v>0</v>
      </c>
      <c r="Z57" s="13">
        <f>W57+X57+Y57+COUNTIFS(Students,E57,Results,"Submitted")</f>
        <v>0</v>
      </c>
      <c r="AA57" s="12">
        <v>0.400860409416913</v>
      </c>
      <c r="AB57" s="12">
        <v>0.3645496149977708</v>
      </c>
      <c r="AC57" s="12">
        <v>0.3319818007283714</v>
      </c>
      <c r="AD57" s="12">
        <v>0.317470686186082</v>
      </c>
      <c r="AE57" s="13">
        <f>COUNTIFS(Students,E57,Results,"CHOICE!")</f>
        <v>0</v>
      </c>
      <c r="AF57" s="1">
        <f>COUNTIFS(MoneyYesNo,1,RGRcount,1,Students,E57,Results,"Accepted!")</f>
        <v>0</v>
      </c>
      <c r="AG57" s="1">
        <f>COUNTIFS(MoneyYesNo,1,MGRcount,1,Students,E57,Results,"Accepted!")-AF57</f>
        <v>0</v>
      </c>
      <c r="AH57" s="1">
        <f>COUNTIFS(MoneyYesNo,1,Students,E57,Results,"Accepted!")-AF57-AG57</f>
        <v>0</v>
      </c>
      <c r="AI57" s="13">
        <f>COUNTIFS(Students,E57,Results,"Accepted!")-AF57-AG57-AH57</f>
        <v>0</v>
      </c>
      <c r="AJ57" s="1">
        <f>SUMIFS(RGRcount,Students,E57,MoneyYesNo,1)</f>
        <v>0</v>
      </c>
      <c r="AK57" s="1">
        <f>SUMIFS(MGRcount,Students,E57,MoneyYesNo,1)-AJ57</f>
        <v>0</v>
      </c>
      <c r="AL57" s="1">
        <f>SUMIF(Students,E57,MoneyYesNo)-AJ57-AK57</f>
        <v>0</v>
      </c>
      <c r="AM57" s="13">
        <f>SUM(AJ57,AK57,AL57)</f>
        <v>0</v>
      </c>
      <c r="AN57" s="1">
        <f>SUMIF(Students,E57,RGRcount)</f>
        <v>0</v>
      </c>
      <c r="AO57" s="1">
        <f>SUMIF(Students,E57,MGRcount)-AN57</f>
        <v>0</v>
      </c>
      <c r="AP57" s="1">
        <f>COUNTIF(Students,E57)-AN57-AO57</f>
        <v>0</v>
      </c>
      <c r="AQ57" s="1">
        <f>SUMIF(Students,E57,FarBelowTGRCount)</f>
        <v>0</v>
      </c>
      <c r="AR57" s="47">
        <f>COUNTIF(Students,E57)</f>
        <v>0</v>
      </c>
      <c r="AS57" s="11">
        <f>IF(AR57&gt;0,Z57/AR57,0)</f>
        <v>0</v>
      </c>
      <c r="AT57" s="11">
        <f t="array" ref="AT57">1-PRODUCT(IF(Students=E57,MGRMult,1))</f>
        <v>0</v>
      </c>
      <c r="AU57" s="12">
        <f t="array" ref="AU57">1-PRODUCT(IF(Students=E57,RGRMult,1))</f>
        <v>0</v>
      </c>
      <c r="AV57" s="1">
        <f>COUNTIFS(Students,E57,Classes,HailMaryLabel)</f>
        <v>0</v>
      </c>
      <c r="AW57" s="1">
        <f>COUNTIFS(Students,E57,Classes,LongshotLabel)</f>
        <v>0</v>
      </c>
      <c r="AX57" s="1">
        <f>COUNTIFS(Students,E57,Classes,ReachLabel)</f>
        <v>0</v>
      </c>
      <c r="AY57" s="1">
        <f>COUNTIFS(Students,E57,Classes,MatchLabel)</f>
        <v>0</v>
      </c>
      <c r="AZ57" s="1">
        <f>COUNTIFS(Students,E57,Classes,SafetyLabel)</f>
        <v>0</v>
      </c>
      <c r="BA57" s="1">
        <f>COUNTIFS(Students,E57,Classes,SecureLabel)</f>
        <v>0</v>
      </c>
      <c r="BB57" s="1">
        <f>COUNTIFS(Students,E57,Classes,SureThingLabel)</f>
        <v>0</v>
      </c>
      <c r="BC57" s="13">
        <f>COUNTIFS(Students,E57,Classes,"Other")</f>
        <v>0</v>
      </c>
      <c r="BD57" s="1">
        <f>COUNTIFS(Students,E57,Classes,ReachLabel,MoneyYesNo,1)</f>
        <v>0</v>
      </c>
      <c r="BE57" s="1">
        <f>COUNTIFS(Students,E57,Classes,MatchLabel,MoneyYesNo,1)</f>
        <v>0</v>
      </c>
      <c r="BF57" s="1">
        <f>COUNTIFS(Students,E57,Classes,SafetyLabel,MoneyYesNo,1)</f>
        <v>0</v>
      </c>
      <c r="BG57" s="1">
        <f>COUNTIFS(Students,E57,Classes,SecureLabel,MoneyYesNo,1)</f>
        <v>0</v>
      </c>
      <c r="BH57" s="1">
        <f>COUNTIFS(Students,E57,Classes,SureThingLabel,MoneyYesNo,1)</f>
        <v>0</v>
      </c>
      <c r="BI57" s="1">
        <f>SUM(BD57:BH57)</f>
        <v>0</v>
      </c>
      <c r="BJ57" s="1">
        <f>SUMIFS(RGRcount,Students,E57,MoneyYesNo,1,Odds,"&gt;=20")</f>
        <v>0</v>
      </c>
      <c r="BK57" s="1">
        <f>SUMIFS(MGRcount,Students,E57,MoneyYesNo,1,Odds,"&gt;=20")-BJ57</f>
        <v>0</v>
      </c>
      <c r="BL57" s="1">
        <f>SUMIFS(RGRcount,Students,E57,MoneyYesNo,1,Odds,"&gt;=10")</f>
        <v>0</v>
      </c>
      <c r="BM57" s="1">
        <f>SUMIFS(MGRcount,Students,E57,MoneyYesNo,1,Odds,"&gt;=10")-BL57</f>
        <v>0</v>
      </c>
      <c r="BN57" s="1">
        <f>COUNTIFS(Students,E57,ILPublic,1)</f>
        <v>0</v>
      </c>
      <c r="BO57" s="1">
        <f>COUNTIFS(Students,E57,ILPublic,1, Classes,MatchLabel)+COUNTIFS(Students,E57,ILPublic,1, Classes,SafetyLabel)+COUNTIFS(Students,E57,ILPublic,1, Classes,SecureLabel)</f>
        <v>0</v>
      </c>
      <c r="BP57" s="1">
        <f>COUNTIFS(Students,E57,ILPublic,1, Classes,SecureLabel)</f>
        <v>0</v>
      </c>
      <c r="BQ57" s="1">
        <f>COUNTIFS(Students,E57,MoneyChicago,1)</f>
        <v>0</v>
      </c>
      <c r="BR57" s="1">
        <f>COUNTIFS(Students,E57,MatchOrUnder,1)</f>
        <v>0</v>
      </c>
      <c r="BS57" s="1">
        <f>SUMIF(Students,E57,MGRcount)</f>
        <v>0</v>
      </c>
      <c r="BT57" s="1">
        <f>COUNTIFS(Students,E57,BadMoney,1)</f>
        <v>0</v>
      </c>
      <c r="BU57" s="1">
        <f>COUNTIFS(Students,E57,GoldenThree,1)</f>
        <v>0</v>
      </c>
    </row>
    <row r="58" spans="1:73">
      <c r="A58" s="18" t="s">
        <v>86</v>
      </c>
      <c r="B58" s="19">
        <v>0</v>
      </c>
      <c r="C58" s="18" t="s">
        <v>87</v>
      </c>
      <c r="D58" s="18" t="s">
        <v>271</v>
      </c>
      <c r="E58" s="19">
        <v>30316543</v>
      </c>
      <c r="F58" s="19" t="s">
        <v>272</v>
      </c>
      <c r="G58" s="10" t="s">
        <v>273</v>
      </c>
      <c r="H58" s="46">
        <v>3.272</v>
      </c>
      <c r="I58" s="1">
        <v>22</v>
      </c>
      <c r="J58" s="1">
        <v>1000</v>
      </c>
      <c r="K58" s="1">
        <f>IF(ISNUMBER(J58),VLOOKUP(J58,SATtoACT,2,FALSE),"TBD")</f>
        <v>0</v>
      </c>
      <c r="L58" s="1">
        <f>IF(ISNUMBER(I58),IF(ISNUMBER(K58),MAX(I58,K58),I58),IF(ISNUMBER(K58),K58,"TBD"))</f>
        <v>0</v>
      </c>
      <c r="M58" s="1" t="s">
        <v>91</v>
      </c>
      <c r="N58" s="1">
        <f>IF(AND(H58&lt;&gt;0,L58&lt;&gt;0),IF(ISNUMBER(VLOOKUP(TEXT(MAX(FLOOR(H58*10,1)/10,1.5),"0.0")&amp;":"&amp;MAX(L58,12),StrategyLookup,4,FALSE)),VLOOKUP(TEXT(MAX(FLOOR(H58*10,1)/10,1.5),"0.0")&amp;":"&amp;MAX(L58,12),StrategyLookup,4,FALSE),"TBD"),"TBD")</f>
        <v>0</v>
      </c>
      <c r="O58" s="11">
        <f>IF(ISNUMBER(N58),VLOOKUP(IF(OR(N58=5,N58=6),N58&amp;IF(H58&gt;=3,"+","&lt;"),N58&amp;""),TargetLookup,IF(B58=-1,6,IF(OR(M58="W",M58="A"),4,2)),FALSE),"TBD")</f>
        <v>0</v>
      </c>
      <c r="P58" s="11">
        <f>IF(ISNUMBER(N58),VLOOKUP(IF(OR(N58=5,N58=6),N58&amp;IF(H58&gt;=3,"+","&lt;"),N58&amp;""),TargetLookup,IF(B58=-1,7,IF(OR(M58="W",M58="A"),5,3)),FALSE),"TBD")</f>
        <v>0</v>
      </c>
      <c r="Q58" s="18" t="s">
        <v>120</v>
      </c>
      <c r="R58" s="19" t="s">
        <v>116</v>
      </c>
      <c r="S58" s="19" t="s">
        <v>94</v>
      </c>
      <c r="T58" s="19">
        <f>Q58&amp;S58&amp;D58</f>
        <v>0</v>
      </c>
      <c r="U58" s="11">
        <f t="array" ref="U58">1-PRODUCT(IF(Students=E58,MGRMoneyMult,1))</f>
        <v>0</v>
      </c>
      <c r="V58" s="12">
        <f t="array" ref="V58">1-PRODUCT(IF(Students=E58,RGRMoneyMult,1))</f>
        <v>0</v>
      </c>
      <c r="W58" s="13">
        <f>COUNTIFS(Students,E58,Results,"Accepted!")+COUNTIFS(Students,E58,Results,"CHOICE!")</f>
        <v>0</v>
      </c>
      <c r="X58" s="1">
        <f>COUNTIFS(Students,E58,Results,"Deferred")+COUNTIFS(Students,E58,Results,"Waitlist")</f>
        <v>0</v>
      </c>
      <c r="Y58" s="13">
        <f>COUNTIFS(Students,E58,Results,"Denied")</f>
        <v>0</v>
      </c>
      <c r="Z58" s="13">
        <f>W58+X58+Y58+COUNTIFS(Students,E58,Results,"Submitted")</f>
        <v>0</v>
      </c>
      <c r="AA58" s="12">
        <v>0.7179133446489155</v>
      </c>
      <c r="AB58" s="12">
        <v>0.6559421033528358</v>
      </c>
      <c r="AC58" s="12">
        <v>0.6134027756065187</v>
      </c>
      <c r="AD58" s="12">
        <v>0.5876511607182641</v>
      </c>
      <c r="AE58" s="13">
        <f>COUNTIFS(Students,E58,Results,"CHOICE!")</f>
        <v>0</v>
      </c>
      <c r="AF58" s="1">
        <f>COUNTIFS(MoneyYesNo,1,RGRcount,1,Students,E58,Results,"Accepted!")</f>
        <v>0</v>
      </c>
      <c r="AG58" s="1">
        <f>COUNTIFS(MoneyYesNo,1,MGRcount,1,Students,E58,Results,"Accepted!")-AF58</f>
        <v>0</v>
      </c>
      <c r="AH58" s="1">
        <f>COUNTIFS(MoneyYesNo,1,Students,E58,Results,"Accepted!")-AF58-AG58</f>
        <v>0</v>
      </c>
      <c r="AI58" s="13">
        <f>COUNTIFS(Students,E58,Results,"Accepted!")-AF58-AG58-AH58</f>
        <v>0</v>
      </c>
      <c r="AJ58" s="1">
        <f>SUMIFS(RGRcount,Students,E58,MoneyYesNo,1)</f>
        <v>0</v>
      </c>
      <c r="AK58" s="1">
        <f>SUMIFS(MGRcount,Students,E58,MoneyYesNo,1)-AJ58</f>
        <v>0</v>
      </c>
      <c r="AL58" s="1">
        <f>SUMIF(Students,E58,MoneyYesNo)-AJ58-AK58</f>
        <v>0</v>
      </c>
      <c r="AM58" s="13">
        <f>SUM(AJ58,AK58,AL58)</f>
        <v>0</v>
      </c>
      <c r="AN58" s="1">
        <f>SUMIF(Students,E58,RGRcount)</f>
        <v>0</v>
      </c>
      <c r="AO58" s="1">
        <f>SUMIF(Students,E58,MGRcount)-AN58</f>
        <v>0</v>
      </c>
      <c r="AP58" s="1">
        <f>COUNTIF(Students,E58)-AN58-AO58</f>
        <v>0</v>
      </c>
      <c r="AQ58" s="1">
        <f>SUMIF(Students,E58,FarBelowTGRCount)</f>
        <v>0</v>
      </c>
      <c r="AR58" s="47">
        <f>COUNTIF(Students,E58)</f>
        <v>0</v>
      </c>
      <c r="AS58" s="11">
        <f>IF(AR58&gt;0,Z58/AR58,0)</f>
        <v>0</v>
      </c>
      <c r="AT58" s="11">
        <f t="array" ref="AT58">1-PRODUCT(IF(Students=E58,MGRMult,1))</f>
        <v>0</v>
      </c>
      <c r="AU58" s="12">
        <f t="array" ref="AU58">1-PRODUCT(IF(Students=E58,RGRMult,1))</f>
        <v>0</v>
      </c>
      <c r="AV58" s="1">
        <f>COUNTIFS(Students,E58,Classes,HailMaryLabel)</f>
        <v>0</v>
      </c>
      <c r="AW58" s="1">
        <f>COUNTIFS(Students,E58,Classes,LongshotLabel)</f>
        <v>0</v>
      </c>
      <c r="AX58" s="1">
        <f>COUNTIFS(Students,E58,Classes,ReachLabel)</f>
        <v>0</v>
      </c>
      <c r="AY58" s="1">
        <f>COUNTIFS(Students,E58,Classes,MatchLabel)</f>
        <v>0</v>
      </c>
      <c r="AZ58" s="1">
        <f>COUNTIFS(Students,E58,Classes,SafetyLabel)</f>
        <v>0</v>
      </c>
      <c r="BA58" s="1">
        <f>COUNTIFS(Students,E58,Classes,SecureLabel)</f>
        <v>0</v>
      </c>
      <c r="BB58" s="1">
        <f>COUNTIFS(Students,E58,Classes,SureThingLabel)</f>
        <v>0</v>
      </c>
      <c r="BC58" s="13">
        <f>COUNTIFS(Students,E58,Classes,"Other")</f>
        <v>0</v>
      </c>
      <c r="BD58" s="1">
        <f>COUNTIFS(Students,E58,Classes,ReachLabel,MoneyYesNo,1)</f>
        <v>0</v>
      </c>
      <c r="BE58" s="1">
        <f>COUNTIFS(Students,E58,Classes,MatchLabel,MoneyYesNo,1)</f>
        <v>0</v>
      </c>
      <c r="BF58" s="1">
        <f>COUNTIFS(Students,E58,Classes,SafetyLabel,MoneyYesNo,1)</f>
        <v>0</v>
      </c>
      <c r="BG58" s="1">
        <f>COUNTIFS(Students,E58,Classes,SecureLabel,MoneyYesNo,1)</f>
        <v>0</v>
      </c>
      <c r="BH58" s="1">
        <f>COUNTIFS(Students,E58,Classes,SureThingLabel,MoneyYesNo,1)</f>
        <v>0</v>
      </c>
      <c r="BI58" s="1">
        <f>SUM(BD58:BH58)</f>
        <v>0</v>
      </c>
      <c r="BJ58" s="1">
        <f>SUMIFS(RGRcount,Students,E58,MoneyYesNo,1,Odds,"&gt;=20")</f>
        <v>0</v>
      </c>
      <c r="BK58" s="1">
        <f>SUMIFS(MGRcount,Students,E58,MoneyYesNo,1,Odds,"&gt;=20")-BJ58</f>
        <v>0</v>
      </c>
      <c r="BL58" s="1">
        <f>SUMIFS(RGRcount,Students,E58,MoneyYesNo,1,Odds,"&gt;=10")</f>
        <v>0</v>
      </c>
      <c r="BM58" s="1">
        <f>SUMIFS(MGRcount,Students,E58,MoneyYesNo,1,Odds,"&gt;=10")-BL58</f>
        <v>0</v>
      </c>
      <c r="BN58" s="1">
        <f>COUNTIFS(Students,E58,ILPublic,1)</f>
        <v>0</v>
      </c>
      <c r="BO58" s="1">
        <f>COUNTIFS(Students,E58,ILPublic,1, Classes,MatchLabel)+COUNTIFS(Students,E58,ILPublic,1, Classes,SafetyLabel)+COUNTIFS(Students,E58,ILPublic,1, Classes,SecureLabel)</f>
        <v>0</v>
      </c>
      <c r="BP58" s="1">
        <f>COUNTIFS(Students,E58,ILPublic,1, Classes,SecureLabel)</f>
        <v>0</v>
      </c>
      <c r="BQ58" s="1">
        <f>COUNTIFS(Students,E58,MoneyChicago,1)</f>
        <v>0</v>
      </c>
      <c r="BR58" s="1">
        <f>COUNTIFS(Students,E58,MatchOrUnder,1)</f>
        <v>0</v>
      </c>
      <c r="BS58" s="1">
        <f>SUMIF(Students,E58,MGRcount)</f>
        <v>0</v>
      </c>
      <c r="BT58" s="1">
        <f>COUNTIFS(Students,E58,BadMoney,1)</f>
        <v>0</v>
      </c>
      <c r="BU58" s="1">
        <f>COUNTIFS(Students,E58,GoldenThree,1)</f>
        <v>0</v>
      </c>
    </row>
    <row r="59" spans="1:73">
      <c r="A59" s="18" t="s">
        <v>86</v>
      </c>
      <c r="B59" s="19">
        <v>0</v>
      </c>
      <c r="C59" s="18" t="s">
        <v>87</v>
      </c>
      <c r="D59" s="18" t="s">
        <v>274</v>
      </c>
      <c r="E59" s="19">
        <v>23460954</v>
      </c>
      <c r="F59" s="19" t="s">
        <v>275</v>
      </c>
      <c r="G59" s="10" t="s">
        <v>276</v>
      </c>
      <c r="H59" s="46">
        <v>3.3135</v>
      </c>
      <c r="I59" s="1">
        <v>24</v>
      </c>
      <c r="J59" s="1">
        <v>1410</v>
      </c>
      <c r="K59" s="1">
        <f>IF(ISNUMBER(J59),VLOOKUP(J59,SATtoACT,2,FALSE),"TBD")</f>
        <v>0</v>
      </c>
      <c r="L59" s="1">
        <f>IF(ISNUMBER(I59),IF(ISNUMBER(K59),MAX(I59,K59),I59),IF(ISNUMBER(K59),K59,"TBD"))</f>
        <v>0</v>
      </c>
      <c r="M59" s="1" t="s">
        <v>115</v>
      </c>
      <c r="N59" s="1">
        <f>IF(AND(H59&lt;&gt;0,L59&lt;&gt;0),IF(ISNUMBER(VLOOKUP(TEXT(MAX(FLOOR(H59*10,1)/10,1.5),"0.0")&amp;":"&amp;MAX(L59,12),StrategyLookup,4,FALSE)),VLOOKUP(TEXT(MAX(FLOOR(H59*10,1)/10,1.5),"0.0")&amp;":"&amp;MAX(L59,12),StrategyLookup,4,FALSE),"TBD"),"TBD")</f>
        <v>0</v>
      </c>
      <c r="O59" s="11">
        <f>IF(ISNUMBER(N59),VLOOKUP(IF(OR(N59=5,N59=6),N59&amp;IF(H59&gt;=3,"+","&lt;"),N59&amp;""),TargetLookup,IF(B59=-1,6,IF(OR(M59="W",M59="A"),4,2)),FALSE),"TBD")</f>
        <v>0</v>
      </c>
      <c r="P59" s="11">
        <f>IF(ISNUMBER(N59),VLOOKUP(IF(OR(N59=5,N59=6),N59&amp;IF(H59&gt;=3,"+","&lt;"),N59&amp;""),TargetLookup,IF(B59=-1,7,IF(OR(M59="W",M59="A"),5,3)),FALSE),"TBD")</f>
        <v>0</v>
      </c>
      <c r="Q59" s="18" t="s">
        <v>103</v>
      </c>
      <c r="R59" s="19" t="s">
        <v>121</v>
      </c>
      <c r="S59" s="19" t="s">
        <v>94</v>
      </c>
      <c r="T59" s="19">
        <f>Q59&amp;S59&amp;D59</f>
        <v>0</v>
      </c>
      <c r="U59" s="11">
        <f t="array" ref="U59">1-PRODUCT(IF(Students=E59,MGRMoneyMult,1))</f>
        <v>0</v>
      </c>
      <c r="V59" s="12">
        <f t="array" ref="V59">1-PRODUCT(IF(Students=E59,RGRMoneyMult,1))</f>
        <v>0</v>
      </c>
      <c r="W59" s="13">
        <f>COUNTIFS(Students,E59,Results,"Accepted!")+COUNTIFS(Students,E59,Results,"CHOICE!")</f>
        <v>0</v>
      </c>
      <c r="X59" s="1">
        <f>COUNTIFS(Students,E59,Results,"Deferred")+COUNTIFS(Students,E59,Results,"Waitlist")</f>
        <v>0</v>
      </c>
      <c r="Y59" s="13">
        <f>COUNTIFS(Students,E59,Results,"Denied")</f>
        <v>0</v>
      </c>
      <c r="Z59" s="13">
        <f>W59+X59+Y59+COUNTIFS(Students,E59,Results,"Submitted")</f>
        <v>0</v>
      </c>
      <c r="AA59" s="12">
        <v>0.9244313533396918</v>
      </c>
      <c r="AB59" s="12">
        <v>0.918522987097469</v>
      </c>
      <c r="AC59" s="12">
        <v>0.820936793666071</v>
      </c>
      <c r="AD59" s="12">
        <v>0.805403010072344</v>
      </c>
      <c r="AE59" s="13">
        <f>COUNTIFS(Students,E59,Results,"CHOICE!")</f>
        <v>0</v>
      </c>
      <c r="AF59" s="1">
        <f>COUNTIFS(MoneyYesNo,1,RGRcount,1,Students,E59,Results,"Accepted!")</f>
        <v>0</v>
      </c>
      <c r="AG59" s="1">
        <f>COUNTIFS(MoneyYesNo,1,MGRcount,1,Students,E59,Results,"Accepted!")-AF59</f>
        <v>0</v>
      </c>
      <c r="AH59" s="1">
        <f>COUNTIFS(MoneyYesNo,1,Students,E59,Results,"Accepted!")-AF59-AG59</f>
        <v>0</v>
      </c>
      <c r="AI59" s="13">
        <f>COUNTIFS(Students,E59,Results,"Accepted!")-AF59-AG59-AH59</f>
        <v>0</v>
      </c>
      <c r="AJ59" s="1">
        <f>SUMIFS(RGRcount,Students,E59,MoneyYesNo,1)</f>
        <v>0</v>
      </c>
      <c r="AK59" s="1">
        <f>SUMIFS(MGRcount,Students,E59,MoneyYesNo,1)-AJ59</f>
        <v>0</v>
      </c>
      <c r="AL59" s="1">
        <f>SUMIF(Students,E59,MoneyYesNo)-AJ59-AK59</f>
        <v>0</v>
      </c>
      <c r="AM59" s="13">
        <f>SUM(AJ59,AK59,AL59)</f>
        <v>0</v>
      </c>
      <c r="AN59" s="1">
        <f>SUMIF(Students,E59,RGRcount)</f>
        <v>0</v>
      </c>
      <c r="AO59" s="1">
        <f>SUMIF(Students,E59,MGRcount)-AN59</f>
        <v>0</v>
      </c>
      <c r="AP59" s="1">
        <f>COUNTIF(Students,E59)-AN59-AO59</f>
        <v>0</v>
      </c>
      <c r="AQ59" s="1">
        <f>SUMIF(Students,E59,FarBelowTGRCount)</f>
        <v>0</v>
      </c>
      <c r="AR59" s="47">
        <f>COUNTIF(Students,E59)</f>
        <v>0</v>
      </c>
      <c r="AS59" s="11">
        <f>IF(AR59&gt;0,Z59/AR59,0)</f>
        <v>0</v>
      </c>
      <c r="AT59" s="11">
        <f t="array" ref="AT59">1-PRODUCT(IF(Students=E59,MGRMult,1))</f>
        <v>0</v>
      </c>
      <c r="AU59" s="12">
        <f t="array" ref="AU59">1-PRODUCT(IF(Students=E59,RGRMult,1))</f>
        <v>0</v>
      </c>
      <c r="AV59" s="1">
        <f>COUNTIFS(Students,E59,Classes,HailMaryLabel)</f>
        <v>0</v>
      </c>
      <c r="AW59" s="1">
        <f>COUNTIFS(Students,E59,Classes,LongshotLabel)</f>
        <v>0</v>
      </c>
      <c r="AX59" s="1">
        <f>COUNTIFS(Students,E59,Classes,ReachLabel)</f>
        <v>0</v>
      </c>
      <c r="AY59" s="1">
        <f>COUNTIFS(Students,E59,Classes,MatchLabel)</f>
        <v>0</v>
      </c>
      <c r="AZ59" s="1">
        <f>COUNTIFS(Students,E59,Classes,SafetyLabel)</f>
        <v>0</v>
      </c>
      <c r="BA59" s="1">
        <f>COUNTIFS(Students,E59,Classes,SecureLabel)</f>
        <v>0</v>
      </c>
      <c r="BB59" s="1">
        <f>COUNTIFS(Students,E59,Classes,SureThingLabel)</f>
        <v>0</v>
      </c>
      <c r="BC59" s="13">
        <f>COUNTIFS(Students,E59,Classes,"Other")</f>
        <v>0</v>
      </c>
      <c r="BD59" s="1">
        <f>COUNTIFS(Students,E59,Classes,ReachLabel,MoneyYesNo,1)</f>
        <v>0</v>
      </c>
      <c r="BE59" s="1">
        <f>COUNTIFS(Students,E59,Classes,MatchLabel,MoneyYesNo,1)</f>
        <v>0</v>
      </c>
      <c r="BF59" s="1">
        <f>COUNTIFS(Students,E59,Classes,SafetyLabel,MoneyYesNo,1)</f>
        <v>0</v>
      </c>
      <c r="BG59" s="1">
        <f>COUNTIFS(Students,E59,Classes,SecureLabel,MoneyYesNo,1)</f>
        <v>0</v>
      </c>
      <c r="BH59" s="1">
        <f>COUNTIFS(Students,E59,Classes,SureThingLabel,MoneyYesNo,1)</f>
        <v>0</v>
      </c>
      <c r="BI59" s="1">
        <f>SUM(BD59:BH59)</f>
        <v>0</v>
      </c>
      <c r="BJ59" s="1">
        <f>SUMIFS(RGRcount,Students,E59,MoneyYesNo,1,Odds,"&gt;=20")</f>
        <v>0</v>
      </c>
      <c r="BK59" s="1">
        <f>SUMIFS(MGRcount,Students,E59,MoneyYesNo,1,Odds,"&gt;=20")-BJ59</f>
        <v>0</v>
      </c>
      <c r="BL59" s="1">
        <f>SUMIFS(RGRcount,Students,E59,MoneyYesNo,1,Odds,"&gt;=10")</f>
        <v>0</v>
      </c>
      <c r="BM59" s="1">
        <f>SUMIFS(MGRcount,Students,E59,MoneyYesNo,1,Odds,"&gt;=10")-BL59</f>
        <v>0</v>
      </c>
      <c r="BN59" s="1">
        <f>COUNTIFS(Students,E59,ILPublic,1)</f>
        <v>0</v>
      </c>
      <c r="BO59" s="1">
        <f>COUNTIFS(Students,E59,ILPublic,1, Classes,MatchLabel)+COUNTIFS(Students,E59,ILPublic,1, Classes,SafetyLabel)+COUNTIFS(Students,E59,ILPublic,1, Classes,SecureLabel)</f>
        <v>0</v>
      </c>
      <c r="BP59" s="1">
        <f>COUNTIFS(Students,E59,ILPublic,1, Classes,SecureLabel)</f>
        <v>0</v>
      </c>
      <c r="BQ59" s="1">
        <f>COUNTIFS(Students,E59,MoneyChicago,1)</f>
        <v>0</v>
      </c>
      <c r="BR59" s="1">
        <f>COUNTIFS(Students,E59,MatchOrUnder,1)</f>
        <v>0</v>
      </c>
      <c r="BS59" s="1">
        <f>SUMIF(Students,E59,MGRcount)</f>
        <v>0</v>
      </c>
      <c r="BT59" s="1">
        <f>COUNTIFS(Students,E59,BadMoney,1)</f>
        <v>0</v>
      </c>
      <c r="BU59" s="1">
        <f>COUNTIFS(Students,E59,GoldenThree,1)</f>
        <v>0</v>
      </c>
    </row>
    <row r="60" spans="1:73">
      <c r="A60" s="18" t="s">
        <v>86</v>
      </c>
      <c r="B60" s="19">
        <v>0</v>
      </c>
      <c r="C60" s="18" t="s">
        <v>138</v>
      </c>
      <c r="D60" s="18" t="s">
        <v>277</v>
      </c>
      <c r="E60" s="19">
        <v>22973915</v>
      </c>
      <c r="F60" s="19" t="s">
        <v>278</v>
      </c>
      <c r="G60" s="10" t="s">
        <v>279</v>
      </c>
      <c r="H60" s="46">
        <v>2.9462</v>
      </c>
      <c r="I60" s="1">
        <v>15</v>
      </c>
      <c r="J60" s="1">
        <v>1100</v>
      </c>
      <c r="K60" s="1">
        <f>IF(ISNUMBER(J60),VLOOKUP(J60,SATtoACT,2,FALSE),"TBD")</f>
        <v>0</v>
      </c>
      <c r="L60" s="1">
        <f>IF(ISNUMBER(I60),IF(ISNUMBER(K60),MAX(I60,K60),I60),IF(ISNUMBER(K60),K60,"TBD"))</f>
        <v>0</v>
      </c>
      <c r="M60" s="1" t="s">
        <v>91</v>
      </c>
      <c r="N60" s="1">
        <f>IF(AND(H60&lt;&gt;0,L60&lt;&gt;0),IF(ISNUMBER(VLOOKUP(TEXT(MAX(FLOOR(H60*10,1)/10,1.5),"0.0")&amp;":"&amp;MAX(L60,12),StrategyLookup,4,FALSE)),VLOOKUP(TEXT(MAX(FLOOR(H60*10,1)/10,1.5),"0.0")&amp;":"&amp;MAX(L60,12),StrategyLookup,4,FALSE),"TBD"),"TBD")</f>
        <v>0</v>
      </c>
      <c r="O60" s="11">
        <f>IF(ISNUMBER(N60),VLOOKUP(IF(OR(N60=5,N60=6),N60&amp;IF(H60&gt;=3,"+","&lt;"),N60&amp;""),TargetLookup,IF(B60=-1,6,IF(OR(M60="W",M60="A"),4,2)),FALSE),"TBD")</f>
        <v>0</v>
      </c>
      <c r="P60" s="11">
        <f>IF(ISNUMBER(N60),VLOOKUP(IF(OR(N60=5,N60=6),N60&amp;IF(H60&gt;=3,"+","&lt;"),N60&amp;""),TargetLookup,IF(B60=-1,7,IF(OR(M60="W",M60="A"),5,3)),FALSE),"TBD")</f>
        <v>0</v>
      </c>
      <c r="Q60" s="18" t="s">
        <v>98</v>
      </c>
      <c r="R60" s="19" t="s">
        <v>131</v>
      </c>
      <c r="S60" s="19" t="s">
        <v>94</v>
      </c>
      <c r="T60" s="19">
        <f>Q60&amp;S60&amp;D60</f>
        <v>0</v>
      </c>
      <c r="U60" s="11">
        <f t="array" ref="U60">1-PRODUCT(IF(Students=E60,MGRMoneyMult,1))</f>
        <v>0</v>
      </c>
      <c r="V60" s="12">
        <f t="array" ref="V60">1-PRODUCT(IF(Students=E60,RGRMoneyMult,1))</f>
        <v>0</v>
      </c>
      <c r="W60" s="13">
        <f>COUNTIFS(Students,E60,Results,"Accepted!")+COUNTIFS(Students,E60,Results,"CHOICE!")</f>
        <v>0</v>
      </c>
      <c r="X60" s="1">
        <f>COUNTIFS(Students,E60,Results,"Deferred")+COUNTIFS(Students,E60,Results,"Waitlist")</f>
        <v>0</v>
      </c>
      <c r="Y60" s="13">
        <f>COUNTIFS(Students,E60,Results,"Denied")</f>
        <v>0</v>
      </c>
      <c r="Z60" s="13">
        <f>W60+X60+Y60+COUNTIFS(Students,E60,Results,"Submitted")</f>
        <v>0</v>
      </c>
      <c r="AA60" s="12">
        <v>0.526642058</v>
      </c>
      <c r="AB60" s="12">
        <v>0.431237</v>
      </c>
      <c r="AC60" s="12">
        <v>0.3767180506052917</v>
      </c>
      <c r="AD60" s="12">
        <v>0.3542830271018614</v>
      </c>
      <c r="AE60" s="13">
        <f>COUNTIFS(Students,E60,Results,"CHOICE!")</f>
        <v>0</v>
      </c>
      <c r="AF60" s="1">
        <f>COUNTIFS(MoneyYesNo,1,RGRcount,1,Students,E60,Results,"Accepted!")</f>
        <v>0</v>
      </c>
      <c r="AG60" s="1">
        <f>COUNTIFS(MoneyYesNo,1,MGRcount,1,Students,E60,Results,"Accepted!")-AF60</f>
        <v>0</v>
      </c>
      <c r="AH60" s="1">
        <f>COUNTIFS(MoneyYesNo,1,Students,E60,Results,"Accepted!")-AF60-AG60</f>
        <v>0</v>
      </c>
      <c r="AI60" s="13">
        <f>COUNTIFS(Students,E60,Results,"Accepted!")-AF60-AG60-AH60</f>
        <v>0</v>
      </c>
      <c r="AJ60" s="1">
        <f>SUMIFS(RGRcount,Students,E60,MoneyYesNo,1)</f>
        <v>0</v>
      </c>
      <c r="AK60" s="1">
        <f>SUMIFS(MGRcount,Students,E60,MoneyYesNo,1)-AJ60</f>
        <v>0</v>
      </c>
      <c r="AL60" s="1">
        <f>SUMIF(Students,E60,MoneyYesNo)-AJ60-AK60</f>
        <v>0</v>
      </c>
      <c r="AM60" s="13">
        <f>SUM(AJ60,AK60,AL60)</f>
        <v>0</v>
      </c>
      <c r="AN60" s="1">
        <f>SUMIF(Students,E60,RGRcount)</f>
        <v>0</v>
      </c>
      <c r="AO60" s="1">
        <f>SUMIF(Students,E60,MGRcount)-AN60</f>
        <v>0</v>
      </c>
      <c r="AP60" s="1">
        <f>COUNTIF(Students,E60)-AN60-AO60</f>
        <v>0</v>
      </c>
      <c r="AQ60" s="1">
        <f>SUMIF(Students,E60,FarBelowTGRCount)</f>
        <v>0</v>
      </c>
      <c r="AR60" s="47">
        <f>COUNTIF(Students,E60)</f>
        <v>0</v>
      </c>
      <c r="AS60" s="11">
        <f>IF(AR60&gt;0,Z60/AR60,0)</f>
        <v>0</v>
      </c>
      <c r="AT60" s="11">
        <f t="array" ref="AT60">1-PRODUCT(IF(Students=E60,MGRMult,1))</f>
        <v>0</v>
      </c>
      <c r="AU60" s="12">
        <f t="array" ref="AU60">1-PRODUCT(IF(Students=E60,RGRMult,1))</f>
        <v>0</v>
      </c>
      <c r="AV60" s="1">
        <f>COUNTIFS(Students,E60,Classes,HailMaryLabel)</f>
        <v>0</v>
      </c>
      <c r="AW60" s="1">
        <f>COUNTIFS(Students,E60,Classes,LongshotLabel)</f>
        <v>0</v>
      </c>
      <c r="AX60" s="1">
        <f>COUNTIFS(Students,E60,Classes,ReachLabel)</f>
        <v>0</v>
      </c>
      <c r="AY60" s="1">
        <f>COUNTIFS(Students,E60,Classes,MatchLabel)</f>
        <v>0</v>
      </c>
      <c r="AZ60" s="1">
        <f>COUNTIFS(Students,E60,Classes,SafetyLabel)</f>
        <v>0</v>
      </c>
      <c r="BA60" s="1">
        <f>COUNTIFS(Students,E60,Classes,SecureLabel)</f>
        <v>0</v>
      </c>
      <c r="BB60" s="1">
        <f>COUNTIFS(Students,E60,Classes,SureThingLabel)</f>
        <v>0</v>
      </c>
      <c r="BC60" s="13">
        <f>COUNTIFS(Students,E60,Classes,"Other")</f>
        <v>0</v>
      </c>
      <c r="BD60" s="1">
        <f>COUNTIFS(Students,E60,Classes,ReachLabel,MoneyYesNo,1)</f>
        <v>0</v>
      </c>
      <c r="BE60" s="1">
        <f>COUNTIFS(Students,E60,Classes,MatchLabel,MoneyYesNo,1)</f>
        <v>0</v>
      </c>
      <c r="BF60" s="1">
        <f>COUNTIFS(Students,E60,Classes,SafetyLabel,MoneyYesNo,1)</f>
        <v>0</v>
      </c>
      <c r="BG60" s="1">
        <f>COUNTIFS(Students,E60,Classes,SecureLabel,MoneyYesNo,1)</f>
        <v>0</v>
      </c>
      <c r="BH60" s="1">
        <f>COUNTIFS(Students,E60,Classes,SureThingLabel,MoneyYesNo,1)</f>
        <v>0</v>
      </c>
      <c r="BI60" s="1">
        <f>SUM(BD60:BH60)</f>
        <v>0</v>
      </c>
      <c r="BJ60" s="1">
        <f>SUMIFS(RGRcount,Students,E60,MoneyYesNo,1,Odds,"&gt;=20")</f>
        <v>0</v>
      </c>
      <c r="BK60" s="1">
        <f>SUMIFS(MGRcount,Students,E60,MoneyYesNo,1,Odds,"&gt;=20")-BJ60</f>
        <v>0</v>
      </c>
      <c r="BL60" s="1">
        <f>SUMIFS(RGRcount,Students,E60,MoneyYesNo,1,Odds,"&gt;=10")</f>
        <v>0</v>
      </c>
      <c r="BM60" s="1">
        <f>SUMIFS(MGRcount,Students,E60,MoneyYesNo,1,Odds,"&gt;=10")-BL60</f>
        <v>0</v>
      </c>
      <c r="BN60" s="1">
        <f>COUNTIFS(Students,E60,ILPublic,1)</f>
        <v>0</v>
      </c>
      <c r="BO60" s="1">
        <f>COUNTIFS(Students,E60,ILPublic,1, Classes,MatchLabel)+COUNTIFS(Students,E60,ILPublic,1, Classes,SafetyLabel)+COUNTIFS(Students,E60,ILPublic,1, Classes,SecureLabel)</f>
        <v>0</v>
      </c>
      <c r="BP60" s="1">
        <f>COUNTIFS(Students,E60,ILPublic,1, Classes,SecureLabel)</f>
        <v>0</v>
      </c>
      <c r="BQ60" s="1">
        <f>COUNTIFS(Students,E60,MoneyChicago,1)</f>
        <v>0</v>
      </c>
      <c r="BR60" s="1">
        <f>COUNTIFS(Students,E60,MatchOrUnder,1)</f>
        <v>0</v>
      </c>
      <c r="BS60" s="1">
        <f>SUMIF(Students,E60,MGRcount)</f>
        <v>0</v>
      </c>
      <c r="BT60" s="1">
        <f>COUNTIFS(Students,E60,BadMoney,1)</f>
        <v>0</v>
      </c>
      <c r="BU60" s="1">
        <f>COUNTIFS(Students,E60,GoldenThree,1)</f>
        <v>0</v>
      </c>
    </row>
    <row r="61" spans="1:73">
      <c r="A61" s="18" t="s">
        <v>86</v>
      </c>
      <c r="B61" s="19">
        <v>0</v>
      </c>
      <c r="C61" s="18" t="s">
        <v>87</v>
      </c>
      <c r="D61" s="18" t="s">
        <v>280</v>
      </c>
      <c r="E61" s="19">
        <v>22415099</v>
      </c>
      <c r="F61" s="19" t="s">
        <v>281</v>
      </c>
      <c r="G61" s="10" t="s">
        <v>282</v>
      </c>
      <c r="H61" s="46">
        <v>2.5231</v>
      </c>
      <c r="I61" s="1">
        <v>18</v>
      </c>
      <c r="J61" s="1">
        <v>1250</v>
      </c>
      <c r="K61" s="1">
        <f>IF(ISNUMBER(J61),VLOOKUP(J61,SATtoACT,2,FALSE),"TBD")</f>
        <v>0</v>
      </c>
      <c r="L61" s="1">
        <f>IF(ISNUMBER(I61),IF(ISNUMBER(K61),MAX(I61,K61),I61),IF(ISNUMBER(K61),K61,"TBD"))</f>
        <v>0</v>
      </c>
      <c r="M61" s="1" t="s">
        <v>91</v>
      </c>
      <c r="N61" s="1">
        <f>IF(AND(H61&lt;&gt;0,L61&lt;&gt;0),IF(ISNUMBER(VLOOKUP(TEXT(MAX(FLOOR(H61*10,1)/10,1.5),"0.0")&amp;":"&amp;MAX(L61,12),StrategyLookup,4,FALSE)),VLOOKUP(TEXT(MAX(FLOOR(H61*10,1)/10,1.5),"0.0")&amp;":"&amp;MAX(L61,12),StrategyLookup,4,FALSE),"TBD"),"TBD")</f>
        <v>0</v>
      </c>
      <c r="O61" s="11">
        <f>IF(ISNUMBER(N61),VLOOKUP(IF(OR(N61=5,N61=6),N61&amp;IF(H61&gt;=3,"+","&lt;"),N61&amp;""),TargetLookup,IF(B61=-1,6,IF(OR(M61="W",M61="A"),4,2)),FALSE),"TBD")</f>
        <v>0</v>
      </c>
      <c r="P61" s="11">
        <f>IF(ISNUMBER(N61),VLOOKUP(IF(OR(N61=5,N61=6),N61&amp;IF(H61&gt;=3,"+","&lt;"),N61&amp;""),TargetLookup,IF(B61=-1,7,IF(OR(M61="W",M61="A"),5,3)),FALSE),"TBD")</f>
        <v>0</v>
      </c>
      <c r="Q61" s="18" t="s">
        <v>92</v>
      </c>
      <c r="R61" s="19" t="s">
        <v>155</v>
      </c>
      <c r="S61" s="19" t="s">
        <v>94</v>
      </c>
      <c r="T61" s="19">
        <f>Q61&amp;S61&amp;D61</f>
        <v>0</v>
      </c>
      <c r="U61" s="11">
        <f t="array" ref="U61">1-PRODUCT(IF(Students=E61,MGRMoneyMult,1))</f>
        <v>0</v>
      </c>
      <c r="V61" s="12">
        <f t="array" ref="V61">1-PRODUCT(IF(Students=E61,RGRMoneyMult,1))</f>
        <v>0</v>
      </c>
      <c r="W61" s="13">
        <f>COUNTIFS(Students,E61,Results,"Accepted!")+COUNTIFS(Students,E61,Results,"CHOICE!")</f>
        <v>0</v>
      </c>
      <c r="X61" s="1">
        <f>COUNTIFS(Students,E61,Results,"Deferred")+COUNTIFS(Students,E61,Results,"Waitlist")</f>
        <v>0</v>
      </c>
      <c r="Y61" s="13">
        <f>COUNTIFS(Students,E61,Results,"Denied")</f>
        <v>0</v>
      </c>
      <c r="Z61" s="13">
        <f>W61+X61+Y61+COUNTIFS(Students,E61,Results,"Submitted")</f>
        <v>0</v>
      </c>
      <c r="AA61" s="12">
        <v>0.5391638857200731</v>
      </c>
      <c r="AB61" s="12">
        <v>0.5282071328642174</v>
      </c>
      <c r="AC61" s="12">
        <v>0.4378786935085426</v>
      </c>
      <c r="AD61" s="12">
        <v>0.4242759962232814</v>
      </c>
      <c r="AE61" s="13">
        <f>COUNTIFS(Students,E61,Results,"CHOICE!")</f>
        <v>0</v>
      </c>
      <c r="AF61" s="1">
        <f>COUNTIFS(MoneyYesNo,1,RGRcount,1,Students,E61,Results,"Accepted!")</f>
        <v>0</v>
      </c>
      <c r="AG61" s="1">
        <f>COUNTIFS(MoneyYesNo,1,MGRcount,1,Students,E61,Results,"Accepted!")-AF61</f>
        <v>0</v>
      </c>
      <c r="AH61" s="1">
        <f>COUNTIFS(MoneyYesNo,1,Students,E61,Results,"Accepted!")-AF61-AG61</f>
        <v>0</v>
      </c>
      <c r="AI61" s="13">
        <f>COUNTIFS(Students,E61,Results,"Accepted!")-AF61-AG61-AH61</f>
        <v>0</v>
      </c>
      <c r="AJ61" s="1">
        <f>SUMIFS(RGRcount,Students,E61,MoneyYesNo,1)</f>
        <v>0</v>
      </c>
      <c r="AK61" s="1">
        <f>SUMIFS(MGRcount,Students,E61,MoneyYesNo,1)-AJ61</f>
        <v>0</v>
      </c>
      <c r="AL61" s="1">
        <f>SUMIF(Students,E61,MoneyYesNo)-AJ61-AK61</f>
        <v>0</v>
      </c>
      <c r="AM61" s="13">
        <f>SUM(AJ61,AK61,AL61)</f>
        <v>0</v>
      </c>
      <c r="AN61" s="1">
        <f>SUMIF(Students,E61,RGRcount)</f>
        <v>0</v>
      </c>
      <c r="AO61" s="1">
        <f>SUMIF(Students,E61,MGRcount)-AN61</f>
        <v>0</v>
      </c>
      <c r="AP61" s="1">
        <f>COUNTIF(Students,E61)-AN61-AO61</f>
        <v>0</v>
      </c>
      <c r="AQ61" s="1">
        <f>SUMIF(Students,E61,FarBelowTGRCount)</f>
        <v>0</v>
      </c>
      <c r="AR61" s="47">
        <f>COUNTIF(Students,E61)</f>
        <v>0</v>
      </c>
      <c r="AS61" s="11">
        <f>IF(AR61&gt;0,Z61/AR61,0)</f>
        <v>0</v>
      </c>
      <c r="AT61" s="11">
        <f t="array" ref="AT61">1-PRODUCT(IF(Students=E61,MGRMult,1))</f>
        <v>0</v>
      </c>
      <c r="AU61" s="12">
        <f t="array" ref="AU61">1-PRODUCT(IF(Students=E61,RGRMult,1))</f>
        <v>0</v>
      </c>
      <c r="AV61" s="1">
        <f>COUNTIFS(Students,E61,Classes,HailMaryLabel)</f>
        <v>0</v>
      </c>
      <c r="AW61" s="1">
        <f>COUNTIFS(Students,E61,Classes,LongshotLabel)</f>
        <v>0</v>
      </c>
      <c r="AX61" s="1">
        <f>COUNTIFS(Students,E61,Classes,ReachLabel)</f>
        <v>0</v>
      </c>
      <c r="AY61" s="1">
        <f>COUNTIFS(Students,E61,Classes,MatchLabel)</f>
        <v>0</v>
      </c>
      <c r="AZ61" s="1">
        <f>COUNTIFS(Students,E61,Classes,SafetyLabel)</f>
        <v>0</v>
      </c>
      <c r="BA61" s="1">
        <f>COUNTIFS(Students,E61,Classes,SecureLabel)</f>
        <v>0</v>
      </c>
      <c r="BB61" s="1">
        <f>COUNTIFS(Students,E61,Classes,SureThingLabel)</f>
        <v>0</v>
      </c>
      <c r="BC61" s="13">
        <f>COUNTIFS(Students,E61,Classes,"Other")</f>
        <v>0</v>
      </c>
      <c r="BD61" s="1">
        <f>COUNTIFS(Students,E61,Classes,ReachLabel,MoneyYesNo,1)</f>
        <v>0</v>
      </c>
      <c r="BE61" s="1">
        <f>COUNTIFS(Students,E61,Classes,MatchLabel,MoneyYesNo,1)</f>
        <v>0</v>
      </c>
      <c r="BF61" s="1">
        <f>COUNTIFS(Students,E61,Classes,SafetyLabel,MoneyYesNo,1)</f>
        <v>0</v>
      </c>
      <c r="BG61" s="1">
        <f>COUNTIFS(Students,E61,Classes,SecureLabel,MoneyYesNo,1)</f>
        <v>0</v>
      </c>
      <c r="BH61" s="1">
        <f>COUNTIFS(Students,E61,Classes,SureThingLabel,MoneyYesNo,1)</f>
        <v>0</v>
      </c>
      <c r="BI61" s="1">
        <f>SUM(BD61:BH61)</f>
        <v>0</v>
      </c>
      <c r="BJ61" s="1">
        <f>SUMIFS(RGRcount,Students,E61,MoneyYesNo,1,Odds,"&gt;=20")</f>
        <v>0</v>
      </c>
      <c r="BK61" s="1">
        <f>SUMIFS(MGRcount,Students,E61,MoneyYesNo,1,Odds,"&gt;=20")-BJ61</f>
        <v>0</v>
      </c>
      <c r="BL61" s="1">
        <f>SUMIFS(RGRcount,Students,E61,MoneyYesNo,1,Odds,"&gt;=10")</f>
        <v>0</v>
      </c>
      <c r="BM61" s="1">
        <f>SUMIFS(MGRcount,Students,E61,MoneyYesNo,1,Odds,"&gt;=10")-BL61</f>
        <v>0</v>
      </c>
      <c r="BN61" s="1">
        <f>COUNTIFS(Students,E61,ILPublic,1)</f>
        <v>0</v>
      </c>
      <c r="BO61" s="1">
        <f>COUNTIFS(Students,E61,ILPublic,1, Classes,MatchLabel)+COUNTIFS(Students,E61,ILPublic,1, Classes,SafetyLabel)+COUNTIFS(Students,E61,ILPublic,1, Classes,SecureLabel)</f>
        <v>0</v>
      </c>
      <c r="BP61" s="1">
        <f>COUNTIFS(Students,E61,ILPublic,1, Classes,SecureLabel)</f>
        <v>0</v>
      </c>
      <c r="BQ61" s="1">
        <f>COUNTIFS(Students,E61,MoneyChicago,1)</f>
        <v>0</v>
      </c>
      <c r="BR61" s="1">
        <f>COUNTIFS(Students,E61,MatchOrUnder,1)</f>
        <v>0</v>
      </c>
      <c r="BS61" s="1">
        <f>SUMIF(Students,E61,MGRcount)</f>
        <v>0</v>
      </c>
      <c r="BT61" s="1">
        <f>COUNTIFS(Students,E61,BadMoney,1)</f>
        <v>0</v>
      </c>
      <c r="BU61" s="1">
        <f>COUNTIFS(Students,E61,GoldenThree,1)</f>
        <v>0</v>
      </c>
    </row>
    <row r="62" spans="1:73">
      <c r="A62" s="18" t="s">
        <v>86</v>
      </c>
      <c r="B62" s="19">
        <v>0</v>
      </c>
      <c r="C62" s="18" t="s">
        <v>87</v>
      </c>
      <c r="D62" s="18" t="s">
        <v>283</v>
      </c>
      <c r="E62" s="19">
        <v>22366458</v>
      </c>
      <c r="F62" s="19" t="s">
        <v>284</v>
      </c>
      <c r="G62" s="10" t="s">
        <v>285</v>
      </c>
      <c r="H62" s="46">
        <v>3.296</v>
      </c>
      <c r="I62" s="1">
        <v>23</v>
      </c>
      <c r="J62" s="1">
        <v>1110</v>
      </c>
      <c r="K62" s="1">
        <f>IF(ISNUMBER(J62),VLOOKUP(J62,SATtoACT,2,FALSE),"TBD")</f>
        <v>0</v>
      </c>
      <c r="L62" s="1">
        <f>IF(ISNUMBER(I62),IF(ISNUMBER(K62),MAX(I62,K62),I62),IF(ISNUMBER(K62),K62,"TBD"))</f>
        <v>0</v>
      </c>
      <c r="M62" s="1" t="s">
        <v>91</v>
      </c>
      <c r="N62" s="1">
        <f>IF(AND(H62&lt;&gt;0,L62&lt;&gt;0),IF(ISNUMBER(VLOOKUP(TEXT(MAX(FLOOR(H62*10,1)/10,1.5),"0.0")&amp;":"&amp;MAX(L62,12),StrategyLookup,4,FALSE)),VLOOKUP(TEXT(MAX(FLOOR(H62*10,1)/10,1.5),"0.0")&amp;":"&amp;MAX(L62,12),StrategyLookup,4,FALSE),"TBD"),"TBD")</f>
        <v>0</v>
      </c>
      <c r="O62" s="11">
        <f>IF(ISNUMBER(N62),VLOOKUP(IF(OR(N62=5,N62=6),N62&amp;IF(H62&gt;=3,"+","&lt;"),N62&amp;""),TargetLookup,IF(B62=-1,6,IF(OR(M62="W",M62="A"),4,2)),FALSE),"TBD")</f>
        <v>0</v>
      </c>
      <c r="P62" s="11">
        <f>IF(ISNUMBER(N62),VLOOKUP(IF(OR(N62=5,N62=6),N62&amp;IF(H62&gt;=3,"+","&lt;"),N62&amp;""),TargetLookup,IF(B62=-1,7,IF(OR(M62="W",M62="A"),5,3)),FALSE),"TBD")</f>
        <v>0</v>
      </c>
      <c r="Q62" s="18" t="s">
        <v>98</v>
      </c>
      <c r="R62" s="19" t="s">
        <v>155</v>
      </c>
      <c r="S62" s="19" t="s">
        <v>94</v>
      </c>
      <c r="T62" s="19">
        <f>Q62&amp;S62&amp;D62</f>
        <v>0</v>
      </c>
      <c r="U62" s="11">
        <f t="array" ref="U62">1-PRODUCT(IF(Students=E62,MGRMoneyMult,1))</f>
        <v>0</v>
      </c>
      <c r="V62" s="12">
        <f t="array" ref="V62">1-PRODUCT(IF(Students=E62,RGRMoneyMult,1))</f>
        <v>0</v>
      </c>
      <c r="W62" s="13">
        <f>COUNTIFS(Students,E62,Results,"Accepted!")+COUNTIFS(Students,E62,Results,"CHOICE!")</f>
        <v>0</v>
      </c>
      <c r="X62" s="1">
        <f>COUNTIFS(Students,E62,Results,"Deferred")+COUNTIFS(Students,E62,Results,"Waitlist")</f>
        <v>0</v>
      </c>
      <c r="Y62" s="13">
        <f>COUNTIFS(Students,E62,Results,"Denied")</f>
        <v>0</v>
      </c>
      <c r="Z62" s="13">
        <f>W62+X62+Y62+COUNTIFS(Students,E62,Results,"Submitted")</f>
        <v>0</v>
      </c>
      <c r="AA62" s="12">
        <v>0.7215997848022037</v>
      </c>
      <c r="AB62" s="12">
        <v>0.5894146750972789</v>
      </c>
      <c r="AC62" s="12">
        <v>0.7590722657117726</v>
      </c>
      <c r="AD62" s="12">
        <v>0.753646608068515</v>
      </c>
      <c r="AE62" s="13">
        <f>COUNTIFS(Students,E62,Results,"CHOICE!")</f>
        <v>0</v>
      </c>
      <c r="AF62" s="1">
        <f>COUNTIFS(MoneyYesNo,1,RGRcount,1,Students,E62,Results,"Accepted!")</f>
        <v>0</v>
      </c>
      <c r="AG62" s="1">
        <f>COUNTIFS(MoneyYesNo,1,MGRcount,1,Students,E62,Results,"Accepted!")-AF62</f>
        <v>0</v>
      </c>
      <c r="AH62" s="1">
        <f>COUNTIFS(MoneyYesNo,1,Students,E62,Results,"Accepted!")-AF62-AG62</f>
        <v>0</v>
      </c>
      <c r="AI62" s="13">
        <f>COUNTIFS(Students,E62,Results,"Accepted!")-AF62-AG62-AH62</f>
        <v>0</v>
      </c>
      <c r="AJ62" s="1">
        <f>SUMIFS(RGRcount,Students,E62,MoneyYesNo,1)</f>
        <v>0</v>
      </c>
      <c r="AK62" s="1">
        <f>SUMIFS(MGRcount,Students,E62,MoneyYesNo,1)-AJ62</f>
        <v>0</v>
      </c>
      <c r="AL62" s="1">
        <f>SUMIF(Students,E62,MoneyYesNo)-AJ62-AK62</f>
        <v>0</v>
      </c>
      <c r="AM62" s="13">
        <f>SUM(AJ62,AK62,AL62)</f>
        <v>0</v>
      </c>
      <c r="AN62" s="1">
        <f>SUMIF(Students,E62,RGRcount)</f>
        <v>0</v>
      </c>
      <c r="AO62" s="1">
        <f>SUMIF(Students,E62,MGRcount)-AN62</f>
        <v>0</v>
      </c>
      <c r="AP62" s="1">
        <f>COUNTIF(Students,E62)-AN62-AO62</f>
        <v>0</v>
      </c>
      <c r="AQ62" s="1">
        <f>SUMIF(Students,E62,FarBelowTGRCount)</f>
        <v>0</v>
      </c>
      <c r="AR62" s="47">
        <f>COUNTIF(Students,E62)</f>
        <v>0</v>
      </c>
      <c r="AS62" s="11">
        <f>IF(AR62&gt;0,Z62/AR62,0)</f>
        <v>0</v>
      </c>
      <c r="AT62" s="11">
        <f t="array" ref="AT62">1-PRODUCT(IF(Students=E62,MGRMult,1))</f>
        <v>0</v>
      </c>
      <c r="AU62" s="12">
        <f t="array" ref="AU62">1-PRODUCT(IF(Students=E62,RGRMult,1))</f>
        <v>0</v>
      </c>
      <c r="AV62" s="1">
        <f>COUNTIFS(Students,E62,Classes,HailMaryLabel)</f>
        <v>0</v>
      </c>
      <c r="AW62" s="1">
        <f>COUNTIFS(Students,E62,Classes,LongshotLabel)</f>
        <v>0</v>
      </c>
      <c r="AX62" s="1">
        <f>COUNTIFS(Students,E62,Classes,ReachLabel)</f>
        <v>0</v>
      </c>
      <c r="AY62" s="1">
        <f>COUNTIFS(Students,E62,Classes,MatchLabel)</f>
        <v>0</v>
      </c>
      <c r="AZ62" s="1">
        <f>COUNTIFS(Students,E62,Classes,SafetyLabel)</f>
        <v>0</v>
      </c>
      <c r="BA62" s="1">
        <f>COUNTIFS(Students,E62,Classes,SecureLabel)</f>
        <v>0</v>
      </c>
      <c r="BB62" s="1">
        <f>COUNTIFS(Students,E62,Classes,SureThingLabel)</f>
        <v>0</v>
      </c>
      <c r="BC62" s="13">
        <f>COUNTIFS(Students,E62,Classes,"Other")</f>
        <v>0</v>
      </c>
      <c r="BD62" s="1">
        <f>COUNTIFS(Students,E62,Classes,ReachLabel,MoneyYesNo,1)</f>
        <v>0</v>
      </c>
      <c r="BE62" s="1">
        <f>COUNTIFS(Students,E62,Classes,MatchLabel,MoneyYesNo,1)</f>
        <v>0</v>
      </c>
      <c r="BF62" s="1">
        <f>COUNTIFS(Students,E62,Classes,SafetyLabel,MoneyYesNo,1)</f>
        <v>0</v>
      </c>
      <c r="BG62" s="1">
        <f>COUNTIFS(Students,E62,Classes,SecureLabel,MoneyYesNo,1)</f>
        <v>0</v>
      </c>
      <c r="BH62" s="1">
        <f>COUNTIFS(Students,E62,Classes,SureThingLabel,MoneyYesNo,1)</f>
        <v>0</v>
      </c>
      <c r="BI62" s="1">
        <f>SUM(BD62:BH62)</f>
        <v>0</v>
      </c>
      <c r="BJ62" s="1">
        <f>SUMIFS(RGRcount,Students,E62,MoneyYesNo,1,Odds,"&gt;=20")</f>
        <v>0</v>
      </c>
      <c r="BK62" s="1">
        <f>SUMIFS(MGRcount,Students,E62,MoneyYesNo,1,Odds,"&gt;=20")-BJ62</f>
        <v>0</v>
      </c>
      <c r="BL62" s="1">
        <f>SUMIFS(RGRcount,Students,E62,MoneyYesNo,1,Odds,"&gt;=10")</f>
        <v>0</v>
      </c>
      <c r="BM62" s="1">
        <f>SUMIFS(MGRcount,Students,E62,MoneyYesNo,1,Odds,"&gt;=10")-BL62</f>
        <v>0</v>
      </c>
      <c r="BN62" s="1">
        <f>COUNTIFS(Students,E62,ILPublic,1)</f>
        <v>0</v>
      </c>
      <c r="BO62" s="1">
        <f>COUNTIFS(Students,E62,ILPublic,1, Classes,MatchLabel)+COUNTIFS(Students,E62,ILPublic,1, Classes,SafetyLabel)+COUNTIFS(Students,E62,ILPublic,1, Classes,SecureLabel)</f>
        <v>0</v>
      </c>
      <c r="BP62" s="1">
        <f>COUNTIFS(Students,E62,ILPublic,1, Classes,SecureLabel)</f>
        <v>0</v>
      </c>
      <c r="BQ62" s="1">
        <f>COUNTIFS(Students,E62,MoneyChicago,1)</f>
        <v>0</v>
      </c>
      <c r="BR62" s="1">
        <f>COUNTIFS(Students,E62,MatchOrUnder,1)</f>
        <v>0</v>
      </c>
      <c r="BS62" s="1">
        <f>SUMIF(Students,E62,MGRcount)</f>
        <v>0</v>
      </c>
      <c r="BT62" s="1">
        <f>COUNTIFS(Students,E62,BadMoney,1)</f>
        <v>0</v>
      </c>
      <c r="BU62" s="1">
        <f>COUNTIFS(Students,E62,GoldenThree,1)</f>
        <v>0</v>
      </c>
    </row>
    <row r="63" spans="1:73">
      <c r="A63" s="18" t="s">
        <v>86</v>
      </c>
      <c r="B63" s="19">
        <v>0</v>
      </c>
      <c r="C63" s="18" t="s">
        <v>87</v>
      </c>
      <c r="D63" s="18" t="s">
        <v>286</v>
      </c>
      <c r="E63" s="19">
        <v>23461683</v>
      </c>
      <c r="F63" s="19" t="s">
        <v>287</v>
      </c>
      <c r="G63" s="10" t="s">
        <v>288</v>
      </c>
      <c r="H63" s="46">
        <v>3.0135</v>
      </c>
      <c r="I63" s="1">
        <v>22</v>
      </c>
      <c r="J63" s="1">
        <v>880</v>
      </c>
      <c r="K63" s="1">
        <f>IF(ISNUMBER(J63),VLOOKUP(J63,SATtoACT,2,FALSE),"TBD")</f>
        <v>0</v>
      </c>
      <c r="L63" s="1">
        <f>IF(ISNUMBER(I63),IF(ISNUMBER(K63),MAX(I63,K63),I63),IF(ISNUMBER(K63),K63,"TBD"))</f>
        <v>0</v>
      </c>
      <c r="M63" s="1" t="s">
        <v>91</v>
      </c>
      <c r="N63" s="1">
        <f>IF(AND(H63&lt;&gt;0,L63&lt;&gt;0),IF(ISNUMBER(VLOOKUP(TEXT(MAX(FLOOR(H63*10,1)/10,1.5),"0.0")&amp;":"&amp;MAX(L63,12),StrategyLookup,4,FALSE)),VLOOKUP(TEXT(MAX(FLOOR(H63*10,1)/10,1.5),"0.0")&amp;":"&amp;MAX(L63,12),StrategyLookup,4,FALSE),"TBD"),"TBD")</f>
        <v>0</v>
      </c>
      <c r="O63" s="11">
        <f>IF(ISNUMBER(N63),VLOOKUP(IF(OR(N63=5,N63=6),N63&amp;IF(H63&gt;=3,"+","&lt;"),N63&amp;""),TargetLookup,IF(B63=-1,6,IF(OR(M63="W",M63="A"),4,2)),FALSE),"TBD")</f>
        <v>0</v>
      </c>
      <c r="P63" s="11">
        <f>IF(ISNUMBER(N63),VLOOKUP(IF(OR(N63=5,N63=6),N63&amp;IF(H63&gt;=3,"+","&lt;"),N63&amp;""),TargetLookup,IF(B63=-1,7,IF(OR(M63="W",M63="A"),5,3)),FALSE),"TBD")</f>
        <v>0</v>
      </c>
      <c r="Q63" s="18" t="s">
        <v>103</v>
      </c>
      <c r="R63" s="19" t="s">
        <v>104</v>
      </c>
      <c r="S63" s="19" t="s">
        <v>94</v>
      </c>
      <c r="T63" s="19">
        <f>Q63&amp;S63&amp;D63</f>
        <v>0</v>
      </c>
      <c r="U63" s="11">
        <f t="array" ref="U63">1-PRODUCT(IF(Students=E63,MGRMoneyMult,1))</f>
        <v>0</v>
      </c>
      <c r="V63" s="12">
        <f t="array" ref="V63">1-PRODUCT(IF(Students=E63,RGRMoneyMult,1))</f>
        <v>0</v>
      </c>
      <c r="W63" s="13">
        <f>COUNTIFS(Students,E63,Results,"Accepted!")+COUNTIFS(Students,E63,Results,"CHOICE!")</f>
        <v>0</v>
      </c>
      <c r="X63" s="1">
        <f>COUNTIFS(Students,E63,Results,"Deferred")+COUNTIFS(Students,E63,Results,"Waitlist")</f>
        <v>0</v>
      </c>
      <c r="Y63" s="13">
        <f>COUNTIFS(Students,E63,Results,"Denied")</f>
        <v>0</v>
      </c>
      <c r="Z63" s="13">
        <f>W63+X63+Y63+COUNTIFS(Students,E63,Results,"Submitted")</f>
        <v>0</v>
      </c>
      <c r="AA63" s="12">
        <v>0.5862608235071335</v>
      </c>
      <c r="AB63" s="12">
        <v>0.5416610947686767</v>
      </c>
      <c r="AC63" s="12">
        <v>0.5240592522050123</v>
      </c>
      <c r="AD63" s="12">
        <v>0.5125920211045021</v>
      </c>
      <c r="AE63" s="13">
        <f>COUNTIFS(Students,E63,Results,"CHOICE!")</f>
        <v>0</v>
      </c>
      <c r="AF63" s="1">
        <f>COUNTIFS(MoneyYesNo,1,RGRcount,1,Students,E63,Results,"Accepted!")</f>
        <v>0</v>
      </c>
      <c r="AG63" s="1">
        <f>COUNTIFS(MoneyYesNo,1,MGRcount,1,Students,E63,Results,"Accepted!")-AF63</f>
        <v>0</v>
      </c>
      <c r="AH63" s="1">
        <f>COUNTIFS(MoneyYesNo,1,Students,E63,Results,"Accepted!")-AF63-AG63</f>
        <v>0</v>
      </c>
      <c r="AI63" s="13">
        <f>COUNTIFS(Students,E63,Results,"Accepted!")-AF63-AG63-AH63</f>
        <v>0</v>
      </c>
      <c r="AJ63" s="1">
        <f>SUMIFS(RGRcount,Students,E63,MoneyYesNo,1)</f>
        <v>0</v>
      </c>
      <c r="AK63" s="1">
        <f>SUMIFS(MGRcount,Students,E63,MoneyYesNo,1)-AJ63</f>
        <v>0</v>
      </c>
      <c r="AL63" s="1">
        <f>SUMIF(Students,E63,MoneyYesNo)-AJ63-AK63</f>
        <v>0</v>
      </c>
      <c r="AM63" s="13">
        <f>SUM(AJ63,AK63,AL63)</f>
        <v>0</v>
      </c>
      <c r="AN63" s="1">
        <f>SUMIF(Students,E63,RGRcount)</f>
        <v>0</v>
      </c>
      <c r="AO63" s="1">
        <f>SUMIF(Students,E63,MGRcount)-AN63</f>
        <v>0</v>
      </c>
      <c r="AP63" s="1">
        <f>COUNTIF(Students,E63)-AN63-AO63</f>
        <v>0</v>
      </c>
      <c r="AQ63" s="1">
        <f>SUMIF(Students,E63,FarBelowTGRCount)</f>
        <v>0</v>
      </c>
      <c r="AR63" s="47">
        <f>COUNTIF(Students,E63)</f>
        <v>0</v>
      </c>
      <c r="AS63" s="11">
        <f>IF(AR63&gt;0,Z63/AR63,0)</f>
        <v>0</v>
      </c>
      <c r="AT63" s="11">
        <f t="array" ref="AT63">1-PRODUCT(IF(Students=E63,MGRMult,1))</f>
        <v>0</v>
      </c>
      <c r="AU63" s="12">
        <f t="array" ref="AU63">1-PRODUCT(IF(Students=E63,RGRMult,1))</f>
        <v>0</v>
      </c>
      <c r="AV63" s="1">
        <f>COUNTIFS(Students,E63,Classes,HailMaryLabel)</f>
        <v>0</v>
      </c>
      <c r="AW63" s="1">
        <f>COUNTIFS(Students,E63,Classes,LongshotLabel)</f>
        <v>0</v>
      </c>
      <c r="AX63" s="1">
        <f>COUNTIFS(Students,E63,Classes,ReachLabel)</f>
        <v>0</v>
      </c>
      <c r="AY63" s="1">
        <f>COUNTIFS(Students,E63,Classes,MatchLabel)</f>
        <v>0</v>
      </c>
      <c r="AZ63" s="1">
        <f>COUNTIFS(Students,E63,Classes,SafetyLabel)</f>
        <v>0</v>
      </c>
      <c r="BA63" s="1">
        <f>COUNTIFS(Students,E63,Classes,SecureLabel)</f>
        <v>0</v>
      </c>
      <c r="BB63" s="1">
        <f>COUNTIFS(Students,E63,Classes,SureThingLabel)</f>
        <v>0</v>
      </c>
      <c r="BC63" s="13">
        <f>COUNTIFS(Students,E63,Classes,"Other")</f>
        <v>0</v>
      </c>
      <c r="BD63" s="1">
        <f>COUNTIFS(Students,E63,Classes,ReachLabel,MoneyYesNo,1)</f>
        <v>0</v>
      </c>
      <c r="BE63" s="1">
        <f>COUNTIFS(Students,E63,Classes,MatchLabel,MoneyYesNo,1)</f>
        <v>0</v>
      </c>
      <c r="BF63" s="1">
        <f>COUNTIFS(Students,E63,Classes,SafetyLabel,MoneyYesNo,1)</f>
        <v>0</v>
      </c>
      <c r="BG63" s="1">
        <f>COUNTIFS(Students,E63,Classes,SecureLabel,MoneyYesNo,1)</f>
        <v>0</v>
      </c>
      <c r="BH63" s="1">
        <f>COUNTIFS(Students,E63,Classes,SureThingLabel,MoneyYesNo,1)</f>
        <v>0</v>
      </c>
      <c r="BI63" s="1">
        <f>SUM(BD63:BH63)</f>
        <v>0</v>
      </c>
      <c r="BJ63" s="1">
        <f>SUMIFS(RGRcount,Students,E63,MoneyYesNo,1,Odds,"&gt;=20")</f>
        <v>0</v>
      </c>
      <c r="BK63" s="1">
        <f>SUMIFS(MGRcount,Students,E63,MoneyYesNo,1,Odds,"&gt;=20")-BJ63</f>
        <v>0</v>
      </c>
      <c r="BL63" s="1">
        <f>SUMIFS(RGRcount,Students,E63,MoneyYesNo,1,Odds,"&gt;=10")</f>
        <v>0</v>
      </c>
      <c r="BM63" s="1">
        <f>SUMIFS(MGRcount,Students,E63,MoneyYesNo,1,Odds,"&gt;=10")-BL63</f>
        <v>0</v>
      </c>
      <c r="BN63" s="1">
        <f>COUNTIFS(Students,E63,ILPublic,1)</f>
        <v>0</v>
      </c>
      <c r="BO63" s="1">
        <f>COUNTIFS(Students,E63,ILPublic,1, Classes,MatchLabel)+COUNTIFS(Students,E63,ILPublic,1, Classes,SafetyLabel)+COUNTIFS(Students,E63,ILPublic,1, Classes,SecureLabel)</f>
        <v>0</v>
      </c>
      <c r="BP63" s="1">
        <f>COUNTIFS(Students,E63,ILPublic,1, Classes,SecureLabel)</f>
        <v>0</v>
      </c>
      <c r="BQ63" s="1">
        <f>COUNTIFS(Students,E63,MoneyChicago,1)</f>
        <v>0</v>
      </c>
      <c r="BR63" s="1">
        <f>COUNTIFS(Students,E63,MatchOrUnder,1)</f>
        <v>0</v>
      </c>
      <c r="BS63" s="1">
        <f>SUMIF(Students,E63,MGRcount)</f>
        <v>0</v>
      </c>
      <c r="BT63" s="1">
        <f>COUNTIFS(Students,E63,BadMoney,1)</f>
        <v>0</v>
      </c>
      <c r="BU63" s="1">
        <f>COUNTIFS(Students,E63,GoldenThree,1)</f>
        <v>0</v>
      </c>
    </row>
    <row r="64" spans="1:73">
      <c r="A64" s="18" t="s">
        <v>86</v>
      </c>
      <c r="B64" s="19">
        <v>0</v>
      </c>
      <c r="C64" s="18" t="s">
        <v>138</v>
      </c>
      <c r="D64" s="18" t="s">
        <v>289</v>
      </c>
      <c r="E64" s="19">
        <v>23020881</v>
      </c>
      <c r="F64" s="19" t="s">
        <v>290</v>
      </c>
      <c r="G64" s="10" t="s">
        <v>291</v>
      </c>
      <c r="H64" s="46">
        <v>2.4558</v>
      </c>
      <c r="I64" s="1">
        <v>19</v>
      </c>
      <c r="J64" s="1">
        <v>810</v>
      </c>
      <c r="K64" s="1">
        <f>IF(ISNUMBER(J64),VLOOKUP(J64,SATtoACT,2,FALSE),"TBD")</f>
        <v>0</v>
      </c>
      <c r="L64" s="1">
        <f>IF(ISNUMBER(I64),IF(ISNUMBER(K64),MAX(I64,K64),I64),IF(ISNUMBER(K64),K64,"TBD"))</f>
        <v>0</v>
      </c>
      <c r="M64" s="1" t="s">
        <v>115</v>
      </c>
      <c r="N64" s="1">
        <f>IF(AND(H64&lt;&gt;0,L64&lt;&gt;0),IF(ISNUMBER(VLOOKUP(TEXT(MAX(FLOOR(H64*10,1)/10,1.5),"0.0")&amp;":"&amp;MAX(L64,12),StrategyLookup,4,FALSE)),VLOOKUP(TEXT(MAX(FLOOR(H64*10,1)/10,1.5),"0.0")&amp;":"&amp;MAX(L64,12),StrategyLookup,4,FALSE),"TBD"),"TBD")</f>
        <v>0</v>
      </c>
      <c r="O64" s="11">
        <f>IF(ISNUMBER(N64),VLOOKUP(IF(OR(N64=5,N64=6),N64&amp;IF(H64&gt;=3,"+","&lt;"),N64&amp;""),TargetLookup,IF(B64=-1,6,IF(OR(M64="W",M64="A"),4,2)),FALSE),"TBD")</f>
        <v>0</v>
      </c>
      <c r="P64" s="11">
        <f>IF(ISNUMBER(N64),VLOOKUP(IF(OR(N64=5,N64=6),N64&amp;IF(H64&gt;=3,"+","&lt;"),N64&amp;""),TargetLookup,IF(B64=-1,7,IF(OR(M64="W",M64="A"),5,3)),FALSE),"TBD")</f>
        <v>0</v>
      </c>
      <c r="Q64" s="18" t="s">
        <v>92</v>
      </c>
      <c r="R64" s="19" t="s">
        <v>131</v>
      </c>
      <c r="S64" s="19" t="s">
        <v>94</v>
      </c>
      <c r="T64" s="19">
        <f>Q64&amp;S64&amp;D64</f>
        <v>0</v>
      </c>
      <c r="U64" s="11">
        <f t="array" ref="U64">1-PRODUCT(IF(Students=E64,MGRMoneyMult,1))</f>
        <v>0</v>
      </c>
      <c r="V64" s="12">
        <f t="array" ref="V64">1-PRODUCT(IF(Students=E64,RGRMoneyMult,1))</f>
        <v>0</v>
      </c>
      <c r="W64" s="13">
        <f>COUNTIFS(Students,E64,Results,"Accepted!")+COUNTIFS(Students,E64,Results,"CHOICE!")</f>
        <v>0</v>
      </c>
      <c r="X64" s="1">
        <f>COUNTIFS(Students,E64,Results,"Deferred")+COUNTIFS(Students,E64,Results,"Waitlist")</f>
        <v>0</v>
      </c>
      <c r="Y64" s="13">
        <f>COUNTIFS(Students,E64,Results,"Denied")</f>
        <v>0</v>
      </c>
      <c r="Z64" s="13">
        <f>W64+X64+Y64+COUNTIFS(Students,E64,Results,"Submitted")</f>
        <v>0</v>
      </c>
      <c r="AA64" s="12">
        <v>0.4769658569822669</v>
      </c>
      <c r="AB64" s="12">
        <v>0.4403839245613512</v>
      </c>
      <c r="AC64" s="12">
        <v>0.4110156289945973</v>
      </c>
      <c r="AD64" s="12">
        <v>0.4001273851683493</v>
      </c>
      <c r="AE64" s="13">
        <f>COUNTIFS(Students,E64,Results,"CHOICE!")</f>
        <v>0</v>
      </c>
      <c r="AF64" s="1">
        <f>COUNTIFS(MoneyYesNo,1,RGRcount,1,Students,E64,Results,"Accepted!")</f>
        <v>0</v>
      </c>
      <c r="AG64" s="1">
        <f>COUNTIFS(MoneyYesNo,1,MGRcount,1,Students,E64,Results,"Accepted!")-AF64</f>
        <v>0</v>
      </c>
      <c r="AH64" s="1">
        <f>COUNTIFS(MoneyYesNo,1,Students,E64,Results,"Accepted!")-AF64-AG64</f>
        <v>0</v>
      </c>
      <c r="AI64" s="13">
        <f>COUNTIFS(Students,E64,Results,"Accepted!")-AF64-AG64-AH64</f>
        <v>0</v>
      </c>
      <c r="AJ64" s="1">
        <f>SUMIFS(RGRcount,Students,E64,MoneyYesNo,1)</f>
        <v>0</v>
      </c>
      <c r="AK64" s="1">
        <f>SUMIFS(MGRcount,Students,E64,MoneyYesNo,1)-AJ64</f>
        <v>0</v>
      </c>
      <c r="AL64" s="1">
        <f>SUMIF(Students,E64,MoneyYesNo)-AJ64-AK64</f>
        <v>0</v>
      </c>
      <c r="AM64" s="13">
        <f>SUM(AJ64,AK64,AL64)</f>
        <v>0</v>
      </c>
      <c r="AN64" s="1">
        <f>SUMIF(Students,E64,RGRcount)</f>
        <v>0</v>
      </c>
      <c r="AO64" s="1">
        <f>SUMIF(Students,E64,MGRcount)-AN64</f>
        <v>0</v>
      </c>
      <c r="AP64" s="1">
        <f>COUNTIF(Students,E64)-AN64-AO64</f>
        <v>0</v>
      </c>
      <c r="AQ64" s="1">
        <f>SUMIF(Students,E64,FarBelowTGRCount)</f>
        <v>0</v>
      </c>
      <c r="AR64" s="47">
        <f>COUNTIF(Students,E64)</f>
        <v>0</v>
      </c>
      <c r="AS64" s="11">
        <f>IF(AR64&gt;0,Z64/AR64,0)</f>
        <v>0</v>
      </c>
      <c r="AT64" s="11">
        <f t="array" ref="AT64">1-PRODUCT(IF(Students=E64,MGRMult,1))</f>
        <v>0</v>
      </c>
      <c r="AU64" s="12">
        <f t="array" ref="AU64">1-PRODUCT(IF(Students=E64,RGRMult,1))</f>
        <v>0</v>
      </c>
      <c r="AV64" s="1">
        <f>COUNTIFS(Students,E64,Classes,HailMaryLabel)</f>
        <v>0</v>
      </c>
      <c r="AW64" s="1">
        <f>COUNTIFS(Students,E64,Classes,LongshotLabel)</f>
        <v>0</v>
      </c>
      <c r="AX64" s="1">
        <f>COUNTIFS(Students,E64,Classes,ReachLabel)</f>
        <v>0</v>
      </c>
      <c r="AY64" s="1">
        <f>COUNTIFS(Students,E64,Classes,MatchLabel)</f>
        <v>0</v>
      </c>
      <c r="AZ64" s="1">
        <f>COUNTIFS(Students,E64,Classes,SafetyLabel)</f>
        <v>0</v>
      </c>
      <c r="BA64" s="1">
        <f>COUNTIFS(Students,E64,Classes,SecureLabel)</f>
        <v>0</v>
      </c>
      <c r="BB64" s="1">
        <f>COUNTIFS(Students,E64,Classes,SureThingLabel)</f>
        <v>0</v>
      </c>
      <c r="BC64" s="13">
        <f>COUNTIFS(Students,E64,Classes,"Other")</f>
        <v>0</v>
      </c>
      <c r="BD64" s="1">
        <f>COUNTIFS(Students,E64,Classes,ReachLabel,MoneyYesNo,1)</f>
        <v>0</v>
      </c>
      <c r="BE64" s="1">
        <f>COUNTIFS(Students,E64,Classes,MatchLabel,MoneyYesNo,1)</f>
        <v>0</v>
      </c>
      <c r="BF64" s="1">
        <f>COUNTIFS(Students,E64,Classes,SafetyLabel,MoneyYesNo,1)</f>
        <v>0</v>
      </c>
      <c r="BG64" s="1">
        <f>COUNTIFS(Students,E64,Classes,SecureLabel,MoneyYesNo,1)</f>
        <v>0</v>
      </c>
      <c r="BH64" s="1">
        <f>COUNTIFS(Students,E64,Classes,SureThingLabel,MoneyYesNo,1)</f>
        <v>0</v>
      </c>
      <c r="BI64" s="1">
        <f>SUM(BD64:BH64)</f>
        <v>0</v>
      </c>
      <c r="BJ64" s="1">
        <f>SUMIFS(RGRcount,Students,E64,MoneyYesNo,1,Odds,"&gt;=20")</f>
        <v>0</v>
      </c>
      <c r="BK64" s="1">
        <f>SUMIFS(MGRcount,Students,E64,MoneyYesNo,1,Odds,"&gt;=20")-BJ64</f>
        <v>0</v>
      </c>
      <c r="BL64" s="1">
        <f>SUMIFS(RGRcount,Students,E64,MoneyYesNo,1,Odds,"&gt;=10")</f>
        <v>0</v>
      </c>
      <c r="BM64" s="1">
        <f>SUMIFS(MGRcount,Students,E64,MoneyYesNo,1,Odds,"&gt;=10")-BL64</f>
        <v>0</v>
      </c>
      <c r="BN64" s="1">
        <f>COUNTIFS(Students,E64,ILPublic,1)</f>
        <v>0</v>
      </c>
      <c r="BO64" s="1">
        <f>COUNTIFS(Students,E64,ILPublic,1, Classes,MatchLabel)+COUNTIFS(Students,E64,ILPublic,1, Classes,SafetyLabel)+COUNTIFS(Students,E64,ILPublic,1, Classes,SecureLabel)</f>
        <v>0</v>
      </c>
      <c r="BP64" s="1">
        <f>COUNTIFS(Students,E64,ILPublic,1, Classes,SecureLabel)</f>
        <v>0</v>
      </c>
      <c r="BQ64" s="1">
        <f>COUNTIFS(Students,E64,MoneyChicago,1)</f>
        <v>0</v>
      </c>
      <c r="BR64" s="1">
        <f>COUNTIFS(Students,E64,MatchOrUnder,1)</f>
        <v>0</v>
      </c>
      <c r="BS64" s="1">
        <f>SUMIF(Students,E64,MGRcount)</f>
        <v>0</v>
      </c>
      <c r="BT64" s="1">
        <f>COUNTIFS(Students,E64,BadMoney,1)</f>
        <v>0</v>
      </c>
      <c r="BU64" s="1">
        <f>COUNTIFS(Students,E64,GoldenThree,1)</f>
        <v>0</v>
      </c>
    </row>
    <row r="65" spans="1:73">
      <c r="A65" s="18" t="s">
        <v>86</v>
      </c>
      <c r="B65" s="19">
        <v>0</v>
      </c>
      <c r="C65" s="18" t="s">
        <v>87</v>
      </c>
      <c r="D65" s="18" t="s">
        <v>292</v>
      </c>
      <c r="E65" s="19">
        <v>23038357</v>
      </c>
      <c r="F65" s="19" t="s">
        <v>293</v>
      </c>
      <c r="G65" s="10" t="s">
        <v>294</v>
      </c>
      <c r="H65" s="46">
        <v>3.786</v>
      </c>
      <c r="I65" s="1">
        <v>25</v>
      </c>
      <c r="J65" s="1">
        <v>1180</v>
      </c>
      <c r="K65" s="1">
        <f>IF(ISNUMBER(J65),VLOOKUP(J65,SATtoACT,2,FALSE),"TBD")</f>
        <v>0</v>
      </c>
      <c r="L65" s="1">
        <f>IF(ISNUMBER(I65),IF(ISNUMBER(K65),MAX(I65,K65),I65),IF(ISNUMBER(K65),K65,"TBD"))</f>
        <v>0</v>
      </c>
      <c r="M65" s="1" t="s">
        <v>91</v>
      </c>
      <c r="N65" s="1">
        <f>IF(AND(H65&lt;&gt;0,L65&lt;&gt;0),IF(ISNUMBER(VLOOKUP(TEXT(MAX(FLOOR(H65*10,1)/10,1.5),"0.0")&amp;":"&amp;MAX(L65,12),StrategyLookup,4,FALSE)),VLOOKUP(TEXT(MAX(FLOOR(H65*10,1)/10,1.5),"0.0")&amp;":"&amp;MAX(L65,12),StrategyLookup,4,FALSE),"TBD"),"TBD")</f>
        <v>0</v>
      </c>
      <c r="O65" s="11">
        <f>IF(ISNUMBER(N65),VLOOKUP(IF(OR(N65=5,N65=6),N65&amp;IF(H65&gt;=3,"+","&lt;"),N65&amp;""),TargetLookup,IF(B65=-1,6,IF(OR(M65="W",M65="A"),4,2)),FALSE),"TBD")</f>
        <v>0</v>
      </c>
      <c r="P65" s="11">
        <f>IF(ISNUMBER(N65),VLOOKUP(IF(OR(N65=5,N65=6),N65&amp;IF(H65&gt;=3,"+","&lt;"),N65&amp;""),TargetLookup,IF(B65=-1,7,IF(OR(M65="W",M65="A"),5,3)),FALSE),"TBD")</f>
        <v>0</v>
      </c>
      <c r="Q65" s="18" t="s">
        <v>145</v>
      </c>
      <c r="R65" s="19" t="s">
        <v>121</v>
      </c>
      <c r="S65" s="19" t="s">
        <v>94</v>
      </c>
      <c r="T65" s="19">
        <f>Q65&amp;S65&amp;D65</f>
        <v>0</v>
      </c>
      <c r="U65" s="11">
        <f t="array" ref="U65">1-PRODUCT(IF(Students=E65,MGRMoneyMult,1))</f>
        <v>0</v>
      </c>
      <c r="V65" s="12">
        <f t="array" ref="V65">1-PRODUCT(IF(Students=E65,RGRMoneyMult,1))</f>
        <v>0</v>
      </c>
      <c r="W65" s="13">
        <f>COUNTIFS(Students,E65,Results,"Accepted!")+COUNTIFS(Students,E65,Results,"CHOICE!")</f>
        <v>0</v>
      </c>
      <c r="X65" s="1">
        <f>COUNTIFS(Students,E65,Results,"Deferred")+COUNTIFS(Students,E65,Results,"Waitlist")</f>
        <v>0</v>
      </c>
      <c r="Y65" s="13">
        <f>COUNTIFS(Students,E65,Results,"Denied")</f>
        <v>0</v>
      </c>
      <c r="Z65" s="13">
        <f>W65+X65+Y65+COUNTIFS(Students,E65,Results,"Submitted")</f>
        <v>0</v>
      </c>
      <c r="AA65" s="12">
        <v>0.7823607970987378</v>
      </c>
      <c r="AB65" s="12">
        <v>0.7637077328127417</v>
      </c>
      <c r="AC65" s="12">
        <v>0.631764225549167</v>
      </c>
      <c r="AD65" s="12">
        <v>0.6063744985917897</v>
      </c>
      <c r="AE65" s="13">
        <f>COUNTIFS(Students,E65,Results,"CHOICE!")</f>
        <v>0</v>
      </c>
      <c r="AF65" s="1">
        <f>COUNTIFS(MoneyYesNo,1,RGRcount,1,Students,E65,Results,"Accepted!")</f>
        <v>0</v>
      </c>
      <c r="AG65" s="1">
        <f>COUNTIFS(MoneyYesNo,1,MGRcount,1,Students,E65,Results,"Accepted!")-AF65</f>
        <v>0</v>
      </c>
      <c r="AH65" s="1">
        <f>COUNTIFS(MoneyYesNo,1,Students,E65,Results,"Accepted!")-AF65-AG65</f>
        <v>0</v>
      </c>
      <c r="AI65" s="13">
        <f>COUNTIFS(Students,E65,Results,"Accepted!")-AF65-AG65-AH65</f>
        <v>0</v>
      </c>
      <c r="AJ65" s="1">
        <f>SUMIFS(RGRcount,Students,E65,MoneyYesNo,1)</f>
        <v>0</v>
      </c>
      <c r="AK65" s="1">
        <f>SUMIFS(MGRcount,Students,E65,MoneyYesNo,1)-AJ65</f>
        <v>0</v>
      </c>
      <c r="AL65" s="1">
        <f>SUMIF(Students,E65,MoneyYesNo)-AJ65-AK65</f>
        <v>0</v>
      </c>
      <c r="AM65" s="13">
        <f>SUM(AJ65,AK65,AL65)</f>
        <v>0</v>
      </c>
      <c r="AN65" s="1">
        <f>SUMIF(Students,E65,RGRcount)</f>
        <v>0</v>
      </c>
      <c r="AO65" s="1">
        <f>SUMIF(Students,E65,MGRcount)-AN65</f>
        <v>0</v>
      </c>
      <c r="AP65" s="1">
        <f>COUNTIF(Students,E65)-AN65-AO65</f>
        <v>0</v>
      </c>
      <c r="AQ65" s="1">
        <f>SUMIF(Students,E65,FarBelowTGRCount)</f>
        <v>0</v>
      </c>
      <c r="AR65" s="47">
        <f>COUNTIF(Students,E65)</f>
        <v>0</v>
      </c>
      <c r="AS65" s="11">
        <f>IF(AR65&gt;0,Z65/AR65,0)</f>
        <v>0</v>
      </c>
      <c r="AT65" s="11">
        <f t="array" ref="AT65">1-PRODUCT(IF(Students=E65,MGRMult,1))</f>
        <v>0</v>
      </c>
      <c r="AU65" s="12">
        <f t="array" ref="AU65">1-PRODUCT(IF(Students=E65,RGRMult,1))</f>
        <v>0</v>
      </c>
      <c r="AV65" s="1">
        <f>COUNTIFS(Students,E65,Classes,HailMaryLabel)</f>
        <v>0</v>
      </c>
      <c r="AW65" s="1">
        <f>COUNTIFS(Students,E65,Classes,LongshotLabel)</f>
        <v>0</v>
      </c>
      <c r="AX65" s="1">
        <f>COUNTIFS(Students,E65,Classes,ReachLabel)</f>
        <v>0</v>
      </c>
      <c r="AY65" s="1">
        <f>COUNTIFS(Students,E65,Classes,MatchLabel)</f>
        <v>0</v>
      </c>
      <c r="AZ65" s="1">
        <f>COUNTIFS(Students,E65,Classes,SafetyLabel)</f>
        <v>0</v>
      </c>
      <c r="BA65" s="1">
        <f>COUNTIFS(Students,E65,Classes,SecureLabel)</f>
        <v>0</v>
      </c>
      <c r="BB65" s="1">
        <f>COUNTIFS(Students,E65,Classes,SureThingLabel)</f>
        <v>0</v>
      </c>
      <c r="BC65" s="13">
        <f>COUNTIFS(Students,E65,Classes,"Other")</f>
        <v>0</v>
      </c>
      <c r="BD65" s="1">
        <f>COUNTIFS(Students,E65,Classes,ReachLabel,MoneyYesNo,1)</f>
        <v>0</v>
      </c>
      <c r="BE65" s="1">
        <f>COUNTIFS(Students,E65,Classes,MatchLabel,MoneyYesNo,1)</f>
        <v>0</v>
      </c>
      <c r="BF65" s="1">
        <f>COUNTIFS(Students,E65,Classes,SafetyLabel,MoneyYesNo,1)</f>
        <v>0</v>
      </c>
      <c r="BG65" s="1">
        <f>COUNTIFS(Students,E65,Classes,SecureLabel,MoneyYesNo,1)</f>
        <v>0</v>
      </c>
      <c r="BH65" s="1">
        <f>COUNTIFS(Students,E65,Classes,SureThingLabel,MoneyYesNo,1)</f>
        <v>0</v>
      </c>
      <c r="BI65" s="1">
        <f>SUM(BD65:BH65)</f>
        <v>0</v>
      </c>
      <c r="BJ65" s="1">
        <f>SUMIFS(RGRcount,Students,E65,MoneyYesNo,1,Odds,"&gt;=20")</f>
        <v>0</v>
      </c>
      <c r="BK65" s="1">
        <f>SUMIFS(MGRcount,Students,E65,MoneyYesNo,1,Odds,"&gt;=20")-BJ65</f>
        <v>0</v>
      </c>
      <c r="BL65" s="1">
        <f>SUMIFS(RGRcount,Students,E65,MoneyYesNo,1,Odds,"&gt;=10")</f>
        <v>0</v>
      </c>
      <c r="BM65" s="1">
        <f>SUMIFS(MGRcount,Students,E65,MoneyYesNo,1,Odds,"&gt;=10")-BL65</f>
        <v>0</v>
      </c>
      <c r="BN65" s="1">
        <f>COUNTIFS(Students,E65,ILPublic,1)</f>
        <v>0</v>
      </c>
      <c r="BO65" s="1">
        <f>COUNTIFS(Students,E65,ILPublic,1, Classes,MatchLabel)+COUNTIFS(Students,E65,ILPublic,1, Classes,SafetyLabel)+COUNTIFS(Students,E65,ILPublic,1, Classes,SecureLabel)</f>
        <v>0</v>
      </c>
      <c r="BP65" s="1">
        <f>COUNTIFS(Students,E65,ILPublic,1, Classes,SecureLabel)</f>
        <v>0</v>
      </c>
      <c r="BQ65" s="1">
        <f>COUNTIFS(Students,E65,MoneyChicago,1)</f>
        <v>0</v>
      </c>
      <c r="BR65" s="1">
        <f>COUNTIFS(Students,E65,MatchOrUnder,1)</f>
        <v>0</v>
      </c>
      <c r="BS65" s="1">
        <f>SUMIF(Students,E65,MGRcount)</f>
        <v>0</v>
      </c>
      <c r="BT65" s="1">
        <f>COUNTIFS(Students,E65,BadMoney,1)</f>
        <v>0</v>
      </c>
      <c r="BU65" s="1">
        <f>COUNTIFS(Students,E65,GoldenThree,1)</f>
        <v>0</v>
      </c>
    </row>
    <row r="66" spans="1:73">
      <c r="A66" s="18" t="s">
        <v>86</v>
      </c>
      <c r="B66" s="19">
        <v>0</v>
      </c>
      <c r="C66" s="18" t="s">
        <v>87</v>
      </c>
      <c r="D66" s="18" t="s">
        <v>295</v>
      </c>
      <c r="E66" s="19">
        <v>30280677</v>
      </c>
      <c r="F66" s="19" t="s">
        <v>296</v>
      </c>
      <c r="G66" s="10" t="s">
        <v>297</v>
      </c>
      <c r="H66" s="46">
        <v>2.276</v>
      </c>
      <c r="I66" s="1">
        <v>18</v>
      </c>
      <c r="J66" s="1">
        <v>1060</v>
      </c>
      <c r="K66" s="1">
        <f>IF(ISNUMBER(J66),VLOOKUP(J66,SATtoACT,2,FALSE),"TBD")</f>
        <v>0</v>
      </c>
      <c r="L66" s="1">
        <f>IF(ISNUMBER(I66),IF(ISNUMBER(K66),MAX(I66,K66),I66),IF(ISNUMBER(K66),K66,"TBD"))</f>
        <v>0</v>
      </c>
      <c r="M66" s="1" t="s">
        <v>91</v>
      </c>
      <c r="N66" s="1">
        <f>IF(AND(H66&lt;&gt;0,L66&lt;&gt;0),IF(ISNUMBER(VLOOKUP(TEXT(MAX(FLOOR(H66*10,1)/10,1.5),"0.0")&amp;":"&amp;MAX(L66,12),StrategyLookup,4,FALSE)),VLOOKUP(TEXT(MAX(FLOOR(H66*10,1)/10,1.5),"0.0")&amp;":"&amp;MAX(L66,12),StrategyLookup,4,FALSE),"TBD"),"TBD")</f>
        <v>0</v>
      </c>
      <c r="O66" s="11">
        <f>IF(ISNUMBER(N66),VLOOKUP(IF(OR(N66=5,N66=6),N66&amp;IF(H66&gt;=3,"+","&lt;"),N66&amp;""),TargetLookup,IF(B66=-1,6,IF(OR(M66="W",M66="A"),4,2)),FALSE),"TBD")</f>
        <v>0</v>
      </c>
      <c r="P66" s="11">
        <f>IF(ISNUMBER(N66),VLOOKUP(IF(OR(N66=5,N66=6),N66&amp;IF(H66&gt;=3,"+","&lt;"),N66&amp;""),TargetLookup,IF(B66=-1,7,IF(OR(M66="W",M66="A"),5,3)),FALSE),"TBD")</f>
        <v>0</v>
      </c>
      <c r="Q66" s="18" t="s">
        <v>92</v>
      </c>
      <c r="R66" s="19" t="s">
        <v>155</v>
      </c>
      <c r="S66" s="19" t="s">
        <v>94</v>
      </c>
      <c r="T66" s="19">
        <f>Q66&amp;S66&amp;D66</f>
        <v>0</v>
      </c>
      <c r="U66" s="11">
        <f t="array" ref="U66">1-PRODUCT(IF(Students=E66,MGRMoneyMult,1))</f>
        <v>0</v>
      </c>
      <c r="V66" s="12">
        <f t="array" ref="V66">1-PRODUCT(IF(Students=E66,RGRMoneyMult,1))</f>
        <v>0</v>
      </c>
      <c r="W66" s="13">
        <f>COUNTIFS(Students,E66,Results,"Accepted!")+COUNTIFS(Students,E66,Results,"CHOICE!")</f>
        <v>0</v>
      </c>
      <c r="X66" s="1">
        <f>COUNTIFS(Students,E66,Results,"Deferred")+COUNTIFS(Students,E66,Results,"Waitlist")</f>
        <v>0</v>
      </c>
      <c r="Y66" s="13">
        <f>COUNTIFS(Students,E66,Results,"Denied")</f>
        <v>0</v>
      </c>
      <c r="Z66" s="13">
        <f>W66+X66+Y66+COUNTIFS(Students,E66,Results,"Submitted")</f>
        <v>0</v>
      </c>
      <c r="AA66" s="12">
        <v>0.4368834828311513</v>
      </c>
      <c r="AB66" s="12">
        <v>0.4236880297515574</v>
      </c>
      <c r="AC66" s="12">
        <v>0.3758582206738388</v>
      </c>
      <c r="AD66" s="12">
        <v>0.3576105451108077</v>
      </c>
      <c r="AE66" s="13">
        <f>COUNTIFS(Students,E66,Results,"CHOICE!")</f>
        <v>0</v>
      </c>
      <c r="AF66" s="1">
        <f>COUNTIFS(MoneyYesNo,1,RGRcount,1,Students,E66,Results,"Accepted!")</f>
        <v>0</v>
      </c>
      <c r="AG66" s="1">
        <f>COUNTIFS(MoneyYesNo,1,MGRcount,1,Students,E66,Results,"Accepted!")-AF66</f>
        <v>0</v>
      </c>
      <c r="AH66" s="1">
        <f>COUNTIFS(MoneyYesNo,1,Students,E66,Results,"Accepted!")-AF66-AG66</f>
        <v>0</v>
      </c>
      <c r="AI66" s="13">
        <f>COUNTIFS(Students,E66,Results,"Accepted!")-AF66-AG66-AH66</f>
        <v>0</v>
      </c>
      <c r="AJ66" s="1">
        <f>SUMIFS(RGRcount,Students,E66,MoneyYesNo,1)</f>
        <v>0</v>
      </c>
      <c r="AK66" s="1">
        <f>SUMIFS(MGRcount,Students,E66,MoneyYesNo,1)-AJ66</f>
        <v>0</v>
      </c>
      <c r="AL66" s="1">
        <f>SUMIF(Students,E66,MoneyYesNo)-AJ66-AK66</f>
        <v>0</v>
      </c>
      <c r="AM66" s="13">
        <f>SUM(AJ66,AK66,AL66)</f>
        <v>0</v>
      </c>
      <c r="AN66" s="1">
        <f>SUMIF(Students,E66,RGRcount)</f>
        <v>0</v>
      </c>
      <c r="AO66" s="1">
        <f>SUMIF(Students,E66,MGRcount)-AN66</f>
        <v>0</v>
      </c>
      <c r="AP66" s="1">
        <f>COUNTIF(Students,E66)-AN66-AO66</f>
        <v>0</v>
      </c>
      <c r="AQ66" s="1">
        <f>SUMIF(Students,E66,FarBelowTGRCount)</f>
        <v>0</v>
      </c>
      <c r="AR66" s="47">
        <f>COUNTIF(Students,E66)</f>
        <v>0</v>
      </c>
      <c r="AS66" s="11">
        <f>IF(AR66&gt;0,Z66/AR66,0)</f>
        <v>0</v>
      </c>
      <c r="AT66" s="11">
        <f t="array" ref="AT66">1-PRODUCT(IF(Students=E66,MGRMult,1))</f>
        <v>0</v>
      </c>
      <c r="AU66" s="12">
        <f t="array" ref="AU66">1-PRODUCT(IF(Students=E66,RGRMult,1))</f>
        <v>0</v>
      </c>
      <c r="AV66" s="1">
        <f>COUNTIFS(Students,E66,Classes,HailMaryLabel)</f>
        <v>0</v>
      </c>
      <c r="AW66" s="1">
        <f>COUNTIFS(Students,E66,Classes,LongshotLabel)</f>
        <v>0</v>
      </c>
      <c r="AX66" s="1">
        <f>COUNTIFS(Students,E66,Classes,ReachLabel)</f>
        <v>0</v>
      </c>
      <c r="AY66" s="1">
        <f>COUNTIFS(Students,E66,Classes,MatchLabel)</f>
        <v>0</v>
      </c>
      <c r="AZ66" s="1">
        <f>COUNTIFS(Students,E66,Classes,SafetyLabel)</f>
        <v>0</v>
      </c>
      <c r="BA66" s="1">
        <f>COUNTIFS(Students,E66,Classes,SecureLabel)</f>
        <v>0</v>
      </c>
      <c r="BB66" s="1">
        <f>COUNTIFS(Students,E66,Classes,SureThingLabel)</f>
        <v>0</v>
      </c>
      <c r="BC66" s="13">
        <f>COUNTIFS(Students,E66,Classes,"Other")</f>
        <v>0</v>
      </c>
      <c r="BD66" s="1">
        <f>COUNTIFS(Students,E66,Classes,ReachLabel,MoneyYesNo,1)</f>
        <v>0</v>
      </c>
      <c r="BE66" s="1">
        <f>COUNTIFS(Students,E66,Classes,MatchLabel,MoneyYesNo,1)</f>
        <v>0</v>
      </c>
      <c r="BF66" s="1">
        <f>COUNTIFS(Students,E66,Classes,SafetyLabel,MoneyYesNo,1)</f>
        <v>0</v>
      </c>
      <c r="BG66" s="1">
        <f>COUNTIFS(Students,E66,Classes,SecureLabel,MoneyYesNo,1)</f>
        <v>0</v>
      </c>
      <c r="BH66" s="1">
        <f>COUNTIFS(Students,E66,Classes,SureThingLabel,MoneyYesNo,1)</f>
        <v>0</v>
      </c>
      <c r="BI66" s="1">
        <f>SUM(BD66:BH66)</f>
        <v>0</v>
      </c>
      <c r="BJ66" s="1">
        <f>SUMIFS(RGRcount,Students,E66,MoneyYesNo,1,Odds,"&gt;=20")</f>
        <v>0</v>
      </c>
      <c r="BK66" s="1">
        <f>SUMIFS(MGRcount,Students,E66,MoneyYesNo,1,Odds,"&gt;=20")-BJ66</f>
        <v>0</v>
      </c>
      <c r="BL66" s="1">
        <f>SUMIFS(RGRcount,Students,E66,MoneyYesNo,1,Odds,"&gt;=10")</f>
        <v>0</v>
      </c>
      <c r="BM66" s="1">
        <f>SUMIFS(MGRcount,Students,E66,MoneyYesNo,1,Odds,"&gt;=10")-BL66</f>
        <v>0</v>
      </c>
      <c r="BN66" s="1">
        <f>COUNTIFS(Students,E66,ILPublic,1)</f>
        <v>0</v>
      </c>
      <c r="BO66" s="1">
        <f>COUNTIFS(Students,E66,ILPublic,1, Classes,MatchLabel)+COUNTIFS(Students,E66,ILPublic,1, Classes,SafetyLabel)+COUNTIFS(Students,E66,ILPublic,1, Classes,SecureLabel)</f>
        <v>0</v>
      </c>
      <c r="BP66" s="1">
        <f>COUNTIFS(Students,E66,ILPublic,1, Classes,SecureLabel)</f>
        <v>0</v>
      </c>
      <c r="BQ66" s="1">
        <f>COUNTIFS(Students,E66,MoneyChicago,1)</f>
        <v>0</v>
      </c>
      <c r="BR66" s="1">
        <f>COUNTIFS(Students,E66,MatchOrUnder,1)</f>
        <v>0</v>
      </c>
      <c r="BS66" s="1">
        <f>SUMIF(Students,E66,MGRcount)</f>
        <v>0</v>
      </c>
      <c r="BT66" s="1">
        <f>COUNTIFS(Students,E66,BadMoney,1)</f>
        <v>0</v>
      </c>
      <c r="BU66" s="1">
        <f>COUNTIFS(Students,E66,GoldenThree,1)</f>
        <v>0</v>
      </c>
    </row>
    <row r="67" spans="1:73">
      <c r="A67" s="18" t="s">
        <v>86</v>
      </c>
      <c r="B67" s="19">
        <v>0</v>
      </c>
      <c r="C67" s="18" t="s">
        <v>87</v>
      </c>
      <c r="D67" s="18" t="s">
        <v>298</v>
      </c>
      <c r="E67" s="19">
        <v>22026339</v>
      </c>
      <c r="F67" s="19" t="s">
        <v>299</v>
      </c>
      <c r="G67" s="10" t="s">
        <v>300</v>
      </c>
      <c r="H67" s="46">
        <v>3.4038</v>
      </c>
      <c r="I67" s="1">
        <v>16</v>
      </c>
      <c r="J67" s="1">
        <v>1200</v>
      </c>
      <c r="K67" s="1">
        <f>IF(ISNUMBER(J67),VLOOKUP(J67,SATtoACT,2,FALSE),"TBD")</f>
        <v>0</v>
      </c>
      <c r="L67" s="1">
        <f>IF(ISNUMBER(I67),IF(ISNUMBER(K67),MAX(I67,K67),I67),IF(ISNUMBER(K67),K67,"TBD"))</f>
        <v>0</v>
      </c>
      <c r="M67" s="1" t="s">
        <v>91</v>
      </c>
      <c r="N67" s="1">
        <f>IF(AND(H67&lt;&gt;0,L67&lt;&gt;0),IF(ISNUMBER(VLOOKUP(TEXT(MAX(FLOOR(H67*10,1)/10,1.5),"0.0")&amp;":"&amp;MAX(L67,12),StrategyLookup,4,FALSE)),VLOOKUP(TEXT(MAX(FLOOR(H67*10,1)/10,1.5),"0.0")&amp;":"&amp;MAX(L67,12),StrategyLookup,4,FALSE),"TBD"),"TBD")</f>
        <v>0</v>
      </c>
      <c r="O67" s="11">
        <f>IF(ISNUMBER(N67),VLOOKUP(IF(OR(N67=5,N67=6),N67&amp;IF(H67&gt;=3,"+","&lt;"),N67&amp;""),TargetLookup,IF(B67=-1,6,IF(OR(M67="W",M67="A"),4,2)),FALSE),"TBD")</f>
        <v>0</v>
      </c>
      <c r="P67" s="11">
        <f>IF(ISNUMBER(N67),VLOOKUP(IF(OR(N67=5,N67=6),N67&amp;IF(H67&gt;=3,"+","&lt;"),N67&amp;""),TargetLookup,IF(B67=-1,7,IF(OR(M67="W",M67="A"),5,3)),FALSE),"TBD")</f>
        <v>0</v>
      </c>
      <c r="Q67" s="18" t="s">
        <v>145</v>
      </c>
      <c r="R67" s="19" t="s">
        <v>116</v>
      </c>
      <c r="S67" s="19" t="s">
        <v>94</v>
      </c>
      <c r="T67" s="19">
        <f>Q67&amp;S67&amp;D67</f>
        <v>0</v>
      </c>
      <c r="U67" s="11">
        <f t="array" ref="U67">1-PRODUCT(IF(Students=E67,MGRMoneyMult,1))</f>
        <v>0</v>
      </c>
      <c r="V67" s="12">
        <f t="array" ref="V67">1-PRODUCT(IF(Students=E67,RGRMoneyMult,1))</f>
        <v>0</v>
      </c>
      <c r="W67" s="13">
        <f>COUNTIFS(Students,E67,Results,"Accepted!")+COUNTIFS(Students,E67,Results,"CHOICE!")</f>
        <v>0</v>
      </c>
      <c r="X67" s="1">
        <f>COUNTIFS(Students,E67,Results,"Deferred")+COUNTIFS(Students,E67,Results,"Waitlist")</f>
        <v>0</v>
      </c>
      <c r="Y67" s="13">
        <f>COUNTIFS(Students,E67,Results,"Denied")</f>
        <v>0</v>
      </c>
      <c r="Z67" s="13">
        <f>W67+X67+Y67+COUNTIFS(Students,E67,Results,"Submitted")</f>
        <v>0</v>
      </c>
      <c r="AA67" s="12">
        <v>0.7795273272715891</v>
      </c>
      <c r="AB67" s="12">
        <v>0.779275752277283</v>
      </c>
      <c r="AC67" s="12">
        <v>0.6657735456916846</v>
      </c>
      <c r="AD67" s="12">
        <v>0.6284006416304964</v>
      </c>
      <c r="AE67" s="13">
        <f>COUNTIFS(Students,E67,Results,"CHOICE!")</f>
        <v>0</v>
      </c>
      <c r="AF67" s="1">
        <f>COUNTIFS(MoneyYesNo,1,RGRcount,1,Students,E67,Results,"Accepted!")</f>
        <v>0</v>
      </c>
      <c r="AG67" s="1">
        <f>COUNTIFS(MoneyYesNo,1,MGRcount,1,Students,E67,Results,"Accepted!")-AF67</f>
        <v>0</v>
      </c>
      <c r="AH67" s="1">
        <f>COUNTIFS(MoneyYesNo,1,Students,E67,Results,"Accepted!")-AF67-AG67</f>
        <v>0</v>
      </c>
      <c r="AI67" s="13">
        <f>COUNTIFS(Students,E67,Results,"Accepted!")-AF67-AG67-AH67</f>
        <v>0</v>
      </c>
      <c r="AJ67" s="1">
        <f>SUMIFS(RGRcount,Students,E67,MoneyYesNo,1)</f>
        <v>0</v>
      </c>
      <c r="AK67" s="1">
        <f>SUMIFS(MGRcount,Students,E67,MoneyYesNo,1)-AJ67</f>
        <v>0</v>
      </c>
      <c r="AL67" s="1">
        <f>SUMIF(Students,E67,MoneyYesNo)-AJ67-AK67</f>
        <v>0</v>
      </c>
      <c r="AM67" s="13">
        <f>SUM(AJ67,AK67,AL67)</f>
        <v>0</v>
      </c>
      <c r="AN67" s="1">
        <f>SUMIF(Students,E67,RGRcount)</f>
        <v>0</v>
      </c>
      <c r="AO67" s="1">
        <f>SUMIF(Students,E67,MGRcount)-AN67</f>
        <v>0</v>
      </c>
      <c r="AP67" s="1">
        <f>COUNTIF(Students,E67)-AN67-AO67</f>
        <v>0</v>
      </c>
      <c r="AQ67" s="1">
        <f>SUMIF(Students,E67,FarBelowTGRCount)</f>
        <v>0</v>
      </c>
      <c r="AR67" s="47">
        <f>COUNTIF(Students,E67)</f>
        <v>0</v>
      </c>
      <c r="AS67" s="11">
        <f>IF(AR67&gt;0,Z67/AR67,0)</f>
        <v>0</v>
      </c>
      <c r="AT67" s="11">
        <f t="array" ref="AT67">1-PRODUCT(IF(Students=E67,MGRMult,1))</f>
        <v>0</v>
      </c>
      <c r="AU67" s="12">
        <f t="array" ref="AU67">1-PRODUCT(IF(Students=E67,RGRMult,1))</f>
        <v>0</v>
      </c>
      <c r="AV67" s="1">
        <f>COUNTIFS(Students,E67,Classes,HailMaryLabel)</f>
        <v>0</v>
      </c>
      <c r="AW67" s="1">
        <f>COUNTIFS(Students,E67,Classes,LongshotLabel)</f>
        <v>0</v>
      </c>
      <c r="AX67" s="1">
        <f>COUNTIFS(Students,E67,Classes,ReachLabel)</f>
        <v>0</v>
      </c>
      <c r="AY67" s="1">
        <f>COUNTIFS(Students,E67,Classes,MatchLabel)</f>
        <v>0</v>
      </c>
      <c r="AZ67" s="1">
        <f>COUNTIFS(Students,E67,Classes,SafetyLabel)</f>
        <v>0</v>
      </c>
      <c r="BA67" s="1">
        <f>COUNTIFS(Students,E67,Classes,SecureLabel)</f>
        <v>0</v>
      </c>
      <c r="BB67" s="1">
        <f>COUNTIFS(Students,E67,Classes,SureThingLabel)</f>
        <v>0</v>
      </c>
      <c r="BC67" s="13">
        <f>COUNTIFS(Students,E67,Classes,"Other")</f>
        <v>0</v>
      </c>
      <c r="BD67" s="1">
        <f>COUNTIFS(Students,E67,Classes,ReachLabel,MoneyYesNo,1)</f>
        <v>0</v>
      </c>
      <c r="BE67" s="1">
        <f>COUNTIFS(Students,E67,Classes,MatchLabel,MoneyYesNo,1)</f>
        <v>0</v>
      </c>
      <c r="BF67" s="1">
        <f>COUNTIFS(Students,E67,Classes,SafetyLabel,MoneyYesNo,1)</f>
        <v>0</v>
      </c>
      <c r="BG67" s="1">
        <f>COUNTIFS(Students,E67,Classes,SecureLabel,MoneyYesNo,1)</f>
        <v>0</v>
      </c>
      <c r="BH67" s="1">
        <f>COUNTIFS(Students,E67,Classes,SureThingLabel,MoneyYesNo,1)</f>
        <v>0</v>
      </c>
      <c r="BI67" s="1">
        <f>SUM(BD67:BH67)</f>
        <v>0</v>
      </c>
      <c r="BJ67" s="1">
        <f>SUMIFS(RGRcount,Students,E67,MoneyYesNo,1,Odds,"&gt;=20")</f>
        <v>0</v>
      </c>
      <c r="BK67" s="1">
        <f>SUMIFS(MGRcount,Students,E67,MoneyYesNo,1,Odds,"&gt;=20")-BJ67</f>
        <v>0</v>
      </c>
      <c r="BL67" s="1">
        <f>SUMIFS(RGRcount,Students,E67,MoneyYesNo,1,Odds,"&gt;=10")</f>
        <v>0</v>
      </c>
      <c r="BM67" s="1">
        <f>SUMIFS(MGRcount,Students,E67,MoneyYesNo,1,Odds,"&gt;=10")-BL67</f>
        <v>0</v>
      </c>
      <c r="BN67" s="1">
        <f>COUNTIFS(Students,E67,ILPublic,1)</f>
        <v>0</v>
      </c>
      <c r="BO67" s="1">
        <f>COUNTIFS(Students,E67,ILPublic,1, Classes,MatchLabel)+COUNTIFS(Students,E67,ILPublic,1, Classes,SafetyLabel)+COUNTIFS(Students,E67,ILPublic,1, Classes,SecureLabel)</f>
        <v>0</v>
      </c>
      <c r="BP67" s="1">
        <f>COUNTIFS(Students,E67,ILPublic,1, Classes,SecureLabel)</f>
        <v>0</v>
      </c>
      <c r="BQ67" s="1">
        <f>COUNTIFS(Students,E67,MoneyChicago,1)</f>
        <v>0</v>
      </c>
      <c r="BR67" s="1">
        <f>COUNTIFS(Students,E67,MatchOrUnder,1)</f>
        <v>0</v>
      </c>
      <c r="BS67" s="1">
        <f>SUMIF(Students,E67,MGRcount)</f>
        <v>0</v>
      </c>
      <c r="BT67" s="1">
        <f>COUNTIFS(Students,E67,BadMoney,1)</f>
        <v>0</v>
      </c>
      <c r="BU67" s="1">
        <f>COUNTIFS(Students,E67,GoldenThree,1)</f>
        <v>0</v>
      </c>
    </row>
    <row r="68" spans="1:73">
      <c r="A68" s="18" t="s">
        <v>86</v>
      </c>
      <c r="B68" s="19">
        <v>0</v>
      </c>
      <c r="C68" s="18" t="s">
        <v>87</v>
      </c>
      <c r="D68" s="18" t="s">
        <v>301</v>
      </c>
      <c r="E68" s="19">
        <v>23477628</v>
      </c>
      <c r="F68" s="19" t="s">
        <v>302</v>
      </c>
      <c r="G68" s="10" t="s">
        <v>303</v>
      </c>
      <c r="H68" s="46">
        <v>3.0519</v>
      </c>
      <c r="I68" s="1">
        <v>17</v>
      </c>
      <c r="J68" s="1">
        <v>990</v>
      </c>
      <c r="K68" s="1">
        <f>IF(ISNUMBER(J68),VLOOKUP(J68,SATtoACT,2,FALSE),"TBD")</f>
        <v>0</v>
      </c>
      <c r="L68" s="1">
        <f>IF(ISNUMBER(I68),IF(ISNUMBER(K68),MAX(I68,K68),I68),IF(ISNUMBER(K68),K68,"TBD"))</f>
        <v>0</v>
      </c>
      <c r="M68" s="1" t="s">
        <v>91</v>
      </c>
      <c r="N68" s="1">
        <f>IF(AND(H68&lt;&gt;0,L68&lt;&gt;0),IF(ISNUMBER(VLOOKUP(TEXT(MAX(FLOOR(H68*10,1)/10,1.5),"0.0")&amp;":"&amp;MAX(L68,12),StrategyLookup,4,FALSE)),VLOOKUP(TEXT(MAX(FLOOR(H68*10,1)/10,1.5),"0.0")&amp;":"&amp;MAX(L68,12),StrategyLookup,4,FALSE),"TBD"),"TBD")</f>
        <v>0</v>
      </c>
      <c r="O68" s="11">
        <f>IF(ISNUMBER(N68),VLOOKUP(IF(OR(N68=5,N68=6),N68&amp;IF(H68&gt;=3,"+","&lt;"),N68&amp;""),TargetLookup,IF(B68=-1,6,IF(OR(M68="W",M68="A"),4,2)),FALSE),"TBD")</f>
        <v>0</v>
      </c>
      <c r="P68" s="11">
        <f>IF(ISNUMBER(N68),VLOOKUP(IF(OR(N68=5,N68=6),N68&amp;IF(H68&gt;=3,"+","&lt;"),N68&amp;""),TargetLookup,IF(B68=-1,7,IF(OR(M68="W",M68="A"),5,3)),FALSE),"TBD")</f>
        <v>0</v>
      </c>
      <c r="Q68" s="18" t="s">
        <v>145</v>
      </c>
      <c r="R68" s="19" t="s">
        <v>121</v>
      </c>
      <c r="S68" s="19" t="s">
        <v>94</v>
      </c>
      <c r="T68" s="19">
        <f>Q68&amp;S68&amp;D68</f>
        <v>0</v>
      </c>
      <c r="U68" s="11">
        <f t="array" ref="U68">1-PRODUCT(IF(Students=E68,MGRMoneyMult,1))</f>
        <v>0</v>
      </c>
      <c r="V68" s="12">
        <f t="array" ref="V68">1-PRODUCT(IF(Students=E68,RGRMoneyMult,1))</f>
        <v>0</v>
      </c>
      <c r="W68" s="13">
        <f>COUNTIFS(Students,E68,Results,"Accepted!")+COUNTIFS(Students,E68,Results,"CHOICE!")</f>
        <v>0</v>
      </c>
      <c r="X68" s="1">
        <f>COUNTIFS(Students,E68,Results,"Deferred")+COUNTIFS(Students,E68,Results,"Waitlist")</f>
        <v>0</v>
      </c>
      <c r="Y68" s="13">
        <f>COUNTIFS(Students,E68,Results,"Denied")</f>
        <v>0</v>
      </c>
      <c r="Z68" s="13">
        <f>W68+X68+Y68+COUNTIFS(Students,E68,Results,"Submitted")</f>
        <v>0</v>
      </c>
      <c r="AA68" s="12">
        <v>0.5363099436623701</v>
      </c>
      <c r="AB68" s="12">
        <v>0.5226186701006599</v>
      </c>
      <c r="AC68" s="12">
        <v>0.4701112212127782</v>
      </c>
      <c r="AD68" s="12">
        <v>0.4531979192006138</v>
      </c>
      <c r="AE68" s="13">
        <f>COUNTIFS(Students,E68,Results,"CHOICE!")</f>
        <v>0</v>
      </c>
      <c r="AF68" s="1">
        <f>COUNTIFS(MoneyYesNo,1,RGRcount,1,Students,E68,Results,"Accepted!")</f>
        <v>0</v>
      </c>
      <c r="AG68" s="1">
        <f>COUNTIFS(MoneyYesNo,1,MGRcount,1,Students,E68,Results,"Accepted!")-AF68</f>
        <v>0</v>
      </c>
      <c r="AH68" s="1">
        <f>COUNTIFS(MoneyYesNo,1,Students,E68,Results,"Accepted!")-AF68-AG68</f>
        <v>0</v>
      </c>
      <c r="AI68" s="13">
        <f>COUNTIFS(Students,E68,Results,"Accepted!")-AF68-AG68-AH68</f>
        <v>0</v>
      </c>
      <c r="AJ68" s="1">
        <f>SUMIFS(RGRcount,Students,E68,MoneyYesNo,1)</f>
        <v>0</v>
      </c>
      <c r="AK68" s="1">
        <f>SUMIFS(MGRcount,Students,E68,MoneyYesNo,1)-AJ68</f>
        <v>0</v>
      </c>
      <c r="AL68" s="1">
        <f>SUMIF(Students,E68,MoneyYesNo)-AJ68-AK68</f>
        <v>0</v>
      </c>
      <c r="AM68" s="13">
        <f>SUM(AJ68,AK68,AL68)</f>
        <v>0</v>
      </c>
      <c r="AN68" s="1">
        <f>SUMIF(Students,E68,RGRcount)</f>
        <v>0</v>
      </c>
      <c r="AO68" s="1">
        <f>SUMIF(Students,E68,MGRcount)-AN68</f>
        <v>0</v>
      </c>
      <c r="AP68" s="1">
        <f>COUNTIF(Students,E68)-AN68-AO68</f>
        <v>0</v>
      </c>
      <c r="AQ68" s="1">
        <f>SUMIF(Students,E68,FarBelowTGRCount)</f>
        <v>0</v>
      </c>
      <c r="AR68" s="47">
        <f>COUNTIF(Students,E68)</f>
        <v>0</v>
      </c>
      <c r="AS68" s="11">
        <f>IF(AR68&gt;0,Z68/AR68,0)</f>
        <v>0</v>
      </c>
      <c r="AT68" s="11">
        <f t="array" ref="AT68">1-PRODUCT(IF(Students=E68,MGRMult,1))</f>
        <v>0</v>
      </c>
      <c r="AU68" s="12">
        <f t="array" ref="AU68">1-PRODUCT(IF(Students=E68,RGRMult,1))</f>
        <v>0</v>
      </c>
      <c r="AV68" s="1">
        <f>COUNTIFS(Students,E68,Classes,HailMaryLabel)</f>
        <v>0</v>
      </c>
      <c r="AW68" s="1">
        <f>COUNTIFS(Students,E68,Classes,LongshotLabel)</f>
        <v>0</v>
      </c>
      <c r="AX68" s="1">
        <f>COUNTIFS(Students,E68,Classes,ReachLabel)</f>
        <v>0</v>
      </c>
      <c r="AY68" s="1">
        <f>COUNTIFS(Students,E68,Classes,MatchLabel)</f>
        <v>0</v>
      </c>
      <c r="AZ68" s="1">
        <f>COUNTIFS(Students,E68,Classes,SafetyLabel)</f>
        <v>0</v>
      </c>
      <c r="BA68" s="1">
        <f>COUNTIFS(Students,E68,Classes,SecureLabel)</f>
        <v>0</v>
      </c>
      <c r="BB68" s="1">
        <f>COUNTIFS(Students,E68,Classes,SureThingLabel)</f>
        <v>0</v>
      </c>
      <c r="BC68" s="13">
        <f>COUNTIFS(Students,E68,Classes,"Other")</f>
        <v>0</v>
      </c>
      <c r="BD68" s="1">
        <f>COUNTIFS(Students,E68,Classes,ReachLabel,MoneyYesNo,1)</f>
        <v>0</v>
      </c>
      <c r="BE68" s="1">
        <f>COUNTIFS(Students,E68,Classes,MatchLabel,MoneyYesNo,1)</f>
        <v>0</v>
      </c>
      <c r="BF68" s="1">
        <f>COUNTIFS(Students,E68,Classes,SafetyLabel,MoneyYesNo,1)</f>
        <v>0</v>
      </c>
      <c r="BG68" s="1">
        <f>COUNTIFS(Students,E68,Classes,SecureLabel,MoneyYesNo,1)</f>
        <v>0</v>
      </c>
      <c r="BH68" s="1">
        <f>COUNTIFS(Students,E68,Classes,SureThingLabel,MoneyYesNo,1)</f>
        <v>0</v>
      </c>
      <c r="BI68" s="1">
        <f>SUM(BD68:BH68)</f>
        <v>0</v>
      </c>
      <c r="BJ68" s="1">
        <f>SUMIFS(RGRcount,Students,E68,MoneyYesNo,1,Odds,"&gt;=20")</f>
        <v>0</v>
      </c>
      <c r="BK68" s="1">
        <f>SUMIFS(MGRcount,Students,E68,MoneyYesNo,1,Odds,"&gt;=20")-BJ68</f>
        <v>0</v>
      </c>
      <c r="BL68" s="1">
        <f>SUMIFS(RGRcount,Students,E68,MoneyYesNo,1,Odds,"&gt;=10")</f>
        <v>0</v>
      </c>
      <c r="BM68" s="1">
        <f>SUMIFS(MGRcount,Students,E68,MoneyYesNo,1,Odds,"&gt;=10")-BL68</f>
        <v>0</v>
      </c>
      <c r="BN68" s="1">
        <f>COUNTIFS(Students,E68,ILPublic,1)</f>
        <v>0</v>
      </c>
      <c r="BO68" s="1">
        <f>COUNTIFS(Students,E68,ILPublic,1, Classes,MatchLabel)+COUNTIFS(Students,E68,ILPublic,1, Classes,SafetyLabel)+COUNTIFS(Students,E68,ILPublic,1, Classes,SecureLabel)</f>
        <v>0</v>
      </c>
      <c r="BP68" s="1">
        <f>COUNTIFS(Students,E68,ILPublic,1, Classes,SecureLabel)</f>
        <v>0</v>
      </c>
      <c r="BQ68" s="1">
        <f>COUNTIFS(Students,E68,MoneyChicago,1)</f>
        <v>0</v>
      </c>
      <c r="BR68" s="1">
        <f>COUNTIFS(Students,E68,MatchOrUnder,1)</f>
        <v>0</v>
      </c>
      <c r="BS68" s="1">
        <f>SUMIF(Students,E68,MGRcount)</f>
        <v>0</v>
      </c>
      <c r="BT68" s="1">
        <f>COUNTIFS(Students,E68,BadMoney,1)</f>
        <v>0</v>
      </c>
      <c r="BU68" s="1">
        <f>COUNTIFS(Students,E68,GoldenThree,1)</f>
        <v>0</v>
      </c>
    </row>
    <row r="69" spans="1:73">
      <c r="A69" s="18" t="s">
        <v>86</v>
      </c>
      <c r="B69" s="19">
        <v>0</v>
      </c>
      <c r="C69" s="18" t="s">
        <v>138</v>
      </c>
      <c r="D69" s="18" t="s">
        <v>304</v>
      </c>
      <c r="E69" s="19">
        <v>23499435</v>
      </c>
      <c r="F69" s="19" t="s">
        <v>305</v>
      </c>
      <c r="G69" s="10" t="s">
        <v>306</v>
      </c>
      <c r="H69" s="46">
        <v>3.5288</v>
      </c>
      <c r="I69" s="1">
        <v>19</v>
      </c>
      <c r="J69" s="1">
        <v>1330</v>
      </c>
      <c r="K69" s="1">
        <f>IF(ISNUMBER(J69),VLOOKUP(J69,SATtoACT,2,FALSE),"TBD")</f>
        <v>0</v>
      </c>
      <c r="L69" s="1">
        <f>IF(ISNUMBER(I69),IF(ISNUMBER(K69),MAX(I69,K69),I69),IF(ISNUMBER(K69),K69,"TBD"))</f>
        <v>0</v>
      </c>
      <c r="M69" s="1" t="s">
        <v>91</v>
      </c>
      <c r="N69" s="1">
        <f>IF(AND(H69&lt;&gt;0,L69&lt;&gt;0),IF(ISNUMBER(VLOOKUP(TEXT(MAX(FLOOR(H69*10,1)/10,1.5),"0.0")&amp;":"&amp;MAX(L69,12),StrategyLookup,4,FALSE)),VLOOKUP(TEXT(MAX(FLOOR(H69*10,1)/10,1.5),"0.0")&amp;":"&amp;MAX(L69,12),StrategyLookup,4,FALSE),"TBD"),"TBD")</f>
        <v>0</v>
      </c>
      <c r="O69" s="11">
        <f>IF(ISNUMBER(N69),VLOOKUP(IF(OR(N69=5,N69=6),N69&amp;IF(H69&gt;=3,"+","&lt;"),N69&amp;""),TargetLookup,IF(B69=-1,6,IF(OR(M69="W",M69="A"),4,2)),FALSE),"TBD")</f>
        <v>0</v>
      </c>
      <c r="P69" s="11">
        <f>IF(ISNUMBER(N69),VLOOKUP(IF(OR(N69=5,N69=6),N69&amp;IF(H69&gt;=3,"+","&lt;"),N69&amp;""),TargetLookup,IF(B69=-1,7,IF(OR(M69="W",M69="A"),5,3)),FALSE),"TBD")</f>
        <v>0</v>
      </c>
      <c r="Q69" s="18" t="s">
        <v>103</v>
      </c>
      <c r="R69" s="19" t="s">
        <v>93</v>
      </c>
      <c r="S69" s="19" t="s">
        <v>94</v>
      </c>
      <c r="T69" s="19">
        <f>Q69&amp;S69&amp;D69</f>
        <v>0</v>
      </c>
      <c r="U69" s="11">
        <f t="array" ref="U69">1-PRODUCT(IF(Students=E69,MGRMoneyMult,1))</f>
        <v>0</v>
      </c>
      <c r="V69" s="12">
        <f t="array" ref="V69">1-PRODUCT(IF(Students=E69,RGRMoneyMult,1))</f>
        <v>0</v>
      </c>
      <c r="W69" s="13">
        <f>COUNTIFS(Students,E69,Results,"Accepted!")+COUNTIFS(Students,E69,Results,"CHOICE!")</f>
        <v>0</v>
      </c>
      <c r="X69" s="1">
        <f>COUNTIFS(Students,E69,Results,"Deferred")+COUNTIFS(Students,E69,Results,"Waitlist")</f>
        <v>0</v>
      </c>
      <c r="Y69" s="13">
        <f>COUNTIFS(Students,E69,Results,"Denied")</f>
        <v>0</v>
      </c>
      <c r="Z69" s="13">
        <f>W69+X69+Y69+COUNTIFS(Students,E69,Results,"Submitted")</f>
        <v>0</v>
      </c>
      <c r="AA69" s="12">
        <v>0.8003331260178991</v>
      </c>
      <c r="AB69" s="12">
        <v>0.7699577535274215</v>
      </c>
      <c r="AC69" s="12">
        <v>0.6942206248899724</v>
      </c>
      <c r="AD69" s="12">
        <v>0.6611365750875656</v>
      </c>
      <c r="AE69" s="13">
        <f>COUNTIFS(Students,E69,Results,"CHOICE!")</f>
        <v>0</v>
      </c>
      <c r="AF69" s="1">
        <f>COUNTIFS(MoneyYesNo,1,RGRcount,1,Students,E69,Results,"Accepted!")</f>
        <v>0</v>
      </c>
      <c r="AG69" s="1">
        <f>COUNTIFS(MoneyYesNo,1,MGRcount,1,Students,E69,Results,"Accepted!")-AF69</f>
        <v>0</v>
      </c>
      <c r="AH69" s="1">
        <f>COUNTIFS(MoneyYesNo,1,Students,E69,Results,"Accepted!")-AF69-AG69</f>
        <v>0</v>
      </c>
      <c r="AI69" s="13">
        <f>COUNTIFS(Students,E69,Results,"Accepted!")-AF69-AG69-AH69</f>
        <v>0</v>
      </c>
      <c r="AJ69" s="1">
        <f>SUMIFS(RGRcount,Students,E69,MoneyYesNo,1)</f>
        <v>0</v>
      </c>
      <c r="AK69" s="1">
        <f>SUMIFS(MGRcount,Students,E69,MoneyYesNo,1)-AJ69</f>
        <v>0</v>
      </c>
      <c r="AL69" s="1">
        <f>SUMIF(Students,E69,MoneyYesNo)-AJ69-AK69</f>
        <v>0</v>
      </c>
      <c r="AM69" s="13">
        <f>SUM(AJ69,AK69,AL69)</f>
        <v>0</v>
      </c>
      <c r="AN69" s="1">
        <f>SUMIF(Students,E69,RGRcount)</f>
        <v>0</v>
      </c>
      <c r="AO69" s="1">
        <f>SUMIF(Students,E69,MGRcount)-AN69</f>
        <v>0</v>
      </c>
      <c r="AP69" s="1">
        <f>COUNTIF(Students,E69)-AN69-AO69</f>
        <v>0</v>
      </c>
      <c r="AQ69" s="1">
        <f>SUMIF(Students,E69,FarBelowTGRCount)</f>
        <v>0</v>
      </c>
      <c r="AR69" s="47">
        <f>COUNTIF(Students,E69)</f>
        <v>0</v>
      </c>
      <c r="AS69" s="11">
        <f>IF(AR69&gt;0,Z69/AR69,0)</f>
        <v>0</v>
      </c>
      <c r="AT69" s="11">
        <f t="array" ref="AT69">1-PRODUCT(IF(Students=E69,MGRMult,1))</f>
        <v>0</v>
      </c>
      <c r="AU69" s="12">
        <f t="array" ref="AU69">1-PRODUCT(IF(Students=E69,RGRMult,1))</f>
        <v>0</v>
      </c>
      <c r="AV69" s="1">
        <f>COUNTIFS(Students,E69,Classes,HailMaryLabel)</f>
        <v>0</v>
      </c>
      <c r="AW69" s="1">
        <f>COUNTIFS(Students,E69,Classes,LongshotLabel)</f>
        <v>0</v>
      </c>
      <c r="AX69" s="1">
        <f>COUNTIFS(Students,E69,Classes,ReachLabel)</f>
        <v>0</v>
      </c>
      <c r="AY69" s="1">
        <f>COUNTIFS(Students,E69,Classes,MatchLabel)</f>
        <v>0</v>
      </c>
      <c r="AZ69" s="1">
        <f>COUNTIFS(Students,E69,Classes,SafetyLabel)</f>
        <v>0</v>
      </c>
      <c r="BA69" s="1">
        <f>COUNTIFS(Students,E69,Classes,SecureLabel)</f>
        <v>0</v>
      </c>
      <c r="BB69" s="1">
        <f>COUNTIFS(Students,E69,Classes,SureThingLabel)</f>
        <v>0</v>
      </c>
      <c r="BC69" s="13">
        <f>COUNTIFS(Students,E69,Classes,"Other")</f>
        <v>0</v>
      </c>
      <c r="BD69" s="1">
        <f>COUNTIFS(Students,E69,Classes,ReachLabel,MoneyYesNo,1)</f>
        <v>0</v>
      </c>
      <c r="BE69" s="1">
        <f>COUNTIFS(Students,E69,Classes,MatchLabel,MoneyYesNo,1)</f>
        <v>0</v>
      </c>
      <c r="BF69" s="1">
        <f>COUNTIFS(Students,E69,Classes,SafetyLabel,MoneyYesNo,1)</f>
        <v>0</v>
      </c>
      <c r="BG69" s="1">
        <f>COUNTIFS(Students,E69,Classes,SecureLabel,MoneyYesNo,1)</f>
        <v>0</v>
      </c>
      <c r="BH69" s="1">
        <f>COUNTIFS(Students,E69,Classes,SureThingLabel,MoneyYesNo,1)</f>
        <v>0</v>
      </c>
      <c r="BI69" s="1">
        <f>SUM(BD69:BH69)</f>
        <v>0</v>
      </c>
      <c r="BJ69" s="1">
        <f>SUMIFS(RGRcount,Students,E69,MoneyYesNo,1,Odds,"&gt;=20")</f>
        <v>0</v>
      </c>
      <c r="BK69" s="1">
        <f>SUMIFS(MGRcount,Students,E69,MoneyYesNo,1,Odds,"&gt;=20")-BJ69</f>
        <v>0</v>
      </c>
      <c r="BL69" s="1">
        <f>SUMIFS(RGRcount,Students,E69,MoneyYesNo,1,Odds,"&gt;=10")</f>
        <v>0</v>
      </c>
      <c r="BM69" s="1">
        <f>SUMIFS(MGRcount,Students,E69,MoneyYesNo,1,Odds,"&gt;=10")-BL69</f>
        <v>0</v>
      </c>
      <c r="BN69" s="1">
        <f>COUNTIFS(Students,E69,ILPublic,1)</f>
        <v>0</v>
      </c>
      <c r="BO69" s="1">
        <f>COUNTIFS(Students,E69,ILPublic,1, Classes,MatchLabel)+COUNTIFS(Students,E69,ILPublic,1, Classes,SafetyLabel)+COUNTIFS(Students,E69,ILPublic,1, Classes,SecureLabel)</f>
        <v>0</v>
      </c>
      <c r="BP69" s="1">
        <f>COUNTIFS(Students,E69,ILPublic,1, Classes,SecureLabel)</f>
        <v>0</v>
      </c>
      <c r="BQ69" s="1">
        <f>COUNTIFS(Students,E69,MoneyChicago,1)</f>
        <v>0</v>
      </c>
      <c r="BR69" s="1">
        <f>COUNTIFS(Students,E69,MatchOrUnder,1)</f>
        <v>0</v>
      </c>
      <c r="BS69" s="1">
        <f>SUMIF(Students,E69,MGRcount)</f>
        <v>0</v>
      </c>
      <c r="BT69" s="1">
        <f>COUNTIFS(Students,E69,BadMoney,1)</f>
        <v>0</v>
      </c>
      <c r="BU69" s="1">
        <f>COUNTIFS(Students,E69,GoldenThree,1)</f>
        <v>0</v>
      </c>
    </row>
    <row r="70" spans="1:73">
      <c r="A70" s="18" t="s">
        <v>86</v>
      </c>
      <c r="B70" s="19">
        <v>0</v>
      </c>
      <c r="C70" s="18" t="s">
        <v>87</v>
      </c>
      <c r="D70" s="18" t="s">
        <v>307</v>
      </c>
      <c r="E70" s="19">
        <v>23334800</v>
      </c>
      <c r="F70" s="19" t="s">
        <v>308</v>
      </c>
      <c r="G70" s="10" t="s">
        <v>309</v>
      </c>
      <c r="H70" s="46">
        <v>3.7146</v>
      </c>
      <c r="I70" s="1">
        <v>24</v>
      </c>
      <c r="J70" s="1">
        <v>980</v>
      </c>
      <c r="K70" s="1">
        <f>IF(ISNUMBER(J70),VLOOKUP(J70,SATtoACT,2,FALSE),"TBD")</f>
        <v>0</v>
      </c>
      <c r="L70" s="1">
        <f>IF(ISNUMBER(I70),IF(ISNUMBER(K70),MAX(I70,K70),I70),IF(ISNUMBER(K70),K70,"TBD"))</f>
        <v>0</v>
      </c>
      <c r="M70" s="1" t="s">
        <v>91</v>
      </c>
      <c r="N70" s="1">
        <f>IF(AND(H70&lt;&gt;0,L70&lt;&gt;0),IF(ISNUMBER(VLOOKUP(TEXT(MAX(FLOOR(H70*10,1)/10,1.5),"0.0")&amp;":"&amp;MAX(L70,12),StrategyLookup,4,FALSE)),VLOOKUP(TEXT(MAX(FLOOR(H70*10,1)/10,1.5),"0.0")&amp;":"&amp;MAX(L70,12),StrategyLookup,4,FALSE),"TBD"),"TBD")</f>
        <v>0</v>
      </c>
      <c r="O70" s="11">
        <f>IF(ISNUMBER(N70),VLOOKUP(IF(OR(N70=5,N70=6),N70&amp;IF(H70&gt;=3,"+","&lt;"),N70&amp;""),TargetLookup,IF(B70=-1,6,IF(OR(M70="W",M70="A"),4,2)),FALSE),"TBD")</f>
        <v>0</v>
      </c>
      <c r="P70" s="11">
        <f>IF(ISNUMBER(N70),VLOOKUP(IF(OR(N70=5,N70=6),N70&amp;IF(H70&gt;=3,"+","&lt;"),N70&amp;""),TargetLookup,IF(B70=-1,7,IF(OR(M70="W",M70="A"),5,3)),FALSE),"TBD")</f>
        <v>0</v>
      </c>
      <c r="Q70" s="18" t="s">
        <v>120</v>
      </c>
      <c r="R70" s="19" t="s">
        <v>116</v>
      </c>
      <c r="S70" s="19" t="s">
        <v>94</v>
      </c>
      <c r="T70" s="19">
        <f>Q70&amp;S70&amp;D70</f>
        <v>0</v>
      </c>
      <c r="U70" s="11">
        <f t="array" ref="U70">1-PRODUCT(IF(Students=E70,MGRMoneyMult,1))</f>
        <v>0</v>
      </c>
      <c r="V70" s="12">
        <f t="array" ref="V70">1-PRODUCT(IF(Students=E70,RGRMoneyMult,1))</f>
        <v>0</v>
      </c>
      <c r="W70" s="13">
        <f>COUNTIFS(Students,E70,Results,"Accepted!")+COUNTIFS(Students,E70,Results,"CHOICE!")</f>
        <v>0</v>
      </c>
      <c r="X70" s="1">
        <f>COUNTIFS(Students,E70,Results,"Deferred")+COUNTIFS(Students,E70,Results,"Waitlist")</f>
        <v>0</v>
      </c>
      <c r="Y70" s="13">
        <f>COUNTIFS(Students,E70,Results,"Denied")</f>
        <v>0</v>
      </c>
      <c r="Z70" s="13">
        <f>W70+X70+Y70+COUNTIFS(Students,E70,Results,"Submitted")</f>
        <v>0</v>
      </c>
      <c r="AA70" s="12">
        <v>0.8385153759080538</v>
      </c>
      <c r="AB70" s="12">
        <v>0.8301297895318314</v>
      </c>
      <c r="AC70" s="12">
        <v>0.7809744724763839</v>
      </c>
      <c r="AD70" s="12">
        <v>0.771099786106203</v>
      </c>
      <c r="AE70" s="13">
        <f>COUNTIFS(Students,E70,Results,"CHOICE!")</f>
        <v>0</v>
      </c>
      <c r="AF70" s="1">
        <f>COUNTIFS(MoneyYesNo,1,RGRcount,1,Students,E70,Results,"Accepted!")</f>
        <v>0</v>
      </c>
      <c r="AG70" s="1">
        <f>COUNTIFS(MoneyYesNo,1,MGRcount,1,Students,E70,Results,"Accepted!")-AF70</f>
        <v>0</v>
      </c>
      <c r="AH70" s="1">
        <f>COUNTIFS(MoneyYesNo,1,Students,E70,Results,"Accepted!")-AF70-AG70</f>
        <v>0</v>
      </c>
      <c r="AI70" s="13">
        <f>COUNTIFS(Students,E70,Results,"Accepted!")-AF70-AG70-AH70</f>
        <v>0</v>
      </c>
      <c r="AJ70" s="1">
        <f>SUMIFS(RGRcount,Students,E70,MoneyYesNo,1)</f>
        <v>0</v>
      </c>
      <c r="AK70" s="1">
        <f>SUMIFS(MGRcount,Students,E70,MoneyYesNo,1)-AJ70</f>
        <v>0</v>
      </c>
      <c r="AL70" s="1">
        <f>SUMIF(Students,E70,MoneyYesNo)-AJ70-AK70</f>
        <v>0</v>
      </c>
      <c r="AM70" s="13">
        <f>SUM(AJ70,AK70,AL70)</f>
        <v>0</v>
      </c>
      <c r="AN70" s="1">
        <f>SUMIF(Students,E70,RGRcount)</f>
        <v>0</v>
      </c>
      <c r="AO70" s="1">
        <f>SUMIF(Students,E70,MGRcount)-AN70</f>
        <v>0</v>
      </c>
      <c r="AP70" s="1">
        <f>COUNTIF(Students,E70)-AN70-AO70</f>
        <v>0</v>
      </c>
      <c r="AQ70" s="1">
        <f>SUMIF(Students,E70,FarBelowTGRCount)</f>
        <v>0</v>
      </c>
      <c r="AR70" s="47">
        <f>COUNTIF(Students,E70)</f>
        <v>0</v>
      </c>
      <c r="AS70" s="11">
        <f>IF(AR70&gt;0,Z70/AR70,0)</f>
        <v>0</v>
      </c>
      <c r="AT70" s="11">
        <f t="array" ref="AT70">1-PRODUCT(IF(Students=E70,MGRMult,1))</f>
        <v>0</v>
      </c>
      <c r="AU70" s="12">
        <f t="array" ref="AU70">1-PRODUCT(IF(Students=E70,RGRMult,1))</f>
        <v>0</v>
      </c>
      <c r="AV70" s="1">
        <f>COUNTIFS(Students,E70,Classes,HailMaryLabel)</f>
        <v>0</v>
      </c>
      <c r="AW70" s="1">
        <f>COUNTIFS(Students,E70,Classes,LongshotLabel)</f>
        <v>0</v>
      </c>
      <c r="AX70" s="1">
        <f>COUNTIFS(Students,E70,Classes,ReachLabel)</f>
        <v>0</v>
      </c>
      <c r="AY70" s="1">
        <f>COUNTIFS(Students,E70,Classes,MatchLabel)</f>
        <v>0</v>
      </c>
      <c r="AZ70" s="1">
        <f>COUNTIFS(Students,E70,Classes,SafetyLabel)</f>
        <v>0</v>
      </c>
      <c r="BA70" s="1">
        <f>COUNTIFS(Students,E70,Classes,SecureLabel)</f>
        <v>0</v>
      </c>
      <c r="BB70" s="1">
        <f>COUNTIFS(Students,E70,Classes,SureThingLabel)</f>
        <v>0</v>
      </c>
      <c r="BC70" s="13">
        <f>COUNTIFS(Students,E70,Classes,"Other")</f>
        <v>0</v>
      </c>
      <c r="BD70" s="1">
        <f>COUNTIFS(Students,E70,Classes,ReachLabel,MoneyYesNo,1)</f>
        <v>0</v>
      </c>
      <c r="BE70" s="1">
        <f>COUNTIFS(Students,E70,Classes,MatchLabel,MoneyYesNo,1)</f>
        <v>0</v>
      </c>
      <c r="BF70" s="1">
        <f>COUNTIFS(Students,E70,Classes,SafetyLabel,MoneyYesNo,1)</f>
        <v>0</v>
      </c>
      <c r="BG70" s="1">
        <f>COUNTIFS(Students,E70,Classes,SecureLabel,MoneyYesNo,1)</f>
        <v>0</v>
      </c>
      <c r="BH70" s="1">
        <f>COUNTIFS(Students,E70,Classes,SureThingLabel,MoneyYesNo,1)</f>
        <v>0</v>
      </c>
      <c r="BI70" s="1">
        <f>SUM(BD70:BH70)</f>
        <v>0</v>
      </c>
      <c r="BJ70" s="1">
        <f>SUMIFS(RGRcount,Students,E70,MoneyYesNo,1,Odds,"&gt;=20")</f>
        <v>0</v>
      </c>
      <c r="BK70" s="1">
        <f>SUMIFS(MGRcount,Students,E70,MoneyYesNo,1,Odds,"&gt;=20")-BJ70</f>
        <v>0</v>
      </c>
      <c r="BL70" s="1">
        <f>SUMIFS(RGRcount,Students,E70,MoneyYesNo,1,Odds,"&gt;=10")</f>
        <v>0</v>
      </c>
      <c r="BM70" s="1">
        <f>SUMIFS(MGRcount,Students,E70,MoneyYesNo,1,Odds,"&gt;=10")-BL70</f>
        <v>0</v>
      </c>
      <c r="BN70" s="1">
        <f>COUNTIFS(Students,E70,ILPublic,1)</f>
        <v>0</v>
      </c>
      <c r="BO70" s="1">
        <f>COUNTIFS(Students,E70,ILPublic,1, Classes,MatchLabel)+COUNTIFS(Students,E70,ILPublic,1, Classes,SafetyLabel)+COUNTIFS(Students,E70,ILPublic,1, Classes,SecureLabel)</f>
        <v>0</v>
      </c>
      <c r="BP70" s="1">
        <f>COUNTIFS(Students,E70,ILPublic,1, Classes,SecureLabel)</f>
        <v>0</v>
      </c>
      <c r="BQ70" s="1">
        <f>COUNTIFS(Students,E70,MoneyChicago,1)</f>
        <v>0</v>
      </c>
      <c r="BR70" s="1">
        <f>COUNTIFS(Students,E70,MatchOrUnder,1)</f>
        <v>0</v>
      </c>
      <c r="BS70" s="1">
        <f>SUMIF(Students,E70,MGRcount)</f>
        <v>0</v>
      </c>
      <c r="BT70" s="1">
        <f>COUNTIFS(Students,E70,BadMoney,1)</f>
        <v>0</v>
      </c>
      <c r="BU70" s="1">
        <f>COUNTIFS(Students,E70,GoldenThree,1)</f>
        <v>0</v>
      </c>
    </row>
    <row r="71" spans="1:73">
      <c r="A71" s="18" t="s">
        <v>86</v>
      </c>
      <c r="B71" s="19">
        <v>0</v>
      </c>
      <c r="C71" s="18" t="s">
        <v>138</v>
      </c>
      <c r="D71" s="18" t="s">
        <v>310</v>
      </c>
      <c r="E71" s="19">
        <v>21854734</v>
      </c>
      <c r="F71" s="19" t="s">
        <v>311</v>
      </c>
      <c r="G71" s="10" t="s">
        <v>312</v>
      </c>
      <c r="H71" s="46">
        <v>1.8</v>
      </c>
      <c r="I71" s="1">
        <v>16</v>
      </c>
      <c r="J71" s="1">
        <v>1090</v>
      </c>
      <c r="K71" s="1">
        <f>IF(ISNUMBER(J71),VLOOKUP(J71,SATtoACT,2,FALSE),"TBD")</f>
        <v>0</v>
      </c>
      <c r="L71" s="1">
        <f>IF(ISNUMBER(I71),IF(ISNUMBER(K71),MAX(I71,K71),I71),IF(ISNUMBER(K71),K71,"TBD"))</f>
        <v>0</v>
      </c>
      <c r="M71" s="1" t="s">
        <v>91</v>
      </c>
      <c r="N71" s="1">
        <f>IF(AND(H71&lt;&gt;0,L71&lt;&gt;0),IF(ISNUMBER(VLOOKUP(TEXT(MAX(FLOOR(H71*10,1)/10,1.5),"0.0")&amp;":"&amp;MAX(L71,12),StrategyLookup,4,FALSE)),VLOOKUP(TEXT(MAX(FLOOR(H71*10,1)/10,1.5),"0.0")&amp;":"&amp;MAX(L71,12),StrategyLookup,4,FALSE),"TBD"),"TBD")</f>
        <v>0</v>
      </c>
      <c r="O71" s="11">
        <f>IF(ISNUMBER(N71),VLOOKUP(IF(OR(N71=5,N71=6),N71&amp;IF(H71&gt;=3,"+","&lt;"),N71&amp;""),TargetLookup,IF(B71=-1,6,IF(OR(M71="W",M71="A"),4,2)),FALSE),"TBD")</f>
        <v>0</v>
      </c>
      <c r="P71" s="11">
        <f>IF(ISNUMBER(N71),VLOOKUP(IF(OR(N71=5,N71=6),N71&amp;IF(H71&gt;=3,"+","&lt;"),N71&amp;""),TargetLookup,IF(B71=-1,7,IF(OR(M71="W",M71="A"),5,3)),FALSE),"TBD")</f>
        <v>0</v>
      </c>
      <c r="Q71" s="18" t="s">
        <v>98</v>
      </c>
      <c r="R71" s="19" t="s">
        <v>93</v>
      </c>
      <c r="S71" s="19" t="s">
        <v>94</v>
      </c>
      <c r="T71" s="19">
        <f>Q71&amp;S71&amp;D71</f>
        <v>0</v>
      </c>
      <c r="U71" s="11">
        <f t="array" ref="U71">1-PRODUCT(IF(Students=E71,MGRMoneyMult,1))</f>
        <v>0</v>
      </c>
      <c r="V71" s="12">
        <f t="array" ref="V71">1-PRODUCT(IF(Students=E71,RGRMoneyMult,1))</f>
        <v>0</v>
      </c>
      <c r="W71" s="13">
        <f>COUNTIFS(Students,E71,Results,"Accepted!")+COUNTIFS(Students,E71,Results,"CHOICE!")</f>
        <v>0</v>
      </c>
      <c r="X71" s="1">
        <f>COUNTIFS(Students,E71,Results,"Deferred")+COUNTIFS(Students,E71,Results,"Waitlist")</f>
        <v>0</v>
      </c>
      <c r="Y71" s="13">
        <f>COUNTIFS(Students,E71,Results,"Denied")</f>
        <v>0</v>
      </c>
      <c r="Z71" s="13">
        <f>W71+X71+Y71+COUNTIFS(Students,E71,Results,"Submitted")</f>
        <v>0</v>
      </c>
      <c r="AA71" s="12">
        <v>0.402324503778</v>
      </c>
      <c r="AB71" s="12">
        <v>0.38563454</v>
      </c>
      <c r="AC71" s="12">
        <v>0.346153727870835</v>
      </c>
      <c r="AD71" s="12">
        <v>0.3319815208293092</v>
      </c>
      <c r="AE71" s="13">
        <f>COUNTIFS(Students,E71,Results,"CHOICE!")</f>
        <v>0</v>
      </c>
      <c r="AF71" s="1">
        <f>COUNTIFS(MoneyYesNo,1,RGRcount,1,Students,E71,Results,"Accepted!")</f>
        <v>0</v>
      </c>
      <c r="AG71" s="1">
        <f>COUNTIFS(MoneyYesNo,1,MGRcount,1,Students,E71,Results,"Accepted!")-AF71</f>
        <v>0</v>
      </c>
      <c r="AH71" s="1">
        <f>COUNTIFS(MoneyYesNo,1,Students,E71,Results,"Accepted!")-AF71-AG71</f>
        <v>0</v>
      </c>
      <c r="AI71" s="13">
        <f>COUNTIFS(Students,E71,Results,"Accepted!")-AF71-AG71-AH71</f>
        <v>0</v>
      </c>
      <c r="AJ71" s="1">
        <f>SUMIFS(RGRcount,Students,E71,MoneyYesNo,1)</f>
        <v>0</v>
      </c>
      <c r="AK71" s="1">
        <f>SUMIFS(MGRcount,Students,E71,MoneyYesNo,1)-AJ71</f>
        <v>0</v>
      </c>
      <c r="AL71" s="1">
        <f>SUMIF(Students,E71,MoneyYesNo)-AJ71-AK71</f>
        <v>0</v>
      </c>
      <c r="AM71" s="13">
        <f>SUM(AJ71,AK71,AL71)</f>
        <v>0</v>
      </c>
      <c r="AN71" s="1">
        <f>SUMIF(Students,E71,RGRcount)</f>
        <v>0</v>
      </c>
      <c r="AO71" s="1">
        <f>SUMIF(Students,E71,MGRcount)-AN71</f>
        <v>0</v>
      </c>
      <c r="AP71" s="1">
        <f>COUNTIF(Students,E71)-AN71-AO71</f>
        <v>0</v>
      </c>
      <c r="AQ71" s="1">
        <f>SUMIF(Students,E71,FarBelowTGRCount)</f>
        <v>0</v>
      </c>
      <c r="AR71" s="47">
        <f>COUNTIF(Students,E71)</f>
        <v>0</v>
      </c>
      <c r="AS71" s="11">
        <f>IF(AR71&gt;0,Z71/AR71,0)</f>
        <v>0</v>
      </c>
      <c r="AT71" s="11">
        <f t="array" ref="AT71">1-PRODUCT(IF(Students=E71,MGRMult,1))</f>
        <v>0</v>
      </c>
      <c r="AU71" s="12">
        <f t="array" ref="AU71">1-PRODUCT(IF(Students=E71,RGRMult,1))</f>
        <v>0</v>
      </c>
      <c r="AV71" s="1">
        <f>COUNTIFS(Students,E71,Classes,HailMaryLabel)</f>
        <v>0</v>
      </c>
      <c r="AW71" s="1">
        <f>COUNTIFS(Students,E71,Classes,LongshotLabel)</f>
        <v>0</v>
      </c>
      <c r="AX71" s="1">
        <f>COUNTIFS(Students,E71,Classes,ReachLabel)</f>
        <v>0</v>
      </c>
      <c r="AY71" s="1">
        <f>COUNTIFS(Students,E71,Classes,MatchLabel)</f>
        <v>0</v>
      </c>
      <c r="AZ71" s="1">
        <f>COUNTIFS(Students,E71,Classes,SafetyLabel)</f>
        <v>0</v>
      </c>
      <c r="BA71" s="1">
        <f>COUNTIFS(Students,E71,Classes,SecureLabel)</f>
        <v>0</v>
      </c>
      <c r="BB71" s="1">
        <f>COUNTIFS(Students,E71,Classes,SureThingLabel)</f>
        <v>0</v>
      </c>
      <c r="BC71" s="13">
        <f>COUNTIFS(Students,E71,Classes,"Other")</f>
        <v>0</v>
      </c>
      <c r="BD71" s="1">
        <f>COUNTIFS(Students,E71,Classes,ReachLabel,MoneyYesNo,1)</f>
        <v>0</v>
      </c>
      <c r="BE71" s="1">
        <f>COUNTIFS(Students,E71,Classes,MatchLabel,MoneyYesNo,1)</f>
        <v>0</v>
      </c>
      <c r="BF71" s="1">
        <f>COUNTIFS(Students,E71,Classes,SafetyLabel,MoneyYesNo,1)</f>
        <v>0</v>
      </c>
      <c r="BG71" s="1">
        <f>COUNTIFS(Students,E71,Classes,SecureLabel,MoneyYesNo,1)</f>
        <v>0</v>
      </c>
      <c r="BH71" s="1">
        <f>COUNTIFS(Students,E71,Classes,SureThingLabel,MoneyYesNo,1)</f>
        <v>0</v>
      </c>
      <c r="BI71" s="1">
        <f>SUM(BD71:BH71)</f>
        <v>0</v>
      </c>
      <c r="BJ71" s="1">
        <f>SUMIFS(RGRcount,Students,E71,MoneyYesNo,1,Odds,"&gt;=20")</f>
        <v>0</v>
      </c>
      <c r="BK71" s="1">
        <f>SUMIFS(MGRcount,Students,E71,MoneyYesNo,1,Odds,"&gt;=20")-BJ71</f>
        <v>0</v>
      </c>
      <c r="BL71" s="1">
        <f>SUMIFS(RGRcount,Students,E71,MoneyYesNo,1,Odds,"&gt;=10")</f>
        <v>0</v>
      </c>
      <c r="BM71" s="1">
        <f>SUMIFS(MGRcount,Students,E71,MoneyYesNo,1,Odds,"&gt;=10")-BL71</f>
        <v>0</v>
      </c>
      <c r="BN71" s="1">
        <f>COUNTIFS(Students,E71,ILPublic,1)</f>
        <v>0</v>
      </c>
      <c r="BO71" s="1">
        <f>COUNTIFS(Students,E71,ILPublic,1, Classes,MatchLabel)+COUNTIFS(Students,E71,ILPublic,1, Classes,SafetyLabel)+COUNTIFS(Students,E71,ILPublic,1, Classes,SecureLabel)</f>
        <v>0</v>
      </c>
      <c r="BP71" s="1">
        <f>COUNTIFS(Students,E71,ILPublic,1, Classes,SecureLabel)</f>
        <v>0</v>
      </c>
      <c r="BQ71" s="1">
        <f>COUNTIFS(Students,E71,MoneyChicago,1)</f>
        <v>0</v>
      </c>
      <c r="BR71" s="1">
        <f>COUNTIFS(Students,E71,MatchOrUnder,1)</f>
        <v>0</v>
      </c>
      <c r="BS71" s="1">
        <f>SUMIF(Students,E71,MGRcount)</f>
        <v>0</v>
      </c>
      <c r="BT71" s="1">
        <f>COUNTIFS(Students,E71,BadMoney,1)</f>
        <v>0</v>
      </c>
      <c r="BU71" s="1">
        <f>COUNTIFS(Students,E71,GoldenThree,1)</f>
        <v>0</v>
      </c>
    </row>
    <row r="72" spans="1:73">
      <c r="A72" s="18" t="s">
        <v>86</v>
      </c>
      <c r="B72" s="19">
        <v>0</v>
      </c>
      <c r="C72" s="18" t="s">
        <v>87</v>
      </c>
      <c r="D72" s="18" t="s">
        <v>313</v>
      </c>
      <c r="E72" s="19">
        <v>22981462</v>
      </c>
      <c r="F72" s="19" t="s">
        <v>314</v>
      </c>
      <c r="G72" s="10" t="s">
        <v>315</v>
      </c>
      <c r="H72" s="46">
        <v>3.812</v>
      </c>
      <c r="I72" s="1">
        <v>21</v>
      </c>
      <c r="J72" s="1">
        <v>1110</v>
      </c>
      <c r="K72" s="1">
        <f>IF(ISNUMBER(J72),VLOOKUP(J72,SATtoACT,2,FALSE),"TBD")</f>
        <v>0</v>
      </c>
      <c r="L72" s="1">
        <f>IF(ISNUMBER(I72),IF(ISNUMBER(K72),MAX(I72,K72),I72),IF(ISNUMBER(K72),K72,"TBD"))</f>
        <v>0</v>
      </c>
      <c r="M72" s="1" t="s">
        <v>91</v>
      </c>
      <c r="N72" s="1">
        <f>IF(AND(H72&lt;&gt;0,L72&lt;&gt;0),IF(ISNUMBER(VLOOKUP(TEXT(MAX(FLOOR(H72*10,1)/10,1.5),"0.0")&amp;":"&amp;MAX(L72,12),StrategyLookup,4,FALSE)),VLOOKUP(TEXT(MAX(FLOOR(H72*10,1)/10,1.5),"0.0")&amp;":"&amp;MAX(L72,12),StrategyLookup,4,FALSE),"TBD"),"TBD")</f>
        <v>0</v>
      </c>
      <c r="O72" s="11">
        <f>IF(ISNUMBER(N72),VLOOKUP(IF(OR(N72=5,N72=6),N72&amp;IF(H72&gt;=3,"+","&lt;"),N72&amp;""),TargetLookup,IF(B72=-1,6,IF(OR(M72="W",M72="A"),4,2)),FALSE),"TBD")</f>
        <v>0</v>
      </c>
      <c r="P72" s="11">
        <f>IF(ISNUMBER(N72),VLOOKUP(IF(OR(N72=5,N72=6),N72&amp;IF(H72&gt;=3,"+","&lt;"),N72&amp;""),TargetLookup,IF(B72=-1,7,IF(OR(M72="W",M72="A"),5,3)),FALSE),"TBD")</f>
        <v>0</v>
      </c>
      <c r="Q72" s="18" t="s">
        <v>120</v>
      </c>
      <c r="R72" s="19" t="s">
        <v>99</v>
      </c>
      <c r="S72" s="19" t="s">
        <v>94</v>
      </c>
      <c r="T72" s="19">
        <f>Q72&amp;S72&amp;D72</f>
        <v>0</v>
      </c>
      <c r="U72" s="11">
        <f t="array" ref="U72">1-PRODUCT(IF(Students=E72,MGRMoneyMult,1))</f>
        <v>0</v>
      </c>
      <c r="V72" s="12">
        <f t="array" ref="V72">1-PRODUCT(IF(Students=E72,RGRMoneyMult,1))</f>
        <v>0</v>
      </c>
      <c r="W72" s="13">
        <f>COUNTIFS(Students,E72,Results,"Accepted!")+COUNTIFS(Students,E72,Results,"CHOICE!")</f>
        <v>0</v>
      </c>
      <c r="X72" s="1">
        <f>COUNTIFS(Students,E72,Results,"Deferred")+COUNTIFS(Students,E72,Results,"Waitlist")</f>
        <v>0</v>
      </c>
      <c r="Y72" s="13">
        <f>COUNTIFS(Students,E72,Results,"Denied")</f>
        <v>0</v>
      </c>
      <c r="Z72" s="13">
        <f>W72+X72+Y72+COUNTIFS(Students,E72,Results,"Submitted")</f>
        <v>0</v>
      </c>
      <c r="AA72" s="12">
        <v>0.8215652466519886</v>
      </c>
      <c r="AB72" s="12">
        <v>0.8015109011778072</v>
      </c>
      <c r="AC72" s="12">
        <v>0.7705361693392699</v>
      </c>
      <c r="AD72" s="12">
        <v>0.7560631982298019</v>
      </c>
      <c r="AE72" s="13">
        <f>COUNTIFS(Students,E72,Results,"CHOICE!")</f>
        <v>0</v>
      </c>
      <c r="AF72" s="1">
        <f>COUNTIFS(MoneyYesNo,1,RGRcount,1,Students,E72,Results,"Accepted!")</f>
        <v>0</v>
      </c>
      <c r="AG72" s="1">
        <f>COUNTIFS(MoneyYesNo,1,MGRcount,1,Students,E72,Results,"Accepted!")-AF72</f>
        <v>0</v>
      </c>
      <c r="AH72" s="1">
        <f>COUNTIFS(MoneyYesNo,1,Students,E72,Results,"Accepted!")-AF72-AG72</f>
        <v>0</v>
      </c>
      <c r="AI72" s="13">
        <f>COUNTIFS(Students,E72,Results,"Accepted!")-AF72-AG72-AH72</f>
        <v>0</v>
      </c>
      <c r="AJ72" s="1">
        <f>SUMIFS(RGRcount,Students,E72,MoneyYesNo,1)</f>
        <v>0</v>
      </c>
      <c r="AK72" s="1">
        <f>SUMIFS(MGRcount,Students,E72,MoneyYesNo,1)-AJ72</f>
        <v>0</v>
      </c>
      <c r="AL72" s="1">
        <f>SUMIF(Students,E72,MoneyYesNo)-AJ72-AK72</f>
        <v>0</v>
      </c>
      <c r="AM72" s="13">
        <f>SUM(AJ72,AK72,AL72)</f>
        <v>0</v>
      </c>
      <c r="AN72" s="1">
        <f>SUMIF(Students,E72,RGRcount)</f>
        <v>0</v>
      </c>
      <c r="AO72" s="1">
        <f>SUMIF(Students,E72,MGRcount)-AN72</f>
        <v>0</v>
      </c>
      <c r="AP72" s="1">
        <f>COUNTIF(Students,E72)-AN72-AO72</f>
        <v>0</v>
      </c>
      <c r="AQ72" s="1">
        <f>SUMIF(Students,E72,FarBelowTGRCount)</f>
        <v>0</v>
      </c>
      <c r="AR72" s="47">
        <f>COUNTIF(Students,E72)</f>
        <v>0</v>
      </c>
      <c r="AS72" s="11">
        <f>IF(AR72&gt;0,Z72/AR72,0)</f>
        <v>0</v>
      </c>
      <c r="AT72" s="11">
        <f t="array" ref="AT72">1-PRODUCT(IF(Students=E72,MGRMult,1))</f>
        <v>0</v>
      </c>
      <c r="AU72" s="12">
        <f t="array" ref="AU72">1-PRODUCT(IF(Students=E72,RGRMult,1))</f>
        <v>0</v>
      </c>
      <c r="AV72" s="1">
        <f>COUNTIFS(Students,E72,Classes,HailMaryLabel)</f>
        <v>0</v>
      </c>
      <c r="AW72" s="1">
        <f>COUNTIFS(Students,E72,Classes,LongshotLabel)</f>
        <v>0</v>
      </c>
      <c r="AX72" s="1">
        <f>COUNTIFS(Students,E72,Classes,ReachLabel)</f>
        <v>0</v>
      </c>
      <c r="AY72" s="1">
        <f>COUNTIFS(Students,E72,Classes,MatchLabel)</f>
        <v>0</v>
      </c>
      <c r="AZ72" s="1">
        <f>COUNTIFS(Students,E72,Classes,SafetyLabel)</f>
        <v>0</v>
      </c>
      <c r="BA72" s="1">
        <f>COUNTIFS(Students,E72,Classes,SecureLabel)</f>
        <v>0</v>
      </c>
      <c r="BB72" s="1">
        <f>COUNTIFS(Students,E72,Classes,SureThingLabel)</f>
        <v>0</v>
      </c>
      <c r="BC72" s="13">
        <f>COUNTIFS(Students,E72,Classes,"Other")</f>
        <v>0</v>
      </c>
      <c r="BD72" s="1">
        <f>COUNTIFS(Students,E72,Classes,ReachLabel,MoneyYesNo,1)</f>
        <v>0</v>
      </c>
      <c r="BE72" s="1">
        <f>COUNTIFS(Students,E72,Classes,MatchLabel,MoneyYesNo,1)</f>
        <v>0</v>
      </c>
      <c r="BF72" s="1">
        <f>COUNTIFS(Students,E72,Classes,SafetyLabel,MoneyYesNo,1)</f>
        <v>0</v>
      </c>
      <c r="BG72" s="1">
        <f>COUNTIFS(Students,E72,Classes,SecureLabel,MoneyYesNo,1)</f>
        <v>0</v>
      </c>
      <c r="BH72" s="1">
        <f>COUNTIFS(Students,E72,Classes,SureThingLabel,MoneyYesNo,1)</f>
        <v>0</v>
      </c>
      <c r="BI72" s="1">
        <f>SUM(BD72:BH72)</f>
        <v>0</v>
      </c>
      <c r="BJ72" s="1">
        <f>SUMIFS(RGRcount,Students,E72,MoneyYesNo,1,Odds,"&gt;=20")</f>
        <v>0</v>
      </c>
      <c r="BK72" s="1">
        <f>SUMIFS(MGRcount,Students,E72,MoneyYesNo,1,Odds,"&gt;=20")-BJ72</f>
        <v>0</v>
      </c>
      <c r="BL72" s="1">
        <f>SUMIFS(RGRcount,Students,E72,MoneyYesNo,1,Odds,"&gt;=10")</f>
        <v>0</v>
      </c>
      <c r="BM72" s="1">
        <f>SUMIFS(MGRcount,Students,E72,MoneyYesNo,1,Odds,"&gt;=10")-BL72</f>
        <v>0</v>
      </c>
      <c r="BN72" s="1">
        <f>COUNTIFS(Students,E72,ILPublic,1)</f>
        <v>0</v>
      </c>
      <c r="BO72" s="1">
        <f>COUNTIFS(Students,E72,ILPublic,1, Classes,MatchLabel)+COUNTIFS(Students,E72,ILPublic,1, Classes,SafetyLabel)+COUNTIFS(Students,E72,ILPublic,1, Classes,SecureLabel)</f>
        <v>0</v>
      </c>
      <c r="BP72" s="1">
        <f>COUNTIFS(Students,E72,ILPublic,1, Classes,SecureLabel)</f>
        <v>0</v>
      </c>
      <c r="BQ72" s="1">
        <f>COUNTIFS(Students,E72,MoneyChicago,1)</f>
        <v>0</v>
      </c>
      <c r="BR72" s="1">
        <f>COUNTIFS(Students,E72,MatchOrUnder,1)</f>
        <v>0</v>
      </c>
      <c r="BS72" s="1">
        <f>SUMIF(Students,E72,MGRcount)</f>
        <v>0</v>
      </c>
      <c r="BT72" s="1">
        <f>COUNTIFS(Students,E72,BadMoney,1)</f>
        <v>0</v>
      </c>
      <c r="BU72" s="1">
        <f>COUNTIFS(Students,E72,GoldenThree,1)</f>
        <v>0</v>
      </c>
    </row>
    <row r="73" spans="1:73">
      <c r="A73" s="18" t="s">
        <v>86</v>
      </c>
      <c r="B73" s="19">
        <v>0</v>
      </c>
      <c r="C73" s="18" t="s">
        <v>138</v>
      </c>
      <c r="D73" s="18" t="s">
        <v>316</v>
      </c>
      <c r="E73" s="19">
        <v>22540938</v>
      </c>
      <c r="F73" s="19" t="s">
        <v>317</v>
      </c>
      <c r="G73" s="10" t="s">
        <v>318</v>
      </c>
      <c r="H73" s="46">
        <v>3.4808</v>
      </c>
      <c r="I73" s="1">
        <v>20</v>
      </c>
      <c r="J73" s="1">
        <v>1040</v>
      </c>
      <c r="K73" s="1">
        <f>IF(ISNUMBER(J73),VLOOKUP(J73,SATtoACT,2,FALSE),"TBD")</f>
        <v>0</v>
      </c>
      <c r="L73" s="1">
        <f>IF(ISNUMBER(I73),IF(ISNUMBER(K73),MAX(I73,K73),I73),IF(ISNUMBER(K73),K73,"TBD"))</f>
        <v>0</v>
      </c>
      <c r="M73" s="1" t="s">
        <v>91</v>
      </c>
      <c r="N73" s="1">
        <f>IF(AND(H73&lt;&gt;0,L73&lt;&gt;0),IF(ISNUMBER(VLOOKUP(TEXT(MAX(FLOOR(H73*10,1)/10,1.5),"0.0")&amp;":"&amp;MAX(L73,12),StrategyLookup,4,FALSE)),VLOOKUP(TEXT(MAX(FLOOR(H73*10,1)/10,1.5),"0.0")&amp;":"&amp;MAX(L73,12),StrategyLookup,4,FALSE),"TBD"),"TBD")</f>
        <v>0</v>
      </c>
      <c r="O73" s="11">
        <f>IF(ISNUMBER(N73),VLOOKUP(IF(OR(N73=5,N73=6),N73&amp;IF(H73&gt;=3,"+","&lt;"),N73&amp;""),TargetLookup,IF(B73=-1,6,IF(OR(M73="W",M73="A"),4,2)),FALSE),"TBD")</f>
        <v>0</v>
      </c>
      <c r="P73" s="11">
        <f>IF(ISNUMBER(N73),VLOOKUP(IF(OR(N73=5,N73=6),N73&amp;IF(H73&gt;=3,"+","&lt;"),N73&amp;""),TargetLookup,IF(B73=-1,7,IF(OR(M73="W",M73="A"),5,3)),FALSE),"TBD")</f>
        <v>0</v>
      </c>
      <c r="Q73" s="18" t="s">
        <v>98</v>
      </c>
      <c r="R73" s="19" t="s">
        <v>111</v>
      </c>
      <c r="S73" s="19" t="s">
        <v>94</v>
      </c>
      <c r="T73" s="19">
        <f>Q73&amp;S73&amp;D73</f>
        <v>0</v>
      </c>
      <c r="U73" s="11">
        <f t="array" ref="U73">1-PRODUCT(IF(Students=E73,MGRMoneyMult,1))</f>
        <v>0</v>
      </c>
      <c r="V73" s="12">
        <f t="array" ref="V73">1-PRODUCT(IF(Students=E73,RGRMoneyMult,1))</f>
        <v>0</v>
      </c>
      <c r="W73" s="13">
        <f>COUNTIFS(Students,E73,Results,"Accepted!")+COUNTIFS(Students,E73,Results,"CHOICE!")</f>
        <v>0</v>
      </c>
      <c r="X73" s="1">
        <f>COUNTIFS(Students,E73,Results,"Deferred")+COUNTIFS(Students,E73,Results,"Waitlist")</f>
        <v>0</v>
      </c>
      <c r="Y73" s="13">
        <f>COUNTIFS(Students,E73,Results,"Denied")</f>
        <v>0</v>
      </c>
      <c r="Z73" s="13">
        <f>W73+X73+Y73+COUNTIFS(Students,E73,Results,"Submitted")</f>
        <v>0</v>
      </c>
      <c r="AA73" s="12">
        <v>0.7426069723332369</v>
      </c>
      <c r="AB73" s="12">
        <v>0.6830076569742313</v>
      </c>
      <c r="AC73" s="12">
        <v>0.607814464872907</v>
      </c>
      <c r="AD73" s="12">
        <v>0.585944959462515</v>
      </c>
      <c r="AE73" s="13">
        <f>COUNTIFS(Students,E73,Results,"CHOICE!")</f>
        <v>0</v>
      </c>
      <c r="AF73" s="1">
        <f>COUNTIFS(MoneyYesNo,1,RGRcount,1,Students,E73,Results,"Accepted!")</f>
        <v>0</v>
      </c>
      <c r="AG73" s="1">
        <f>COUNTIFS(MoneyYesNo,1,MGRcount,1,Students,E73,Results,"Accepted!")-AF73</f>
        <v>0</v>
      </c>
      <c r="AH73" s="1">
        <f>COUNTIFS(MoneyYesNo,1,Students,E73,Results,"Accepted!")-AF73-AG73</f>
        <v>0</v>
      </c>
      <c r="AI73" s="13">
        <f>COUNTIFS(Students,E73,Results,"Accepted!")-AF73-AG73-AH73</f>
        <v>0</v>
      </c>
      <c r="AJ73" s="1">
        <f>SUMIFS(RGRcount,Students,E73,MoneyYesNo,1)</f>
        <v>0</v>
      </c>
      <c r="AK73" s="1">
        <f>SUMIFS(MGRcount,Students,E73,MoneyYesNo,1)-AJ73</f>
        <v>0</v>
      </c>
      <c r="AL73" s="1">
        <f>SUMIF(Students,E73,MoneyYesNo)-AJ73-AK73</f>
        <v>0</v>
      </c>
      <c r="AM73" s="13">
        <f>SUM(AJ73,AK73,AL73)</f>
        <v>0</v>
      </c>
      <c r="AN73" s="1">
        <f>SUMIF(Students,E73,RGRcount)</f>
        <v>0</v>
      </c>
      <c r="AO73" s="1">
        <f>SUMIF(Students,E73,MGRcount)-AN73</f>
        <v>0</v>
      </c>
      <c r="AP73" s="1">
        <f>COUNTIF(Students,E73)-AN73-AO73</f>
        <v>0</v>
      </c>
      <c r="AQ73" s="1">
        <f>SUMIF(Students,E73,FarBelowTGRCount)</f>
        <v>0</v>
      </c>
      <c r="AR73" s="47">
        <f>COUNTIF(Students,E73)</f>
        <v>0</v>
      </c>
      <c r="AS73" s="11">
        <f>IF(AR73&gt;0,Z73/AR73,0)</f>
        <v>0</v>
      </c>
      <c r="AT73" s="11">
        <f t="array" ref="AT73">1-PRODUCT(IF(Students=E73,MGRMult,1))</f>
        <v>0</v>
      </c>
      <c r="AU73" s="12">
        <f t="array" ref="AU73">1-PRODUCT(IF(Students=E73,RGRMult,1))</f>
        <v>0</v>
      </c>
      <c r="AV73" s="1">
        <f>COUNTIFS(Students,E73,Classes,HailMaryLabel)</f>
        <v>0</v>
      </c>
      <c r="AW73" s="1">
        <f>COUNTIFS(Students,E73,Classes,LongshotLabel)</f>
        <v>0</v>
      </c>
      <c r="AX73" s="1">
        <f>COUNTIFS(Students,E73,Classes,ReachLabel)</f>
        <v>0</v>
      </c>
      <c r="AY73" s="1">
        <f>COUNTIFS(Students,E73,Classes,MatchLabel)</f>
        <v>0</v>
      </c>
      <c r="AZ73" s="1">
        <f>COUNTIFS(Students,E73,Classes,SafetyLabel)</f>
        <v>0</v>
      </c>
      <c r="BA73" s="1">
        <f>COUNTIFS(Students,E73,Classes,SecureLabel)</f>
        <v>0</v>
      </c>
      <c r="BB73" s="1">
        <f>COUNTIFS(Students,E73,Classes,SureThingLabel)</f>
        <v>0</v>
      </c>
      <c r="BC73" s="13">
        <f>COUNTIFS(Students,E73,Classes,"Other")</f>
        <v>0</v>
      </c>
      <c r="BD73" s="1">
        <f>COUNTIFS(Students,E73,Classes,ReachLabel,MoneyYesNo,1)</f>
        <v>0</v>
      </c>
      <c r="BE73" s="1">
        <f>COUNTIFS(Students,E73,Classes,MatchLabel,MoneyYesNo,1)</f>
        <v>0</v>
      </c>
      <c r="BF73" s="1">
        <f>COUNTIFS(Students,E73,Classes,SafetyLabel,MoneyYesNo,1)</f>
        <v>0</v>
      </c>
      <c r="BG73" s="1">
        <f>COUNTIFS(Students,E73,Classes,SecureLabel,MoneyYesNo,1)</f>
        <v>0</v>
      </c>
      <c r="BH73" s="1">
        <f>COUNTIFS(Students,E73,Classes,SureThingLabel,MoneyYesNo,1)</f>
        <v>0</v>
      </c>
      <c r="BI73" s="1">
        <f>SUM(BD73:BH73)</f>
        <v>0</v>
      </c>
      <c r="BJ73" s="1">
        <f>SUMIFS(RGRcount,Students,E73,MoneyYesNo,1,Odds,"&gt;=20")</f>
        <v>0</v>
      </c>
      <c r="BK73" s="1">
        <f>SUMIFS(MGRcount,Students,E73,MoneyYesNo,1,Odds,"&gt;=20")-BJ73</f>
        <v>0</v>
      </c>
      <c r="BL73" s="1">
        <f>SUMIFS(RGRcount,Students,E73,MoneyYesNo,1,Odds,"&gt;=10")</f>
        <v>0</v>
      </c>
      <c r="BM73" s="1">
        <f>SUMIFS(MGRcount,Students,E73,MoneyYesNo,1,Odds,"&gt;=10")-BL73</f>
        <v>0</v>
      </c>
      <c r="BN73" s="1">
        <f>COUNTIFS(Students,E73,ILPublic,1)</f>
        <v>0</v>
      </c>
      <c r="BO73" s="1">
        <f>COUNTIFS(Students,E73,ILPublic,1, Classes,MatchLabel)+COUNTIFS(Students,E73,ILPublic,1, Classes,SafetyLabel)+COUNTIFS(Students,E73,ILPublic,1, Classes,SecureLabel)</f>
        <v>0</v>
      </c>
      <c r="BP73" s="1">
        <f>COUNTIFS(Students,E73,ILPublic,1, Classes,SecureLabel)</f>
        <v>0</v>
      </c>
      <c r="BQ73" s="1">
        <f>COUNTIFS(Students,E73,MoneyChicago,1)</f>
        <v>0</v>
      </c>
      <c r="BR73" s="1">
        <f>COUNTIFS(Students,E73,MatchOrUnder,1)</f>
        <v>0</v>
      </c>
      <c r="BS73" s="1">
        <f>SUMIF(Students,E73,MGRcount)</f>
        <v>0</v>
      </c>
      <c r="BT73" s="1">
        <f>COUNTIFS(Students,E73,BadMoney,1)</f>
        <v>0</v>
      </c>
      <c r="BU73" s="1">
        <f>COUNTIFS(Students,E73,GoldenThree,1)</f>
        <v>0</v>
      </c>
    </row>
    <row r="74" spans="1:73">
      <c r="A74" s="18" t="s">
        <v>86</v>
      </c>
      <c r="B74" s="19">
        <v>0</v>
      </c>
      <c r="C74" s="18" t="s">
        <v>87</v>
      </c>
      <c r="D74" s="18" t="s">
        <v>319</v>
      </c>
      <c r="E74" s="19">
        <v>22939229</v>
      </c>
      <c r="F74" s="19" t="s">
        <v>320</v>
      </c>
      <c r="G74" s="10" t="s">
        <v>321</v>
      </c>
      <c r="H74" s="46">
        <v>3.2192</v>
      </c>
      <c r="I74" s="1">
        <v>22</v>
      </c>
      <c r="J74" s="1">
        <v>1120</v>
      </c>
      <c r="K74" s="1">
        <f>IF(ISNUMBER(J74),VLOOKUP(J74,SATtoACT,2,FALSE),"TBD")</f>
        <v>0</v>
      </c>
      <c r="L74" s="1">
        <f>IF(ISNUMBER(I74),IF(ISNUMBER(K74),MAX(I74,K74),I74),IF(ISNUMBER(K74),K74,"TBD"))</f>
        <v>0</v>
      </c>
      <c r="M74" s="1" t="s">
        <v>91</v>
      </c>
      <c r="N74" s="1">
        <f>IF(AND(H74&lt;&gt;0,L74&lt;&gt;0),IF(ISNUMBER(VLOOKUP(TEXT(MAX(FLOOR(H74*10,1)/10,1.5),"0.0")&amp;":"&amp;MAX(L74,12),StrategyLookup,4,FALSE)),VLOOKUP(TEXT(MAX(FLOOR(H74*10,1)/10,1.5),"0.0")&amp;":"&amp;MAX(L74,12),StrategyLookup,4,FALSE),"TBD"),"TBD")</f>
        <v>0</v>
      </c>
      <c r="O74" s="11">
        <f>IF(ISNUMBER(N74),VLOOKUP(IF(OR(N74=5,N74=6),N74&amp;IF(H74&gt;=3,"+","&lt;"),N74&amp;""),TargetLookup,IF(B74=-1,6,IF(OR(M74="W",M74="A"),4,2)),FALSE),"TBD")</f>
        <v>0</v>
      </c>
      <c r="P74" s="11">
        <f>IF(ISNUMBER(N74),VLOOKUP(IF(OR(N74=5,N74=6),N74&amp;IF(H74&gt;=3,"+","&lt;"),N74&amp;""),TargetLookup,IF(B74=-1,7,IF(OR(M74="W",M74="A"),5,3)),FALSE),"TBD")</f>
        <v>0</v>
      </c>
      <c r="Q74" s="18" t="s">
        <v>98</v>
      </c>
      <c r="R74" s="19" t="s">
        <v>99</v>
      </c>
      <c r="S74" s="19" t="s">
        <v>94</v>
      </c>
      <c r="T74" s="19">
        <f>Q74&amp;S74&amp;D74</f>
        <v>0</v>
      </c>
      <c r="U74" s="11">
        <f t="array" ref="U74">1-PRODUCT(IF(Students=E74,MGRMoneyMult,1))</f>
        <v>0</v>
      </c>
      <c r="V74" s="12">
        <f t="array" ref="V74">1-PRODUCT(IF(Students=E74,RGRMoneyMult,1))</f>
        <v>0</v>
      </c>
      <c r="W74" s="13">
        <f>COUNTIFS(Students,E74,Results,"Accepted!")+COUNTIFS(Students,E74,Results,"CHOICE!")</f>
        <v>0</v>
      </c>
      <c r="X74" s="1">
        <f>COUNTIFS(Students,E74,Results,"Deferred")+COUNTIFS(Students,E74,Results,"Waitlist")</f>
        <v>0</v>
      </c>
      <c r="Y74" s="13">
        <f>COUNTIFS(Students,E74,Results,"Denied")</f>
        <v>0</v>
      </c>
      <c r="Z74" s="13">
        <f>W74+X74+Y74+COUNTIFS(Students,E74,Results,"Submitted")</f>
        <v>0</v>
      </c>
      <c r="AA74" s="12">
        <v>0.7006566999818379</v>
      </c>
      <c r="AB74" s="12">
        <v>0.6380985139258947</v>
      </c>
      <c r="AC74" s="12">
        <v>0.6332597182585704</v>
      </c>
      <c r="AD74" s="12">
        <v>0.6061396483763999</v>
      </c>
      <c r="AE74" s="13">
        <f>COUNTIFS(Students,E74,Results,"CHOICE!")</f>
        <v>0</v>
      </c>
      <c r="AF74" s="1">
        <f>COUNTIFS(MoneyYesNo,1,RGRcount,1,Students,E74,Results,"Accepted!")</f>
        <v>0</v>
      </c>
      <c r="AG74" s="1">
        <f>COUNTIFS(MoneyYesNo,1,MGRcount,1,Students,E74,Results,"Accepted!")-AF74</f>
        <v>0</v>
      </c>
      <c r="AH74" s="1">
        <f>COUNTIFS(MoneyYesNo,1,Students,E74,Results,"Accepted!")-AF74-AG74</f>
        <v>0</v>
      </c>
      <c r="AI74" s="13">
        <f>COUNTIFS(Students,E74,Results,"Accepted!")-AF74-AG74-AH74</f>
        <v>0</v>
      </c>
      <c r="AJ74" s="1">
        <f>SUMIFS(RGRcount,Students,E74,MoneyYesNo,1)</f>
        <v>0</v>
      </c>
      <c r="AK74" s="1">
        <f>SUMIFS(MGRcount,Students,E74,MoneyYesNo,1)-AJ74</f>
        <v>0</v>
      </c>
      <c r="AL74" s="1">
        <f>SUMIF(Students,E74,MoneyYesNo)-AJ74-AK74</f>
        <v>0</v>
      </c>
      <c r="AM74" s="13">
        <f>SUM(AJ74,AK74,AL74)</f>
        <v>0</v>
      </c>
      <c r="AN74" s="1">
        <f>SUMIF(Students,E74,RGRcount)</f>
        <v>0</v>
      </c>
      <c r="AO74" s="1">
        <f>SUMIF(Students,E74,MGRcount)-AN74</f>
        <v>0</v>
      </c>
      <c r="AP74" s="1">
        <f>COUNTIF(Students,E74)-AN74-AO74</f>
        <v>0</v>
      </c>
      <c r="AQ74" s="1">
        <f>SUMIF(Students,E74,FarBelowTGRCount)</f>
        <v>0</v>
      </c>
      <c r="AR74" s="47">
        <f>COUNTIF(Students,E74)</f>
        <v>0</v>
      </c>
      <c r="AS74" s="11">
        <f>IF(AR74&gt;0,Z74/AR74,0)</f>
        <v>0</v>
      </c>
      <c r="AT74" s="11">
        <f t="array" ref="AT74">1-PRODUCT(IF(Students=E74,MGRMult,1))</f>
        <v>0</v>
      </c>
      <c r="AU74" s="12">
        <f t="array" ref="AU74">1-PRODUCT(IF(Students=E74,RGRMult,1))</f>
        <v>0</v>
      </c>
      <c r="AV74" s="1">
        <f>COUNTIFS(Students,E74,Classes,HailMaryLabel)</f>
        <v>0</v>
      </c>
      <c r="AW74" s="1">
        <f>COUNTIFS(Students,E74,Classes,LongshotLabel)</f>
        <v>0</v>
      </c>
      <c r="AX74" s="1">
        <f>COUNTIFS(Students,E74,Classes,ReachLabel)</f>
        <v>0</v>
      </c>
      <c r="AY74" s="1">
        <f>COUNTIFS(Students,E74,Classes,MatchLabel)</f>
        <v>0</v>
      </c>
      <c r="AZ74" s="1">
        <f>COUNTIFS(Students,E74,Classes,SafetyLabel)</f>
        <v>0</v>
      </c>
      <c r="BA74" s="1">
        <f>COUNTIFS(Students,E74,Classes,SecureLabel)</f>
        <v>0</v>
      </c>
      <c r="BB74" s="1">
        <f>COUNTIFS(Students,E74,Classes,SureThingLabel)</f>
        <v>0</v>
      </c>
      <c r="BC74" s="13">
        <f>COUNTIFS(Students,E74,Classes,"Other")</f>
        <v>0</v>
      </c>
      <c r="BD74" s="1">
        <f>COUNTIFS(Students,E74,Classes,ReachLabel,MoneyYesNo,1)</f>
        <v>0</v>
      </c>
      <c r="BE74" s="1">
        <f>COUNTIFS(Students,E74,Classes,MatchLabel,MoneyYesNo,1)</f>
        <v>0</v>
      </c>
      <c r="BF74" s="1">
        <f>COUNTIFS(Students,E74,Classes,SafetyLabel,MoneyYesNo,1)</f>
        <v>0</v>
      </c>
      <c r="BG74" s="1">
        <f>COUNTIFS(Students,E74,Classes,SecureLabel,MoneyYesNo,1)</f>
        <v>0</v>
      </c>
      <c r="BH74" s="1">
        <f>COUNTIFS(Students,E74,Classes,SureThingLabel,MoneyYesNo,1)</f>
        <v>0</v>
      </c>
      <c r="BI74" s="1">
        <f>SUM(BD74:BH74)</f>
        <v>0</v>
      </c>
      <c r="BJ74" s="1">
        <f>SUMIFS(RGRcount,Students,E74,MoneyYesNo,1,Odds,"&gt;=20")</f>
        <v>0</v>
      </c>
      <c r="BK74" s="1">
        <f>SUMIFS(MGRcount,Students,E74,MoneyYesNo,1,Odds,"&gt;=20")-BJ74</f>
        <v>0</v>
      </c>
      <c r="BL74" s="1">
        <f>SUMIFS(RGRcount,Students,E74,MoneyYesNo,1,Odds,"&gt;=10")</f>
        <v>0</v>
      </c>
      <c r="BM74" s="1">
        <f>SUMIFS(MGRcount,Students,E74,MoneyYesNo,1,Odds,"&gt;=10")-BL74</f>
        <v>0</v>
      </c>
      <c r="BN74" s="1">
        <f>COUNTIFS(Students,E74,ILPublic,1)</f>
        <v>0</v>
      </c>
      <c r="BO74" s="1">
        <f>COUNTIFS(Students,E74,ILPublic,1, Classes,MatchLabel)+COUNTIFS(Students,E74,ILPublic,1, Classes,SafetyLabel)+COUNTIFS(Students,E74,ILPublic,1, Classes,SecureLabel)</f>
        <v>0</v>
      </c>
      <c r="BP74" s="1">
        <f>COUNTIFS(Students,E74,ILPublic,1, Classes,SecureLabel)</f>
        <v>0</v>
      </c>
      <c r="BQ74" s="1">
        <f>COUNTIFS(Students,E74,MoneyChicago,1)</f>
        <v>0</v>
      </c>
      <c r="BR74" s="1">
        <f>COUNTIFS(Students,E74,MatchOrUnder,1)</f>
        <v>0</v>
      </c>
      <c r="BS74" s="1">
        <f>SUMIF(Students,E74,MGRcount)</f>
        <v>0</v>
      </c>
      <c r="BT74" s="1">
        <f>COUNTIFS(Students,E74,BadMoney,1)</f>
        <v>0</v>
      </c>
      <c r="BU74" s="1">
        <f>COUNTIFS(Students,E74,GoldenThree,1)</f>
        <v>0</v>
      </c>
    </row>
    <row r="75" spans="1:73">
      <c r="A75" s="18" t="s">
        <v>86</v>
      </c>
      <c r="B75" s="19">
        <v>0</v>
      </c>
      <c r="C75" s="18" t="s">
        <v>87</v>
      </c>
      <c r="D75" s="18" t="s">
        <v>322</v>
      </c>
      <c r="E75" s="19">
        <v>30144279</v>
      </c>
      <c r="F75" s="19" t="s">
        <v>323</v>
      </c>
      <c r="G75" s="10" t="s">
        <v>324</v>
      </c>
      <c r="H75" s="46">
        <v>3.5104</v>
      </c>
      <c r="I75" s="1">
        <v>19</v>
      </c>
      <c r="J75" s="1">
        <v>1000</v>
      </c>
      <c r="K75" s="1">
        <f>IF(ISNUMBER(J75),VLOOKUP(J75,SATtoACT,2,FALSE),"TBD")</f>
        <v>0</v>
      </c>
      <c r="L75" s="1">
        <f>IF(ISNUMBER(I75),IF(ISNUMBER(K75),MAX(I75,K75),I75),IF(ISNUMBER(K75),K75,"TBD"))</f>
        <v>0</v>
      </c>
      <c r="M75" s="1" t="s">
        <v>91</v>
      </c>
      <c r="N75" s="1">
        <f>IF(AND(H75&lt;&gt;0,L75&lt;&gt;0),IF(ISNUMBER(VLOOKUP(TEXT(MAX(FLOOR(H75*10,1)/10,1.5),"0.0")&amp;":"&amp;MAX(L75,12),StrategyLookup,4,FALSE)),VLOOKUP(TEXT(MAX(FLOOR(H75*10,1)/10,1.5),"0.0")&amp;":"&amp;MAX(L75,12),StrategyLookup,4,FALSE),"TBD"),"TBD")</f>
        <v>0</v>
      </c>
      <c r="O75" s="11">
        <f>IF(ISNUMBER(N75),VLOOKUP(IF(OR(N75=5,N75=6),N75&amp;IF(H75&gt;=3,"+","&lt;"),N75&amp;""),TargetLookup,IF(B75=-1,6,IF(OR(M75="W",M75="A"),4,2)),FALSE),"TBD")</f>
        <v>0</v>
      </c>
      <c r="P75" s="11">
        <f>IF(ISNUMBER(N75),VLOOKUP(IF(OR(N75=5,N75=6),N75&amp;IF(H75&gt;=3,"+","&lt;"),N75&amp;""),TargetLookup,IF(B75=-1,7,IF(OR(M75="W",M75="A"),5,3)),FALSE),"TBD")</f>
        <v>0</v>
      </c>
      <c r="Q75" s="18" t="s">
        <v>103</v>
      </c>
      <c r="R75" s="19" t="s">
        <v>104</v>
      </c>
      <c r="S75" s="19" t="s">
        <v>94</v>
      </c>
      <c r="T75" s="19">
        <f>Q75&amp;S75&amp;D75</f>
        <v>0</v>
      </c>
      <c r="U75" s="11">
        <f t="array" ref="U75">1-PRODUCT(IF(Students=E75,MGRMoneyMult,1))</f>
        <v>0</v>
      </c>
      <c r="V75" s="12">
        <f t="array" ref="V75">1-PRODUCT(IF(Students=E75,RGRMoneyMult,1))</f>
        <v>0</v>
      </c>
      <c r="W75" s="13">
        <f>COUNTIFS(Students,E75,Results,"Accepted!")+COUNTIFS(Students,E75,Results,"CHOICE!")</f>
        <v>0</v>
      </c>
      <c r="X75" s="1">
        <f>COUNTIFS(Students,E75,Results,"Deferred")+COUNTIFS(Students,E75,Results,"Waitlist")</f>
        <v>0</v>
      </c>
      <c r="Y75" s="13">
        <f>COUNTIFS(Students,E75,Results,"Denied")</f>
        <v>0</v>
      </c>
      <c r="Z75" s="13">
        <f>W75+X75+Y75+COUNTIFS(Students,E75,Results,"Submitted")</f>
        <v>0</v>
      </c>
      <c r="AA75" s="12">
        <v>0.7190909027095463</v>
      </c>
      <c r="AB75" s="12">
        <v>0.7060679426215576</v>
      </c>
      <c r="AC75" s="12">
        <v>0.6193058010930221</v>
      </c>
      <c r="AD75" s="12">
        <v>0.5851205906480722</v>
      </c>
      <c r="AE75" s="13">
        <f>COUNTIFS(Students,E75,Results,"CHOICE!")</f>
        <v>0</v>
      </c>
      <c r="AF75" s="1">
        <f>COUNTIFS(MoneyYesNo,1,RGRcount,1,Students,E75,Results,"Accepted!")</f>
        <v>0</v>
      </c>
      <c r="AG75" s="1">
        <f>COUNTIFS(MoneyYesNo,1,MGRcount,1,Students,E75,Results,"Accepted!")-AF75</f>
        <v>0</v>
      </c>
      <c r="AH75" s="1">
        <f>COUNTIFS(MoneyYesNo,1,Students,E75,Results,"Accepted!")-AF75-AG75</f>
        <v>0</v>
      </c>
      <c r="AI75" s="13">
        <f>COUNTIFS(Students,E75,Results,"Accepted!")-AF75-AG75-AH75</f>
        <v>0</v>
      </c>
      <c r="AJ75" s="1">
        <f>SUMIFS(RGRcount,Students,E75,MoneyYesNo,1)</f>
        <v>0</v>
      </c>
      <c r="AK75" s="1">
        <f>SUMIFS(MGRcount,Students,E75,MoneyYesNo,1)-AJ75</f>
        <v>0</v>
      </c>
      <c r="AL75" s="1">
        <f>SUMIF(Students,E75,MoneyYesNo)-AJ75-AK75</f>
        <v>0</v>
      </c>
      <c r="AM75" s="13">
        <f>SUM(AJ75,AK75,AL75)</f>
        <v>0</v>
      </c>
      <c r="AN75" s="1">
        <f>SUMIF(Students,E75,RGRcount)</f>
        <v>0</v>
      </c>
      <c r="AO75" s="1">
        <f>SUMIF(Students,E75,MGRcount)-AN75</f>
        <v>0</v>
      </c>
      <c r="AP75" s="1">
        <f>COUNTIF(Students,E75)-AN75-AO75</f>
        <v>0</v>
      </c>
      <c r="AQ75" s="1">
        <f>SUMIF(Students,E75,FarBelowTGRCount)</f>
        <v>0</v>
      </c>
      <c r="AR75" s="47">
        <f>COUNTIF(Students,E75)</f>
        <v>0</v>
      </c>
      <c r="AS75" s="11">
        <f>IF(AR75&gt;0,Z75/AR75,0)</f>
        <v>0</v>
      </c>
      <c r="AT75" s="11">
        <f t="array" ref="AT75">1-PRODUCT(IF(Students=E75,MGRMult,1))</f>
        <v>0</v>
      </c>
      <c r="AU75" s="12">
        <f t="array" ref="AU75">1-PRODUCT(IF(Students=E75,RGRMult,1))</f>
        <v>0</v>
      </c>
      <c r="AV75" s="1">
        <f>COUNTIFS(Students,E75,Classes,HailMaryLabel)</f>
        <v>0</v>
      </c>
      <c r="AW75" s="1">
        <f>COUNTIFS(Students,E75,Classes,LongshotLabel)</f>
        <v>0</v>
      </c>
      <c r="AX75" s="1">
        <f>COUNTIFS(Students,E75,Classes,ReachLabel)</f>
        <v>0</v>
      </c>
      <c r="AY75" s="1">
        <f>COUNTIFS(Students,E75,Classes,MatchLabel)</f>
        <v>0</v>
      </c>
      <c r="AZ75" s="1">
        <f>COUNTIFS(Students,E75,Classes,SafetyLabel)</f>
        <v>0</v>
      </c>
      <c r="BA75" s="1">
        <f>COUNTIFS(Students,E75,Classes,SecureLabel)</f>
        <v>0</v>
      </c>
      <c r="BB75" s="1">
        <f>COUNTIFS(Students,E75,Classes,SureThingLabel)</f>
        <v>0</v>
      </c>
      <c r="BC75" s="13">
        <f>COUNTIFS(Students,E75,Classes,"Other")</f>
        <v>0</v>
      </c>
      <c r="BD75" s="1">
        <f>COUNTIFS(Students,E75,Classes,ReachLabel,MoneyYesNo,1)</f>
        <v>0</v>
      </c>
      <c r="BE75" s="1">
        <f>COUNTIFS(Students,E75,Classes,MatchLabel,MoneyYesNo,1)</f>
        <v>0</v>
      </c>
      <c r="BF75" s="1">
        <f>COUNTIFS(Students,E75,Classes,SafetyLabel,MoneyYesNo,1)</f>
        <v>0</v>
      </c>
      <c r="BG75" s="1">
        <f>COUNTIFS(Students,E75,Classes,SecureLabel,MoneyYesNo,1)</f>
        <v>0</v>
      </c>
      <c r="BH75" s="1">
        <f>COUNTIFS(Students,E75,Classes,SureThingLabel,MoneyYesNo,1)</f>
        <v>0</v>
      </c>
      <c r="BI75" s="1">
        <f>SUM(BD75:BH75)</f>
        <v>0</v>
      </c>
      <c r="BJ75" s="1">
        <f>SUMIFS(RGRcount,Students,E75,MoneyYesNo,1,Odds,"&gt;=20")</f>
        <v>0</v>
      </c>
      <c r="BK75" s="1">
        <f>SUMIFS(MGRcount,Students,E75,MoneyYesNo,1,Odds,"&gt;=20")-BJ75</f>
        <v>0</v>
      </c>
      <c r="BL75" s="1">
        <f>SUMIFS(RGRcount,Students,E75,MoneyYesNo,1,Odds,"&gt;=10")</f>
        <v>0</v>
      </c>
      <c r="BM75" s="1">
        <f>SUMIFS(MGRcount,Students,E75,MoneyYesNo,1,Odds,"&gt;=10")-BL75</f>
        <v>0</v>
      </c>
      <c r="BN75" s="1">
        <f>COUNTIFS(Students,E75,ILPublic,1)</f>
        <v>0</v>
      </c>
      <c r="BO75" s="1">
        <f>COUNTIFS(Students,E75,ILPublic,1, Classes,MatchLabel)+COUNTIFS(Students,E75,ILPublic,1, Classes,SafetyLabel)+COUNTIFS(Students,E75,ILPublic,1, Classes,SecureLabel)</f>
        <v>0</v>
      </c>
      <c r="BP75" s="1">
        <f>COUNTIFS(Students,E75,ILPublic,1, Classes,SecureLabel)</f>
        <v>0</v>
      </c>
      <c r="BQ75" s="1">
        <f>COUNTIFS(Students,E75,MoneyChicago,1)</f>
        <v>0</v>
      </c>
      <c r="BR75" s="1">
        <f>COUNTIFS(Students,E75,MatchOrUnder,1)</f>
        <v>0</v>
      </c>
      <c r="BS75" s="1">
        <f>SUMIF(Students,E75,MGRcount)</f>
        <v>0</v>
      </c>
      <c r="BT75" s="1">
        <f>COUNTIFS(Students,E75,BadMoney,1)</f>
        <v>0</v>
      </c>
      <c r="BU75" s="1">
        <f>COUNTIFS(Students,E75,GoldenThree,1)</f>
        <v>0</v>
      </c>
    </row>
    <row r="76" spans="1:73">
      <c r="A76" s="18" t="s">
        <v>86</v>
      </c>
      <c r="B76" s="19">
        <v>0</v>
      </c>
      <c r="C76" s="18" t="s">
        <v>87</v>
      </c>
      <c r="D76" s="18" t="s">
        <v>325</v>
      </c>
      <c r="E76" s="19">
        <v>24597473</v>
      </c>
      <c r="F76" s="19" t="s">
        <v>326</v>
      </c>
      <c r="G76" s="10" t="s">
        <v>327</v>
      </c>
      <c r="H76" s="46">
        <v>3.5771</v>
      </c>
      <c r="I76" s="1">
        <v>20</v>
      </c>
      <c r="J76" s="1">
        <v>1020</v>
      </c>
      <c r="K76" s="1">
        <f>IF(ISNUMBER(J76),VLOOKUP(J76,SATtoACT,2,FALSE),"TBD")</f>
        <v>0</v>
      </c>
      <c r="L76" s="1">
        <f>IF(ISNUMBER(I76),IF(ISNUMBER(K76),MAX(I76,K76),I76),IF(ISNUMBER(K76),K76,"TBD"))</f>
        <v>0</v>
      </c>
      <c r="M76" s="1" t="s">
        <v>328</v>
      </c>
      <c r="N76" s="1">
        <f>IF(AND(H76&lt;&gt;0,L76&lt;&gt;0),IF(ISNUMBER(VLOOKUP(TEXT(MAX(FLOOR(H76*10,1)/10,1.5),"0.0")&amp;":"&amp;MAX(L76,12),StrategyLookup,4,FALSE)),VLOOKUP(TEXT(MAX(FLOOR(H76*10,1)/10,1.5),"0.0")&amp;":"&amp;MAX(L76,12),StrategyLookup,4,FALSE),"TBD"),"TBD")</f>
        <v>0</v>
      </c>
      <c r="O76" s="11">
        <f>IF(ISNUMBER(N76),VLOOKUP(IF(OR(N76=5,N76=6),N76&amp;IF(H76&gt;=3,"+","&lt;"),N76&amp;""),TargetLookup,IF(B76=-1,6,IF(OR(M76="W",M76="A"),4,2)),FALSE),"TBD")</f>
        <v>0</v>
      </c>
      <c r="P76" s="11">
        <f>IF(ISNUMBER(N76),VLOOKUP(IF(OR(N76=5,N76=6),N76&amp;IF(H76&gt;=3,"+","&lt;"),N76&amp;""),TargetLookup,IF(B76=-1,7,IF(OR(M76="W",M76="A"),5,3)),FALSE),"TBD")</f>
        <v>0</v>
      </c>
      <c r="Q76" s="18" t="s">
        <v>92</v>
      </c>
      <c r="R76" s="19" t="s">
        <v>111</v>
      </c>
      <c r="S76" s="19" t="s">
        <v>94</v>
      </c>
      <c r="T76" s="19">
        <f>Q76&amp;S76&amp;D76</f>
        <v>0</v>
      </c>
      <c r="U76" s="11">
        <f t="array" ref="U76">1-PRODUCT(IF(Students=E76,MGRMoneyMult,1))</f>
        <v>0</v>
      </c>
      <c r="V76" s="12">
        <f t="array" ref="V76">1-PRODUCT(IF(Students=E76,RGRMoneyMult,1))</f>
        <v>0</v>
      </c>
      <c r="W76" s="13">
        <f>COUNTIFS(Students,E76,Results,"Accepted!")+COUNTIFS(Students,E76,Results,"CHOICE!")</f>
        <v>0</v>
      </c>
      <c r="X76" s="1">
        <f>COUNTIFS(Students,E76,Results,"Deferred")+COUNTIFS(Students,E76,Results,"Waitlist")</f>
        <v>0</v>
      </c>
      <c r="Y76" s="13">
        <f>COUNTIFS(Students,E76,Results,"Denied")</f>
        <v>0</v>
      </c>
      <c r="Z76" s="13">
        <f>W76+X76+Y76+COUNTIFS(Students,E76,Results,"Submitted")</f>
        <v>0</v>
      </c>
      <c r="AA76" s="12">
        <v>0.8563009881099792</v>
      </c>
      <c r="AB76" s="12">
        <v>0.8454363767653786</v>
      </c>
      <c r="AC76" s="12">
        <v>0.8138067653600387</v>
      </c>
      <c r="AD76" s="12">
        <v>0.8015147845393078</v>
      </c>
      <c r="AE76" s="13">
        <f>COUNTIFS(Students,E76,Results,"CHOICE!")</f>
        <v>0</v>
      </c>
      <c r="AF76" s="1">
        <f>COUNTIFS(MoneyYesNo,1,RGRcount,1,Students,E76,Results,"Accepted!")</f>
        <v>0</v>
      </c>
      <c r="AG76" s="1">
        <f>COUNTIFS(MoneyYesNo,1,MGRcount,1,Students,E76,Results,"Accepted!")-AF76</f>
        <v>0</v>
      </c>
      <c r="AH76" s="1">
        <f>COUNTIFS(MoneyYesNo,1,Students,E76,Results,"Accepted!")-AF76-AG76</f>
        <v>0</v>
      </c>
      <c r="AI76" s="13">
        <f>COUNTIFS(Students,E76,Results,"Accepted!")-AF76-AG76-AH76</f>
        <v>0</v>
      </c>
      <c r="AJ76" s="1">
        <f>SUMIFS(RGRcount,Students,E76,MoneyYesNo,1)</f>
        <v>0</v>
      </c>
      <c r="AK76" s="1">
        <f>SUMIFS(MGRcount,Students,E76,MoneyYesNo,1)-AJ76</f>
        <v>0</v>
      </c>
      <c r="AL76" s="1">
        <f>SUMIF(Students,E76,MoneyYesNo)-AJ76-AK76</f>
        <v>0</v>
      </c>
      <c r="AM76" s="13">
        <f>SUM(AJ76,AK76,AL76)</f>
        <v>0</v>
      </c>
      <c r="AN76" s="1">
        <f>SUMIF(Students,E76,RGRcount)</f>
        <v>0</v>
      </c>
      <c r="AO76" s="1">
        <f>SUMIF(Students,E76,MGRcount)-AN76</f>
        <v>0</v>
      </c>
      <c r="AP76" s="1">
        <f>COUNTIF(Students,E76)-AN76-AO76</f>
        <v>0</v>
      </c>
      <c r="AQ76" s="1">
        <f>SUMIF(Students,E76,FarBelowTGRCount)</f>
        <v>0</v>
      </c>
      <c r="AR76" s="47">
        <f>COUNTIF(Students,E76)</f>
        <v>0</v>
      </c>
      <c r="AS76" s="11">
        <f>IF(AR76&gt;0,Z76/AR76,0)</f>
        <v>0</v>
      </c>
      <c r="AT76" s="11">
        <f t="array" ref="AT76">1-PRODUCT(IF(Students=E76,MGRMult,1))</f>
        <v>0</v>
      </c>
      <c r="AU76" s="12">
        <f t="array" ref="AU76">1-PRODUCT(IF(Students=E76,RGRMult,1))</f>
        <v>0</v>
      </c>
      <c r="AV76" s="1">
        <f>COUNTIFS(Students,E76,Classes,HailMaryLabel)</f>
        <v>0</v>
      </c>
      <c r="AW76" s="1">
        <f>COUNTIFS(Students,E76,Classes,LongshotLabel)</f>
        <v>0</v>
      </c>
      <c r="AX76" s="1">
        <f>COUNTIFS(Students,E76,Classes,ReachLabel)</f>
        <v>0</v>
      </c>
      <c r="AY76" s="1">
        <f>COUNTIFS(Students,E76,Classes,MatchLabel)</f>
        <v>0</v>
      </c>
      <c r="AZ76" s="1">
        <f>COUNTIFS(Students,E76,Classes,SafetyLabel)</f>
        <v>0</v>
      </c>
      <c r="BA76" s="1">
        <f>COUNTIFS(Students,E76,Classes,SecureLabel)</f>
        <v>0</v>
      </c>
      <c r="BB76" s="1">
        <f>COUNTIFS(Students,E76,Classes,SureThingLabel)</f>
        <v>0</v>
      </c>
      <c r="BC76" s="13">
        <f>COUNTIFS(Students,E76,Classes,"Other")</f>
        <v>0</v>
      </c>
      <c r="BD76" s="1">
        <f>COUNTIFS(Students,E76,Classes,ReachLabel,MoneyYesNo,1)</f>
        <v>0</v>
      </c>
      <c r="BE76" s="1">
        <f>COUNTIFS(Students,E76,Classes,MatchLabel,MoneyYesNo,1)</f>
        <v>0</v>
      </c>
      <c r="BF76" s="1">
        <f>COUNTIFS(Students,E76,Classes,SafetyLabel,MoneyYesNo,1)</f>
        <v>0</v>
      </c>
      <c r="BG76" s="1">
        <f>COUNTIFS(Students,E76,Classes,SecureLabel,MoneyYesNo,1)</f>
        <v>0</v>
      </c>
      <c r="BH76" s="1">
        <f>COUNTIFS(Students,E76,Classes,SureThingLabel,MoneyYesNo,1)</f>
        <v>0</v>
      </c>
      <c r="BI76" s="1">
        <f>SUM(BD76:BH76)</f>
        <v>0</v>
      </c>
      <c r="BJ76" s="1">
        <f>SUMIFS(RGRcount,Students,E76,MoneyYesNo,1,Odds,"&gt;=20")</f>
        <v>0</v>
      </c>
      <c r="BK76" s="1">
        <f>SUMIFS(MGRcount,Students,E76,MoneyYesNo,1,Odds,"&gt;=20")-BJ76</f>
        <v>0</v>
      </c>
      <c r="BL76" s="1">
        <f>SUMIFS(RGRcount,Students,E76,MoneyYesNo,1,Odds,"&gt;=10")</f>
        <v>0</v>
      </c>
      <c r="BM76" s="1">
        <f>SUMIFS(MGRcount,Students,E76,MoneyYesNo,1,Odds,"&gt;=10")-BL76</f>
        <v>0</v>
      </c>
      <c r="BN76" s="1">
        <f>COUNTIFS(Students,E76,ILPublic,1)</f>
        <v>0</v>
      </c>
      <c r="BO76" s="1">
        <f>COUNTIFS(Students,E76,ILPublic,1, Classes,MatchLabel)+COUNTIFS(Students,E76,ILPublic,1, Classes,SafetyLabel)+COUNTIFS(Students,E76,ILPublic,1, Classes,SecureLabel)</f>
        <v>0</v>
      </c>
      <c r="BP76" s="1">
        <f>COUNTIFS(Students,E76,ILPublic,1, Classes,SecureLabel)</f>
        <v>0</v>
      </c>
      <c r="BQ76" s="1">
        <f>COUNTIFS(Students,E76,MoneyChicago,1)</f>
        <v>0</v>
      </c>
      <c r="BR76" s="1">
        <f>COUNTIFS(Students,E76,MatchOrUnder,1)</f>
        <v>0</v>
      </c>
      <c r="BS76" s="1">
        <f>SUMIF(Students,E76,MGRcount)</f>
        <v>0</v>
      </c>
      <c r="BT76" s="1">
        <f>COUNTIFS(Students,E76,BadMoney,1)</f>
        <v>0</v>
      </c>
      <c r="BU76" s="1">
        <f>COUNTIFS(Students,E76,GoldenThree,1)</f>
        <v>0</v>
      </c>
    </row>
    <row r="77" spans="1:73">
      <c r="A77" s="18" t="s">
        <v>86</v>
      </c>
      <c r="B77" s="19">
        <v>0</v>
      </c>
      <c r="C77" s="18" t="s">
        <v>87</v>
      </c>
      <c r="D77" s="18" t="s">
        <v>329</v>
      </c>
      <c r="E77" s="19">
        <v>23452595</v>
      </c>
      <c r="F77" s="19" t="s">
        <v>330</v>
      </c>
      <c r="G77" s="10" t="s">
        <v>331</v>
      </c>
      <c r="H77" s="46">
        <v>2.8692</v>
      </c>
      <c r="I77" s="1">
        <v>17</v>
      </c>
      <c r="J77" s="1">
        <v>930</v>
      </c>
      <c r="K77" s="1">
        <f>IF(ISNUMBER(J77),VLOOKUP(J77,SATtoACT,2,FALSE),"TBD")</f>
        <v>0</v>
      </c>
      <c r="L77" s="1">
        <f>IF(ISNUMBER(I77),IF(ISNUMBER(K77),MAX(I77,K77),I77),IF(ISNUMBER(K77),K77,"TBD"))</f>
        <v>0</v>
      </c>
      <c r="M77" s="1" t="s">
        <v>91</v>
      </c>
      <c r="N77" s="1">
        <f>IF(AND(H77&lt;&gt;0,L77&lt;&gt;0),IF(ISNUMBER(VLOOKUP(TEXT(MAX(FLOOR(H77*10,1)/10,1.5),"0.0")&amp;":"&amp;MAX(L77,12),StrategyLookup,4,FALSE)),VLOOKUP(TEXT(MAX(FLOOR(H77*10,1)/10,1.5),"0.0")&amp;":"&amp;MAX(L77,12),StrategyLookup,4,FALSE),"TBD"),"TBD")</f>
        <v>0</v>
      </c>
      <c r="O77" s="11">
        <f>IF(ISNUMBER(N77),VLOOKUP(IF(OR(N77=5,N77=6),N77&amp;IF(H77&gt;=3,"+","&lt;"),N77&amp;""),TargetLookup,IF(B77=-1,6,IF(OR(M77="W",M77="A"),4,2)),FALSE),"TBD")</f>
        <v>0</v>
      </c>
      <c r="P77" s="11">
        <f>IF(ISNUMBER(N77),VLOOKUP(IF(OR(N77=5,N77=6),N77&amp;IF(H77&gt;=3,"+","&lt;"),N77&amp;""),TargetLookup,IF(B77=-1,7,IF(OR(M77="W",M77="A"),5,3)),FALSE),"TBD")</f>
        <v>0</v>
      </c>
      <c r="Q77" s="18" t="s">
        <v>120</v>
      </c>
      <c r="R77" s="19" t="s">
        <v>93</v>
      </c>
      <c r="S77" s="19" t="s">
        <v>94</v>
      </c>
      <c r="T77" s="19">
        <f>Q77&amp;S77&amp;D77</f>
        <v>0</v>
      </c>
      <c r="U77" s="11">
        <f t="array" ref="U77">1-PRODUCT(IF(Students=E77,MGRMoneyMult,1))</f>
        <v>0</v>
      </c>
      <c r="V77" s="12">
        <f t="array" ref="V77">1-PRODUCT(IF(Students=E77,RGRMoneyMult,1))</f>
        <v>0</v>
      </c>
      <c r="W77" s="13">
        <f>COUNTIFS(Students,E77,Results,"Accepted!")+COUNTIFS(Students,E77,Results,"CHOICE!")</f>
        <v>0</v>
      </c>
      <c r="X77" s="1">
        <f>COUNTIFS(Students,E77,Results,"Deferred")+COUNTIFS(Students,E77,Results,"Waitlist")</f>
        <v>0</v>
      </c>
      <c r="Y77" s="13">
        <f>COUNTIFS(Students,E77,Results,"Denied")</f>
        <v>0</v>
      </c>
      <c r="Z77" s="13">
        <f>W77+X77+Y77+COUNTIFS(Students,E77,Results,"Submitted")</f>
        <v>0</v>
      </c>
      <c r="AA77" s="12">
        <v>0.5209919874874152</v>
      </c>
      <c r="AB77" s="12">
        <v>0.5149466027249442</v>
      </c>
      <c r="AC77" s="12">
        <v>0.4736598716554609</v>
      </c>
      <c r="AD77" s="12">
        <v>0.4632900916510875</v>
      </c>
      <c r="AE77" s="13">
        <f>COUNTIFS(Students,E77,Results,"CHOICE!")</f>
        <v>0</v>
      </c>
      <c r="AF77" s="1">
        <f>COUNTIFS(MoneyYesNo,1,RGRcount,1,Students,E77,Results,"Accepted!")</f>
        <v>0</v>
      </c>
      <c r="AG77" s="1">
        <f>COUNTIFS(MoneyYesNo,1,MGRcount,1,Students,E77,Results,"Accepted!")-AF77</f>
        <v>0</v>
      </c>
      <c r="AH77" s="1">
        <f>COUNTIFS(MoneyYesNo,1,Students,E77,Results,"Accepted!")-AF77-AG77</f>
        <v>0</v>
      </c>
      <c r="AI77" s="13">
        <f>COUNTIFS(Students,E77,Results,"Accepted!")-AF77-AG77-AH77</f>
        <v>0</v>
      </c>
      <c r="AJ77" s="1">
        <f>SUMIFS(RGRcount,Students,E77,MoneyYesNo,1)</f>
        <v>0</v>
      </c>
      <c r="AK77" s="1">
        <f>SUMIFS(MGRcount,Students,E77,MoneyYesNo,1)-AJ77</f>
        <v>0</v>
      </c>
      <c r="AL77" s="1">
        <f>SUMIF(Students,E77,MoneyYesNo)-AJ77-AK77</f>
        <v>0</v>
      </c>
      <c r="AM77" s="13">
        <f>SUM(AJ77,AK77,AL77)</f>
        <v>0</v>
      </c>
      <c r="AN77" s="1">
        <f>SUMIF(Students,E77,RGRcount)</f>
        <v>0</v>
      </c>
      <c r="AO77" s="1">
        <f>SUMIF(Students,E77,MGRcount)-AN77</f>
        <v>0</v>
      </c>
      <c r="AP77" s="1">
        <f>COUNTIF(Students,E77)-AN77-AO77</f>
        <v>0</v>
      </c>
      <c r="AQ77" s="1">
        <f>SUMIF(Students,E77,FarBelowTGRCount)</f>
        <v>0</v>
      </c>
      <c r="AR77" s="47">
        <f>COUNTIF(Students,E77)</f>
        <v>0</v>
      </c>
      <c r="AS77" s="11">
        <f>IF(AR77&gt;0,Z77/AR77,0)</f>
        <v>0</v>
      </c>
      <c r="AT77" s="11">
        <f t="array" ref="AT77">1-PRODUCT(IF(Students=E77,MGRMult,1))</f>
        <v>0</v>
      </c>
      <c r="AU77" s="12">
        <f t="array" ref="AU77">1-PRODUCT(IF(Students=E77,RGRMult,1))</f>
        <v>0</v>
      </c>
      <c r="AV77" s="1">
        <f>COUNTIFS(Students,E77,Classes,HailMaryLabel)</f>
        <v>0</v>
      </c>
      <c r="AW77" s="1">
        <f>COUNTIFS(Students,E77,Classes,LongshotLabel)</f>
        <v>0</v>
      </c>
      <c r="AX77" s="1">
        <f>COUNTIFS(Students,E77,Classes,ReachLabel)</f>
        <v>0</v>
      </c>
      <c r="AY77" s="1">
        <f>COUNTIFS(Students,E77,Classes,MatchLabel)</f>
        <v>0</v>
      </c>
      <c r="AZ77" s="1">
        <f>COUNTIFS(Students,E77,Classes,SafetyLabel)</f>
        <v>0</v>
      </c>
      <c r="BA77" s="1">
        <f>COUNTIFS(Students,E77,Classes,SecureLabel)</f>
        <v>0</v>
      </c>
      <c r="BB77" s="1">
        <f>COUNTIFS(Students,E77,Classes,SureThingLabel)</f>
        <v>0</v>
      </c>
      <c r="BC77" s="13">
        <f>COUNTIFS(Students,E77,Classes,"Other")</f>
        <v>0</v>
      </c>
      <c r="BD77" s="1">
        <f>COUNTIFS(Students,E77,Classes,ReachLabel,MoneyYesNo,1)</f>
        <v>0</v>
      </c>
      <c r="BE77" s="1">
        <f>COUNTIFS(Students,E77,Classes,MatchLabel,MoneyYesNo,1)</f>
        <v>0</v>
      </c>
      <c r="BF77" s="1">
        <f>COUNTIFS(Students,E77,Classes,SafetyLabel,MoneyYesNo,1)</f>
        <v>0</v>
      </c>
      <c r="BG77" s="1">
        <f>COUNTIFS(Students,E77,Classes,SecureLabel,MoneyYesNo,1)</f>
        <v>0</v>
      </c>
      <c r="BH77" s="1">
        <f>COUNTIFS(Students,E77,Classes,SureThingLabel,MoneyYesNo,1)</f>
        <v>0</v>
      </c>
      <c r="BI77" s="1">
        <f>SUM(BD77:BH77)</f>
        <v>0</v>
      </c>
      <c r="BJ77" s="1">
        <f>SUMIFS(RGRcount,Students,E77,MoneyYesNo,1,Odds,"&gt;=20")</f>
        <v>0</v>
      </c>
      <c r="BK77" s="1">
        <f>SUMIFS(MGRcount,Students,E77,MoneyYesNo,1,Odds,"&gt;=20")-BJ77</f>
        <v>0</v>
      </c>
      <c r="BL77" s="1">
        <f>SUMIFS(RGRcount,Students,E77,MoneyYesNo,1,Odds,"&gt;=10")</f>
        <v>0</v>
      </c>
      <c r="BM77" s="1">
        <f>SUMIFS(MGRcount,Students,E77,MoneyYesNo,1,Odds,"&gt;=10")-BL77</f>
        <v>0</v>
      </c>
      <c r="BN77" s="1">
        <f>COUNTIFS(Students,E77,ILPublic,1)</f>
        <v>0</v>
      </c>
      <c r="BO77" s="1">
        <f>COUNTIFS(Students,E77,ILPublic,1, Classes,MatchLabel)+COUNTIFS(Students,E77,ILPublic,1, Classes,SafetyLabel)+COUNTIFS(Students,E77,ILPublic,1, Classes,SecureLabel)</f>
        <v>0</v>
      </c>
      <c r="BP77" s="1">
        <f>COUNTIFS(Students,E77,ILPublic,1, Classes,SecureLabel)</f>
        <v>0</v>
      </c>
      <c r="BQ77" s="1">
        <f>COUNTIFS(Students,E77,MoneyChicago,1)</f>
        <v>0</v>
      </c>
      <c r="BR77" s="1">
        <f>COUNTIFS(Students,E77,MatchOrUnder,1)</f>
        <v>0</v>
      </c>
      <c r="BS77" s="1">
        <f>SUMIF(Students,E77,MGRcount)</f>
        <v>0</v>
      </c>
      <c r="BT77" s="1">
        <f>COUNTIFS(Students,E77,BadMoney,1)</f>
        <v>0</v>
      </c>
      <c r="BU77" s="1">
        <f>COUNTIFS(Students,E77,GoldenThree,1)</f>
        <v>0</v>
      </c>
    </row>
  </sheetData>
  <autoFilter ref="A2:BU77"/>
  <conditionalFormatting sqref="A3:A77">
    <cfRule type="expression" dxfId="5" priority="1">
      <formula>IF(MOD(ROW()-2,4)=0,TRUE,FALSE)</formula>
    </cfRule>
  </conditionalFormatting>
  <conditionalFormatting sqref="AA3:AA77">
    <cfRule type="expression" dxfId="8" priority="27">
      <formula>IF(MOD(ROW()-2,4)=0,TRUE,FALSE)</formula>
    </cfRule>
  </conditionalFormatting>
  <conditionalFormatting sqref="AB3:AB77">
    <cfRule type="expression" dxfId="8" priority="28">
      <formula>IF(MOD(ROW()-2,4)=0,TRUE,FALSE)</formula>
    </cfRule>
  </conditionalFormatting>
  <conditionalFormatting sqref="AC3:AC77">
    <cfRule type="expression" dxfId="8" priority="29">
      <formula>IF(MOD(ROW()-2,4)=0,TRUE,FALSE)</formula>
    </cfRule>
  </conditionalFormatting>
  <conditionalFormatting sqref="AD3:AD77">
    <cfRule type="expression" dxfId="8" priority="30">
      <formula>IF(MOD(ROW()-2,4)=0,TRUE,FALSE)</formula>
    </cfRule>
  </conditionalFormatting>
  <conditionalFormatting sqref="AE3:AE77">
    <cfRule type="expression" dxfId="9" priority="31">
      <formula>IF(MOD(ROW()-2,4)=0,TRUE,FALSE)</formula>
    </cfRule>
  </conditionalFormatting>
  <conditionalFormatting sqref="AF3:AF77">
    <cfRule type="expression" dxfId="10" priority="32">
      <formula>IF(MOD(ROW()-2,4)=0,TRUE,FALSE)</formula>
    </cfRule>
  </conditionalFormatting>
  <conditionalFormatting sqref="AG3:AG77">
    <cfRule type="expression" dxfId="10" priority="33">
      <formula>IF(MOD(ROW()-2,4)=0,TRUE,FALSE)</formula>
    </cfRule>
  </conditionalFormatting>
  <conditionalFormatting sqref="AH3:AH77">
    <cfRule type="expression" dxfId="10" priority="34">
      <formula>IF(MOD(ROW()-2,4)=0,TRUE,FALSE)</formula>
    </cfRule>
  </conditionalFormatting>
  <conditionalFormatting sqref="AI3:AI77">
    <cfRule type="expression" dxfId="9" priority="35">
      <formula>IF(MOD(ROW()-2,4)=0,TRUE,FALSE)</formula>
    </cfRule>
  </conditionalFormatting>
  <conditionalFormatting sqref="AJ3:AJ77">
    <cfRule type="expression" dxfId="10" priority="36">
      <formula>IF(MOD(ROW()-2,4)=0,TRUE,FALSE)</formula>
    </cfRule>
  </conditionalFormatting>
  <conditionalFormatting sqref="AK3:AK77">
    <cfRule type="expression" dxfId="10" priority="37">
      <formula>IF(MOD(ROW()-2,4)=0,TRUE,FALSE)</formula>
    </cfRule>
  </conditionalFormatting>
  <conditionalFormatting sqref="AL3:AL77">
    <cfRule type="expression" dxfId="10" priority="38">
      <formula>IF(MOD(ROW()-2,4)=0,TRUE,FALSE)</formula>
    </cfRule>
  </conditionalFormatting>
  <conditionalFormatting sqref="AM3:AM77">
    <cfRule type="expression" dxfId="9" priority="39">
      <formula>IF(MOD(ROW()-2,4)=0,TRUE,FALSE)</formula>
    </cfRule>
  </conditionalFormatting>
  <conditionalFormatting sqref="AN3:AN77">
    <cfRule type="expression" dxfId="10" priority="40">
      <formula>IF(MOD(ROW()-2,4)=0,TRUE,FALSE)</formula>
    </cfRule>
  </conditionalFormatting>
  <conditionalFormatting sqref="AO3:AO77">
    <cfRule type="expression" dxfId="10" priority="41">
      <formula>IF(MOD(ROW()-2,4)=0,TRUE,FALSE)</formula>
    </cfRule>
  </conditionalFormatting>
  <conditionalFormatting sqref="AP3:AP77">
    <cfRule type="expression" dxfId="10" priority="42">
      <formula>IF(MOD(ROW()-2,4)=0,TRUE,FALSE)</formula>
    </cfRule>
  </conditionalFormatting>
  <conditionalFormatting sqref="AQ3:AQ77">
    <cfRule type="expression" dxfId="10" priority="43">
      <formula>IF(MOD(ROW()-2,4)=0,TRUE,FALSE)</formula>
    </cfRule>
  </conditionalFormatting>
  <conditionalFormatting sqref="AR3:AR77">
    <cfRule type="expression" dxfId="11" priority="44">
      <formula>IF(MOD(ROW()-2,4)=0,TRUE,FALSE)</formula>
    </cfRule>
  </conditionalFormatting>
  <conditionalFormatting sqref="AS3:AS77">
    <cfRule type="expression" dxfId="7" priority="45">
      <formula>IF(MOD(ROW()-2,4)=0,TRUE,FALSE)</formula>
    </cfRule>
  </conditionalFormatting>
  <conditionalFormatting sqref="AT3:AT77">
    <cfRule type="expression" dxfId="7" priority="46">
      <formula>IF(MOD(ROW()-2,4)=0,TRUE,FALSE)</formula>
    </cfRule>
  </conditionalFormatting>
  <conditionalFormatting sqref="AU3:AU77">
    <cfRule type="expression" dxfId="8" priority="47">
      <formula>IF(MOD(ROW()-2,4)=0,TRUE,FALSE)</formula>
    </cfRule>
  </conditionalFormatting>
  <conditionalFormatting sqref="AV3:AV77">
    <cfRule type="expression" dxfId="10" priority="48">
      <formula>IF(MOD(ROW()-2,4)=0,TRUE,FALSE)</formula>
    </cfRule>
  </conditionalFormatting>
  <conditionalFormatting sqref="AW3:AW77">
    <cfRule type="expression" dxfId="10" priority="49">
      <formula>IF(MOD(ROW()-2,4)=0,TRUE,FALSE)</formula>
    </cfRule>
  </conditionalFormatting>
  <conditionalFormatting sqref="AX3:AX77">
    <cfRule type="expression" dxfId="10" priority="50">
      <formula>IF(MOD(ROW()-2,4)=0,TRUE,FALSE)</formula>
    </cfRule>
  </conditionalFormatting>
  <conditionalFormatting sqref="AY3:AY77">
    <cfRule type="expression" dxfId="10" priority="51">
      <formula>IF(MOD(ROW()-2,4)=0,TRUE,FALSE)</formula>
    </cfRule>
  </conditionalFormatting>
  <conditionalFormatting sqref="AZ3:AZ77">
    <cfRule type="expression" dxfId="10" priority="52">
      <formula>IF(MOD(ROW()-2,4)=0,TRUE,FALSE)</formula>
    </cfRule>
  </conditionalFormatting>
  <conditionalFormatting sqref="B3:B77">
    <cfRule type="expression" dxfId="5" priority="2">
      <formula>IF(MOD(ROW()-2,4)=0,TRUE,FALSE)</formula>
    </cfRule>
  </conditionalFormatting>
  <conditionalFormatting sqref="BA3:BA77">
    <cfRule type="expression" dxfId="10" priority="53">
      <formula>IF(MOD(ROW()-2,4)=0,TRUE,FALSE)</formula>
    </cfRule>
  </conditionalFormatting>
  <conditionalFormatting sqref="BB3:BB77">
    <cfRule type="expression" dxfId="10" priority="54">
      <formula>IF(MOD(ROW()-2,4)=0,TRUE,FALSE)</formula>
    </cfRule>
  </conditionalFormatting>
  <conditionalFormatting sqref="BC3:BC77">
    <cfRule type="expression" dxfId="9" priority="55">
      <formula>IF(MOD(ROW()-2,4)=0,TRUE,FALSE)</formula>
    </cfRule>
  </conditionalFormatting>
  <conditionalFormatting sqref="BD3:BD77">
    <cfRule type="expression" dxfId="10" priority="56">
      <formula>IF(MOD(ROW()-2,4)=0,TRUE,FALSE)</formula>
    </cfRule>
  </conditionalFormatting>
  <conditionalFormatting sqref="BE3:BE77">
    <cfRule type="expression" dxfId="10" priority="57">
      <formula>IF(MOD(ROW()-2,4)=0,TRUE,FALSE)</formula>
    </cfRule>
  </conditionalFormatting>
  <conditionalFormatting sqref="BF3:BF77">
    <cfRule type="expression" dxfId="10" priority="58">
      <formula>IF(MOD(ROW()-2,4)=0,TRUE,FALSE)</formula>
    </cfRule>
  </conditionalFormatting>
  <conditionalFormatting sqref="BG3:BG77">
    <cfRule type="expression" dxfId="10" priority="59">
      <formula>IF(MOD(ROW()-2,4)=0,TRUE,FALSE)</formula>
    </cfRule>
  </conditionalFormatting>
  <conditionalFormatting sqref="BH3:BH77">
    <cfRule type="expression" dxfId="10" priority="60">
      <formula>IF(MOD(ROW()-2,4)=0,TRUE,FALSE)</formula>
    </cfRule>
  </conditionalFormatting>
  <conditionalFormatting sqref="BI3:BI77">
    <cfRule type="expression" dxfId="10" priority="61">
      <formula>IF(MOD(ROW()-2,4)=0,TRUE,FALSE)</formula>
    </cfRule>
  </conditionalFormatting>
  <conditionalFormatting sqref="BJ3:BJ77">
    <cfRule type="expression" dxfId="10" priority="62">
      <formula>IF(MOD(ROW()-2,4)=0,TRUE,FALSE)</formula>
    </cfRule>
  </conditionalFormatting>
  <conditionalFormatting sqref="BK3:BK77">
    <cfRule type="expression" dxfId="10" priority="63">
      <formula>IF(MOD(ROW()-2,4)=0,TRUE,FALSE)</formula>
    </cfRule>
  </conditionalFormatting>
  <conditionalFormatting sqref="BL3:BL77">
    <cfRule type="expression" dxfId="10" priority="64">
      <formula>IF(MOD(ROW()-2,4)=0,TRUE,FALSE)</formula>
    </cfRule>
  </conditionalFormatting>
  <conditionalFormatting sqref="BM3:BM77">
    <cfRule type="expression" dxfId="10" priority="65">
      <formula>IF(MOD(ROW()-2,4)=0,TRUE,FALSE)</formula>
    </cfRule>
  </conditionalFormatting>
  <conditionalFormatting sqref="BN3:BN77">
    <cfRule type="expression" dxfId="10" priority="66">
      <formula>IF(MOD(ROW()-2,4)=0,TRUE,FALSE)</formula>
    </cfRule>
  </conditionalFormatting>
  <conditionalFormatting sqref="BO3:BO77">
    <cfRule type="expression" dxfId="10" priority="67">
      <formula>IF(MOD(ROW()-2,4)=0,TRUE,FALSE)</formula>
    </cfRule>
  </conditionalFormatting>
  <conditionalFormatting sqref="BP3:BP77">
    <cfRule type="expression" dxfId="10" priority="68">
      <formula>IF(MOD(ROW()-2,4)=0,TRUE,FALSE)</formula>
    </cfRule>
  </conditionalFormatting>
  <conditionalFormatting sqref="BQ3:BQ77">
    <cfRule type="expression" dxfId="10" priority="69">
      <formula>IF(MOD(ROW()-2,4)=0,TRUE,FALSE)</formula>
    </cfRule>
  </conditionalFormatting>
  <conditionalFormatting sqref="BR3:BR77">
    <cfRule type="expression" dxfId="10" priority="70">
      <formula>IF(MOD(ROW()-2,4)=0,TRUE,FALSE)</formula>
    </cfRule>
  </conditionalFormatting>
  <conditionalFormatting sqref="BS3:BS77">
    <cfRule type="expression" dxfId="10" priority="71">
      <formula>IF(MOD(ROW()-2,4)=0,TRUE,FALSE)</formula>
    </cfRule>
  </conditionalFormatting>
  <conditionalFormatting sqref="BT3:BT77">
    <cfRule type="expression" dxfId="10" priority="72">
      <formula>IF(MOD(ROW()-2,4)=0,TRUE,FALSE)</formula>
    </cfRule>
  </conditionalFormatting>
  <conditionalFormatting sqref="BU3:BU77">
    <cfRule type="expression" dxfId="10" priority="73">
      <formula>IF(MOD(ROW()-2,4)=0,TRUE,FALSE)</formula>
    </cfRule>
  </conditionalFormatting>
  <conditionalFormatting sqref="C3:C77">
    <cfRule type="expression" dxfId="5" priority="3">
      <formula>IF(MOD(ROW()-2,4)=0,TRUE,FALSE)</formula>
    </cfRule>
  </conditionalFormatting>
  <conditionalFormatting sqref="D3:D77">
    <cfRule type="expression" dxfId="5" priority="4">
      <formula>IF(MOD(ROW()-2,4)=0,TRUE,FALSE)</formula>
    </cfRule>
  </conditionalFormatting>
  <conditionalFormatting sqref="E3:E77">
    <cfRule type="expression" dxfId="5" priority="5">
      <formula>IF(MOD(ROW()-2,4)=0,TRUE,FALSE)</formula>
    </cfRule>
  </conditionalFormatting>
  <conditionalFormatting sqref="F3:F77">
    <cfRule type="expression" dxfId="5" priority="6">
      <formula>IF(MOD(ROW()-2,4)=0,TRUE,FALSE)</formula>
    </cfRule>
  </conditionalFormatting>
  <conditionalFormatting sqref="G3:G77">
    <cfRule type="expression" dxfId="6" priority="7">
      <formula>IF(MOD(ROW()-2,4)=0,TRUE,FALSE)</formula>
    </cfRule>
  </conditionalFormatting>
  <conditionalFormatting sqref="H3:H77">
    <cfRule type="expression" dxfId="5" priority="8">
      <formula>IF(MOD(ROW()-2,4)=0,TRUE,FALSE)</formula>
    </cfRule>
  </conditionalFormatting>
  <conditionalFormatting sqref="I3:I77">
    <cfRule type="expression" dxfId="5" priority="9">
      <formula>IF(MOD(ROW()-2,4)=0,TRUE,FALSE)</formula>
    </cfRule>
  </conditionalFormatting>
  <conditionalFormatting sqref="J3:J77">
    <cfRule type="expression" dxfId="5" priority="10">
      <formula>IF(MOD(ROW()-2,4)=0,TRUE,FALSE)</formula>
    </cfRule>
  </conditionalFormatting>
  <conditionalFormatting sqref="K3:K77">
    <cfRule type="expression" dxfId="5" priority="11">
      <formula>IF(MOD(ROW()-2,4)=0,TRUE,FALSE)</formula>
    </cfRule>
  </conditionalFormatting>
  <conditionalFormatting sqref="L3:L77">
    <cfRule type="expression" dxfId="5" priority="12">
      <formula>IF(MOD(ROW()-2,4)=0,TRUE,FALSE)</formula>
    </cfRule>
  </conditionalFormatting>
  <conditionalFormatting sqref="M3:M77">
    <cfRule type="expression" dxfId="5" priority="13">
      <formula>IF(MOD(ROW()-2,4)=0,TRUE,FALSE)</formula>
    </cfRule>
  </conditionalFormatting>
  <conditionalFormatting sqref="N3:N77">
    <cfRule type="expression" dxfId="5" priority="14">
      <formula>IF(MOD(ROW()-2,4)=0,TRUE,FALSE)</formula>
    </cfRule>
  </conditionalFormatting>
  <conditionalFormatting sqref="O3:O77">
    <cfRule type="expression" dxfId="5" priority="15">
      <formula>IF(MOD(ROW()-2,4)=0,TRUE,FALSE)</formula>
    </cfRule>
  </conditionalFormatting>
  <conditionalFormatting sqref="P3:P77">
    <cfRule type="expression" dxfId="5" priority="16">
      <formula>IF(MOD(ROW()-2,4)=0,TRUE,FALSE)</formula>
    </cfRule>
  </conditionalFormatting>
  <conditionalFormatting sqref="Q3:Q77">
    <cfRule type="expression" dxfId="5" priority="17">
      <formula>IF(MOD(ROW()-2,4)=0,TRUE,FALSE)</formula>
    </cfRule>
  </conditionalFormatting>
  <conditionalFormatting sqref="R3:R77">
    <cfRule type="expression" dxfId="5" priority="18">
      <formula>IF(MOD(ROW()-2,4)=0,TRUE,FALSE)</formula>
    </cfRule>
  </conditionalFormatting>
  <conditionalFormatting sqref="S3:S77">
    <cfRule type="expression" dxfId="5" priority="19">
      <formula>IF(MOD(ROW()-2,4)=0,TRUE,FALSE)</formula>
    </cfRule>
  </conditionalFormatting>
  <conditionalFormatting sqref="T3:T77">
    <cfRule type="expression" dxfId="5" priority="20">
      <formula>IF(MOD(ROW()-2,4)=0,TRUE,FALSE)</formula>
    </cfRule>
  </conditionalFormatting>
  <conditionalFormatting sqref="U3:U77">
    <cfRule type="expression" dxfId="7" priority="21">
      <formula>IF(MOD(ROW()-2,4)=0,TRUE,FALSE)</formula>
    </cfRule>
  </conditionalFormatting>
  <conditionalFormatting sqref="V3:V77">
    <cfRule type="expression" dxfId="8" priority="22">
      <formula>IF(MOD(ROW()-2,4)=0,TRUE,FALSE)</formula>
    </cfRule>
  </conditionalFormatting>
  <conditionalFormatting sqref="W3:W77">
    <cfRule type="expression" dxfId="9" priority="23">
      <formula>IF(MOD(ROW()-2,4)=0,TRUE,FALSE)</formula>
    </cfRule>
  </conditionalFormatting>
  <conditionalFormatting sqref="X3:X77">
    <cfRule type="expression" dxfId="10" priority="24">
      <formula>IF(MOD(ROW()-2,4)=0,TRUE,FALSE)</formula>
    </cfRule>
  </conditionalFormatting>
  <conditionalFormatting sqref="Y3:Y77">
    <cfRule type="expression" dxfId="9" priority="25">
      <formula>IF(MOD(ROW()-2,4)=0,TRUE,FALSE)</formula>
    </cfRule>
  </conditionalFormatting>
  <conditionalFormatting sqref="Z3:Z77">
    <cfRule type="expression" dxfId="9" priority="26">
      <formula>IF(MOD(ROW()-2,4)=0,TRUE,FALSE)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47"/>
  <sheetViews>
    <sheetView workbookViewId="0">
      <pane ySplit="12" topLeftCell="A13" activePane="bottomLeft" state="frozen"/>
      <selection pane="bottomLeft"/>
    </sheetView>
  </sheetViews>
  <sheetFormatPr defaultRowHeight="15" outlineLevelRow="2"/>
  <cols>
    <col min="1" max="4" width="8.7109375" style="18" hidden="1" customWidth="1"/>
    <col min="5" max="5" width="41" customWidth="1"/>
    <col min="6" max="6" width="9.7109375" customWidth="1"/>
    <col min="7" max="7" width="7.5703125" customWidth="1"/>
    <col min="8" max="8" width="8.85546875" customWidth="1"/>
    <col min="9" max="9" width="9.5703125" customWidth="1"/>
    <col min="10" max="10" width="18.7109375" customWidth="1"/>
    <col min="11" max="29" width="7.7109375" style="48" hidden="1" customWidth="1"/>
    <col min="30" max="33" width="7.7109375" style="49" hidden="1" customWidth="1"/>
  </cols>
  <sheetData>
    <row r="1" spans="1:33" ht="19.5" customHeight="1">
      <c r="E1" s="50">
        <f>IF(ISNUMBER(D3),"College application odds report for "&amp;INDEX(KidFirst,MATCH(D3,KidIDs,0))&amp;" "&amp;INDEX(KidLast,MATCH(D3,KidIDs,0)),"SELECT YOUR NAME")</f>
        <v>0</v>
      </c>
      <c r="F1" s="51">
        <f>"Printed on: "&amp;TEXT(TODAY(),"mm/dd")</f>
        <v>0</v>
      </c>
      <c r="I1" s="52">
        <f>"Cnslr: "&amp;INDEX(Counselor,MATCH(D3,KidIDs,0))&amp;" ("&amp;INDEX(Cohort,MATCH(D3,KidIDs,0))&amp;")"</f>
        <v>0</v>
      </c>
      <c r="J1" s="52"/>
    </row>
    <row r="2" spans="1:33">
      <c r="C2" s="18">
        <f>INDEX(KidIDs,D2)</f>
        <v>0</v>
      </c>
      <c r="D2" s="18">
        <v>1</v>
      </c>
      <c r="E2" s="53" t="s">
        <v>336</v>
      </c>
      <c r="F2" s="54" t="s">
        <v>338</v>
      </c>
      <c r="G2" s="55" t="s">
        <v>18</v>
      </c>
      <c r="H2" s="56" t="s">
        <v>339</v>
      </c>
      <c r="I2" s="54" t="s">
        <v>341</v>
      </c>
      <c r="J2" s="57">
        <f>INDEX(ReachStudentTargets,MATCH(D3,KidIDs,0))</f>
        <v>0</v>
      </c>
    </row>
    <row r="3" spans="1:33" ht="15.75" customHeight="1">
      <c r="C3" s="18" t="s">
        <v>332</v>
      </c>
      <c r="D3" s="18">
        <f>INDEX(KidIDs,MATCH(E3,LastFirst,0))</f>
        <v>0</v>
      </c>
      <c r="E3" s="58" t="s">
        <v>88</v>
      </c>
      <c r="F3" s="59">
        <f>INDEX(ActualACT,MATCH(D3,KidIDs,0))&amp;"/"&amp;INDEX(ActualSAT,MATCH(D3,KidIDs,0))</f>
        <v>0</v>
      </c>
      <c r="G3" s="60">
        <f>INDEX(KidGPAs,MATCH(D3,KidIDs,0))</f>
        <v>0</v>
      </c>
      <c r="H3" s="61">
        <f>INDEX(KidRace,MATCH(D3,KidIDs,0))</f>
        <v>0</v>
      </c>
      <c r="I3" s="62" t="s">
        <v>342</v>
      </c>
      <c r="J3" s="63">
        <f>INDEX(StudentTargets,MATCH(D3,KidIDs,0))</f>
        <v>0</v>
      </c>
    </row>
    <row r="4" spans="1:33">
      <c r="C4" s="18" t="s">
        <v>333</v>
      </c>
      <c r="D4" s="18">
        <f>INDEX(Apps,MATCH(D3,KidIDs,0))</f>
        <v>0</v>
      </c>
      <c r="E4" s="64" t="s">
        <v>337</v>
      </c>
      <c r="F4" s="65">
        <f>INDEX(KidACTs,MATCH(D3,KidIDs,0))</f>
        <v>0</v>
      </c>
      <c r="G4" s="66"/>
      <c r="H4" s="64" t="s">
        <v>340</v>
      </c>
      <c r="I4" s="65"/>
      <c r="J4" s="66"/>
    </row>
    <row r="5" spans="1:33">
      <c r="C5" s="18" t="s">
        <v>334</v>
      </c>
      <c r="D5" s="18">
        <f>MATCH(D3,Students,0)</f>
        <v>0</v>
      </c>
      <c r="E5" s="67">
        <f>"""Money"" "&amp;TargetGRLabel&amp;" grade rate ("&amp;TGRshortLabel&amp;") or better schools"</f>
        <v>0</v>
      </c>
      <c r="G5" s="68">
        <f>1-PRODUCT(AF9:AF37)</f>
        <v>0</v>
      </c>
      <c r="H5" s="67">
        <f>"&lt;--Shoot for at least 90% for Money "&amp;TGRshortLabel</f>
        <v>0</v>
      </c>
      <c r="J5" s="68"/>
    </row>
    <row r="6" spans="1:33" ht="15.75" customHeight="1">
      <c r="A6" s="69">
        <f>INDEX(ReachStudentTargets,MATCH(D3,KidIDs,0))</f>
        <v>0</v>
      </c>
      <c r="B6" s="69">
        <f>D6</f>
        <v>0</v>
      </c>
      <c r="C6" s="18" t="s">
        <v>335</v>
      </c>
      <c r="D6" s="69">
        <f>INDEX(StudentTargets,MATCH(D3,KidIDs,0))</f>
        <v>0</v>
      </c>
      <c r="E6" s="70">
        <f>"""Money"" "&amp;IdealGRLabel&amp;" grade rate ("&amp;IGRshortLabel&amp;") or better schools"</f>
        <v>0</v>
      </c>
      <c r="F6" s="71"/>
      <c r="G6" s="63">
        <f>1-PRODUCT(AG9:AG37)</f>
        <v>0</v>
      </c>
      <c r="H6" s="70">
        <f>"&lt;--Shoot for at least 50% for Money "&amp;IGRshortLabel</f>
        <v>0</v>
      </c>
      <c r="I6" s="71"/>
      <c r="J6" s="63"/>
      <c r="AD6" s="49">
        <f>COUNTIF(AD9:AD37,"&lt;1")</f>
        <v>0</v>
      </c>
      <c r="AE6" s="49">
        <f>COUNTIF(AE9:AE37,"&lt;1")</f>
        <v>0</v>
      </c>
      <c r="AF6" s="49">
        <f>COUNTIF(AF9:AF37,"&lt;1")</f>
        <v>0</v>
      </c>
      <c r="AG6" s="49">
        <f>COUNTIF(AG9:AG37,"&lt;1")</f>
        <v>0</v>
      </c>
    </row>
    <row r="7" spans="1:33" ht="6.0" customHeight="1"/>
    <row r="8" spans="1:33" ht="30.0" customHeight="1">
      <c r="E8" s="72" t="s">
        <v>343</v>
      </c>
      <c r="F8" s="73">
        <f>IF(OR(H3="H",H3="B",H3="M",H3="I"),"6 yr AA/H Grad Rate","6 yr (all) Grad Rate")</f>
        <v>0</v>
      </c>
      <c r="G8" s="73" t="s">
        <v>344</v>
      </c>
      <c r="H8" s="74" t="s">
        <v>345</v>
      </c>
      <c r="I8" s="73" t="s">
        <v>346</v>
      </c>
      <c r="J8" s="73" t="s">
        <v>347</v>
      </c>
      <c r="K8" s="48" t="s">
        <v>348</v>
      </c>
      <c r="L8" s="48" t="s">
        <v>349</v>
      </c>
      <c r="M8" s="75" t="s">
        <v>350</v>
      </c>
      <c r="N8" s="76" t="s">
        <v>18</v>
      </c>
      <c r="O8" s="76" t="s">
        <v>351</v>
      </c>
      <c r="P8" s="18" t="s">
        <v>352</v>
      </c>
      <c r="Q8" s="18" t="s">
        <v>353</v>
      </c>
      <c r="R8" s="18" t="s">
        <v>354</v>
      </c>
      <c r="S8" s="18" t="s">
        <v>355</v>
      </c>
      <c r="T8" s="77" t="s">
        <v>356</v>
      </c>
      <c r="U8" s="77" t="s">
        <v>357</v>
      </c>
      <c r="V8" s="77" t="s">
        <v>358</v>
      </c>
      <c r="W8" s="77" t="s">
        <v>359</v>
      </c>
      <c r="X8" s="77" t="s">
        <v>360</v>
      </c>
      <c r="Y8" s="77" t="s">
        <v>361</v>
      </c>
      <c r="Z8" s="77" t="s">
        <v>362</v>
      </c>
      <c r="AA8" s="18" t="s">
        <v>363</v>
      </c>
      <c r="AB8" s="18" t="s">
        <v>364</v>
      </c>
      <c r="AC8" s="18" t="s">
        <v>365</v>
      </c>
      <c r="AD8" s="49" t="s">
        <v>366</v>
      </c>
      <c r="AE8" s="49" t="s">
        <v>367</v>
      </c>
      <c r="AF8" s="49" t="s">
        <v>368</v>
      </c>
      <c r="AG8" s="49" t="s">
        <v>369</v>
      </c>
    </row>
    <row r="9" spans="1:33">
      <c r="A9" s="69">
        <f>A6</f>
        <v>0</v>
      </c>
      <c r="B9" s="69">
        <f>B6</f>
        <v>0</v>
      </c>
      <c r="C9" s="18">
        <f>ROW()</f>
        <v>0</v>
      </c>
      <c r="D9" s="18">
        <f>INDEX(ExtraCollegeNCES,MATCH(E9,ExtraCollegeChoice,0))</f>
        <v>0</v>
      </c>
      <c r="E9" s="78"/>
      <c r="F9" s="11">
        <f>IF(ISERROR(D9),"",INDEX(IF(OR(H3="H",H3="B"),AllCollegeAAHGR,AllCollegeGR),MATCH(D9,AllCollegeNCES,0)))</f>
        <v>0</v>
      </c>
      <c r="G9" s="11">
        <f>IF(ISERROR(D9),"",IF(ISNUMBER(Y9),Y9/100,"N/A"))</f>
        <v>0</v>
      </c>
      <c r="H9" s="11">
        <f>IF(ISERROR(D9),"",Z9)</f>
        <v>0</v>
      </c>
      <c r="I9" s="11">
        <f>IF(ISERROR(D9),"","N/A")</f>
        <v>0</v>
      </c>
      <c r="J9" s="11">
        <f>IF(ISERROR(D9),"",INDEX(AllCollegeMoneyCode,MATCH(D9,AllCollegeNCES,0)))</f>
        <v>0</v>
      </c>
      <c r="K9" s="48">
        <f>INDEX(AllCollegeBarrons,MATCH(D9,AllCollegeNCES,0))</f>
        <v>0</v>
      </c>
      <c r="L9" s="48">
        <f>IF(ISERROR(D9),"",INDEX(AllCollegeMoney,MATCH(D9,AllCollegeNCES,0)))</f>
        <v>0</v>
      </c>
      <c r="M9" s="48">
        <f>INDEX(AllCollegeACT25,MATCH(D9,AllCollegeNCES,0))</f>
        <v>0</v>
      </c>
      <c r="N9" s="48">
        <f>G3</f>
        <v>0</v>
      </c>
      <c r="O9" s="48">
        <f>F4</f>
        <v>0</v>
      </c>
      <c r="P9" s="48">
        <f>INDEX(CustomWeightsGPA,MATCH($H3&amp;":"&amp;$D9,CustomWeightsIndex,0))</f>
        <v>0</v>
      </c>
      <c r="Q9" s="48">
        <f>INDEX(CustomWeightsACT,MATCH($H3&amp;":"&amp;$D9,CustomWeightsIndex,0))</f>
        <v>0</v>
      </c>
      <c r="R9" s="48">
        <f>INDEX(CustomWeightsIntercept,MATCH($H3&amp;":"&amp;$D9,CustomWeightsIndex,0))</f>
        <v>0</v>
      </c>
      <c r="S9" s="48">
        <f>P9*N9+Q9*O9+R9</f>
        <v>0</v>
      </c>
      <c r="T9" s="48">
        <f>INDEX(CoefficientsGPA,MATCH($H3&amp;":"&amp;$K9,CoefficientsIndex,0))</f>
        <v>0</v>
      </c>
      <c r="U9" s="48">
        <f>INDEX(CoefficientsACT,MATCH($H3&amp;":"&amp;$K9,CoefficientsIndex,0))</f>
        <v>0</v>
      </c>
      <c r="V9" s="48">
        <f>INDEX(CoefficientsIntercept,MATCH($H3&amp;":"&amp;$K9,CoefficientsIndex,0))</f>
        <v>0</v>
      </c>
      <c r="W9" s="48">
        <f>T9*N9+(O9-M9)*U9+V9</f>
        <v>0</v>
      </c>
      <c r="X9" s="48">
        <f>IF(ISNUMBER(S9),S9,W9)</f>
        <v>0</v>
      </c>
      <c r="Y9" s="48">
        <f>IF(ISNUMBER(X9),IF(AND(T9=1,U9=1,V9=1),100,100*EXP(X9)/(1+EXP(X9))),"N/A")</f>
        <v>0</v>
      </c>
      <c r="Z9" s="48">
        <f>IF(ISNUMBER(Y9),IF(Y9&gt;=99,SureThingLabel,IF(Y9&gt;=95,SecureLabel,IF(Y9&gt;=80,SafetyLabel,IF(Y9&gt;=50,MatchLabel,IF(Y9&gt;=20,ReachLabel,IF(Y9&gt;=10,LongshotLabel,HailMaryLabel)))))),"Other")</f>
        <v>0</v>
      </c>
      <c r="AA9" s="48">
        <f>IF($F9&gt;=J$3,1,0)</f>
        <v>0</v>
      </c>
      <c r="AB9" s="48">
        <f>IF($F9&gt;=J$2,1,0)</f>
        <v>0</v>
      </c>
      <c r="AC9" s="48">
        <f>IF(ISNUMBER(Y9),1-Y9/100,1)</f>
        <v>0</v>
      </c>
      <c r="AD9" s="49">
        <f>IF(AA9=1,AC9,1)</f>
        <v>0</v>
      </c>
      <c r="AE9" s="49">
        <f>IF(AB9=1,AC9,1)</f>
        <v>0</v>
      </c>
      <c r="AF9" s="49">
        <f>IF(L9=1,AD9,1)</f>
        <v>0</v>
      </c>
      <c r="AG9" s="49">
        <f>IF(L9=1,AE9,1)</f>
        <v>0</v>
      </c>
    </row>
    <row r="10" spans="1:33" outlineLevel="2">
      <c r="A10" s="69">
        <f>A9</f>
        <v>0</v>
      </c>
      <c r="B10" s="69">
        <f>B9</f>
        <v>0</v>
      </c>
      <c r="D10" s="18">
        <f>INDEX(ExtraCollegeNCES,MATCH(E10,ExtraCollegeChoice,0))</f>
        <v>0</v>
      </c>
      <c r="E10" s="78"/>
      <c r="F10" s="11">
        <f>IF(ISERROR(D10),"",INDEX(IF(OR(H3="H",H3="B"),AllCollegeAAHGR,AllCollegeGR),MATCH(D10,AllCollegeNCES,0)))</f>
        <v>0</v>
      </c>
      <c r="G10" s="11">
        <f>IF(ISERROR(D10),"",IF(ISNUMBER(Y10),Y10/100,"N/A"))</f>
        <v>0</v>
      </c>
      <c r="H10" s="11">
        <f>IF(ISERROR(D10),"",Z10)</f>
        <v>0</v>
      </c>
      <c r="I10" s="11">
        <f>IF(ISERROR(D10),"","N/A")</f>
        <v>0</v>
      </c>
      <c r="J10" s="11">
        <f>IF(ISERROR(D10),"",INDEX(AllCollegeMoneyCode,MATCH(D10,AllCollegeNCES,0)))</f>
        <v>0</v>
      </c>
      <c r="K10" s="48">
        <f>INDEX(AllCollegeBarrons,MATCH(D10,AllCollegeNCES,0))</f>
        <v>0</v>
      </c>
      <c r="L10" s="48">
        <f>IF(ISERROR(D10),"",INDEX(AllCollegeMoney,MATCH(D10,AllCollegeNCES,0)))</f>
        <v>0</v>
      </c>
      <c r="M10" s="48">
        <f>INDEX(AllCollegeACT25,MATCH(D10,AllCollegeNCES,0))</f>
        <v>0</v>
      </c>
      <c r="N10" s="48">
        <f>G3</f>
        <v>0</v>
      </c>
      <c r="O10" s="48">
        <f>F4</f>
        <v>0</v>
      </c>
      <c r="P10" s="48">
        <f>INDEX(CustomWeightsGPA,MATCH($H3&amp;":"&amp;$D10,CustomWeightsIndex,0))</f>
        <v>0</v>
      </c>
      <c r="Q10" s="48">
        <f>INDEX(CustomWeightsACT,MATCH($H3&amp;":"&amp;$D10,CustomWeightsIndex,0))</f>
        <v>0</v>
      </c>
      <c r="R10" s="48">
        <f>INDEX(CustomWeightsIntercept,MATCH($H3&amp;":"&amp;$D10,CustomWeightsIndex,0))</f>
        <v>0</v>
      </c>
      <c r="S10" s="48">
        <f>P10*N10+Q10*O10+R10</f>
        <v>0</v>
      </c>
      <c r="T10" s="48">
        <f>INDEX(CoefficientsGPA,MATCH($H3&amp;":"&amp;$K10,CoefficientsIndex,0))</f>
        <v>0</v>
      </c>
      <c r="U10" s="48">
        <f>INDEX(CoefficientsACT,MATCH($H3&amp;":"&amp;$K10,CoefficientsIndex,0))</f>
        <v>0</v>
      </c>
      <c r="V10" s="48">
        <f>INDEX(CoefficientsIntercept,MATCH($H3&amp;":"&amp;$K10,CoefficientsIndex,0))</f>
        <v>0</v>
      </c>
      <c r="W10" s="48">
        <f>T10*N10+(O10-M10)*U10+V10</f>
        <v>0</v>
      </c>
      <c r="X10" s="48">
        <f>IF(ISNUMBER(S10),S10,W10)</f>
        <v>0</v>
      </c>
      <c r="Y10" s="48">
        <f>IF(ISNUMBER(X10),IF(AND(T10=1,U10=1,V10=1),100,100*EXP(X10)/(1+EXP(X10))),"N/A")</f>
        <v>0</v>
      </c>
      <c r="Z10" s="48">
        <f>IF(ISNUMBER(Y10),IF(Y10&gt;=99,SureThingLabel,IF(Y10&gt;=95,SecureLabel,IF(Y10&gt;=80,SafetyLabel,IF(Y10&gt;=50,MatchLabel,IF(Y10&gt;=20,ReachLabel,IF(Y10&gt;=10,LongshotLabel,HailMaryLabel)))))),"Other")</f>
        <v>0</v>
      </c>
      <c r="AA10" s="48">
        <f>IF($F10&gt;=J$3,1,0)</f>
        <v>0</v>
      </c>
      <c r="AB10" s="48">
        <f>IF($F10&gt;=J$2,1,0)</f>
        <v>0</v>
      </c>
      <c r="AC10" s="48">
        <f>IF(ISNUMBER(Y10),1-Y10/100,1)</f>
        <v>0</v>
      </c>
      <c r="AD10" s="49">
        <f>IF(AA10=1,AC10,1)</f>
        <v>0</v>
      </c>
      <c r="AE10" s="49">
        <f>IF(AB10=1,AC10,1)</f>
        <v>0</v>
      </c>
      <c r="AF10" s="49">
        <f>IF(L10=1,AD10,1)</f>
        <v>0</v>
      </c>
      <c r="AG10" s="49">
        <f>IF(L10=1,AE10,1)</f>
        <v>0</v>
      </c>
    </row>
    <row r="11" spans="1:33" outlineLevel="2">
      <c r="A11" s="69">
        <f>A10</f>
        <v>0</v>
      </c>
      <c r="B11" s="69">
        <f>B10</f>
        <v>0</v>
      </c>
      <c r="D11" s="18">
        <f>INDEX(ExtraCollegeNCES,MATCH(E11,ExtraCollegeChoice,0))</f>
        <v>0</v>
      </c>
      <c r="E11" s="78"/>
      <c r="F11" s="11">
        <f>IF(ISERROR(D11),"",INDEX(IF(OR(H3="H",H3="B"),AllCollegeAAHGR,AllCollegeGR),MATCH(D11,AllCollegeNCES,0)))</f>
        <v>0</v>
      </c>
      <c r="G11" s="11">
        <f>IF(ISERROR(D11),"",IF(ISNUMBER(Y11),Y11/100,"N/A"))</f>
        <v>0</v>
      </c>
      <c r="H11" s="11">
        <f>IF(ISERROR(D11),"",Z11)</f>
        <v>0</v>
      </c>
      <c r="I11" s="11">
        <f>IF(ISERROR(D11),"","N/A")</f>
        <v>0</v>
      </c>
      <c r="J11" s="11">
        <f>IF(ISERROR(D11),"",INDEX(AllCollegeMoneyCode,MATCH(D11,AllCollegeNCES,0)))</f>
        <v>0</v>
      </c>
      <c r="K11" s="48">
        <f>INDEX(AllCollegeBarrons,MATCH(D11,AllCollegeNCES,0))</f>
        <v>0</v>
      </c>
      <c r="L11" s="48">
        <f>IF(ISERROR(D11),"",INDEX(AllCollegeMoney,MATCH(D11,AllCollegeNCES,0)))</f>
        <v>0</v>
      </c>
      <c r="M11" s="48">
        <f>INDEX(AllCollegeACT25,MATCH(D11,AllCollegeNCES,0))</f>
        <v>0</v>
      </c>
      <c r="N11" s="48">
        <f>G3</f>
        <v>0</v>
      </c>
      <c r="O11" s="48">
        <f>F4</f>
        <v>0</v>
      </c>
      <c r="P11" s="48">
        <f>INDEX(CustomWeightsGPA,MATCH($H3&amp;":"&amp;$D11,CustomWeightsIndex,0))</f>
        <v>0</v>
      </c>
      <c r="Q11" s="48">
        <f>INDEX(CustomWeightsACT,MATCH($H3&amp;":"&amp;$D11,CustomWeightsIndex,0))</f>
        <v>0</v>
      </c>
      <c r="R11" s="48">
        <f>INDEX(CustomWeightsIntercept,MATCH($H3&amp;":"&amp;$D11,CustomWeightsIndex,0))</f>
        <v>0</v>
      </c>
      <c r="S11" s="48">
        <f>P11*N11+Q11*O11+R11</f>
        <v>0</v>
      </c>
      <c r="T11" s="48">
        <f>INDEX(CoefficientsGPA,MATCH($H3&amp;":"&amp;$K11,CoefficientsIndex,0))</f>
        <v>0</v>
      </c>
      <c r="U11" s="48">
        <f>INDEX(CoefficientsACT,MATCH($H3&amp;":"&amp;$K11,CoefficientsIndex,0))</f>
        <v>0</v>
      </c>
      <c r="V11" s="48">
        <f>INDEX(CoefficientsIntercept,MATCH($H3&amp;":"&amp;$K11,CoefficientsIndex,0))</f>
        <v>0</v>
      </c>
      <c r="W11" s="48">
        <f>T11*N11+(O11-M11)*U11+V11</f>
        <v>0</v>
      </c>
      <c r="X11" s="48">
        <f>IF(ISNUMBER(S11),S11,W11)</f>
        <v>0</v>
      </c>
      <c r="Y11" s="48">
        <f>IF(ISNUMBER(X11),IF(AND(T11=1,U11=1,V11=1),100,100*EXP(X11)/(1+EXP(X11))),"N/A")</f>
        <v>0</v>
      </c>
      <c r="Z11" s="48">
        <f>IF(ISNUMBER(Y11),IF(Y11&gt;=99,SureThingLabel,IF(Y11&gt;=95,SecureLabel,IF(Y11&gt;=80,SafetyLabel,IF(Y11&gt;=50,MatchLabel,IF(Y11&gt;=20,ReachLabel,IF(Y11&gt;=10,LongshotLabel,HailMaryLabel)))))),"Other")</f>
        <v>0</v>
      </c>
      <c r="AA11" s="48">
        <f>IF($F11&gt;=J$3,1,0)</f>
        <v>0</v>
      </c>
      <c r="AB11" s="48">
        <f>IF($F11&gt;=J$2,1,0)</f>
        <v>0</v>
      </c>
      <c r="AC11" s="48">
        <f>IF(ISNUMBER(Y11),1-Y11/100,1)</f>
        <v>0</v>
      </c>
      <c r="AD11" s="49">
        <f>IF(AA11=1,AC11,1)</f>
        <v>0</v>
      </c>
      <c r="AE11" s="49">
        <f>IF(AB11=1,AC11,1)</f>
        <v>0</v>
      </c>
      <c r="AF11" s="49">
        <f>IF(L11=1,AD11,1)</f>
        <v>0</v>
      </c>
      <c r="AG11" s="49">
        <f>IF(L11=1,AE11,1)</f>
        <v>0</v>
      </c>
    </row>
    <row r="12" spans="1:33" ht="30.0" customHeight="1">
      <c r="E12" s="72" t="s">
        <v>370</v>
      </c>
      <c r="F12" s="79">
        <f>IF(OR(H3="H",H3="B"),"6 yr AA/H Grad Rate","6 yr (all) Grad Rate")</f>
        <v>0</v>
      </c>
      <c r="G12" s="73" t="s">
        <v>344</v>
      </c>
      <c r="H12" s="80" t="s">
        <v>345</v>
      </c>
      <c r="I12" s="79" t="s">
        <v>346</v>
      </c>
      <c r="J12" s="73" t="s">
        <v>347</v>
      </c>
      <c r="AD12" s="49">
        <v>1</v>
      </c>
      <c r="AE12" s="49">
        <v>1</v>
      </c>
      <c r="AF12" s="49">
        <v>1</v>
      </c>
      <c r="AG12" s="49">
        <v>1</v>
      </c>
    </row>
    <row r="13" spans="1:33">
      <c r="A13" s="69">
        <f>A11</f>
        <v>0</v>
      </c>
      <c r="B13" s="69">
        <f>B11</f>
        <v>0</v>
      </c>
      <c r="C13" s="18">
        <f>ROW()-1</f>
        <v>0</v>
      </c>
      <c r="D13" s="18">
        <f>IF((ROW()-C13)&lt;=D4,D5+(ROW()-C13-1),"")</f>
        <v>0</v>
      </c>
      <c r="E13">
        <f>IF(ISNUMBER(D13),INDEX(CollegeNames,D13),"")</f>
        <v>0</v>
      </c>
      <c r="F13" s="11">
        <f>IF(ISNUMBER(D13),INDEX(IF(OR(H3="H",H3="B"),GradRates,AllGradRates),D13),"")</f>
        <v>0</v>
      </c>
      <c r="G13" s="11">
        <f>IF(ISNUMBER(D13),IF(ISNUMBER(INDEX(Odds,D13)),INDEX(Odds,D13)/100,"N/A"),"")</f>
        <v>0</v>
      </c>
      <c r="H13" s="11">
        <f>IF(ISNUMBER(D13),INDEX(Classes,D13),"")</f>
        <v>0</v>
      </c>
      <c r="I13" s="11">
        <f>IF(ISNUMBER(D13),INDEX(Results,D13),"")</f>
        <v>0</v>
      </c>
      <c r="J13" s="11">
        <f>IFERROR(IF(ISNUMBER(D13),INDEX(AllCollegeMoneyCode,MATCH(INDEX(NCESids,D13),AllCollegeNCES,0)),""),"N/A")</f>
        <v>0</v>
      </c>
      <c r="AD13" s="49">
        <f>IF(ISNUMBER(D13),INDEX(MGRMult,D13),1)</f>
        <v>0</v>
      </c>
      <c r="AE13" s="49">
        <f>IF(ISNUMBER(D13),INDEX(RGRMult,D13),1)</f>
        <v>0</v>
      </c>
      <c r="AF13" s="49">
        <f>IF(ISNUMBER(D13),INDEX(MGRMoneyMult,D13),1)</f>
        <v>0</v>
      </c>
      <c r="AG13" s="49">
        <f>IF(ISNUMBER(D13),INDEX(RGRMoneyMult,D13),1)</f>
        <v>0</v>
      </c>
    </row>
    <row r="14" spans="1:33">
      <c r="A14" s="69">
        <f>A13</f>
        <v>0</v>
      </c>
      <c r="B14" s="69">
        <f>B13</f>
        <v>0</v>
      </c>
      <c r="C14" s="18">
        <f>C13</f>
        <v>0</v>
      </c>
      <c r="D14" s="18">
        <f>IF((ROW()-C14)&lt;=D4,D5+(ROW()-C14-1),"")</f>
        <v>0</v>
      </c>
      <c r="E14">
        <f>IF(ISNUMBER(D14),INDEX(CollegeNames,D14),"")</f>
        <v>0</v>
      </c>
      <c r="F14" s="11">
        <f>IF(ISNUMBER(D14),INDEX(IF(OR(H3="H",H3="B"),GradRates,AllGradRates),D14),"")</f>
        <v>0</v>
      </c>
      <c r="G14" s="11">
        <f>IF(ISNUMBER(D14),IF(ISNUMBER(INDEX(Odds,D14)),INDEX(Odds,D14)/100,"N/A"),"")</f>
        <v>0</v>
      </c>
      <c r="H14" s="11">
        <f>IF(ISNUMBER(D14),INDEX(Classes,D14),"")</f>
        <v>0</v>
      </c>
      <c r="I14" s="11">
        <f>IF(ISNUMBER(D14),INDEX(Results,D14),"")</f>
        <v>0</v>
      </c>
      <c r="J14" s="11">
        <f>IFERROR(IF(ISNUMBER(D14),INDEX(AllCollegeMoneyCode,MATCH(INDEX(NCESids,D14),AllCollegeNCES,0)),""),"N/A")</f>
        <v>0</v>
      </c>
      <c r="AD14" s="49">
        <f>IF(ISNUMBER(D14),INDEX(MGRMult,D14),1)</f>
        <v>0</v>
      </c>
      <c r="AE14" s="49">
        <f>IF(ISNUMBER(D14),INDEX(RGRMult,D14),1)</f>
        <v>0</v>
      </c>
      <c r="AF14" s="49">
        <f>IF(ISNUMBER(D14),INDEX(MGRMoneyMult,D14),1)</f>
        <v>0</v>
      </c>
      <c r="AG14" s="49">
        <f>IF(ISNUMBER(D14),INDEX(RGRMoneyMult,D14),1)</f>
        <v>0</v>
      </c>
    </row>
    <row r="15" spans="1:33">
      <c r="A15" s="69">
        <f>A14</f>
        <v>0</v>
      </c>
      <c r="B15" s="69">
        <f>B14</f>
        <v>0</v>
      </c>
      <c r="C15" s="18">
        <f>C14</f>
        <v>0</v>
      </c>
      <c r="D15" s="18">
        <f>IF((ROW()-C15)&lt;=D4,D5+(ROW()-C15-1),"")</f>
        <v>0</v>
      </c>
      <c r="E15">
        <f>IF(ISNUMBER(D15),INDEX(CollegeNames,D15),"")</f>
        <v>0</v>
      </c>
      <c r="F15" s="11">
        <f>IF(ISNUMBER(D15),INDEX(IF(OR(H3="H",H3="B"),GradRates,AllGradRates),D15),"")</f>
        <v>0</v>
      </c>
      <c r="G15" s="11">
        <f>IF(ISNUMBER(D15),IF(ISNUMBER(INDEX(Odds,D15)),INDEX(Odds,D15)/100,"N/A"),"")</f>
        <v>0</v>
      </c>
      <c r="H15" s="11">
        <f>IF(ISNUMBER(D15),INDEX(Classes,D15),"")</f>
        <v>0</v>
      </c>
      <c r="I15" s="11">
        <f>IF(ISNUMBER(D15),INDEX(Results,D15),"")</f>
        <v>0</v>
      </c>
      <c r="J15" s="11">
        <f>IFERROR(IF(ISNUMBER(D15),INDEX(AllCollegeMoneyCode,MATCH(INDEX(NCESids,D15),AllCollegeNCES,0)),""),"N/A")</f>
        <v>0</v>
      </c>
      <c r="AD15" s="49">
        <f>IF(ISNUMBER(D15),INDEX(MGRMult,D15),1)</f>
        <v>0</v>
      </c>
      <c r="AE15" s="49">
        <f>IF(ISNUMBER(D15),INDEX(RGRMult,D15),1)</f>
        <v>0</v>
      </c>
      <c r="AF15" s="49">
        <f>IF(ISNUMBER(D15),INDEX(MGRMoneyMult,D15),1)</f>
        <v>0</v>
      </c>
      <c r="AG15" s="49">
        <f>IF(ISNUMBER(D15),INDEX(RGRMoneyMult,D15),1)</f>
        <v>0</v>
      </c>
    </row>
    <row r="16" spans="1:33">
      <c r="A16" s="69">
        <f>A15</f>
        <v>0</v>
      </c>
      <c r="B16" s="69">
        <f>B15</f>
        <v>0</v>
      </c>
      <c r="C16" s="18">
        <f>C15</f>
        <v>0</v>
      </c>
      <c r="D16" s="18">
        <f>IF((ROW()-C16)&lt;=D4,D5+(ROW()-C16-1),"")</f>
        <v>0</v>
      </c>
      <c r="E16">
        <f>IF(ISNUMBER(D16),INDEX(CollegeNames,D16),"")</f>
        <v>0</v>
      </c>
      <c r="F16" s="11">
        <f>IF(ISNUMBER(D16),INDEX(IF(OR(H3="H",H3="B"),GradRates,AllGradRates),D16),"")</f>
        <v>0</v>
      </c>
      <c r="G16" s="11">
        <f>IF(ISNUMBER(D16),IF(ISNUMBER(INDEX(Odds,D16)),INDEX(Odds,D16)/100,"N/A"),"")</f>
        <v>0</v>
      </c>
      <c r="H16" s="11">
        <f>IF(ISNUMBER(D16),INDEX(Classes,D16),"")</f>
        <v>0</v>
      </c>
      <c r="I16" s="11">
        <f>IF(ISNUMBER(D16),INDEX(Results,D16),"")</f>
        <v>0</v>
      </c>
      <c r="J16" s="11">
        <f>IFERROR(IF(ISNUMBER(D16),INDEX(AllCollegeMoneyCode,MATCH(INDEX(NCESids,D16),AllCollegeNCES,0)),""),"N/A")</f>
        <v>0</v>
      </c>
      <c r="AD16" s="49">
        <f>IF(ISNUMBER(D16),INDEX(MGRMult,D16),1)</f>
        <v>0</v>
      </c>
      <c r="AE16" s="49">
        <f>IF(ISNUMBER(D16),INDEX(RGRMult,D16),1)</f>
        <v>0</v>
      </c>
      <c r="AF16" s="49">
        <f>IF(ISNUMBER(D16),INDEX(MGRMoneyMult,D16),1)</f>
        <v>0</v>
      </c>
      <c r="AG16" s="49">
        <f>IF(ISNUMBER(D16),INDEX(RGRMoneyMult,D16),1)</f>
        <v>0</v>
      </c>
    </row>
    <row r="17" spans="1:33">
      <c r="A17" s="69">
        <f>A16</f>
        <v>0</v>
      </c>
      <c r="B17" s="69">
        <f>B16</f>
        <v>0</v>
      </c>
      <c r="C17" s="18">
        <f>C16</f>
        <v>0</v>
      </c>
      <c r="D17" s="18">
        <f>IF((ROW()-C17)&lt;=D4,D5+(ROW()-C17-1),"")</f>
        <v>0</v>
      </c>
      <c r="E17">
        <f>IF(ISNUMBER(D17),INDEX(CollegeNames,D17),"")</f>
        <v>0</v>
      </c>
      <c r="F17" s="11">
        <f>IF(ISNUMBER(D17),INDEX(IF(OR(H3="H",H3="B"),GradRates,AllGradRates),D17),"")</f>
        <v>0</v>
      </c>
      <c r="G17" s="11">
        <f>IF(ISNUMBER(D17),IF(ISNUMBER(INDEX(Odds,D17)),INDEX(Odds,D17)/100,"N/A"),"")</f>
        <v>0</v>
      </c>
      <c r="H17" s="11">
        <f>IF(ISNUMBER(D17),INDEX(Classes,D17),"")</f>
        <v>0</v>
      </c>
      <c r="I17" s="11">
        <f>IF(ISNUMBER(D17),INDEX(Results,D17),"")</f>
        <v>0</v>
      </c>
      <c r="J17" s="11">
        <f>IFERROR(IF(ISNUMBER(D17),INDEX(AllCollegeMoneyCode,MATCH(INDEX(NCESids,D17),AllCollegeNCES,0)),""),"N/A")</f>
        <v>0</v>
      </c>
      <c r="AD17" s="49">
        <f>IF(ISNUMBER(D17),INDEX(MGRMult,D17),1)</f>
        <v>0</v>
      </c>
      <c r="AE17" s="49">
        <f>IF(ISNUMBER(D17),INDEX(RGRMult,D17),1)</f>
        <v>0</v>
      </c>
      <c r="AF17" s="49">
        <f>IF(ISNUMBER(D17),INDEX(MGRMoneyMult,D17),1)</f>
        <v>0</v>
      </c>
      <c r="AG17" s="49">
        <f>IF(ISNUMBER(D17),INDEX(RGRMoneyMult,D17),1)</f>
        <v>0</v>
      </c>
    </row>
    <row r="18" spans="1:33">
      <c r="A18" s="69">
        <f>A17</f>
        <v>0</v>
      </c>
      <c r="B18" s="69">
        <f>B17</f>
        <v>0</v>
      </c>
      <c r="C18" s="18">
        <f>C17</f>
        <v>0</v>
      </c>
      <c r="D18" s="18">
        <f>IF((ROW()-C18)&lt;=D4,D5+(ROW()-C18-1),"")</f>
        <v>0</v>
      </c>
      <c r="E18">
        <f>IF(ISNUMBER(D18),INDEX(CollegeNames,D18),"")</f>
        <v>0</v>
      </c>
      <c r="F18" s="11">
        <f>IF(ISNUMBER(D18),INDEX(IF(OR(H3="H",H3="B"),GradRates,AllGradRates),D18),"")</f>
        <v>0</v>
      </c>
      <c r="G18" s="11">
        <f>IF(ISNUMBER(D18),IF(ISNUMBER(INDEX(Odds,D18)),INDEX(Odds,D18)/100,"N/A"),"")</f>
        <v>0</v>
      </c>
      <c r="H18" s="11">
        <f>IF(ISNUMBER(D18),INDEX(Classes,D18),"")</f>
        <v>0</v>
      </c>
      <c r="I18" s="11">
        <f>IF(ISNUMBER(D18),INDEX(Results,D18),"")</f>
        <v>0</v>
      </c>
      <c r="J18" s="11">
        <f>IFERROR(IF(ISNUMBER(D18),INDEX(AllCollegeMoneyCode,MATCH(INDEX(NCESids,D18),AllCollegeNCES,0)),""),"N/A")</f>
        <v>0</v>
      </c>
      <c r="AD18" s="49">
        <f>IF(ISNUMBER(D18),INDEX(MGRMult,D18),1)</f>
        <v>0</v>
      </c>
      <c r="AE18" s="49">
        <f>IF(ISNUMBER(D18),INDEX(RGRMult,D18),1)</f>
        <v>0</v>
      </c>
      <c r="AF18" s="49">
        <f>IF(ISNUMBER(D18),INDEX(MGRMoneyMult,D18),1)</f>
        <v>0</v>
      </c>
      <c r="AG18" s="49">
        <f>IF(ISNUMBER(D18),INDEX(RGRMoneyMult,D18),1)</f>
        <v>0</v>
      </c>
    </row>
    <row r="19" spans="1:33">
      <c r="A19" s="69">
        <f>A18</f>
        <v>0</v>
      </c>
      <c r="B19" s="69">
        <f>B18</f>
        <v>0</v>
      </c>
      <c r="C19" s="18">
        <f>C18</f>
        <v>0</v>
      </c>
      <c r="D19" s="18">
        <f>IF((ROW()-C19)&lt;=D4,D5+(ROW()-C19-1),"")</f>
        <v>0</v>
      </c>
      <c r="E19">
        <f>IF(ISNUMBER(D19),INDEX(CollegeNames,D19),"")</f>
        <v>0</v>
      </c>
      <c r="F19" s="11">
        <f>IF(ISNUMBER(D19),INDEX(IF(OR(H3="H",H3="B"),GradRates,AllGradRates),D19),"")</f>
        <v>0</v>
      </c>
      <c r="G19" s="11">
        <f>IF(ISNUMBER(D19),IF(ISNUMBER(INDEX(Odds,D19)),INDEX(Odds,D19)/100,"N/A"),"")</f>
        <v>0</v>
      </c>
      <c r="H19" s="11">
        <f>IF(ISNUMBER(D19),INDEX(Classes,D19),"")</f>
        <v>0</v>
      </c>
      <c r="I19" s="11">
        <f>IF(ISNUMBER(D19),INDEX(Results,D19),"")</f>
        <v>0</v>
      </c>
      <c r="J19" s="11">
        <f>IFERROR(IF(ISNUMBER(D19),INDEX(AllCollegeMoneyCode,MATCH(INDEX(NCESids,D19),AllCollegeNCES,0)),""),"N/A")</f>
        <v>0</v>
      </c>
      <c r="AD19" s="49">
        <f>IF(ISNUMBER(D19),INDEX(MGRMult,D19),1)</f>
        <v>0</v>
      </c>
      <c r="AE19" s="49">
        <f>IF(ISNUMBER(D19),INDEX(RGRMult,D19),1)</f>
        <v>0</v>
      </c>
      <c r="AF19" s="49">
        <f>IF(ISNUMBER(D19),INDEX(MGRMoneyMult,D19),1)</f>
        <v>0</v>
      </c>
      <c r="AG19" s="49">
        <f>IF(ISNUMBER(D19),INDEX(RGRMoneyMult,D19),1)</f>
        <v>0</v>
      </c>
    </row>
    <row r="20" spans="1:33">
      <c r="A20" s="69">
        <f>A19</f>
        <v>0</v>
      </c>
      <c r="B20" s="69">
        <f>B19</f>
        <v>0</v>
      </c>
      <c r="C20" s="18">
        <f>C19</f>
        <v>0</v>
      </c>
      <c r="D20" s="18">
        <f>IF((ROW()-C20)&lt;=D4,D5+(ROW()-C20-1),"")</f>
        <v>0</v>
      </c>
      <c r="E20">
        <f>IF(ISNUMBER(D20),INDEX(CollegeNames,D20),"")</f>
        <v>0</v>
      </c>
      <c r="F20" s="11">
        <f>IF(ISNUMBER(D20),INDEX(IF(OR(H3="H",H3="B"),GradRates,AllGradRates),D20),"")</f>
        <v>0</v>
      </c>
      <c r="G20" s="11">
        <f>IF(ISNUMBER(D20),IF(ISNUMBER(INDEX(Odds,D20)),INDEX(Odds,D20)/100,"N/A"),"")</f>
        <v>0</v>
      </c>
      <c r="H20" s="11">
        <f>IF(ISNUMBER(D20),INDEX(Classes,D20),"")</f>
        <v>0</v>
      </c>
      <c r="I20" s="11">
        <f>IF(ISNUMBER(D20),INDEX(Results,D20),"")</f>
        <v>0</v>
      </c>
      <c r="J20" s="11">
        <f>IFERROR(IF(ISNUMBER(D20),INDEX(AllCollegeMoneyCode,MATCH(INDEX(NCESids,D20),AllCollegeNCES,0)),""),"N/A")</f>
        <v>0</v>
      </c>
      <c r="AD20" s="49">
        <f>IF(ISNUMBER(D20),INDEX(MGRMult,D20),1)</f>
        <v>0</v>
      </c>
      <c r="AE20" s="49">
        <f>IF(ISNUMBER(D20),INDEX(RGRMult,D20),1)</f>
        <v>0</v>
      </c>
      <c r="AF20" s="49">
        <f>IF(ISNUMBER(D20),INDEX(MGRMoneyMult,D20),1)</f>
        <v>0</v>
      </c>
      <c r="AG20" s="49">
        <f>IF(ISNUMBER(D20),INDEX(RGRMoneyMult,D20),1)</f>
        <v>0</v>
      </c>
    </row>
    <row r="21" spans="1:33">
      <c r="A21" s="69">
        <f>A20</f>
        <v>0</v>
      </c>
      <c r="B21" s="69">
        <f>B20</f>
        <v>0</v>
      </c>
      <c r="C21" s="18">
        <f>C20</f>
        <v>0</v>
      </c>
      <c r="D21" s="18">
        <f>IF((ROW()-C21)&lt;=D4,D5+(ROW()-C21-1),"")</f>
        <v>0</v>
      </c>
      <c r="E21">
        <f>IF(ISNUMBER(D21),INDEX(CollegeNames,D21),"")</f>
        <v>0</v>
      </c>
      <c r="F21" s="11">
        <f>IF(ISNUMBER(D21),INDEX(IF(OR(H3="H",H3="B"),GradRates,AllGradRates),D21),"")</f>
        <v>0</v>
      </c>
      <c r="G21" s="11">
        <f>IF(ISNUMBER(D21),IF(ISNUMBER(INDEX(Odds,D21)),INDEX(Odds,D21)/100,"N/A"),"")</f>
        <v>0</v>
      </c>
      <c r="H21" s="11">
        <f>IF(ISNUMBER(D21),INDEX(Classes,D21),"")</f>
        <v>0</v>
      </c>
      <c r="I21" s="11">
        <f>IF(ISNUMBER(D21),INDEX(Results,D21),"")</f>
        <v>0</v>
      </c>
      <c r="J21" s="11">
        <f>IFERROR(IF(ISNUMBER(D21),INDEX(AllCollegeMoneyCode,MATCH(INDEX(NCESids,D21),AllCollegeNCES,0)),""),"N/A")</f>
        <v>0</v>
      </c>
      <c r="AD21" s="49">
        <f>IF(ISNUMBER(D21),INDEX(MGRMult,D21),1)</f>
        <v>0</v>
      </c>
      <c r="AE21" s="49">
        <f>IF(ISNUMBER(D21),INDEX(RGRMult,D21),1)</f>
        <v>0</v>
      </c>
      <c r="AF21" s="49">
        <f>IF(ISNUMBER(D21),INDEX(MGRMoneyMult,D21),1)</f>
        <v>0</v>
      </c>
      <c r="AG21" s="49">
        <f>IF(ISNUMBER(D21),INDEX(RGRMoneyMult,D21),1)</f>
        <v>0</v>
      </c>
    </row>
    <row r="22" spans="1:33">
      <c r="A22" s="69">
        <f>A21</f>
        <v>0</v>
      </c>
      <c r="B22" s="69">
        <f>B21</f>
        <v>0</v>
      </c>
      <c r="C22" s="18">
        <f>C21</f>
        <v>0</v>
      </c>
      <c r="D22" s="18">
        <f>IF((ROW()-C22)&lt;=D4,D5+(ROW()-C22-1),"")</f>
        <v>0</v>
      </c>
      <c r="E22">
        <f>IF(ISNUMBER(D22),INDEX(CollegeNames,D22),"")</f>
        <v>0</v>
      </c>
      <c r="F22" s="11">
        <f>IF(ISNUMBER(D22),INDEX(IF(OR(H3="H",H3="B"),GradRates,AllGradRates),D22),"")</f>
        <v>0</v>
      </c>
      <c r="G22" s="11">
        <f>IF(ISNUMBER(D22),IF(ISNUMBER(INDEX(Odds,D22)),INDEX(Odds,D22)/100,"N/A"),"")</f>
        <v>0</v>
      </c>
      <c r="H22" s="11">
        <f>IF(ISNUMBER(D22),INDEX(Classes,D22),"")</f>
        <v>0</v>
      </c>
      <c r="I22" s="11">
        <f>IF(ISNUMBER(D22),INDEX(Results,D22),"")</f>
        <v>0</v>
      </c>
      <c r="J22" s="11">
        <f>IFERROR(IF(ISNUMBER(D22),INDEX(AllCollegeMoneyCode,MATCH(INDEX(NCESids,D22),AllCollegeNCES,0)),""),"N/A")</f>
        <v>0</v>
      </c>
      <c r="AD22" s="49">
        <f>IF(ISNUMBER(D22),INDEX(MGRMult,D22),1)</f>
        <v>0</v>
      </c>
      <c r="AE22" s="49">
        <f>IF(ISNUMBER(D22),INDEX(RGRMult,D22),1)</f>
        <v>0</v>
      </c>
      <c r="AF22" s="49">
        <f>IF(ISNUMBER(D22),INDEX(MGRMoneyMult,D22),1)</f>
        <v>0</v>
      </c>
      <c r="AG22" s="49">
        <f>IF(ISNUMBER(D22),INDEX(RGRMoneyMult,D22),1)</f>
        <v>0</v>
      </c>
    </row>
    <row r="23" spans="1:33">
      <c r="A23" s="69">
        <f>A22</f>
        <v>0</v>
      </c>
      <c r="B23" s="69">
        <f>B22</f>
        <v>0</v>
      </c>
      <c r="C23" s="18">
        <f>C22</f>
        <v>0</v>
      </c>
      <c r="D23" s="18">
        <f>IF((ROW()-C23)&lt;=D4,D5+(ROW()-C23-1),"")</f>
        <v>0</v>
      </c>
      <c r="E23">
        <f>IF(ISNUMBER(D23),INDEX(CollegeNames,D23),"")</f>
        <v>0</v>
      </c>
      <c r="F23" s="11">
        <f>IF(ISNUMBER(D23),INDEX(IF(OR(H3="H",H3="B"),GradRates,AllGradRates),D23),"")</f>
        <v>0</v>
      </c>
      <c r="G23" s="11">
        <f>IF(ISNUMBER(D23),IF(ISNUMBER(INDEX(Odds,D23)),INDEX(Odds,D23)/100,"N/A"),"")</f>
        <v>0</v>
      </c>
      <c r="H23" s="11">
        <f>IF(ISNUMBER(D23),INDEX(Classes,D23),"")</f>
        <v>0</v>
      </c>
      <c r="I23" s="11">
        <f>IF(ISNUMBER(D23),INDEX(Results,D23),"")</f>
        <v>0</v>
      </c>
      <c r="J23" s="11">
        <f>IFERROR(IF(ISNUMBER(D23),INDEX(AllCollegeMoneyCode,MATCH(INDEX(NCESids,D23),AllCollegeNCES,0)),""),"N/A")</f>
        <v>0</v>
      </c>
      <c r="AD23" s="49">
        <f>IF(ISNUMBER(D23),INDEX(MGRMult,D23),1)</f>
        <v>0</v>
      </c>
      <c r="AE23" s="49">
        <f>IF(ISNUMBER(D23),INDEX(RGRMult,D23),1)</f>
        <v>0</v>
      </c>
      <c r="AF23" s="49">
        <f>IF(ISNUMBER(D23),INDEX(MGRMoneyMult,D23),1)</f>
        <v>0</v>
      </c>
      <c r="AG23" s="49">
        <f>IF(ISNUMBER(D23),INDEX(RGRMoneyMult,D23),1)</f>
        <v>0</v>
      </c>
    </row>
    <row r="24" spans="1:33">
      <c r="A24" s="69">
        <f>A23</f>
        <v>0</v>
      </c>
      <c r="B24" s="69">
        <f>B23</f>
        <v>0</v>
      </c>
      <c r="C24" s="18">
        <f>C23</f>
        <v>0</v>
      </c>
      <c r="D24" s="18">
        <f>IF((ROW()-C24)&lt;=D4,D5+(ROW()-C24-1),"")</f>
        <v>0</v>
      </c>
      <c r="E24">
        <f>IF(ISNUMBER(D24),INDEX(CollegeNames,D24),"")</f>
        <v>0</v>
      </c>
      <c r="F24" s="11">
        <f>IF(ISNUMBER(D24),INDEX(IF(OR(H3="H",H3="B"),GradRates,AllGradRates),D24),"")</f>
        <v>0</v>
      </c>
      <c r="G24" s="11">
        <f>IF(ISNUMBER(D24),IF(ISNUMBER(INDEX(Odds,D24)),INDEX(Odds,D24)/100,"N/A"),"")</f>
        <v>0</v>
      </c>
      <c r="H24" s="11">
        <f>IF(ISNUMBER(D24),INDEX(Classes,D24),"")</f>
        <v>0</v>
      </c>
      <c r="I24" s="11">
        <f>IF(ISNUMBER(D24),INDEX(Results,D24),"")</f>
        <v>0</v>
      </c>
      <c r="J24" s="11">
        <f>IFERROR(IF(ISNUMBER(D24),INDEX(AllCollegeMoneyCode,MATCH(INDEX(NCESids,D24),AllCollegeNCES,0)),""),"N/A")</f>
        <v>0</v>
      </c>
      <c r="AD24" s="49">
        <f>IF(ISNUMBER(D24),INDEX(MGRMult,D24),1)</f>
        <v>0</v>
      </c>
      <c r="AE24" s="49">
        <f>IF(ISNUMBER(D24),INDEX(RGRMult,D24),1)</f>
        <v>0</v>
      </c>
      <c r="AF24" s="49">
        <f>IF(ISNUMBER(D24),INDEX(MGRMoneyMult,D24),1)</f>
        <v>0</v>
      </c>
      <c r="AG24" s="49">
        <f>IF(ISNUMBER(D24),INDEX(RGRMoneyMult,D24),1)</f>
        <v>0</v>
      </c>
    </row>
    <row r="25" spans="1:33">
      <c r="A25" s="69">
        <f>A24</f>
        <v>0</v>
      </c>
      <c r="B25" s="69">
        <f>B24</f>
        <v>0</v>
      </c>
      <c r="C25" s="18">
        <f>C24</f>
        <v>0</v>
      </c>
      <c r="D25" s="18">
        <f>IF((ROW()-C25)&lt;=D4,D5+(ROW()-C25-1),"")</f>
        <v>0</v>
      </c>
      <c r="E25">
        <f>IF(ISNUMBER(D25),INDEX(CollegeNames,D25),"")</f>
        <v>0</v>
      </c>
      <c r="F25" s="11">
        <f>IF(ISNUMBER(D25),INDEX(IF(OR(H3="H",H3="B"),GradRates,AllGradRates),D25),"")</f>
        <v>0</v>
      </c>
      <c r="G25" s="11">
        <f>IF(ISNUMBER(D25),IF(ISNUMBER(INDEX(Odds,D25)),INDEX(Odds,D25)/100,"N/A"),"")</f>
        <v>0</v>
      </c>
      <c r="H25" s="11">
        <f>IF(ISNUMBER(D25),INDEX(Classes,D25),"")</f>
        <v>0</v>
      </c>
      <c r="I25" s="11">
        <f>IF(ISNUMBER(D25),INDEX(Results,D25),"")</f>
        <v>0</v>
      </c>
      <c r="J25" s="11">
        <f>IFERROR(IF(ISNUMBER(D25),INDEX(AllCollegeMoneyCode,MATCH(INDEX(NCESids,D25),AllCollegeNCES,0)),""),"N/A")</f>
        <v>0</v>
      </c>
      <c r="AD25" s="49">
        <f>IF(ISNUMBER(D25),INDEX(MGRMult,D25),1)</f>
        <v>0</v>
      </c>
      <c r="AE25" s="49">
        <f>IF(ISNUMBER(D25),INDEX(RGRMult,D25),1)</f>
        <v>0</v>
      </c>
      <c r="AF25" s="49">
        <f>IF(ISNUMBER(D25),INDEX(MGRMoneyMult,D25),1)</f>
        <v>0</v>
      </c>
      <c r="AG25" s="49">
        <f>IF(ISNUMBER(D25),INDEX(RGRMoneyMult,D25),1)</f>
        <v>0</v>
      </c>
    </row>
    <row r="26" spans="1:33">
      <c r="A26" s="69">
        <f>A25</f>
        <v>0</v>
      </c>
      <c r="B26" s="69">
        <f>B25</f>
        <v>0</v>
      </c>
      <c r="C26" s="18">
        <f>C25</f>
        <v>0</v>
      </c>
      <c r="D26" s="18">
        <f>IF((ROW()-C26)&lt;=D4,D5+(ROW()-C26-1),"")</f>
        <v>0</v>
      </c>
      <c r="E26">
        <f>IF(ISNUMBER(D26),INDEX(CollegeNames,D26),"")</f>
        <v>0</v>
      </c>
      <c r="F26" s="11">
        <f>IF(ISNUMBER(D26),INDEX(IF(OR(H3="H",H3="B"),GradRates,AllGradRates),D26),"")</f>
        <v>0</v>
      </c>
      <c r="G26" s="11">
        <f>IF(ISNUMBER(D26),IF(ISNUMBER(INDEX(Odds,D26)),INDEX(Odds,D26)/100,"N/A"),"")</f>
        <v>0</v>
      </c>
      <c r="H26" s="11">
        <f>IF(ISNUMBER(D26),INDEX(Classes,D26),"")</f>
        <v>0</v>
      </c>
      <c r="I26" s="11">
        <f>IF(ISNUMBER(D26),INDEX(Results,D26),"")</f>
        <v>0</v>
      </c>
      <c r="J26" s="11">
        <f>IFERROR(IF(ISNUMBER(D26),INDEX(AllCollegeMoneyCode,MATCH(INDEX(NCESids,D26),AllCollegeNCES,0)),""),"N/A")</f>
        <v>0</v>
      </c>
      <c r="AD26" s="49">
        <f>IF(ISNUMBER(D26),INDEX(MGRMult,D26),1)</f>
        <v>0</v>
      </c>
      <c r="AE26" s="49">
        <f>IF(ISNUMBER(D26),INDEX(RGRMult,D26),1)</f>
        <v>0</v>
      </c>
      <c r="AF26" s="49">
        <f>IF(ISNUMBER(D26),INDEX(MGRMoneyMult,D26),1)</f>
        <v>0</v>
      </c>
      <c r="AG26" s="49">
        <f>IF(ISNUMBER(D26),INDEX(RGRMoneyMult,D26),1)</f>
        <v>0</v>
      </c>
    </row>
    <row r="27" spans="1:33">
      <c r="A27" s="69">
        <f>A26</f>
        <v>0</v>
      </c>
      <c r="B27" s="69">
        <f>B26</f>
        <v>0</v>
      </c>
      <c r="C27" s="18">
        <f>C26</f>
        <v>0</v>
      </c>
      <c r="D27" s="18">
        <f>IF((ROW()-C27)&lt;=D4,D5+(ROW()-C27-1),"")</f>
        <v>0</v>
      </c>
      <c r="E27">
        <f>IF(ISNUMBER(D27),INDEX(CollegeNames,D27),"")</f>
        <v>0</v>
      </c>
      <c r="F27" s="11">
        <f>IF(ISNUMBER(D27),INDEX(IF(OR(H3="H",H3="B"),GradRates,AllGradRates),D27),"")</f>
        <v>0</v>
      </c>
      <c r="G27" s="11">
        <f>IF(ISNUMBER(D27),IF(ISNUMBER(INDEX(Odds,D27)),INDEX(Odds,D27)/100,"N/A"),"")</f>
        <v>0</v>
      </c>
      <c r="H27" s="11">
        <f>IF(ISNUMBER(D27),INDEX(Classes,D27),"")</f>
        <v>0</v>
      </c>
      <c r="I27" s="11">
        <f>IF(ISNUMBER(D27),INDEX(Results,D27),"")</f>
        <v>0</v>
      </c>
      <c r="J27" s="11">
        <f>IFERROR(IF(ISNUMBER(D27),INDEX(AllCollegeMoneyCode,MATCH(INDEX(NCESids,D27),AllCollegeNCES,0)),""),"N/A")</f>
        <v>0</v>
      </c>
      <c r="AD27" s="49">
        <f>IF(ISNUMBER(D27),INDEX(MGRMult,D27),1)</f>
        <v>0</v>
      </c>
      <c r="AE27" s="49">
        <f>IF(ISNUMBER(D27),INDEX(RGRMult,D27),1)</f>
        <v>0</v>
      </c>
      <c r="AF27" s="49">
        <f>IF(ISNUMBER(D27),INDEX(MGRMoneyMult,D27),1)</f>
        <v>0</v>
      </c>
      <c r="AG27" s="49">
        <f>IF(ISNUMBER(D27),INDEX(RGRMoneyMult,D27),1)</f>
        <v>0</v>
      </c>
    </row>
    <row r="28" spans="1:33">
      <c r="A28" s="69">
        <f>A27</f>
        <v>0</v>
      </c>
      <c r="B28" s="69">
        <f>B27</f>
        <v>0</v>
      </c>
      <c r="C28" s="18">
        <f>C27</f>
        <v>0</v>
      </c>
      <c r="D28" s="18">
        <f>IF((ROW()-C28)&lt;=D4,D5+(ROW()-C28-1),"")</f>
        <v>0</v>
      </c>
      <c r="E28">
        <f>IF(ISNUMBER(D28),INDEX(CollegeNames,D28),"")</f>
        <v>0</v>
      </c>
      <c r="F28" s="11">
        <f>IF(ISNUMBER(D28),INDEX(IF(OR(H3="H",H3="B"),GradRates,AllGradRates),D28),"")</f>
        <v>0</v>
      </c>
      <c r="G28" s="11">
        <f>IF(ISNUMBER(D28),IF(ISNUMBER(INDEX(Odds,D28)),INDEX(Odds,D28)/100,"N/A"),"")</f>
        <v>0</v>
      </c>
      <c r="H28" s="11">
        <f>IF(ISNUMBER(D28),INDEX(Classes,D28),"")</f>
        <v>0</v>
      </c>
      <c r="I28" s="11">
        <f>IF(ISNUMBER(D28),INDEX(Results,D28),"")</f>
        <v>0</v>
      </c>
      <c r="J28" s="11">
        <f>IFERROR(IF(ISNUMBER(D28),INDEX(AllCollegeMoneyCode,MATCH(INDEX(NCESids,D28),AllCollegeNCES,0)),""),"N/A")</f>
        <v>0</v>
      </c>
      <c r="AD28" s="49">
        <f>IF(ISNUMBER(D28),INDEX(MGRMult,D28),1)</f>
        <v>0</v>
      </c>
      <c r="AE28" s="49">
        <f>IF(ISNUMBER(D28),INDEX(RGRMult,D28),1)</f>
        <v>0</v>
      </c>
      <c r="AF28" s="49">
        <f>IF(ISNUMBER(D28),INDEX(MGRMoneyMult,D28),1)</f>
        <v>0</v>
      </c>
      <c r="AG28" s="49">
        <f>IF(ISNUMBER(D28),INDEX(RGRMoneyMult,D28),1)</f>
        <v>0</v>
      </c>
    </row>
    <row r="29" spans="1:33">
      <c r="A29" s="69">
        <f>A28</f>
        <v>0</v>
      </c>
      <c r="B29" s="69">
        <f>B28</f>
        <v>0</v>
      </c>
      <c r="C29" s="18">
        <f>C28</f>
        <v>0</v>
      </c>
      <c r="D29" s="18">
        <f>IF((ROW()-C29)&lt;=D4,D5+(ROW()-C29-1),"")</f>
        <v>0</v>
      </c>
      <c r="E29">
        <f>IF(ISNUMBER(D29),INDEX(CollegeNames,D29),"")</f>
        <v>0</v>
      </c>
      <c r="F29" s="11">
        <f>IF(ISNUMBER(D29),INDEX(IF(OR(H3="H",H3="B"),GradRates,AllGradRates),D29),"")</f>
        <v>0</v>
      </c>
      <c r="G29" s="11">
        <f>IF(ISNUMBER(D29),IF(ISNUMBER(INDEX(Odds,D29)),INDEX(Odds,D29)/100,"N/A"),"")</f>
        <v>0</v>
      </c>
      <c r="H29" s="11">
        <f>IF(ISNUMBER(D29),INDEX(Classes,D29),"")</f>
        <v>0</v>
      </c>
      <c r="I29" s="11">
        <f>IF(ISNUMBER(D29),INDEX(Results,D29),"")</f>
        <v>0</v>
      </c>
      <c r="J29" s="11">
        <f>IFERROR(IF(ISNUMBER(D29),INDEX(AllCollegeMoneyCode,MATCH(INDEX(NCESids,D29),AllCollegeNCES,0)),""),"N/A")</f>
        <v>0</v>
      </c>
      <c r="AD29" s="49">
        <f>IF(ISNUMBER(D29),INDEX(MGRMult,D29),1)</f>
        <v>0</v>
      </c>
      <c r="AE29" s="49">
        <f>IF(ISNUMBER(D29),INDEX(RGRMult,D29),1)</f>
        <v>0</v>
      </c>
      <c r="AF29" s="49">
        <f>IF(ISNUMBER(D29),INDEX(MGRMoneyMult,D29),1)</f>
        <v>0</v>
      </c>
      <c r="AG29" s="49">
        <f>IF(ISNUMBER(D29),INDEX(RGRMoneyMult,D29),1)</f>
        <v>0</v>
      </c>
    </row>
    <row r="30" spans="1:33">
      <c r="A30" s="69">
        <f>A29</f>
        <v>0</v>
      </c>
      <c r="B30" s="69">
        <f>B29</f>
        <v>0</v>
      </c>
      <c r="C30" s="18">
        <f>C29</f>
        <v>0</v>
      </c>
      <c r="D30" s="18">
        <f>IF((ROW()-C30)&lt;=D4,D5+(ROW()-C30-1),"")</f>
        <v>0</v>
      </c>
      <c r="E30">
        <f>IF(ISNUMBER(D30),INDEX(CollegeNames,D30),"")</f>
        <v>0</v>
      </c>
      <c r="F30" s="11">
        <f>IF(ISNUMBER(D30),INDEX(IF(OR(H3="H",H3="B"),GradRates,AllGradRates),D30),"")</f>
        <v>0</v>
      </c>
      <c r="G30" s="11">
        <f>IF(ISNUMBER(D30),IF(ISNUMBER(INDEX(Odds,D30)),INDEX(Odds,D30)/100,"N/A"),"")</f>
        <v>0</v>
      </c>
      <c r="H30" s="11">
        <f>IF(ISNUMBER(D30),INDEX(Classes,D30),"")</f>
        <v>0</v>
      </c>
      <c r="I30" s="11">
        <f>IF(ISNUMBER(D30),INDEX(Results,D30),"")</f>
        <v>0</v>
      </c>
      <c r="J30" s="11">
        <f>IFERROR(IF(ISNUMBER(D30),INDEX(AllCollegeMoneyCode,MATCH(INDEX(NCESids,D30),AllCollegeNCES,0)),""),"N/A")</f>
        <v>0</v>
      </c>
      <c r="AD30" s="49">
        <f>IF(ISNUMBER(D30),INDEX(MGRMult,D30),1)</f>
        <v>0</v>
      </c>
      <c r="AE30" s="49">
        <f>IF(ISNUMBER(D30),INDEX(RGRMult,D30),1)</f>
        <v>0</v>
      </c>
      <c r="AF30" s="49">
        <f>IF(ISNUMBER(D30),INDEX(MGRMoneyMult,D30),1)</f>
        <v>0</v>
      </c>
      <c r="AG30" s="49">
        <f>IF(ISNUMBER(D30),INDEX(RGRMoneyMult,D30),1)</f>
        <v>0</v>
      </c>
    </row>
    <row r="31" spans="1:33">
      <c r="A31" s="69">
        <f>A30</f>
        <v>0</v>
      </c>
      <c r="B31" s="69">
        <f>B30</f>
        <v>0</v>
      </c>
      <c r="C31" s="18">
        <f>C30</f>
        <v>0</v>
      </c>
      <c r="D31" s="18">
        <f>IF((ROW()-C31)&lt;=D4,D5+(ROW()-C31-1),"")</f>
        <v>0</v>
      </c>
      <c r="E31">
        <f>IF(ISNUMBER(D31),INDEX(CollegeNames,D31),"")</f>
        <v>0</v>
      </c>
      <c r="F31" s="11">
        <f>IF(ISNUMBER(D31),INDEX(IF(OR(H3="H",H3="B"),GradRates,AllGradRates),D31),"")</f>
        <v>0</v>
      </c>
      <c r="G31" s="11">
        <f>IF(ISNUMBER(D31),IF(ISNUMBER(INDEX(Odds,D31)),INDEX(Odds,D31)/100,"N/A"),"")</f>
        <v>0</v>
      </c>
      <c r="H31" s="11">
        <f>IF(ISNUMBER(D31),INDEX(Classes,D31),"")</f>
        <v>0</v>
      </c>
      <c r="I31" s="11">
        <f>IF(ISNUMBER(D31),INDEX(Results,D31),"")</f>
        <v>0</v>
      </c>
      <c r="J31" s="11">
        <f>IFERROR(IF(ISNUMBER(D31),INDEX(AllCollegeMoneyCode,MATCH(INDEX(NCESids,D31),AllCollegeNCES,0)),""),"N/A")</f>
        <v>0</v>
      </c>
      <c r="AD31" s="49">
        <f>IF(ISNUMBER(D31),INDEX(MGRMult,D31),1)</f>
        <v>0</v>
      </c>
      <c r="AE31" s="49">
        <f>IF(ISNUMBER(D31),INDEX(RGRMult,D31),1)</f>
        <v>0</v>
      </c>
      <c r="AF31" s="49">
        <f>IF(ISNUMBER(D31),INDEX(MGRMoneyMult,D31),1)</f>
        <v>0</v>
      </c>
      <c r="AG31" s="49">
        <f>IF(ISNUMBER(D31),INDEX(RGRMoneyMult,D31),1)</f>
        <v>0</v>
      </c>
    </row>
    <row r="32" spans="1:33">
      <c r="A32" s="69">
        <f>A31</f>
        <v>0</v>
      </c>
      <c r="B32" s="69">
        <f>B31</f>
        <v>0</v>
      </c>
      <c r="C32" s="18">
        <f>C31</f>
        <v>0</v>
      </c>
      <c r="D32" s="18">
        <f>IF((ROW()-C32)&lt;=D4,D5+(ROW()-C32-1),"")</f>
        <v>0</v>
      </c>
      <c r="E32">
        <f>IF(ISNUMBER(D32),INDEX(CollegeNames,D32),"")</f>
        <v>0</v>
      </c>
      <c r="F32" s="11">
        <f>IF(ISNUMBER(D32),INDEX(IF(OR(H3="H",H3="B"),GradRates,AllGradRates),D32),"")</f>
        <v>0</v>
      </c>
      <c r="G32" s="11">
        <f>IF(ISNUMBER(D32),IF(ISNUMBER(INDEX(Odds,D32)),INDEX(Odds,D32)/100,"N/A"),"")</f>
        <v>0</v>
      </c>
      <c r="H32" s="11">
        <f>IF(ISNUMBER(D32),INDEX(Classes,D32),"")</f>
        <v>0</v>
      </c>
      <c r="I32" s="11">
        <f>IF(ISNUMBER(D32),INDEX(Results,D32),"")</f>
        <v>0</v>
      </c>
      <c r="J32" s="11">
        <f>IFERROR(IF(ISNUMBER(D32),INDEX(AllCollegeMoneyCode,MATCH(INDEX(NCESids,D32),AllCollegeNCES,0)),""),"N/A")</f>
        <v>0</v>
      </c>
      <c r="AD32" s="49">
        <f>IF(ISNUMBER(D32),INDEX(MGRMult,D32),1)</f>
        <v>0</v>
      </c>
      <c r="AE32" s="49">
        <f>IF(ISNUMBER(D32),INDEX(RGRMult,D32),1)</f>
        <v>0</v>
      </c>
      <c r="AF32" s="49">
        <f>IF(ISNUMBER(D32),INDEX(MGRMoneyMult,D32),1)</f>
        <v>0</v>
      </c>
      <c r="AG32" s="49">
        <f>IF(ISNUMBER(D32),INDEX(RGRMoneyMult,D32),1)</f>
        <v>0</v>
      </c>
    </row>
    <row r="33" spans="1:33">
      <c r="A33" s="69">
        <f>A32</f>
        <v>0</v>
      </c>
      <c r="B33" s="69">
        <f>B32</f>
        <v>0</v>
      </c>
      <c r="C33" s="18">
        <f>C32</f>
        <v>0</v>
      </c>
      <c r="D33" s="18">
        <f>IF((ROW()-C33)&lt;=D4,D5+(ROW()-C33-1),"")</f>
        <v>0</v>
      </c>
      <c r="E33">
        <f>IF(ISNUMBER(D33),INDEX(CollegeNames,D33),"")</f>
        <v>0</v>
      </c>
      <c r="F33" s="11">
        <f>IF(ISNUMBER(D33),INDEX(IF(OR(H3="H",H3="B"),GradRates,AllGradRates),D33),"")</f>
        <v>0</v>
      </c>
      <c r="G33" s="11">
        <f>IF(ISNUMBER(D33),IF(ISNUMBER(INDEX(Odds,D33)),INDEX(Odds,D33)/100,"N/A"),"")</f>
        <v>0</v>
      </c>
      <c r="H33" s="11">
        <f>IF(ISNUMBER(D33),INDEX(Classes,D33),"")</f>
        <v>0</v>
      </c>
      <c r="I33" s="11">
        <f>IF(ISNUMBER(D33),INDEX(Results,D33),"")</f>
        <v>0</v>
      </c>
      <c r="J33" s="11">
        <f>IFERROR(IF(ISNUMBER(D33),INDEX(AllCollegeMoneyCode,MATCH(INDEX(NCESids,D33),AllCollegeNCES,0)),""),"N/A")</f>
        <v>0</v>
      </c>
      <c r="AD33" s="49">
        <f>IF(ISNUMBER(D33),INDEX(MGRMult,D33),1)</f>
        <v>0</v>
      </c>
      <c r="AE33" s="49">
        <f>IF(ISNUMBER(D33),INDEX(RGRMult,D33),1)</f>
        <v>0</v>
      </c>
      <c r="AF33" s="49">
        <f>IF(ISNUMBER(D33),INDEX(MGRMoneyMult,D33),1)</f>
        <v>0</v>
      </c>
      <c r="AG33" s="49">
        <f>IF(ISNUMBER(D33),INDEX(RGRMoneyMult,D33),1)</f>
        <v>0</v>
      </c>
    </row>
    <row r="34" spans="1:33">
      <c r="A34" s="69">
        <f>A33</f>
        <v>0</v>
      </c>
      <c r="B34" s="69">
        <f>B33</f>
        <v>0</v>
      </c>
      <c r="C34" s="18">
        <f>C33</f>
        <v>0</v>
      </c>
      <c r="D34" s="18">
        <f>IF((ROW()-C34)&lt;=D4,D5+(ROW()-C34-1),"")</f>
        <v>0</v>
      </c>
      <c r="E34">
        <f>IF(ISNUMBER(D34),INDEX(CollegeNames,D34),"")</f>
        <v>0</v>
      </c>
      <c r="F34" s="11">
        <f>IF(ISNUMBER(D34),INDEX(IF(OR(H3="H",H3="B"),GradRates,AllGradRates),D34),"")</f>
        <v>0</v>
      </c>
      <c r="G34" s="11">
        <f>IF(ISNUMBER(D34),IF(ISNUMBER(INDEX(Odds,D34)),INDEX(Odds,D34)/100,"N/A"),"")</f>
        <v>0</v>
      </c>
      <c r="H34" s="11">
        <f>IF(ISNUMBER(D34),INDEX(Classes,D34),"")</f>
        <v>0</v>
      </c>
      <c r="I34" s="11">
        <f>IF(ISNUMBER(D34),INDEX(Results,D34),"")</f>
        <v>0</v>
      </c>
      <c r="J34" s="11">
        <f>IFERROR(IF(ISNUMBER(D34),INDEX(AllCollegeMoneyCode,MATCH(INDEX(NCESids,D34),AllCollegeNCES,0)),""),"N/A")</f>
        <v>0</v>
      </c>
      <c r="AD34" s="49">
        <f>IF(ISNUMBER(D34),INDEX(MGRMult,D34),1)</f>
        <v>0</v>
      </c>
      <c r="AE34" s="49">
        <f>IF(ISNUMBER(D34),INDEX(RGRMult,D34),1)</f>
        <v>0</v>
      </c>
      <c r="AF34" s="49">
        <f>IF(ISNUMBER(D34),INDEX(MGRMoneyMult,D34),1)</f>
        <v>0</v>
      </c>
      <c r="AG34" s="49">
        <f>IF(ISNUMBER(D34),INDEX(RGRMoneyMult,D34),1)</f>
        <v>0</v>
      </c>
    </row>
    <row r="35" spans="1:33">
      <c r="A35" s="69">
        <f>A34</f>
        <v>0</v>
      </c>
      <c r="B35" s="69">
        <f>B34</f>
        <v>0</v>
      </c>
      <c r="C35" s="18">
        <f>C34</f>
        <v>0</v>
      </c>
      <c r="D35" s="18">
        <f>IF((ROW()-C35)&lt;=D4,D5+(ROW()-C35-1),"")</f>
        <v>0</v>
      </c>
      <c r="E35">
        <f>IF(ISNUMBER(D35),INDEX(CollegeNames,D35),"")</f>
        <v>0</v>
      </c>
      <c r="F35" s="11">
        <f>IF(ISNUMBER(D35),INDEX(IF(OR(H3="H",H3="B"),GradRates,AllGradRates),D35),"")</f>
        <v>0</v>
      </c>
      <c r="G35" s="11">
        <f>IF(ISNUMBER(D35),IF(ISNUMBER(INDEX(Odds,D35)),INDEX(Odds,D35)/100,"N/A"),"")</f>
        <v>0</v>
      </c>
      <c r="H35" s="11">
        <f>IF(ISNUMBER(D35),INDEX(Classes,D35),"")</f>
        <v>0</v>
      </c>
      <c r="I35" s="11">
        <f>IF(ISNUMBER(D35),INDEX(Results,D35),"")</f>
        <v>0</v>
      </c>
      <c r="J35" s="11">
        <f>IFERROR(IF(ISNUMBER(D35),INDEX(AllCollegeMoneyCode,MATCH(INDEX(NCESids,D35),AllCollegeNCES,0)),""),"N/A")</f>
        <v>0</v>
      </c>
      <c r="AD35" s="49">
        <f>IF(ISNUMBER(D35),INDEX(MGRMult,D35),1)</f>
        <v>0</v>
      </c>
      <c r="AE35" s="49">
        <f>IF(ISNUMBER(D35),INDEX(RGRMult,D35),1)</f>
        <v>0</v>
      </c>
      <c r="AF35" s="49">
        <f>IF(ISNUMBER(D35),INDEX(MGRMoneyMult,D35),1)</f>
        <v>0</v>
      </c>
      <c r="AG35" s="49">
        <f>IF(ISNUMBER(D35),INDEX(RGRMoneyMult,D35),1)</f>
        <v>0</v>
      </c>
    </row>
    <row r="36" spans="1:33">
      <c r="A36" s="69">
        <f>A35</f>
        <v>0</v>
      </c>
      <c r="B36" s="69">
        <f>B35</f>
        <v>0</v>
      </c>
      <c r="C36" s="18">
        <f>C35</f>
        <v>0</v>
      </c>
      <c r="D36" s="18">
        <f>IF((ROW()-C36)&lt;=D4,D5+(ROW()-C36-1),"")</f>
        <v>0</v>
      </c>
      <c r="E36">
        <f>IF(ISNUMBER(D36),INDEX(CollegeNames,D36),"")</f>
        <v>0</v>
      </c>
      <c r="F36" s="11">
        <f>IF(ISNUMBER(D36),INDEX(IF(OR(H3="H",H3="B"),GradRates,AllGradRates),D36),"")</f>
        <v>0</v>
      </c>
      <c r="G36" s="11">
        <f>IF(ISNUMBER(D36),IF(ISNUMBER(INDEX(Odds,D36)),INDEX(Odds,D36)/100,"N/A"),"")</f>
        <v>0</v>
      </c>
      <c r="H36" s="11">
        <f>IF(ISNUMBER(D36),INDEX(Classes,D36),"")</f>
        <v>0</v>
      </c>
      <c r="I36" s="11">
        <f>IF(ISNUMBER(D36),INDEX(Results,D36),"")</f>
        <v>0</v>
      </c>
      <c r="J36" s="11">
        <f>IFERROR(IF(ISNUMBER(D36),INDEX(AllCollegeMoneyCode,MATCH(INDEX(NCESids,D36),AllCollegeNCES,0)),""),"N/A")</f>
        <v>0</v>
      </c>
      <c r="AD36" s="49">
        <f>IF(ISNUMBER(D36),INDEX(MGRMult,D36),1)</f>
        <v>0</v>
      </c>
      <c r="AE36" s="49">
        <f>IF(ISNUMBER(D36),INDEX(RGRMult,D36),1)</f>
        <v>0</v>
      </c>
      <c r="AF36" s="49">
        <f>IF(ISNUMBER(D36),INDEX(MGRMoneyMult,D36),1)</f>
        <v>0</v>
      </c>
      <c r="AG36" s="49">
        <f>IF(ISNUMBER(D36),INDEX(RGRMoneyMult,D36),1)</f>
        <v>0</v>
      </c>
    </row>
    <row r="37" spans="1:33">
      <c r="A37" s="69">
        <f>A36</f>
        <v>0</v>
      </c>
      <c r="B37" s="69">
        <f>B36</f>
        <v>0</v>
      </c>
      <c r="C37" s="18">
        <f>C36</f>
        <v>0</v>
      </c>
      <c r="D37" s="18">
        <f>IF((ROW()-C37)&lt;=D4,D5+(ROW()-C37-1),"")</f>
        <v>0</v>
      </c>
      <c r="E37">
        <f>IF(ISNUMBER(D37),INDEX(CollegeNames,D37),"")</f>
        <v>0</v>
      </c>
      <c r="F37" s="11">
        <f>IF(ISNUMBER(D37),INDEX(IF(OR(H3="H",H3="B"),GradRates,AllGradRates),D37),"")</f>
        <v>0</v>
      </c>
      <c r="G37" s="11">
        <f>IF(ISNUMBER(D37),IF(ISNUMBER(INDEX(Odds,D37)),INDEX(Odds,D37)/100,"N/A"),"")</f>
        <v>0</v>
      </c>
      <c r="H37" s="11">
        <f>IF(ISNUMBER(D37),INDEX(Classes,D37),"")</f>
        <v>0</v>
      </c>
      <c r="I37" s="11">
        <f>IF(ISNUMBER(D37),INDEX(Results,D37),"")</f>
        <v>0</v>
      </c>
      <c r="J37" s="11">
        <f>IFERROR(IF(ISNUMBER(D37),INDEX(AllCollegeMoneyCode,MATCH(INDEX(NCESids,D37),AllCollegeNCES,0)),""),"N/A")</f>
        <v>0</v>
      </c>
      <c r="AD37" s="49">
        <f>IF(ISNUMBER(D37),INDEX(MGRMult,D37),1)</f>
        <v>0</v>
      </c>
      <c r="AE37" s="49">
        <f>IF(ISNUMBER(D37),INDEX(RGRMult,D37),1)</f>
        <v>0</v>
      </c>
      <c r="AF37" s="49">
        <f>IF(ISNUMBER(D37),INDEX(MGRMoneyMult,D37),1)</f>
        <v>0</v>
      </c>
      <c r="AG37" s="49">
        <f>IF(ISNUMBER(D37),INDEX(RGRMoneyMult,D37),1)</f>
        <v>0</v>
      </c>
    </row>
    <row r="38" spans="1:33">
      <c r="E38" s="81" t="s">
        <v>371</v>
      </c>
    </row>
    <row r="39" spans="1:33">
      <c r="E39" s="82">
        <f>"Advisor: "&amp;INDEX(Advisors,MATCH(D3,KidIDs,0))</f>
        <v>0</v>
      </c>
      <c r="F39" s="82"/>
      <c r="G39" s="82"/>
      <c r="H39" s="82"/>
      <c r="I39" s="82"/>
      <c r="J39" s="82"/>
    </row>
    <row r="40" spans="1:33">
      <c r="D40" s="18">
        <v>3</v>
      </c>
      <c r="E40" s="83">
        <f>""&amp;D40&amp;"+ "&amp;LOWER(IdealGRLabel)&amp;" grad rate schools"</f>
        <v>0</v>
      </c>
      <c r="F40" s="61">
        <f>AE6</f>
        <v>0</v>
      </c>
      <c r="G40" s="84">
        <f>IF(F40&gt;=D40,"Yes!","No")</f>
        <v>0</v>
      </c>
      <c r="H40" s="84"/>
    </row>
    <row r="41" spans="1:33">
      <c r="D41" s="18">
        <v>3</v>
      </c>
      <c r="E41" s="83">
        <f>""&amp;D41&amp;"+ "&amp;LOWER(TargetGRLabel)&amp;" grad rate schools"</f>
        <v>0</v>
      </c>
      <c r="F41" s="61">
        <f>AD6-AE6</f>
        <v>0</v>
      </c>
      <c r="G41" s="84">
        <f>IF(F41&gt;=D41,"Yes!","No")</f>
        <v>0</v>
      </c>
      <c r="H41" s="84"/>
    </row>
    <row r="42" spans="1:33">
      <c r="D42" s="18">
        <v>2</v>
      </c>
      <c r="E42" s="83">
        <f>""&amp;D42&amp;"- "&amp;LOWER(FarBelowTGRLabel)&amp;" grad rate schools"</f>
        <v>0</v>
      </c>
      <c r="F42" s="61">
        <f>INDEX(FarBelowTGRApps,MATCH(D3,KidIDs,0))</f>
        <v>0</v>
      </c>
      <c r="G42" s="84">
        <f>IF(F42&lt;=D42,"Yes!","No")</f>
        <v>0</v>
      </c>
      <c r="H42" s="84"/>
    </row>
    <row r="43" spans="1:33">
      <c r="D43" s="18">
        <f>IF(INDEX(Strats,MATCH(D3,KidIds,0))&gt;=10,1,IF(INDEX(Strats,MATCH(D3,KidIds,0))&gt;=5,2,3))</f>
        <v>0</v>
      </c>
      <c r="E43" s="83">
        <f>""&amp;D43&amp;"+ "&amp;LOWER(ReachLabel)&amp;" schools"</f>
        <v>0</v>
      </c>
      <c r="F43" s="61">
        <f>INDEX(ReachApps,MATCH(D3,KidIDs,0))</f>
        <v>0</v>
      </c>
      <c r="G43" s="84">
        <f>IF(F43&gt;=D43,"Yes!","No")</f>
        <v>0</v>
      </c>
      <c r="H43" s="84"/>
    </row>
    <row r="44" spans="1:33">
      <c r="D44" s="18">
        <f>IF(INDEX(Strats,MATCH(D3,KidIds,0))&gt;=10,1,4)</f>
        <v>0</v>
      </c>
      <c r="E44" s="83">
        <f>""&amp;D44&amp;"+ "&amp;LOWER(MatchLabel)&amp;" schools"</f>
        <v>0</v>
      </c>
      <c r="F44" s="61">
        <f>INDEX(MatchApps,MATCH(D3,KidIDs,0))</f>
        <v>0</v>
      </c>
      <c r="G44" s="84">
        <f>IF(F44&gt;=D44,"Yes!","No")</f>
        <v>0</v>
      </c>
      <c r="H44" s="84"/>
    </row>
    <row r="45" spans="1:33">
      <c r="D45" s="18">
        <v>3</v>
      </c>
      <c r="E45" s="83">
        <f>""&amp;D45&amp;"- "&amp;LOWER(SafetyLabel)&amp;" schools"</f>
        <v>0</v>
      </c>
      <c r="F45" s="61">
        <f>INDEX(SafetyApps,MATCH(D3,KidIDs,0))+INDEX(SecureApps,MATCH(D3,KidIDs,0))+INDEX(SureThingApps,MATCH(D3,KidIDs,0))</f>
        <v>0</v>
      </c>
      <c r="G45" s="84">
        <f>IF(F45&lt;=D45,"Yes!","No")</f>
        <v>0</v>
      </c>
      <c r="H45" s="84"/>
    </row>
    <row r="46" spans="1:33">
      <c r="D46" s="18">
        <v>2</v>
      </c>
      <c r="E46" s="83">
        <f>""&amp;D46&amp;"- ""bad"" money options"</f>
        <v>0</v>
      </c>
      <c r="F46" s="61">
        <f>INDEX(BadMoneyApps,MATCH(D3,KidIDs,0))</f>
        <v>0</v>
      </c>
      <c r="G46" s="84">
        <f>IF(F46&lt;=D46,"Yes!","No")</f>
        <v>0</v>
      </c>
      <c r="H46" s="84"/>
    </row>
    <row r="47" spans="1:33">
      <c r="D47" s="18">
        <v>2</v>
      </c>
      <c r="E47" s="85">
        <f>""&amp;D47&amp;"- """&amp;LOWER(HailMaryLabel)&amp;""" or """&amp;LOWER(LongshotLabel)&amp;""""</f>
        <v>0</v>
      </c>
      <c r="F47" s="86">
        <f>INDEX(HailMaryApps,MATCH(D3,KidIDs,0))+INDEX(LongshotApps,MATCH(D3,KidIDs,0))</f>
        <v>0</v>
      </c>
      <c r="G47" s="87">
        <f>IF(F47&lt;=D47,"Yes!","No")</f>
        <v>0</v>
      </c>
      <c r="H47" s="87"/>
    </row>
  </sheetData>
  <mergeCells count="10">
    <mergeCell ref="I1:J1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</mergeCells>
  <conditionalFormatting sqref="F13:F37">
    <cfRule type="expression" dxfId="13" priority="5">
      <formula>IF(F13&gt;=A13,TRUE,FALSE)</formula>
    </cfRule>
    <cfRule type="expression" dxfId="14" priority="6">
      <formula>IF(F13&lt;B13,TRUE,FALSE)</formula>
    </cfRule>
    <cfRule type="expression" dxfId="12" priority="7">
      <formula>IF(F13&lt;&gt;"",TRUE,FALSE)</formula>
    </cfRule>
  </conditionalFormatting>
  <conditionalFormatting sqref="F9:F11">
    <cfRule type="expression" dxfId="13" priority="2">
      <formula>IF(F9&gt;=A9,TRUE,FALSE)</formula>
    </cfRule>
    <cfRule type="expression" dxfId="14" priority="3">
      <formula>IF(F9&lt;B9,TRUE,FALSE)</formula>
    </cfRule>
    <cfRule type="expression" dxfId="12" priority="4">
      <formula>IF(F9&lt;&gt;"",TRUE,FALSE)</formula>
    </cfRule>
  </conditionalFormatting>
  <conditionalFormatting sqref="I13:I37">
    <cfRule type="expression" dxfId="12" priority="1">
      <formula>IF(I13&lt;&gt;"",TRUE,FALSE)</formula>
    </cfRule>
  </conditionalFormatting>
  <dataValidations count="4">
    <dataValidation type="list" allowBlank="1" showInputMessage="1" showErrorMessage="1" sqref="E3">
      <formula1>LastFirst</formula1>
    </dataValidation>
    <dataValidation type="list" allowBlank="1" showInputMessage="1" showErrorMessage="1" sqref="E9">
      <formula1>ExtraCollegeChoice</formula1>
    </dataValidation>
    <dataValidation type="list" allowBlank="1" showInputMessage="1" showErrorMessage="1" sqref="E10">
      <formula1>ExtraCollegeChoice</formula1>
    </dataValidation>
    <dataValidation type="list" allowBlank="1" showInputMessage="1" showErrorMessage="1" sqref="E11">
      <formula1>ExtraCollegeChoice</formula1>
    </dataValidation>
  </dataValidations>
  <pageMargins left="0.5" right="0.5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46"/>
  <sheetViews>
    <sheetView workbookViewId="0"/>
  </sheetViews>
  <sheetFormatPr defaultRowHeight="15"/>
  <cols>
    <col min="1" max="4" width="8.7109375" style="18" hidden="1" customWidth="1"/>
    <col min="5" max="5" width="41" customWidth="1"/>
    <col min="6" max="6" width="9.7109375" customWidth="1"/>
    <col min="7" max="7" width="7.5703125" customWidth="1"/>
    <col min="8" max="8" width="8.85546875" customWidth="1"/>
    <col min="9" max="9" width="9.5703125" customWidth="1"/>
    <col min="10" max="10" width="18.7109375" customWidth="1"/>
    <col min="11" max="29" width="7.7109375" style="48" hidden="1" customWidth="1"/>
    <col min="30" max="33" width="7.7109375" style="49" hidden="1" customWidth="1"/>
  </cols>
  <sheetData>
    <row r="1" spans="1:33" ht="19.5" customHeight="1">
      <c r="E1" s="50">
        <f>IF(ISNUMBER(D3),"College application odds report for "&amp;INDEX(KidFirst,MATCH(D3,KidIDs,0))&amp;" "&amp;INDEX(KidLast,MATCH(D3,KidIDs,0)),"SELECT YOUR NAME")</f>
        <v>0</v>
      </c>
    </row>
    <row r="2" spans="1:33">
      <c r="C2" s="18">
        <f>INDEX(KidIDs,D2)</f>
        <v>0</v>
      </c>
      <c r="D2" s="18">
        <v>1</v>
      </c>
      <c r="E2" s="53" t="s">
        <v>336</v>
      </c>
      <c r="F2" s="54" t="s">
        <v>338</v>
      </c>
      <c r="G2" s="55" t="s">
        <v>18</v>
      </c>
      <c r="H2" s="56" t="s">
        <v>339</v>
      </c>
      <c r="I2" s="54" t="s">
        <v>341</v>
      </c>
      <c r="J2" s="57">
        <f>INDEX(ReachStudentTargets,MATCH(D3,KidIDs,0))</f>
        <v>0</v>
      </c>
    </row>
    <row r="3" spans="1:33" ht="15.75" customHeight="1">
      <c r="C3" s="18" t="s">
        <v>332</v>
      </c>
      <c r="D3" s="18">
        <f>INDEX(KidIDs,MATCH(E3,LastFirst,0))</f>
        <v>0</v>
      </c>
      <c r="E3" s="58" t="s">
        <v>88</v>
      </c>
      <c r="F3" s="59">
        <f>INDEX(ActualACT,MATCH(D3,KidIDs,0))&amp;"/"&amp;INDEX(ActualSAT,MATCH(D3,KidIDs,0))</f>
        <v>0</v>
      </c>
      <c r="G3" s="60">
        <f>INDEX(KidGPAs,MATCH(D3,KidIDs,0))</f>
        <v>0</v>
      </c>
      <c r="H3" s="61">
        <f>INDEX(KidRace,MATCH(D3,KidIDs,0))</f>
        <v>0</v>
      </c>
      <c r="I3" s="62" t="s">
        <v>342</v>
      </c>
      <c r="J3" s="63">
        <f>INDEX(StudentTargets,MATCH(D3,KidIDs,0))</f>
        <v>0</v>
      </c>
    </row>
    <row r="4" spans="1:33">
      <c r="C4" s="18" t="s">
        <v>333</v>
      </c>
      <c r="D4" s="18">
        <f>INDEX(Apps,MATCH(D3,KidIDs,0))</f>
        <v>0</v>
      </c>
      <c r="E4" s="64" t="s">
        <v>337</v>
      </c>
      <c r="F4" s="65">
        <f>INDEX(KidACTs,MATCH(D3,KidIDs,0))</f>
        <v>0</v>
      </c>
      <c r="G4" s="66"/>
      <c r="H4" s="64" t="s">
        <v>340</v>
      </c>
      <c r="I4" s="65"/>
      <c r="J4" s="66"/>
    </row>
    <row r="5" spans="1:33">
      <c r="C5" s="18" t="s">
        <v>334</v>
      </c>
      <c r="D5" s="18">
        <f>MATCH(D3,Students,0)</f>
        <v>0</v>
      </c>
      <c r="E5" s="67">
        <f>"""Money"" "&amp;TargetGRLabel&amp;" grade rate ("&amp;TGRshortLabel&amp;") or better schools"</f>
        <v>0</v>
      </c>
      <c r="G5" s="68">
        <f>1-PRODUCT(AF9:AF46)</f>
        <v>0</v>
      </c>
      <c r="H5" s="67">
        <f>"&lt;--Shoot for at least 90% for Money "&amp;TGRshortLabel</f>
        <v>0</v>
      </c>
      <c r="J5" s="68"/>
    </row>
    <row r="6" spans="1:33" ht="15.75" customHeight="1">
      <c r="A6" s="69">
        <f>INDEX(ReachStudentTargets,MATCH(D3,KidIDs,0))</f>
        <v>0</v>
      </c>
      <c r="B6" s="69">
        <f>D6</f>
        <v>0</v>
      </c>
      <c r="C6" s="18" t="s">
        <v>335</v>
      </c>
      <c r="D6" s="69">
        <f>INDEX(StudentTargets,MATCH(D3,KidIDs,0))</f>
        <v>0</v>
      </c>
      <c r="E6" s="70">
        <f>"""Money"" "&amp;IdealGRLabel&amp;" grade rate ("&amp;IGRshortLabel&amp;") or better schools"</f>
        <v>0</v>
      </c>
      <c r="F6" s="71"/>
      <c r="G6" s="63">
        <f>1-PRODUCT(AG9:AG46)</f>
        <v>0</v>
      </c>
      <c r="H6" s="70">
        <f>"&lt;--Shoot for at least 50% for Money "&amp;IGRshortLabel</f>
        <v>0</v>
      </c>
      <c r="I6" s="71"/>
      <c r="J6" s="63"/>
      <c r="AD6" s="49">
        <f>COUNTIF(AD9:AD46,"&lt;1")</f>
        <v>0</v>
      </c>
      <c r="AE6" s="49">
        <f>COUNTIF(AE9:AE46,"&lt;1")</f>
        <v>0</v>
      </c>
      <c r="AF6" s="49">
        <f>COUNTIF(AF9:AF46,"&lt;1")</f>
        <v>0</v>
      </c>
      <c r="AG6" s="49">
        <f>COUNTIF(AG9:AG46,"&lt;1")</f>
        <v>0</v>
      </c>
    </row>
    <row r="7" spans="1:33" ht="6.0" customHeight="1"/>
    <row r="8" spans="1:33" ht="30.0" customHeight="1">
      <c r="E8" s="72" t="s">
        <v>343</v>
      </c>
      <c r="F8" s="73">
        <f>IF(OR(H3="H",H3="B",H3="M",H3="I"),"6 yr AA/H Grad Rate","6 yr (all) Grad Rate")</f>
        <v>0</v>
      </c>
      <c r="G8" s="73" t="s">
        <v>344</v>
      </c>
      <c r="H8" s="74" t="s">
        <v>345</v>
      </c>
      <c r="I8" s="73" t="s">
        <v>346</v>
      </c>
      <c r="J8" s="73" t="s">
        <v>347</v>
      </c>
      <c r="K8" s="48" t="s">
        <v>348</v>
      </c>
      <c r="L8" s="48" t="s">
        <v>349</v>
      </c>
      <c r="M8" s="75" t="s">
        <v>350</v>
      </c>
      <c r="N8" s="76" t="s">
        <v>18</v>
      </c>
      <c r="O8" s="76" t="s">
        <v>351</v>
      </c>
      <c r="P8" s="18" t="s">
        <v>352</v>
      </c>
      <c r="Q8" s="18" t="s">
        <v>353</v>
      </c>
      <c r="R8" s="18" t="s">
        <v>354</v>
      </c>
      <c r="S8" s="18" t="s">
        <v>355</v>
      </c>
      <c r="T8" s="77" t="s">
        <v>356</v>
      </c>
      <c r="U8" s="77" t="s">
        <v>357</v>
      </c>
      <c r="V8" s="77" t="s">
        <v>358</v>
      </c>
      <c r="W8" s="77" t="s">
        <v>359</v>
      </c>
      <c r="X8" s="77" t="s">
        <v>360</v>
      </c>
      <c r="Y8" s="77" t="s">
        <v>361</v>
      </c>
      <c r="Z8" s="77" t="s">
        <v>362</v>
      </c>
      <c r="AA8" s="18" t="s">
        <v>363</v>
      </c>
      <c r="AB8" s="18" t="s">
        <v>364</v>
      </c>
      <c r="AC8" s="18" t="s">
        <v>365</v>
      </c>
      <c r="AD8" s="49" t="s">
        <v>366</v>
      </c>
      <c r="AE8" s="49" t="s">
        <v>367</v>
      </c>
      <c r="AF8" s="49" t="s">
        <v>368</v>
      </c>
      <c r="AG8" s="49" t="s">
        <v>369</v>
      </c>
    </row>
    <row r="9" spans="1:33">
      <c r="A9" s="69">
        <f>A6</f>
        <v>0</v>
      </c>
      <c r="B9" s="69">
        <f>B6</f>
        <v>0</v>
      </c>
      <c r="C9" s="18">
        <f>ROW()</f>
        <v>0</v>
      </c>
      <c r="D9" s="18">
        <f>INDEX(ExtraCollegeNCES,MATCH(E9,ExtraCollegeChoice,0))</f>
        <v>0</v>
      </c>
      <c r="E9" s="78"/>
      <c r="F9" s="11">
        <f>IF(ISERROR(D9),"",INDEX(IF(OR(H3="H",H3="B"),AllCollegeAAHGR,AllCollegeGR),MATCH(D9,AllCollegeNCES,0)))</f>
        <v>0</v>
      </c>
      <c r="G9" s="11">
        <f>IF(ISERROR(D9),"",IF(ISNUMBER(Y9),Y9/100,"N/A"))</f>
        <v>0</v>
      </c>
      <c r="H9" s="11">
        <f>IF(ISERROR(D9),"",Z9)</f>
        <v>0</v>
      </c>
      <c r="I9" s="11">
        <f>IF(ISERROR(D9),"","N/A")</f>
        <v>0</v>
      </c>
      <c r="J9" s="11">
        <f>IF(ISERROR(D9),"",INDEX(AllCollegeMoneyCode,MATCH(D9,AllCollegeNCES,0)))</f>
        <v>0</v>
      </c>
      <c r="K9" s="48">
        <f>INDEX(AllCollegeBarrons,MATCH(D9,AllCollegeNCES,0))</f>
        <v>0</v>
      </c>
      <c r="L9" s="48">
        <f>IF(ISERROR(D9),"",INDEX(AllCollegeMoney,MATCH(D9,AllCollegeNCES,0)))</f>
        <v>0</v>
      </c>
      <c r="M9" s="48">
        <f>INDEX(AllCollegeACT25,MATCH(D9,AllCollegeNCES,0))</f>
        <v>0</v>
      </c>
      <c r="N9" s="48">
        <f>G3</f>
        <v>0</v>
      </c>
      <c r="O9" s="48">
        <f>F4</f>
        <v>0</v>
      </c>
      <c r="P9" s="48">
        <f>INDEX(CustomWeightsGPA,MATCH($H3&amp;":"&amp;$D9,CustomWeightsIndex,0))</f>
        <v>0</v>
      </c>
      <c r="Q9" s="48">
        <f>INDEX(CustomWeightsACT,MATCH($H3&amp;":"&amp;$D9,CustomWeightsIndex,0))</f>
        <v>0</v>
      </c>
      <c r="R9" s="48">
        <f>INDEX(CustomWeightsIntercept,MATCH($H3&amp;":"&amp;$D9,CustomWeightsIndex,0))</f>
        <v>0</v>
      </c>
      <c r="S9" s="48">
        <f>P9*N9+Q9*O9+R9</f>
        <v>0</v>
      </c>
      <c r="T9" s="48">
        <f>INDEX(CoefficientsGPA,MATCH($H3&amp;":"&amp;$K9,CoefficientsIndex,0))</f>
        <v>0</v>
      </c>
      <c r="U9" s="48">
        <f>INDEX(CoefficientsACT,MATCH($H3&amp;":"&amp;$K9,CoefficientsIndex,0))</f>
        <v>0</v>
      </c>
      <c r="V9" s="48">
        <f>INDEX(CoefficientsIntercept,MATCH($H3&amp;":"&amp;$K9,CoefficientsIndex,0))</f>
        <v>0</v>
      </c>
      <c r="W9" s="48">
        <f>T9*N9+(O9-M9)*U9+V9</f>
        <v>0</v>
      </c>
      <c r="X9" s="48">
        <f>IF(ISNUMBER(S9),S9,W9)</f>
        <v>0</v>
      </c>
      <c r="Y9" s="48">
        <f>IF(ISNUMBER(X9),IF(AND(T9=1,U9=1,V9=1),100,100*EXP(X9)/(1+EXP(X9))),"N/A")</f>
        <v>0</v>
      </c>
      <c r="Z9" s="48">
        <f>IF(ISNUMBER(Y9),IF(Y9&gt;=99,SureThingLabel,IF(Y9&gt;=95,SecureLabel,IF(Y9&gt;=80,SafetyLabel,IF(Y9&gt;=50,MatchLabel,IF(Y9&gt;=20,ReachLabel,IF(Y9&gt;=10,LongshotLabel,HailMaryLabel)))))),"Other")</f>
        <v>0</v>
      </c>
      <c r="AA9" s="48">
        <f>IF($F9&gt;=J$3,1,0)</f>
        <v>0</v>
      </c>
      <c r="AB9" s="48">
        <f>IF($F9&gt;=J$2,1,0)</f>
        <v>0</v>
      </c>
      <c r="AC9" s="48">
        <f>IF(ISNUMBER(Y9),1-Y9/100,1)</f>
        <v>0</v>
      </c>
      <c r="AD9" s="49">
        <f>IF(AA9=1,AC9,1)</f>
        <v>0</v>
      </c>
      <c r="AE9" s="49">
        <f>IF(AB9=1,AC9,1)</f>
        <v>0</v>
      </c>
      <c r="AF9" s="49">
        <f>IF(L9=1,AD9,1)</f>
        <v>0</v>
      </c>
      <c r="AG9" s="49">
        <f>IF(L9=1,AE9,1)</f>
        <v>0</v>
      </c>
    </row>
    <row r="10" spans="1:33">
      <c r="A10" s="69">
        <f>A9</f>
        <v>0</v>
      </c>
      <c r="B10" s="69">
        <f>B9</f>
        <v>0</v>
      </c>
      <c r="D10" s="18">
        <f>INDEX(ExtraCollegeNCES,MATCH(E10,ExtraCollegeChoice,0))</f>
        <v>0</v>
      </c>
      <c r="E10" s="78"/>
      <c r="F10" s="11">
        <f>IF(ISERROR(D10),"",INDEX(IF(OR(H3="H",H3="B"),AllCollegeAAHGR,AllCollegeGR),MATCH(D10,AllCollegeNCES,0)))</f>
        <v>0</v>
      </c>
      <c r="G10" s="11">
        <f>IF(ISERROR(D10),"",IF(ISNUMBER(Y10),Y10/100,"N/A"))</f>
        <v>0</v>
      </c>
      <c r="H10" s="11">
        <f>IF(ISERROR(D10),"",Z10)</f>
        <v>0</v>
      </c>
      <c r="I10" s="11">
        <f>IF(ISERROR(D10),"","N/A")</f>
        <v>0</v>
      </c>
      <c r="J10" s="11">
        <f>IF(ISERROR(D10),"",INDEX(AllCollegeMoneyCode,MATCH(D10,AllCollegeNCES,0)))</f>
        <v>0</v>
      </c>
      <c r="K10" s="48">
        <f>INDEX(AllCollegeBarrons,MATCH(D10,AllCollegeNCES,0))</f>
        <v>0</v>
      </c>
      <c r="L10" s="48">
        <f>IF(ISERROR(D10),"",INDEX(AllCollegeMoney,MATCH(D10,AllCollegeNCES,0)))</f>
        <v>0</v>
      </c>
      <c r="M10" s="48">
        <f>INDEX(AllCollegeACT25,MATCH(D10,AllCollegeNCES,0))</f>
        <v>0</v>
      </c>
      <c r="N10" s="48">
        <f>G3</f>
        <v>0</v>
      </c>
      <c r="O10" s="48">
        <f>F4</f>
        <v>0</v>
      </c>
      <c r="P10" s="48">
        <f>INDEX(CustomWeightsGPA,MATCH($H3&amp;":"&amp;$D10,CustomWeightsIndex,0))</f>
        <v>0</v>
      </c>
      <c r="Q10" s="48">
        <f>INDEX(CustomWeightsACT,MATCH($H3&amp;":"&amp;$D10,CustomWeightsIndex,0))</f>
        <v>0</v>
      </c>
      <c r="R10" s="48">
        <f>INDEX(CustomWeightsIntercept,MATCH($H3&amp;":"&amp;$D10,CustomWeightsIndex,0))</f>
        <v>0</v>
      </c>
      <c r="S10" s="48">
        <f>P10*N10+Q10*O10+R10</f>
        <v>0</v>
      </c>
      <c r="T10" s="48">
        <f>INDEX(CoefficientsGPA,MATCH($H3&amp;":"&amp;$K10,CoefficientsIndex,0))</f>
        <v>0</v>
      </c>
      <c r="U10" s="48">
        <f>INDEX(CoefficientsACT,MATCH($H3&amp;":"&amp;$K10,CoefficientsIndex,0))</f>
        <v>0</v>
      </c>
      <c r="V10" s="48">
        <f>INDEX(CoefficientsIntercept,MATCH($H3&amp;":"&amp;$K10,CoefficientsIndex,0))</f>
        <v>0</v>
      </c>
      <c r="W10" s="48">
        <f>T10*N10+(O10-M10)*U10+V10</f>
        <v>0</v>
      </c>
      <c r="X10" s="48">
        <f>IF(ISNUMBER(S10),S10,W10)</f>
        <v>0</v>
      </c>
      <c r="Y10" s="48">
        <f>IF(ISNUMBER(X10),IF(AND(T10=1,U10=1,V10=1),100,100*EXP(X10)/(1+EXP(X10))),"N/A")</f>
        <v>0</v>
      </c>
      <c r="Z10" s="48">
        <f>IF(ISNUMBER(Y10),IF(Y10&gt;=99,SureThingLabel,IF(Y10&gt;=95,SecureLabel,IF(Y10&gt;=80,SafetyLabel,IF(Y10&gt;=50,MatchLabel,IF(Y10&gt;=20,ReachLabel,IF(Y10&gt;=10,LongshotLabel,HailMaryLabel)))))),"Other")</f>
        <v>0</v>
      </c>
      <c r="AA10" s="48">
        <f>IF($F10&gt;=J$3,1,0)</f>
        <v>0</v>
      </c>
      <c r="AB10" s="48">
        <f>IF($F10&gt;=J$2,1,0)</f>
        <v>0</v>
      </c>
      <c r="AC10" s="48">
        <f>IF(ISNUMBER(Y10),1-Y10/100,1)</f>
        <v>0</v>
      </c>
      <c r="AD10" s="49">
        <f>IF(AA10=1,AC10,1)</f>
        <v>0</v>
      </c>
      <c r="AE10" s="49">
        <f>IF(AB10=1,AC10,1)</f>
        <v>0</v>
      </c>
      <c r="AF10" s="49">
        <f>IF(L10=1,AD10,1)</f>
        <v>0</v>
      </c>
      <c r="AG10" s="49">
        <f>IF(L10=1,AE10,1)</f>
        <v>0</v>
      </c>
    </row>
    <row r="11" spans="1:33">
      <c r="A11" s="69">
        <f>A10</f>
        <v>0</v>
      </c>
      <c r="B11" s="69">
        <f>B10</f>
        <v>0</v>
      </c>
      <c r="D11" s="18">
        <f>INDEX(ExtraCollegeNCES,MATCH(E11,ExtraCollegeChoice,0))</f>
        <v>0</v>
      </c>
      <c r="E11" s="78"/>
      <c r="F11" s="11">
        <f>IF(ISERROR(D11),"",INDEX(IF(OR(H3="H",H3="B"),AllCollegeAAHGR,AllCollegeGR),MATCH(D11,AllCollegeNCES,0)))</f>
        <v>0</v>
      </c>
      <c r="G11" s="11">
        <f>IF(ISERROR(D11),"",IF(ISNUMBER(Y11),Y11/100,"N/A"))</f>
        <v>0</v>
      </c>
      <c r="H11" s="11">
        <f>IF(ISERROR(D11),"",Z11)</f>
        <v>0</v>
      </c>
      <c r="I11" s="11">
        <f>IF(ISERROR(D11),"","N/A")</f>
        <v>0</v>
      </c>
      <c r="J11" s="11">
        <f>IF(ISERROR(D11),"",INDEX(AllCollegeMoneyCode,MATCH(D11,AllCollegeNCES,0)))</f>
        <v>0</v>
      </c>
      <c r="K11" s="48">
        <f>INDEX(AllCollegeBarrons,MATCH(D11,AllCollegeNCES,0))</f>
        <v>0</v>
      </c>
      <c r="L11" s="48">
        <f>IF(ISERROR(D11),"",INDEX(AllCollegeMoney,MATCH(D11,AllCollegeNCES,0)))</f>
        <v>0</v>
      </c>
      <c r="M11" s="48">
        <f>INDEX(AllCollegeACT25,MATCH(D11,AllCollegeNCES,0))</f>
        <v>0</v>
      </c>
      <c r="N11" s="48">
        <f>G3</f>
        <v>0</v>
      </c>
      <c r="O11" s="48">
        <f>F4</f>
        <v>0</v>
      </c>
      <c r="P11" s="48">
        <f>INDEX(CustomWeightsGPA,MATCH($H3&amp;":"&amp;$D11,CustomWeightsIndex,0))</f>
        <v>0</v>
      </c>
      <c r="Q11" s="48">
        <f>INDEX(CustomWeightsACT,MATCH($H3&amp;":"&amp;$D11,CustomWeightsIndex,0))</f>
        <v>0</v>
      </c>
      <c r="R11" s="48">
        <f>INDEX(CustomWeightsIntercept,MATCH($H3&amp;":"&amp;$D11,CustomWeightsIndex,0))</f>
        <v>0</v>
      </c>
      <c r="S11" s="48">
        <f>P11*N11+Q11*O11+R11</f>
        <v>0</v>
      </c>
      <c r="T11" s="48">
        <f>INDEX(CoefficientsGPA,MATCH($H3&amp;":"&amp;$K11,CoefficientsIndex,0))</f>
        <v>0</v>
      </c>
      <c r="U11" s="48">
        <f>INDEX(CoefficientsACT,MATCH($H3&amp;":"&amp;$K11,CoefficientsIndex,0))</f>
        <v>0</v>
      </c>
      <c r="V11" s="48">
        <f>INDEX(CoefficientsIntercept,MATCH($H3&amp;":"&amp;$K11,CoefficientsIndex,0))</f>
        <v>0</v>
      </c>
      <c r="W11" s="48">
        <f>T11*N11+(O11-M11)*U11+V11</f>
        <v>0</v>
      </c>
      <c r="X11" s="48">
        <f>IF(ISNUMBER(S11),S11,W11)</f>
        <v>0</v>
      </c>
      <c r="Y11" s="48">
        <f>IF(ISNUMBER(X11),IF(AND(T11=1,U11=1,V11=1),100,100*EXP(X11)/(1+EXP(X11))),"N/A")</f>
        <v>0</v>
      </c>
      <c r="Z11" s="48">
        <f>IF(ISNUMBER(Y11),IF(Y11&gt;=99,SureThingLabel,IF(Y11&gt;=95,SecureLabel,IF(Y11&gt;=80,SafetyLabel,IF(Y11&gt;=50,MatchLabel,IF(Y11&gt;=20,ReachLabel,IF(Y11&gt;=10,LongshotLabel,HailMaryLabel)))))),"Other")</f>
        <v>0</v>
      </c>
      <c r="AA11" s="48">
        <f>IF($F11&gt;=J$3,1,0)</f>
        <v>0</v>
      </c>
      <c r="AB11" s="48">
        <f>IF($F11&gt;=J$2,1,0)</f>
        <v>0</v>
      </c>
      <c r="AC11" s="48">
        <f>IF(ISNUMBER(Y11),1-Y11/100,1)</f>
        <v>0</v>
      </c>
      <c r="AD11" s="49">
        <f>IF(AA11=1,AC11,1)</f>
        <v>0</v>
      </c>
      <c r="AE11" s="49">
        <f>IF(AB11=1,AC11,1)</f>
        <v>0</v>
      </c>
      <c r="AF11" s="49">
        <f>IF(L11=1,AD11,1)</f>
        <v>0</v>
      </c>
      <c r="AG11" s="49">
        <f>IF(L11=1,AE11,1)</f>
        <v>0</v>
      </c>
    </row>
    <row r="12" spans="1:33">
      <c r="A12" s="69">
        <f>A11</f>
        <v>0</v>
      </c>
      <c r="B12" s="69">
        <f>B11</f>
        <v>0</v>
      </c>
      <c r="D12" s="18">
        <f>INDEX(ExtraCollegeNCES,MATCH(E12,ExtraCollegeChoice,0))</f>
        <v>0</v>
      </c>
      <c r="E12" s="78"/>
      <c r="F12" s="11">
        <f>IF(ISERROR(D12),"",INDEX(IF(OR(H3="H",H3="B"),AllCollegeAAHGR,AllCollegeGR),MATCH(D12,AllCollegeNCES,0)))</f>
        <v>0</v>
      </c>
      <c r="G12" s="11">
        <f>IF(ISERROR(D12),"",IF(ISNUMBER(Y12),Y12/100,"N/A"))</f>
        <v>0</v>
      </c>
      <c r="H12" s="11">
        <f>IF(ISERROR(D12),"",Z12)</f>
        <v>0</v>
      </c>
      <c r="I12" s="11">
        <f>IF(ISERROR(D12),"","N/A")</f>
        <v>0</v>
      </c>
      <c r="J12" s="11">
        <f>IF(ISERROR(D12),"",INDEX(AllCollegeMoneyCode,MATCH(D12,AllCollegeNCES,0)))</f>
        <v>0</v>
      </c>
      <c r="K12" s="48">
        <f>INDEX(AllCollegeBarrons,MATCH(D12,AllCollegeNCES,0))</f>
        <v>0</v>
      </c>
      <c r="L12" s="48">
        <f>IF(ISERROR(D12),"",INDEX(AllCollegeMoney,MATCH(D12,AllCollegeNCES,0)))</f>
        <v>0</v>
      </c>
      <c r="M12" s="48">
        <f>INDEX(AllCollegeACT25,MATCH(D12,AllCollegeNCES,0))</f>
        <v>0</v>
      </c>
      <c r="N12" s="48">
        <f>G3</f>
        <v>0</v>
      </c>
      <c r="O12" s="48">
        <f>F4</f>
        <v>0</v>
      </c>
      <c r="P12" s="48">
        <f>INDEX(CustomWeightsGPA,MATCH($H3&amp;":"&amp;$D12,CustomWeightsIndex,0))</f>
        <v>0</v>
      </c>
      <c r="Q12" s="48">
        <f>INDEX(CustomWeightsACT,MATCH($H3&amp;":"&amp;$D12,CustomWeightsIndex,0))</f>
        <v>0</v>
      </c>
      <c r="R12" s="48">
        <f>INDEX(CustomWeightsIntercept,MATCH($H3&amp;":"&amp;$D12,CustomWeightsIndex,0))</f>
        <v>0</v>
      </c>
      <c r="S12" s="48">
        <f>P12*N12+Q12*O12+R12</f>
        <v>0</v>
      </c>
      <c r="T12" s="48">
        <f>INDEX(CoefficientsGPA,MATCH($H3&amp;":"&amp;$K12,CoefficientsIndex,0))</f>
        <v>0</v>
      </c>
      <c r="U12" s="48">
        <f>INDEX(CoefficientsACT,MATCH($H3&amp;":"&amp;$K12,CoefficientsIndex,0))</f>
        <v>0</v>
      </c>
      <c r="V12" s="48">
        <f>INDEX(CoefficientsIntercept,MATCH($H3&amp;":"&amp;$K12,CoefficientsIndex,0))</f>
        <v>0</v>
      </c>
      <c r="W12" s="48">
        <f>T12*N12+(O12-M12)*U12+V12</f>
        <v>0</v>
      </c>
      <c r="X12" s="48">
        <f>IF(ISNUMBER(S12),S12,W12)</f>
        <v>0</v>
      </c>
      <c r="Y12" s="48">
        <f>IF(ISNUMBER(X12),IF(AND(T12=1,U12=1,V12=1),100,100*EXP(X12)/(1+EXP(X12))),"N/A")</f>
        <v>0</v>
      </c>
      <c r="Z12" s="48">
        <f>IF(ISNUMBER(Y12),IF(Y12&gt;=99,SureThingLabel,IF(Y12&gt;=95,SecureLabel,IF(Y12&gt;=80,SafetyLabel,IF(Y12&gt;=50,MatchLabel,IF(Y12&gt;=20,ReachLabel,IF(Y12&gt;=10,LongshotLabel,HailMaryLabel)))))),"Other")</f>
        <v>0</v>
      </c>
      <c r="AA12" s="48">
        <f>IF($F12&gt;=J$3,1,0)</f>
        <v>0</v>
      </c>
      <c r="AB12" s="48">
        <f>IF($F12&gt;=J$2,1,0)</f>
        <v>0</v>
      </c>
      <c r="AC12" s="48">
        <f>IF(ISNUMBER(Y12),1-Y12/100,1)</f>
        <v>0</v>
      </c>
      <c r="AD12" s="49">
        <f>IF(AA12=1,AC12,1)</f>
        <v>0</v>
      </c>
      <c r="AE12" s="49">
        <f>IF(AB12=1,AC12,1)</f>
        <v>0</v>
      </c>
      <c r="AF12" s="49">
        <f>IF(L12=1,AD12,1)</f>
        <v>0</v>
      </c>
      <c r="AG12" s="49">
        <f>IF(L12=1,AE12,1)</f>
        <v>0</v>
      </c>
    </row>
    <row r="13" spans="1:33">
      <c r="A13" s="69">
        <f>A12</f>
        <v>0</v>
      </c>
      <c r="B13" s="69">
        <f>B12</f>
        <v>0</v>
      </c>
      <c r="D13" s="18">
        <f>INDEX(ExtraCollegeNCES,MATCH(E13,ExtraCollegeChoice,0))</f>
        <v>0</v>
      </c>
      <c r="E13" s="78"/>
      <c r="F13" s="11">
        <f>IF(ISERROR(D13),"",INDEX(IF(OR(H3="H",H3="B"),AllCollegeAAHGR,AllCollegeGR),MATCH(D13,AllCollegeNCES,0)))</f>
        <v>0</v>
      </c>
      <c r="G13" s="11">
        <f>IF(ISERROR(D13),"",IF(ISNUMBER(Y13),Y13/100,"N/A"))</f>
        <v>0</v>
      </c>
      <c r="H13" s="11">
        <f>IF(ISERROR(D13),"",Z13)</f>
        <v>0</v>
      </c>
      <c r="I13" s="11">
        <f>IF(ISERROR(D13),"","N/A")</f>
        <v>0</v>
      </c>
      <c r="J13" s="11">
        <f>IF(ISERROR(D13),"",INDEX(AllCollegeMoneyCode,MATCH(D13,AllCollegeNCES,0)))</f>
        <v>0</v>
      </c>
      <c r="K13" s="48">
        <f>INDEX(AllCollegeBarrons,MATCH(D13,AllCollegeNCES,0))</f>
        <v>0</v>
      </c>
      <c r="L13" s="48">
        <f>IF(ISERROR(D13),"",INDEX(AllCollegeMoney,MATCH(D13,AllCollegeNCES,0)))</f>
        <v>0</v>
      </c>
      <c r="M13" s="48">
        <f>INDEX(AllCollegeACT25,MATCH(D13,AllCollegeNCES,0))</f>
        <v>0</v>
      </c>
      <c r="N13" s="48">
        <f>G3</f>
        <v>0</v>
      </c>
      <c r="O13" s="48">
        <f>F4</f>
        <v>0</v>
      </c>
      <c r="P13" s="48">
        <f>INDEX(CustomWeightsGPA,MATCH($H3&amp;":"&amp;$D13,CustomWeightsIndex,0))</f>
        <v>0</v>
      </c>
      <c r="Q13" s="48">
        <f>INDEX(CustomWeightsACT,MATCH($H3&amp;":"&amp;$D13,CustomWeightsIndex,0))</f>
        <v>0</v>
      </c>
      <c r="R13" s="48">
        <f>INDEX(CustomWeightsIntercept,MATCH($H3&amp;":"&amp;$D13,CustomWeightsIndex,0))</f>
        <v>0</v>
      </c>
      <c r="S13" s="48">
        <f>P13*N13+Q13*O13+R13</f>
        <v>0</v>
      </c>
      <c r="T13" s="48">
        <f>INDEX(CoefficientsGPA,MATCH($H3&amp;":"&amp;$K13,CoefficientsIndex,0))</f>
        <v>0</v>
      </c>
      <c r="U13" s="48">
        <f>INDEX(CoefficientsACT,MATCH($H3&amp;":"&amp;$K13,CoefficientsIndex,0))</f>
        <v>0</v>
      </c>
      <c r="V13" s="48">
        <f>INDEX(CoefficientsIntercept,MATCH($H3&amp;":"&amp;$K13,CoefficientsIndex,0))</f>
        <v>0</v>
      </c>
      <c r="W13" s="48">
        <f>T13*N13+(O13-M13)*U13+V13</f>
        <v>0</v>
      </c>
      <c r="X13" s="48">
        <f>IF(ISNUMBER(S13),S13,W13)</f>
        <v>0</v>
      </c>
      <c r="Y13" s="48">
        <f>IF(ISNUMBER(X13),IF(AND(T13=1,U13=1,V13=1),100,100*EXP(X13)/(1+EXP(X13))),"N/A")</f>
        <v>0</v>
      </c>
      <c r="Z13" s="48">
        <f>IF(ISNUMBER(Y13),IF(Y13&gt;=99,SureThingLabel,IF(Y13&gt;=95,SecureLabel,IF(Y13&gt;=80,SafetyLabel,IF(Y13&gt;=50,MatchLabel,IF(Y13&gt;=20,ReachLabel,IF(Y13&gt;=10,LongshotLabel,HailMaryLabel)))))),"Other")</f>
        <v>0</v>
      </c>
      <c r="AA13" s="48">
        <f>IF($F13&gt;=J$3,1,0)</f>
        <v>0</v>
      </c>
      <c r="AB13" s="48">
        <f>IF($F13&gt;=J$2,1,0)</f>
        <v>0</v>
      </c>
      <c r="AC13" s="48">
        <f>IF(ISNUMBER(Y13),1-Y13/100,1)</f>
        <v>0</v>
      </c>
      <c r="AD13" s="49">
        <f>IF(AA13=1,AC13,1)</f>
        <v>0</v>
      </c>
      <c r="AE13" s="49">
        <f>IF(AB13=1,AC13,1)</f>
        <v>0</v>
      </c>
      <c r="AF13" s="49">
        <f>IF(L13=1,AD13,1)</f>
        <v>0</v>
      </c>
      <c r="AG13" s="49">
        <f>IF(L13=1,AE13,1)</f>
        <v>0</v>
      </c>
    </row>
    <row r="14" spans="1:33">
      <c r="A14" s="69">
        <f>A13</f>
        <v>0</v>
      </c>
      <c r="B14" s="69">
        <f>B13</f>
        <v>0</v>
      </c>
      <c r="D14" s="18">
        <f>INDEX(ExtraCollegeNCES,MATCH(E14,ExtraCollegeChoice,0))</f>
        <v>0</v>
      </c>
      <c r="E14" s="78"/>
      <c r="F14" s="11">
        <f>IF(ISERROR(D14),"",INDEX(IF(OR(H3="H",H3="B"),AllCollegeAAHGR,AllCollegeGR),MATCH(D14,AllCollegeNCES,0)))</f>
        <v>0</v>
      </c>
      <c r="G14" s="11">
        <f>IF(ISERROR(D14),"",IF(ISNUMBER(Y14),Y14/100,"N/A"))</f>
        <v>0</v>
      </c>
      <c r="H14" s="11">
        <f>IF(ISERROR(D14),"",Z14)</f>
        <v>0</v>
      </c>
      <c r="I14" s="11">
        <f>IF(ISERROR(D14),"","N/A")</f>
        <v>0</v>
      </c>
      <c r="J14" s="11">
        <f>IF(ISERROR(D14),"",INDEX(AllCollegeMoneyCode,MATCH(D14,AllCollegeNCES,0)))</f>
        <v>0</v>
      </c>
      <c r="K14" s="48">
        <f>INDEX(AllCollegeBarrons,MATCH(D14,AllCollegeNCES,0))</f>
        <v>0</v>
      </c>
      <c r="L14" s="48">
        <f>IF(ISERROR(D14),"",INDEX(AllCollegeMoney,MATCH(D14,AllCollegeNCES,0)))</f>
        <v>0</v>
      </c>
      <c r="M14" s="48">
        <f>INDEX(AllCollegeACT25,MATCH(D14,AllCollegeNCES,0))</f>
        <v>0</v>
      </c>
      <c r="N14" s="48">
        <f>G3</f>
        <v>0</v>
      </c>
      <c r="O14" s="48">
        <f>F4</f>
        <v>0</v>
      </c>
      <c r="P14" s="48">
        <f>INDEX(CustomWeightsGPA,MATCH($H3&amp;":"&amp;$D14,CustomWeightsIndex,0))</f>
        <v>0</v>
      </c>
      <c r="Q14" s="48">
        <f>INDEX(CustomWeightsACT,MATCH($H3&amp;":"&amp;$D14,CustomWeightsIndex,0))</f>
        <v>0</v>
      </c>
      <c r="R14" s="48">
        <f>INDEX(CustomWeightsIntercept,MATCH($H3&amp;":"&amp;$D14,CustomWeightsIndex,0))</f>
        <v>0</v>
      </c>
      <c r="S14" s="48">
        <f>P14*N14+Q14*O14+R14</f>
        <v>0</v>
      </c>
      <c r="T14" s="48">
        <f>INDEX(CoefficientsGPA,MATCH($H3&amp;":"&amp;$K14,CoefficientsIndex,0))</f>
        <v>0</v>
      </c>
      <c r="U14" s="48">
        <f>INDEX(CoefficientsACT,MATCH($H3&amp;":"&amp;$K14,CoefficientsIndex,0))</f>
        <v>0</v>
      </c>
      <c r="V14" s="48">
        <f>INDEX(CoefficientsIntercept,MATCH($H3&amp;":"&amp;$K14,CoefficientsIndex,0))</f>
        <v>0</v>
      </c>
      <c r="W14" s="48">
        <f>T14*N14+(O14-M14)*U14+V14</f>
        <v>0</v>
      </c>
      <c r="X14" s="48">
        <f>IF(ISNUMBER(S14),S14,W14)</f>
        <v>0</v>
      </c>
      <c r="Y14" s="48">
        <f>IF(ISNUMBER(X14),IF(AND(T14=1,U14=1,V14=1),100,100*EXP(X14)/(1+EXP(X14))),"N/A")</f>
        <v>0</v>
      </c>
      <c r="Z14" s="48">
        <f>IF(ISNUMBER(Y14),IF(Y14&gt;=99,SureThingLabel,IF(Y14&gt;=95,SecureLabel,IF(Y14&gt;=80,SafetyLabel,IF(Y14&gt;=50,MatchLabel,IF(Y14&gt;=20,ReachLabel,IF(Y14&gt;=10,LongshotLabel,HailMaryLabel)))))),"Other")</f>
        <v>0</v>
      </c>
      <c r="AA14" s="48">
        <f>IF($F14&gt;=J$3,1,0)</f>
        <v>0</v>
      </c>
      <c r="AB14" s="48">
        <f>IF($F14&gt;=J$2,1,0)</f>
        <v>0</v>
      </c>
      <c r="AC14" s="48">
        <f>IF(ISNUMBER(Y14),1-Y14/100,1)</f>
        <v>0</v>
      </c>
      <c r="AD14" s="49">
        <f>IF(AA14=1,AC14,1)</f>
        <v>0</v>
      </c>
      <c r="AE14" s="49">
        <f>IF(AB14=1,AC14,1)</f>
        <v>0</v>
      </c>
      <c r="AF14" s="49">
        <f>IF(L14=1,AD14,1)</f>
        <v>0</v>
      </c>
      <c r="AG14" s="49">
        <f>IF(L14=1,AE14,1)</f>
        <v>0</v>
      </c>
    </row>
    <row r="15" spans="1:33">
      <c r="A15" s="69">
        <f>A14</f>
        <v>0</v>
      </c>
      <c r="B15" s="69">
        <f>B14</f>
        <v>0</v>
      </c>
      <c r="D15" s="18">
        <f>INDEX(ExtraCollegeNCES,MATCH(E15,ExtraCollegeChoice,0))</f>
        <v>0</v>
      </c>
      <c r="E15" s="78"/>
      <c r="F15" s="11">
        <f>IF(ISERROR(D15),"",INDEX(IF(OR(H3="H",H3="B"),AllCollegeAAHGR,AllCollegeGR),MATCH(D15,AllCollegeNCES,0)))</f>
        <v>0</v>
      </c>
      <c r="G15" s="11">
        <f>IF(ISERROR(D15),"",IF(ISNUMBER(Y15),Y15/100,"N/A"))</f>
        <v>0</v>
      </c>
      <c r="H15" s="11">
        <f>IF(ISERROR(D15),"",Z15)</f>
        <v>0</v>
      </c>
      <c r="I15" s="11">
        <f>IF(ISERROR(D15),"","N/A")</f>
        <v>0</v>
      </c>
      <c r="J15" s="11">
        <f>IF(ISERROR(D15),"",INDEX(AllCollegeMoneyCode,MATCH(D15,AllCollegeNCES,0)))</f>
        <v>0</v>
      </c>
      <c r="K15" s="48">
        <f>INDEX(AllCollegeBarrons,MATCH(D15,AllCollegeNCES,0))</f>
        <v>0</v>
      </c>
      <c r="L15" s="48">
        <f>IF(ISERROR(D15),"",INDEX(AllCollegeMoney,MATCH(D15,AllCollegeNCES,0)))</f>
        <v>0</v>
      </c>
      <c r="M15" s="48">
        <f>INDEX(AllCollegeACT25,MATCH(D15,AllCollegeNCES,0))</f>
        <v>0</v>
      </c>
      <c r="N15" s="48">
        <f>G3</f>
        <v>0</v>
      </c>
      <c r="O15" s="48">
        <f>F4</f>
        <v>0</v>
      </c>
      <c r="P15" s="48">
        <f>INDEX(CustomWeightsGPA,MATCH($H3&amp;":"&amp;$D15,CustomWeightsIndex,0))</f>
        <v>0</v>
      </c>
      <c r="Q15" s="48">
        <f>INDEX(CustomWeightsACT,MATCH($H3&amp;":"&amp;$D15,CustomWeightsIndex,0))</f>
        <v>0</v>
      </c>
      <c r="R15" s="48">
        <f>INDEX(CustomWeightsIntercept,MATCH($H3&amp;":"&amp;$D15,CustomWeightsIndex,0))</f>
        <v>0</v>
      </c>
      <c r="S15" s="48">
        <f>P15*N15+Q15*O15+R15</f>
        <v>0</v>
      </c>
      <c r="T15" s="48">
        <f>INDEX(CoefficientsGPA,MATCH($H3&amp;":"&amp;$K15,CoefficientsIndex,0))</f>
        <v>0</v>
      </c>
      <c r="U15" s="48">
        <f>INDEX(CoefficientsACT,MATCH($H3&amp;":"&amp;$K15,CoefficientsIndex,0))</f>
        <v>0</v>
      </c>
      <c r="V15" s="48">
        <f>INDEX(CoefficientsIntercept,MATCH($H3&amp;":"&amp;$K15,CoefficientsIndex,0))</f>
        <v>0</v>
      </c>
      <c r="W15" s="48">
        <f>T15*N15+(O15-M15)*U15+V15</f>
        <v>0</v>
      </c>
      <c r="X15" s="48">
        <f>IF(ISNUMBER(S15),S15,W15)</f>
        <v>0</v>
      </c>
      <c r="Y15" s="48">
        <f>IF(ISNUMBER(X15),IF(AND(T15=1,U15=1,V15=1),100,100*EXP(X15)/(1+EXP(X15))),"N/A")</f>
        <v>0</v>
      </c>
      <c r="Z15" s="48">
        <f>IF(ISNUMBER(Y15),IF(Y15&gt;=99,SureThingLabel,IF(Y15&gt;=95,SecureLabel,IF(Y15&gt;=80,SafetyLabel,IF(Y15&gt;=50,MatchLabel,IF(Y15&gt;=20,ReachLabel,IF(Y15&gt;=10,LongshotLabel,HailMaryLabel)))))),"Other")</f>
        <v>0</v>
      </c>
      <c r="AA15" s="48">
        <f>IF($F15&gt;=J$3,1,0)</f>
        <v>0</v>
      </c>
      <c r="AB15" s="48">
        <f>IF($F15&gt;=J$2,1,0)</f>
        <v>0</v>
      </c>
      <c r="AC15" s="48">
        <f>IF(ISNUMBER(Y15),1-Y15/100,1)</f>
        <v>0</v>
      </c>
      <c r="AD15" s="49">
        <f>IF(AA15=1,AC15,1)</f>
        <v>0</v>
      </c>
      <c r="AE15" s="49">
        <f>IF(AB15=1,AC15,1)</f>
        <v>0</v>
      </c>
      <c r="AF15" s="49">
        <f>IF(L15=1,AD15,1)</f>
        <v>0</v>
      </c>
      <c r="AG15" s="49">
        <f>IF(L15=1,AE15,1)</f>
        <v>0</v>
      </c>
    </row>
    <row r="16" spans="1:33">
      <c r="A16" s="69">
        <f>A15</f>
        <v>0</v>
      </c>
      <c r="B16" s="69">
        <f>B15</f>
        <v>0</v>
      </c>
      <c r="D16" s="18">
        <f>INDEX(ExtraCollegeNCES,MATCH(E16,ExtraCollegeChoice,0))</f>
        <v>0</v>
      </c>
      <c r="E16" s="78"/>
      <c r="F16" s="11">
        <f>IF(ISERROR(D16),"",INDEX(IF(OR(H3="H",H3="B"),AllCollegeAAHGR,AllCollegeGR),MATCH(D16,AllCollegeNCES,0)))</f>
        <v>0</v>
      </c>
      <c r="G16" s="11">
        <f>IF(ISERROR(D16),"",IF(ISNUMBER(Y16),Y16/100,"N/A"))</f>
        <v>0</v>
      </c>
      <c r="H16" s="11">
        <f>IF(ISERROR(D16),"",Z16)</f>
        <v>0</v>
      </c>
      <c r="I16" s="11">
        <f>IF(ISERROR(D16),"","N/A")</f>
        <v>0</v>
      </c>
      <c r="J16" s="11">
        <f>IF(ISERROR(D16),"",INDEX(AllCollegeMoneyCode,MATCH(D16,AllCollegeNCES,0)))</f>
        <v>0</v>
      </c>
      <c r="K16" s="48">
        <f>INDEX(AllCollegeBarrons,MATCH(D16,AllCollegeNCES,0))</f>
        <v>0</v>
      </c>
      <c r="L16" s="48">
        <f>IF(ISERROR(D16),"",INDEX(AllCollegeMoney,MATCH(D16,AllCollegeNCES,0)))</f>
        <v>0</v>
      </c>
      <c r="M16" s="48">
        <f>INDEX(AllCollegeACT25,MATCH(D16,AllCollegeNCES,0))</f>
        <v>0</v>
      </c>
      <c r="N16" s="48">
        <f>G3</f>
        <v>0</v>
      </c>
      <c r="O16" s="48">
        <f>F4</f>
        <v>0</v>
      </c>
      <c r="P16" s="48">
        <f>INDEX(CustomWeightsGPA,MATCH($H3&amp;":"&amp;$D16,CustomWeightsIndex,0))</f>
        <v>0</v>
      </c>
      <c r="Q16" s="48">
        <f>INDEX(CustomWeightsACT,MATCH($H3&amp;":"&amp;$D16,CustomWeightsIndex,0))</f>
        <v>0</v>
      </c>
      <c r="R16" s="48">
        <f>INDEX(CustomWeightsIntercept,MATCH($H3&amp;":"&amp;$D16,CustomWeightsIndex,0))</f>
        <v>0</v>
      </c>
      <c r="S16" s="48">
        <f>P16*N16+Q16*O16+R16</f>
        <v>0</v>
      </c>
      <c r="T16" s="48">
        <f>INDEX(CoefficientsGPA,MATCH($H3&amp;":"&amp;$K16,CoefficientsIndex,0))</f>
        <v>0</v>
      </c>
      <c r="U16" s="48">
        <f>INDEX(CoefficientsACT,MATCH($H3&amp;":"&amp;$K16,CoefficientsIndex,0))</f>
        <v>0</v>
      </c>
      <c r="V16" s="48">
        <f>INDEX(CoefficientsIntercept,MATCH($H3&amp;":"&amp;$K16,CoefficientsIndex,0))</f>
        <v>0</v>
      </c>
      <c r="W16" s="48">
        <f>T16*N16+(O16-M16)*U16+V16</f>
        <v>0</v>
      </c>
      <c r="X16" s="48">
        <f>IF(ISNUMBER(S16),S16,W16)</f>
        <v>0</v>
      </c>
      <c r="Y16" s="48">
        <f>IF(ISNUMBER(X16),IF(AND(T16=1,U16=1,V16=1),100,100*EXP(X16)/(1+EXP(X16))),"N/A")</f>
        <v>0</v>
      </c>
      <c r="Z16" s="48">
        <f>IF(ISNUMBER(Y16),IF(Y16&gt;=99,SureThingLabel,IF(Y16&gt;=95,SecureLabel,IF(Y16&gt;=80,SafetyLabel,IF(Y16&gt;=50,MatchLabel,IF(Y16&gt;=20,ReachLabel,IF(Y16&gt;=10,LongshotLabel,HailMaryLabel)))))),"Other")</f>
        <v>0</v>
      </c>
      <c r="AA16" s="48">
        <f>IF($F16&gt;=J$3,1,0)</f>
        <v>0</v>
      </c>
      <c r="AB16" s="48">
        <f>IF($F16&gt;=J$2,1,0)</f>
        <v>0</v>
      </c>
      <c r="AC16" s="48">
        <f>IF(ISNUMBER(Y16),1-Y16/100,1)</f>
        <v>0</v>
      </c>
      <c r="AD16" s="49">
        <f>IF(AA16=1,AC16,1)</f>
        <v>0</v>
      </c>
      <c r="AE16" s="49">
        <f>IF(AB16=1,AC16,1)</f>
        <v>0</v>
      </c>
      <c r="AF16" s="49">
        <f>IF(L16=1,AD16,1)</f>
        <v>0</v>
      </c>
      <c r="AG16" s="49">
        <f>IF(L16=1,AE16,1)</f>
        <v>0</v>
      </c>
    </row>
    <row r="17" spans="1:33">
      <c r="A17" s="69">
        <f>A16</f>
        <v>0</v>
      </c>
      <c r="B17" s="69">
        <f>B16</f>
        <v>0</v>
      </c>
      <c r="D17" s="18">
        <f>INDEX(ExtraCollegeNCES,MATCH(E17,ExtraCollegeChoice,0))</f>
        <v>0</v>
      </c>
      <c r="E17" s="78"/>
      <c r="F17" s="11">
        <f>IF(ISERROR(D17),"",INDEX(IF(OR(H3="H",H3="B"),AllCollegeAAHGR,AllCollegeGR),MATCH(D17,AllCollegeNCES,0)))</f>
        <v>0</v>
      </c>
      <c r="G17" s="11">
        <f>IF(ISERROR(D17),"",IF(ISNUMBER(Y17),Y17/100,"N/A"))</f>
        <v>0</v>
      </c>
      <c r="H17" s="11">
        <f>IF(ISERROR(D17),"",Z17)</f>
        <v>0</v>
      </c>
      <c r="I17" s="11">
        <f>IF(ISERROR(D17),"","N/A")</f>
        <v>0</v>
      </c>
      <c r="J17" s="11">
        <f>IF(ISERROR(D17),"",INDEX(AllCollegeMoneyCode,MATCH(D17,AllCollegeNCES,0)))</f>
        <v>0</v>
      </c>
      <c r="K17" s="48">
        <f>INDEX(AllCollegeBarrons,MATCH(D17,AllCollegeNCES,0))</f>
        <v>0</v>
      </c>
      <c r="L17" s="48">
        <f>IF(ISERROR(D17),"",INDEX(AllCollegeMoney,MATCH(D17,AllCollegeNCES,0)))</f>
        <v>0</v>
      </c>
      <c r="M17" s="48">
        <f>INDEX(AllCollegeACT25,MATCH(D17,AllCollegeNCES,0))</f>
        <v>0</v>
      </c>
      <c r="N17" s="48">
        <f>G3</f>
        <v>0</v>
      </c>
      <c r="O17" s="48">
        <f>F4</f>
        <v>0</v>
      </c>
      <c r="P17" s="48">
        <f>INDEX(CustomWeightsGPA,MATCH($H3&amp;":"&amp;$D17,CustomWeightsIndex,0))</f>
        <v>0</v>
      </c>
      <c r="Q17" s="48">
        <f>INDEX(CustomWeightsACT,MATCH($H3&amp;":"&amp;$D17,CustomWeightsIndex,0))</f>
        <v>0</v>
      </c>
      <c r="R17" s="48">
        <f>INDEX(CustomWeightsIntercept,MATCH($H3&amp;":"&amp;$D17,CustomWeightsIndex,0))</f>
        <v>0</v>
      </c>
      <c r="S17" s="48">
        <f>P17*N17+Q17*O17+R17</f>
        <v>0</v>
      </c>
      <c r="T17" s="48">
        <f>INDEX(CoefficientsGPA,MATCH($H3&amp;":"&amp;$K17,CoefficientsIndex,0))</f>
        <v>0</v>
      </c>
      <c r="U17" s="48">
        <f>INDEX(CoefficientsACT,MATCH($H3&amp;":"&amp;$K17,CoefficientsIndex,0))</f>
        <v>0</v>
      </c>
      <c r="V17" s="48">
        <f>INDEX(CoefficientsIntercept,MATCH($H3&amp;":"&amp;$K17,CoefficientsIndex,0))</f>
        <v>0</v>
      </c>
      <c r="W17" s="48">
        <f>T17*N17+(O17-M17)*U17+V17</f>
        <v>0</v>
      </c>
      <c r="X17" s="48">
        <f>IF(ISNUMBER(S17),S17,W17)</f>
        <v>0</v>
      </c>
      <c r="Y17" s="48">
        <f>IF(ISNUMBER(X17),IF(AND(T17=1,U17=1,V17=1),100,100*EXP(X17)/(1+EXP(X17))),"N/A")</f>
        <v>0</v>
      </c>
      <c r="Z17" s="48">
        <f>IF(ISNUMBER(Y17),IF(Y17&gt;=99,SureThingLabel,IF(Y17&gt;=95,SecureLabel,IF(Y17&gt;=80,SafetyLabel,IF(Y17&gt;=50,MatchLabel,IF(Y17&gt;=20,ReachLabel,IF(Y17&gt;=10,LongshotLabel,HailMaryLabel)))))),"Other")</f>
        <v>0</v>
      </c>
      <c r="AA17" s="48">
        <f>IF($F17&gt;=J$3,1,0)</f>
        <v>0</v>
      </c>
      <c r="AB17" s="48">
        <f>IF($F17&gt;=J$2,1,0)</f>
        <v>0</v>
      </c>
      <c r="AC17" s="48">
        <f>IF(ISNUMBER(Y17),1-Y17/100,1)</f>
        <v>0</v>
      </c>
      <c r="AD17" s="49">
        <f>IF(AA17=1,AC17,1)</f>
        <v>0</v>
      </c>
      <c r="AE17" s="49">
        <f>IF(AB17=1,AC17,1)</f>
        <v>0</v>
      </c>
      <c r="AF17" s="49">
        <f>IF(L17=1,AD17,1)</f>
        <v>0</v>
      </c>
      <c r="AG17" s="49">
        <f>IF(L17=1,AE17,1)</f>
        <v>0</v>
      </c>
    </row>
    <row r="18" spans="1:33">
      <c r="A18" s="69">
        <f>A17</f>
        <v>0</v>
      </c>
      <c r="B18" s="69">
        <f>B17</f>
        <v>0</v>
      </c>
      <c r="D18" s="18">
        <f>INDEX(ExtraCollegeNCES,MATCH(E18,ExtraCollegeChoice,0))</f>
        <v>0</v>
      </c>
      <c r="E18" s="78"/>
      <c r="F18" s="11">
        <f>IF(ISERROR(D18),"",INDEX(IF(OR(H3="H",H3="B"),AllCollegeAAHGR,AllCollegeGR),MATCH(D18,AllCollegeNCES,0)))</f>
        <v>0</v>
      </c>
      <c r="G18" s="11">
        <f>IF(ISERROR(D18),"",IF(ISNUMBER(Y18),Y18/100,"N/A"))</f>
        <v>0</v>
      </c>
      <c r="H18" s="11">
        <f>IF(ISERROR(D18),"",Z18)</f>
        <v>0</v>
      </c>
      <c r="I18" s="11">
        <f>IF(ISERROR(D18),"","N/A")</f>
        <v>0</v>
      </c>
      <c r="J18" s="11">
        <f>IF(ISERROR(D18),"",INDEX(AllCollegeMoneyCode,MATCH(D18,AllCollegeNCES,0)))</f>
        <v>0</v>
      </c>
      <c r="K18" s="48">
        <f>INDEX(AllCollegeBarrons,MATCH(D18,AllCollegeNCES,0))</f>
        <v>0</v>
      </c>
      <c r="L18" s="48">
        <f>IF(ISERROR(D18),"",INDEX(AllCollegeMoney,MATCH(D18,AllCollegeNCES,0)))</f>
        <v>0</v>
      </c>
      <c r="M18" s="48">
        <f>INDEX(AllCollegeACT25,MATCH(D18,AllCollegeNCES,0))</f>
        <v>0</v>
      </c>
      <c r="N18" s="48">
        <f>G3</f>
        <v>0</v>
      </c>
      <c r="O18" s="48">
        <f>F4</f>
        <v>0</v>
      </c>
      <c r="P18" s="48">
        <f>INDEX(CustomWeightsGPA,MATCH($H3&amp;":"&amp;$D18,CustomWeightsIndex,0))</f>
        <v>0</v>
      </c>
      <c r="Q18" s="48">
        <f>INDEX(CustomWeightsACT,MATCH($H3&amp;":"&amp;$D18,CustomWeightsIndex,0))</f>
        <v>0</v>
      </c>
      <c r="R18" s="48">
        <f>INDEX(CustomWeightsIntercept,MATCH($H3&amp;":"&amp;$D18,CustomWeightsIndex,0))</f>
        <v>0</v>
      </c>
      <c r="S18" s="48">
        <f>P18*N18+Q18*O18+R18</f>
        <v>0</v>
      </c>
      <c r="T18" s="48">
        <f>INDEX(CoefficientsGPA,MATCH($H3&amp;":"&amp;$K18,CoefficientsIndex,0))</f>
        <v>0</v>
      </c>
      <c r="U18" s="48">
        <f>INDEX(CoefficientsACT,MATCH($H3&amp;":"&amp;$K18,CoefficientsIndex,0))</f>
        <v>0</v>
      </c>
      <c r="V18" s="48">
        <f>INDEX(CoefficientsIntercept,MATCH($H3&amp;":"&amp;$K18,CoefficientsIndex,0))</f>
        <v>0</v>
      </c>
      <c r="W18" s="48">
        <f>T18*N18+(O18-M18)*U18+V18</f>
        <v>0</v>
      </c>
      <c r="X18" s="48">
        <f>IF(ISNUMBER(S18),S18,W18)</f>
        <v>0</v>
      </c>
      <c r="Y18" s="48">
        <f>IF(ISNUMBER(X18),IF(AND(T18=1,U18=1,V18=1),100,100*EXP(X18)/(1+EXP(X18))),"N/A")</f>
        <v>0</v>
      </c>
      <c r="Z18" s="48">
        <f>IF(ISNUMBER(Y18),IF(Y18&gt;=99,SureThingLabel,IF(Y18&gt;=95,SecureLabel,IF(Y18&gt;=80,SafetyLabel,IF(Y18&gt;=50,MatchLabel,IF(Y18&gt;=20,ReachLabel,IF(Y18&gt;=10,LongshotLabel,HailMaryLabel)))))),"Other")</f>
        <v>0</v>
      </c>
      <c r="AA18" s="48">
        <f>IF($F18&gt;=J$3,1,0)</f>
        <v>0</v>
      </c>
      <c r="AB18" s="48">
        <f>IF($F18&gt;=J$2,1,0)</f>
        <v>0</v>
      </c>
      <c r="AC18" s="48">
        <f>IF(ISNUMBER(Y18),1-Y18/100,1)</f>
        <v>0</v>
      </c>
      <c r="AD18" s="49">
        <f>IF(AA18=1,AC18,1)</f>
        <v>0</v>
      </c>
      <c r="AE18" s="49">
        <f>IF(AB18=1,AC18,1)</f>
        <v>0</v>
      </c>
      <c r="AF18" s="49">
        <f>IF(L18=1,AD18,1)</f>
        <v>0</v>
      </c>
      <c r="AG18" s="49">
        <f>IF(L18=1,AE18,1)</f>
        <v>0</v>
      </c>
    </row>
    <row r="19" spans="1:33">
      <c r="A19" s="69">
        <f>A18</f>
        <v>0</v>
      </c>
      <c r="B19" s="69">
        <f>B18</f>
        <v>0</v>
      </c>
      <c r="D19" s="18">
        <f>INDEX(ExtraCollegeNCES,MATCH(E19,ExtraCollegeChoice,0))</f>
        <v>0</v>
      </c>
      <c r="E19" s="78"/>
      <c r="F19" s="11">
        <f>IF(ISERROR(D19),"",INDEX(IF(OR(H3="H",H3="B"),AllCollegeAAHGR,AllCollegeGR),MATCH(D19,AllCollegeNCES,0)))</f>
        <v>0</v>
      </c>
      <c r="G19" s="11">
        <f>IF(ISERROR(D19),"",IF(ISNUMBER(Y19),Y19/100,"N/A"))</f>
        <v>0</v>
      </c>
      <c r="H19" s="11">
        <f>IF(ISERROR(D19),"",Z19)</f>
        <v>0</v>
      </c>
      <c r="I19" s="11">
        <f>IF(ISERROR(D19),"","N/A")</f>
        <v>0</v>
      </c>
      <c r="J19" s="11">
        <f>IF(ISERROR(D19),"",INDEX(AllCollegeMoneyCode,MATCH(D19,AllCollegeNCES,0)))</f>
        <v>0</v>
      </c>
      <c r="K19" s="48">
        <f>INDEX(AllCollegeBarrons,MATCH(D19,AllCollegeNCES,0))</f>
        <v>0</v>
      </c>
      <c r="L19" s="48">
        <f>IF(ISERROR(D19),"",INDEX(AllCollegeMoney,MATCH(D19,AllCollegeNCES,0)))</f>
        <v>0</v>
      </c>
      <c r="M19" s="48">
        <f>INDEX(AllCollegeACT25,MATCH(D19,AllCollegeNCES,0))</f>
        <v>0</v>
      </c>
      <c r="N19" s="48">
        <f>G3</f>
        <v>0</v>
      </c>
      <c r="O19" s="48">
        <f>F4</f>
        <v>0</v>
      </c>
      <c r="P19" s="48">
        <f>INDEX(CustomWeightsGPA,MATCH($H3&amp;":"&amp;$D19,CustomWeightsIndex,0))</f>
        <v>0</v>
      </c>
      <c r="Q19" s="48">
        <f>INDEX(CustomWeightsACT,MATCH($H3&amp;":"&amp;$D19,CustomWeightsIndex,0))</f>
        <v>0</v>
      </c>
      <c r="R19" s="48">
        <f>INDEX(CustomWeightsIntercept,MATCH($H3&amp;":"&amp;$D19,CustomWeightsIndex,0))</f>
        <v>0</v>
      </c>
      <c r="S19" s="48">
        <f>P19*N19+Q19*O19+R19</f>
        <v>0</v>
      </c>
      <c r="T19" s="48">
        <f>INDEX(CoefficientsGPA,MATCH($H3&amp;":"&amp;$K19,CoefficientsIndex,0))</f>
        <v>0</v>
      </c>
      <c r="U19" s="48">
        <f>INDEX(CoefficientsACT,MATCH($H3&amp;":"&amp;$K19,CoefficientsIndex,0))</f>
        <v>0</v>
      </c>
      <c r="V19" s="48">
        <f>INDEX(CoefficientsIntercept,MATCH($H3&amp;":"&amp;$K19,CoefficientsIndex,0))</f>
        <v>0</v>
      </c>
      <c r="W19" s="48">
        <f>T19*N19+(O19-M19)*U19+V19</f>
        <v>0</v>
      </c>
      <c r="X19" s="48">
        <f>IF(ISNUMBER(S19),S19,W19)</f>
        <v>0</v>
      </c>
      <c r="Y19" s="48">
        <f>IF(ISNUMBER(X19),IF(AND(T19=1,U19=1,V19=1),100,100*EXP(X19)/(1+EXP(X19))),"N/A")</f>
        <v>0</v>
      </c>
      <c r="Z19" s="48">
        <f>IF(ISNUMBER(Y19),IF(Y19&gt;=99,SureThingLabel,IF(Y19&gt;=95,SecureLabel,IF(Y19&gt;=80,SafetyLabel,IF(Y19&gt;=50,MatchLabel,IF(Y19&gt;=20,ReachLabel,IF(Y19&gt;=10,LongshotLabel,HailMaryLabel)))))),"Other")</f>
        <v>0</v>
      </c>
      <c r="AA19" s="48">
        <f>IF($F19&gt;=J$3,1,0)</f>
        <v>0</v>
      </c>
      <c r="AB19" s="48">
        <f>IF($F19&gt;=J$2,1,0)</f>
        <v>0</v>
      </c>
      <c r="AC19" s="48">
        <f>IF(ISNUMBER(Y19),1-Y19/100,1)</f>
        <v>0</v>
      </c>
      <c r="AD19" s="49">
        <f>IF(AA19=1,AC19,1)</f>
        <v>0</v>
      </c>
      <c r="AE19" s="49">
        <f>IF(AB19=1,AC19,1)</f>
        <v>0</v>
      </c>
      <c r="AF19" s="49">
        <f>IF(L19=1,AD19,1)</f>
        <v>0</v>
      </c>
      <c r="AG19" s="49">
        <f>IF(L19=1,AE19,1)</f>
        <v>0</v>
      </c>
    </row>
    <row r="20" spans="1:33">
      <c r="A20" s="69">
        <f>A19</f>
        <v>0</v>
      </c>
      <c r="B20" s="69">
        <f>B19</f>
        <v>0</v>
      </c>
      <c r="D20" s="18">
        <f>INDEX(ExtraCollegeNCES,MATCH(E20,ExtraCollegeChoice,0))</f>
        <v>0</v>
      </c>
      <c r="E20" s="78"/>
      <c r="F20" s="11">
        <f>IF(ISERROR(D20),"",INDEX(IF(OR(H3="H",H3="B"),AllCollegeAAHGR,AllCollegeGR),MATCH(D20,AllCollegeNCES,0)))</f>
        <v>0</v>
      </c>
      <c r="G20" s="11">
        <f>IF(ISERROR(D20),"",IF(ISNUMBER(Y20),Y20/100,"N/A"))</f>
        <v>0</v>
      </c>
      <c r="H20" s="11">
        <f>IF(ISERROR(D20),"",Z20)</f>
        <v>0</v>
      </c>
      <c r="I20" s="11">
        <f>IF(ISERROR(D20),"","N/A")</f>
        <v>0</v>
      </c>
      <c r="J20" s="11">
        <f>IF(ISERROR(D20),"",INDEX(AllCollegeMoneyCode,MATCH(D20,AllCollegeNCES,0)))</f>
        <v>0</v>
      </c>
      <c r="K20" s="48">
        <f>INDEX(AllCollegeBarrons,MATCH(D20,AllCollegeNCES,0))</f>
        <v>0</v>
      </c>
      <c r="L20" s="48">
        <f>IF(ISERROR(D20),"",INDEX(AllCollegeMoney,MATCH(D20,AllCollegeNCES,0)))</f>
        <v>0</v>
      </c>
      <c r="M20" s="48">
        <f>INDEX(AllCollegeACT25,MATCH(D20,AllCollegeNCES,0))</f>
        <v>0</v>
      </c>
      <c r="N20" s="48">
        <f>G3</f>
        <v>0</v>
      </c>
      <c r="O20" s="48">
        <f>F4</f>
        <v>0</v>
      </c>
      <c r="P20" s="48">
        <f>INDEX(CustomWeightsGPA,MATCH($H3&amp;":"&amp;$D20,CustomWeightsIndex,0))</f>
        <v>0</v>
      </c>
      <c r="Q20" s="48">
        <f>INDEX(CustomWeightsACT,MATCH($H3&amp;":"&amp;$D20,CustomWeightsIndex,0))</f>
        <v>0</v>
      </c>
      <c r="R20" s="48">
        <f>INDEX(CustomWeightsIntercept,MATCH($H3&amp;":"&amp;$D20,CustomWeightsIndex,0))</f>
        <v>0</v>
      </c>
      <c r="S20" s="48">
        <f>P20*N20+Q20*O20+R20</f>
        <v>0</v>
      </c>
      <c r="T20" s="48">
        <f>INDEX(CoefficientsGPA,MATCH($H3&amp;":"&amp;$K20,CoefficientsIndex,0))</f>
        <v>0</v>
      </c>
      <c r="U20" s="48">
        <f>INDEX(CoefficientsACT,MATCH($H3&amp;":"&amp;$K20,CoefficientsIndex,0))</f>
        <v>0</v>
      </c>
      <c r="V20" s="48">
        <f>INDEX(CoefficientsIntercept,MATCH($H3&amp;":"&amp;$K20,CoefficientsIndex,0))</f>
        <v>0</v>
      </c>
      <c r="W20" s="48">
        <f>T20*N20+(O20-M20)*U20+V20</f>
        <v>0</v>
      </c>
      <c r="X20" s="48">
        <f>IF(ISNUMBER(S20),S20,W20)</f>
        <v>0</v>
      </c>
      <c r="Y20" s="48">
        <f>IF(ISNUMBER(X20),IF(AND(T20=1,U20=1,V20=1),100,100*EXP(X20)/(1+EXP(X20))),"N/A")</f>
        <v>0</v>
      </c>
      <c r="Z20" s="48">
        <f>IF(ISNUMBER(Y20),IF(Y20&gt;=99,SureThingLabel,IF(Y20&gt;=95,SecureLabel,IF(Y20&gt;=80,SafetyLabel,IF(Y20&gt;=50,MatchLabel,IF(Y20&gt;=20,ReachLabel,IF(Y20&gt;=10,LongshotLabel,HailMaryLabel)))))),"Other")</f>
        <v>0</v>
      </c>
      <c r="AA20" s="48">
        <f>IF($F20&gt;=J$3,1,0)</f>
        <v>0</v>
      </c>
      <c r="AB20" s="48">
        <f>IF($F20&gt;=J$2,1,0)</f>
        <v>0</v>
      </c>
      <c r="AC20" s="48">
        <f>IF(ISNUMBER(Y20),1-Y20/100,1)</f>
        <v>0</v>
      </c>
      <c r="AD20" s="49">
        <f>IF(AA20=1,AC20,1)</f>
        <v>0</v>
      </c>
      <c r="AE20" s="49">
        <f>IF(AB20=1,AC20,1)</f>
        <v>0</v>
      </c>
      <c r="AF20" s="49">
        <f>IF(L20=1,AD20,1)</f>
        <v>0</v>
      </c>
      <c r="AG20" s="49">
        <f>IF(L20=1,AE20,1)</f>
        <v>0</v>
      </c>
    </row>
    <row r="21" spans="1:33">
      <c r="A21" s="69">
        <f>A20</f>
        <v>0</v>
      </c>
      <c r="B21" s="69">
        <f>B20</f>
        <v>0</v>
      </c>
      <c r="D21" s="18">
        <f>INDEX(ExtraCollegeNCES,MATCH(E21,ExtraCollegeChoice,0))</f>
        <v>0</v>
      </c>
      <c r="E21" s="78"/>
      <c r="F21" s="11">
        <f>IF(ISERROR(D21),"",INDEX(IF(OR(H3="H",H3="B"),AllCollegeAAHGR,AllCollegeGR),MATCH(D21,AllCollegeNCES,0)))</f>
        <v>0</v>
      </c>
      <c r="G21" s="11">
        <f>IF(ISERROR(D21),"",IF(ISNUMBER(Y21),Y21/100,"N/A"))</f>
        <v>0</v>
      </c>
      <c r="H21" s="11">
        <f>IF(ISERROR(D21),"",Z21)</f>
        <v>0</v>
      </c>
      <c r="I21" s="11">
        <f>IF(ISERROR(D21),"","N/A")</f>
        <v>0</v>
      </c>
      <c r="J21" s="11">
        <f>IF(ISERROR(D21),"",INDEX(AllCollegeMoneyCode,MATCH(D21,AllCollegeNCES,0)))</f>
        <v>0</v>
      </c>
      <c r="K21" s="48">
        <f>INDEX(AllCollegeBarrons,MATCH(D21,AllCollegeNCES,0))</f>
        <v>0</v>
      </c>
      <c r="L21" s="48">
        <f>IF(ISERROR(D21),"",INDEX(AllCollegeMoney,MATCH(D21,AllCollegeNCES,0)))</f>
        <v>0</v>
      </c>
      <c r="M21" s="48">
        <f>INDEX(AllCollegeACT25,MATCH(D21,AllCollegeNCES,0))</f>
        <v>0</v>
      </c>
      <c r="N21" s="48">
        <f>G3</f>
        <v>0</v>
      </c>
      <c r="O21" s="48">
        <f>F4</f>
        <v>0</v>
      </c>
      <c r="P21" s="48">
        <f>INDEX(CustomWeightsGPA,MATCH($H3&amp;":"&amp;$D21,CustomWeightsIndex,0))</f>
        <v>0</v>
      </c>
      <c r="Q21" s="48">
        <f>INDEX(CustomWeightsACT,MATCH($H3&amp;":"&amp;$D21,CustomWeightsIndex,0))</f>
        <v>0</v>
      </c>
      <c r="R21" s="48">
        <f>INDEX(CustomWeightsIntercept,MATCH($H3&amp;":"&amp;$D21,CustomWeightsIndex,0))</f>
        <v>0</v>
      </c>
      <c r="S21" s="48">
        <f>P21*N21+Q21*O21+R21</f>
        <v>0</v>
      </c>
      <c r="T21" s="48">
        <f>INDEX(CoefficientsGPA,MATCH($H3&amp;":"&amp;$K21,CoefficientsIndex,0))</f>
        <v>0</v>
      </c>
      <c r="U21" s="48">
        <f>INDEX(CoefficientsACT,MATCH($H3&amp;":"&amp;$K21,CoefficientsIndex,0))</f>
        <v>0</v>
      </c>
      <c r="V21" s="48">
        <f>INDEX(CoefficientsIntercept,MATCH($H3&amp;":"&amp;$K21,CoefficientsIndex,0))</f>
        <v>0</v>
      </c>
      <c r="W21" s="48">
        <f>T21*N21+(O21-M21)*U21+V21</f>
        <v>0</v>
      </c>
      <c r="X21" s="48">
        <f>IF(ISNUMBER(S21),S21,W21)</f>
        <v>0</v>
      </c>
      <c r="Y21" s="48">
        <f>IF(ISNUMBER(X21),IF(AND(T21=1,U21=1,V21=1),100,100*EXP(X21)/(1+EXP(X21))),"N/A")</f>
        <v>0</v>
      </c>
      <c r="Z21" s="48">
        <f>IF(ISNUMBER(Y21),IF(Y21&gt;=99,SureThingLabel,IF(Y21&gt;=95,SecureLabel,IF(Y21&gt;=80,SafetyLabel,IF(Y21&gt;=50,MatchLabel,IF(Y21&gt;=20,ReachLabel,IF(Y21&gt;=10,LongshotLabel,HailMaryLabel)))))),"Other")</f>
        <v>0</v>
      </c>
      <c r="AA21" s="48">
        <f>IF($F21&gt;=J$3,1,0)</f>
        <v>0</v>
      </c>
      <c r="AB21" s="48">
        <f>IF($F21&gt;=J$2,1,0)</f>
        <v>0</v>
      </c>
      <c r="AC21" s="48">
        <f>IF(ISNUMBER(Y21),1-Y21/100,1)</f>
        <v>0</v>
      </c>
      <c r="AD21" s="49">
        <f>IF(AA21=1,AC21,1)</f>
        <v>0</v>
      </c>
      <c r="AE21" s="49">
        <f>IF(AB21=1,AC21,1)</f>
        <v>0</v>
      </c>
      <c r="AF21" s="49">
        <f>IF(L21=1,AD21,1)</f>
        <v>0</v>
      </c>
      <c r="AG21" s="49">
        <f>IF(L21=1,AE21,1)</f>
        <v>0</v>
      </c>
    </row>
    <row r="22" spans="1:33">
      <c r="A22" s="69">
        <f>A21</f>
        <v>0</v>
      </c>
      <c r="B22" s="69">
        <f>B21</f>
        <v>0</v>
      </c>
      <c r="D22" s="18">
        <f>INDEX(ExtraCollegeNCES,MATCH(E22,ExtraCollegeChoice,0))</f>
        <v>0</v>
      </c>
      <c r="E22" s="78"/>
      <c r="F22" s="11">
        <f>IF(ISERROR(D22),"",INDEX(IF(OR(H3="H",H3="B"),AllCollegeAAHGR,AllCollegeGR),MATCH(D22,AllCollegeNCES,0)))</f>
        <v>0</v>
      </c>
      <c r="G22" s="11">
        <f>IF(ISERROR(D22),"",IF(ISNUMBER(Y22),Y22/100,"N/A"))</f>
        <v>0</v>
      </c>
      <c r="H22" s="11">
        <f>IF(ISERROR(D22),"",Z22)</f>
        <v>0</v>
      </c>
      <c r="I22" s="11">
        <f>IF(ISERROR(D22),"","N/A")</f>
        <v>0</v>
      </c>
      <c r="J22" s="11">
        <f>IF(ISERROR(D22),"",INDEX(AllCollegeMoneyCode,MATCH(D22,AllCollegeNCES,0)))</f>
        <v>0</v>
      </c>
      <c r="K22" s="48">
        <f>INDEX(AllCollegeBarrons,MATCH(D22,AllCollegeNCES,0))</f>
        <v>0</v>
      </c>
      <c r="L22" s="48">
        <f>IF(ISERROR(D22),"",INDEX(AllCollegeMoney,MATCH(D22,AllCollegeNCES,0)))</f>
        <v>0</v>
      </c>
      <c r="M22" s="48">
        <f>INDEX(AllCollegeACT25,MATCH(D22,AllCollegeNCES,0))</f>
        <v>0</v>
      </c>
      <c r="N22" s="48">
        <f>G3</f>
        <v>0</v>
      </c>
      <c r="O22" s="48">
        <f>F4</f>
        <v>0</v>
      </c>
      <c r="P22" s="48">
        <f>INDEX(CustomWeightsGPA,MATCH($H3&amp;":"&amp;$D22,CustomWeightsIndex,0))</f>
        <v>0</v>
      </c>
      <c r="Q22" s="48">
        <f>INDEX(CustomWeightsACT,MATCH($H3&amp;":"&amp;$D22,CustomWeightsIndex,0))</f>
        <v>0</v>
      </c>
      <c r="R22" s="48">
        <f>INDEX(CustomWeightsIntercept,MATCH($H3&amp;":"&amp;$D22,CustomWeightsIndex,0))</f>
        <v>0</v>
      </c>
      <c r="S22" s="48">
        <f>P22*N22+Q22*O22+R22</f>
        <v>0</v>
      </c>
      <c r="T22" s="48">
        <f>INDEX(CoefficientsGPA,MATCH($H3&amp;":"&amp;$K22,CoefficientsIndex,0))</f>
        <v>0</v>
      </c>
      <c r="U22" s="48">
        <f>INDEX(CoefficientsACT,MATCH($H3&amp;":"&amp;$K22,CoefficientsIndex,0))</f>
        <v>0</v>
      </c>
      <c r="V22" s="48">
        <f>INDEX(CoefficientsIntercept,MATCH($H3&amp;":"&amp;$K22,CoefficientsIndex,0))</f>
        <v>0</v>
      </c>
      <c r="W22" s="48">
        <f>T22*N22+(O22-M22)*U22+V22</f>
        <v>0</v>
      </c>
      <c r="X22" s="48">
        <f>IF(ISNUMBER(S22),S22,W22)</f>
        <v>0</v>
      </c>
      <c r="Y22" s="48">
        <f>IF(ISNUMBER(X22),IF(AND(T22=1,U22=1,V22=1),100,100*EXP(X22)/(1+EXP(X22))),"N/A")</f>
        <v>0</v>
      </c>
      <c r="Z22" s="48">
        <f>IF(ISNUMBER(Y22),IF(Y22&gt;=99,SureThingLabel,IF(Y22&gt;=95,SecureLabel,IF(Y22&gt;=80,SafetyLabel,IF(Y22&gt;=50,MatchLabel,IF(Y22&gt;=20,ReachLabel,IF(Y22&gt;=10,LongshotLabel,HailMaryLabel)))))),"Other")</f>
        <v>0</v>
      </c>
      <c r="AA22" s="48">
        <f>IF($F22&gt;=J$3,1,0)</f>
        <v>0</v>
      </c>
      <c r="AB22" s="48">
        <f>IF($F22&gt;=J$2,1,0)</f>
        <v>0</v>
      </c>
      <c r="AC22" s="48">
        <f>IF(ISNUMBER(Y22),1-Y22/100,1)</f>
        <v>0</v>
      </c>
      <c r="AD22" s="49">
        <f>IF(AA22=1,AC22,1)</f>
        <v>0</v>
      </c>
      <c r="AE22" s="49">
        <f>IF(AB22=1,AC22,1)</f>
        <v>0</v>
      </c>
      <c r="AF22" s="49">
        <f>IF(L22=1,AD22,1)</f>
        <v>0</v>
      </c>
      <c r="AG22" s="49">
        <f>IF(L22=1,AE22,1)</f>
        <v>0</v>
      </c>
    </row>
    <row r="23" spans="1:33">
      <c r="A23" s="69">
        <f>A22</f>
        <v>0</v>
      </c>
      <c r="B23" s="69">
        <f>B22</f>
        <v>0</v>
      </c>
      <c r="D23" s="18">
        <f>INDEX(ExtraCollegeNCES,MATCH(E23,ExtraCollegeChoice,0))</f>
        <v>0</v>
      </c>
      <c r="E23" s="78"/>
      <c r="F23" s="11">
        <f>IF(ISERROR(D23),"",INDEX(IF(OR(H3="H",H3="B"),AllCollegeAAHGR,AllCollegeGR),MATCH(D23,AllCollegeNCES,0)))</f>
        <v>0</v>
      </c>
      <c r="G23" s="11">
        <f>IF(ISERROR(D23),"",IF(ISNUMBER(Y23),Y23/100,"N/A"))</f>
        <v>0</v>
      </c>
      <c r="H23" s="11">
        <f>IF(ISERROR(D23),"",Z23)</f>
        <v>0</v>
      </c>
      <c r="I23" s="11">
        <f>IF(ISERROR(D23),"","N/A")</f>
        <v>0</v>
      </c>
      <c r="J23" s="11">
        <f>IF(ISERROR(D23),"",INDEX(AllCollegeMoneyCode,MATCH(D23,AllCollegeNCES,0)))</f>
        <v>0</v>
      </c>
      <c r="K23" s="48">
        <f>INDEX(AllCollegeBarrons,MATCH(D23,AllCollegeNCES,0))</f>
        <v>0</v>
      </c>
      <c r="L23" s="48">
        <f>IF(ISERROR(D23),"",INDEX(AllCollegeMoney,MATCH(D23,AllCollegeNCES,0)))</f>
        <v>0</v>
      </c>
      <c r="M23" s="48">
        <f>INDEX(AllCollegeACT25,MATCH(D23,AllCollegeNCES,0))</f>
        <v>0</v>
      </c>
      <c r="N23" s="48">
        <f>G3</f>
        <v>0</v>
      </c>
      <c r="O23" s="48">
        <f>F4</f>
        <v>0</v>
      </c>
      <c r="P23" s="48">
        <f>INDEX(CustomWeightsGPA,MATCH($H3&amp;":"&amp;$D23,CustomWeightsIndex,0))</f>
        <v>0</v>
      </c>
      <c r="Q23" s="48">
        <f>INDEX(CustomWeightsACT,MATCH($H3&amp;":"&amp;$D23,CustomWeightsIndex,0))</f>
        <v>0</v>
      </c>
      <c r="R23" s="48">
        <f>INDEX(CustomWeightsIntercept,MATCH($H3&amp;":"&amp;$D23,CustomWeightsIndex,0))</f>
        <v>0</v>
      </c>
      <c r="S23" s="48">
        <f>P23*N23+Q23*O23+R23</f>
        <v>0</v>
      </c>
      <c r="T23" s="48">
        <f>INDEX(CoefficientsGPA,MATCH($H3&amp;":"&amp;$K23,CoefficientsIndex,0))</f>
        <v>0</v>
      </c>
      <c r="U23" s="48">
        <f>INDEX(CoefficientsACT,MATCH($H3&amp;":"&amp;$K23,CoefficientsIndex,0))</f>
        <v>0</v>
      </c>
      <c r="V23" s="48">
        <f>INDEX(CoefficientsIntercept,MATCH($H3&amp;":"&amp;$K23,CoefficientsIndex,0))</f>
        <v>0</v>
      </c>
      <c r="W23" s="48">
        <f>T23*N23+(O23-M23)*U23+V23</f>
        <v>0</v>
      </c>
      <c r="X23" s="48">
        <f>IF(ISNUMBER(S23),S23,W23)</f>
        <v>0</v>
      </c>
      <c r="Y23" s="48">
        <f>IF(ISNUMBER(X23),IF(AND(T23=1,U23=1,V23=1),100,100*EXP(X23)/(1+EXP(X23))),"N/A")</f>
        <v>0</v>
      </c>
      <c r="Z23" s="48">
        <f>IF(ISNUMBER(Y23),IF(Y23&gt;=99,SureThingLabel,IF(Y23&gt;=95,SecureLabel,IF(Y23&gt;=80,SafetyLabel,IF(Y23&gt;=50,MatchLabel,IF(Y23&gt;=20,ReachLabel,IF(Y23&gt;=10,LongshotLabel,HailMaryLabel)))))),"Other")</f>
        <v>0</v>
      </c>
      <c r="AA23" s="48">
        <f>IF($F23&gt;=J$3,1,0)</f>
        <v>0</v>
      </c>
      <c r="AB23" s="48">
        <f>IF($F23&gt;=J$2,1,0)</f>
        <v>0</v>
      </c>
      <c r="AC23" s="48">
        <f>IF(ISNUMBER(Y23),1-Y23/100,1)</f>
        <v>0</v>
      </c>
      <c r="AD23" s="49">
        <f>IF(AA23=1,AC23,1)</f>
        <v>0</v>
      </c>
      <c r="AE23" s="49">
        <f>IF(AB23=1,AC23,1)</f>
        <v>0</v>
      </c>
      <c r="AF23" s="49">
        <f>IF(L23=1,AD23,1)</f>
        <v>0</v>
      </c>
      <c r="AG23" s="49">
        <f>IF(L23=1,AE23,1)</f>
        <v>0</v>
      </c>
    </row>
    <row r="24" spans="1:33">
      <c r="A24" s="69">
        <f>A23</f>
        <v>0</v>
      </c>
      <c r="B24" s="69">
        <f>B23</f>
        <v>0</v>
      </c>
      <c r="D24" s="18">
        <f>INDEX(ExtraCollegeNCES,MATCH(E24,ExtraCollegeChoice,0))</f>
        <v>0</v>
      </c>
      <c r="E24" s="78"/>
      <c r="F24" s="11">
        <f>IF(ISERROR(D24),"",INDEX(IF(OR(H3="H",H3="B"),AllCollegeAAHGR,AllCollegeGR),MATCH(D24,AllCollegeNCES,0)))</f>
        <v>0</v>
      </c>
      <c r="G24" s="11">
        <f>IF(ISERROR(D24),"",IF(ISNUMBER(Y24),Y24/100,"N/A"))</f>
        <v>0</v>
      </c>
      <c r="H24" s="11">
        <f>IF(ISERROR(D24),"",Z24)</f>
        <v>0</v>
      </c>
      <c r="I24" s="11">
        <f>IF(ISERROR(D24),"","N/A")</f>
        <v>0</v>
      </c>
      <c r="J24" s="11">
        <f>IF(ISERROR(D24),"",INDEX(AllCollegeMoneyCode,MATCH(D24,AllCollegeNCES,0)))</f>
        <v>0</v>
      </c>
      <c r="K24" s="48">
        <f>INDEX(AllCollegeBarrons,MATCH(D24,AllCollegeNCES,0))</f>
        <v>0</v>
      </c>
      <c r="L24" s="48">
        <f>IF(ISERROR(D24),"",INDEX(AllCollegeMoney,MATCH(D24,AllCollegeNCES,0)))</f>
        <v>0</v>
      </c>
      <c r="M24" s="48">
        <f>INDEX(AllCollegeACT25,MATCH(D24,AllCollegeNCES,0))</f>
        <v>0</v>
      </c>
      <c r="N24" s="48">
        <f>G3</f>
        <v>0</v>
      </c>
      <c r="O24" s="48">
        <f>F4</f>
        <v>0</v>
      </c>
      <c r="P24" s="48">
        <f>INDEX(CustomWeightsGPA,MATCH($H3&amp;":"&amp;$D24,CustomWeightsIndex,0))</f>
        <v>0</v>
      </c>
      <c r="Q24" s="48">
        <f>INDEX(CustomWeightsACT,MATCH($H3&amp;":"&amp;$D24,CustomWeightsIndex,0))</f>
        <v>0</v>
      </c>
      <c r="R24" s="48">
        <f>INDEX(CustomWeightsIntercept,MATCH($H3&amp;":"&amp;$D24,CustomWeightsIndex,0))</f>
        <v>0</v>
      </c>
      <c r="S24" s="48">
        <f>P24*N24+Q24*O24+R24</f>
        <v>0</v>
      </c>
      <c r="T24" s="48">
        <f>INDEX(CoefficientsGPA,MATCH($H3&amp;":"&amp;$K24,CoefficientsIndex,0))</f>
        <v>0</v>
      </c>
      <c r="U24" s="48">
        <f>INDEX(CoefficientsACT,MATCH($H3&amp;":"&amp;$K24,CoefficientsIndex,0))</f>
        <v>0</v>
      </c>
      <c r="V24" s="48">
        <f>INDEX(CoefficientsIntercept,MATCH($H3&amp;":"&amp;$K24,CoefficientsIndex,0))</f>
        <v>0</v>
      </c>
      <c r="W24" s="48">
        <f>T24*N24+(O24-M24)*U24+V24</f>
        <v>0</v>
      </c>
      <c r="X24" s="48">
        <f>IF(ISNUMBER(S24),S24,W24)</f>
        <v>0</v>
      </c>
      <c r="Y24" s="48">
        <f>IF(ISNUMBER(X24),IF(AND(T24=1,U24=1,V24=1),100,100*EXP(X24)/(1+EXP(X24))),"N/A")</f>
        <v>0</v>
      </c>
      <c r="Z24" s="48">
        <f>IF(ISNUMBER(Y24),IF(Y24&gt;=99,SureThingLabel,IF(Y24&gt;=95,SecureLabel,IF(Y24&gt;=80,SafetyLabel,IF(Y24&gt;=50,MatchLabel,IF(Y24&gt;=20,ReachLabel,IF(Y24&gt;=10,LongshotLabel,HailMaryLabel)))))),"Other")</f>
        <v>0</v>
      </c>
      <c r="AA24" s="48">
        <f>IF($F24&gt;=J$3,1,0)</f>
        <v>0</v>
      </c>
      <c r="AB24" s="48">
        <f>IF($F24&gt;=J$2,1,0)</f>
        <v>0</v>
      </c>
      <c r="AC24" s="48">
        <f>IF(ISNUMBER(Y24),1-Y24/100,1)</f>
        <v>0</v>
      </c>
      <c r="AD24" s="49">
        <f>IF(AA24=1,AC24,1)</f>
        <v>0</v>
      </c>
      <c r="AE24" s="49">
        <f>IF(AB24=1,AC24,1)</f>
        <v>0</v>
      </c>
      <c r="AF24" s="49">
        <f>IF(L24=1,AD24,1)</f>
        <v>0</v>
      </c>
      <c r="AG24" s="49">
        <f>IF(L24=1,AE24,1)</f>
        <v>0</v>
      </c>
    </row>
    <row r="25" spans="1:33">
      <c r="A25" s="69">
        <f>A24</f>
        <v>0</v>
      </c>
      <c r="B25" s="69">
        <f>B24</f>
        <v>0</v>
      </c>
      <c r="D25" s="18">
        <f>INDEX(ExtraCollegeNCES,MATCH(E25,ExtraCollegeChoice,0))</f>
        <v>0</v>
      </c>
      <c r="E25" s="78"/>
      <c r="F25" s="11">
        <f>IF(ISERROR(D25),"",INDEX(IF(OR(H3="H",H3="B"),AllCollegeAAHGR,AllCollegeGR),MATCH(D25,AllCollegeNCES,0)))</f>
        <v>0</v>
      </c>
      <c r="G25" s="11">
        <f>IF(ISERROR(D25),"",IF(ISNUMBER(Y25),Y25/100,"N/A"))</f>
        <v>0</v>
      </c>
      <c r="H25" s="11">
        <f>IF(ISERROR(D25),"",Z25)</f>
        <v>0</v>
      </c>
      <c r="I25" s="11">
        <f>IF(ISERROR(D25),"","N/A")</f>
        <v>0</v>
      </c>
      <c r="J25" s="11">
        <f>IF(ISERROR(D25),"",INDEX(AllCollegeMoneyCode,MATCH(D25,AllCollegeNCES,0)))</f>
        <v>0</v>
      </c>
      <c r="K25" s="48">
        <f>INDEX(AllCollegeBarrons,MATCH(D25,AllCollegeNCES,0))</f>
        <v>0</v>
      </c>
      <c r="L25" s="48">
        <f>IF(ISERROR(D25),"",INDEX(AllCollegeMoney,MATCH(D25,AllCollegeNCES,0)))</f>
        <v>0</v>
      </c>
      <c r="M25" s="48">
        <f>INDEX(AllCollegeACT25,MATCH(D25,AllCollegeNCES,0))</f>
        <v>0</v>
      </c>
      <c r="N25" s="48">
        <f>G3</f>
        <v>0</v>
      </c>
      <c r="O25" s="48">
        <f>F4</f>
        <v>0</v>
      </c>
      <c r="P25" s="48">
        <f>INDEX(CustomWeightsGPA,MATCH($H3&amp;":"&amp;$D25,CustomWeightsIndex,0))</f>
        <v>0</v>
      </c>
      <c r="Q25" s="48">
        <f>INDEX(CustomWeightsACT,MATCH($H3&amp;":"&amp;$D25,CustomWeightsIndex,0))</f>
        <v>0</v>
      </c>
      <c r="R25" s="48">
        <f>INDEX(CustomWeightsIntercept,MATCH($H3&amp;":"&amp;$D25,CustomWeightsIndex,0))</f>
        <v>0</v>
      </c>
      <c r="S25" s="48">
        <f>P25*N25+Q25*O25+R25</f>
        <v>0</v>
      </c>
      <c r="T25" s="48">
        <f>INDEX(CoefficientsGPA,MATCH($H3&amp;":"&amp;$K25,CoefficientsIndex,0))</f>
        <v>0</v>
      </c>
      <c r="U25" s="48">
        <f>INDEX(CoefficientsACT,MATCH($H3&amp;":"&amp;$K25,CoefficientsIndex,0))</f>
        <v>0</v>
      </c>
      <c r="V25" s="48">
        <f>INDEX(CoefficientsIntercept,MATCH($H3&amp;":"&amp;$K25,CoefficientsIndex,0))</f>
        <v>0</v>
      </c>
      <c r="W25" s="48">
        <f>T25*N25+(O25-M25)*U25+V25</f>
        <v>0</v>
      </c>
      <c r="X25" s="48">
        <f>IF(ISNUMBER(S25),S25,W25)</f>
        <v>0</v>
      </c>
      <c r="Y25" s="48">
        <f>IF(ISNUMBER(X25),IF(AND(T25=1,U25=1,V25=1),100,100*EXP(X25)/(1+EXP(X25))),"N/A")</f>
        <v>0</v>
      </c>
      <c r="Z25" s="48">
        <f>IF(ISNUMBER(Y25),IF(Y25&gt;=99,SureThingLabel,IF(Y25&gt;=95,SecureLabel,IF(Y25&gt;=80,SafetyLabel,IF(Y25&gt;=50,MatchLabel,IF(Y25&gt;=20,ReachLabel,IF(Y25&gt;=10,LongshotLabel,HailMaryLabel)))))),"Other")</f>
        <v>0</v>
      </c>
      <c r="AA25" s="48">
        <f>IF($F25&gt;=J$3,1,0)</f>
        <v>0</v>
      </c>
      <c r="AB25" s="48">
        <f>IF($F25&gt;=J$2,1,0)</f>
        <v>0</v>
      </c>
      <c r="AC25" s="48">
        <f>IF(ISNUMBER(Y25),1-Y25/100,1)</f>
        <v>0</v>
      </c>
      <c r="AD25" s="49">
        <f>IF(AA25=1,AC25,1)</f>
        <v>0</v>
      </c>
      <c r="AE25" s="49">
        <f>IF(AB25=1,AC25,1)</f>
        <v>0</v>
      </c>
      <c r="AF25" s="49">
        <f>IF(L25=1,AD25,1)</f>
        <v>0</v>
      </c>
      <c r="AG25" s="49">
        <f>IF(L25=1,AE25,1)</f>
        <v>0</v>
      </c>
    </row>
    <row r="26" spans="1:33">
      <c r="A26" s="69">
        <f>A25</f>
        <v>0</v>
      </c>
      <c r="B26" s="69">
        <f>B25</f>
        <v>0</v>
      </c>
      <c r="D26" s="18">
        <f>INDEX(ExtraCollegeNCES,MATCH(E26,ExtraCollegeChoice,0))</f>
        <v>0</v>
      </c>
      <c r="E26" s="78"/>
      <c r="F26" s="11">
        <f>IF(ISERROR(D26),"",INDEX(IF(OR(H3="H",H3="B"),AllCollegeAAHGR,AllCollegeGR),MATCH(D26,AllCollegeNCES,0)))</f>
        <v>0</v>
      </c>
      <c r="G26" s="11">
        <f>IF(ISERROR(D26),"",IF(ISNUMBER(Y26),Y26/100,"N/A"))</f>
        <v>0</v>
      </c>
      <c r="H26" s="11">
        <f>IF(ISERROR(D26),"",Z26)</f>
        <v>0</v>
      </c>
      <c r="I26" s="11">
        <f>IF(ISERROR(D26),"","N/A")</f>
        <v>0</v>
      </c>
      <c r="J26" s="11">
        <f>IF(ISERROR(D26),"",INDEX(AllCollegeMoneyCode,MATCH(D26,AllCollegeNCES,0)))</f>
        <v>0</v>
      </c>
      <c r="K26" s="48">
        <f>INDEX(AllCollegeBarrons,MATCH(D26,AllCollegeNCES,0))</f>
        <v>0</v>
      </c>
      <c r="L26" s="48">
        <f>IF(ISERROR(D26),"",INDEX(AllCollegeMoney,MATCH(D26,AllCollegeNCES,0)))</f>
        <v>0</v>
      </c>
      <c r="M26" s="48">
        <f>INDEX(AllCollegeACT25,MATCH(D26,AllCollegeNCES,0))</f>
        <v>0</v>
      </c>
      <c r="N26" s="48">
        <f>G3</f>
        <v>0</v>
      </c>
      <c r="O26" s="48">
        <f>F4</f>
        <v>0</v>
      </c>
      <c r="P26" s="48">
        <f>INDEX(CustomWeightsGPA,MATCH($H3&amp;":"&amp;$D26,CustomWeightsIndex,0))</f>
        <v>0</v>
      </c>
      <c r="Q26" s="48">
        <f>INDEX(CustomWeightsACT,MATCH($H3&amp;":"&amp;$D26,CustomWeightsIndex,0))</f>
        <v>0</v>
      </c>
      <c r="R26" s="48">
        <f>INDEX(CustomWeightsIntercept,MATCH($H3&amp;":"&amp;$D26,CustomWeightsIndex,0))</f>
        <v>0</v>
      </c>
      <c r="S26" s="48">
        <f>P26*N26+Q26*O26+R26</f>
        <v>0</v>
      </c>
      <c r="T26" s="48">
        <f>INDEX(CoefficientsGPA,MATCH($H3&amp;":"&amp;$K26,CoefficientsIndex,0))</f>
        <v>0</v>
      </c>
      <c r="U26" s="48">
        <f>INDEX(CoefficientsACT,MATCH($H3&amp;":"&amp;$K26,CoefficientsIndex,0))</f>
        <v>0</v>
      </c>
      <c r="V26" s="48">
        <f>INDEX(CoefficientsIntercept,MATCH($H3&amp;":"&amp;$K26,CoefficientsIndex,0))</f>
        <v>0</v>
      </c>
      <c r="W26" s="48">
        <f>T26*N26+(O26-M26)*U26+V26</f>
        <v>0</v>
      </c>
      <c r="X26" s="48">
        <f>IF(ISNUMBER(S26),S26,W26)</f>
        <v>0</v>
      </c>
      <c r="Y26" s="48">
        <f>IF(ISNUMBER(X26),IF(AND(T26=1,U26=1,V26=1),100,100*EXP(X26)/(1+EXP(X26))),"N/A")</f>
        <v>0</v>
      </c>
      <c r="Z26" s="48">
        <f>IF(ISNUMBER(Y26),IF(Y26&gt;=99,SureThingLabel,IF(Y26&gt;=95,SecureLabel,IF(Y26&gt;=80,SafetyLabel,IF(Y26&gt;=50,MatchLabel,IF(Y26&gt;=20,ReachLabel,IF(Y26&gt;=10,LongshotLabel,HailMaryLabel)))))),"Other")</f>
        <v>0</v>
      </c>
      <c r="AA26" s="48">
        <f>IF($F26&gt;=J$3,1,0)</f>
        <v>0</v>
      </c>
      <c r="AB26" s="48">
        <f>IF($F26&gt;=J$2,1,0)</f>
        <v>0</v>
      </c>
      <c r="AC26" s="48">
        <f>IF(ISNUMBER(Y26),1-Y26/100,1)</f>
        <v>0</v>
      </c>
      <c r="AD26" s="49">
        <f>IF(AA26=1,AC26,1)</f>
        <v>0</v>
      </c>
      <c r="AE26" s="49">
        <f>IF(AB26=1,AC26,1)</f>
        <v>0</v>
      </c>
      <c r="AF26" s="49">
        <f>IF(L26=1,AD26,1)</f>
        <v>0</v>
      </c>
      <c r="AG26" s="49">
        <f>IF(L26=1,AE26,1)</f>
        <v>0</v>
      </c>
    </row>
    <row r="27" spans="1:33">
      <c r="A27" s="69">
        <f>A26</f>
        <v>0</v>
      </c>
      <c r="B27" s="69">
        <f>B26</f>
        <v>0</v>
      </c>
      <c r="D27" s="18">
        <f>INDEX(ExtraCollegeNCES,MATCH(E27,ExtraCollegeChoice,0))</f>
        <v>0</v>
      </c>
      <c r="E27" s="78"/>
      <c r="F27" s="11">
        <f>IF(ISERROR(D27),"",INDEX(IF(OR(H3="H",H3="B"),AllCollegeAAHGR,AllCollegeGR),MATCH(D27,AllCollegeNCES,0)))</f>
        <v>0</v>
      </c>
      <c r="G27" s="11">
        <f>IF(ISERROR(D27),"",IF(ISNUMBER(Y27),Y27/100,"N/A"))</f>
        <v>0</v>
      </c>
      <c r="H27" s="11">
        <f>IF(ISERROR(D27),"",Z27)</f>
        <v>0</v>
      </c>
      <c r="I27" s="11">
        <f>IF(ISERROR(D27),"","N/A")</f>
        <v>0</v>
      </c>
      <c r="J27" s="11">
        <f>IF(ISERROR(D27),"",INDEX(AllCollegeMoneyCode,MATCH(D27,AllCollegeNCES,0)))</f>
        <v>0</v>
      </c>
      <c r="K27" s="48">
        <f>INDEX(AllCollegeBarrons,MATCH(D27,AllCollegeNCES,0))</f>
        <v>0</v>
      </c>
      <c r="L27" s="48">
        <f>IF(ISERROR(D27),"",INDEX(AllCollegeMoney,MATCH(D27,AllCollegeNCES,0)))</f>
        <v>0</v>
      </c>
      <c r="M27" s="48">
        <f>INDEX(AllCollegeACT25,MATCH(D27,AllCollegeNCES,0))</f>
        <v>0</v>
      </c>
      <c r="N27" s="48">
        <f>G3</f>
        <v>0</v>
      </c>
      <c r="O27" s="48">
        <f>F4</f>
        <v>0</v>
      </c>
      <c r="P27" s="48">
        <f>INDEX(CustomWeightsGPA,MATCH($H3&amp;":"&amp;$D27,CustomWeightsIndex,0))</f>
        <v>0</v>
      </c>
      <c r="Q27" s="48">
        <f>INDEX(CustomWeightsACT,MATCH($H3&amp;":"&amp;$D27,CustomWeightsIndex,0))</f>
        <v>0</v>
      </c>
      <c r="R27" s="48">
        <f>INDEX(CustomWeightsIntercept,MATCH($H3&amp;":"&amp;$D27,CustomWeightsIndex,0))</f>
        <v>0</v>
      </c>
      <c r="S27" s="48">
        <f>P27*N27+Q27*O27+R27</f>
        <v>0</v>
      </c>
      <c r="T27" s="48">
        <f>INDEX(CoefficientsGPA,MATCH($H3&amp;":"&amp;$K27,CoefficientsIndex,0))</f>
        <v>0</v>
      </c>
      <c r="U27" s="48">
        <f>INDEX(CoefficientsACT,MATCH($H3&amp;":"&amp;$K27,CoefficientsIndex,0))</f>
        <v>0</v>
      </c>
      <c r="V27" s="48">
        <f>INDEX(CoefficientsIntercept,MATCH($H3&amp;":"&amp;$K27,CoefficientsIndex,0))</f>
        <v>0</v>
      </c>
      <c r="W27" s="48">
        <f>T27*N27+(O27-M27)*U27+V27</f>
        <v>0</v>
      </c>
      <c r="X27" s="48">
        <f>IF(ISNUMBER(S27),S27,W27)</f>
        <v>0</v>
      </c>
      <c r="Y27" s="48">
        <f>IF(ISNUMBER(X27),IF(AND(T27=1,U27=1,V27=1),100,100*EXP(X27)/(1+EXP(X27))),"N/A")</f>
        <v>0</v>
      </c>
      <c r="Z27" s="48">
        <f>IF(ISNUMBER(Y27),IF(Y27&gt;=99,SureThingLabel,IF(Y27&gt;=95,SecureLabel,IF(Y27&gt;=80,SafetyLabel,IF(Y27&gt;=50,MatchLabel,IF(Y27&gt;=20,ReachLabel,IF(Y27&gt;=10,LongshotLabel,HailMaryLabel)))))),"Other")</f>
        <v>0</v>
      </c>
      <c r="AA27" s="48">
        <f>IF($F27&gt;=J$3,1,0)</f>
        <v>0</v>
      </c>
      <c r="AB27" s="48">
        <f>IF($F27&gt;=J$2,1,0)</f>
        <v>0</v>
      </c>
      <c r="AC27" s="48">
        <f>IF(ISNUMBER(Y27),1-Y27/100,1)</f>
        <v>0</v>
      </c>
      <c r="AD27" s="49">
        <f>IF(AA27=1,AC27,1)</f>
        <v>0</v>
      </c>
      <c r="AE27" s="49">
        <f>IF(AB27=1,AC27,1)</f>
        <v>0</v>
      </c>
      <c r="AF27" s="49">
        <f>IF(L27=1,AD27,1)</f>
        <v>0</v>
      </c>
      <c r="AG27" s="49">
        <f>IF(L27=1,AE27,1)</f>
        <v>0</v>
      </c>
    </row>
    <row r="28" spans="1:33">
      <c r="A28" s="69">
        <f>A27</f>
        <v>0</v>
      </c>
      <c r="B28" s="69">
        <f>B27</f>
        <v>0</v>
      </c>
      <c r="D28" s="18">
        <f>INDEX(ExtraCollegeNCES,MATCH(E28,ExtraCollegeChoice,0))</f>
        <v>0</v>
      </c>
      <c r="E28" s="78"/>
      <c r="F28" s="11">
        <f>IF(ISERROR(D28),"",INDEX(IF(OR(H3="H",H3="B"),AllCollegeAAHGR,AllCollegeGR),MATCH(D28,AllCollegeNCES,0)))</f>
        <v>0</v>
      </c>
      <c r="G28" s="11">
        <f>IF(ISERROR(D28),"",IF(ISNUMBER(Y28),Y28/100,"N/A"))</f>
        <v>0</v>
      </c>
      <c r="H28" s="11">
        <f>IF(ISERROR(D28),"",Z28)</f>
        <v>0</v>
      </c>
      <c r="I28" s="11">
        <f>IF(ISERROR(D28),"","N/A")</f>
        <v>0</v>
      </c>
      <c r="J28" s="11">
        <f>IF(ISERROR(D28),"",INDEX(AllCollegeMoneyCode,MATCH(D28,AllCollegeNCES,0)))</f>
        <v>0</v>
      </c>
      <c r="K28" s="48">
        <f>INDEX(AllCollegeBarrons,MATCH(D28,AllCollegeNCES,0))</f>
        <v>0</v>
      </c>
      <c r="L28" s="48">
        <f>IF(ISERROR(D28),"",INDEX(AllCollegeMoney,MATCH(D28,AllCollegeNCES,0)))</f>
        <v>0</v>
      </c>
      <c r="M28" s="48">
        <f>INDEX(AllCollegeACT25,MATCH(D28,AllCollegeNCES,0))</f>
        <v>0</v>
      </c>
      <c r="N28" s="48">
        <f>G3</f>
        <v>0</v>
      </c>
      <c r="O28" s="48">
        <f>F4</f>
        <v>0</v>
      </c>
      <c r="P28" s="48">
        <f>INDEX(CustomWeightsGPA,MATCH($H3&amp;":"&amp;$D28,CustomWeightsIndex,0))</f>
        <v>0</v>
      </c>
      <c r="Q28" s="48">
        <f>INDEX(CustomWeightsACT,MATCH($H3&amp;":"&amp;$D28,CustomWeightsIndex,0))</f>
        <v>0</v>
      </c>
      <c r="R28" s="48">
        <f>INDEX(CustomWeightsIntercept,MATCH($H3&amp;":"&amp;$D28,CustomWeightsIndex,0))</f>
        <v>0</v>
      </c>
      <c r="S28" s="48">
        <f>P28*N28+Q28*O28+R28</f>
        <v>0</v>
      </c>
      <c r="T28" s="48">
        <f>INDEX(CoefficientsGPA,MATCH($H3&amp;":"&amp;$K28,CoefficientsIndex,0))</f>
        <v>0</v>
      </c>
      <c r="U28" s="48">
        <f>INDEX(CoefficientsACT,MATCH($H3&amp;":"&amp;$K28,CoefficientsIndex,0))</f>
        <v>0</v>
      </c>
      <c r="V28" s="48">
        <f>INDEX(CoefficientsIntercept,MATCH($H3&amp;":"&amp;$K28,CoefficientsIndex,0))</f>
        <v>0</v>
      </c>
      <c r="W28" s="48">
        <f>T28*N28+(O28-M28)*U28+V28</f>
        <v>0</v>
      </c>
      <c r="X28" s="48">
        <f>IF(ISNUMBER(S28),S28,W28)</f>
        <v>0</v>
      </c>
      <c r="Y28" s="48">
        <f>IF(ISNUMBER(X28),IF(AND(T28=1,U28=1,V28=1),100,100*EXP(X28)/(1+EXP(X28))),"N/A")</f>
        <v>0</v>
      </c>
      <c r="Z28" s="48">
        <f>IF(ISNUMBER(Y28),IF(Y28&gt;=99,SureThingLabel,IF(Y28&gt;=95,SecureLabel,IF(Y28&gt;=80,SafetyLabel,IF(Y28&gt;=50,MatchLabel,IF(Y28&gt;=20,ReachLabel,IF(Y28&gt;=10,LongshotLabel,HailMaryLabel)))))),"Other")</f>
        <v>0</v>
      </c>
      <c r="AA28" s="48">
        <f>IF($F28&gt;=J$3,1,0)</f>
        <v>0</v>
      </c>
      <c r="AB28" s="48">
        <f>IF($F28&gt;=J$2,1,0)</f>
        <v>0</v>
      </c>
      <c r="AC28" s="48">
        <f>IF(ISNUMBER(Y28),1-Y28/100,1)</f>
        <v>0</v>
      </c>
      <c r="AD28" s="49">
        <f>IF(AA28=1,AC28,1)</f>
        <v>0</v>
      </c>
      <c r="AE28" s="49">
        <f>IF(AB28=1,AC28,1)</f>
        <v>0</v>
      </c>
      <c r="AF28" s="49">
        <f>IF(L28=1,AD28,1)</f>
        <v>0</v>
      </c>
      <c r="AG28" s="49">
        <f>IF(L28=1,AE28,1)</f>
        <v>0</v>
      </c>
    </row>
    <row r="29" spans="1:33">
      <c r="A29" s="69">
        <f>A28</f>
        <v>0</v>
      </c>
      <c r="B29" s="69">
        <f>B28</f>
        <v>0</v>
      </c>
      <c r="D29" s="18">
        <f>INDEX(ExtraCollegeNCES,MATCH(E29,ExtraCollegeChoice,0))</f>
        <v>0</v>
      </c>
      <c r="E29" s="78"/>
      <c r="F29" s="11">
        <f>IF(ISERROR(D29),"",INDEX(IF(OR(H3="H",H3="B"),AllCollegeAAHGR,AllCollegeGR),MATCH(D29,AllCollegeNCES,0)))</f>
        <v>0</v>
      </c>
      <c r="G29" s="11">
        <f>IF(ISERROR(D29),"",IF(ISNUMBER(Y29),Y29/100,"N/A"))</f>
        <v>0</v>
      </c>
      <c r="H29" s="11">
        <f>IF(ISERROR(D29),"",Z29)</f>
        <v>0</v>
      </c>
      <c r="I29" s="11">
        <f>IF(ISERROR(D29),"","N/A")</f>
        <v>0</v>
      </c>
      <c r="J29" s="11">
        <f>IF(ISERROR(D29),"",INDEX(AllCollegeMoneyCode,MATCH(D29,AllCollegeNCES,0)))</f>
        <v>0</v>
      </c>
      <c r="K29" s="48">
        <f>INDEX(AllCollegeBarrons,MATCH(D29,AllCollegeNCES,0))</f>
        <v>0</v>
      </c>
      <c r="L29" s="48">
        <f>IF(ISERROR(D29),"",INDEX(AllCollegeMoney,MATCH(D29,AllCollegeNCES,0)))</f>
        <v>0</v>
      </c>
      <c r="M29" s="48">
        <f>INDEX(AllCollegeACT25,MATCH(D29,AllCollegeNCES,0))</f>
        <v>0</v>
      </c>
      <c r="N29" s="48">
        <f>G3</f>
        <v>0</v>
      </c>
      <c r="O29" s="48">
        <f>F4</f>
        <v>0</v>
      </c>
      <c r="P29" s="48">
        <f>INDEX(CustomWeightsGPA,MATCH($H3&amp;":"&amp;$D29,CustomWeightsIndex,0))</f>
        <v>0</v>
      </c>
      <c r="Q29" s="48">
        <f>INDEX(CustomWeightsACT,MATCH($H3&amp;":"&amp;$D29,CustomWeightsIndex,0))</f>
        <v>0</v>
      </c>
      <c r="R29" s="48">
        <f>INDEX(CustomWeightsIntercept,MATCH($H3&amp;":"&amp;$D29,CustomWeightsIndex,0))</f>
        <v>0</v>
      </c>
      <c r="S29" s="48">
        <f>P29*N29+Q29*O29+R29</f>
        <v>0</v>
      </c>
      <c r="T29" s="48">
        <f>INDEX(CoefficientsGPA,MATCH($H3&amp;":"&amp;$K29,CoefficientsIndex,0))</f>
        <v>0</v>
      </c>
      <c r="U29" s="48">
        <f>INDEX(CoefficientsACT,MATCH($H3&amp;":"&amp;$K29,CoefficientsIndex,0))</f>
        <v>0</v>
      </c>
      <c r="V29" s="48">
        <f>INDEX(CoefficientsIntercept,MATCH($H3&amp;":"&amp;$K29,CoefficientsIndex,0))</f>
        <v>0</v>
      </c>
      <c r="W29" s="48">
        <f>T29*N29+(O29-M29)*U29+V29</f>
        <v>0</v>
      </c>
      <c r="X29" s="48">
        <f>IF(ISNUMBER(S29),S29,W29)</f>
        <v>0</v>
      </c>
      <c r="Y29" s="48">
        <f>IF(ISNUMBER(X29),IF(AND(T29=1,U29=1,V29=1),100,100*EXP(X29)/(1+EXP(X29))),"N/A")</f>
        <v>0</v>
      </c>
      <c r="Z29" s="48">
        <f>IF(ISNUMBER(Y29),IF(Y29&gt;=99,SureThingLabel,IF(Y29&gt;=95,SecureLabel,IF(Y29&gt;=80,SafetyLabel,IF(Y29&gt;=50,MatchLabel,IF(Y29&gt;=20,ReachLabel,IF(Y29&gt;=10,LongshotLabel,HailMaryLabel)))))),"Other")</f>
        <v>0</v>
      </c>
      <c r="AA29" s="48">
        <f>IF($F29&gt;=J$3,1,0)</f>
        <v>0</v>
      </c>
      <c r="AB29" s="48">
        <f>IF($F29&gt;=J$2,1,0)</f>
        <v>0</v>
      </c>
      <c r="AC29" s="48">
        <f>IF(ISNUMBER(Y29),1-Y29/100,1)</f>
        <v>0</v>
      </c>
      <c r="AD29" s="49">
        <f>IF(AA29=1,AC29,1)</f>
        <v>0</v>
      </c>
      <c r="AE29" s="49">
        <f>IF(AB29=1,AC29,1)</f>
        <v>0</v>
      </c>
      <c r="AF29" s="49">
        <f>IF(L29=1,AD29,1)</f>
        <v>0</v>
      </c>
      <c r="AG29" s="49">
        <f>IF(L29=1,AE29,1)</f>
        <v>0</v>
      </c>
    </row>
    <row r="30" spans="1:33">
      <c r="A30" s="69">
        <f>A29</f>
        <v>0</v>
      </c>
      <c r="B30" s="69">
        <f>B29</f>
        <v>0</v>
      </c>
      <c r="D30" s="18">
        <f>INDEX(ExtraCollegeNCES,MATCH(E30,ExtraCollegeChoice,0))</f>
        <v>0</v>
      </c>
      <c r="E30" s="78"/>
      <c r="F30" s="11">
        <f>IF(ISERROR(D30),"",INDEX(IF(OR(H3="H",H3="B"),AllCollegeAAHGR,AllCollegeGR),MATCH(D30,AllCollegeNCES,0)))</f>
        <v>0</v>
      </c>
      <c r="G30" s="11">
        <f>IF(ISERROR(D30),"",IF(ISNUMBER(Y30),Y30/100,"N/A"))</f>
        <v>0</v>
      </c>
      <c r="H30" s="11">
        <f>IF(ISERROR(D30),"",Z30)</f>
        <v>0</v>
      </c>
      <c r="I30" s="11">
        <f>IF(ISERROR(D30),"","N/A")</f>
        <v>0</v>
      </c>
      <c r="J30" s="11">
        <f>IF(ISERROR(D30),"",INDEX(AllCollegeMoneyCode,MATCH(D30,AllCollegeNCES,0)))</f>
        <v>0</v>
      </c>
      <c r="K30" s="48">
        <f>INDEX(AllCollegeBarrons,MATCH(D30,AllCollegeNCES,0))</f>
        <v>0</v>
      </c>
      <c r="L30" s="48">
        <f>IF(ISERROR(D30),"",INDEX(AllCollegeMoney,MATCH(D30,AllCollegeNCES,0)))</f>
        <v>0</v>
      </c>
      <c r="M30" s="48">
        <f>INDEX(AllCollegeACT25,MATCH(D30,AllCollegeNCES,0))</f>
        <v>0</v>
      </c>
      <c r="N30" s="48">
        <f>G3</f>
        <v>0</v>
      </c>
      <c r="O30" s="48">
        <f>F4</f>
        <v>0</v>
      </c>
      <c r="P30" s="48">
        <f>INDEX(CustomWeightsGPA,MATCH($H3&amp;":"&amp;$D30,CustomWeightsIndex,0))</f>
        <v>0</v>
      </c>
      <c r="Q30" s="48">
        <f>INDEX(CustomWeightsACT,MATCH($H3&amp;":"&amp;$D30,CustomWeightsIndex,0))</f>
        <v>0</v>
      </c>
      <c r="R30" s="48">
        <f>INDEX(CustomWeightsIntercept,MATCH($H3&amp;":"&amp;$D30,CustomWeightsIndex,0))</f>
        <v>0</v>
      </c>
      <c r="S30" s="48">
        <f>P30*N30+Q30*O30+R30</f>
        <v>0</v>
      </c>
      <c r="T30" s="48">
        <f>INDEX(CoefficientsGPA,MATCH($H3&amp;":"&amp;$K30,CoefficientsIndex,0))</f>
        <v>0</v>
      </c>
      <c r="U30" s="48">
        <f>INDEX(CoefficientsACT,MATCH($H3&amp;":"&amp;$K30,CoefficientsIndex,0))</f>
        <v>0</v>
      </c>
      <c r="V30" s="48">
        <f>INDEX(CoefficientsIntercept,MATCH($H3&amp;":"&amp;$K30,CoefficientsIndex,0))</f>
        <v>0</v>
      </c>
      <c r="W30" s="48">
        <f>T30*N30+(O30-M30)*U30+V30</f>
        <v>0</v>
      </c>
      <c r="X30" s="48">
        <f>IF(ISNUMBER(S30),S30,W30)</f>
        <v>0</v>
      </c>
      <c r="Y30" s="48">
        <f>IF(ISNUMBER(X30),IF(AND(T30=1,U30=1,V30=1),100,100*EXP(X30)/(1+EXP(X30))),"N/A")</f>
        <v>0</v>
      </c>
      <c r="Z30" s="48">
        <f>IF(ISNUMBER(Y30),IF(Y30&gt;=99,SureThingLabel,IF(Y30&gt;=95,SecureLabel,IF(Y30&gt;=80,SafetyLabel,IF(Y30&gt;=50,MatchLabel,IF(Y30&gt;=20,ReachLabel,IF(Y30&gt;=10,LongshotLabel,HailMaryLabel)))))),"Other")</f>
        <v>0</v>
      </c>
      <c r="AA30" s="48">
        <f>IF($F30&gt;=J$3,1,0)</f>
        <v>0</v>
      </c>
      <c r="AB30" s="48">
        <f>IF($F30&gt;=J$2,1,0)</f>
        <v>0</v>
      </c>
      <c r="AC30" s="48">
        <f>IF(ISNUMBER(Y30),1-Y30/100,1)</f>
        <v>0</v>
      </c>
      <c r="AD30" s="49">
        <f>IF(AA30=1,AC30,1)</f>
        <v>0</v>
      </c>
      <c r="AE30" s="49">
        <f>IF(AB30=1,AC30,1)</f>
        <v>0</v>
      </c>
      <c r="AF30" s="49">
        <f>IF(L30=1,AD30,1)</f>
        <v>0</v>
      </c>
      <c r="AG30" s="49">
        <f>IF(L30=1,AE30,1)</f>
        <v>0</v>
      </c>
    </row>
    <row r="31" spans="1:33">
      <c r="A31" s="69">
        <f>A30</f>
        <v>0</v>
      </c>
      <c r="B31" s="69">
        <f>B30</f>
        <v>0</v>
      </c>
      <c r="D31" s="18">
        <f>INDEX(ExtraCollegeNCES,MATCH(E31,ExtraCollegeChoice,0))</f>
        <v>0</v>
      </c>
      <c r="E31" s="78"/>
      <c r="F31" s="11">
        <f>IF(ISERROR(D31),"",INDEX(IF(OR(H3="H",H3="B"),AllCollegeAAHGR,AllCollegeGR),MATCH(D31,AllCollegeNCES,0)))</f>
        <v>0</v>
      </c>
      <c r="G31" s="11">
        <f>IF(ISERROR(D31),"",IF(ISNUMBER(Y31),Y31/100,"N/A"))</f>
        <v>0</v>
      </c>
      <c r="H31" s="11">
        <f>IF(ISERROR(D31),"",Z31)</f>
        <v>0</v>
      </c>
      <c r="I31" s="11">
        <f>IF(ISERROR(D31),"","N/A")</f>
        <v>0</v>
      </c>
      <c r="J31" s="11">
        <f>IF(ISERROR(D31),"",INDEX(AllCollegeMoneyCode,MATCH(D31,AllCollegeNCES,0)))</f>
        <v>0</v>
      </c>
      <c r="K31" s="48">
        <f>INDEX(AllCollegeBarrons,MATCH(D31,AllCollegeNCES,0))</f>
        <v>0</v>
      </c>
      <c r="L31" s="48">
        <f>IF(ISERROR(D31),"",INDEX(AllCollegeMoney,MATCH(D31,AllCollegeNCES,0)))</f>
        <v>0</v>
      </c>
      <c r="M31" s="48">
        <f>INDEX(AllCollegeACT25,MATCH(D31,AllCollegeNCES,0))</f>
        <v>0</v>
      </c>
      <c r="N31" s="48">
        <f>G3</f>
        <v>0</v>
      </c>
      <c r="O31" s="48">
        <f>F4</f>
        <v>0</v>
      </c>
      <c r="P31" s="48">
        <f>INDEX(CustomWeightsGPA,MATCH($H3&amp;":"&amp;$D31,CustomWeightsIndex,0))</f>
        <v>0</v>
      </c>
      <c r="Q31" s="48">
        <f>INDEX(CustomWeightsACT,MATCH($H3&amp;":"&amp;$D31,CustomWeightsIndex,0))</f>
        <v>0</v>
      </c>
      <c r="R31" s="48">
        <f>INDEX(CustomWeightsIntercept,MATCH($H3&amp;":"&amp;$D31,CustomWeightsIndex,0))</f>
        <v>0</v>
      </c>
      <c r="S31" s="48">
        <f>P31*N31+Q31*O31+R31</f>
        <v>0</v>
      </c>
      <c r="T31" s="48">
        <f>INDEX(CoefficientsGPA,MATCH($H3&amp;":"&amp;$K31,CoefficientsIndex,0))</f>
        <v>0</v>
      </c>
      <c r="U31" s="48">
        <f>INDEX(CoefficientsACT,MATCH($H3&amp;":"&amp;$K31,CoefficientsIndex,0))</f>
        <v>0</v>
      </c>
      <c r="V31" s="48">
        <f>INDEX(CoefficientsIntercept,MATCH($H3&amp;":"&amp;$K31,CoefficientsIndex,0))</f>
        <v>0</v>
      </c>
      <c r="W31" s="48">
        <f>T31*N31+(O31-M31)*U31+V31</f>
        <v>0</v>
      </c>
      <c r="X31" s="48">
        <f>IF(ISNUMBER(S31),S31,W31)</f>
        <v>0</v>
      </c>
      <c r="Y31" s="48">
        <f>IF(ISNUMBER(X31),IF(AND(T31=1,U31=1,V31=1),100,100*EXP(X31)/(1+EXP(X31))),"N/A")</f>
        <v>0</v>
      </c>
      <c r="Z31" s="48">
        <f>IF(ISNUMBER(Y31),IF(Y31&gt;=99,SureThingLabel,IF(Y31&gt;=95,SecureLabel,IF(Y31&gt;=80,SafetyLabel,IF(Y31&gt;=50,MatchLabel,IF(Y31&gt;=20,ReachLabel,IF(Y31&gt;=10,LongshotLabel,HailMaryLabel)))))),"Other")</f>
        <v>0</v>
      </c>
      <c r="AA31" s="48">
        <f>IF($F31&gt;=J$3,1,0)</f>
        <v>0</v>
      </c>
      <c r="AB31" s="48">
        <f>IF($F31&gt;=J$2,1,0)</f>
        <v>0</v>
      </c>
      <c r="AC31" s="48">
        <f>IF(ISNUMBER(Y31),1-Y31/100,1)</f>
        <v>0</v>
      </c>
      <c r="AD31" s="49">
        <f>IF(AA31=1,AC31,1)</f>
        <v>0</v>
      </c>
      <c r="AE31" s="49">
        <f>IF(AB31=1,AC31,1)</f>
        <v>0</v>
      </c>
      <c r="AF31" s="49">
        <f>IF(L31=1,AD31,1)</f>
        <v>0</v>
      </c>
      <c r="AG31" s="49">
        <f>IF(L31=1,AE31,1)</f>
        <v>0</v>
      </c>
    </row>
    <row r="32" spans="1:33">
      <c r="A32" s="69">
        <f>A31</f>
        <v>0</v>
      </c>
      <c r="B32" s="69">
        <f>B31</f>
        <v>0</v>
      </c>
      <c r="D32" s="18">
        <f>INDEX(ExtraCollegeNCES,MATCH(E32,ExtraCollegeChoice,0))</f>
        <v>0</v>
      </c>
      <c r="E32" s="78"/>
      <c r="F32" s="11">
        <f>IF(ISERROR(D32),"",INDEX(IF(OR(H3="H",H3="B"),AllCollegeAAHGR,AllCollegeGR),MATCH(D32,AllCollegeNCES,0)))</f>
        <v>0</v>
      </c>
      <c r="G32" s="11">
        <f>IF(ISERROR(D32),"",IF(ISNUMBER(Y32),Y32/100,"N/A"))</f>
        <v>0</v>
      </c>
      <c r="H32" s="11">
        <f>IF(ISERROR(D32),"",Z32)</f>
        <v>0</v>
      </c>
      <c r="I32" s="11">
        <f>IF(ISERROR(D32),"","N/A")</f>
        <v>0</v>
      </c>
      <c r="J32" s="11">
        <f>IF(ISERROR(D32),"",INDEX(AllCollegeMoneyCode,MATCH(D32,AllCollegeNCES,0)))</f>
        <v>0</v>
      </c>
      <c r="K32" s="48">
        <f>INDEX(AllCollegeBarrons,MATCH(D32,AllCollegeNCES,0))</f>
        <v>0</v>
      </c>
      <c r="L32" s="48">
        <f>IF(ISERROR(D32),"",INDEX(AllCollegeMoney,MATCH(D32,AllCollegeNCES,0)))</f>
        <v>0</v>
      </c>
      <c r="M32" s="48">
        <f>INDEX(AllCollegeACT25,MATCH(D32,AllCollegeNCES,0))</f>
        <v>0</v>
      </c>
      <c r="N32" s="48">
        <f>G3</f>
        <v>0</v>
      </c>
      <c r="O32" s="48">
        <f>F4</f>
        <v>0</v>
      </c>
      <c r="P32" s="48">
        <f>INDEX(CustomWeightsGPA,MATCH($H3&amp;":"&amp;$D32,CustomWeightsIndex,0))</f>
        <v>0</v>
      </c>
      <c r="Q32" s="48">
        <f>INDEX(CustomWeightsACT,MATCH($H3&amp;":"&amp;$D32,CustomWeightsIndex,0))</f>
        <v>0</v>
      </c>
      <c r="R32" s="48">
        <f>INDEX(CustomWeightsIntercept,MATCH($H3&amp;":"&amp;$D32,CustomWeightsIndex,0))</f>
        <v>0</v>
      </c>
      <c r="S32" s="48">
        <f>P32*N32+Q32*O32+R32</f>
        <v>0</v>
      </c>
      <c r="T32" s="48">
        <f>INDEX(CoefficientsGPA,MATCH($H3&amp;":"&amp;$K32,CoefficientsIndex,0))</f>
        <v>0</v>
      </c>
      <c r="U32" s="48">
        <f>INDEX(CoefficientsACT,MATCH($H3&amp;":"&amp;$K32,CoefficientsIndex,0))</f>
        <v>0</v>
      </c>
      <c r="V32" s="48">
        <f>INDEX(CoefficientsIntercept,MATCH($H3&amp;":"&amp;$K32,CoefficientsIndex,0))</f>
        <v>0</v>
      </c>
      <c r="W32" s="48">
        <f>T32*N32+(O32-M32)*U32+V32</f>
        <v>0</v>
      </c>
      <c r="X32" s="48">
        <f>IF(ISNUMBER(S32),S32,W32)</f>
        <v>0</v>
      </c>
      <c r="Y32" s="48">
        <f>IF(ISNUMBER(X32),IF(AND(T32=1,U32=1,V32=1),100,100*EXP(X32)/(1+EXP(X32))),"N/A")</f>
        <v>0</v>
      </c>
      <c r="Z32" s="48">
        <f>IF(ISNUMBER(Y32),IF(Y32&gt;=99,SureThingLabel,IF(Y32&gt;=95,SecureLabel,IF(Y32&gt;=80,SafetyLabel,IF(Y32&gt;=50,MatchLabel,IF(Y32&gt;=20,ReachLabel,IF(Y32&gt;=10,LongshotLabel,HailMaryLabel)))))),"Other")</f>
        <v>0</v>
      </c>
      <c r="AA32" s="48">
        <f>IF($F32&gt;=J$3,1,0)</f>
        <v>0</v>
      </c>
      <c r="AB32" s="48">
        <f>IF($F32&gt;=J$2,1,0)</f>
        <v>0</v>
      </c>
      <c r="AC32" s="48">
        <f>IF(ISNUMBER(Y32),1-Y32/100,1)</f>
        <v>0</v>
      </c>
      <c r="AD32" s="49">
        <f>IF(AA32=1,AC32,1)</f>
        <v>0</v>
      </c>
      <c r="AE32" s="49">
        <f>IF(AB32=1,AC32,1)</f>
        <v>0</v>
      </c>
      <c r="AF32" s="49">
        <f>IF(L32=1,AD32,1)</f>
        <v>0</v>
      </c>
      <c r="AG32" s="49">
        <f>IF(L32=1,AE32,1)</f>
        <v>0</v>
      </c>
    </row>
    <row r="33" spans="1:33">
      <c r="A33" s="69">
        <f>A32</f>
        <v>0</v>
      </c>
      <c r="B33" s="69">
        <f>B32</f>
        <v>0</v>
      </c>
      <c r="D33" s="18">
        <f>INDEX(ExtraCollegeNCES,MATCH(E33,ExtraCollegeChoice,0))</f>
        <v>0</v>
      </c>
      <c r="E33" s="78"/>
      <c r="F33" s="11">
        <f>IF(ISERROR(D33),"",INDEX(IF(OR(H3="H",H3="B"),AllCollegeAAHGR,AllCollegeGR),MATCH(D33,AllCollegeNCES,0)))</f>
        <v>0</v>
      </c>
      <c r="G33" s="11">
        <f>IF(ISERROR(D33),"",IF(ISNUMBER(Y33),Y33/100,"N/A"))</f>
        <v>0</v>
      </c>
      <c r="H33" s="11">
        <f>IF(ISERROR(D33),"",Z33)</f>
        <v>0</v>
      </c>
      <c r="I33" s="11">
        <f>IF(ISERROR(D33),"","N/A")</f>
        <v>0</v>
      </c>
      <c r="J33" s="11">
        <f>IF(ISERROR(D33),"",INDEX(AllCollegeMoneyCode,MATCH(D33,AllCollegeNCES,0)))</f>
        <v>0</v>
      </c>
      <c r="K33" s="48">
        <f>INDEX(AllCollegeBarrons,MATCH(D33,AllCollegeNCES,0))</f>
        <v>0</v>
      </c>
      <c r="L33" s="48">
        <f>IF(ISERROR(D33),"",INDEX(AllCollegeMoney,MATCH(D33,AllCollegeNCES,0)))</f>
        <v>0</v>
      </c>
      <c r="M33" s="48">
        <f>INDEX(AllCollegeACT25,MATCH(D33,AllCollegeNCES,0))</f>
        <v>0</v>
      </c>
      <c r="N33" s="48">
        <f>G3</f>
        <v>0</v>
      </c>
      <c r="O33" s="48">
        <f>F4</f>
        <v>0</v>
      </c>
      <c r="P33" s="48">
        <f>INDEX(CustomWeightsGPA,MATCH($H3&amp;":"&amp;$D33,CustomWeightsIndex,0))</f>
        <v>0</v>
      </c>
      <c r="Q33" s="48">
        <f>INDEX(CustomWeightsACT,MATCH($H3&amp;":"&amp;$D33,CustomWeightsIndex,0))</f>
        <v>0</v>
      </c>
      <c r="R33" s="48">
        <f>INDEX(CustomWeightsIntercept,MATCH($H3&amp;":"&amp;$D33,CustomWeightsIndex,0))</f>
        <v>0</v>
      </c>
      <c r="S33" s="48">
        <f>P33*N33+Q33*O33+R33</f>
        <v>0</v>
      </c>
      <c r="T33" s="48">
        <f>INDEX(CoefficientsGPA,MATCH($H3&amp;":"&amp;$K33,CoefficientsIndex,0))</f>
        <v>0</v>
      </c>
      <c r="U33" s="48">
        <f>INDEX(CoefficientsACT,MATCH($H3&amp;":"&amp;$K33,CoefficientsIndex,0))</f>
        <v>0</v>
      </c>
      <c r="V33" s="48">
        <f>INDEX(CoefficientsIntercept,MATCH($H3&amp;":"&amp;$K33,CoefficientsIndex,0))</f>
        <v>0</v>
      </c>
      <c r="W33" s="48">
        <f>T33*N33+(O33-M33)*U33+V33</f>
        <v>0</v>
      </c>
      <c r="X33" s="48">
        <f>IF(ISNUMBER(S33),S33,W33)</f>
        <v>0</v>
      </c>
      <c r="Y33" s="48">
        <f>IF(ISNUMBER(X33),IF(AND(T33=1,U33=1,V33=1),100,100*EXP(X33)/(1+EXP(X33))),"N/A")</f>
        <v>0</v>
      </c>
      <c r="Z33" s="48">
        <f>IF(ISNUMBER(Y33),IF(Y33&gt;=99,SureThingLabel,IF(Y33&gt;=95,SecureLabel,IF(Y33&gt;=80,SafetyLabel,IF(Y33&gt;=50,MatchLabel,IF(Y33&gt;=20,ReachLabel,IF(Y33&gt;=10,LongshotLabel,HailMaryLabel)))))),"Other")</f>
        <v>0</v>
      </c>
      <c r="AA33" s="48">
        <f>IF($F33&gt;=J$3,1,0)</f>
        <v>0</v>
      </c>
      <c r="AB33" s="48">
        <f>IF($F33&gt;=J$2,1,0)</f>
        <v>0</v>
      </c>
      <c r="AC33" s="48">
        <f>IF(ISNUMBER(Y33),1-Y33/100,1)</f>
        <v>0</v>
      </c>
      <c r="AD33" s="49">
        <f>IF(AA33=1,AC33,1)</f>
        <v>0</v>
      </c>
      <c r="AE33" s="49">
        <f>IF(AB33=1,AC33,1)</f>
        <v>0</v>
      </c>
      <c r="AF33" s="49">
        <f>IF(L33=1,AD33,1)</f>
        <v>0</v>
      </c>
      <c r="AG33" s="49">
        <f>IF(L33=1,AE33,1)</f>
        <v>0</v>
      </c>
    </row>
    <row r="34" spans="1:33">
      <c r="A34" s="69">
        <f>A33</f>
        <v>0</v>
      </c>
      <c r="B34" s="69">
        <f>B33</f>
        <v>0</v>
      </c>
      <c r="D34" s="18">
        <f>INDEX(ExtraCollegeNCES,MATCH(E34,ExtraCollegeChoice,0))</f>
        <v>0</v>
      </c>
      <c r="E34" s="78"/>
      <c r="F34" s="11">
        <f>IF(ISERROR(D34),"",INDEX(IF(OR(H3="H",H3="B"),AllCollegeAAHGR,AllCollegeGR),MATCH(D34,AllCollegeNCES,0)))</f>
        <v>0</v>
      </c>
      <c r="G34" s="11">
        <f>IF(ISERROR(D34),"",IF(ISNUMBER(Y34),Y34/100,"N/A"))</f>
        <v>0</v>
      </c>
      <c r="H34" s="11">
        <f>IF(ISERROR(D34),"",Z34)</f>
        <v>0</v>
      </c>
      <c r="I34" s="11">
        <f>IF(ISERROR(D34),"","N/A")</f>
        <v>0</v>
      </c>
      <c r="J34" s="11">
        <f>IF(ISERROR(D34),"",INDEX(AllCollegeMoneyCode,MATCH(D34,AllCollegeNCES,0)))</f>
        <v>0</v>
      </c>
      <c r="K34" s="48">
        <f>INDEX(AllCollegeBarrons,MATCH(D34,AllCollegeNCES,0))</f>
        <v>0</v>
      </c>
      <c r="L34" s="48">
        <f>IF(ISERROR(D34),"",INDEX(AllCollegeMoney,MATCH(D34,AllCollegeNCES,0)))</f>
        <v>0</v>
      </c>
      <c r="M34" s="48">
        <f>INDEX(AllCollegeACT25,MATCH(D34,AllCollegeNCES,0))</f>
        <v>0</v>
      </c>
      <c r="N34" s="48">
        <f>G3</f>
        <v>0</v>
      </c>
      <c r="O34" s="48">
        <f>F4</f>
        <v>0</v>
      </c>
      <c r="P34" s="48">
        <f>INDEX(CustomWeightsGPA,MATCH($H3&amp;":"&amp;$D34,CustomWeightsIndex,0))</f>
        <v>0</v>
      </c>
      <c r="Q34" s="48">
        <f>INDEX(CustomWeightsACT,MATCH($H3&amp;":"&amp;$D34,CustomWeightsIndex,0))</f>
        <v>0</v>
      </c>
      <c r="R34" s="48">
        <f>INDEX(CustomWeightsIntercept,MATCH($H3&amp;":"&amp;$D34,CustomWeightsIndex,0))</f>
        <v>0</v>
      </c>
      <c r="S34" s="48">
        <f>P34*N34+Q34*O34+R34</f>
        <v>0</v>
      </c>
      <c r="T34" s="48">
        <f>INDEX(CoefficientsGPA,MATCH($H3&amp;":"&amp;$K34,CoefficientsIndex,0))</f>
        <v>0</v>
      </c>
      <c r="U34" s="48">
        <f>INDEX(CoefficientsACT,MATCH($H3&amp;":"&amp;$K34,CoefficientsIndex,0))</f>
        <v>0</v>
      </c>
      <c r="V34" s="48">
        <f>INDEX(CoefficientsIntercept,MATCH($H3&amp;":"&amp;$K34,CoefficientsIndex,0))</f>
        <v>0</v>
      </c>
      <c r="W34" s="48">
        <f>T34*N34+(O34-M34)*U34+V34</f>
        <v>0</v>
      </c>
      <c r="X34" s="48">
        <f>IF(ISNUMBER(S34),S34,W34)</f>
        <v>0</v>
      </c>
      <c r="Y34" s="48">
        <f>IF(ISNUMBER(X34),IF(AND(T34=1,U34=1,V34=1),100,100*EXP(X34)/(1+EXP(X34))),"N/A")</f>
        <v>0</v>
      </c>
      <c r="Z34" s="48">
        <f>IF(ISNUMBER(Y34),IF(Y34&gt;=99,SureThingLabel,IF(Y34&gt;=95,SecureLabel,IF(Y34&gt;=80,SafetyLabel,IF(Y34&gt;=50,MatchLabel,IF(Y34&gt;=20,ReachLabel,IF(Y34&gt;=10,LongshotLabel,HailMaryLabel)))))),"Other")</f>
        <v>0</v>
      </c>
      <c r="AA34" s="48">
        <f>IF($F34&gt;=J$3,1,0)</f>
        <v>0</v>
      </c>
      <c r="AB34" s="48">
        <f>IF($F34&gt;=J$2,1,0)</f>
        <v>0</v>
      </c>
      <c r="AC34" s="48">
        <f>IF(ISNUMBER(Y34),1-Y34/100,1)</f>
        <v>0</v>
      </c>
      <c r="AD34" s="49">
        <f>IF(AA34=1,AC34,1)</f>
        <v>0</v>
      </c>
      <c r="AE34" s="49">
        <f>IF(AB34=1,AC34,1)</f>
        <v>0</v>
      </c>
      <c r="AF34" s="49">
        <f>IF(L34=1,AD34,1)</f>
        <v>0</v>
      </c>
      <c r="AG34" s="49">
        <f>IF(L34=1,AE34,1)</f>
        <v>0</v>
      </c>
    </row>
    <row r="35" spans="1:33">
      <c r="A35" s="69">
        <f>A34</f>
        <v>0</v>
      </c>
      <c r="B35" s="69">
        <f>B34</f>
        <v>0</v>
      </c>
      <c r="D35" s="18">
        <f>INDEX(ExtraCollegeNCES,MATCH(E35,ExtraCollegeChoice,0))</f>
        <v>0</v>
      </c>
      <c r="E35" s="78"/>
      <c r="F35" s="11">
        <f>IF(ISERROR(D35),"",INDEX(IF(OR(H3="H",H3="B"),AllCollegeAAHGR,AllCollegeGR),MATCH(D35,AllCollegeNCES,0)))</f>
        <v>0</v>
      </c>
      <c r="G35" s="11">
        <f>IF(ISERROR(D35),"",IF(ISNUMBER(Y35),Y35/100,"N/A"))</f>
        <v>0</v>
      </c>
      <c r="H35" s="11">
        <f>IF(ISERROR(D35),"",Z35)</f>
        <v>0</v>
      </c>
      <c r="I35" s="11">
        <f>IF(ISERROR(D35),"","N/A")</f>
        <v>0</v>
      </c>
      <c r="J35" s="11">
        <f>IF(ISERROR(D35),"",INDEX(AllCollegeMoneyCode,MATCH(D35,AllCollegeNCES,0)))</f>
        <v>0</v>
      </c>
      <c r="K35" s="48">
        <f>INDEX(AllCollegeBarrons,MATCH(D35,AllCollegeNCES,0))</f>
        <v>0</v>
      </c>
      <c r="L35" s="48">
        <f>IF(ISERROR(D35),"",INDEX(AllCollegeMoney,MATCH(D35,AllCollegeNCES,0)))</f>
        <v>0</v>
      </c>
      <c r="M35" s="48">
        <f>INDEX(AllCollegeACT25,MATCH(D35,AllCollegeNCES,0))</f>
        <v>0</v>
      </c>
      <c r="N35" s="48">
        <f>G3</f>
        <v>0</v>
      </c>
      <c r="O35" s="48">
        <f>F4</f>
        <v>0</v>
      </c>
      <c r="P35" s="48">
        <f>INDEX(CustomWeightsGPA,MATCH($H3&amp;":"&amp;$D35,CustomWeightsIndex,0))</f>
        <v>0</v>
      </c>
      <c r="Q35" s="48">
        <f>INDEX(CustomWeightsACT,MATCH($H3&amp;":"&amp;$D35,CustomWeightsIndex,0))</f>
        <v>0</v>
      </c>
      <c r="R35" s="48">
        <f>INDEX(CustomWeightsIntercept,MATCH($H3&amp;":"&amp;$D35,CustomWeightsIndex,0))</f>
        <v>0</v>
      </c>
      <c r="S35" s="48">
        <f>P35*N35+Q35*O35+R35</f>
        <v>0</v>
      </c>
      <c r="T35" s="48">
        <f>INDEX(CoefficientsGPA,MATCH($H3&amp;":"&amp;$K35,CoefficientsIndex,0))</f>
        <v>0</v>
      </c>
      <c r="U35" s="48">
        <f>INDEX(CoefficientsACT,MATCH($H3&amp;":"&amp;$K35,CoefficientsIndex,0))</f>
        <v>0</v>
      </c>
      <c r="V35" s="48">
        <f>INDEX(CoefficientsIntercept,MATCH($H3&amp;":"&amp;$K35,CoefficientsIndex,0))</f>
        <v>0</v>
      </c>
      <c r="W35" s="48">
        <f>T35*N35+(O35-M35)*U35+V35</f>
        <v>0</v>
      </c>
      <c r="X35" s="48">
        <f>IF(ISNUMBER(S35),S35,W35)</f>
        <v>0</v>
      </c>
      <c r="Y35" s="48">
        <f>IF(ISNUMBER(X35),IF(AND(T35=1,U35=1,V35=1),100,100*EXP(X35)/(1+EXP(X35))),"N/A")</f>
        <v>0</v>
      </c>
      <c r="Z35" s="48">
        <f>IF(ISNUMBER(Y35),IF(Y35&gt;=99,SureThingLabel,IF(Y35&gt;=95,SecureLabel,IF(Y35&gt;=80,SafetyLabel,IF(Y35&gt;=50,MatchLabel,IF(Y35&gt;=20,ReachLabel,IF(Y35&gt;=10,LongshotLabel,HailMaryLabel)))))),"Other")</f>
        <v>0</v>
      </c>
      <c r="AA35" s="48">
        <f>IF($F35&gt;=J$3,1,0)</f>
        <v>0</v>
      </c>
      <c r="AB35" s="48">
        <f>IF($F35&gt;=J$2,1,0)</f>
        <v>0</v>
      </c>
      <c r="AC35" s="48">
        <f>IF(ISNUMBER(Y35),1-Y35/100,1)</f>
        <v>0</v>
      </c>
      <c r="AD35" s="49">
        <f>IF(AA35=1,AC35,1)</f>
        <v>0</v>
      </c>
      <c r="AE35" s="49">
        <f>IF(AB35=1,AC35,1)</f>
        <v>0</v>
      </c>
      <c r="AF35" s="49">
        <f>IF(L35=1,AD35,1)</f>
        <v>0</v>
      </c>
      <c r="AG35" s="49">
        <f>IF(L35=1,AE35,1)</f>
        <v>0</v>
      </c>
    </row>
    <row r="36" spans="1:33">
      <c r="A36" s="69">
        <f>A35</f>
        <v>0</v>
      </c>
      <c r="B36" s="69">
        <f>B35</f>
        <v>0</v>
      </c>
      <c r="D36" s="18">
        <f>INDEX(ExtraCollegeNCES,MATCH(E36,ExtraCollegeChoice,0))</f>
        <v>0</v>
      </c>
      <c r="E36" s="78"/>
      <c r="F36" s="11">
        <f>IF(ISERROR(D36),"",INDEX(IF(OR(H3="H",H3="B"),AllCollegeAAHGR,AllCollegeGR),MATCH(D36,AllCollegeNCES,0)))</f>
        <v>0</v>
      </c>
      <c r="G36" s="11">
        <f>IF(ISERROR(D36),"",IF(ISNUMBER(Y36),Y36/100,"N/A"))</f>
        <v>0</v>
      </c>
      <c r="H36" s="11">
        <f>IF(ISERROR(D36),"",Z36)</f>
        <v>0</v>
      </c>
      <c r="I36" s="11">
        <f>IF(ISERROR(D36),"","N/A")</f>
        <v>0</v>
      </c>
      <c r="J36" s="11">
        <f>IF(ISERROR(D36),"",INDEX(AllCollegeMoneyCode,MATCH(D36,AllCollegeNCES,0)))</f>
        <v>0</v>
      </c>
      <c r="K36" s="48">
        <f>INDEX(AllCollegeBarrons,MATCH(D36,AllCollegeNCES,0))</f>
        <v>0</v>
      </c>
      <c r="L36" s="48">
        <f>IF(ISERROR(D36),"",INDEX(AllCollegeMoney,MATCH(D36,AllCollegeNCES,0)))</f>
        <v>0</v>
      </c>
      <c r="M36" s="48">
        <f>INDEX(AllCollegeACT25,MATCH(D36,AllCollegeNCES,0))</f>
        <v>0</v>
      </c>
      <c r="N36" s="48">
        <f>G3</f>
        <v>0</v>
      </c>
      <c r="O36" s="48">
        <f>F4</f>
        <v>0</v>
      </c>
      <c r="P36" s="48">
        <f>INDEX(CustomWeightsGPA,MATCH($H3&amp;":"&amp;$D36,CustomWeightsIndex,0))</f>
        <v>0</v>
      </c>
      <c r="Q36" s="48">
        <f>INDEX(CustomWeightsACT,MATCH($H3&amp;":"&amp;$D36,CustomWeightsIndex,0))</f>
        <v>0</v>
      </c>
      <c r="R36" s="48">
        <f>INDEX(CustomWeightsIntercept,MATCH($H3&amp;":"&amp;$D36,CustomWeightsIndex,0))</f>
        <v>0</v>
      </c>
      <c r="S36" s="48">
        <f>P36*N36+Q36*O36+R36</f>
        <v>0</v>
      </c>
      <c r="T36" s="48">
        <f>INDEX(CoefficientsGPA,MATCH($H3&amp;":"&amp;$K36,CoefficientsIndex,0))</f>
        <v>0</v>
      </c>
      <c r="U36" s="48">
        <f>INDEX(CoefficientsACT,MATCH($H3&amp;":"&amp;$K36,CoefficientsIndex,0))</f>
        <v>0</v>
      </c>
      <c r="V36" s="48">
        <f>INDEX(CoefficientsIntercept,MATCH($H3&amp;":"&amp;$K36,CoefficientsIndex,0))</f>
        <v>0</v>
      </c>
      <c r="W36" s="48">
        <f>T36*N36+(O36-M36)*U36+V36</f>
        <v>0</v>
      </c>
      <c r="X36" s="48">
        <f>IF(ISNUMBER(S36),S36,W36)</f>
        <v>0</v>
      </c>
      <c r="Y36" s="48">
        <f>IF(ISNUMBER(X36),IF(AND(T36=1,U36=1,V36=1),100,100*EXP(X36)/(1+EXP(X36))),"N/A")</f>
        <v>0</v>
      </c>
      <c r="Z36" s="48">
        <f>IF(ISNUMBER(Y36),IF(Y36&gt;=99,SureThingLabel,IF(Y36&gt;=95,SecureLabel,IF(Y36&gt;=80,SafetyLabel,IF(Y36&gt;=50,MatchLabel,IF(Y36&gt;=20,ReachLabel,IF(Y36&gt;=10,LongshotLabel,HailMaryLabel)))))),"Other")</f>
        <v>0</v>
      </c>
      <c r="AA36" s="48">
        <f>IF($F36&gt;=J$3,1,0)</f>
        <v>0</v>
      </c>
      <c r="AB36" s="48">
        <f>IF($F36&gt;=J$2,1,0)</f>
        <v>0</v>
      </c>
      <c r="AC36" s="48">
        <f>IF(ISNUMBER(Y36),1-Y36/100,1)</f>
        <v>0</v>
      </c>
      <c r="AD36" s="49">
        <f>IF(AA36=1,AC36,1)</f>
        <v>0</v>
      </c>
      <c r="AE36" s="49">
        <f>IF(AB36=1,AC36,1)</f>
        <v>0</v>
      </c>
      <c r="AF36" s="49">
        <f>IF(L36=1,AD36,1)</f>
        <v>0</v>
      </c>
      <c r="AG36" s="49">
        <f>IF(L36=1,AE36,1)</f>
        <v>0</v>
      </c>
    </row>
    <row r="37" spans="1:33">
      <c r="A37" s="69">
        <f>A36</f>
        <v>0</v>
      </c>
      <c r="B37" s="69">
        <f>B36</f>
        <v>0</v>
      </c>
      <c r="D37" s="18">
        <f>INDEX(ExtraCollegeNCES,MATCH(E37,ExtraCollegeChoice,0))</f>
        <v>0</v>
      </c>
      <c r="E37" s="78"/>
      <c r="F37" s="11">
        <f>IF(ISERROR(D37),"",INDEX(IF(OR(H3="H",H3="B"),AllCollegeAAHGR,AllCollegeGR),MATCH(D37,AllCollegeNCES,0)))</f>
        <v>0</v>
      </c>
      <c r="G37" s="11">
        <f>IF(ISERROR(D37),"",IF(ISNUMBER(Y37),Y37/100,"N/A"))</f>
        <v>0</v>
      </c>
      <c r="H37" s="11">
        <f>IF(ISERROR(D37),"",Z37)</f>
        <v>0</v>
      </c>
      <c r="I37" s="11">
        <f>IF(ISERROR(D37),"","N/A")</f>
        <v>0</v>
      </c>
      <c r="J37" s="11">
        <f>IF(ISERROR(D37),"",INDEX(AllCollegeMoneyCode,MATCH(D37,AllCollegeNCES,0)))</f>
        <v>0</v>
      </c>
      <c r="K37" s="48">
        <f>INDEX(AllCollegeBarrons,MATCH(D37,AllCollegeNCES,0))</f>
        <v>0</v>
      </c>
      <c r="L37" s="48">
        <f>IF(ISERROR(D37),"",INDEX(AllCollegeMoney,MATCH(D37,AllCollegeNCES,0)))</f>
        <v>0</v>
      </c>
      <c r="M37" s="48">
        <f>INDEX(AllCollegeACT25,MATCH(D37,AllCollegeNCES,0))</f>
        <v>0</v>
      </c>
      <c r="N37" s="48">
        <f>G3</f>
        <v>0</v>
      </c>
      <c r="O37" s="48">
        <f>F4</f>
        <v>0</v>
      </c>
      <c r="P37" s="48">
        <f>INDEX(CustomWeightsGPA,MATCH($H3&amp;":"&amp;$D37,CustomWeightsIndex,0))</f>
        <v>0</v>
      </c>
      <c r="Q37" s="48">
        <f>INDEX(CustomWeightsACT,MATCH($H3&amp;":"&amp;$D37,CustomWeightsIndex,0))</f>
        <v>0</v>
      </c>
      <c r="R37" s="48">
        <f>INDEX(CustomWeightsIntercept,MATCH($H3&amp;":"&amp;$D37,CustomWeightsIndex,0))</f>
        <v>0</v>
      </c>
      <c r="S37" s="48">
        <f>P37*N37+Q37*O37+R37</f>
        <v>0</v>
      </c>
      <c r="T37" s="48">
        <f>INDEX(CoefficientsGPA,MATCH($H3&amp;":"&amp;$K37,CoefficientsIndex,0))</f>
        <v>0</v>
      </c>
      <c r="U37" s="48">
        <f>INDEX(CoefficientsACT,MATCH($H3&amp;":"&amp;$K37,CoefficientsIndex,0))</f>
        <v>0</v>
      </c>
      <c r="V37" s="48">
        <f>INDEX(CoefficientsIntercept,MATCH($H3&amp;":"&amp;$K37,CoefficientsIndex,0))</f>
        <v>0</v>
      </c>
      <c r="W37" s="48">
        <f>T37*N37+(O37-M37)*U37+V37</f>
        <v>0</v>
      </c>
      <c r="X37" s="48">
        <f>IF(ISNUMBER(S37),S37,W37)</f>
        <v>0</v>
      </c>
      <c r="Y37" s="48">
        <f>IF(ISNUMBER(X37),IF(AND(T37=1,U37=1,V37=1),100,100*EXP(X37)/(1+EXP(X37))),"N/A")</f>
        <v>0</v>
      </c>
      <c r="Z37" s="48">
        <f>IF(ISNUMBER(Y37),IF(Y37&gt;=99,SureThingLabel,IF(Y37&gt;=95,SecureLabel,IF(Y37&gt;=80,SafetyLabel,IF(Y37&gt;=50,MatchLabel,IF(Y37&gt;=20,ReachLabel,IF(Y37&gt;=10,LongshotLabel,HailMaryLabel)))))),"Other")</f>
        <v>0</v>
      </c>
      <c r="AA37" s="48">
        <f>IF($F37&gt;=J$3,1,0)</f>
        <v>0</v>
      </c>
      <c r="AB37" s="48">
        <f>IF($F37&gt;=J$2,1,0)</f>
        <v>0</v>
      </c>
      <c r="AC37" s="48">
        <f>IF(ISNUMBER(Y37),1-Y37/100,1)</f>
        <v>0</v>
      </c>
      <c r="AD37" s="49">
        <f>IF(AA37=1,AC37,1)</f>
        <v>0</v>
      </c>
      <c r="AE37" s="49">
        <f>IF(AB37=1,AC37,1)</f>
        <v>0</v>
      </c>
      <c r="AF37" s="49">
        <f>IF(L37=1,AD37,1)</f>
        <v>0</v>
      </c>
      <c r="AG37" s="49">
        <f>IF(L37=1,AE37,1)</f>
        <v>0</v>
      </c>
    </row>
    <row r="38" spans="1:33">
      <c r="A38" s="69">
        <f>A37</f>
        <v>0</v>
      </c>
      <c r="B38" s="69">
        <f>B37</f>
        <v>0</v>
      </c>
      <c r="D38" s="18">
        <f>INDEX(ExtraCollegeNCES,MATCH(E38,ExtraCollegeChoice,0))</f>
        <v>0</v>
      </c>
      <c r="E38" s="78"/>
      <c r="F38" s="11">
        <f>IF(ISERROR(D38),"",INDEX(IF(OR(H3="H",H3="B"),AllCollegeAAHGR,AllCollegeGR),MATCH(D38,AllCollegeNCES,0)))</f>
        <v>0</v>
      </c>
      <c r="G38" s="11">
        <f>IF(ISERROR(D38),"",IF(ISNUMBER(Y38),Y38/100,"N/A"))</f>
        <v>0</v>
      </c>
      <c r="H38" s="11">
        <f>IF(ISERROR(D38),"",Z38)</f>
        <v>0</v>
      </c>
      <c r="I38" s="11">
        <f>IF(ISERROR(D38),"","N/A")</f>
        <v>0</v>
      </c>
      <c r="J38" s="11">
        <f>IF(ISERROR(D38),"",INDEX(AllCollegeMoneyCode,MATCH(D38,AllCollegeNCES,0)))</f>
        <v>0</v>
      </c>
      <c r="K38" s="48">
        <f>INDEX(AllCollegeBarrons,MATCH(D38,AllCollegeNCES,0))</f>
        <v>0</v>
      </c>
      <c r="L38" s="48">
        <f>IF(ISERROR(D38),"",INDEX(AllCollegeMoney,MATCH(D38,AllCollegeNCES,0)))</f>
        <v>0</v>
      </c>
      <c r="M38" s="48">
        <f>INDEX(AllCollegeACT25,MATCH(D38,AllCollegeNCES,0))</f>
        <v>0</v>
      </c>
      <c r="N38" s="48">
        <f>G3</f>
        <v>0</v>
      </c>
      <c r="O38" s="48">
        <f>F4</f>
        <v>0</v>
      </c>
      <c r="P38" s="48">
        <f>INDEX(CustomWeightsGPA,MATCH($H3&amp;":"&amp;$D38,CustomWeightsIndex,0))</f>
        <v>0</v>
      </c>
      <c r="Q38" s="48">
        <f>INDEX(CustomWeightsACT,MATCH($H3&amp;":"&amp;$D38,CustomWeightsIndex,0))</f>
        <v>0</v>
      </c>
      <c r="R38" s="48">
        <f>INDEX(CustomWeightsIntercept,MATCH($H3&amp;":"&amp;$D38,CustomWeightsIndex,0))</f>
        <v>0</v>
      </c>
      <c r="S38" s="48">
        <f>P38*N38+Q38*O38+R38</f>
        <v>0</v>
      </c>
      <c r="T38" s="48">
        <f>INDEX(CoefficientsGPA,MATCH($H3&amp;":"&amp;$K38,CoefficientsIndex,0))</f>
        <v>0</v>
      </c>
      <c r="U38" s="48">
        <f>INDEX(CoefficientsACT,MATCH($H3&amp;":"&amp;$K38,CoefficientsIndex,0))</f>
        <v>0</v>
      </c>
      <c r="V38" s="48">
        <f>INDEX(CoefficientsIntercept,MATCH($H3&amp;":"&amp;$K38,CoefficientsIndex,0))</f>
        <v>0</v>
      </c>
      <c r="W38" s="48">
        <f>T38*N38+(O38-M38)*U38+V38</f>
        <v>0</v>
      </c>
      <c r="X38" s="48">
        <f>IF(ISNUMBER(S38),S38,W38)</f>
        <v>0</v>
      </c>
      <c r="Y38" s="48">
        <f>IF(ISNUMBER(X38),IF(AND(T38=1,U38=1,V38=1),100,100*EXP(X38)/(1+EXP(X38))),"N/A")</f>
        <v>0</v>
      </c>
      <c r="Z38" s="48">
        <f>IF(ISNUMBER(Y38),IF(Y38&gt;=99,SureThingLabel,IF(Y38&gt;=95,SecureLabel,IF(Y38&gt;=80,SafetyLabel,IF(Y38&gt;=50,MatchLabel,IF(Y38&gt;=20,ReachLabel,IF(Y38&gt;=10,LongshotLabel,HailMaryLabel)))))),"Other")</f>
        <v>0</v>
      </c>
      <c r="AA38" s="48">
        <f>IF($F38&gt;=J$3,1,0)</f>
        <v>0</v>
      </c>
      <c r="AB38" s="48">
        <f>IF($F38&gt;=J$2,1,0)</f>
        <v>0</v>
      </c>
      <c r="AC38" s="48">
        <f>IF(ISNUMBER(Y38),1-Y38/100,1)</f>
        <v>0</v>
      </c>
      <c r="AD38" s="49">
        <f>IF(AA38=1,AC38,1)</f>
        <v>0</v>
      </c>
      <c r="AE38" s="49">
        <f>IF(AB38=1,AC38,1)</f>
        <v>0</v>
      </c>
      <c r="AF38" s="49">
        <f>IF(L38=1,AD38,1)</f>
        <v>0</v>
      </c>
      <c r="AG38" s="49">
        <f>IF(L38=1,AE38,1)</f>
        <v>0</v>
      </c>
    </row>
    <row r="39" spans="1:33">
      <c r="A39" s="69">
        <f>A38</f>
        <v>0</v>
      </c>
      <c r="B39" s="69">
        <f>B38</f>
        <v>0</v>
      </c>
      <c r="D39" s="18">
        <f>INDEX(ExtraCollegeNCES,MATCH(E39,ExtraCollegeChoice,0))</f>
        <v>0</v>
      </c>
      <c r="E39" s="78"/>
      <c r="F39" s="11">
        <f>IF(ISERROR(D39),"",INDEX(IF(OR(H3="H",H3="B"),AllCollegeAAHGR,AllCollegeGR),MATCH(D39,AllCollegeNCES,0)))</f>
        <v>0</v>
      </c>
      <c r="G39" s="11">
        <f>IF(ISERROR(D39),"",IF(ISNUMBER(Y39),Y39/100,"N/A"))</f>
        <v>0</v>
      </c>
      <c r="H39" s="11">
        <f>IF(ISERROR(D39),"",Z39)</f>
        <v>0</v>
      </c>
      <c r="I39" s="11">
        <f>IF(ISERROR(D39),"","N/A")</f>
        <v>0</v>
      </c>
      <c r="J39" s="11">
        <f>IF(ISERROR(D39),"",INDEX(AllCollegeMoneyCode,MATCH(D39,AllCollegeNCES,0)))</f>
        <v>0</v>
      </c>
      <c r="K39" s="48">
        <f>INDEX(AllCollegeBarrons,MATCH(D39,AllCollegeNCES,0))</f>
        <v>0</v>
      </c>
      <c r="L39" s="48">
        <f>IF(ISERROR(D39),"",INDEX(AllCollegeMoney,MATCH(D39,AllCollegeNCES,0)))</f>
        <v>0</v>
      </c>
      <c r="M39" s="48">
        <f>INDEX(AllCollegeACT25,MATCH(D39,AllCollegeNCES,0))</f>
        <v>0</v>
      </c>
      <c r="N39" s="48">
        <f>G3</f>
        <v>0</v>
      </c>
      <c r="O39" s="48">
        <f>F4</f>
        <v>0</v>
      </c>
      <c r="P39" s="48">
        <f>INDEX(CustomWeightsGPA,MATCH($H3&amp;":"&amp;$D39,CustomWeightsIndex,0))</f>
        <v>0</v>
      </c>
      <c r="Q39" s="48">
        <f>INDEX(CustomWeightsACT,MATCH($H3&amp;":"&amp;$D39,CustomWeightsIndex,0))</f>
        <v>0</v>
      </c>
      <c r="R39" s="48">
        <f>INDEX(CustomWeightsIntercept,MATCH($H3&amp;":"&amp;$D39,CustomWeightsIndex,0))</f>
        <v>0</v>
      </c>
      <c r="S39" s="48">
        <f>P39*N39+Q39*O39+R39</f>
        <v>0</v>
      </c>
      <c r="T39" s="48">
        <f>INDEX(CoefficientsGPA,MATCH($H3&amp;":"&amp;$K39,CoefficientsIndex,0))</f>
        <v>0</v>
      </c>
      <c r="U39" s="48">
        <f>INDEX(CoefficientsACT,MATCH($H3&amp;":"&amp;$K39,CoefficientsIndex,0))</f>
        <v>0</v>
      </c>
      <c r="V39" s="48">
        <f>INDEX(CoefficientsIntercept,MATCH($H3&amp;":"&amp;$K39,CoefficientsIndex,0))</f>
        <v>0</v>
      </c>
      <c r="W39" s="48">
        <f>T39*N39+(O39-M39)*U39+V39</f>
        <v>0</v>
      </c>
      <c r="X39" s="48">
        <f>IF(ISNUMBER(S39),S39,W39)</f>
        <v>0</v>
      </c>
      <c r="Y39" s="48">
        <f>IF(ISNUMBER(X39),IF(AND(T39=1,U39=1,V39=1),100,100*EXP(X39)/(1+EXP(X39))),"N/A")</f>
        <v>0</v>
      </c>
      <c r="Z39" s="48">
        <f>IF(ISNUMBER(Y39),IF(Y39&gt;=99,SureThingLabel,IF(Y39&gt;=95,SecureLabel,IF(Y39&gt;=80,SafetyLabel,IF(Y39&gt;=50,MatchLabel,IF(Y39&gt;=20,ReachLabel,IF(Y39&gt;=10,LongshotLabel,HailMaryLabel)))))),"Other")</f>
        <v>0</v>
      </c>
      <c r="AA39" s="48">
        <f>IF($F39&gt;=J$3,1,0)</f>
        <v>0</v>
      </c>
      <c r="AB39" s="48">
        <f>IF($F39&gt;=J$2,1,0)</f>
        <v>0</v>
      </c>
      <c r="AC39" s="48">
        <f>IF(ISNUMBER(Y39),1-Y39/100,1)</f>
        <v>0</v>
      </c>
      <c r="AD39" s="49">
        <f>IF(AA39=1,AC39,1)</f>
        <v>0</v>
      </c>
      <c r="AE39" s="49">
        <f>IF(AB39=1,AC39,1)</f>
        <v>0</v>
      </c>
      <c r="AF39" s="49">
        <f>IF(L39=1,AD39,1)</f>
        <v>0</v>
      </c>
      <c r="AG39" s="49">
        <f>IF(L39=1,AE39,1)</f>
        <v>0</v>
      </c>
    </row>
    <row r="40" spans="1:33">
      <c r="A40" s="69">
        <f>A39</f>
        <v>0</v>
      </c>
      <c r="B40" s="69">
        <f>B39</f>
        <v>0</v>
      </c>
      <c r="D40" s="18">
        <f>INDEX(ExtraCollegeNCES,MATCH(E40,ExtraCollegeChoice,0))</f>
        <v>0</v>
      </c>
      <c r="E40" s="78"/>
      <c r="F40" s="11">
        <f>IF(ISERROR(D40),"",INDEX(IF(OR(H3="H",H3="B"),AllCollegeAAHGR,AllCollegeGR),MATCH(D40,AllCollegeNCES,0)))</f>
        <v>0</v>
      </c>
      <c r="G40" s="11">
        <f>IF(ISERROR(D40),"",IF(ISNUMBER(Y40),Y40/100,"N/A"))</f>
        <v>0</v>
      </c>
      <c r="H40" s="11">
        <f>IF(ISERROR(D40),"",Z40)</f>
        <v>0</v>
      </c>
      <c r="I40" s="11">
        <f>IF(ISERROR(D40),"","N/A")</f>
        <v>0</v>
      </c>
      <c r="J40" s="11">
        <f>IF(ISERROR(D40),"",INDEX(AllCollegeMoneyCode,MATCH(D40,AllCollegeNCES,0)))</f>
        <v>0</v>
      </c>
      <c r="K40" s="48">
        <f>INDEX(AllCollegeBarrons,MATCH(D40,AllCollegeNCES,0))</f>
        <v>0</v>
      </c>
      <c r="L40" s="48">
        <f>IF(ISERROR(D40),"",INDEX(AllCollegeMoney,MATCH(D40,AllCollegeNCES,0)))</f>
        <v>0</v>
      </c>
      <c r="M40" s="48">
        <f>INDEX(AllCollegeACT25,MATCH(D40,AllCollegeNCES,0))</f>
        <v>0</v>
      </c>
      <c r="N40" s="48">
        <f>G3</f>
        <v>0</v>
      </c>
      <c r="O40" s="48">
        <f>F4</f>
        <v>0</v>
      </c>
      <c r="P40" s="48">
        <f>INDEX(CustomWeightsGPA,MATCH($H3&amp;":"&amp;$D40,CustomWeightsIndex,0))</f>
        <v>0</v>
      </c>
      <c r="Q40" s="48">
        <f>INDEX(CustomWeightsACT,MATCH($H3&amp;":"&amp;$D40,CustomWeightsIndex,0))</f>
        <v>0</v>
      </c>
      <c r="R40" s="48">
        <f>INDEX(CustomWeightsIntercept,MATCH($H3&amp;":"&amp;$D40,CustomWeightsIndex,0))</f>
        <v>0</v>
      </c>
      <c r="S40" s="48">
        <f>P40*N40+Q40*O40+R40</f>
        <v>0</v>
      </c>
      <c r="T40" s="48">
        <f>INDEX(CoefficientsGPA,MATCH($H3&amp;":"&amp;$K40,CoefficientsIndex,0))</f>
        <v>0</v>
      </c>
      <c r="U40" s="48">
        <f>INDEX(CoefficientsACT,MATCH($H3&amp;":"&amp;$K40,CoefficientsIndex,0))</f>
        <v>0</v>
      </c>
      <c r="V40" s="48">
        <f>INDEX(CoefficientsIntercept,MATCH($H3&amp;":"&amp;$K40,CoefficientsIndex,0))</f>
        <v>0</v>
      </c>
      <c r="W40" s="48">
        <f>T40*N40+(O40-M40)*U40+V40</f>
        <v>0</v>
      </c>
      <c r="X40" s="48">
        <f>IF(ISNUMBER(S40),S40,W40)</f>
        <v>0</v>
      </c>
      <c r="Y40" s="48">
        <f>IF(ISNUMBER(X40),IF(AND(T40=1,U40=1,V40=1),100,100*EXP(X40)/(1+EXP(X40))),"N/A")</f>
        <v>0</v>
      </c>
      <c r="Z40" s="48">
        <f>IF(ISNUMBER(Y40),IF(Y40&gt;=99,SureThingLabel,IF(Y40&gt;=95,SecureLabel,IF(Y40&gt;=80,SafetyLabel,IF(Y40&gt;=50,MatchLabel,IF(Y40&gt;=20,ReachLabel,IF(Y40&gt;=10,LongshotLabel,HailMaryLabel)))))),"Other")</f>
        <v>0</v>
      </c>
      <c r="AA40" s="48">
        <f>IF($F40&gt;=J$3,1,0)</f>
        <v>0</v>
      </c>
      <c r="AB40" s="48">
        <f>IF($F40&gt;=J$2,1,0)</f>
        <v>0</v>
      </c>
      <c r="AC40" s="48">
        <f>IF(ISNUMBER(Y40),1-Y40/100,1)</f>
        <v>0</v>
      </c>
      <c r="AD40" s="49">
        <f>IF(AA40=1,AC40,1)</f>
        <v>0</v>
      </c>
      <c r="AE40" s="49">
        <f>IF(AB40=1,AC40,1)</f>
        <v>0</v>
      </c>
      <c r="AF40" s="49">
        <f>IF(L40=1,AD40,1)</f>
        <v>0</v>
      </c>
      <c r="AG40" s="49">
        <f>IF(L40=1,AE40,1)</f>
        <v>0</v>
      </c>
    </row>
    <row r="41" spans="1:33">
      <c r="A41" s="69">
        <f>A40</f>
        <v>0</v>
      </c>
      <c r="B41" s="69">
        <f>B40</f>
        <v>0</v>
      </c>
      <c r="D41" s="18">
        <f>INDEX(ExtraCollegeNCES,MATCH(E41,ExtraCollegeChoice,0))</f>
        <v>0</v>
      </c>
      <c r="E41" s="78"/>
      <c r="F41" s="11">
        <f>IF(ISERROR(D41),"",INDEX(IF(OR(H3="H",H3="B"),AllCollegeAAHGR,AllCollegeGR),MATCH(D41,AllCollegeNCES,0)))</f>
        <v>0</v>
      </c>
      <c r="G41" s="11">
        <f>IF(ISERROR(D41),"",IF(ISNUMBER(Y41),Y41/100,"N/A"))</f>
        <v>0</v>
      </c>
      <c r="H41" s="11">
        <f>IF(ISERROR(D41),"",Z41)</f>
        <v>0</v>
      </c>
      <c r="I41" s="11">
        <f>IF(ISERROR(D41),"","N/A")</f>
        <v>0</v>
      </c>
      <c r="J41" s="11">
        <f>IF(ISERROR(D41),"",INDEX(AllCollegeMoneyCode,MATCH(D41,AllCollegeNCES,0)))</f>
        <v>0</v>
      </c>
      <c r="K41" s="48">
        <f>INDEX(AllCollegeBarrons,MATCH(D41,AllCollegeNCES,0))</f>
        <v>0</v>
      </c>
      <c r="L41" s="48">
        <f>IF(ISERROR(D41),"",INDEX(AllCollegeMoney,MATCH(D41,AllCollegeNCES,0)))</f>
        <v>0</v>
      </c>
      <c r="M41" s="48">
        <f>INDEX(AllCollegeACT25,MATCH(D41,AllCollegeNCES,0))</f>
        <v>0</v>
      </c>
      <c r="N41" s="48">
        <f>G3</f>
        <v>0</v>
      </c>
      <c r="O41" s="48">
        <f>F4</f>
        <v>0</v>
      </c>
      <c r="P41" s="48">
        <f>INDEX(CustomWeightsGPA,MATCH($H3&amp;":"&amp;$D41,CustomWeightsIndex,0))</f>
        <v>0</v>
      </c>
      <c r="Q41" s="48">
        <f>INDEX(CustomWeightsACT,MATCH($H3&amp;":"&amp;$D41,CustomWeightsIndex,0))</f>
        <v>0</v>
      </c>
      <c r="R41" s="48">
        <f>INDEX(CustomWeightsIntercept,MATCH($H3&amp;":"&amp;$D41,CustomWeightsIndex,0))</f>
        <v>0</v>
      </c>
      <c r="S41" s="48">
        <f>P41*N41+Q41*O41+R41</f>
        <v>0</v>
      </c>
      <c r="T41" s="48">
        <f>INDEX(CoefficientsGPA,MATCH($H3&amp;":"&amp;$K41,CoefficientsIndex,0))</f>
        <v>0</v>
      </c>
      <c r="U41" s="48">
        <f>INDEX(CoefficientsACT,MATCH($H3&amp;":"&amp;$K41,CoefficientsIndex,0))</f>
        <v>0</v>
      </c>
      <c r="V41" s="48">
        <f>INDEX(CoefficientsIntercept,MATCH($H3&amp;":"&amp;$K41,CoefficientsIndex,0))</f>
        <v>0</v>
      </c>
      <c r="W41" s="48">
        <f>T41*N41+(O41-M41)*U41+V41</f>
        <v>0</v>
      </c>
      <c r="X41" s="48">
        <f>IF(ISNUMBER(S41),S41,W41)</f>
        <v>0</v>
      </c>
      <c r="Y41" s="48">
        <f>IF(ISNUMBER(X41),IF(AND(T41=1,U41=1,V41=1),100,100*EXP(X41)/(1+EXP(X41))),"N/A")</f>
        <v>0</v>
      </c>
      <c r="Z41" s="48">
        <f>IF(ISNUMBER(Y41),IF(Y41&gt;=99,SureThingLabel,IF(Y41&gt;=95,SecureLabel,IF(Y41&gt;=80,SafetyLabel,IF(Y41&gt;=50,MatchLabel,IF(Y41&gt;=20,ReachLabel,IF(Y41&gt;=10,LongshotLabel,HailMaryLabel)))))),"Other")</f>
        <v>0</v>
      </c>
      <c r="AA41" s="48">
        <f>IF($F41&gt;=J$3,1,0)</f>
        <v>0</v>
      </c>
      <c r="AB41" s="48">
        <f>IF($F41&gt;=J$2,1,0)</f>
        <v>0</v>
      </c>
      <c r="AC41" s="48">
        <f>IF(ISNUMBER(Y41),1-Y41/100,1)</f>
        <v>0</v>
      </c>
      <c r="AD41" s="49">
        <f>IF(AA41=1,AC41,1)</f>
        <v>0</v>
      </c>
      <c r="AE41" s="49">
        <f>IF(AB41=1,AC41,1)</f>
        <v>0</v>
      </c>
      <c r="AF41" s="49">
        <f>IF(L41=1,AD41,1)</f>
        <v>0</v>
      </c>
      <c r="AG41" s="49">
        <f>IF(L41=1,AE41,1)</f>
        <v>0</v>
      </c>
    </row>
    <row r="42" spans="1:33">
      <c r="A42" s="69">
        <f>A41</f>
        <v>0</v>
      </c>
      <c r="B42" s="69">
        <f>B41</f>
        <v>0</v>
      </c>
      <c r="D42" s="18">
        <f>INDEX(ExtraCollegeNCES,MATCH(E42,ExtraCollegeChoice,0))</f>
        <v>0</v>
      </c>
      <c r="E42" s="78"/>
      <c r="F42" s="11">
        <f>IF(ISERROR(D42),"",INDEX(IF(OR(H3="H",H3="B"),AllCollegeAAHGR,AllCollegeGR),MATCH(D42,AllCollegeNCES,0)))</f>
        <v>0</v>
      </c>
      <c r="G42" s="11">
        <f>IF(ISERROR(D42),"",IF(ISNUMBER(Y42),Y42/100,"N/A"))</f>
        <v>0</v>
      </c>
      <c r="H42" s="11">
        <f>IF(ISERROR(D42),"",Z42)</f>
        <v>0</v>
      </c>
      <c r="I42" s="11">
        <f>IF(ISERROR(D42),"","N/A")</f>
        <v>0</v>
      </c>
      <c r="J42" s="11">
        <f>IF(ISERROR(D42),"",INDEX(AllCollegeMoneyCode,MATCH(D42,AllCollegeNCES,0)))</f>
        <v>0</v>
      </c>
      <c r="K42" s="48">
        <f>INDEX(AllCollegeBarrons,MATCH(D42,AllCollegeNCES,0))</f>
        <v>0</v>
      </c>
      <c r="L42" s="48">
        <f>IF(ISERROR(D42),"",INDEX(AllCollegeMoney,MATCH(D42,AllCollegeNCES,0)))</f>
        <v>0</v>
      </c>
      <c r="M42" s="48">
        <f>INDEX(AllCollegeACT25,MATCH(D42,AllCollegeNCES,0))</f>
        <v>0</v>
      </c>
      <c r="N42" s="48">
        <f>G3</f>
        <v>0</v>
      </c>
      <c r="O42" s="48">
        <f>F4</f>
        <v>0</v>
      </c>
      <c r="P42" s="48">
        <f>INDEX(CustomWeightsGPA,MATCH($H3&amp;":"&amp;$D42,CustomWeightsIndex,0))</f>
        <v>0</v>
      </c>
      <c r="Q42" s="48">
        <f>INDEX(CustomWeightsACT,MATCH($H3&amp;":"&amp;$D42,CustomWeightsIndex,0))</f>
        <v>0</v>
      </c>
      <c r="R42" s="48">
        <f>INDEX(CustomWeightsIntercept,MATCH($H3&amp;":"&amp;$D42,CustomWeightsIndex,0))</f>
        <v>0</v>
      </c>
      <c r="S42" s="48">
        <f>P42*N42+Q42*O42+R42</f>
        <v>0</v>
      </c>
      <c r="T42" s="48">
        <f>INDEX(CoefficientsGPA,MATCH($H3&amp;":"&amp;$K42,CoefficientsIndex,0))</f>
        <v>0</v>
      </c>
      <c r="U42" s="48">
        <f>INDEX(CoefficientsACT,MATCH($H3&amp;":"&amp;$K42,CoefficientsIndex,0))</f>
        <v>0</v>
      </c>
      <c r="V42" s="48">
        <f>INDEX(CoefficientsIntercept,MATCH($H3&amp;":"&amp;$K42,CoefficientsIndex,0))</f>
        <v>0</v>
      </c>
      <c r="W42" s="48">
        <f>T42*N42+(O42-M42)*U42+V42</f>
        <v>0</v>
      </c>
      <c r="X42" s="48">
        <f>IF(ISNUMBER(S42),S42,W42)</f>
        <v>0</v>
      </c>
      <c r="Y42" s="48">
        <f>IF(ISNUMBER(X42),IF(AND(T42=1,U42=1,V42=1),100,100*EXP(X42)/(1+EXP(X42))),"N/A")</f>
        <v>0</v>
      </c>
      <c r="Z42" s="48">
        <f>IF(ISNUMBER(Y42),IF(Y42&gt;=99,SureThingLabel,IF(Y42&gt;=95,SecureLabel,IF(Y42&gt;=80,SafetyLabel,IF(Y42&gt;=50,MatchLabel,IF(Y42&gt;=20,ReachLabel,IF(Y42&gt;=10,LongshotLabel,HailMaryLabel)))))),"Other")</f>
        <v>0</v>
      </c>
      <c r="AA42" s="48">
        <f>IF($F42&gt;=J$3,1,0)</f>
        <v>0</v>
      </c>
      <c r="AB42" s="48">
        <f>IF($F42&gt;=J$2,1,0)</f>
        <v>0</v>
      </c>
      <c r="AC42" s="48">
        <f>IF(ISNUMBER(Y42),1-Y42/100,1)</f>
        <v>0</v>
      </c>
      <c r="AD42" s="49">
        <f>IF(AA42=1,AC42,1)</f>
        <v>0</v>
      </c>
      <c r="AE42" s="49">
        <f>IF(AB42=1,AC42,1)</f>
        <v>0</v>
      </c>
      <c r="AF42" s="49">
        <f>IF(L42=1,AD42,1)</f>
        <v>0</v>
      </c>
      <c r="AG42" s="49">
        <f>IF(L42=1,AE42,1)</f>
        <v>0</v>
      </c>
    </row>
    <row r="43" spans="1:33">
      <c r="A43" s="69">
        <f>A42</f>
        <v>0</v>
      </c>
      <c r="B43" s="69">
        <f>B42</f>
        <v>0</v>
      </c>
      <c r="D43" s="18">
        <f>INDEX(ExtraCollegeNCES,MATCH(E43,ExtraCollegeChoice,0))</f>
        <v>0</v>
      </c>
      <c r="E43" s="78"/>
      <c r="F43" s="11">
        <f>IF(ISERROR(D43),"",INDEX(IF(OR(H3="H",H3="B"),AllCollegeAAHGR,AllCollegeGR),MATCH(D43,AllCollegeNCES,0)))</f>
        <v>0</v>
      </c>
      <c r="G43" s="11">
        <f>IF(ISERROR(D43),"",IF(ISNUMBER(Y43),Y43/100,"N/A"))</f>
        <v>0</v>
      </c>
      <c r="H43" s="11">
        <f>IF(ISERROR(D43),"",Z43)</f>
        <v>0</v>
      </c>
      <c r="I43" s="11">
        <f>IF(ISERROR(D43),"","N/A")</f>
        <v>0</v>
      </c>
      <c r="J43" s="11">
        <f>IF(ISERROR(D43),"",INDEX(AllCollegeMoneyCode,MATCH(D43,AllCollegeNCES,0)))</f>
        <v>0</v>
      </c>
      <c r="K43" s="48">
        <f>INDEX(AllCollegeBarrons,MATCH(D43,AllCollegeNCES,0))</f>
        <v>0</v>
      </c>
      <c r="L43" s="48">
        <f>IF(ISERROR(D43),"",INDEX(AllCollegeMoney,MATCH(D43,AllCollegeNCES,0)))</f>
        <v>0</v>
      </c>
      <c r="M43" s="48">
        <f>INDEX(AllCollegeACT25,MATCH(D43,AllCollegeNCES,0))</f>
        <v>0</v>
      </c>
      <c r="N43" s="48">
        <f>G3</f>
        <v>0</v>
      </c>
      <c r="O43" s="48">
        <f>F4</f>
        <v>0</v>
      </c>
      <c r="P43" s="48">
        <f>INDEX(CustomWeightsGPA,MATCH($H3&amp;":"&amp;$D43,CustomWeightsIndex,0))</f>
        <v>0</v>
      </c>
      <c r="Q43" s="48">
        <f>INDEX(CustomWeightsACT,MATCH($H3&amp;":"&amp;$D43,CustomWeightsIndex,0))</f>
        <v>0</v>
      </c>
      <c r="R43" s="48">
        <f>INDEX(CustomWeightsIntercept,MATCH($H3&amp;":"&amp;$D43,CustomWeightsIndex,0))</f>
        <v>0</v>
      </c>
      <c r="S43" s="48">
        <f>P43*N43+Q43*O43+R43</f>
        <v>0</v>
      </c>
      <c r="T43" s="48">
        <f>INDEX(CoefficientsGPA,MATCH($H3&amp;":"&amp;$K43,CoefficientsIndex,0))</f>
        <v>0</v>
      </c>
      <c r="U43" s="48">
        <f>INDEX(CoefficientsACT,MATCH($H3&amp;":"&amp;$K43,CoefficientsIndex,0))</f>
        <v>0</v>
      </c>
      <c r="V43" s="48">
        <f>INDEX(CoefficientsIntercept,MATCH($H3&amp;":"&amp;$K43,CoefficientsIndex,0))</f>
        <v>0</v>
      </c>
      <c r="W43" s="48">
        <f>T43*N43+(O43-M43)*U43+V43</f>
        <v>0</v>
      </c>
      <c r="X43" s="48">
        <f>IF(ISNUMBER(S43),S43,W43)</f>
        <v>0</v>
      </c>
      <c r="Y43" s="48">
        <f>IF(ISNUMBER(X43),IF(AND(T43=1,U43=1,V43=1),100,100*EXP(X43)/(1+EXP(X43))),"N/A")</f>
        <v>0</v>
      </c>
      <c r="Z43" s="48">
        <f>IF(ISNUMBER(Y43),IF(Y43&gt;=99,SureThingLabel,IF(Y43&gt;=95,SecureLabel,IF(Y43&gt;=80,SafetyLabel,IF(Y43&gt;=50,MatchLabel,IF(Y43&gt;=20,ReachLabel,IF(Y43&gt;=10,LongshotLabel,HailMaryLabel)))))),"Other")</f>
        <v>0</v>
      </c>
      <c r="AA43" s="48">
        <f>IF($F43&gt;=J$3,1,0)</f>
        <v>0</v>
      </c>
      <c r="AB43" s="48">
        <f>IF($F43&gt;=J$2,1,0)</f>
        <v>0</v>
      </c>
      <c r="AC43" s="48">
        <f>IF(ISNUMBER(Y43),1-Y43/100,1)</f>
        <v>0</v>
      </c>
      <c r="AD43" s="49">
        <f>IF(AA43=1,AC43,1)</f>
        <v>0</v>
      </c>
      <c r="AE43" s="49">
        <f>IF(AB43=1,AC43,1)</f>
        <v>0</v>
      </c>
      <c r="AF43" s="49">
        <f>IF(L43=1,AD43,1)</f>
        <v>0</v>
      </c>
      <c r="AG43" s="49">
        <f>IF(L43=1,AE43,1)</f>
        <v>0</v>
      </c>
    </row>
    <row r="44" spans="1:33">
      <c r="A44" s="69">
        <f>A43</f>
        <v>0</v>
      </c>
      <c r="B44" s="69">
        <f>B43</f>
        <v>0</v>
      </c>
      <c r="D44" s="18">
        <f>INDEX(ExtraCollegeNCES,MATCH(E44,ExtraCollegeChoice,0))</f>
        <v>0</v>
      </c>
      <c r="E44" s="78"/>
      <c r="F44" s="11">
        <f>IF(ISERROR(D44),"",INDEX(IF(OR(H3="H",H3="B"),AllCollegeAAHGR,AllCollegeGR),MATCH(D44,AllCollegeNCES,0)))</f>
        <v>0</v>
      </c>
      <c r="G44" s="11">
        <f>IF(ISERROR(D44),"",IF(ISNUMBER(Y44),Y44/100,"N/A"))</f>
        <v>0</v>
      </c>
      <c r="H44" s="11">
        <f>IF(ISERROR(D44),"",Z44)</f>
        <v>0</v>
      </c>
      <c r="I44" s="11">
        <f>IF(ISERROR(D44),"","N/A")</f>
        <v>0</v>
      </c>
      <c r="J44" s="11">
        <f>IF(ISERROR(D44),"",INDEX(AllCollegeMoneyCode,MATCH(D44,AllCollegeNCES,0)))</f>
        <v>0</v>
      </c>
      <c r="K44" s="48">
        <f>INDEX(AllCollegeBarrons,MATCH(D44,AllCollegeNCES,0))</f>
        <v>0</v>
      </c>
      <c r="L44" s="48">
        <f>IF(ISERROR(D44),"",INDEX(AllCollegeMoney,MATCH(D44,AllCollegeNCES,0)))</f>
        <v>0</v>
      </c>
      <c r="M44" s="48">
        <f>INDEX(AllCollegeACT25,MATCH(D44,AllCollegeNCES,0))</f>
        <v>0</v>
      </c>
      <c r="N44" s="48">
        <f>G3</f>
        <v>0</v>
      </c>
      <c r="O44" s="48">
        <f>F4</f>
        <v>0</v>
      </c>
      <c r="P44" s="48">
        <f>INDEX(CustomWeightsGPA,MATCH($H3&amp;":"&amp;$D44,CustomWeightsIndex,0))</f>
        <v>0</v>
      </c>
      <c r="Q44" s="48">
        <f>INDEX(CustomWeightsACT,MATCH($H3&amp;":"&amp;$D44,CustomWeightsIndex,0))</f>
        <v>0</v>
      </c>
      <c r="R44" s="48">
        <f>INDEX(CustomWeightsIntercept,MATCH($H3&amp;":"&amp;$D44,CustomWeightsIndex,0))</f>
        <v>0</v>
      </c>
      <c r="S44" s="48">
        <f>P44*N44+Q44*O44+R44</f>
        <v>0</v>
      </c>
      <c r="T44" s="48">
        <f>INDEX(CoefficientsGPA,MATCH($H3&amp;":"&amp;$K44,CoefficientsIndex,0))</f>
        <v>0</v>
      </c>
      <c r="U44" s="48">
        <f>INDEX(CoefficientsACT,MATCH($H3&amp;":"&amp;$K44,CoefficientsIndex,0))</f>
        <v>0</v>
      </c>
      <c r="V44" s="48">
        <f>INDEX(CoefficientsIntercept,MATCH($H3&amp;":"&amp;$K44,CoefficientsIndex,0))</f>
        <v>0</v>
      </c>
      <c r="W44" s="48">
        <f>T44*N44+(O44-M44)*U44+V44</f>
        <v>0</v>
      </c>
      <c r="X44" s="48">
        <f>IF(ISNUMBER(S44),S44,W44)</f>
        <v>0</v>
      </c>
      <c r="Y44" s="48">
        <f>IF(ISNUMBER(X44),IF(AND(T44=1,U44=1,V44=1),100,100*EXP(X44)/(1+EXP(X44))),"N/A")</f>
        <v>0</v>
      </c>
      <c r="Z44" s="48">
        <f>IF(ISNUMBER(Y44),IF(Y44&gt;=99,SureThingLabel,IF(Y44&gt;=95,SecureLabel,IF(Y44&gt;=80,SafetyLabel,IF(Y44&gt;=50,MatchLabel,IF(Y44&gt;=20,ReachLabel,IF(Y44&gt;=10,LongshotLabel,HailMaryLabel)))))),"Other")</f>
        <v>0</v>
      </c>
      <c r="AA44" s="48">
        <f>IF($F44&gt;=J$3,1,0)</f>
        <v>0</v>
      </c>
      <c r="AB44" s="48">
        <f>IF($F44&gt;=J$2,1,0)</f>
        <v>0</v>
      </c>
      <c r="AC44" s="48">
        <f>IF(ISNUMBER(Y44),1-Y44/100,1)</f>
        <v>0</v>
      </c>
      <c r="AD44" s="49">
        <f>IF(AA44=1,AC44,1)</f>
        <v>0</v>
      </c>
      <c r="AE44" s="49">
        <f>IF(AB44=1,AC44,1)</f>
        <v>0</v>
      </c>
      <c r="AF44" s="49">
        <f>IF(L44=1,AD44,1)</f>
        <v>0</v>
      </c>
      <c r="AG44" s="49">
        <f>IF(L44=1,AE44,1)</f>
        <v>0</v>
      </c>
    </row>
    <row r="45" spans="1:33">
      <c r="A45" s="69">
        <f>A44</f>
        <v>0</v>
      </c>
      <c r="B45" s="69">
        <f>B44</f>
        <v>0</v>
      </c>
      <c r="D45" s="18">
        <f>INDEX(ExtraCollegeNCES,MATCH(E45,ExtraCollegeChoice,0))</f>
        <v>0</v>
      </c>
      <c r="E45" s="78"/>
      <c r="F45" s="11">
        <f>IF(ISERROR(D45),"",INDEX(IF(OR(H3="H",H3="B"),AllCollegeAAHGR,AllCollegeGR),MATCH(D45,AllCollegeNCES,0)))</f>
        <v>0</v>
      </c>
      <c r="G45" s="11">
        <f>IF(ISERROR(D45),"",IF(ISNUMBER(Y45),Y45/100,"N/A"))</f>
        <v>0</v>
      </c>
      <c r="H45" s="11">
        <f>IF(ISERROR(D45),"",Z45)</f>
        <v>0</v>
      </c>
      <c r="I45" s="11">
        <f>IF(ISERROR(D45),"","N/A")</f>
        <v>0</v>
      </c>
      <c r="J45" s="11">
        <f>IF(ISERROR(D45),"",INDEX(AllCollegeMoneyCode,MATCH(D45,AllCollegeNCES,0)))</f>
        <v>0</v>
      </c>
      <c r="K45" s="48">
        <f>INDEX(AllCollegeBarrons,MATCH(D45,AllCollegeNCES,0))</f>
        <v>0</v>
      </c>
      <c r="L45" s="48">
        <f>IF(ISERROR(D45),"",INDEX(AllCollegeMoney,MATCH(D45,AllCollegeNCES,0)))</f>
        <v>0</v>
      </c>
      <c r="M45" s="48">
        <f>INDEX(AllCollegeACT25,MATCH(D45,AllCollegeNCES,0))</f>
        <v>0</v>
      </c>
      <c r="N45" s="48">
        <f>G3</f>
        <v>0</v>
      </c>
      <c r="O45" s="48">
        <f>F4</f>
        <v>0</v>
      </c>
      <c r="P45" s="48">
        <f>INDEX(CustomWeightsGPA,MATCH($H3&amp;":"&amp;$D45,CustomWeightsIndex,0))</f>
        <v>0</v>
      </c>
      <c r="Q45" s="48">
        <f>INDEX(CustomWeightsACT,MATCH($H3&amp;":"&amp;$D45,CustomWeightsIndex,0))</f>
        <v>0</v>
      </c>
      <c r="R45" s="48">
        <f>INDEX(CustomWeightsIntercept,MATCH($H3&amp;":"&amp;$D45,CustomWeightsIndex,0))</f>
        <v>0</v>
      </c>
      <c r="S45" s="48">
        <f>P45*N45+Q45*O45+R45</f>
        <v>0</v>
      </c>
      <c r="T45" s="48">
        <f>INDEX(CoefficientsGPA,MATCH($H3&amp;":"&amp;$K45,CoefficientsIndex,0))</f>
        <v>0</v>
      </c>
      <c r="U45" s="48">
        <f>INDEX(CoefficientsACT,MATCH($H3&amp;":"&amp;$K45,CoefficientsIndex,0))</f>
        <v>0</v>
      </c>
      <c r="V45" s="48">
        <f>INDEX(CoefficientsIntercept,MATCH($H3&amp;":"&amp;$K45,CoefficientsIndex,0))</f>
        <v>0</v>
      </c>
      <c r="W45" s="48">
        <f>T45*N45+(O45-M45)*U45+V45</f>
        <v>0</v>
      </c>
      <c r="X45" s="48">
        <f>IF(ISNUMBER(S45),S45,W45)</f>
        <v>0</v>
      </c>
      <c r="Y45" s="48">
        <f>IF(ISNUMBER(X45),IF(AND(T45=1,U45=1,V45=1),100,100*EXP(X45)/(1+EXP(X45))),"N/A")</f>
        <v>0</v>
      </c>
      <c r="Z45" s="48">
        <f>IF(ISNUMBER(Y45),IF(Y45&gt;=99,SureThingLabel,IF(Y45&gt;=95,SecureLabel,IF(Y45&gt;=80,SafetyLabel,IF(Y45&gt;=50,MatchLabel,IF(Y45&gt;=20,ReachLabel,IF(Y45&gt;=10,LongshotLabel,HailMaryLabel)))))),"Other")</f>
        <v>0</v>
      </c>
      <c r="AA45" s="48">
        <f>IF($F45&gt;=J$3,1,0)</f>
        <v>0</v>
      </c>
      <c r="AB45" s="48">
        <f>IF($F45&gt;=J$2,1,0)</f>
        <v>0</v>
      </c>
      <c r="AC45" s="48">
        <f>IF(ISNUMBER(Y45),1-Y45/100,1)</f>
        <v>0</v>
      </c>
      <c r="AD45" s="49">
        <f>IF(AA45=1,AC45,1)</f>
        <v>0</v>
      </c>
      <c r="AE45" s="49">
        <f>IF(AB45=1,AC45,1)</f>
        <v>0</v>
      </c>
      <c r="AF45" s="49">
        <f>IF(L45=1,AD45,1)</f>
        <v>0</v>
      </c>
      <c r="AG45" s="49">
        <f>IF(L45=1,AE45,1)</f>
        <v>0</v>
      </c>
    </row>
    <row r="46" spans="1:33">
      <c r="A46" s="69">
        <f>A45</f>
        <v>0</v>
      </c>
      <c r="B46" s="69">
        <f>B45</f>
        <v>0</v>
      </c>
      <c r="D46" s="18">
        <f>INDEX(ExtraCollegeNCES,MATCH(E46,ExtraCollegeChoice,0))</f>
        <v>0</v>
      </c>
      <c r="E46" s="78"/>
      <c r="F46" s="11">
        <f>IF(ISERROR(D46),"",INDEX(IF(OR(H3="H",H3="B"),AllCollegeAAHGR,AllCollegeGR),MATCH(D46,AllCollegeNCES,0)))</f>
        <v>0</v>
      </c>
      <c r="G46" s="11">
        <f>IF(ISERROR(D46),"",IF(ISNUMBER(Y46),Y46/100,"N/A"))</f>
        <v>0</v>
      </c>
      <c r="H46" s="11">
        <f>IF(ISERROR(D46),"",Z46)</f>
        <v>0</v>
      </c>
      <c r="I46" s="11">
        <f>IF(ISERROR(D46),"","N/A")</f>
        <v>0</v>
      </c>
      <c r="J46" s="11">
        <f>IF(ISERROR(D46),"",INDEX(AllCollegeMoneyCode,MATCH(D46,AllCollegeNCES,0)))</f>
        <v>0</v>
      </c>
      <c r="K46" s="48">
        <f>INDEX(AllCollegeBarrons,MATCH(D46,AllCollegeNCES,0))</f>
        <v>0</v>
      </c>
      <c r="L46" s="48">
        <f>IF(ISERROR(D46),"",INDEX(AllCollegeMoney,MATCH(D46,AllCollegeNCES,0)))</f>
        <v>0</v>
      </c>
      <c r="M46" s="48">
        <f>INDEX(AllCollegeACT25,MATCH(D46,AllCollegeNCES,0))</f>
        <v>0</v>
      </c>
      <c r="N46" s="48">
        <f>G3</f>
        <v>0</v>
      </c>
      <c r="O46" s="48">
        <f>F4</f>
        <v>0</v>
      </c>
      <c r="P46" s="48">
        <f>INDEX(CustomWeightsGPA,MATCH($H3&amp;":"&amp;$D46,CustomWeightsIndex,0))</f>
        <v>0</v>
      </c>
      <c r="Q46" s="48">
        <f>INDEX(CustomWeightsACT,MATCH($H3&amp;":"&amp;$D46,CustomWeightsIndex,0))</f>
        <v>0</v>
      </c>
      <c r="R46" s="48">
        <f>INDEX(CustomWeightsIntercept,MATCH($H3&amp;":"&amp;$D46,CustomWeightsIndex,0))</f>
        <v>0</v>
      </c>
      <c r="S46" s="48">
        <f>P46*N46+Q46*O46+R46</f>
        <v>0</v>
      </c>
      <c r="T46" s="48">
        <f>INDEX(CoefficientsGPA,MATCH($H3&amp;":"&amp;$K46,CoefficientsIndex,0))</f>
        <v>0</v>
      </c>
      <c r="U46" s="48">
        <f>INDEX(CoefficientsACT,MATCH($H3&amp;":"&amp;$K46,CoefficientsIndex,0))</f>
        <v>0</v>
      </c>
      <c r="V46" s="48">
        <f>INDEX(CoefficientsIntercept,MATCH($H3&amp;":"&amp;$K46,CoefficientsIndex,0))</f>
        <v>0</v>
      </c>
      <c r="W46" s="48">
        <f>T46*N46+(O46-M46)*U46+V46</f>
        <v>0</v>
      </c>
      <c r="X46" s="48">
        <f>IF(ISNUMBER(S46),S46,W46)</f>
        <v>0</v>
      </c>
      <c r="Y46" s="48">
        <f>IF(ISNUMBER(X46),IF(AND(T46=1,U46=1,V46=1),100,100*EXP(X46)/(1+EXP(X46))),"N/A")</f>
        <v>0</v>
      </c>
      <c r="Z46" s="48">
        <f>IF(ISNUMBER(Y46),IF(Y46&gt;=99,SureThingLabel,IF(Y46&gt;=95,SecureLabel,IF(Y46&gt;=80,SafetyLabel,IF(Y46&gt;=50,MatchLabel,IF(Y46&gt;=20,ReachLabel,IF(Y46&gt;=10,LongshotLabel,HailMaryLabel)))))),"Other")</f>
        <v>0</v>
      </c>
      <c r="AA46" s="48">
        <f>IF($F46&gt;=J$3,1,0)</f>
        <v>0</v>
      </c>
      <c r="AB46" s="48">
        <f>IF($F46&gt;=J$2,1,0)</f>
        <v>0</v>
      </c>
      <c r="AC46" s="48">
        <f>IF(ISNUMBER(Y46),1-Y46/100,1)</f>
        <v>0</v>
      </c>
      <c r="AD46" s="49">
        <f>IF(AA46=1,AC46,1)</f>
        <v>0</v>
      </c>
      <c r="AE46" s="49">
        <f>IF(AB46=1,AC46,1)</f>
        <v>0</v>
      </c>
      <c r="AF46" s="49">
        <f>IF(L46=1,AD46,1)</f>
        <v>0</v>
      </c>
      <c r="AG46" s="49">
        <f>IF(L46=1,AE46,1)</f>
        <v>0</v>
      </c>
    </row>
  </sheetData>
  <conditionalFormatting sqref="F9:F46">
    <cfRule type="expression" dxfId="13" priority="1">
      <formula>IF(F9&gt;=A9,TRUE,FALSE)</formula>
    </cfRule>
    <cfRule type="expression" dxfId="14" priority="2">
      <formula>IF(F9&lt;B9,TRUE,FALSE)</formula>
    </cfRule>
    <cfRule type="expression" dxfId="12" priority="3">
      <formula>IF(F9&lt;&gt;"",TRUE,FALSE)</formula>
    </cfRule>
  </conditionalFormatting>
  <dataValidations count="39">
    <dataValidation type="list" allowBlank="1" showInputMessage="1" showErrorMessage="1" sqref="E3">
      <formula1>LastFirst</formula1>
    </dataValidation>
    <dataValidation type="list" allowBlank="1" showInputMessage="1" showErrorMessage="1" sqref="E9">
      <formula1>ExtraCollegeChoice</formula1>
    </dataValidation>
    <dataValidation type="list" allowBlank="1" showInputMessage="1" showErrorMessage="1" sqref="E10">
      <formula1>ExtraCollegeChoice</formula1>
    </dataValidation>
    <dataValidation type="list" allowBlank="1" showInputMessage="1" showErrorMessage="1" sqref="E11">
      <formula1>ExtraCollegeChoice</formula1>
    </dataValidation>
    <dataValidation type="list" allowBlank="1" showInputMessage="1" showErrorMessage="1" sqref="E12">
      <formula1>ExtraCollegeChoice</formula1>
    </dataValidation>
    <dataValidation type="list" allowBlank="1" showInputMessage="1" showErrorMessage="1" sqref="E13">
      <formula1>ExtraCollegeChoice</formula1>
    </dataValidation>
    <dataValidation type="list" allowBlank="1" showInputMessage="1" showErrorMessage="1" sqref="E14">
      <formula1>ExtraCollegeChoice</formula1>
    </dataValidation>
    <dataValidation type="list" allowBlank="1" showInputMessage="1" showErrorMessage="1" sqref="E15">
      <formula1>ExtraCollegeChoice</formula1>
    </dataValidation>
    <dataValidation type="list" allowBlank="1" showInputMessage="1" showErrorMessage="1" sqref="E16">
      <formula1>ExtraCollegeChoice</formula1>
    </dataValidation>
    <dataValidation type="list" allowBlank="1" showInputMessage="1" showErrorMessage="1" sqref="E17">
      <formula1>ExtraCollegeChoice</formula1>
    </dataValidation>
    <dataValidation type="list" allowBlank="1" showInputMessage="1" showErrorMessage="1" sqref="E18">
      <formula1>ExtraCollegeChoice</formula1>
    </dataValidation>
    <dataValidation type="list" allowBlank="1" showInputMessage="1" showErrorMessage="1" sqref="E19">
      <formula1>ExtraCollegeChoice</formula1>
    </dataValidation>
    <dataValidation type="list" allowBlank="1" showInputMessage="1" showErrorMessage="1" sqref="E20">
      <formula1>ExtraCollegeChoice</formula1>
    </dataValidation>
    <dataValidation type="list" allowBlank="1" showInputMessage="1" showErrorMessage="1" sqref="E21">
      <formula1>ExtraCollegeChoice</formula1>
    </dataValidation>
    <dataValidation type="list" allowBlank="1" showInputMessage="1" showErrorMessage="1" sqref="E22">
      <formula1>ExtraCollegeChoice</formula1>
    </dataValidation>
    <dataValidation type="list" allowBlank="1" showInputMessage="1" showErrorMessage="1" sqref="E23">
      <formula1>ExtraCollegeChoice</formula1>
    </dataValidation>
    <dataValidation type="list" allowBlank="1" showInputMessage="1" showErrorMessage="1" sqref="E24">
      <formula1>ExtraCollegeChoice</formula1>
    </dataValidation>
    <dataValidation type="list" allowBlank="1" showInputMessage="1" showErrorMessage="1" sqref="E25">
      <formula1>ExtraCollegeChoice</formula1>
    </dataValidation>
    <dataValidation type="list" allowBlank="1" showInputMessage="1" showErrorMessage="1" sqref="E26">
      <formula1>ExtraCollegeChoice</formula1>
    </dataValidation>
    <dataValidation type="list" allowBlank="1" showInputMessage="1" showErrorMessage="1" sqref="E27">
      <formula1>ExtraCollegeChoice</formula1>
    </dataValidation>
    <dataValidation type="list" allowBlank="1" showInputMessage="1" showErrorMessage="1" sqref="E28">
      <formula1>ExtraCollegeChoice</formula1>
    </dataValidation>
    <dataValidation type="list" allowBlank="1" showInputMessage="1" showErrorMessage="1" sqref="E29">
      <formula1>ExtraCollegeChoice</formula1>
    </dataValidation>
    <dataValidation type="list" allowBlank="1" showInputMessage="1" showErrorMessage="1" sqref="E30">
      <formula1>ExtraCollegeChoice</formula1>
    </dataValidation>
    <dataValidation type="list" allowBlank="1" showInputMessage="1" showErrorMessage="1" sqref="E31">
      <formula1>ExtraCollegeChoice</formula1>
    </dataValidation>
    <dataValidation type="list" allowBlank="1" showInputMessage="1" showErrorMessage="1" sqref="E32">
      <formula1>ExtraCollegeChoice</formula1>
    </dataValidation>
    <dataValidation type="list" allowBlank="1" showInputMessage="1" showErrorMessage="1" sqref="E33">
      <formula1>ExtraCollegeChoice</formula1>
    </dataValidation>
    <dataValidation type="list" allowBlank="1" showInputMessage="1" showErrorMessage="1" sqref="E34">
      <formula1>ExtraCollegeChoice</formula1>
    </dataValidation>
    <dataValidation type="list" allowBlank="1" showInputMessage="1" showErrorMessage="1" sqref="E35">
      <formula1>ExtraCollegeChoice</formula1>
    </dataValidation>
    <dataValidation type="list" allowBlank="1" showInputMessage="1" showErrorMessage="1" sqref="E36">
      <formula1>ExtraCollegeChoice</formula1>
    </dataValidation>
    <dataValidation type="list" allowBlank="1" showInputMessage="1" showErrorMessage="1" sqref="E37">
      <formula1>ExtraCollegeChoice</formula1>
    </dataValidation>
    <dataValidation type="list" allowBlank="1" showInputMessage="1" showErrorMessage="1" sqref="E38">
      <formula1>ExtraCollegeChoice</formula1>
    </dataValidation>
    <dataValidation type="list" allowBlank="1" showInputMessage="1" showErrorMessage="1" sqref="E39">
      <formula1>ExtraCollegeChoice</formula1>
    </dataValidation>
    <dataValidation type="list" allowBlank="1" showInputMessage="1" showErrorMessage="1" sqref="E40">
      <formula1>ExtraCollegeChoice</formula1>
    </dataValidation>
    <dataValidation type="list" allowBlank="1" showInputMessage="1" showErrorMessage="1" sqref="E41">
      <formula1>ExtraCollegeChoice</formula1>
    </dataValidation>
    <dataValidation type="list" allowBlank="1" showInputMessage="1" showErrorMessage="1" sqref="E42">
      <formula1>ExtraCollegeChoice</formula1>
    </dataValidation>
    <dataValidation type="list" allowBlank="1" showInputMessage="1" showErrorMessage="1" sqref="E43">
      <formula1>ExtraCollegeChoice</formula1>
    </dataValidation>
    <dataValidation type="list" allowBlank="1" showInputMessage="1" showErrorMessage="1" sqref="E44">
      <formula1>ExtraCollegeChoice</formula1>
    </dataValidation>
    <dataValidation type="list" allowBlank="1" showInputMessage="1" showErrorMessage="1" sqref="E45">
      <formula1>ExtraCollegeChoice</formula1>
    </dataValidation>
    <dataValidation type="list" allowBlank="1" showInputMessage="1" showErrorMessage="1" sqref="E46">
      <formula1>ExtraCollegeChoice</formula1>
    </dataValidation>
  </dataValidations>
  <pageMargins left="0.5" right="0.5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V81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/>
    </sheetView>
  </sheetViews>
  <sheetFormatPr defaultRowHeight="15"/>
  <sheetData>
    <row r="1" spans="1:74">
      <c r="A1" s="33" t="s">
        <v>10</v>
      </c>
      <c r="B1" s="33" t="s">
        <v>375</v>
      </c>
      <c r="C1" s="33" t="s">
        <v>376</v>
      </c>
      <c r="D1" s="33" t="s">
        <v>377</v>
      </c>
      <c r="E1" s="88" t="s">
        <v>378</v>
      </c>
      <c r="F1" s="89" t="s">
        <v>379</v>
      </c>
      <c r="G1" s="88" t="s">
        <v>380</v>
      </c>
      <c r="H1" s="88" t="s">
        <v>381</v>
      </c>
      <c r="I1" s="88" t="s">
        <v>382</v>
      </c>
      <c r="J1" s="88" t="s">
        <v>383</v>
      </c>
      <c r="K1" s="88" t="s">
        <v>384</v>
      </c>
      <c r="L1" s="88" t="s">
        <v>385</v>
      </c>
      <c r="M1" s="88" t="s">
        <v>386</v>
      </c>
      <c r="N1" s="89" t="s">
        <v>387</v>
      </c>
      <c r="O1" s="89" t="s">
        <v>388</v>
      </c>
      <c r="P1" s="33" t="s">
        <v>18</v>
      </c>
      <c r="Q1" s="33" t="s">
        <v>351</v>
      </c>
      <c r="R1" s="33" t="s">
        <v>0</v>
      </c>
      <c r="S1" s="33" t="s">
        <v>389</v>
      </c>
      <c r="T1" s="33" t="s">
        <v>390</v>
      </c>
      <c r="U1" s="33" t="s">
        <v>391</v>
      </c>
      <c r="V1" s="33" t="s">
        <v>392</v>
      </c>
      <c r="W1" s="89" t="s">
        <v>393</v>
      </c>
      <c r="X1" s="89" t="s">
        <v>394</v>
      </c>
      <c r="Y1" s="89" t="s">
        <v>395</v>
      </c>
      <c r="Z1" s="89" t="s">
        <v>396</v>
      </c>
      <c r="AA1" s="90" t="s">
        <v>352</v>
      </c>
      <c r="AB1" s="90" t="s">
        <v>353</v>
      </c>
      <c r="AC1" s="90" t="s">
        <v>354</v>
      </c>
      <c r="AD1" s="90" t="s">
        <v>355</v>
      </c>
      <c r="AE1" s="91" t="s">
        <v>356</v>
      </c>
      <c r="AF1" s="91" t="s">
        <v>357</v>
      </c>
      <c r="AG1" s="91" t="s">
        <v>358</v>
      </c>
      <c r="AH1" s="91" t="s">
        <v>359</v>
      </c>
      <c r="AI1" s="91" t="s">
        <v>360</v>
      </c>
      <c r="AJ1" s="91" t="s">
        <v>361</v>
      </c>
      <c r="AK1" s="91" t="s">
        <v>362</v>
      </c>
      <c r="AL1" s="91" t="s">
        <v>397</v>
      </c>
      <c r="AM1" s="90" t="s">
        <v>398</v>
      </c>
      <c r="AN1" s="90" t="s">
        <v>399</v>
      </c>
      <c r="AO1" s="90" t="s">
        <v>400</v>
      </c>
      <c r="AP1" s="90" t="s">
        <v>401</v>
      </c>
      <c r="AQ1" s="90" t="s">
        <v>402</v>
      </c>
      <c r="AR1" s="90" t="s">
        <v>403</v>
      </c>
      <c r="AS1" s="90" t="s">
        <v>404</v>
      </c>
      <c r="AT1" s="90" t="s">
        <v>365</v>
      </c>
      <c r="AU1" s="90" t="s">
        <v>405</v>
      </c>
      <c r="AV1" s="90" t="s">
        <v>406</v>
      </c>
      <c r="AW1" s="90" t="s">
        <v>407</v>
      </c>
      <c r="AX1" s="90" t="s">
        <v>408</v>
      </c>
      <c r="AY1" s="89" t="s">
        <v>349</v>
      </c>
      <c r="AZ1" s="90" t="s">
        <v>409</v>
      </c>
      <c r="BA1" s="90" t="s">
        <v>410</v>
      </c>
      <c r="BB1" s="90" t="s">
        <v>411</v>
      </c>
      <c r="BC1" s="90" t="s">
        <v>63</v>
      </c>
      <c r="BD1" s="90" t="s">
        <v>64</v>
      </c>
      <c r="BE1" s="90" t="s">
        <v>65</v>
      </c>
      <c r="BF1" s="90" t="s">
        <v>66</v>
      </c>
      <c r="BG1" s="90" t="s">
        <v>412</v>
      </c>
      <c r="BH1" s="90" t="s">
        <v>413</v>
      </c>
      <c r="BI1" s="90" t="s">
        <v>414</v>
      </c>
      <c r="BJ1" s="90" t="s">
        <v>415</v>
      </c>
      <c r="BK1" s="90" t="s">
        <v>416</v>
      </c>
      <c r="BL1" s="90" t="s">
        <v>417</v>
      </c>
      <c r="BM1" s="90" t="s">
        <v>418</v>
      </c>
      <c r="BN1" s="90" t="s">
        <v>419</v>
      </c>
      <c r="BO1" s="90" t="s">
        <v>420</v>
      </c>
      <c r="BP1" s="90" t="s">
        <v>421</v>
      </c>
      <c r="BQ1" s="90" t="s">
        <v>422</v>
      </c>
      <c r="BR1" s="90" t="s">
        <v>423</v>
      </c>
      <c r="BS1" s="90" t="s">
        <v>424</v>
      </c>
      <c r="BT1" s="90" t="s">
        <v>425</v>
      </c>
      <c r="BU1" s="90" t="s">
        <v>426</v>
      </c>
      <c r="BV1" s="90" t="s">
        <v>427</v>
      </c>
    </row>
    <row r="2" spans="1:74">
      <c r="A2" t="s">
        <v>86</v>
      </c>
      <c r="B2">
        <v>21702780</v>
      </c>
      <c r="C2" t="s">
        <v>143</v>
      </c>
      <c r="D2" t="s">
        <v>144</v>
      </c>
      <c r="E2" t="s">
        <v>428</v>
      </c>
      <c r="F2" t="s">
        <v>429</v>
      </c>
      <c r="G2" t="s">
        <v>430</v>
      </c>
      <c r="H2" t="s">
        <v>431</v>
      </c>
      <c r="I2" t="s">
        <v>432</v>
      </c>
      <c r="J2" t="s">
        <v>432</v>
      </c>
      <c r="K2">
        <v>0</v>
      </c>
      <c r="L2" t="s">
        <v>428</v>
      </c>
      <c r="M2" t="s">
        <v>428</v>
      </c>
      <c r="N2">
        <v>144962</v>
      </c>
      <c r="O2">
        <f>INDEX(AllCollegeBarrons,MATCH(N2,AllCollegeNCES,0))</f>
        <v>0</v>
      </c>
      <c r="P2">
        <f>INDEX(KidGPAs,MATCH(B2,KidIDs,0))</f>
        <v>0</v>
      </c>
      <c r="Q2">
        <f>INDEX(KidACTs,MATCH(B2,KidIDs,0))</f>
        <v>0</v>
      </c>
      <c r="R2">
        <f>INDEX(Strats,MATCH(B2,KidIDs,0))</f>
        <v>0</v>
      </c>
      <c r="S2">
        <f>INDEX(KidRace,MATCH(B2,KidIDs,0))</f>
        <v>0</v>
      </c>
      <c r="T2">
        <f>IF(OR(S2="M",S2="I"),"H",S2)</f>
        <v>0</v>
      </c>
      <c r="U2">
        <f>INDEX(StudentTargets,MATCH(B2,KidIDs,0))</f>
        <v>0</v>
      </c>
      <c r="V2">
        <f>INDEX(ReachStudentTargets,MATCH(B2,KidIDs,0))</f>
        <v>0</v>
      </c>
      <c r="W2">
        <f>IF(OR(M2="Posse"),1,0)</f>
        <v>0</v>
      </c>
      <c r="X2">
        <f>IF(ISNUMBER(INDEX(AllCollegeGR, MATCH(N2,AllCollegeNCES,0))),ROUND(INDEX(AllCollegeGR, MATCH(N2,AllCollegeNCES,0))+W2*IF(INDEX(AllCollegeGR, MATCH(N2,AllCollegeNCES,0))&gt;0.7,(1-INDEX(AllCollegeGR, MATCH(N2,AllCollegeNCES,0)))/2,0.15),2),INDEX(AllCollegeGR, MATCH(N2,AllCollegeNCES,0)))</f>
        <v>0</v>
      </c>
      <c r="Y2">
        <f>IF(ISNUMBER(INDEX(AllCollegeAAHGR, MATCH(N2,AllCollegeNCES,0))),ROUND(INDEX(AllCollegeAAHGR, MATCH(N2,AllCollegeNCES,0))+W2*IF(INDEX(AllCollegeAAHGR, MATCH(N2,AllCollegeNCES,0))&gt;0.7,(1-INDEX(AllCollegeAAHGR, MATCH(N2,AllCollegeNCES,0)))/2,0.15),2),INDEX(AllCollegeAAHGR, MATCH(N2,AllCollegeNCES,0)))</f>
        <v>0</v>
      </c>
      <c r="Z2">
        <f>IF(OR(T2="H",T2="B"),INDEX(AllCollegeACT25, MATCH(N2,AllCollegeNCES,0)),INDEX(AllCollegeACT50, MATCH(N2,AllCollegeNCES,0)))</f>
        <v>0</v>
      </c>
      <c r="AA2">
        <f>INDEX(CustomWeightsGPA,MATCH(T2&amp;":"&amp;N2,CustomWeightsIndex,0))</f>
        <v>0</v>
      </c>
      <c r="AB2">
        <f>INDEX(CustomWeightsACT,MATCH(T2&amp;":"&amp;N2,CustomWeightsIndex,0))</f>
        <v>0</v>
      </c>
      <c r="AC2">
        <f>INDEX(CustomWeightsIntercept,MATCH(T2&amp;":"&amp;N2,CustomWeightsIndex,0))</f>
        <v>0</v>
      </c>
      <c r="AD2">
        <f>AA2*P2+AB2*Q2+AC2</f>
        <v>0</v>
      </c>
      <c r="AE2">
        <f>INDEX(CoefficientsGPA,MATCH(T2&amp;":"&amp;O2,CoefficientsIndex,0))</f>
        <v>0</v>
      </c>
      <c r="AF2">
        <f>INDEX(CoefficientsACT,MATCH(T2&amp;":"&amp;O2,CoefficientsIndex,0))</f>
        <v>0</v>
      </c>
      <c r="AG2">
        <f>INDEX(CoefficientsIntercept,MATCH(T2&amp;":"&amp;O2,CoefficientsIndex,0))</f>
        <v>0</v>
      </c>
      <c r="AH2">
        <f>AE2*P2+(Q2-Z2)*AF2+AG2</f>
        <v>0</v>
      </c>
      <c r="AI2">
        <f>IF(ISNUMBER(AD2),AD2,AH2)</f>
        <v>0</v>
      </c>
      <c r="AJ2">
        <f>IF(ISNUMBER(AI2),IF(ISNUMBER(AE2),IF(AND(AE2=1,AF2=1,AG2=1),100,ROUND(100*EXP(AI2)/(1+EXP(AI2)),2)),ROUND(100*EXP(AI2)/(1+EXP(AI2)),2)),IF(ISTEXT(O2),IF(LEFT(O2,1)="2",100,"N/A"),"N/A"))</f>
        <v>0</v>
      </c>
      <c r="AK2">
        <f>IF(ISNUMBER(AJ2),IF(AJ2&gt;=99,IF(OR(R2=10,R2=11),MatchLabel,SureThingLabel),IF(AJ2&gt;=95,SecureLabel,IF(AJ2&gt;=80,SafetyLabel,IF(AJ2&gt;=50,MatchLabel,IF(AJ2&gt;=20,ReachLabel,IF(AJ2&gt;=10,LongshotLabel,HailMaryLabel)))))),"Other")</f>
        <v>0</v>
      </c>
      <c r="AL2">
        <f>IF(OR(I2="accepted",I2="cond. accept",I2="summer admit"),IF(J2="yes","CHOICE!","Accepted!"),IF(I2="denied","Denied",IF(K2=1,"Waitlist",IF(L2=1,"Deferred",IF(G2="pending","Pending",IF(OR(G2="initial materials submitted",G2="mid-year submitted",G2="final submitted"),"Submitted",IF(H2="interest","Interest","?")))))))</f>
        <v>0</v>
      </c>
      <c r="AM2">
        <f>IF(OR(AK2=ReachLabel,AK2=LongshotLabel,AK2=HailMaryLabel),1,0)</f>
        <v>0</v>
      </c>
      <c r="AN2">
        <f>IF(OR(AM2=1,AK2=MatchLabel),1,0)</f>
        <v>0</v>
      </c>
      <c r="AO2">
        <f>IF(OR(AK2=MatchLabel,AK2=SafetyLabel,AK2=SecureLabel,AK2=SureThingLabel),1,0)</f>
        <v>0</v>
      </c>
      <c r="AP2">
        <f>IF(OR(T2="H",T2="B"),IF(ISNUMBER(Y2),ROUND(Y2,2),0),IF(ISNUMBER(X2),ROUND(X2,2),0))</f>
        <v>0</v>
      </c>
      <c r="AQ2">
        <f>IF(AP2&gt;=U2,1,0)</f>
        <v>0</v>
      </c>
      <c r="AR2">
        <f>IF(AP2&gt;=V2,1,0)</f>
        <v>0</v>
      </c>
      <c r="AS2">
        <f>IF(AP2&lt;(U2-0.10),1,0)</f>
        <v>0</v>
      </c>
      <c r="AT2">
        <f>1-AJ2/100</f>
        <v>0</v>
      </c>
      <c r="AU2">
        <f>IF(AN2=1,AT2,1)</f>
        <v>0</v>
      </c>
      <c r="AV2">
        <f>IF(AM2=1,AT2,1)</f>
        <v>0</v>
      </c>
      <c r="AW2">
        <f>IF(AND(AQ2=1,ISNUMBER(AT2)),$AT2,1)</f>
        <v>0</v>
      </c>
      <c r="AX2">
        <f>IF(AND(AR2=1,ISNUMBER(AT2)),$AT2,1)</f>
        <v>0</v>
      </c>
      <c r="AY2">
        <f>IF(ISNUMBER(Y2),INDEX(AllCollegeMoney, MATCH(N2,AllCollegeNCES,0)),0)</f>
        <v>0</v>
      </c>
      <c r="AZ2">
        <f>IF(AND(AQ2=1,ISNUMBER(AT2),AY2=1),$AT2,1)</f>
        <v>0</v>
      </c>
      <c r="BA2">
        <f>IF(AND(AR2=1,ISNUMBER(AT2),AY2=1),$AT2,1)</f>
        <v>0</v>
      </c>
      <c r="BB2">
        <f>IF(ISNUMBER(Y2),INDEX(AllCollegeILPub, MATCH(N2,AllCollegeNCES,0)),0)</f>
        <v>0</v>
      </c>
      <c r="BC2">
        <f>IF(AK2=ReachLabel,AP2,0)</f>
        <v>0</v>
      </c>
      <c r="BD2">
        <f>IF(AK2=MatchLabel,AP2,0)</f>
        <v>0</v>
      </c>
      <c r="BE2">
        <f>IF(AK2=SafetyLabel,AP2,0)</f>
        <v>0</v>
      </c>
      <c r="BF2">
        <f>IF(AK2=SecureLabel,AP2,0)</f>
        <v>0</v>
      </c>
      <c r="BG2">
        <f>IF(AK2=SureThingLabel,AP2,0)</f>
        <v>0</v>
      </c>
      <c r="BH2">
        <f>MAX(BC2:BG2)</f>
        <v>0</v>
      </c>
      <c r="BI2">
        <f>MAX(BD2:BG2)</f>
        <v>0</v>
      </c>
      <c r="BJ2">
        <f>MAX(BE2:BG2)</f>
        <v>0</v>
      </c>
      <c r="BK2">
        <f>IF(AND(AK2=ReachLabel,AY2=1),AP2,0)</f>
        <v>0</v>
      </c>
      <c r="BL2">
        <f>IF(AND(AK2=MatchLabel,AY2=1),AP2,0)</f>
        <v>0</v>
      </c>
      <c r="BM2">
        <f>IF(AND(AK2=SafetyLabel,AY2=1),AP2,0)</f>
        <v>0</v>
      </c>
      <c r="BN2">
        <f>IF(AND(AK2=SecureLabel,AY2=1),AP2,0)</f>
        <v>0</v>
      </c>
      <c r="BO2">
        <f>IF(AND(AK2=SureThingLabel,AY2=1),AP2,0)</f>
        <v>0</v>
      </c>
      <c r="BP2">
        <f>MAX(BK2:BO2)</f>
        <v>0</v>
      </c>
      <c r="BQ2">
        <f>MAX(BL2:BO2)</f>
        <v>0</v>
      </c>
      <c r="BR2">
        <f>MAX(BM2:BO2)</f>
        <v>0</v>
      </c>
      <c r="BS2">
        <f>IF(ISNUMBER(Y2),INDEX(AllCollegeChicago, MATCH(N2,AllCollegeNCES,0))*AY2,0)</f>
        <v>0</v>
      </c>
      <c r="BT2">
        <f>IF(ISNUMBER(Y2),INDEX(AllCollegeMoneyCode, MATCH(N2,AllCollegeNCES,0)),"?")</f>
        <v>0</v>
      </c>
      <c r="BU2">
        <f>IF(OR(BT2="---",BT2="--",BT2="+/--",BT2="+/---"),1,0)</f>
        <v>0</v>
      </c>
      <c r="BV2">
        <f>AY2*AO2*AQ2</f>
        <v>0</v>
      </c>
    </row>
    <row r="3" spans="1:74">
      <c r="A3" t="s">
        <v>86</v>
      </c>
      <c r="B3">
        <v>21702780</v>
      </c>
      <c r="C3" t="s">
        <v>143</v>
      </c>
      <c r="D3" t="s">
        <v>144</v>
      </c>
      <c r="E3" t="s">
        <v>428</v>
      </c>
      <c r="F3" t="s">
        <v>433</v>
      </c>
      <c r="G3" t="s">
        <v>430</v>
      </c>
      <c r="H3" t="s">
        <v>431</v>
      </c>
      <c r="I3" t="s">
        <v>432</v>
      </c>
      <c r="J3" t="s">
        <v>432</v>
      </c>
      <c r="K3">
        <v>0</v>
      </c>
      <c r="L3" t="s">
        <v>428</v>
      </c>
      <c r="M3" t="s">
        <v>428</v>
      </c>
      <c r="N3">
        <v>148496</v>
      </c>
      <c r="O3">
        <f>INDEX(AllCollegeBarrons,MATCH(N3,AllCollegeNCES,0))</f>
        <v>0</v>
      </c>
      <c r="P3">
        <f>INDEX(KidGPAs,MATCH(B3,KidIDs,0))</f>
        <v>0</v>
      </c>
      <c r="Q3">
        <f>INDEX(KidACTs,MATCH(B3,KidIDs,0))</f>
        <v>0</v>
      </c>
      <c r="R3">
        <f>INDEX(Strats,MATCH(B3,KidIDs,0))</f>
        <v>0</v>
      </c>
      <c r="S3">
        <f>INDEX(KidRace,MATCH(B3,KidIDs,0))</f>
        <v>0</v>
      </c>
      <c r="T3">
        <f>IF(OR(S3="M",S3="I"),"H",S3)</f>
        <v>0</v>
      </c>
      <c r="U3">
        <f>INDEX(StudentTargets,MATCH(B3,KidIDs,0))</f>
        <v>0</v>
      </c>
      <c r="V3">
        <f>INDEX(ReachStudentTargets,MATCH(B3,KidIDs,0))</f>
        <v>0</v>
      </c>
      <c r="W3">
        <f>IF(OR(M3="Posse"),1,0)</f>
        <v>0</v>
      </c>
      <c r="X3">
        <f>IF(ISNUMBER(INDEX(AllCollegeGR, MATCH(N3,AllCollegeNCES,0))),ROUND(INDEX(AllCollegeGR, MATCH(N3,AllCollegeNCES,0))+W3*IF(INDEX(AllCollegeGR, MATCH(N3,AllCollegeNCES,0))&gt;0.7,(1-INDEX(AllCollegeGR, MATCH(N3,AllCollegeNCES,0)))/2,0.15),2),INDEX(AllCollegeGR, MATCH(N3,AllCollegeNCES,0)))</f>
        <v>0</v>
      </c>
      <c r="Y3">
        <f>IF(ISNUMBER(INDEX(AllCollegeAAHGR, MATCH(N3,AllCollegeNCES,0))),ROUND(INDEX(AllCollegeAAHGR, MATCH(N3,AllCollegeNCES,0))+W3*IF(INDEX(AllCollegeAAHGR, MATCH(N3,AllCollegeNCES,0))&gt;0.7,(1-INDEX(AllCollegeAAHGR, MATCH(N3,AllCollegeNCES,0)))/2,0.15),2),INDEX(AllCollegeAAHGR, MATCH(N3,AllCollegeNCES,0)))</f>
        <v>0</v>
      </c>
      <c r="Z3">
        <f>IF(OR(T3="H",T3="B"),INDEX(AllCollegeACT25, MATCH(N3,AllCollegeNCES,0)),INDEX(AllCollegeACT50, MATCH(N3,AllCollegeNCES,0)))</f>
        <v>0</v>
      </c>
      <c r="AA3">
        <f>INDEX(CustomWeightsGPA,MATCH(T3&amp;":"&amp;N3,CustomWeightsIndex,0))</f>
        <v>0</v>
      </c>
      <c r="AB3">
        <f>INDEX(CustomWeightsACT,MATCH(T3&amp;":"&amp;N3,CustomWeightsIndex,0))</f>
        <v>0</v>
      </c>
      <c r="AC3">
        <f>INDEX(CustomWeightsIntercept,MATCH(T3&amp;":"&amp;N3,CustomWeightsIndex,0))</f>
        <v>0</v>
      </c>
      <c r="AD3">
        <f>AA3*P3+AB3*Q3+AC3</f>
        <v>0</v>
      </c>
      <c r="AE3">
        <f>INDEX(CoefficientsGPA,MATCH(T3&amp;":"&amp;O3,CoefficientsIndex,0))</f>
        <v>0</v>
      </c>
      <c r="AF3">
        <f>INDEX(CoefficientsACT,MATCH(T3&amp;":"&amp;O3,CoefficientsIndex,0))</f>
        <v>0</v>
      </c>
      <c r="AG3">
        <f>INDEX(CoefficientsIntercept,MATCH(T3&amp;":"&amp;O3,CoefficientsIndex,0))</f>
        <v>0</v>
      </c>
      <c r="AH3">
        <f>AE3*P3+(Q3-Z3)*AF3+AG3</f>
        <v>0</v>
      </c>
      <c r="AI3">
        <f>IF(ISNUMBER(AD3),AD3,AH3)</f>
        <v>0</v>
      </c>
      <c r="AJ3">
        <f>IF(ISNUMBER(AI3),IF(ISNUMBER(AE3),IF(AND(AE3=1,AF3=1,AG3=1),100,ROUND(100*EXP(AI3)/(1+EXP(AI3)),2)),ROUND(100*EXP(AI3)/(1+EXP(AI3)),2)),IF(ISTEXT(O3),IF(LEFT(O3,1)="2",100,"N/A"),"N/A"))</f>
        <v>0</v>
      </c>
      <c r="AK3">
        <f>IF(ISNUMBER(AJ3),IF(AJ3&gt;=99,IF(OR(R3=10,R3=11),MatchLabel,SureThingLabel),IF(AJ3&gt;=95,SecureLabel,IF(AJ3&gt;=80,SafetyLabel,IF(AJ3&gt;=50,MatchLabel,IF(AJ3&gt;=20,ReachLabel,IF(AJ3&gt;=10,LongshotLabel,HailMaryLabel)))))),"Other")</f>
        <v>0</v>
      </c>
      <c r="AL3">
        <f>IF(OR(I3="accepted",I3="cond. accept",I3="summer admit"),IF(J3="yes","CHOICE!","Accepted!"),IF(I3="denied","Denied",IF(K3=1,"Waitlist",IF(L3=1,"Deferred",IF(G3="pending","Pending",IF(OR(G3="initial materials submitted",G3="mid-year submitted",G3="final submitted"),"Submitted",IF(H3="interest","Interest","?")))))))</f>
        <v>0</v>
      </c>
      <c r="AM3">
        <f>IF(OR(AK3=ReachLabel,AK3=LongshotLabel,AK3=HailMaryLabel),1,0)</f>
        <v>0</v>
      </c>
      <c r="AN3">
        <f>IF(OR(AM3=1,AK3=MatchLabel),1,0)</f>
        <v>0</v>
      </c>
      <c r="AO3">
        <f>IF(OR(AK3=MatchLabel,AK3=SafetyLabel,AK3=SecureLabel,AK3=SureThingLabel),1,0)</f>
        <v>0</v>
      </c>
      <c r="AP3">
        <f>IF(OR(T3="H",T3="B"),IF(ISNUMBER(Y3),ROUND(Y3,2),0),IF(ISNUMBER(X3),ROUND(X3,2),0))</f>
        <v>0</v>
      </c>
      <c r="AQ3">
        <f>IF(AP3&gt;=U3,1,0)</f>
        <v>0</v>
      </c>
      <c r="AR3">
        <f>IF(AP3&gt;=V3,1,0)</f>
        <v>0</v>
      </c>
      <c r="AS3">
        <f>IF(AP3&lt;(U3-0.10),1,0)</f>
        <v>0</v>
      </c>
      <c r="AT3">
        <f>1-AJ3/100</f>
        <v>0</v>
      </c>
      <c r="AU3">
        <f>IF(AN3=1,AT3,1)</f>
        <v>0</v>
      </c>
      <c r="AV3">
        <f>IF(AM3=1,AT3,1)</f>
        <v>0</v>
      </c>
      <c r="AW3">
        <f>IF(AND(AQ3=1,ISNUMBER(AT3)),$AT3,1)</f>
        <v>0</v>
      </c>
      <c r="AX3">
        <f>IF(AND(AR3=1,ISNUMBER(AT3)),$AT3,1)</f>
        <v>0</v>
      </c>
      <c r="AY3">
        <f>IF(ISNUMBER(Y3),INDEX(AllCollegeMoney, MATCH(N3,AllCollegeNCES,0)),0)</f>
        <v>0</v>
      </c>
      <c r="AZ3">
        <f>IF(AND(AQ3=1,ISNUMBER(AT3),AY3=1),$AT3,1)</f>
        <v>0</v>
      </c>
      <c r="BA3">
        <f>IF(AND(AR3=1,ISNUMBER(AT3),AY3=1),$AT3,1)</f>
        <v>0</v>
      </c>
      <c r="BB3">
        <f>IF(ISNUMBER(Y3),INDEX(AllCollegeILPub, MATCH(N3,AllCollegeNCES,0)),0)</f>
        <v>0</v>
      </c>
      <c r="BC3">
        <f>IF(AK3=ReachLabel,AP3,0)</f>
        <v>0</v>
      </c>
      <c r="BD3">
        <f>IF(AK3=MatchLabel,AP3,0)</f>
        <v>0</v>
      </c>
      <c r="BE3">
        <f>IF(AK3=SafetyLabel,AP3,0)</f>
        <v>0</v>
      </c>
      <c r="BF3">
        <f>IF(AK3=SecureLabel,AP3,0)</f>
        <v>0</v>
      </c>
      <c r="BG3">
        <f>IF(AK3=SureThingLabel,AP3,0)</f>
        <v>0</v>
      </c>
      <c r="BH3">
        <f>MAX(BC3:BG3)</f>
        <v>0</v>
      </c>
      <c r="BI3">
        <f>MAX(BD3:BG3)</f>
        <v>0</v>
      </c>
      <c r="BJ3">
        <f>MAX(BE3:BG3)</f>
        <v>0</v>
      </c>
      <c r="BK3">
        <f>IF(AND(AK3=ReachLabel,AY3=1),AP3,0)</f>
        <v>0</v>
      </c>
      <c r="BL3">
        <f>IF(AND(AK3=MatchLabel,AY3=1),AP3,0)</f>
        <v>0</v>
      </c>
      <c r="BM3">
        <f>IF(AND(AK3=SafetyLabel,AY3=1),AP3,0)</f>
        <v>0</v>
      </c>
      <c r="BN3">
        <f>IF(AND(AK3=SecureLabel,AY3=1),AP3,0)</f>
        <v>0</v>
      </c>
      <c r="BO3">
        <f>IF(AND(AK3=SureThingLabel,AY3=1),AP3,0)</f>
        <v>0</v>
      </c>
      <c r="BP3">
        <f>MAX(BK3:BO3)</f>
        <v>0</v>
      </c>
      <c r="BQ3">
        <f>MAX(BL3:BO3)</f>
        <v>0</v>
      </c>
      <c r="BR3">
        <f>MAX(BM3:BO3)</f>
        <v>0</v>
      </c>
      <c r="BS3">
        <f>IF(ISNUMBER(Y3),INDEX(AllCollegeChicago, MATCH(N3,AllCollegeNCES,0))*AY3,0)</f>
        <v>0</v>
      </c>
      <c r="BT3">
        <f>IF(ISNUMBER(Y3),INDEX(AllCollegeMoneyCode, MATCH(N3,AllCollegeNCES,0)),"?")</f>
        <v>0</v>
      </c>
      <c r="BU3">
        <f>IF(OR(BT3="---",BT3="--",BT3="+/--",BT3="+/---"),1,0)</f>
        <v>0</v>
      </c>
      <c r="BV3">
        <f>AY3*AO3*AQ3</f>
        <v>0</v>
      </c>
    </row>
    <row r="4" spans="1:74">
      <c r="A4" t="s">
        <v>86</v>
      </c>
      <c r="B4">
        <v>21702780</v>
      </c>
      <c r="C4" t="s">
        <v>143</v>
      </c>
      <c r="D4" t="s">
        <v>144</v>
      </c>
      <c r="E4" t="s">
        <v>428</v>
      </c>
      <c r="F4" t="s">
        <v>434</v>
      </c>
      <c r="G4" t="s">
        <v>430</v>
      </c>
      <c r="H4" t="s">
        <v>431</v>
      </c>
      <c r="I4" t="s">
        <v>432</v>
      </c>
      <c r="J4" t="s">
        <v>432</v>
      </c>
      <c r="K4">
        <v>0</v>
      </c>
      <c r="L4" t="s">
        <v>428</v>
      </c>
      <c r="M4" t="s">
        <v>428</v>
      </c>
      <c r="N4">
        <v>143118</v>
      </c>
      <c r="O4">
        <f>INDEX(AllCollegeBarrons,MATCH(N4,AllCollegeNCES,0))</f>
        <v>0</v>
      </c>
      <c r="P4">
        <f>INDEX(KidGPAs,MATCH(B4,KidIDs,0))</f>
        <v>0</v>
      </c>
      <c r="Q4">
        <f>INDEX(KidACTs,MATCH(B4,KidIDs,0))</f>
        <v>0</v>
      </c>
      <c r="R4">
        <f>INDEX(Strats,MATCH(B4,KidIDs,0))</f>
        <v>0</v>
      </c>
      <c r="S4">
        <f>INDEX(KidRace,MATCH(B4,KidIDs,0))</f>
        <v>0</v>
      </c>
      <c r="T4">
        <f>IF(OR(S4="M",S4="I"),"H",S4)</f>
        <v>0</v>
      </c>
      <c r="U4">
        <f>INDEX(StudentTargets,MATCH(B4,KidIDs,0))</f>
        <v>0</v>
      </c>
      <c r="V4">
        <f>INDEX(ReachStudentTargets,MATCH(B4,KidIDs,0))</f>
        <v>0</v>
      </c>
      <c r="W4">
        <f>IF(OR(M4="Posse"),1,0)</f>
        <v>0</v>
      </c>
      <c r="X4">
        <f>IF(ISNUMBER(INDEX(AllCollegeGR, MATCH(N4,AllCollegeNCES,0))),ROUND(INDEX(AllCollegeGR, MATCH(N4,AllCollegeNCES,0))+W4*IF(INDEX(AllCollegeGR, MATCH(N4,AllCollegeNCES,0))&gt;0.7,(1-INDEX(AllCollegeGR, MATCH(N4,AllCollegeNCES,0)))/2,0.15),2),INDEX(AllCollegeGR, MATCH(N4,AllCollegeNCES,0)))</f>
        <v>0</v>
      </c>
      <c r="Y4">
        <f>IF(ISNUMBER(INDEX(AllCollegeAAHGR, MATCH(N4,AllCollegeNCES,0))),ROUND(INDEX(AllCollegeAAHGR, MATCH(N4,AllCollegeNCES,0))+W4*IF(INDEX(AllCollegeAAHGR, MATCH(N4,AllCollegeNCES,0))&gt;0.7,(1-INDEX(AllCollegeAAHGR, MATCH(N4,AllCollegeNCES,0)))/2,0.15),2),INDEX(AllCollegeAAHGR, MATCH(N4,AllCollegeNCES,0)))</f>
        <v>0</v>
      </c>
      <c r="Z4">
        <f>IF(OR(T4="H",T4="B"),INDEX(AllCollegeACT25, MATCH(N4,AllCollegeNCES,0)),INDEX(AllCollegeACT50, MATCH(N4,AllCollegeNCES,0)))</f>
        <v>0</v>
      </c>
      <c r="AA4">
        <f>INDEX(CustomWeightsGPA,MATCH(T4&amp;":"&amp;N4,CustomWeightsIndex,0))</f>
        <v>0</v>
      </c>
      <c r="AB4">
        <f>INDEX(CustomWeightsACT,MATCH(T4&amp;":"&amp;N4,CustomWeightsIndex,0))</f>
        <v>0</v>
      </c>
      <c r="AC4">
        <f>INDEX(CustomWeightsIntercept,MATCH(T4&amp;":"&amp;N4,CustomWeightsIndex,0))</f>
        <v>0</v>
      </c>
      <c r="AD4">
        <f>AA4*P4+AB4*Q4+AC4</f>
        <v>0</v>
      </c>
      <c r="AE4">
        <f>INDEX(CoefficientsGPA,MATCH(T4&amp;":"&amp;O4,CoefficientsIndex,0))</f>
        <v>0</v>
      </c>
      <c r="AF4">
        <f>INDEX(CoefficientsACT,MATCH(T4&amp;":"&amp;O4,CoefficientsIndex,0))</f>
        <v>0</v>
      </c>
      <c r="AG4">
        <f>INDEX(CoefficientsIntercept,MATCH(T4&amp;":"&amp;O4,CoefficientsIndex,0))</f>
        <v>0</v>
      </c>
      <c r="AH4">
        <f>AE4*P4+(Q4-Z4)*AF4+AG4</f>
        <v>0</v>
      </c>
      <c r="AI4">
        <f>IF(ISNUMBER(AD4),AD4,AH4)</f>
        <v>0</v>
      </c>
      <c r="AJ4">
        <f>IF(ISNUMBER(AI4),IF(ISNUMBER(AE4),IF(AND(AE4=1,AF4=1,AG4=1),100,ROUND(100*EXP(AI4)/(1+EXP(AI4)),2)),ROUND(100*EXP(AI4)/(1+EXP(AI4)),2)),IF(ISTEXT(O4),IF(LEFT(O4,1)="2",100,"N/A"),"N/A"))</f>
        <v>0</v>
      </c>
      <c r="AK4">
        <f>IF(ISNUMBER(AJ4),IF(AJ4&gt;=99,IF(OR(R4=10,R4=11),MatchLabel,SureThingLabel),IF(AJ4&gt;=95,SecureLabel,IF(AJ4&gt;=80,SafetyLabel,IF(AJ4&gt;=50,MatchLabel,IF(AJ4&gt;=20,ReachLabel,IF(AJ4&gt;=10,LongshotLabel,HailMaryLabel)))))),"Other")</f>
        <v>0</v>
      </c>
      <c r="AL4">
        <f>IF(OR(I4="accepted",I4="cond. accept",I4="summer admit"),IF(J4="yes","CHOICE!","Accepted!"),IF(I4="denied","Denied",IF(K4=1,"Waitlist",IF(L4=1,"Deferred",IF(G4="pending","Pending",IF(OR(G4="initial materials submitted",G4="mid-year submitted",G4="final submitted"),"Submitted",IF(H4="interest","Interest","?")))))))</f>
        <v>0</v>
      </c>
      <c r="AM4">
        <f>IF(OR(AK4=ReachLabel,AK4=LongshotLabel,AK4=HailMaryLabel),1,0)</f>
        <v>0</v>
      </c>
      <c r="AN4">
        <f>IF(OR(AM4=1,AK4=MatchLabel),1,0)</f>
        <v>0</v>
      </c>
      <c r="AO4">
        <f>IF(OR(AK4=MatchLabel,AK4=SafetyLabel,AK4=SecureLabel,AK4=SureThingLabel),1,0)</f>
        <v>0</v>
      </c>
      <c r="AP4">
        <f>IF(OR(T4="H",T4="B"),IF(ISNUMBER(Y4),ROUND(Y4,2),0),IF(ISNUMBER(X4),ROUND(X4,2),0))</f>
        <v>0</v>
      </c>
      <c r="AQ4">
        <f>IF(AP4&gt;=U4,1,0)</f>
        <v>0</v>
      </c>
      <c r="AR4">
        <f>IF(AP4&gt;=V4,1,0)</f>
        <v>0</v>
      </c>
      <c r="AS4">
        <f>IF(AP4&lt;(U4-0.10),1,0)</f>
        <v>0</v>
      </c>
      <c r="AT4">
        <f>1-AJ4/100</f>
        <v>0</v>
      </c>
      <c r="AU4">
        <f>IF(AN4=1,AT4,1)</f>
        <v>0</v>
      </c>
      <c r="AV4">
        <f>IF(AM4=1,AT4,1)</f>
        <v>0</v>
      </c>
      <c r="AW4">
        <f>IF(AND(AQ4=1,ISNUMBER(AT4)),$AT4,1)</f>
        <v>0</v>
      </c>
      <c r="AX4">
        <f>IF(AND(AR4=1,ISNUMBER(AT4)),$AT4,1)</f>
        <v>0</v>
      </c>
      <c r="AY4">
        <f>IF(ISNUMBER(Y4),INDEX(AllCollegeMoney, MATCH(N4,AllCollegeNCES,0)),0)</f>
        <v>0</v>
      </c>
      <c r="AZ4">
        <f>IF(AND(AQ4=1,ISNUMBER(AT4),AY4=1),$AT4,1)</f>
        <v>0</v>
      </c>
      <c r="BA4">
        <f>IF(AND(AR4=1,ISNUMBER(AT4),AY4=1),$AT4,1)</f>
        <v>0</v>
      </c>
      <c r="BB4">
        <f>IF(ISNUMBER(Y4),INDEX(AllCollegeILPub, MATCH(N4,AllCollegeNCES,0)),0)</f>
        <v>0</v>
      </c>
      <c r="BC4">
        <f>IF(AK4=ReachLabel,AP4,0)</f>
        <v>0</v>
      </c>
      <c r="BD4">
        <f>IF(AK4=MatchLabel,AP4,0)</f>
        <v>0</v>
      </c>
      <c r="BE4">
        <f>IF(AK4=SafetyLabel,AP4,0)</f>
        <v>0</v>
      </c>
      <c r="BF4">
        <f>IF(AK4=SecureLabel,AP4,0)</f>
        <v>0</v>
      </c>
      <c r="BG4">
        <f>IF(AK4=SureThingLabel,AP4,0)</f>
        <v>0</v>
      </c>
      <c r="BH4">
        <f>MAX(BC4:BG4)</f>
        <v>0</v>
      </c>
      <c r="BI4">
        <f>MAX(BD4:BG4)</f>
        <v>0</v>
      </c>
      <c r="BJ4">
        <f>MAX(BE4:BG4)</f>
        <v>0</v>
      </c>
      <c r="BK4">
        <f>IF(AND(AK4=ReachLabel,AY4=1),AP4,0)</f>
        <v>0</v>
      </c>
      <c r="BL4">
        <f>IF(AND(AK4=MatchLabel,AY4=1),AP4,0)</f>
        <v>0</v>
      </c>
      <c r="BM4">
        <f>IF(AND(AK4=SafetyLabel,AY4=1),AP4,0)</f>
        <v>0</v>
      </c>
      <c r="BN4">
        <f>IF(AND(AK4=SecureLabel,AY4=1),AP4,0)</f>
        <v>0</v>
      </c>
      <c r="BO4">
        <f>IF(AND(AK4=SureThingLabel,AY4=1),AP4,0)</f>
        <v>0</v>
      </c>
      <c r="BP4">
        <f>MAX(BK4:BO4)</f>
        <v>0</v>
      </c>
      <c r="BQ4">
        <f>MAX(BL4:BO4)</f>
        <v>0</v>
      </c>
      <c r="BR4">
        <f>MAX(BM4:BO4)</f>
        <v>0</v>
      </c>
      <c r="BS4">
        <f>IF(ISNUMBER(Y4),INDEX(AllCollegeChicago, MATCH(N4,AllCollegeNCES,0))*AY4,0)</f>
        <v>0</v>
      </c>
      <c r="BT4">
        <f>IF(ISNUMBER(Y4),INDEX(AllCollegeMoneyCode, MATCH(N4,AllCollegeNCES,0)),"?")</f>
        <v>0</v>
      </c>
      <c r="BU4">
        <f>IF(OR(BT4="---",BT4="--",BT4="+/--",BT4="+/---"),1,0)</f>
        <v>0</v>
      </c>
      <c r="BV4">
        <f>AY4*AO4*AQ4</f>
        <v>0</v>
      </c>
    </row>
    <row r="5" spans="1:74">
      <c r="A5" t="s">
        <v>86</v>
      </c>
      <c r="B5">
        <v>21702780</v>
      </c>
      <c r="C5" t="s">
        <v>143</v>
      </c>
      <c r="D5" t="s">
        <v>144</v>
      </c>
      <c r="E5" t="s">
        <v>428</v>
      </c>
      <c r="F5" t="s">
        <v>435</v>
      </c>
      <c r="G5" t="s">
        <v>430</v>
      </c>
      <c r="H5" t="s">
        <v>431</v>
      </c>
      <c r="I5" t="s">
        <v>432</v>
      </c>
      <c r="J5" t="s">
        <v>432</v>
      </c>
      <c r="K5">
        <v>0</v>
      </c>
      <c r="L5" t="s">
        <v>428</v>
      </c>
      <c r="M5" t="s">
        <v>428</v>
      </c>
      <c r="N5">
        <v>144892</v>
      </c>
      <c r="O5">
        <f>INDEX(AllCollegeBarrons,MATCH(N5,AllCollegeNCES,0))</f>
        <v>0</v>
      </c>
      <c r="P5">
        <f>INDEX(KidGPAs,MATCH(B5,KidIDs,0))</f>
        <v>0</v>
      </c>
      <c r="Q5">
        <f>INDEX(KidACTs,MATCH(B5,KidIDs,0))</f>
        <v>0</v>
      </c>
      <c r="R5">
        <f>INDEX(Strats,MATCH(B5,KidIDs,0))</f>
        <v>0</v>
      </c>
      <c r="S5">
        <f>INDEX(KidRace,MATCH(B5,KidIDs,0))</f>
        <v>0</v>
      </c>
      <c r="T5">
        <f>IF(OR(S5="M",S5="I"),"H",S5)</f>
        <v>0</v>
      </c>
      <c r="U5">
        <f>INDEX(StudentTargets,MATCH(B5,KidIDs,0))</f>
        <v>0</v>
      </c>
      <c r="V5">
        <f>INDEX(ReachStudentTargets,MATCH(B5,KidIDs,0))</f>
        <v>0</v>
      </c>
      <c r="W5">
        <f>IF(OR(M5="Posse"),1,0)</f>
        <v>0</v>
      </c>
      <c r="X5">
        <f>IF(ISNUMBER(INDEX(AllCollegeGR, MATCH(N5,AllCollegeNCES,0))),ROUND(INDEX(AllCollegeGR, MATCH(N5,AllCollegeNCES,0))+W5*IF(INDEX(AllCollegeGR, MATCH(N5,AllCollegeNCES,0))&gt;0.7,(1-INDEX(AllCollegeGR, MATCH(N5,AllCollegeNCES,0)))/2,0.15),2),INDEX(AllCollegeGR, MATCH(N5,AllCollegeNCES,0)))</f>
        <v>0</v>
      </c>
      <c r="Y5">
        <f>IF(ISNUMBER(INDEX(AllCollegeAAHGR, MATCH(N5,AllCollegeNCES,0))),ROUND(INDEX(AllCollegeAAHGR, MATCH(N5,AllCollegeNCES,0))+W5*IF(INDEX(AllCollegeAAHGR, MATCH(N5,AllCollegeNCES,0))&gt;0.7,(1-INDEX(AllCollegeAAHGR, MATCH(N5,AllCollegeNCES,0)))/2,0.15),2),INDEX(AllCollegeAAHGR, MATCH(N5,AllCollegeNCES,0)))</f>
        <v>0</v>
      </c>
      <c r="Z5">
        <f>IF(OR(T5="H",T5="B"),INDEX(AllCollegeACT25, MATCH(N5,AllCollegeNCES,0)),INDEX(AllCollegeACT50, MATCH(N5,AllCollegeNCES,0)))</f>
        <v>0</v>
      </c>
      <c r="AA5">
        <f>INDEX(CustomWeightsGPA,MATCH(T5&amp;":"&amp;N5,CustomWeightsIndex,0))</f>
        <v>0</v>
      </c>
      <c r="AB5">
        <f>INDEX(CustomWeightsACT,MATCH(T5&amp;":"&amp;N5,CustomWeightsIndex,0))</f>
        <v>0</v>
      </c>
      <c r="AC5">
        <f>INDEX(CustomWeightsIntercept,MATCH(T5&amp;":"&amp;N5,CustomWeightsIndex,0))</f>
        <v>0</v>
      </c>
      <c r="AD5">
        <f>AA5*P5+AB5*Q5+AC5</f>
        <v>0</v>
      </c>
      <c r="AE5">
        <f>INDEX(CoefficientsGPA,MATCH(T5&amp;":"&amp;O5,CoefficientsIndex,0))</f>
        <v>0</v>
      </c>
      <c r="AF5">
        <f>INDEX(CoefficientsACT,MATCH(T5&amp;":"&amp;O5,CoefficientsIndex,0))</f>
        <v>0</v>
      </c>
      <c r="AG5">
        <f>INDEX(CoefficientsIntercept,MATCH(T5&amp;":"&amp;O5,CoefficientsIndex,0))</f>
        <v>0</v>
      </c>
      <c r="AH5">
        <f>AE5*P5+(Q5-Z5)*AF5+AG5</f>
        <v>0</v>
      </c>
      <c r="AI5">
        <f>IF(ISNUMBER(AD5),AD5,AH5)</f>
        <v>0</v>
      </c>
      <c r="AJ5">
        <f>IF(ISNUMBER(AI5),IF(ISNUMBER(AE5),IF(AND(AE5=1,AF5=1,AG5=1),100,ROUND(100*EXP(AI5)/(1+EXP(AI5)),2)),ROUND(100*EXP(AI5)/(1+EXP(AI5)),2)),IF(ISTEXT(O5),IF(LEFT(O5,1)="2",100,"N/A"),"N/A"))</f>
        <v>0</v>
      </c>
      <c r="AK5">
        <f>IF(ISNUMBER(AJ5),IF(AJ5&gt;=99,IF(OR(R5=10,R5=11),MatchLabel,SureThingLabel),IF(AJ5&gt;=95,SecureLabel,IF(AJ5&gt;=80,SafetyLabel,IF(AJ5&gt;=50,MatchLabel,IF(AJ5&gt;=20,ReachLabel,IF(AJ5&gt;=10,LongshotLabel,HailMaryLabel)))))),"Other")</f>
        <v>0</v>
      </c>
      <c r="AL5">
        <f>IF(OR(I5="accepted",I5="cond. accept",I5="summer admit"),IF(J5="yes","CHOICE!","Accepted!"),IF(I5="denied","Denied",IF(K5=1,"Waitlist",IF(L5=1,"Deferred",IF(G5="pending","Pending",IF(OR(G5="initial materials submitted",G5="mid-year submitted",G5="final submitted"),"Submitted",IF(H5="interest","Interest","?")))))))</f>
        <v>0</v>
      </c>
      <c r="AM5">
        <f>IF(OR(AK5=ReachLabel,AK5=LongshotLabel,AK5=HailMaryLabel),1,0)</f>
        <v>0</v>
      </c>
      <c r="AN5">
        <f>IF(OR(AM5=1,AK5=MatchLabel),1,0)</f>
        <v>0</v>
      </c>
      <c r="AO5">
        <f>IF(OR(AK5=MatchLabel,AK5=SafetyLabel,AK5=SecureLabel,AK5=SureThingLabel),1,0)</f>
        <v>0</v>
      </c>
      <c r="AP5">
        <f>IF(OR(T5="H",T5="B"),IF(ISNUMBER(Y5),ROUND(Y5,2),0),IF(ISNUMBER(X5),ROUND(X5,2),0))</f>
        <v>0</v>
      </c>
      <c r="AQ5">
        <f>IF(AP5&gt;=U5,1,0)</f>
        <v>0</v>
      </c>
      <c r="AR5">
        <f>IF(AP5&gt;=V5,1,0)</f>
        <v>0</v>
      </c>
      <c r="AS5">
        <f>IF(AP5&lt;(U5-0.10),1,0)</f>
        <v>0</v>
      </c>
      <c r="AT5">
        <f>1-AJ5/100</f>
        <v>0</v>
      </c>
      <c r="AU5">
        <f>IF(AN5=1,AT5,1)</f>
        <v>0</v>
      </c>
      <c r="AV5">
        <f>IF(AM5=1,AT5,1)</f>
        <v>0</v>
      </c>
      <c r="AW5">
        <f>IF(AND(AQ5=1,ISNUMBER(AT5)),$AT5,1)</f>
        <v>0</v>
      </c>
      <c r="AX5">
        <f>IF(AND(AR5=1,ISNUMBER(AT5)),$AT5,1)</f>
        <v>0</v>
      </c>
      <c r="AY5">
        <f>IF(ISNUMBER(Y5),INDEX(AllCollegeMoney, MATCH(N5,AllCollegeNCES,0)),0)</f>
        <v>0</v>
      </c>
      <c r="AZ5">
        <f>IF(AND(AQ5=1,ISNUMBER(AT5),AY5=1),$AT5,1)</f>
        <v>0</v>
      </c>
      <c r="BA5">
        <f>IF(AND(AR5=1,ISNUMBER(AT5),AY5=1),$AT5,1)</f>
        <v>0</v>
      </c>
      <c r="BB5">
        <f>IF(ISNUMBER(Y5),INDEX(AllCollegeILPub, MATCH(N5,AllCollegeNCES,0)),0)</f>
        <v>0</v>
      </c>
      <c r="BC5">
        <f>IF(AK5=ReachLabel,AP5,0)</f>
        <v>0</v>
      </c>
      <c r="BD5">
        <f>IF(AK5=MatchLabel,AP5,0)</f>
        <v>0</v>
      </c>
      <c r="BE5">
        <f>IF(AK5=SafetyLabel,AP5,0)</f>
        <v>0</v>
      </c>
      <c r="BF5">
        <f>IF(AK5=SecureLabel,AP5,0)</f>
        <v>0</v>
      </c>
      <c r="BG5">
        <f>IF(AK5=SureThingLabel,AP5,0)</f>
        <v>0</v>
      </c>
      <c r="BH5">
        <f>MAX(BC5:BG5)</f>
        <v>0</v>
      </c>
      <c r="BI5">
        <f>MAX(BD5:BG5)</f>
        <v>0</v>
      </c>
      <c r="BJ5">
        <f>MAX(BE5:BG5)</f>
        <v>0</v>
      </c>
      <c r="BK5">
        <f>IF(AND(AK5=ReachLabel,AY5=1),AP5,0)</f>
        <v>0</v>
      </c>
      <c r="BL5">
        <f>IF(AND(AK5=MatchLabel,AY5=1),AP5,0)</f>
        <v>0</v>
      </c>
      <c r="BM5">
        <f>IF(AND(AK5=SafetyLabel,AY5=1),AP5,0)</f>
        <v>0</v>
      </c>
      <c r="BN5">
        <f>IF(AND(AK5=SecureLabel,AY5=1),AP5,0)</f>
        <v>0</v>
      </c>
      <c r="BO5">
        <f>IF(AND(AK5=SureThingLabel,AY5=1),AP5,0)</f>
        <v>0</v>
      </c>
      <c r="BP5">
        <f>MAX(BK5:BO5)</f>
        <v>0</v>
      </c>
      <c r="BQ5">
        <f>MAX(BL5:BO5)</f>
        <v>0</v>
      </c>
      <c r="BR5">
        <f>MAX(BM5:BO5)</f>
        <v>0</v>
      </c>
      <c r="BS5">
        <f>IF(ISNUMBER(Y5),INDEX(AllCollegeChicago, MATCH(N5,AllCollegeNCES,0))*AY5,0)</f>
        <v>0</v>
      </c>
      <c r="BT5">
        <f>IF(ISNUMBER(Y5),INDEX(AllCollegeMoneyCode, MATCH(N5,AllCollegeNCES,0)),"?")</f>
        <v>0</v>
      </c>
      <c r="BU5">
        <f>IF(OR(BT5="---",BT5="--",BT5="+/--",BT5="+/---"),1,0)</f>
        <v>0</v>
      </c>
      <c r="BV5">
        <f>AY5*AO5*AQ5</f>
        <v>0</v>
      </c>
    </row>
    <row r="6" spans="1:74">
      <c r="A6" t="s">
        <v>86</v>
      </c>
      <c r="B6">
        <v>21702780</v>
      </c>
      <c r="C6" t="s">
        <v>143</v>
      </c>
      <c r="D6" t="s">
        <v>144</v>
      </c>
      <c r="E6" t="s">
        <v>428</v>
      </c>
      <c r="F6" t="s">
        <v>436</v>
      </c>
      <c r="G6" t="s">
        <v>430</v>
      </c>
      <c r="H6" t="s">
        <v>431</v>
      </c>
      <c r="I6" t="s">
        <v>432</v>
      </c>
      <c r="J6" t="s">
        <v>432</v>
      </c>
      <c r="K6">
        <v>0</v>
      </c>
      <c r="L6" t="s">
        <v>428</v>
      </c>
      <c r="M6" t="s">
        <v>428</v>
      </c>
      <c r="N6">
        <v>147536</v>
      </c>
      <c r="O6">
        <f>INDEX(AllCollegeBarrons,MATCH(N6,AllCollegeNCES,0))</f>
        <v>0</v>
      </c>
      <c r="P6">
        <f>INDEX(KidGPAs,MATCH(B6,KidIDs,0))</f>
        <v>0</v>
      </c>
      <c r="Q6">
        <f>INDEX(KidACTs,MATCH(B6,KidIDs,0))</f>
        <v>0</v>
      </c>
      <c r="R6">
        <f>INDEX(Strats,MATCH(B6,KidIDs,0))</f>
        <v>0</v>
      </c>
      <c r="S6">
        <f>INDEX(KidRace,MATCH(B6,KidIDs,0))</f>
        <v>0</v>
      </c>
      <c r="T6">
        <f>IF(OR(S6="M",S6="I"),"H",S6)</f>
        <v>0</v>
      </c>
      <c r="U6">
        <f>INDEX(StudentTargets,MATCH(B6,KidIDs,0))</f>
        <v>0</v>
      </c>
      <c r="V6">
        <f>INDEX(ReachStudentTargets,MATCH(B6,KidIDs,0))</f>
        <v>0</v>
      </c>
      <c r="W6">
        <f>IF(OR(M6="Posse"),1,0)</f>
        <v>0</v>
      </c>
      <c r="X6">
        <f>IF(ISNUMBER(INDEX(AllCollegeGR, MATCH(N6,AllCollegeNCES,0))),ROUND(INDEX(AllCollegeGR, MATCH(N6,AllCollegeNCES,0))+W6*IF(INDEX(AllCollegeGR, MATCH(N6,AllCollegeNCES,0))&gt;0.7,(1-INDEX(AllCollegeGR, MATCH(N6,AllCollegeNCES,0)))/2,0.15),2),INDEX(AllCollegeGR, MATCH(N6,AllCollegeNCES,0)))</f>
        <v>0</v>
      </c>
      <c r="Y6">
        <f>IF(ISNUMBER(INDEX(AllCollegeAAHGR, MATCH(N6,AllCollegeNCES,0))),ROUND(INDEX(AllCollegeAAHGR, MATCH(N6,AllCollegeNCES,0))+W6*IF(INDEX(AllCollegeAAHGR, MATCH(N6,AllCollegeNCES,0))&gt;0.7,(1-INDEX(AllCollegeAAHGR, MATCH(N6,AllCollegeNCES,0)))/2,0.15),2),INDEX(AllCollegeAAHGR, MATCH(N6,AllCollegeNCES,0)))</f>
        <v>0</v>
      </c>
      <c r="Z6">
        <f>IF(OR(T6="H",T6="B"),INDEX(AllCollegeACT25, MATCH(N6,AllCollegeNCES,0)),INDEX(AllCollegeACT50, MATCH(N6,AllCollegeNCES,0)))</f>
        <v>0</v>
      </c>
      <c r="AA6">
        <f>INDEX(CustomWeightsGPA,MATCH(T6&amp;":"&amp;N6,CustomWeightsIndex,0))</f>
        <v>0</v>
      </c>
      <c r="AB6">
        <f>INDEX(CustomWeightsACT,MATCH(T6&amp;":"&amp;N6,CustomWeightsIndex,0))</f>
        <v>0</v>
      </c>
      <c r="AC6">
        <f>INDEX(CustomWeightsIntercept,MATCH(T6&amp;":"&amp;N6,CustomWeightsIndex,0))</f>
        <v>0</v>
      </c>
      <c r="AD6">
        <f>AA6*P6+AB6*Q6+AC6</f>
        <v>0</v>
      </c>
      <c r="AE6">
        <f>INDEX(CoefficientsGPA,MATCH(T6&amp;":"&amp;O6,CoefficientsIndex,0))</f>
        <v>0</v>
      </c>
      <c r="AF6">
        <f>INDEX(CoefficientsACT,MATCH(T6&amp;":"&amp;O6,CoefficientsIndex,0))</f>
        <v>0</v>
      </c>
      <c r="AG6">
        <f>INDEX(CoefficientsIntercept,MATCH(T6&amp;":"&amp;O6,CoefficientsIndex,0))</f>
        <v>0</v>
      </c>
      <c r="AH6">
        <f>AE6*P6+(Q6-Z6)*AF6+AG6</f>
        <v>0</v>
      </c>
      <c r="AI6">
        <f>IF(ISNUMBER(AD6),AD6,AH6)</f>
        <v>0</v>
      </c>
      <c r="AJ6">
        <f>IF(ISNUMBER(AI6),IF(ISNUMBER(AE6),IF(AND(AE6=1,AF6=1,AG6=1),100,ROUND(100*EXP(AI6)/(1+EXP(AI6)),2)),ROUND(100*EXP(AI6)/(1+EXP(AI6)),2)),IF(ISTEXT(O6),IF(LEFT(O6,1)="2",100,"N/A"),"N/A"))</f>
        <v>0</v>
      </c>
      <c r="AK6">
        <f>IF(ISNUMBER(AJ6),IF(AJ6&gt;=99,IF(OR(R6=10,R6=11),MatchLabel,SureThingLabel),IF(AJ6&gt;=95,SecureLabel,IF(AJ6&gt;=80,SafetyLabel,IF(AJ6&gt;=50,MatchLabel,IF(AJ6&gt;=20,ReachLabel,IF(AJ6&gt;=10,LongshotLabel,HailMaryLabel)))))),"Other")</f>
        <v>0</v>
      </c>
      <c r="AL6">
        <f>IF(OR(I6="accepted",I6="cond. accept",I6="summer admit"),IF(J6="yes","CHOICE!","Accepted!"),IF(I6="denied","Denied",IF(K6=1,"Waitlist",IF(L6=1,"Deferred",IF(G6="pending","Pending",IF(OR(G6="initial materials submitted",G6="mid-year submitted",G6="final submitted"),"Submitted",IF(H6="interest","Interest","?")))))))</f>
        <v>0</v>
      </c>
      <c r="AM6">
        <f>IF(OR(AK6=ReachLabel,AK6=LongshotLabel,AK6=HailMaryLabel),1,0)</f>
        <v>0</v>
      </c>
      <c r="AN6">
        <f>IF(OR(AM6=1,AK6=MatchLabel),1,0)</f>
        <v>0</v>
      </c>
      <c r="AO6">
        <f>IF(OR(AK6=MatchLabel,AK6=SafetyLabel,AK6=SecureLabel,AK6=SureThingLabel),1,0)</f>
        <v>0</v>
      </c>
      <c r="AP6">
        <f>IF(OR(T6="H",T6="B"),IF(ISNUMBER(Y6),ROUND(Y6,2),0),IF(ISNUMBER(X6),ROUND(X6,2),0))</f>
        <v>0</v>
      </c>
      <c r="AQ6">
        <f>IF(AP6&gt;=U6,1,0)</f>
        <v>0</v>
      </c>
      <c r="AR6">
        <f>IF(AP6&gt;=V6,1,0)</f>
        <v>0</v>
      </c>
      <c r="AS6">
        <f>IF(AP6&lt;(U6-0.10),1,0)</f>
        <v>0</v>
      </c>
      <c r="AT6">
        <f>1-AJ6/100</f>
        <v>0</v>
      </c>
      <c r="AU6">
        <f>IF(AN6=1,AT6,1)</f>
        <v>0</v>
      </c>
      <c r="AV6">
        <f>IF(AM6=1,AT6,1)</f>
        <v>0</v>
      </c>
      <c r="AW6">
        <f>IF(AND(AQ6=1,ISNUMBER(AT6)),$AT6,1)</f>
        <v>0</v>
      </c>
      <c r="AX6">
        <f>IF(AND(AR6=1,ISNUMBER(AT6)),$AT6,1)</f>
        <v>0</v>
      </c>
      <c r="AY6">
        <f>IF(ISNUMBER(Y6),INDEX(AllCollegeMoney, MATCH(N6,AllCollegeNCES,0)),0)</f>
        <v>0</v>
      </c>
      <c r="AZ6">
        <f>IF(AND(AQ6=1,ISNUMBER(AT6),AY6=1),$AT6,1)</f>
        <v>0</v>
      </c>
      <c r="BA6">
        <f>IF(AND(AR6=1,ISNUMBER(AT6),AY6=1),$AT6,1)</f>
        <v>0</v>
      </c>
      <c r="BB6">
        <f>IF(ISNUMBER(Y6),INDEX(AllCollegeILPub, MATCH(N6,AllCollegeNCES,0)),0)</f>
        <v>0</v>
      </c>
      <c r="BC6">
        <f>IF(AK6=ReachLabel,AP6,0)</f>
        <v>0</v>
      </c>
      <c r="BD6">
        <f>IF(AK6=MatchLabel,AP6,0)</f>
        <v>0</v>
      </c>
      <c r="BE6">
        <f>IF(AK6=SafetyLabel,AP6,0)</f>
        <v>0</v>
      </c>
      <c r="BF6">
        <f>IF(AK6=SecureLabel,AP6,0)</f>
        <v>0</v>
      </c>
      <c r="BG6">
        <f>IF(AK6=SureThingLabel,AP6,0)</f>
        <v>0</v>
      </c>
      <c r="BH6">
        <f>MAX(BC6:BG6)</f>
        <v>0</v>
      </c>
      <c r="BI6">
        <f>MAX(BD6:BG6)</f>
        <v>0</v>
      </c>
      <c r="BJ6">
        <f>MAX(BE6:BG6)</f>
        <v>0</v>
      </c>
      <c r="BK6">
        <f>IF(AND(AK6=ReachLabel,AY6=1),AP6,0)</f>
        <v>0</v>
      </c>
      <c r="BL6">
        <f>IF(AND(AK6=MatchLabel,AY6=1),AP6,0)</f>
        <v>0</v>
      </c>
      <c r="BM6">
        <f>IF(AND(AK6=SafetyLabel,AY6=1),AP6,0)</f>
        <v>0</v>
      </c>
      <c r="BN6">
        <f>IF(AND(AK6=SecureLabel,AY6=1),AP6,0)</f>
        <v>0</v>
      </c>
      <c r="BO6">
        <f>IF(AND(AK6=SureThingLabel,AY6=1),AP6,0)</f>
        <v>0</v>
      </c>
      <c r="BP6">
        <f>MAX(BK6:BO6)</f>
        <v>0</v>
      </c>
      <c r="BQ6">
        <f>MAX(BL6:BO6)</f>
        <v>0</v>
      </c>
      <c r="BR6">
        <f>MAX(BM6:BO6)</f>
        <v>0</v>
      </c>
      <c r="BS6">
        <f>IF(ISNUMBER(Y6),INDEX(AllCollegeChicago, MATCH(N6,AllCollegeNCES,0))*AY6,0)</f>
        <v>0</v>
      </c>
      <c r="BT6">
        <f>IF(ISNUMBER(Y6),INDEX(AllCollegeMoneyCode, MATCH(N6,AllCollegeNCES,0)),"?")</f>
        <v>0</v>
      </c>
      <c r="BU6">
        <f>IF(OR(BT6="---",BT6="--",BT6="+/--",BT6="+/---"),1,0)</f>
        <v>0</v>
      </c>
      <c r="BV6">
        <f>AY6*AO6*AQ6</f>
        <v>0</v>
      </c>
    </row>
    <row r="7" spans="1:74">
      <c r="A7" t="s">
        <v>86</v>
      </c>
      <c r="B7">
        <v>21702780</v>
      </c>
      <c r="C7" t="s">
        <v>143</v>
      </c>
      <c r="D7" t="s">
        <v>144</v>
      </c>
      <c r="E7" t="s">
        <v>428</v>
      </c>
      <c r="F7" t="s">
        <v>437</v>
      </c>
      <c r="G7" t="s">
        <v>430</v>
      </c>
      <c r="H7" t="s">
        <v>431</v>
      </c>
      <c r="I7" t="s">
        <v>432</v>
      </c>
      <c r="J7" t="s">
        <v>432</v>
      </c>
      <c r="K7">
        <v>0</v>
      </c>
      <c r="L7" t="s">
        <v>428</v>
      </c>
      <c r="M7" t="s">
        <v>428</v>
      </c>
      <c r="N7">
        <v>149772</v>
      </c>
      <c r="O7">
        <f>INDEX(AllCollegeBarrons,MATCH(N7,AllCollegeNCES,0))</f>
        <v>0</v>
      </c>
      <c r="P7">
        <f>INDEX(KidGPAs,MATCH(B7,KidIDs,0))</f>
        <v>0</v>
      </c>
      <c r="Q7">
        <f>INDEX(KidACTs,MATCH(B7,KidIDs,0))</f>
        <v>0</v>
      </c>
      <c r="R7">
        <f>INDEX(Strats,MATCH(B7,KidIDs,0))</f>
        <v>0</v>
      </c>
      <c r="S7">
        <f>INDEX(KidRace,MATCH(B7,KidIDs,0))</f>
        <v>0</v>
      </c>
      <c r="T7">
        <f>IF(OR(S7="M",S7="I"),"H",S7)</f>
        <v>0</v>
      </c>
      <c r="U7">
        <f>INDEX(StudentTargets,MATCH(B7,KidIDs,0))</f>
        <v>0</v>
      </c>
      <c r="V7">
        <f>INDEX(ReachStudentTargets,MATCH(B7,KidIDs,0))</f>
        <v>0</v>
      </c>
      <c r="W7">
        <f>IF(OR(M7="Posse"),1,0)</f>
        <v>0</v>
      </c>
      <c r="X7">
        <f>IF(ISNUMBER(INDEX(AllCollegeGR, MATCH(N7,AllCollegeNCES,0))),ROUND(INDEX(AllCollegeGR, MATCH(N7,AllCollegeNCES,0))+W7*IF(INDEX(AllCollegeGR, MATCH(N7,AllCollegeNCES,0))&gt;0.7,(1-INDEX(AllCollegeGR, MATCH(N7,AllCollegeNCES,0)))/2,0.15),2),INDEX(AllCollegeGR, MATCH(N7,AllCollegeNCES,0)))</f>
        <v>0</v>
      </c>
      <c r="Y7">
        <f>IF(ISNUMBER(INDEX(AllCollegeAAHGR, MATCH(N7,AllCollegeNCES,0))),ROUND(INDEX(AllCollegeAAHGR, MATCH(N7,AllCollegeNCES,0))+W7*IF(INDEX(AllCollegeAAHGR, MATCH(N7,AllCollegeNCES,0))&gt;0.7,(1-INDEX(AllCollegeAAHGR, MATCH(N7,AllCollegeNCES,0)))/2,0.15),2),INDEX(AllCollegeAAHGR, MATCH(N7,AllCollegeNCES,0)))</f>
        <v>0</v>
      </c>
      <c r="Z7">
        <f>IF(OR(T7="H",T7="B"),INDEX(AllCollegeACT25, MATCH(N7,AllCollegeNCES,0)),INDEX(AllCollegeACT50, MATCH(N7,AllCollegeNCES,0)))</f>
        <v>0</v>
      </c>
      <c r="AA7">
        <f>INDEX(CustomWeightsGPA,MATCH(T7&amp;":"&amp;N7,CustomWeightsIndex,0))</f>
        <v>0</v>
      </c>
      <c r="AB7">
        <f>INDEX(CustomWeightsACT,MATCH(T7&amp;":"&amp;N7,CustomWeightsIndex,0))</f>
        <v>0</v>
      </c>
      <c r="AC7">
        <f>INDEX(CustomWeightsIntercept,MATCH(T7&amp;":"&amp;N7,CustomWeightsIndex,0))</f>
        <v>0</v>
      </c>
      <c r="AD7">
        <f>AA7*P7+AB7*Q7+AC7</f>
        <v>0</v>
      </c>
      <c r="AE7">
        <f>INDEX(CoefficientsGPA,MATCH(T7&amp;":"&amp;O7,CoefficientsIndex,0))</f>
        <v>0</v>
      </c>
      <c r="AF7">
        <f>INDEX(CoefficientsACT,MATCH(T7&amp;":"&amp;O7,CoefficientsIndex,0))</f>
        <v>0</v>
      </c>
      <c r="AG7">
        <f>INDEX(CoefficientsIntercept,MATCH(T7&amp;":"&amp;O7,CoefficientsIndex,0))</f>
        <v>0</v>
      </c>
      <c r="AH7">
        <f>AE7*P7+(Q7-Z7)*AF7+AG7</f>
        <v>0</v>
      </c>
      <c r="AI7">
        <f>IF(ISNUMBER(AD7),AD7,AH7)</f>
        <v>0</v>
      </c>
      <c r="AJ7">
        <f>IF(ISNUMBER(AI7),IF(ISNUMBER(AE7),IF(AND(AE7=1,AF7=1,AG7=1),100,ROUND(100*EXP(AI7)/(1+EXP(AI7)),2)),ROUND(100*EXP(AI7)/(1+EXP(AI7)),2)),IF(ISTEXT(O7),IF(LEFT(O7,1)="2",100,"N/A"),"N/A"))</f>
        <v>0</v>
      </c>
      <c r="AK7">
        <f>IF(ISNUMBER(AJ7),IF(AJ7&gt;=99,IF(OR(R7=10,R7=11),MatchLabel,SureThingLabel),IF(AJ7&gt;=95,SecureLabel,IF(AJ7&gt;=80,SafetyLabel,IF(AJ7&gt;=50,MatchLabel,IF(AJ7&gt;=20,ReachLabel,IF(AJ7&gt;=10,LongshotLabel,HailMaryLabel)))))),"Other")</f>
        <v>0</v>
      </c>
      <c r="AL7">
        <f>IF(OR(I7="accepted",I7="cond. accept",I7="summer admit"),IF(J7="yes","CHOICE!","Accepted!"),IF(I7="denied","Denied",IF(K7=1,"Waitlist",IF(L7=1,"Deferred",IF(G7="pending","Pending",IF(OR(G7="initial materials submitted",G7="mid-year submitted",G7="final submitted"),"Submitted",IF(H7="interest","Interest","?")))))))</f>
        <v>0</v>
      </c>
      <c r="AM7">
        <f>IF(OR(AK7=ReachLabel,AK7=LongshotLabel,AK7=HailMaryLabel),1,0)</f>
        <v>0</v>
      </c>
      <c r="AN7">
        <f>IF(OR(AM7=1,AK7=MatchLabel),1,0)</f>
        <v>0</v>
      </c>
      <c r="AO7">
        <f>IF(OR(AK7=MatchLabel,AK7=SafetyLabel,AK7=SecureLabel,AK7=SureThingLabel),1,0)</f>
        <v>0</v>
      </c>
      <c r="AP7">
        <f>IF(OR(T7="H",T7="B"),IF(ISNUMBER(Y7),ROUND(Y7,2),0),IF(ISNUMBER(X7),ROUND(X7,2),0))</f>
        <v>0</v>
      </c>
      <c r="AQ7">
        <f>IF(AP7&gt;=U7,1,0)</f>
        <v>0</v>
      </c>
      <c r="AR7">
        <f>IF(AP7&gt;=V7,1,0)</f>
        <v>0</v>
      </c>
      <c r="AS7">
        <f>IF(AP7&lt;(U7-0.10),1,0)</f>
        <v>0</v>
      </c>
      <c r="AT7">
        <f>1-AJ7/100</f>
        <v>0</v>
      </c>
      <c r="AU7">
        <f>IF(AN7=1,AT7,1)</f>
        <v>0</v>
      </c>
      <c r="AV7">
        <f>IF(AM7=1,AT7,1)</f>
        <v>0</v>
      </c>
      <c r="AW7">
        <f>IF(AND(AQ7=1,ISNUMBER(AT7)),$AT7,1)</f>
        <v>0</v>
      </c>
      <c r="AX7">
        <f>IF(AND(AR7=1,ISNUMBER(AT7)),$AT7,1)</f>
        <v>0</v>
      </c>
      <c r="AY7">
        <f>IF(ISNUMBER(Y7),INDEX(AllCollegeMoney, MATCH(N7,AllCollegeNCES,0)),0)</f>
        <v>0</v>
      </c>
      <c r="AZ7">
        <f>IF(AND(AQ7=1,ISNUMBER(AT7),AY7=1),$AT7,1)</f>
        <v>0</v>
      </c>
      <c r="BA7">
        <f>IF(AND(AR7=1,ISNUMBER(AT7),AY7=1),$AT7,1)</f>
        <v>0</v>
      </c>
      <c r="BB7">
        <f>IF(ISNUMBER(Y7),INDEX(AllCollegeILPub, MATCH(N7,AllCollegeNCES,0)),0)</f>
        <v>0</v>
      </c>
      <c r="BC7">
        <f>IF(AK7=ReachLabel,AP7,0)</f>
        <v>0</v>
      </c>
      <c r="BD7">
        <f>IF(AK7=MatchLabel,AP7,0)</f>
        <v>0</v>
      </c>
      <c r="BE7">
        <f>IF(AK7=SafetyLabel,AP7,0)</f>
        <v>0</v>
      </c>
      <c r="BF7">
        <f>IF(AK7=SecureLabel,AP7,0)</f>
        <v>0</v>
      </c>
      <c r="BG7">
        <f>IF(AK7=SureThingLabel,AP7,0)</f>
        <v>0</v>
      </c>
      <c r="BH7">
        <f>MAX(BC7:BG7)</f>
        <v>0</v>
      </c>
      <c r="BI7">
        <f>MAX(BD7:BG7)</f>
        <v>0</v>
      </c>
      <c r="BJ7">
        <f>MAX(BE7:BG7)</f>
        <v>0</v>
      </c>
      <c r="BK7">
        <f>IF(AND(AK7=ReachLabel,AY7=1),AP7,0)</f>
        <v>0</v>
      </c>
      <c r="BL7">
        <f>IF(AND(AK7=MatchLabel,AY7=1),AP7,0)</f>
        <v>0</v>
      </c>
      <c r="BM7">
        <f>IF(AND(AK7=SafetyLabel,AY7=1),AP7,0)</f>
        <v>0</v>
      </c>
      <c r="BN7">
        <f>IF(AND(AK7=SecureLabel,AY7=1),AP7,0)</f>
        <v>0</v>
      </c>
      <c r="BO7">
        <f>IF(AND(AK7=SureThingLabel,AY7=1),AP7,0)</f>
        <v>0</v>
      </c>
      <c r="BP7">
        <f>MAX(BK7:BO7)</f>
        <v>0</v>
      </c>
      <c r="BQ7">
        <f>MAX(BL7:BO7)</f>
        <v>0</v>
      </c>
      <c r="BR7">
        <f>MAX(BM7:BO7)</f>
        <v>0</v>
      </c>
      <c r="BS7">
        <f>IF(ISNUMBER(Y7),INDEX(AllCollegeChicago, MATCH(N7,AllCollegeNCES,0))*AY7,0)</f>
        <v>0</v>
      </c>
      <c r="BT7">
        <f>IF(ISNUMBER(Y7),INDEX(AllCollegeMoneyCode, MATCH(N7,AllCollegeNCES,0)),"?")</f>
        <v>0</v>
      </c>
      <c r="BU7">
        <f>IF(OR(BT7="---",BT7="--",BT7="+/--",BT7="+/---"),1,0)</f>
        <v>0</v>
      </c>
      <c r="BV7">
        <f>AY7*AO7*AQ7</f>
        <v>0</v>
      </c>
    </row>
    <row r="8" spans="1:74">
      <c r="A8" t="s">
        <v>86</v>
      </c>
      <c r="B8">
        <v>21702780</v>
      </c>
      <c r="C8" t="s">
        <v>143</v>
      </c>
      <c r="D8" t="s">
        <v>144</v>
      </c>
      <c r="E8" t="s">
        <v>428</v>
      </c>
      <c r="F8" t="s">
        <v>438</v>
      </c>
      <c r="G8" t="s">
        <v>430</v>
      </c>
      <c r="H8" t="s">
        <v>431</v>
      </c>
      <c r="I8" t="s">
        <v>432</v>
      </c>
      <c r="J8" t="s">
        <v>432</v>
      </c>
      <c r="K8">
        <v>0</v>
      </c>
      <c r="L8" t="s">
        <v>428</v>
      </c>
      <c r="M8" t="s">
        <v>439</v>
      </c>
      <c r="N8">
        <v>150774</v>
      </c>
      <c r="O8">
        <f>INDEX(AllCollegeBarrons,MATCH(N8,AllCollegeNCES,0))</f>
        <v>0</v>
      </c>
      <c r="P8">
        <f>INDEX(KidGPAs,MATCH(B8,KidIDs,0))</f>
        <v>0</v>
      </c>
      <c r="Q8">
        <f>INDEX(KidACTs,MATCH(B8,KidIDs,0))</f>
        <v>0</v>
      </c>
      <c r="R8">
        <f>INDEX(Strats,MATCH(B8,KidIDs,0))</f>
        <v>0</v>
      </c>
      <c r="S8">
        <f>INDEX(KidRace,MATCH(B8,KidIDs,0))</f>
        <v>0</v>
      </c>
      <c r="T8">
        <f>IF(OR(S8="M",S8="I"),"H",S8)</f>
        <v>0</v>
      </c>
      <c r="U8">
        <f>INDEX(StudentTargets,MATCH(B8,KidIDs,0))</f>
        <v>0</v>
      </c>
      <c r="V8">
        <f>INDEX(ReachStudentTargets,MATCH(B8,KidIDs,0))</f>
        <v>0</v>
      </c>
      <c r="W8">
        <f>IF(OR(M8="Posse"),1,0)</f>
        <v>0</v>
      </c>
      <c r="X8">
        <f>IF(ISNUMBER(INDEX(AllCollegeGR, MATCH(N8,AllCollegeNCES,0))),ROUND(INDEX(AllCollegeGR, MATCH(N8,AllCollegeNCES,0))+W8*IF(INDEX(AllCollegeGR, MATCH(N8,AllCollegeNCES,0))&gt;0.7,(1-INDEX(AllCollegeGR, MATCH(N8,AllCollegeNCES,0)))/2,0.15),2),INDEX(AllCollegeGR, MATCH(N8,AllCollegeNCES,0)))</f>
        <v>0</v>
      </c>
      <c r="Y8">
        <f>IF(ISNUMBER(INDEX(AllCollegeAAHGR, MATCH(N8,AllCollegeNCES,0))),ROUND(INDEX(AllCollegeAAHGR, MATCH(N8,AllCollegeNCES,0))+W8*IF(INDEX(AllCollegeAAHGR, MATCH(N8,AllCollegeNCES,0))&gt;0.7,(1-INDEX(AllCollegeAAHGR, MATCH(N8,AllCollegeNCES,0)))/2,0.15),2),INDEX(AllCollegeAAHGR, MATCH(N8,AllCollegeNCES,0)))</f>
        <v>0</v>
      </c>
      <c r="Z8">
        <f>IF(OR(T8="H",T8="B"),INDEX(AllCollegeACT25, MATCH(N8,AllCollegeNCES,0)),INDEX(AllCollegeACT50, MATCH(N8,AllCollegeNCES,0)))</f>
        <v>0</v>
      </c>
      <c r="AA8">
        <f>INDEX(CustomWeightsGPA,MATCH(T8&amp;":"&amp;N8,CustomWeightsIndex,0))</f>
        <v>0</v>
      </c>
      <c r="AB8">
        <f>INDEX(CustomWeightsACT,MATCH(T8&amp;":"&amp;N8,CustomWeightsIndex,0))</f>
        <v>0</v>
      </c>
      <c r="AC8">
        <f>INDEX(CustomWeightsIntercept,MATCH(T8&amp;":"&amp;N8,CustomWeightsIndex,0))</f>
        <v>0</v>
      </c>
      <c r="AD8">
        <f>AA8*P8+AB8*Q8+AC8</f>
        <v>0</v>
      </c>
      <c r="AE8">
        <f>INDEX(CoefficientsGPA,MATCH(T8&amp;":"&amp;O8,CoefficientsIndex,0))</f>
        <v>0</v>
      </c>
      <c r="AF8">
        <f>INDEX(CoefficientsACT,MATCH(T8&amp;":"&amp;O8,CoefficientsIndex,0))</f>
        <v>0</v>
      </c>
      <c r="AG8">
        <f>INDEX(CoefficientsIntercept,MATCH(T8&amp;":"&amp;O8,CoefficientsIndex,0))</f>
        <v>0</v>
      </c>
      <c r="AH8">
        <f>AE8*P8+(Q8-Z8)*AF8+AG8</f>
        <v>0</v>
      </c>
      <c r="AI8">
        <f>IF(ISNUMBER(AD8),AD8,AH8)</f>
        <v>0</v>
      </c>
      <c r="AJ8">
        <f>IF(ISNUMBER(AI8),IF(ISNUMBER(AE8),IF(AND(AE8=1,AF8=1,AG8=1),100,ROUND(100*EXP(AI8)/(1+EXP(AI8)),2)),ROUND(100*EXP(AI8)/(1+EXP(AI8)),2)),IF(ISTEXT(O8),IF(LEFT(O8,1)="2",100,"N/A"),"N/A"))</f>
        <v>0</v>
      </c>
      <c r="AK8">
        <f>IF(ISNUMBER(AJ8),IF(AJ8&gt;=99,IF(OR(R8=10,R8=11),MatchLabel,SureThingLabel),IF(AJ8&gt;=95,SecureLabel,IF(AJ8&gt;=80,SafetyLabel,IF(AJ8&gt;=50,MatchLabel,IF(AJ8&gt;=20,ReachLabel,IF(AJ8&gt;=10,LongshotLabel,HailMaryLabel)))))),"Other")</f>
        <v>0</v>
      </c>
      <c r="AL8">
        <f>IF(OR(I8="accepted",I8="cond. accept",I8="summer admit"),IF(J8="yes","CHOICE!","Accepted!"),IF(I8="denied","Denied",IF(K8=1,"Waitlist",IF(L8=1,"Deferred",IF(G8="pending","Pending",IF(OR(G8="initial materials submitted",G8="mid-year submitted",G8="final submitted"),"Submitted",IF(H8="interest","Interest","?")))))))</f>
        <v>0</v>
      </c>
      <c r="AM8">
        <f>IF(OR(AK8=ReachLabel,AK8=LongshotLabel,AK8=HailMaryLabel),1,0)</f>
        <v>0</v>
      </c>
      <c r="AN8">
        <f>IF(OR(AM8=1,AK8=MatchLabel),1,0)</f>
        <v>0</v>
      </c>
      <c r="AO8">
        <f>IF(OR(AK8=MatchLabel,AK8=SafetyLabel,AK8=SecureLabel,AK8=SureThingLabel),1,0)</f>
        <v>0</v>
      </c>
      <c r="AP8">
        <f>IF(OR(T8="H",T8="B"),IF(ISNUMBER(Y8),ROUND(Y8,2),0),IF(ISNUMBER(X8),ROUND(X8,2),0))</f>
        <v>0</v>
      </c>
      <c r="AQ8">
        <f>IF(AP8&gt;=U8,1,0)</f>
        <v>0</v>
      </c>
      <c r="AR8">
        <f>IF(AP8&gt;=V8,1,0)</f>
        <v>0</v>
      </c>
      <c r="AS8">
        <f>IF(AP8&lt;(U8-0.10),1,0)</f>
        <v>0</v>
      </c>
      <c r="AT8">
        <f>1-AJ8/100</f>
        <v>0</v>
      </c>
      <c r="AU8">
        <f>IF(AN8=1,AT8,1)</f>
        <v>0</v>
      </c>
      <c r="AV8">
        <f>IF(AM8=1,AT8,1)</f>
        <v>0</v>
      </c>
      <c r="AW8">
        <f>IF(AND(AQ8=1,ISNUMBER(AT8)),$AT8,1)</f>
        <v>0</v>
      </c>
      <c r="AX8">
        <f>IF(AND(AR8=1,ISNUMBER(AT8)),$AT8,1)</f>
        <v>0</v>
      </c>
      <c r="AY8">
        <f>IF(ISNUMBER(Y8),INDEX(AllCollegeMoney, MATCH(N8,AllCollegeNCES,0)),0)</f>
        <v>0</v>
      </c>
      <c r="AZ8">
        <f>IF(AND(AQ8=1,ISNUMBER(AT8),AY8=1),$AT8,1)</f>
        <v>0</v>
      </c>
      <c r="BA8">
        <f>IF(AND(AR8=1,ISNUMBER(AT8),AY8=1),$AT8,1)</f>
        <v>0</v>
      </c>
      <c r="BB8">
        <f>IF(ISNUMBER(Y8),INDEX(AllCollegeILPub, MATCH(N8,AllCollegeNCES,0)),0)</f>
        <v>0</v>
      </c>
      <c r="BC8">
        <f>IF(AK8=ReachLabel,AP8,0)</f>
        <v>0</v>
      </c>
      <c r="BD8">
        <f>IF(AK8=MatchLabel,AP8,0)</f>
        <v>0</v>
      </c>
      <c r="BE8">
        <f>IF(AK8=SafetyLabel,AP8,0)</f>
        <v>0</v>
      </c>
      <c r="BF8">
        <f>IF(AK8=SecureLabel,AP8,0)</f>
        <v>0</v>
      </c>
      <c r="BG8">
        <f>IF(AK8=SureThingLabel,AP8,0)</f>
        <v>0</v>
      </c>
      <c r="BH8">
        <f>MAX(BC8:BG8)</f>
        <v>0</v>
      </c>
      <c r="BI8">
        <f>MAX(BD8:BG8)</f>
        <v>0</v>
      </c>
      <c r="BJ8">
        <f>MAX(BE8:BG8)</f>
        <v>0</v>
      </c>
      <c r="BK8">
        <f>IF(AND(AK8=ReachLabel,AY8=1),AP8,0)</f>
        <v>0</v>
      </c>
      <c r="BL8">
        <f>IF(AND(AK8=MatchLabel,AY8=1),AP8,0)</f>
        <v>0</v>
      </c>
      <c r="BM8">
        <f>IF(AND(AK8=SafetyLabel,AY8=1),AP8,0)</f>
        <v>0</v>
      </c>
      <c r="BN8">
        <f>IF(AND(AK8=SecureLabel,AY8=1),AP8,0)</f>
        <v>0</v>
      </c>
      <c r="BO8">
        <f>IF(AND(AK8=SureThingLabel,AY8=1),AP8,0)</f>
        <v>0</v>
      </c>
      <c r="BP8">
        <f>MAX(BK8:BO8)</f>
        <v>0</v>
      </c>
      <c r="BQ8">
        <f>MAX(BL8:BO8)</f>
        <v>0</v>
      </c>
      <c r="BR8">
        <f>MAX(BM8:BO8)</f>
        <v>0</v>
      </c>
      <c r="BS8">
        <f>IF(ISNUMBER(Y8),INDEX(AllCollegeChicago, MATCH(N8,AllCollegeNCES,0))*AY8,0)</f>
        <v>0</v>
      </c>
      <c r="BT8">
        <f>IF(ISNUMBER(Y8),INDEX(AllCollegeMoneyCode, MATCH(N8,AllCollegeNCES,0)),"?")</f>
        <v>0</v>
      </c>
      <c r="BU8">
        <f>IF(OR(BT8="---",BT8="--",BT8="+/--",BT8="+/---"),1,0)</f>
        <v>0</v>
      </c>
      <c r="BV8">
        <f>AY8*AO8*AQ8</f>
        <v>0</v>
      </c>
    </row>
    <row r="9" spans="1:74">
      <c r="A9" t="s">
        <v>86</v>
      </c>
      <c r="B9">
        <v>21702780</v>
      </c>
      <c r="C9" t="s">
        <v>143</v>
      </c>
      <c r="D9" t="s">
        <v>144</v>
      </c>
      <c r="E9" t="s">
        <v>428</v>
      </c>
      <c r="F9" t="s">
        <v>440</v>
      </c>
      <c r="G9" t="s">
        <v>430</v>
      </c>
      <c r="H9" t="s">
        <v>431</v>
      </c>
      <c r="I9" t="s">
        <v>432</v>
      </c>
      <c r="J9" t="s">
        <v>432</v>
      </c>
      <c r="K9">
        <v>0</v>
      </c>
      <c r="L9" t="s">
        <v>428</v>
      </c>
      <c r="M9" t="s">
        <v>428</v>
      </c>
      <c r="N9">
        <v>147703</v>
      </c>
      <c r="O9">
        <f>INDEX(AllCollegeBarrons,MATCH(N9,AllCollegeNCES,0))</f>
        <v>0</v>
      </c>
      <c r="P9">
        <f>INDEX(KidGPAs,MATCH(B9,KidIDs,0))</f>
        <v>0</v>
      </c>
      <c r="Q9">
        <f>INDEX(KidACTs,MATCH(B9,KidIDs,0))</f>
        <v>0</v>
      </c>
      <c r="R9">
        <f>INDEX(Strats,MATCH(B9,KidIDs,0))</f>
        <v>0</v>
      </c>
      <c r="S9">
        <f>INDEX(KidRace,MATCH(B9,KidIDs,0))</f>
        <v>0</v>
      </c>
      <c r="T9">
        <f>IF(OR(S9="M",S9="I"),"H",S9)</f>
        <v>0</v>
      </c>
      <c r="U9">
        <f>INDEX(StudentTargets,MATCH(B9,KidIDs,0))</f>
        <v>0</v>
      </c>
      <c r="V9">
        <f>INDEX(ReachStudentTargets,MATCH(B9,KidIDs,0))</f>
        <v>0</v>
      </c>
      <c r="W9">
        <f>IF(OR(M9="Posse"),1,0)</f>
        <v>0</v>
      </c>
      <c r="X9">
        <f>IF(ISNUMBER(INDEX(AllCollegeGR, MATCH(N9,AllCollegeNCES,0))),ROUND(INDEX(AllCollegeGR, MATCH(N9,AllCollegeNCES,0))+W9*IF(INDEX(AllCollegeGR, MATCH(N9,AllCollegeNCES,0))&gt;0.7,(1-INDEX(AllCollegeGR, MATCH(N9,AllCollegeNCES,0)))/2,0.15),2),INDEX(AllCollegeGR, MATCH(N9,AllCollegeNCES,0)))</f>
        <v>0</v>
      </c>
      <c r="Y9">
        <f>IF(ISNUMBER(INDEX(AllCollegeAAHGR, MATCH(N9,AllCollegeNCES,0))),ROUND(INDEX(AllCollegeAAHGR, MATCH(N9,AllCollegeNCES,0))+W9*IF(INDEX(AllCollegeAAHGR, MATCH(N9,AllCollegeNCES,0))&gt;0.7,(1-INDEX(AllCollegeAAHGR, MATCH(N9,AllCollegeNCES,0)))/2,0.15),2),INDEX(AllCollegeAAHGR, MATCH(N9,AllCollegeNCES,0)))</f>
        <v>0</v>
      </c>
      <c r="Z9">
        <f>IF(OR(T9="H",T9="B"),INDEX(AllCollegeACT25, MATCH(N9,AllCollegeNCES,0)),INDEX(AllCollegeACT50, MATCH(N9,AllCollegeNCES,0)))</f>
        <v>0</v>
      </c>
      <c r="AA9">
        <f>INDEX(CustomWeightsGPA,MATCH(T9&amp;":"&amp;N9,CustomWeightsIndex,0))</f>
        <v>0</v>
      </c>
      <c r="AB9">
        <f>INDEX(CustomWeightsACT,MATCH(T9&amp;":"&amp;N9,CustomWeightsIndex,0))</f>
        <v>0</v>
      </c>
      <c r="AC9">
        <f>INDEX(CustomWeightsIntercept,MATCH(T9&amp;":"&amp;N9,CustomWeightsIndex,0))</f>
        <v>0</v>
      </c>
      <c r="AD9">
        <f>AA9*P9+AB9*Q9+AC9</f>
        <v>0</v>
      </c>
      <c r="AE9">
        <f>INDEX(CoefficientsGPA,MATCH(T9&amp;":"&amp;O9,CoefficientsIndex,0))</f>
        <v>0</v>
      </c>
      <c r="AF9">
        <f>INDEX(CoefficientsACT,MATCH(T9&amp;":"&amp;O9,CoefficientsIndex,0))</f>
        <v>0</v>
      </c>
      <c r="AG9">
        <f>INDEX(CoefficientsIntercept,MATCH(T9&amp;":"&amp;O9,CoefficientsIndex,0))</f>
        <v>0</v>
      </c>
      <c r="AH9">
        <f>AE9*P9+(Q9-Z9)*AF9+AG9</f>
        <v>0</v>
      </c>
      <c r="AI9">
        <f>IF(ISNUMBER(AD9),AD9,AH9)</f>
        <v>0</v>
      </c>
      <c r="AJ9">
        <f>IF(ISNUMBER(AI9),IF(ISNUMBER(AE9),IF(AND(AE9=1,AF9=1,AG9=1),100,ROUND(100*EXP(AI9)/(1+EXP(AI9)),2)),ROUND(100*EXP(AI9)/(1+EXP(AI9)),2)),IF(ISTEXT(O9),IF(LEFT(O9,1)="2",100,"N/A"),"N/A"))</f>
        <v>0</v>
      </c>
      <c r="AK9">
        <f>IF(ISNUMBER(AJ9),IF(AJ9&gt;=99,IF(OR(R9=10,R9=11),MatchLabel,SureThingLabel),IF(AJ9&gt;=95,SecureLabel,IF(AJ9&gt;=80,SafetyLabel,IF(AJ9&gt;=50,MatchLabel,IF(AJ9&gt;=20,ReachLabel,IF(AJ9&gt;=10,LongshotLabel,HailMaryLabel)))))),"Other")</f>
        <v>0</v>
      </c>
      <c r="AL9">
        <f>IF(OR(I9="accepted",I9="cond. accept",I9="summer admit"),IF(J9="yes","CHOICE!","Accepted!"),IF(I9="denied","Denied",IF(K9=1,"Waitlist",IF(L9=1,"Deferred",IF(G9="pending","Pending",IF(OR(G9="initial materials submitted",G9="mid-year submitted",G9="final submitted"),"Submitted",IF(H9="interest","Interest","?")))))))</f>
        <v>0</v>
      </c>
      <c r="AM9">
        <f>IF(OR(AK9=ReachLabel,AK9=LongshotLabel,AK9=HailMaryLabel),1,0)</f>
        <v>0</v>
      </c>
      <c r="AN9">
        <f>IF(OR(AM9=1,AK9=MatchLabel),1,0)</f>
        <v>0</v>
      </c>
      <c r="AO9">
        <f>IF(OR(AK9=MatchLabel,AK9=SafetyLabel,AK9=SecureLabel,AK9=SureThingLabel),1,0)</f>
        <v>0</v>
      </c>
      <c r="AP9">
        <f>IF(OR(T9="H",T9="B"),IF(ISNUMBER(Y9),ROUND(Y9,2),0),IF(ISNUMBER(X9),ROUND(X9,2),0))</f>
        <v>0</v>
      </c>
      <c r="AQ9">
        <f>IF(AP9&gt;=U9,1,0)</f>
        <v>0</v>
      </c>
      <c r="AR9">
        <f>IF(AP9&gt;=V9,1,0)</f>
        <v>0</v>
      </c>
      <c r="AS9">
        <f>IF(AP9&lt;(U9-0.10),1,0)</f>
        <v>0</v>
      </c>
      <c r="AT9">
        <f>1-AJ9/100</f>
        <v>0</v>
      </c>
      <c r="AU9">
        <f>IF(AN9=1,AT9,1)</f>
        <v>0</v>
      </c>
      <c r="AV9">
        <f>IF(AM9=1,AT9,1)</f>
        <v>0</v>
      </c>
      <c r="AW9">
        <f>IF(AND(AQ9=1,ISNUMBER(AT9)),$AT9,1)</f>
        <v>0</v>
      </c>
      <c r="AX9">
        <f>IF(AND(AR9=1,ISNUMBER(AT9)),$AT9,1)</f>
        <v>0</v>
      </c>
      <c r="AY9">
        <f>IF(ISNUMBER(Y9),INDEX(AllCollegeMoney, MATCH(N9,AllCollegeNCES,0)),0)</f>
        <v>0</v>
      </c>
      <c r="AZ9">
        <f>IF(AND(AQ9=1,ISNUMBER(AT9),AY9=1),$AT9,1)</f>
        <v>0</v>
      </c>
      <c r="BA9">
        <f>IF(AND(AR9=1,ISNUMBER(AT9),AY9=1),$AT9,1)</f>
        <v>0</v>
      </c>
      <c r="BB9">
        <f>IF(ISNUMBER(Y9),INDEX(AllCollegeILPub, MATCH(N9,AllCollegeNCES,0)),0)</f>
        <v>0</v>
      </c>
      <c r="BC9">
        <f>IF(AK9=ReachLabel,AP9,0)</f>
        <v>0</v>
      </c>
      <c r="BD9">
        <f>IF(AK9=MatchLabel,AP9,0)</f>
        <v>0</v>
      </c>
      <c r="BE9">
        <f>IF(AK9=SafetyLabel,AP9,0)</f>
        <v>0</v>
      </c>
      <c r="BF9">
        <f>IF(AK9=SecureLabel,AP9,0)</f>
        <v>0</v>
      </c>
      <c r="BG9">
        <f>IF(AK9=SureThingLabel,AP9,0)</f>
        <v>0</v>
      </c>
      <c r="BH9">
        <f>MAX(BC9:BG9)</f>
        <v>0</v>
      </c>
      <c r="BI9">
        <f>MAX(BD9:BG9)</f>
        <v>0</v>
      </c>
      <c r="BJ9">
        <f>MAX(BE9:BG9)</f>
        <v>0</v>
      </c>
      <c r="BK9">
        <f>IF(AND(AK9=ReachLabel,AY9=1),AP9,0)</f>
        <v>0</v>
      </c>
      <c r="BL9">
        <f>IF(AND(AK9=MatchLabel,AY9=1),AP9,0)</f>
        <v>0</v>
      </c>
      <c r="BM9">
        <f>IF(AND(AK9=SafetyLabel,AY9=1),AP9,0)</f>
        <v>0</v>
      </c>
      <c r="BN9">
        <f>IF(AND(AK9=SecureLabel,AY9=1),AP9,0)</f>
        <v>0</v>
      </c>
      <c r="BO9">
        <f>IF(AND(AK9=SureThingLabel,AY9=1),AP9,0)</f>
        <v>0</v>
      </c>
      <c r="BP9">
        <f>MAX(BK9:BO9)</f>
        <v>0</v>
      </c>
      <c r="BQ9">
        <f>MAX(BL9:BO9)</f>
        <v>0</v>
      </c>
      <c r="BR9">
        <f>MAX(BM9:BO9)</f>
        <v>0</v>
      </c>
      <c r="BS9">
        <f>IF(ISNUMBER(Y9),INDEX(AllCollegeChicago, MATCH(N9,AllCollegeNCES,0))*AY9,0)</f>
        <v>0</v>
      </c>
      <c r="BT9">
        <f>IF(ISNUMBER(Y9),INDEX(AllCollegeMoneyCode, MATCH(N9,AllCollegeNCES,0)),"?")</f>
        <v>0</v>
      </c>
      <c r="BU9">
        <f>IF(OR(BT9="---",BT9="--",BT9="+/--",BT9="+/---"),1,0)</f>
        <v>0</v>
      </c>
      <c r="BV9">
        <f>AY9*AO9*AQ9</f>
        <v>0</v>
      </c>
    </row>
    <row r="10" spans="1:74">
      <c r="A10" t="s">
        <v>86</v>
      </c>
      <c r="B10">
        <v>21702780</v>
      </c>
      <c r="C10" t="s">
        <v>143</v>
      </c>
      <c r="D10" t="s">
        <v>144</v>
      </c>
      <c r="E10" t="s">
        <v>428</v>
      </c>
      <c r="F10" t="s">
        <v>441</v>
      </c>
      <c r="G10" t="s">
        <v>430</v>
      </c>
      <c r="H10" t="s">
        <v>431</v>
      </c>
      <c r="I10" t="s">
        <v>432</v>
      </c>
      <c r="J10" t="s">
        <v>432</v>
      </c>
      <c r="K10">
        <v>0</v>
      </c>
      <c r="L10" t="s">
        <v>428</v>
      </c>
      <c r="M10" t="s">
        <v>428</v>
      </c>
      <c r="N10">
        <v>147828</v>
      </c>
      <c r="O10">
        <f>INDEX(AllCollegeBarrons,MATCH(N10,AllCollegeNCES,0))</f>
        <v>0</v>
      </c>
      <c r="P10">
        <f>INDEX(KidGPAs,MATCH(B10,KidIDs,0))</f>
        <v>0</v>
      </c>
      <c r="Q10">
        <f>INDEX(KidACTs,MATCH(B10,KidIDs,0))</f>
        <v>0</v>
      </c>
      <c r="R10">
        <f>INDEX(Strats,MATCH(B10,KidIDs,0))</f>
        <v>0</v>
      </c>
      <c r="S10">
        <f>INDEX(KidRace,MATCH(B10,KidIDs,0))</f>
        <v>0</v>
      </c>
      <c r="T10">
        <f>IF(OR(S10="M",S10="I"),"H",S10)</f>
        <v>0</v>
      </c>
      <c r="U10">
        <f>INDEX(StudentTargets,MATCH(B10,KidIDs,0))</f>
        <v>0</v>
      </c>
      <c r="V10">
        <f>INDEX(ReachStudentTargets,MATCH(B10,KidIDs,0))</f>
        <v>0</v>
      </c>
      <c r="W10">
        <f>IF(OR(M10="Posse"),1,0)</f>
        <v>0</v>
      </c>
      <c r="X10">
        <f>IF(ISNUMBER(INDEX(AllCollegeGR, MATCH(N10,AllCollegeNCES,0))),ROUND(INDEX(AllCollegeGR, MATCH(N10,AllCollegeNCES,0))+W10*IF(INDEX(AllCollegeGR, MATCH(N10,AllCollegeNCES,0))&gt;0.7,(1-INDEX(AllCollegeGR, MATCH(N10,AllCollegeNCES,0)))/2,0.15),2),INDEX(AllCollegeGR, MATCH(N10,AllCollegeNCES,0)))</f>
        <v>0</v>
      </c>
      <c r="Y10">
        <f>IF(ISNUMBER(INDEX(AllCollegeAAHGR, MATCH(N10,AllCollegeNCES,0))),ROUND(INDEX(AllCollegeAAHGR, MATCH(N10,AllCollegeNCES,0))+W10*IF(INDEX(AllCollegeAAHGR, MATCH(N10,AllCollegeNCES,0))&gt;0.7,(1-INDEX(AllCollegeAAHGR, MATCH(N10,AllCollegeNCES,0)))/2,0.15),2),INDEX(AllCollegeAAHGR, MATCH(N10,AllCollegeNCES,0)))</f>
        <v>0</v>
      </c>
      <c r="Z10">
        <f>IF(OR(T10="H",T10="B"),INDEX(AllCollegeACT25, MATCH(N10,AllCollegeNCES,0)),INDEX(AllCollegeACT50, MATCH(N10,AllCollegeNCES,0)))</f>
        <v>0</v>
      </c>
      <c r="AA10">
        <f>INDEX(CustomWeightsGPA,MATCH(T10&amp;":"&amp;N10,CustomWeightsIndex,0))</f>
        <v>0</v>
      </c>
      <c r="AB10">
        <f>INDEX(CustomWeightsACT,MATCH(T10&amp;":"&amp;N10,CustomWeightsIndex,0))</f>
        <v>0</v>
      </c>
      <c r="AC10">
        <f>INDEX(CustomWeightsIntercept,MATCH(T10&amp;":"&amp;N10,CustomWeightsIndex,0))</f>
        <v>0</v>
      </c>
      <c r="AD10">
        <f>AA10*P10+AB10*Q10+AC10</f>
        <v>0</v>
      </c>
      <c r="AE10">
        <f>INDEX(CoefficientsGPA,MATCH(T10&amp;":"&amp;O10,CoefficientsIndex,0))</f>
        <v>0</v>
      </c>
      <c r="AF10">
        <f>INDEX(CoefficientsACT,MATCH(T10&amp;":"&amp;O10,CoefficientsIndex,0))</f>
        <v>0</v>
      </c>
      <c r="AG10">
        <f>INDEX(CoefficientsIntercept,MATCH(T10&amp;":"&amp;O10,CoefficientsIndex,0))</f>
        <v>0</v>
      </c>
      <c r="AH10">
        <f>AE10*P10+(Q10-Z10)*AF10+AG10</f>
        <v>0</v>
      </c>
      <c r="AI10">
        <f>IF(ISNUMBER(AD10),AD10,AH10)</f>
        <v>0</v>
      </c>
      <c r="AJ10">
        <f>IF(ISNUMBER(AI10),IF(ISNUMBER(AE10),IF(AND(AE10=1,AF10=1,AG10=1),100,ROUND(100*EXP(AI10)/(1+EXP(AI10)),2)),ROUND(100*EXP(AI10)/(1+EXP(AI10)),2)),IF(ISTEXT(O10),IF(LEFT(O10,1)="2",100,"N/A"),"N/A"))</f>
        <v>0</v>
      </c>
      <c r="AK10">
        <f>IF(ISNUMBER(AJ10),IF(AJ10&gt;=99,IF(OR(R10=10,R10=11),MatchLabel,SureThingLabel),IF(AJ10&gt;=95,SecureLabel,IF(AJ10&gt;=80,SafetyLabel,IF(AJ10&gt;=50,MatchLabel,IF(AJ10&gt;=20,ReachLabel,IF(AJ10&gt;=10,LongshotLabel,HailMaryLabel)))))),"Other")</f>
        <v>0</v>
      </c>
      <c r="AL10">
        <f>IF(OR(I10="accepted",I10="cond. accept",I10="summer admit"),IF(J10="yes","CHOICE!","Accepted!"),IF(I10="denied","Denied",IF(K10=1,"Waitlist",IF(L10=1,"Deferred",IF(G10="pending","Pending",IF(OR(G10="initial materials submitted",G10="mid-year submitted",G10="final submitted"),"Submitted",IF(H10="interest","Interest","?")))))))</f>
        <v>0</v>
      </c>
      <c r="AM10">
        <f>IF(OR(AK10=ReachLabel,AK10=LongshotLabel,AK10=HailMaryLabel),1,0)</f>
        <v>0</v>
      </c>
      <c r="AN10">
        <f>IF(OR(AM10=1,AK10=MatchLabel),1,0)</f>
        <v>0</v>
      </c>
      <c r="AO10">
        <f>IF(OR(AK10=MatchLabel,AK10=SafetyLabel,AK10=SecureLabel,AK10=SureThingLabel),1,0)</f>
        <v>0</v>
      </c>
      <c r="AP10">
        <f>IF(OR(T10="H",T10="B"),IF(ISNUMBER(Y10),ROUND(Y10,2),0),IF(ISNUMBER(X10),ROUND(X10,2),0))</f>
        <v>0</v>
      </c>
      <c r="AQ10">
        <f>IF(AP10&gt;=U10,1,0)</f>
        <v>0</v>
      </c>
      <c r="AR10">
        <f>IF(AP10&gt;=V10,1,0)</f>
        <v>0</v>
      </c>
      <c r="AS10">
        <f>IF(AP10&lt;(U10-0.10),1,0)</f>
        <v>0</v>
      </c>
      <c r="AT10">
        <f>1-AJ10/100</f>
        <v>0</v>
      </c>
      <c r="AU10">
        <f>IF(AN10=1,AT10,1)</f>
        <v>0</v>
      </c>
      <c r="AV10">
        <f>IF(AM10=1,AT10,1)</f>
        <v>0</v>
      </c>
      <c r="AW10">
        <f>IF(AND(AQ10=1,ISNUMBER(AT10)),$AT10,1)</f>
        <v>0</v>
      </c>
      <c r="AX10">
        <f>IF(AND(AR10=1,ISNUMBER(AT10)),$AT10,1)</f>
        <v>0</v>
      </c>
      <c r="AY10">
        <f>IF(ISNUMBER(Y10),INDEX(AllCollegeMoney, MATCH(N10,AllCollegeNCES,0)),0)</f>
        <v>0</v>
      </c>
      <c r="AZ10">
        <f>IF(AND(AQ10=1,ISNUMBER(AT10),AY10=1),$AT10,1)</f>
        <v>0</v>
      </c>
      <c r="BA10">
        <f>IF(AND(AR10=1,ISNUMBER(AT10),AY10=1),$AT10,1)</f>
        <v>0</v>
      </c>
      <c r="BB10">
        <f>IF(ISNUMBER(Y10),INDEX(AllCollegeILPub, MATCH(N10,AllCollegeNCES,0)),0)</f>
        <v>0</v>
      </c>
      <c r="BC10">
        <f>IF(AK10=ReachLabel,AP10,0)</f>
        <v>0</v>
      </c>
      <c r="BD10">
        <f>IF(AK10=MatchLabel,AP10,0)</f>
        <v>0</v>
      </c>
      <c r="BE10">
        <f>IF(AK10=SafetyLabel,AP10,0)</f>
        <v>0</v>
      </c>
      <c r="BF10">
        <f>IF(AK10=SecureLabel,AP10,0)</f>
        <v>0</v>
      </c>
      <c r="BG10">
        <f>IF(AK10=SureThingLabel,AP10,0)</f>
        <v>0</v>
      </c>
      <c r="BH10">
        <f>MAX(BC10:BG10)</f>
        <v>0</v>
      </c>
      <c r="BI10">
        <f>MAX(BD10:BG10)</f>
        <v>0</v>
      </c>
      <c r="BJ10">
        <f>MAX(BE10:BG10)</f>
        <v>0</v>
      </c>
      <c r="BK10">
        <f>IF(AND(AK10=ReachLabel,AY10=1),AP10,0)</f>
        <v>0</v>
      </c>
      <c r="BL10">
        <f>IF(AND(AK10=MatchLabel,AY10=1),AP10,0)</f>
        <v>0</v>
      </c>
      <c r="BM10">
        <f>IF(AND(AK10=SafetyLabel,AY10=1),AP10,0)</f>
        <v>0</v>
      </c>
      <c r="BN10">
        <f>IF(AND(AK10=SecureLabel,AY10=1),AP10,0)</f>
        <v>0</v>
      </c>
      <c r="BO10">
        <f>IF(AND(AK10=SureThingLabel,AY10=1),AP10,0)</f>
        <v>0</v>
      </c>
      <c r="BP10">
        <f>MAX(BK10:BO10)</f>
        <v>0</v>
      </c>
      <c r="BQ10">
        <f>MAX(BL10:BO10)</f>
        <v>0</v>
      </c>
      <c r="BR10">
        <f>MAX(BM10:BO10)</f>
        <v>0</v>
      </c>
      <c r="BS10">
        <f>IF(ISNUMBER(Y10),INDEX(AllCollegeChicago, MATCH(N10,AllCollegeNCES,0))*AY10,0)</f>
        <v>0</v>
      </c>
      <c r="BT10">
        <f>IF(ISNUMBER(Y10),INDEX(AllCollegeMoneyCode, MATCH(N10,AllCollegeNCES,0)),"?")</f>
        <v>0</v>
      </c>
      <c r="BU10">
        <f>IF(OR(BT10="---",BT10="--",BT10="+/--",BT10="+/---"),1,0)</f>
        <v>0</v>
      </c>
      <c r="BV10">
        <f>AY10*AO10*AQ10</f>
        <v>0</v>
      </c>
    </row>
    <row r="11" spans="1:74">
      <c r="A11" t="s">
        <v>86</v>
      </c>
      <c r="B11">
        <v>21702780</v>
      </c>
      <c r="C11" t="s">
        <v>143</v>
      </c>
      <c r="D11" t="s">
        <v>144</v>
      </c>
      <c r="E11" t="s">
        <v>428</v>
      </c>
      <c r="F11" t="s">
        <v>442</v>
      </c>
      <c r="G11" t="s">
        <v>430</v>
      </c>
      <c r="H11" t="s">
        <v>431</v>
      </c>
      <c r="I11" t="s">
        <v>432</v>
      </c>
      <c r="J11" t="s">
        <v>432</v>
      </c>
      <c r="K11">
        <v>0</v>
      </c>
      <c r="L11" t="s">
        <v>428</v>
      </c>
      <c r="M11" t="s">
        <v>428</v>
      </c>
      <c r="N11">
        <v>149222</v>
      </c>
      <c r="O11">
        <f>INDEX(AllCollegeBarrons,MATCH(N11,AllCollegeNCES,0))</f>
        <v>0</v>
      </c>
      <c r="P11">
        <f>INDEX(KidGPAs,MATCH(B11,KidIDs,0))</f>
        <v>0</v>
      </c>
      <c r="Q11">
        <f>INDEX(KidACTs,MATCH(B11,KidIDs,0))</f>
        <v>0</v>
      </c>
      <c r="R11">
        <f>INDEX(Strats,MATCH(B11,KidIDs,0))</f>
        <v>0</v>
      </c>
      <c r="S11">
        <f>INDEX(KidRace,MATCH(B11,KidIDs,0))</f>
        <v>0</v>
      </c>
      <c r="T11">
        <f>IF(OR(S11="M",S11="I"),"H",S11)</f>
        <v>0</v>
      </c>
      <c r="U11">
        <f>INDEX(StudentTargets,MATCH(B11,KidIDs,0))</f>
        <v>0</v>
      </c>
      <c r="V11">
        <f>INDEX(ReachStudentTargets,MATCH(B11,KidIDs,0))</f>
        <v>0</v>
      </c>
      <c r="W11">
        <f>IF(OR(M11="Posse"),1,0)</f>
        <v>0</v>
      </c>
      <c r="X11">
        <f>IF(ISNUMBER(INDEX(AllCollegeGR, MATCH(N11,AllCollegeNCES,0))),ROUND(INDEX(AllCollegeGR, MATCH(N11,AllCollegeNCES,0))+W11*IF(INDEX(AllCollegeGR, MATCH(N11,AllCollegeNCES,0))&gt;0.7,(1-INDEX(AllCollegeGR, MATCH(N11,AllCollegeNCES,0)))/2,0.15),2),INDEX(AllCollegeGR, MATCH(N11,AllCollegeNCES,0)))</f>
        <v>0</v>
      </c>
      <c r="Y11">
        <f>IF(ISNUMBER(INDEX(AllCollegeAAHGR, MATCH(N11,AllCollegeNCES,0))),ROUND(INDEX(AllCollegeAAHGR, MATCH(N11,AllCollegeNCES,0))+W11*IF(INDEX(AllCollegeAAHGR, MATCH(N11,AllCollegeNCES,0))&gt;0.7,(1-INDEX(AllCollegeAAHGR, MATCH(N11,AllCollegeNCES,0)))/2,0.15),2),INDEX(AllCollegeAAHGR, MATCH(N11,AllCollegeNCES,0)))</f>
        <v>0</v>
      </c>
      <c r="Z11">
        <f>IF(OR(T11="H",T11="B"),INDEX(AllCollegeACT25, MATCH(N11,AllCollegeNCES,0)),INDEX(AllCollegeACT50, MATCH(N11,AllCollegeNCES,0)))</f>
        <v>0</v>
      </c>
      <c r="AA11">
        <f>INDEX(CustomWeightsGPA,MATCH(T11&amp;":"&amp;N11,CustomWeightsIndex,0))</f>
        <v>0</v>
      </c>
      <c r="AB11">
        <f>INDEX(CustomWeightsACT,MATCH(T11&amp;":"&amp;N11,CustomWeightsIndex,0))</f>
        <v>0</v>
      </c>
      <c r="AC11">
        <f>INDEX(CustomWeightsIntercept,MATCH(T11&amp;":"&amp;N11,CustomWeightsIndex,0))</f>
        <v>0</v>
      </c>
      <c r="AD11">
        <f>AA11*P11+AB11*Q11+AC11</f>
        <v>0</v>
      </c>
      <c r="AE11">
        <f>INDEX(CoefficientsGPA,MATCH(T11&amp;":"&amp;O11,CoefficientsIndex,0))</f>
        <v>0</v>
      </c>
      <c r="AF11">
        <f>INDEX(CoefficientsACT,MATCH(T11&amp;":"&amp;O11,CoefficientsIndex,0))</f>
        <v>0</v>
      </c>
      <c r="AG11">
        <f>INDEX(CoefficientsIntercept,MATCH(T11&amp;":"&amp;O11,CoefficientsIndex,0))</f>
        <v>0</v>
      </c>
      <c r="AH11">
        <f>AE11*P11+(Q11-Z11)*AF11+AG11</f>
        <v>0</v>
      </c>
      <c r="AI11">
        <f>IF(ISNUMBER(AD11),AD11,AH11)</f>
        <v>0</v>
      </c>
      <c r="AJ11">
        <f>IF(ISNUMBER(AI11),IF(ISNUMBER(AE11),IF(AND(AE11=1,AF11=1,AG11=1),100,ROUND(100*EXP(AI11)/(1+EXP(AI11)),2)),ROUND(100*EXP(AI11)/(1+EXP(AI11)),2)),IF(ISTEXT(O11),IF(LEFT(O11,1)="2",100,"N/A"),"N/A"))</f>
        <v>0</v>
      </c>
      <c r="AK11">
        <f>IF(ISNUMBER(AJ11),IF(AJ11&gt;=99,IF(OR(R11=10,R11=11),MatchLabel,SureThingLabel),IF(AJ11&gt;=95,SecureLabel,IF(AJ11&gt;=80,SafetyLabel,IF(AJ11&gt;=50,MatchLabel,IF(AJ11&gt;=20,ReachLabel,IF(AJ11&gt;=10,LongshotLabel,HailMaryLabel)))))),"Other")</f>
        <v>0</v>
      </c>
      <c r="AL11">
        <f>IF(OR(I11="accepted",I11="cond. accept",I11="summer admit"),IF(J11="yes","CHOICE!","Accepted!"),IF(I11="denied","Denied",IF(K11=1,"Waitlist",IF(L11=1,"Deferred",IF(G11="pending","Pending",IF(OR(G11="initial materials submitted",G11="mid-year submitted",G11="final submitted"),"Submitted",IF(H11="interest","Interest","?")))))))</f>
        <v>0</v>
      </c>
      <c r="AM11">
        <f>IF(OR(AK11=ReachLabel,AK11=LongshotLabel,AK11=HailMaryLabel),1,0)</f>
        <v>0</v>
      </c>
      <c r="AN11">
        <f>IF(OR(AM11=1,AK11=MatchLabel),1,0)</f>
        <v>0</v>
      </c>
      <c r="AO11">
        <f>IF(OR(AK11=MatchLabel,AK11=SafetyLabel,AK11=SecureLabel,AK11=SureThingLabel),1,0)</f>
        <v>0</v>
      </c>
      <c r="AP11">
        <f>IF(OR(T11="H",T11="B"),IF(ISNUMBER(Y11),ROUND(Y11,2),0),IF(ISNUMBER(X11),ROUND(X11,2),0))</f>
        <v>0</v>
      </c>
      <c r="AQ11">
        <f>IF(AP11&gt;=U11,1,0)</f>
        <v>0</v>
      </c>
      <c r="AR11">
        <f>IF(AP11&gt;=V11,1,0)</f>
        <v>0</v>
      </c>
      <c r="AS11">
        <f>IF(AP11&lt;(U11-0.10),1,0)</f>
        <v>0</v>
      </c>
      <c r="AT11">
        <f>1-AJ11/100</f>
        <v>0</v>
      </c>
      <c r="AU11">
        <f>IF(AN11=1,AT11,1)</f>
        <v>0</v>
      </c>
      <c r="AV11">
        <f>IF(AM11=1,AT11,1)</f>
        <v>0</v>
      </c>
      <c r="AW11">
        <f>IF(AND(AQ11=1,ISNUMBER(AT11)),$AT11,1)</f>
        <v>0</v>
      </c>
      <c r="AX11">
        <f>IF(AND(AR11=1,ISNUMBER(AT11)),$AT11,1)</f>
        <v>0</v>
      </c>
      <c r="AY11">
        <f>IF(ISNUMBER(Y11),INDEX(AllCollegeMoney, MATCH(N11,AllCollegeNCES,0)),0)</f>
        <v>0</v>
      </c>
      <c r="AZ11">
        <f>IF(AND(AQ11=1,ISNUMBER(AT11),AY11=1),$AT11,1)</f>
        <v>0</v>
      </c>
      <c r="BA11">
        <f>IF(AND(AR11=1,ISNUMBER(AT11),AY11=1),$AT11,1)</f>
        <v>0</v>
      </c>
      <c r="BB11">
        <f>IF(ISNUMBER(Y11),INDEX(AllCollegeILPub, MATCH(N11,AllCollegeNCES,0)),0)</f>
        <v>0</v>
      </c>
      <c r="BC11">
        <f>IF(AK11=ReachLabel,AP11,0)</f>
        <v>0</v>
      </c>
      <c r="BD11">
        <f>IF(AK11=MatchLabel,AP11,0)</f>
        <v>0</v>
      </c>
      <c r="BE11">
        <f>IF(AK11=SafetyLabel,AP11,0)</f>
        <v>0</v>
      </c>
      <c r="BF11">
        <f>IF(AK11=SecureLabel,AP11,0)</f>
        <v>0</v>
      </c>
      <c r="BG11">
        <f>IF(AK11=SureThingLabel,AP11,0)</f>
        <v>0</v>
      </c>
      <c r="BH11">
        <f>MAX(BC11:BG11)</f>
        <v>0</v>
      </c>
      <c r="BI11">
        <f>MAX(BD11:BG11)</f>
        <v>0</v>
      </c>
      <c r="BJ11">
        <f>MAX(BE11:BG11)</f>
        <v>0</v>
      </c>
      <c r="BK11">
        <f>IF(AND(AK11=ReachLabel,AY11=1),AP11,0)</f>
        <v>0</v>
      </c>
      <c r="BL11">
        <f>IF(AND(AK11=MatchLabel,AY11=1),AP11,0)</f>
        <v>0</v>
      </c>
      <c r="BM11">
        <f>IF(AND(AK11=SafetyLabel,AY11=1),AP11,0)</f>
        <v>0</v>
      </c>
      <c r="BN11">
        <f>IF(AND(AK11=SecureLabel,AY11=1),AP11,0)</f>
        <v>0</v>
      </c>
      <c r="BO11">
        <f>IF(AND(AK11=SureThingLabel,AY11=1),AP11,0)</f>
        <v>0</v>
      </c>
      <c r="BP11">
        <f>MAX(BK11:BO11)</f>
        <v>0</v>
      </c>
      <c r="BQ11">
        <f>MAX(BL11:BO11)</f>
        <v>0</v>
      </c>
      <c r="BR11">
        <f>MAX(BM11:BO11)</f>
        <v>0</v>
      </c>
      <c r="BS11">
        <f>IF(ISNUMBER(Y11),INDEX(AllCollegeChicago, MATCH(N11,AllCollegeNCES,0))*AY11,0)</f>
        <v>0</v>
      </c>
      <c r="BT11">
        <f>IF(ISNUMBER(Y11),INDEX(AllCollegeMoneyCode, MATCH(N11,AllCollegeNCES,0)),"?")</f>
        <v>0</v>
      </c>
      <c r="BU11">
        <f>IF(OR(BT11="---",BT11="--",BT11="+/--",BT11="+/---"),1,0)</f>
        <v>0</v>
      </c>
      <c r="BV11">
        <f>AY11*AO11*AQ11</f>
        <v>0</v>
      </c>
    </row>
    <row r="12" spans="1:74">
      <c r="A12" t="s">
        <v>86</v>
      </c>
      <c r="B12">
        <v>21702780</v>
      </c>
      <c r="C12" t="s">
        <v>143</v>
      </c>
      <c r="D12" t="s">
        <v>144</v>
      </c>
      <c r="E12" t="s">
        <v>428</v>
      </c>
      <c r="F12" t="s">
        <v>443</v>
      </c>
      <c r="G12" t="s">
        <v>430</v>
      </c>
      <c r="H12" t="s">
        <v>431</v>
      </c>
      <c r="I12" t="s">
        <v>432</v>
      </c>
      <c r="J12" t="s">
        <v>432</v>
      </c>
      <c r="K12">
        <v>0</v>
      </c>
      <c r="L12" t="s">
        <v>428</v>
      </c>
      <c r="M12" t="s">
        <v>428</v>
      </c>
      <c r="N12">
        <v>144209</v>
      </c>
      <c r="O12">
        <f>INDEX(AllCollegeBarrons,MATCH(N12,AllCollegeNCES,0))</f>
        <v>0</v>
      </c>
      <c r="P12">
        <f>INDEX(KidGPAs,MATCH(B12,KidIDs,0))</f>
        <v>0</v>
      </c>
      <c r="Q12">
        <f>INDEX(KidACTs,MATCH(B12,KidIDs,0))</f>
        <v>0</v>
      </c>
      <c r="R12">
        <f>INDEX(Strats,MATCH(B12,KidIDs,0))</f>
        <v>0</v>
      </c>
      <c r="S12">
        <f>INDEX(KidRace,MATCH(B12,KidIDs,0))</f>
        <v>0</v>
      </c>
      <c r="T12">
        <f>IF(OR(S12="M",S12="I"),"H",S12)</f>
        <v>0</v>
      </c>
      <c r="U12">
        <f>INDEX(StudentTargets,MATCH(B12,KidIDs,0))</f>
        <v>0</v>
      </c>
      <c r="V12">
        <f>INDEX(ReachStudentTargets,MATCH(B12,KidIDs,0))</f>
        <v>0</v>
      </c>
      <c r="W12">
        <f>IF(OR(M12="Posse"),1,0)</f>
        <v>0</v>
      </c>
      <c r="X12">
        <f>IF(ISNUMBER(INDEX(AllCollegeGR, MATCH(N12,AllCollegeNCES,0))),ROUND(INDEX(AllCollegeGR, MATCH(N12,AllCollegeNCES,0))+W12*IF(INDEX(AllCollegeGR, MATCH(N12,AllCollegeNCES,0))&gt;0.7,(1-INDEX(AllCollegeGR, MATCH(N12,AllCollegeNCES,0)))/2,0.15),2),INDEX(AllCollegeGR, MATCH(N12,AllCollegeNCES,0)))</f>
        <v>0</v>
      </c>
      <c r="Y12">
        <f>IF(ISNUMBER(INDEX(AllCollegeAAHGR, MATCH(N12,AllCollegeNCES,0))),ROUND(INDEX(AllCollegeAAHGR, MATCH(N12,AllCollegeNCES,0))+W12*IF(INDEX(AllCollegeAAHGR, MATCH(N12,AllCollegeNCES,0))&gt;0.7,(1-INDEX(AllCollegeAAHGR, MATCH(N12,AllCollegeNCES,0)))/2,0.15),2),INDEX(AllCollegeAAHGR, MATCH(N12,AllCollegeNCES,0)))</f>
        <v>0</v>
      </c>
      <c r="Z12">
        <f>IF(OR(T12="H",T12="B"),INDEX(AllCollegeACT25, MATCH(N12,AllCollegeNCES,0)),INDEX(AllCollegeACT50, MATCH(N12,AllCollegeNCES,0)))</f>
        <v>0</v>
      </c>
      <c r="AA12">
        <f>INDEX(CustomWeightsGPA,MATCH(T12&amp;":"&amp;N12,CustomWeightsIndex,0))</f>
        <v>0</v>
      </c>
      <c r="AB12">
        <f>INDEX(CustomWeightsACT,MATCH(T12&amp;":"&amp;N12,CustomWeightsIndex,0))</f>
        <v>0</v>
      </c>
      <c r="AC12">
        <f>INDEX(CustomWeightsIntercept,MATCH(T12&amp;":"&amp;N12,CustomWeightsIndex,0))</f>
        <v>0</v>
      </c>
      <c r="AD12">
        <f>AA12*P12+AB12*Q12+AC12</f>
        <v>0</v>
      </c>
      <c r="AE12">
        <f>INDEX(CoefficientsGPA,MATCH(T12&amp;":"&amp;O12,CoefficientsIndex,0))</f>
        <v>0</v>
      </c>
      <c r="AF12">
        <f>INDEX(CoefficientsACT,MATCH(T12&amp;":"&amp;O12,CoefficientsIndex,0))</f>
        <v>0</v>
      </c>
      <c r="AG12">
        <f>INDEX(CoefficientsIntercept,MATCH(T12&amp;":"&amp;O12,CoefficientsIndex,0))</f>
        <v>0</v>
      </c>
      <c r="AH12">
        <f>AE12*P12+(Q12-Z12)*AF12+AG12</f>
        <v>0</v>
      </c>
      <c r="AI12">
        <f>IF(ISNUMBER(AD12),AD12,AH12)</f>
        <v>0</v>
      </c>
      <c r="AJ12">
        <f>IF(ISNUMBER(AI12),IF(ISNUMBER(AE12),IF(AND(AE12=1,AF12=1,AG12=1),100,ROUND(100*EXP(AI12)/(1+EXP(AI12)),2)),ROUND(100*EXP(AI12)/(1+EXP(AI12)),2)),IF(ISTEXT(O12),IF(LEFT(O12,1)="2",100,"N/A"),"N/A"))</f>
        <v>0</v>
      </c>
      <c r="AK12">
        <f>IF(ISNUMBER(AJ12),IF(AJ12&gt;=99,IF(OR(R12=10,R12=11),MatchLabel,SureThingLabel),IF(AJ12&gt;=95,SecureLabel,IF(AJ12&gt;=80,SafetyLabel,IF(AJ12&gt;=50,MatchLabel,IF(AJ12&gt;=20,ReachLabel,IF(AJ12&gt;=10,LongshotLabel,HailMaryLabel)))))),"Other")</f>
        <v>0</v>
      </c>
      <c r="AL12">
        <f>IF(OR(I12="accepted",I12="cond. accept",I12="summer admit"),IF(J12="yes","CHOICE!","Accepted!"),IF(I12="denied","Denied",IF(K12=1,"Waitlist",IF(L12=1,"Deferred",IF(G12="pending","Pending",IF(OR(G12="initial materials submitted",G12="mid-year submitted",G12="final submitted"),"Submitted",IF(H12="interest","Interest","?")))))))</f>
        <v>0</v>
      </c>
      <c r="AM12">
        <f>IF(OR(AK12=ReachLabel,AK12=LongshotLabel,AK12=HailMaryLabel),1,0)</f>
        <v>0</v>
      </c>
      <c r="AN12">
        <f>IF(OR(AM12=1,AK12=MatchLabel),1,0)</f>
        <v>0</v>
      </c>
      <c r="AO12">
        <f>IF(OR(AK12=MatchLabel,AK12=SafetyLabel,AK12=SecureLabel,AK12=SureThingLabel),1,0)</f>
        <v>0</v>
      </c>
      <c r="AP12">
        <f>IF(OR(T12="H",T12="B"),IF(ISNUMBER(Y12),ROUND(Y12,2),0),IF(ISNUMBER(X12),ROUND(X12,2),0))</f>
        <v>0</v>
      </c>
      <c r="AQ12">
        <f>IF(AP12&gt;=U12,1,0)</f>
        <v>0</v>
      </c>
      <c r="AR12">
        <f>IF(AP12&gt;=V12,1,0)</f>
        <v>0</v>
      </c>
      <c r="AS12">
        <f>IF(AP12&lt;(U12-0.10),1,0)</f>
        <v>0</v>
      </c>
      <c r="AT12">
        <f>1-AJ12/100</f>
        <v>0</v>
      </c>
      <c r="AU12">
        <f>IF(AN12=1,AT12,1)</f>
        <v>0</v>
      </c>
      <c r="AV12">
        <f>IF(AM12=1,AT12,1)</f>
        <v>0</v>
      </c>
      <c r="AW12">
        <f>IF(AND(AQ12=1,ISNUMBER(AT12)),$AT12,1)</f>
        <v>0</v>
      </c>
      <c r="AX12">
        <f>IF(AND(AR12=1,ISNUMBER(AT12)),$AT12,1)</f>
        <v>0</v>
      </c>
      <c r="AY12">
        <f>IF(ISNUMBER(Y12),INDEX(AllCollegeMoney, MATCH(N12,AllCollegeNCES,0)),0)</f>
        <v>0</v>
      </c>
      <c r="AZ12">
        <f>IF(AND(AQ12=1,ISNUMBER(AT12),AY12=1),$AT12,1)</f>
        <v>0</v>
      </c>
      <c r="BA12">
        <f>IF(AND(AR12=1,ISNUMBER(AT12),AY12=1),$AT12,1)</f>
        <v>0</v>
      </c>
      <c r="BB12">
        <f>IF(ISNUMBER(Y12),INDEX(AllCollegeILPub, MATCH(N12,AllCollegeNCES,0)),0)</f>
        <v>0</v>
      </c>
      <c r="BC12">
        <f>IF(AK12=ReachLabel,AP12,0)</f>
        <v>0</v>
      </c>
      <c r="BD12">
        <f>IF(AK12=MatchLabel,AP12,0)</f>
        <v>0</v>
      </c>
      <c r="BE12">
        <f>IF(AK12=SafetyLabel,AP12,0)</f>
        <v>0</v>
      </c>
      <c r="BF12">
        <f>IF(AK12=SecureLabel,AP12,0)</f>
        <v>0</v>
      </c>
      <c r="BG12">
        <f>IF(AK12=SureThingLabel,AP12,0)</f>
        <v>0</v>
      </c>
      <c r="BH12">
        <f>MAX(BC12:BG12)</f>
        <v>0</v>
      </c>
      <c r="BI12">
        <f>MAX(BD12:BG12)</f>
        <v>0</v>
      </c>
      <c r="BJ12">
        <f>MAX(BE12:BG12)</f>
        <v>0</v>
      </c>
      <c r="BK12">
        <f>IF(AND(AK12=ReachLabel,AY12=1),AP12,0)</f>
        <v>0</v>
      </c>
      <c r="BL12">
        <f>IF(AND(AK12=MatchLabel,AY12=1),AP12,0)</f>
        <v>0</v>
      </c>
      <c r="BM12">
        <f>IF(AND(AK12=SafetyLabel,AY12=1),AP12,0)</f>
        <v>0</v>
      </c>
      <c r="BN12">
        <f>IF(AND(AK12=SecureLabel,AY12=1),AP12,0)</f>
        <v>0</v>
      </c>
      <c r="BO12">
        <f>IF(AND(AK12=SureThingLabel,AY12=1),AP12,0)</f>
        <v>0</v>
      </c>
      <c r="BP12">
        <f>MAX(BK12:BO12)</f>
        <v>0</v>
      </c>
      <c r="BQ12">
        <f>MAX(BL12:BO12)</f>
        <v>0</v>
      </c>
      <c r="BR12">
        <f>MAX(BM12:BO12)</f>
        <v>0</v>
      </c>
      <c r="BS12">
        <f>IF(ISNUMBER(Y12),INDEX(AllCollegeChicago, MATCH(N12,AllCollegeNCES,0))*AY12,0)</f>
        <v>0</v>
      </c>
      <c r="BT12">
        <f>IF(ISNUMBER(Y12),INDEX(AllCollegeMoneyCode, MATCH(N12,AllCollegeNCES,0)),"?")</f>
        <v>0</v>
      </c>
      <c r="BU12">
        <f>IF(OR(BT12="---",BT12="--",BT12="+/--",BT12="+/---"),1,0)</f>
        <v>0</v>
      </c>
      <c r="BV12">
        <f>AY12*AO12*AQ12</f>
        <v>0</v>
      </c>
    </row>
    <row r="13" spans="1:74">
      <c r="A13" t="s">
        <v>86</v>
      </c>
      <c r="B13">
        <v>21702780</v>
      </c>
      <c r="C13" t="s">
        <v>143</v>
      </c>
      <c r="D13" t="s">
        <v>144</v>
      </c>
      <c r="E13" t="s">
        <v>428</v>
      </c>
      <c r="F13" t="s">
        <v>444</v>
      </c>
      <c r="G13" t="s">
        <v>430</v>
      </c>
      <c r="H13" t="s">
        <v>431</v>
      </c>
      <c r="I13" t="s">
        <v>432</v>
      </c>
      <c r="J13" t="s">
        <v>432</v>
      </c>
      <c r="K13">
        <v>0</v>
      </c>
      <c r="L13" t="s">
        <v>428</v>
      </c>
      <c r="M13" t="s">
        <v>428</v>
      </c>
      <c r="N13">
        <v>144218</v>
      </c>
      <c r="O13">
        <f>INDEX(AllCollegeBarrons,MATCH(N13,AllCollegeNCES,0))</f>
        <v>0</v>
      </c>
      <c r="P13">
        <f>INDEX(KidGPAs,MATCH(B13,KidIDs,0))</f>
        <v>0</v>
      </c>
      <c r="Q13">
        <f>INDEX(KidACTs,MATCH(B13,KidIDs,0))</f>
        <v>0</v>
      </c>
      <c r="R13">
        <f>INDEX(Strats,MATCH(B13,KidIDs,0))</f>
        <v>0</v>
      </c>
      <c r="S13">
        <f>INDEX(KidRace,MATCH(B13,KidIDs,0))</f>
        <v>0</v>
      </c>
      <c r="T13">
        <f>IF(OR(S13="M",S13="I"),"H",S13)</f>
        <v>0</v>
      </c>
      <c r="U13">
        <f>INDEX(StudentTargets,MATCH(B13,KidIDs,0))</f>
        <v>0</v>
      </c>
      <c r="V13">
        <f>INDEX(ReachStudentTargets,MATCH(B13,KidIDs,0))</f>
        <v>0</v>
      </c>
      <c r="W13">
        <f>IF(OR(M13="Posse"),1,0)</f>
        <v>0</v>
      </c>
      <c r="X13">
        <f>IF(ISNUMBER(INDEX(AllCollegeGR, MATCH(N13,AllCollegeNCES,0))),ROUND(INDEX(AllCollegeGR, MATCH(N13,AllCollegeNCES,0))+W13*IF(INDEX(AllCollegeGR, MATCH(N13,AllCollegeNCES,0))&gt;0.7,(1-INDEX(AllCollegeGR, MATCH(N13,AllCollegeNCES,0)))/2,0.15),2),INDEX(AllCollegeGR, MATCH(N13,AllCollegeNCES,0)))</f>
        <v>0</v>
      </c>
      <c r="Y13">
        <f>IF(ISNUMBER(INDEX(AllCollegeAAHGR, MATCH(N13,AllCollegeNCES,0))),ROUND(INDEX(AllCollegeAAHGR, MATCH(N13,AllCollegeNCES,0))+W13*IF(INDEX(AllCollegeAAHGR, MATCH(N13,AllCollegeNCES,0))&gt;0.7,(1-INDEX(AllCollegeAAHGR, MATCH(N13,AllCollegeNCES,0)))/2,0.15),2),INDEX(AllCollegeAAHGR, MATCH(N13,AllCollegeNCES,0)))</f>
        <v>0</v>
      </c>
      <c r="Z13">
        <f>IF(OR(T13="H",T13="B"),INDEX(AllCollegeACT25, MATCH(N13,AllCollegeNCES,0)),INDEX(AllCollegeACT50, MATCH(N13,AllCollegeNCES,0)))</f>
        <v>0</v>
      </c>
      <c r="AA13">
        <f>INDEX(CustomWeightsGPA,MATCH(T13&amp;":"&amp;N13,CustomWeightsIndex,0))</f>
        <v>0</v>
      </c>
      <c r="AB13">
        <f>INDEX(CustomWeightsACT,MATCH(T13&amp;":"&amp;N13,CustomWeightsIndex,0))</f>
        <v>0</v>
      </c>
      <c r="AC13">
        <f>INDEX(CustomWeightsIntercept,MATCH(T13&amp;":"&amp;N13,CustomWeightsIndex,0))</f>
        <v>0</v>
      </c>
      <c r="AD13">
        <f>AA13*P13+AB13*Q13+AC13</f>
        <v>0</v>
      </c>
      <c r="AE13">
        <f>INDEX(CoefficientsGPA,MATCH(T13&amp;":"&amp;O13,CoefficientsIndex,0))</f>
        <v>0</v>
      </c>
      <c r="AF13">
        <f>INDEX(CoefficientsACT,MATCH(T13&amp;":"&amp;O13,CoefficientsIndex,0))</f>
        <v>0</v>
      </c>
      <c r="AG13">
        <f>INDEX(CoefficientsIntercept,MATCH(T13&amp;":"&amp;O13,CoefficientsIndex,0))</f>
        <v>0</v>
      </c>
      <c r="AH13">
        <f>AE13*P13+(Q13-Z13)*AF13+AG13</f>
        <v>0</v>
      </c>
      <c r="AI13">
        <f>IF(ISNUMBER(AD13),AD13,AH13)</f>
        <v>0</v>
      </c>
      <c r="AJ13">
        <f>IF(ISNUMBER(AI13),IF(ISNUMBER(AE13),IF(AND(AE13=1,AF13=1,AG13=1),100,ROUND(100*EXP(AI13)/(1+EXP(AI13)),2)),ROUND(100*EXP(AI13)/(1+EXP(AI13)),2)),IF(ISTEXT(O13),IF(LEFT(O13,1)="2",100,"N/A"),"N/A"))</f>
        <v>0</v>
      </c>
      <c r="AK13">
        <f>IF(ISNUMBER(AJ13),IF(AJ13&gt;=99,IF(OR(R13=10,R13=11),MatchLabel,SureThingLabel),IF(AJ13&gt;=95,SecureLabel,IF(AJ13&gt;=80,SafetyLabel,IF(AJ13&gt;=50,MatchLabel,IF(AJ13&gt;=20,ReachLabel,IF(AJ13&gt;=10,LongshotLabel,HailMaryLabel)))))),"Other")</f>
        <v>0</v>
      </c>
      <c r="AL13">
        <f>IF(OR(I13="accepted",I13="cond. accept",I13="summer admit"),IF(J13="yes","CHOICE!","Accepted!"),IF(I13="denied","Denied",IF(K13=1,"Waitlist",IF(L13=1,"Deferred",IF(G13="pending","Pending",IF(OR(G13="initial materials submitted",G13="mid-year submitted",G13="final submitted"),"Submitted",IF(H13="interest","Interest","?")))))))</f>
        <v>0</v>
      </c>
      <c r="AM13">
        <f>IF(OR(AK13=ReachLabel,AK13=LongshotLabel,AK13=HailMaryLabel),1,0)</f>
        <v>0</v>
      </c>
      <c r="AN13">
        <f>IF(OR(AM13=1,AK13=MatchLabel),1,0)</f>
        <v>0</v>
      </c>
      <c r="AO13">
        <f>IF(OR(AK13=MatchLabel,AK13=SafetyLabel,AK13=SecureLabel,AK13=SureThingLabel),1,0)</f>
        <v>0</v>
      </c>
      <c r="AP13">
        <f>IF(OR(T13="H",T13="B"),IF(ISNUMBER(Y13),ROUND(Y13,2),0),IF(ISNUMBER(X13),ROUND(X13,2),0))</f>
        <v>0</v>
      </c>
      <c r="AQ13">
        <f>IF(AP13&gt;=U13,1,0)</f>
        <v>0</v>
      </c>
      <c r="AR13">
        <f>IF(AP13&gt;=V13,1,0)</f>
        <v>0</v>
      </c>
      <c r="AS13">
        <f>IF(AP13&lt;(U13-0.10),1,0)</f>
        <v>0</v>
      </c>
      <c r="AT13">
        <f>1-AJ13/100</f>
        <v>0</v>
      </c>
      <c r="AU13">
        <f>IF(AN13=1,AT13,1)</f>
        <v>0</v>
      </c>
      <c r="AV13">
        <f>IF(AM13=1,AT13,1)</f>
        <v>0</v>
      </c>
      <c r="AW13">
        <f>IF(AND(AQ13=1,ISNUMBER(AT13)),$AT13,1)</f>
        <v>0</v>
      </c>
      <c r="AX13">
        <f>IF(AND(AR13=1,ISNUMBER(AT13)),$AT13,1)</f>
        <v>0</v>
      </c>
      <c r="AY13">
        <f>IF(ISNUMBER(Y13),INDEX(AllCollegeMoney, MATCH(N13,AllCollegeNCES,0)),0)</f>
        <v>0</v>
      </c>
      <c r="AZ13">
        <f>IF(AND(AQ13=1,ISNUMBER(AT13),AY13=1),$AT13,1)</f>
        <v>0</v>
      </c>
      <c r="BA13">
        <f>IF(AND(AR13=1,ISNUMBER(AT13),AY13=1),$AT13,1)</f>
        <v>0</v>
      </c>
      <c r="BB13">
        <f>IF(ISNUMBER(Y13),INDEX(AllCollegeILPub, MATCH(N13,AllCollegeNCES,0)),0)</f>
        <v>0</v>
      </c>
      <c r="BC13">
        <f>IF(AK13=ReachLabel,AP13,0)</f>
        <v>0</v>
      </c>
      <c r="BD13">
        <f>IF(AK13=MatchLabel,AP13,0)</f>
        <v>0</v>
      </c>
      <c r="BE13">
        <f>IF(AK13=SafetyLabel,AP13,0)</f>
        <v>0</v>
      </c>
      <c r="BF13">
        <f>IF(AK13=SecureLabel,AP13,0)</f>
        <v>0</v>
      </c>
      <c r="BG13">
        <f>IF(AK13=SureThingLabel,AP13,0)</f>
        <v>0</v>
      </c>
      <c r="BH13">
        <f>MAX(BC13:BG13)</f>
        <v>0</v>
      </c>
      <c r="BI13">
        <f>MAX(BD13:BG13)</f>
        <v>0</v>
      </c>
      <c r="BJ13">
        <f>MAX(BE13:BG13)</f>
        <v>0</v>
      </c>
      <c r="BK13">
        <f>IF(AND(AK13=ReachLabel,AY13=1),AP13,0)</f>
        <v>0</v>
      </c>
      <c r="BL13">
        <f>IF(AND(AK13=MatchLabel,AY13=1),AP13,0)</f>
        <v>0</v>
      </c>
      <c r="BM13">
        <f>IF(AND(AK13=SafetyLabel,AY13=1),AP13,0)</f>
        <v>0</v>
      </c>
      <c r="BN13">
        <f>IF(AND(AK13=SecureLabel,AY13=1),AP13,0)</f>
        <v>0</v>
      </c>
      <c r="BO13">
        <f>IF(AND(AK13=SureThingLabel,AY13=1),AP13,0)</f>
        <v>0</v>
      </c>
      <c r="BP13">
        <f>MAX(BK13:BO13)</f>
        <v>0</v>
      </c>
      <c r="BQ13">
        <f>MAX(BL13:BO13)</f>
        <v>0</v>
      </c>
      <c r="BR13">
        <f>MAX(BM13:BO13)</f>
        <v>0</v>
      </c>
      <c r="BS13">
        <f>IF(ISNUMBER(Y13),INDEX(AllCollegeChicago, MATCH(N13,AllCollegeNCES,0))*AY13,0)</f>
        <v>0</v>
      </c>
      <c r="BT13">
        <f>IF(ISNUMBER(Y13),INDEX(AllCollegeMoneyCode, MATCH(N13,AllCollegeNCES,0)),"?")</f>
        <v>0</v>
      </c>
      <c r="BU13">
        <f>IF(OR(BT13="---",BT13="--",BT13="+/--",BT13="+/---"),1,0)</f>
        <v>0</v>
      </c>
      <c r="BV13">
        <f>AY13*AO13*AQ13</f>
        <v>0</v>
      </c>
    </row>
    <row r="14" spans="1:74">
      <c r="A14" t="s">
        <v>86</v>
      </c>
      <c r="B14">
        <v>21702780</v>
      </c>
      <c r="C14" t="s">
        <v>143</v>
      </c>
      <c r="D14" t="s">
        <v>144</v>
      </c>
      <c r="E14" t="s">
        <v>428</v>
      </c>
      <c r="F14" t="s">
        <v>445</v>
      </c>
      <c r="G14" t="s">
        <v>430</v>
      </c>
      <c r="H14" t="s">
        <v>431</v>
      </c>
      <c r="I14" t="s">
        <v>432</v>
      </c>
      <c r="J14" t="s">
        <v>432</v>
      </c>
      <c r="K14">
        <v>0</v>
      </c>
      <c r="L14" t="s">
        <v>428</v>
      </c>
      <c r="M14" t="s">
        <v>428</v>
      </c>
      <c r="N14">
        <v>147776</v>
      </c>
      <c r="O14">
        <f>INDEX(AllCollegeBarrons,MATCH(N14,AllCollegeNCES,0))</f>
        <v>0</v>
      </c>
      <c r="P14">
        <f>INDEX(KidGPAs,MATCH(B14,KidIDs,0))</f>
        <v>0</v>
      </c>
      <c r="Q14">
        <f>INDEX(KidACTs,MATCH(B14,KidIDs,0))</f>
        <v>0</v>
      </c>
      <c r="R14">
        <f>INDEX(Strats,MATCH(B14,KidIDs,0))</f>
        <v>0</v>
      </c>
      <c r="S14">
        <f>INDEX(KidRace,MATCH(B14,KidIDs,0))</f>
        <v>0</v>
      </c>
      <c r="T14">
        <f>IF(OR(S14="M",S14="I"),"H",S14)</f>
        <v>0</v>
      </c>
      <c r="U14">
        <f>INDEX(StudentTargets,MATCH(B14,KidIDs,0))</f>
        <v>0</v>
      </c>
      <c r="V14">
        <f>INDEX(ReachStudentTargets,MATCH(B14,KidIDs,0))</f>
        <v>0</v>
      </c>
      <c r="W14">
        <f>IF(OR(M14="Posse"),1,0)</f>
        <v>0</v>
      </c>
      <c r="X14">
        <f>IF(ISNUMBER(INDEX(AllCollegeGR, MATCH(N14,AllCollegeNCES,0))),ROUND(INDEX(AllCollegeGR, MATCH(N14,AllCollegeNCES,0))+W14*IF(INDEX(AllCollegeGR, MATCH(N14,AllCollegeNCES,0))&gt;0.7,(1-INDEX(AllCollegeGR, MATCH(N14,AllCollegeNCES,0)))/2,0.15),2),INDEX(AllCollegeGR, MATCH(N14,AllCollegeNCES,0)))</f>
        <v>0</v>
      </c>
      <c r="Y14">
        <f>IF(ISNUMBER(INDEX(AllCollegeAAHGR, MATCH(N14,AllCollegeNCES,0))),ROUND(INDEX(AllCollegeAAHGR, MATCH(N14,AllCollegeNCES,0))+W14*IF(INDEX(AllCollegeAAHGR, MATCH(N14,AllCollegeNCES,0))&gt;0.7,(1-INDEX(AllCollegeAAHGR, MATCH(N14,AllCollegeNCES,0)))/2,0.15),2),INDEX(AllCollegeAAHGR, MATCH(N14,AllCollegeNCES,0)))</f>
        <v>0</v>
      </c>
      <c r="Z14">
        <f>IF(OR(T14="H",T14="B"),INDEX(AllCollegeACT25, MATCH(N14,AllCollegeNCES,0)),INDEX(AllCollegeACT50, MATCH(N14,AllCollegeNCES,0)))</f>
        <v>0</v>
      </c>
      <c r="AA14">
        <f>INDEX(CustomWeightsGPA,MATCH(T14&amp;":"&amp;N14,CustomWeightsIndex,0))</f>
        <v>0</v>
      </c>
      <c r="AB14">
        <f>INDEX(CustomWeightsACT,MATCH(T14&amp;":"&amp;N14,CustomWeightsIndex,0))</f>
        <v>0</v>
      </c>
      <c r="AC14">
        <f>INDEX(CustomWeightsIntercept,MATCH(T14&amp;":"&amp;N14,CustomWeightsIndex,0))</f>
        <v>0</v>
      </c>
      <c r="AD14">
        <f>AA14*P14+AB14*Q14+AC14</f>
        <v>0</v>
      </c>
      <c r="AE14">
        <f>INDEX(CoefficientsGPA,MATCH(T14&amp;":"&amp;O14,CoefficientsIndex,0))</f>
        <v>0</v>
      </c>
      <c r="AF14">
        <f>INDEX(CoefficientsACT,MATCH(T14&amp;":"&amp;O14,CoefficientsIndex,0))</f>
        <v>0</v>
      </c>
      <c r="AG14">
        <f>INDEX(CoefficientsIntercept,MATCH(T14&amp;":"&amp;O14,CoefficientsIndex,0))</f>
        <v>0</v>
      </c>
      <c r="AH14">
        <f>AE14*P14+(Q14-Z14)*AF14+AG14</f>
        <v>0</v>
      </c>
      <c r="AI14">
        <f>IF(ISNUMBER(AD14),AD14,AH14)</f>
        <v>0</v>
      </c>
      <c r="AJ14">
        <f>IF(ISNUMBER(AI14),IF(ISNUMBER(AE14),IF(AND(AE14=1,AF14=1,AG14=1),100,ROUND(100*EXP(AI14)/(1+EXP(AI14)),2)),ROUND(100*EXP(AI14)/(1+EXP(AI14)),2)),IF(ISTEXT(O14),IF(LEFT(O14,1)="2",100,"N/A"),"N/A"))</f>
        <v>0</v>
      </c>
      <c r="AK14">
        <f>IF(ISNUMBER(AJ14),IF(AJ14&gt;=99,IF(OR(R14=10,R14=11),MatchLabel,SureThingLabel),IF(AJ14&gt;=95,SecureLabel,IF(AJ14&gt;=80,SafetyLabel,IF(AJ14&gt;=50,MatchLabel,IF(AJ14&gt;=20,ReachLabel,IF(AJ14&gt;=10,LongshotLabel,HailMaryLabel)))))),"Other")</f>
        <v>0</v>
      </c>
      <c r="AL14">
        <f>IF(OR(I14="accepted",I14="cond. accept",I14="summer admit"),IF(J14="yes","CHOICE!","Accepted!"),IF(I14="denied","Denied",IF(K14=1,"Waitlist",IF(L14=1,"Deferred",IF(G14="pending","Pending",IF(OR(G14="initial materials submitted",G14="mid-year submitted",G14="final submitted"),"Submitted",IF(H14="interest","Interest","?")))))))</f>
        <v>0</v>
      </c>
      <c r="AM14">
        <f>IF(OR(AK14=ReachLabel,AK14=LongshotLabel,AK14=HailMaryLabel),1,0)</f>
        <v>0</v>
      </c>
      <c r="AN14">
        <f>IF(OR(AM14=1,AK14=MatchLabel),1,0)</f>
        <v>0</v>
      </c>
      <c r="AO14">
        <f>IF(OR(AK14=MatchLabel,AK14=SafetyLabel,AK14=SecureLabel,AK14=SureThingLabel),1,0)</f>
        <v>0</v>
      </c>
      <c r="AP14">
        <f>IF(OR(T14="H",T14="B"),IF(ISNUMBER(Y14),ROUND(Y14,2),0),IF(ISNUMBER(X14),ROUND(X14,2),0))</f>
        <v>0</v>
      </c>
      <c r="AQ14">
        <f>IF(AP14&gt;=U14,1,0)</f>
        <v>0</v>
      </c>
      <c r="AR14">
        <f>IF(AP14&gt;=V14,1,0)</f>
        <v>0</v>
      </c>
      <c r="AS14">
        <f>IF(AP14&lt;(U14-0.10),1,0)</f>
        <v>0</v>
      </c>
      <c r="AT14">
        <f>1-AJ14/100</f>
        <v>0</v>
      </c>
      <c r="AU14">
        <f>IF(AN14=1,AT14,1)</f>
        <v>0</v>
      </c>
      <c r="AV14">
        <f>IF(AM14=1,AT14,1)</f>
        <v>0</v>
      </c>
      <c r="AW14">
        <f>IF(AND(AQ14=1,ISNUMBER(AT14)),$AT14,1)</f>
        <v>0</v>
      </c>
      <c r="AX14">
        <f>IF(AND(AR14=1,ISNUMBER(AT14)),$AT14,1)</f>
        <v>0</v>
      </c>
      <c r="AY14">
        <f>IF(ISNUMBER(Y14),INDEX(AllCollegeMoney, MATCH(N14,AllCollegeNCES,0)),0)</f>
        <v>0</v>
      </c>
      <c r="AZ14">
        <f>IF(AND(AQ14=1,ISNUMBER(AT14),AY14=1),$AT14,1)</f>
        <v>0</v>
      </c>
      <c r="BA14">
        <f>IF(AND(AR14=1,ISNUMBER(AT14),AY14=1),$AT14,1)</f>
        <v>0</v>
      </c>
      <c r="BB14">
        <f>IF(ISNUMBER(Y14),INDEX(AllCollegeILPub, MATCH(N14,AllCollegeNCES,0)),0)</f>
        <v>0</v>
      </c>
      <c r="BC14">
        <f>IF(AK14=ReachLabel,AP14,0)</f>
        <v>0</v>
      </c>
      <c r="BD14">
        <f>IF(AK14=MatchLabel,AP14,0)</f>
        <v>0</v>
      </c>
      <c r="BE14">
        <f>IF(AK14=SafetyLabel,AP14,0)</f>
        <v>0</v>
      </c>
      <c r="BF14">
        <f>IF(AK14=SecureLabel,AP14,0)</f>
        <v>0</v>
      </c>
      <c r="BG14">
        <f>IF(AK14=SureThingLabel,AP14,0)</f>
        <v>0</v>
      </c>
      <c r="BH14">
        <f>MAX(BC14:BG14)</f>
        <v>0</v>
      </c>
      <c r="BI14">
        <f>MAX(BD14:BG14)</f>
        <v>0</v>
      </c>
      <c r="BJ14">
        <f>MAX(BE14:BG14)</f>
        <v>0</v>
      </c>
      <c r="BK14">
        <f>IF(AND(AK14=ReachLabel,AY14=1),AP14,0)</f>
        <v>0</v>
      </c>
      <c r="BL14">
        <f>IF(AND(AK14=MatchLabel,AY14=1),AP14,0)</f>
        <v>0</v>
      </c>
      <c r="BM14">
        <f>IF(AND(AK14=SafetyLabel,AY14=1),AP14,0)</f>
        <v>0</v>
      </c>
      <c r="BN14">
        <f>IF(AND(AK14=SecureLabel,AY14=1),AP14,0)</f>
        <v>0</v>
      </c>
      <c r="BO14">
        <f>IF(AND(AK14=SureThingLabel,AY14=1),AP14,0)</f>
        <v>0</v>
      </c>
      <c r="BP14">
        <f>MAX(BK14:BO14)</f>
        <v>0</v>
      </c>
      <c r="BQ14">
        <f>MAX(BL14:BO14)</f>
        <v>0</v>
      </c>
      <c r="BR14">
        <f>MAX(BM14:BO14)</f>
        <v>0</v>
      </c>
      <c r="BS14">
        <f>IF(ISNUMBER(Y14),INDEX(AllCollegeChicago, MATCH(N14,AllCollegeNCES,0))*AY14,0)</f>
        <v>0</v>
      </c>
      <c r="BT14">
        <f>IF(ISNUMBER(Y14),INDEX(AllCollegeMoneyCode, MATCH(N14,AllCollegeNCES,0)),"?")</f>
        <v>0</v>
      </c>
      <c r="BU14">
        <f>IF(OR(BT14="---",BT14="--",BT14="+/--",BT14="+/---"),1,0)</f>
        <v>0</v>
      </c>
      <c r="BV14">
        <f>AY14*AO14*AQ14</f>
        <v>0</v>
      </c>
    </row>
    <row r="15" spans="1:74">
      <c r="A15" t="s">
        <v>86</v>
      </c>
      <c r="B15">
        <v>21702780</v>
      </c>
      <c r="C15" t="s">
        <v>143</v>
      </c>
      <c r="D15" t="s">
        <v>144</v>
      </c>
      <c r="E15" t="s">
        <v>428</v>
      </c>
      <c r="F15" t="s">
        <v>446</v>
      </c>
      <c r="G15" t="s">
        <v>430</v>
      </c>
      <c r="H15" t="s">
        <v>431</v>
      </c>
      <c r="I15" t="s">
        <v>432</v>
      </c>
      <c r="J15" t="s">
        <v>432</v>
      </c>
      <c r="K15">
        <v>0</v>
      </c>
      <c r="L15" t="s">
        <v>428</v>
      </c>
      <c r="M15" t="s">
        <v>428</v>
      </c>
      <c r="N15">
        <v>144759</v>
      </c>
      <c r="O15">
        <f>INDEX(AllCollegeBarrons,MATCH(N15,AllCollegeNCES,0))</f>
        <v>0</v>
      </c>
      <c r="P15">
        <f>INDEX(KidGPAs,MATCH(B15,KidIDs,0))</f>
        <v>0</v>
      </c>
      <c r="Q15">
        <f>INDEX(KidACTs,MATCH(B15,KidIDs,0))</f>
        <v>0</v>
      </c>
      <c r="R15">
        <f>INDEX(Strats,MATCH(B15,KidIDs,0))</f>
        <v>0</v>
      </c>
      <c r="S15">
        <f>INDEX(KidRace,MATCH(B15,KidIDs,0))</f>
        <v>0</v>
      </c>
      <c r="T15">
        <f>IF(OR(S15="M",S15="I"),"H",S15)</f>
        <v>0</v>
      </c>
      <c r="U15">
        <f>INDEX(StudentTargets,MATCH(B15,KidIDs,0))</f>
        <v>0</v>
      </c>
      <c r="V15">
        <f>INDEX(ReachStudentTargets,MATCH(B15,KidIDs,0))</f>
        <v>0</v>
      </c>
      <c r="W15">
        <f>IF(OR(M15="Posse"),1,0)</f>
        <v>0</v>
      </c>
      <c r="X15">
        <f>IF(ISNUMBER(INDEX(AllCollegeGR, MATCH(N15,AllCollegeNCES,0))),ROUND(INDEX(AllCollegeGR, MATCH(N15,AllCollegeNCES,0))+W15*IF(INDEX(AllCollegeGR, MATCH(N15,AllCollegeNCES,0))&gt;0.7,(1-INDEX(AllCollegeGR, MATCH(N15,AllCollegeNCES,0)))/2,0.15),2),INDEX(AllCollegeGR, MATCH(N15,AllCollegeNCES,0)))</f>
        <v>0</v>
      </c>
      <c r="Y15">
        <f>IF(ISNUMBER(INDEX(AllCollegeAAHGR, MATCH(N15,AllCollegeNCES,0))),ROUND(INDEX(AllCollegeAAHGR, MATCH(N15,AllCollegeNCES,0))+W15*IF(INDEX(AllCollegeAAHGR, MATCH(N15,AllCollegeNCES,0))&gt;0.7,(1-INDEX(AllCollegeAAHGR, MATCH(N15,AllCollegeNCES,0)))/2,0.15),2),INDEX(AllCollegeAAHGR, MATCH(N15,AllCollegeNCES,0)))</f>
        <v>0</v>
      </c>
      <c r="Z15">
        <f>IF(OR(T15="H",T15="B"),INDEX(AllCollegeACT25, MATCH(N15,AllCollegeNCES,0)),INDEX(AllCollegeACT50, MATCH(N15,AllCollegeNCES,0)))</f>
        <v>0</v>
      </c>
      <c r="AA15">
        <f>INDEX(CustomWeightsGPA,MATCH(T15&amp;":"&amp;N15,CustomWeightsIndex,0))</f>
        <v>0</v>
      </c>
      <c r="AB15">
        <f>INDEX(CustomWeightsACT,MATCH(T15&amp;":"&amp;N15,CustomWeightsIndex,0))</f>
        <v>0</v>
      </c>
      <c r="AC15">
        <f>INDEX(CustomWeightsIntercept,MATCH(T15&amp;":"&amp;N15,CustomWeightsIndex,0))</f>
        <v>0</v>
      </c>
      <c r="AD15">
        <f>AA15*P15+AB15*Q15+AC15</f>
        <v>0</v>
      </c>
      <c r="AE15">
        <f>INDEX(CoefficientsGPA,MATCH(T15&amp;":"&amp;O15,CoefficientsIndex,0))</f>
        <v>0</v>
      </c>
      <c r="AF15">
        <f>INDEX(CoefficientsACT,MATCH(T15&amp;":"&amp;O15,CoefficientsIndex,0))</f>
        <v>0</v>
      </c>
      <c r="AG15">
        <f>INDEX(CoefficientsIntercept,MATCH(T15&amp;":"&amp;O15,CoefficientsIndex,0))</f>
        <v>0</v>
      </c>
      <c r="AH15">
        <f>AE15*P15+(Q15-Z15)*AF15+AG15</f>
        <v>0</v>
      </c>
      <c r="AI15">
        <f>IF(ISNUMBER(AD15),AD15,AH15)</f>
        <v>0</v>
      </c>
      <c r="AJ15">
        <f>IF(ISNUMBER(AI15),IF(ISNUMBER(AE15),IF(AND(AE15=1,AF15=1,AG15=1),100,ROUND(100*EXP(AI15)/(1+EXP(AI15)),2)),ROUND(100*EXP(AI15)/(1+EXP(AI15)),2)),IF(ISTEXT(O15),IF(LEFT(O15,1)="2",100,"N/A"),"N/A"))</f>
        <v>0</v>
      </c>
      <c r="AK15">
        <f>IF(ISNUMBER(AJ15),IF(AJ15&gt;=99,IF(OR(R15=10,R15=11),MatchLabel,SureThingLabel),IF(AJ15&gt;=95,SecureLabel,IF(AJ15&gt;=80,SafetyLabel,IF(AJ15&gt;=50,MatchLabel,IF(AJ15&gt;=20,ReachLabel,IF(AJ15&gt;=10,LongshotLabel,HailMaryLabel)))))),"Other")</f>
        <v>0</v>
      </c>
      <c r="AL15">
        <f>IF(OR(I15="accepted",I15="cond. accept",I15="summer admit"),IF(J15="yes","CHOICE!","Accepted!"),IF(I15="denied","Denied",IF(K15=1,"Waitlist",IF(L15=1,"Deferred",IF(G15="pending","Pending",IF(OR(G15="initial materials submitted",G15="mid-year submitted",G15="final submitted"),"Submitted",IF(H15="interest","Interest","?")))))))</f>
        <v>0</v>
      </c>
      <c r="AM15">
        <f>IF(OR(AK15=ReachLabel,AK15=LongshotLabel,AK15=HailMaryLabel),1,0)</f>
        <v>0</v>
      </c>
      <c r="AN15">
        <f>IF(OR(AM15=1,AK15=MatchLabel),1,0)</f>
        <v>0</v>
      </c>
      <c r="AO15">
        <f>IF(OR(AK15=MatchLabel,AK15=SafetyLabel,AK15=SecureLabel,AK15=SureThingLabel),1,0)</f>
        <v>0</v>
      </c>
      <c r="AP15">
        <f>IF(OR(T15="H",T15="B"),IF(ISNUMBER(Y15),ROUND(Y15,2),0),IF(ISNUMBER(X15),ROUND(X15,2),0))</f>
        <v>0</v>
      </c>
      <c r="AQ15">
        <f>IF(AP15&gt;=U15,1,0)</f>
        <v>0</v>
      </c>
      <c r="AR15">
        <f>IF(AP15&gt;=V15,1,0)</f>
        <v>0</v>
      </c>
      <c r="AS15">
        <f>IF(AP15&lt;(U15-0.10),1,0)</f>
        <v>0</v>
      </c>
      <c r="AT15">
        <f>1-AJ15/100</f>
        <v>0</v>
      </c>
      <c r="AU15">
        <f>IF(AN15=1,AT15,1)</f>
        <v>0</v>
      </c>
      <c r="AV15">
        <f>IF(AM15=1,AT15,1)</f>
        <v>0</v>
      </c>
      <c r="AW15">
        <f>IF(AND(AQ15=1,ISNUMBER(AT15)),$AT15,1)</f>
        <v>0</v>
      </c>
      <c r="AX15">
        <f>IF(AND(AR15=1,ISNUMBER(AT15)),$AT15,1)</f>
        <v>0</v>
      </c>
      <c r="AY15">
        <f>IF(ISNUMBER(Y15),INDEX(AllCollegeMoney, MATCH(N15,AllCollegeNCES,0)),0)</f>
        <v>0</v>
      </c>
      <c r="AZ15">
        <f>IF(AND(AQ15=1,ISNUMBER(AT15),AY15=1),$AT15,1)</f>
        <v>0</v>
      </c>
      <c r="BA15">
        <f>IF(AND(AR15=1,ISNUMBER(AT15),AY15=1),$AT15,1)</f>
        <v>0</v>
      </c>
      <c r="BB15">
        <f>IF(ISNUMBER(Y15),INDEX(AllCollegeILPub, MATCH(N15,AllCollegeNCES,0)),0)</f>
        <v>0</v>
      </c>
      <c r="BC15">
        <f>IF(AK15=ReachLabel,AP15,0)</f>
        <v>0</v>
      </c>
      <c r="BD15">
        <f>IF(AK15=MatchLabel,AP15,0)</f>
        <v>0</v>
      </c>
      <c r="BE15">
        <f>IF(AK15=SafetyLabel,AP15,0)</f>
        <v>0</v>
      </c>
      <c r="BF15">
        <f>IF(AK15=SecureLabel,AP15,0)</f>
        <v>0</v>
      </c>
      <c r="BG15">
        <f>IF(AK15=SureThingLabel,AP15,0)</f>
        <v>0</v>
      </c>
      <c r="BH15">
        <f>MAX(BC15:BG15)</f>
        <v>0</v>
      </c>
      <c r="BI15">
        <f>MAX(BD15:BG15)</f>
        <v>0</v>
      </c>
      <c r="BJ15">
        <f>MAX(BE15:BG15)</f>
        <v>0</v>
      </c>
      <c r="BK15">
        <f>IF(AND(AK15=ReachLabel,AY15=1),AP15,0)</f>
        <v>0</v>
      </c>
      <c r="BL15">
        <f>IF(AND(AK15=MatchLabel,AY15=1),AP15,0)</f>
        <v>0</v>
      </c>
      <c r="BM15">
        <f>IF(AND(AK15=SafetyLabel,AY15=1),AP15,0)</f>
        <v>0</v>
      </c>
      <c r="BN15">
        <f>IF(AND(AK15=SecureLabel,AY15=1),AP15,0)</f>
        <v>0</v>
      </c>
      <c r="BO15">
        <f>IF(AND(AK15=SureThingLabel,AY15=1),AP15,0)</f>
        <v>0</v>
      </c>
      <c r="BP15">
        <f>MAX(BK15:BO15)</f>
        <v>0</v>
      </c>
      <c r="BQ15">
        <f>MAX(BL15:BO15)</f>
        <v>0</v>
      </c>
      <c r="BR15">
        <f>MAX(BM15:BO15)</f>
        <v>0</v>
      </c>
      <c r="BS15">
        <f>IF(ISNUMBER(Y15),INDEX(AllCollegeChicago, MATCH(N15,AllCollegeNCES,0))*AY15,0)</f>
        <v>0</v>
      </c>
      <c r="BT15">
        <f>IF(ISNUMBER(Y15),INDEX(AllCollegeMoneyCode, MATCH(N15,AllCollegeNCES,0)),"?")</f>
        <v>0</v>
      </c>
      <c r="BU15">
        <f>IF(OR(BT15="---",BT15="--",BT15="+/--",BT15="+/---"),1,0)</f>
        <v>0</v>
      </c>
      <c r="BV15">
        <f>AY15*AO15*AQ15</f>
        <v>0</v>
      </c>
    </row>
    <row r="16" spans="1:74">
      <c r="A16" t="s">
        <v>86</v>
      </c>
      <c r="B16">
        <v>21854734</v>
      </c>
      <c r="C16" t="s">
        <v>311</v>
      </c>
      <c r="D16" t="s">
        <v>312</v>
      </c>
      <c r="E16" t="s">
        <v>428</v>
      </c>
      <c r="F16" t="s">
        <v>447</v>
      </c>
      <c r="G16" t="s">
        <v>430</v>
      </c>
      <c r="H16" t="s">
        <v>431</v>
      </c>
      <c r="I16" t="s">
        <v>432</v>
      </c>
      <c r="J16" t="s">
        <v>432</v>
      </c>
      <c r="K16">
        <v>0</v>
      </c>
      <c r="L16" t="s">
        <v>428</v>
      </c>
      <c r="M16" t="s">
        <v>428</v>
      </c>
      <c r="N16">
        <v>145600</v>
      </c>
      <c r="O16">
        <f>INDEX(AllCollegeBarrons,MATCH(N16,AllCollegeNCES,0))</f>
        <v>0</v>
      </c>
      <c r="P16">
        <f>INDEX(KidGPAs,MATCH(B16,KidIDs,0))</f>
        <v>0</v>
      </c>
      <c r="Q16">
        <f>INDEX(KidACTs,MATCH(B16,KidIDs,0))</f>
        <v>0</v>
      </c>
      <c r="R16">
        <f>INDEX(Strats,MATCH(B16,KidIDs,0))</f>
        <v>0</v>
      </c>
      <c r="S16">
        <f>INDEX(KidRace,MATCH(B16,KidIDs,0))</f>
        <v>0</v>
      </c>
      <c r="T16">
        <f>IF(OR(S16="M",S16="I"),"H",S16)</f>
        <v>0</v>
      </c>
      <c r="U16">
        <f>INDEX(StudentTargets,MATCH(B16,KidIDs,0))</f>
        <v>0</v>
      </c>
      <c r="V16">
        <f>INDEX(ReachStudentTargets,MATCH(B16,KidIDs,0))</f>
        <v>0</v>
      </c>
      <c r="W16">
        <f>IF(OR(M16="Posse"),1,0)</f>
        <v>0</v>
      </c>
      <c r="X16">
        <f>IF(ISNUMBER(INDEX(AllCollegeGR, MATCH(N16,AllCollegeNCES,0))),ROUND(INDEX(AllCollegeGR, MATCH(N16,AllCollegeNCES,0))+W16*IF(INDEX(AllCollegeGR, MATCH(N16,AllCollegeNCES,0))&gt;0.7,(1-INDEX(AllCollegeGR, MATCH(N16,AllCollegeNCES,0)))/2,0.15),2),INDEX(AllCollegeGR, MATCH(N16,AllCollegeNCES,0)))</f>
        <v>0</v>
      </c>
      <c r="Y16">
        <f>IF(ISNUMBER(INDEX(AllCollegeAAHGR, MATCH(N16,AllCollegeNCES,0))),ROUND(INDEX(AllCollegeAAHGR, MATCH(N16,AllCollegeNCES,0))+W16*IF(INDEX(AllCollegeAAHGR, MATCH(N16,AllCollegeNCES,0))&gt;0.7,(1-INDEX(AllCollegeAAHGR, MATCH(N16,AllCollegeNCES,0)))/2,0.15),2),INDEX(AllCollegeAAHGR, MATCH(N16,AllCollegeNCES,0)))</f>
        <v>0</v>
      </c>
      <c r="Z16">
        <f>IF(OR(T16="H",T16="B"),INDEX(AllCollegeACT25, MATCH(N16,AllCollegeNCES,0)),INDEX(AllCollegeACT50, MATCH(N16,AllCollegeNCES,0)))</f>
        <v>0</v>
      </c>
      <c r="AA16">
        <f>INDEX(CustomWeightsGPA,MATCH(T16&amp;":"&amp;N16,CustomWeightsIndex,0))</f>
        <v>0</v>
      </c>
      <c r="AB16">
        <f>INDEX(CustomWeightsACT,MATCH(T16&amp;":"&amp;N16,CustomWeightsIndex,0))</f>
        <v>0</v>
      </c>
      <c r="AC16">
        <f>INDEX(CustomWeightsIntercept,MATCH(T16&amp;":"&amp;N16,CustomWeightsIndex,0))</f>
        <v>0</v>
      </c>
      <c r="AD16">
        <f>AA16*P16+AB16*Q16+AC16</f>
        <v>0</v>
      </c>
      <c r="AE16">
        <f>INDEX(CoefficientsGPA,MATCH(T16&amp;":"&amp;O16,CoefficientsIndex,0))</f>
        <v>0</v>
      </c>
      <c r="AF16">
        <f>INDEX(CoefficientsACT,MATCH(T16&amp;":"&amp;O16,CoefficientsIndex,0))</f>
        <v>0</v>
      </c>
      <c r="AG16">
        <f>INDEX(CoefficientsIntercept,MATCH(T16&amp;":"&amp;O16,CoefficientsIndex,0))</f>
        <v>0</v>
      </c>
      <c r="AH16">
        <f>AE16*P16+(Q16-Z16)*AF16+AG16</f>
        <v>0</v>
      </c>
      <c r="AI16">
        <f>IF(ISNUMBER(AD16),AD16,AH16)</f>
        <v>0</v>
      </c>
      <c r="AJ16">
        <f>IF(ISNUMBER(AI16),IF(ISNUMBER(AE16),IF(AND(AE16=1,AF16=1,AG16=1),100,ROUND(100*EXP(AI16)/(1+EXP(AI16)),2)),ROUND(100*EXP(AI16)/(1+EXP(AI16)),2)),IF(ISTEXT(O16),IF(LEFT(O16,1)="2",100,"N/A"),"N/A"))</f>
        <v>0</v>
      </c>
      <c r="AK16">
        <f>IF(ISNUMBER(AJ16),IF(AJ16&gt;=99,IF(OR(R16=10,R16=11),MatchLabel,SureThingLabel),IF(AJ16&gt;=95,SecureLabel,IF(AJ16&gt;=80,SafetyLabel,IF(AJ16&gt;=50,MatchLabel,IF(AJ16&gt;=20,ReachLabel,IF(AJ16&gt;=10,LongshotLabel,HailMaryLabel)))))),"Other")</f>
        <v>0</v>
      </c>
      <c r="AL16">
        <f>IF(OR(I16="accepted",I16="cond. accept",I16="summer admit"),IF(J16="yes","CHOICE!","Accepted!"),IF(I16="denied","Denied",IF(K16=1,"Waitlist",IF(L16=1,"Deferred",IF(G16="pending","Pending",IF(OR(G16="initial materials submitted",G16="mid-year submitted",G16="final submitted"),"Submitted",IF(H16="interest","Interest","?")))))))</f>
        <v>0</v>
      </c>
      <c r="AM16">
        <f>IF(OR(AK16=ReachLabel,AK16=LongshotLabel,AK16=HailMaryLabel),1,0)</f>
        <v>0</v>
      </c>
      <c r="AN16">
        <f>IF(OR(AM16=1,AK16=MatchLabel),1,0)</f>
        <v>0</v>
      </c>
      <c r="AO16">
        <f>IF(OR(AK16=MatchLabel,AK16=SafetyLabel,AK16=SecureLabel,AK16=SureThingLabel),1,0)</f>
        <v>0</v>
      </c>
      <c r="AP16">
        <f>IF(OR(T16="H",T16="B"),IF(ISNUMBER(Y16),ROUND(Y16,2),0),IF(ISNUMBER(X16),ROUND(X16,2),0))</f>
        <v>0</v>
      </c>
      <c r="AQ16">
        <f>IF(AP16&gt;=U16,1,0)</f>
        <v>0</v>
      </c>
      <c r="AR16">
        <f>IF(AP16&gt;=V16,1,0)</f>
        <v>0</v>
      </c>
      <c r="AS16">
        <f>IF(AP16&lt;(U16-0.10),1,0)</f>
        <v>0</v>
      </c>
      <c r="AT16">
        <f>1-AJ16/100</f>
        <v>0</v>
      </c>
      <c r="AU16">
        <f>IF(AN16=1,AT16,1)</f>
        <v>0</v>
      </c>
      <c r="AV16">
        <f>IF(AM16=1,AT16,1)</f>
        <v>0</v>
      </c>
      <c r="AW16">
        <f>IF(AND(AQ16=1,ISNUMBER(AT16)),$AT16,1)</f>
        <v>0</v>
      </c>
      <c r="AX16">
        <f>IF(AND(AR16=1,ISNUMBER(AT16)),$AT16,1)</f>
        <v>0</v>
      </c>
      <c r="AY16">
        <f>IF(ISNUMBER(Y16),INDEX(AllCollegeMoney, MATCH(N16,AllCollegeNCES,0)),0)</f>
        <v>0</v>
      </c>
      <c r="AZ16">
        <f>IF(AND(AQ16=1,ISNUMBER(AT16),AY16=1),$AT16,1)</f>
        <v>0</v>
      </c>
      <c r="BA16">
        <f>IF(AND(AR16=1,ISNUMBER(AT16),AY16=1),$AT16,1)</f>
        <v>0</v>
      </c>
      <c r="BB16">
        <f>IF(ISNUMBER(Y16),INDEX(AllCollegeILPub, MATCH(N16,AllCollegeNCES,0)),0)</f>
        <v>0</v>
      </c>
      <c r="BC16">
        <f>IF(AK16=ReachLabel,AP16,0)</f>
        <v>0</v>
      </c>
      <c r="BD16">
        <f>IF(AK16=MatchLabel,AP16,0)</f>
        <v>0</v>
      </c>
      <c r="BE16">
        <f>IF(AK16=SafetyLabel,AP16,0)</f>
        <v>0</v>
      </c>
      <c r="BF16">
        <f>IF(AK16=SecureLabel,AP16,0)</f>
        <v>0</v>
      </c>
      <c r="BG16">
        <f>IF(AK16=SureThingLabel,AP16,0)</f>
        <v>0</v>
      </c>
      <c r="BH16">
        <f>MAX(BC16:BG16)</f>
        <v>0</v>
      </c>
      <c r="BI16">
        <f>MAX(BD16:BG16)</f>
        <v>0</v>
      </c>
      <c r="BJ16">
        <f>MAX(BE16:BG16)</f>
        <v>0</v>
      </c>
      <c r="BK16">
        <f>IF(AND(AK16=ReachLabel,AY16=1),AP16,0)</f>
        <v>0</v>
      </c>
      <c r="BL16">
        <f>IF(AND(AK16=MatchLabel,AY16=1),AP16,0)</f>
        <v>0</v>
      </c>
      <c r="BM16">
        <f>IF(AND(AK16=SafetyLabel,AY16=1),AP16,0)</f>
        <v>0</v>
      </c>
      <c r="BN16">
        <f>IF(AND(AK16=SecureLabel,AY16=1),AP16,0)</f>
        <v>0</v>
      </c>
      <c r="BO16">
        <f>IF(AND(AK16=SureThingLabel,AY16=1),AP16,0)</f>
        <v>0</v>
      </c>
      <c r="BP16">
        <f>MAX(BK16:BO16)</f>
        <v>0</v>
      </c>
      <c r="BQ16">
        <f>MAX(BL16:BO16)</f>
        <v>0</v>
      </c>
      <c r="BR16">
        <f>MAX(BM16:BO16)</f>
        <v>0</v>
      </c>
      <c r="BS16">
        <f>IF(ISNUMBER(Y16),INDEX(AllCollegeChicago, MATCH(N16,AllCollegeNCES,0))*AY16,0)</f>
        <v>0</v>
      </c>
      <c r="BT16">
        <f>IF(ISNUMBER(Y16),INDEX(AllCollegeMoneyCode, MATCH(N16,AllCollegeNCES,0)),"?")</f>
        <v>0</v>
      </c>
      <c r="BU16">
        <f>IF(OR(BT16="---",BT16="--",BT16="+/--",BT16="+/---"),1,0)</f>
        <v>0</v>
      </c>
      <c r="BV16">
        <f>AY16*AO16*AQ16</f>
        <v>0</v>
      </c>
    </row>
    <row r="17" spans="1:74">
      <c r="A17" t="s">
        <v>86</v>
      </c>
      <c r="B17">
        <v>21854734</v>
      </c>
      <c r="C17" t="s">
        <v>311</v>
      </c>
      <c r="D17" t="s">
        <v>312</v>
      </c>
      <c r="E17" t="s">
        <v>428</v>
      </c>
      <c r="F17" t="s">
        <v>448</v>
      </c>
      <c r="G17" t="s">
        <v>430</v>
      </c>
      <c r="H17" t="s">
        <v>431</v>
      </c>
      <c r="I17" t="s">
        <v>432</v>
      </c>
      <c r="J17" t="s">
        <v>432</v>
      </c>
      <c r="K17">
        <v>0</v>
      </c>
      <c r="L17" t="s">
        <v>428</v>
      </c>
      <c r="M17" t="s">
        <v>428</v>
      </c>
      <c r="N17" t="s">
        <v>449</v>
      </c>
      <c r="O17">
        <f>INDEX(AllCollegeBarrons,MATCH(N17,AllCollegeNCES,0))</f>
        <v>0</v>
      </c>
      <c r="P17">
        <f>INDEX(KidGPAs,MATCH(B17,KidIDs,0))</f>
        <v>0</v>
      </c>
      <c r="Q17">
        <f>INDEX(KidACTs,MATCH(B17,KidIDs,0))</f>
        <v>0</v>
      </c>
      <c r="R17">
        <f>INDEX(Strats,MATCH(B17,KidIDs,0))</f>
        <v>0</v>
      </c>
      <c r="S17">
        <f>INDEX(KidRace,MATCH(B17,KidIDs,0))</f>
        <v>0</v>
      </c>
      <c r="T17">
        <f>IF(OR(S17="M",S17="I"),"H",S17)</f>
        <v>0</v>
      </c>
      <c r="U17">
        <f>INDEX(StudentTargets,MATCH(B17,KidIDs,0))</f>
        <v>0</v>
      </c>
      <c r="V17">
        <f>INDEX(ReachStudentTargets,MATCH(B17,KidIDs,0))</f>
        <v>0</v>
      </c>
      <c r="W17">
        <f>IF(OR(M17="Posse"),1,0)</f>
        <v>0</v>
      </c>
      <c r="X17">
        <f>IF(ISNUMBER(INDEX(AllCollegeGR, MATCH(N17,AllCollegeNCES,0))),ROUND(INDEX(AllCollegeGR, MATCH(N17,AllCollegeNCES,0))+W17*IF(INDEX(AllCollegeGR, MATCH(N17,AllCollegeNCES,0))&gt;0.7,(1-INDEX(AllCollegeGR, MATCH(N17,AllCollegeNCES,0)))/2,0.15),2),INDEX(AllCollegeGR, MATCH(N17,AllCollegeNCES,0)))</f>
        <v>0</v>
      </c>
      <c r="Y17">
        <f>IF(ISNUMBER(INDEX(AllCollegeAAHGR, MATCH(N17,AllCollegeNCES,0))),ROUND(INDEX(AllCollegeAAHGR, MATCH(N17,AllCollegeNCES,0))+W17*IF(INDEX(AllCollegeAAHGR, MATCH(N17,AllCollegeNCES,0))&gt;0.7,(1-INDEX(AllCollegeAAHGR, MATCH(N17,AllCollegeNCES,0)))/2,0.15),2),INDEX(AllCollegeAAHGR, MATCH(N17,AllCollegeNCES,0)))</f>
        <v>0</v>
      </c>
      <c r="Z17">
        <f>IF(OR(T17="H",T17="B"),INDEX(AllCollegeACT25, MATCH(N17,AllCollegeNCES,0)),INDEX(AllCollegeACT50, MATCH(N17,AllCollegeNCES,0)))</f>
        <v>0</v>
      </c>
      <c r="AA17">
        <f>INDEX(CustomWeightsGPA,MATCH(T17&amp;":"&amp;N17,CustomWeightsIndex,0))</f>
        <v>0</v>
      </c>
      <c r="AB17">
        <f>INDEX(CustomWeightsACT,MATCH(T17&amp;":"&amp;N17,CustomWeightsIndex,0))</f>
        <v>0</v>
      </c>
      <c r="AC17">
        <f>INDEX(CustomWeightsIntercept,MATCH(T17&amp;":"&amp;N17,CustomWeightsIndex,0))</f>
        <v>0</v>
      </c>
      <c r="AD17">
        <f>AA17*P17+AB17*Q17+AC17</f>
        <v>0</v>
      </c>
      <c r="AE17">
        <f>INDEX(CoefficientsGPA,MATCH(T17&amp;":"&amp;O17,CoefficientsIndex,0))</f>
        <v>0</v>
      </c>
      <c r="AF17">
        <f>INDEX(CoefficientsACT,MATCH(T17&amp;":"&amp;O17,CoefficientsIndex,0))</f>
        <v>0</v>
      </c>
      <c r="AG17">
        <f>INDEX(CoefficientsIntercept,MATCH(T17&amp;":"&amp;O17,CoefficientsIndex,0))</f>
        <v>0</v>
      </c>
      <c r="AH17">
        <f>AE17*P17+(Q17-Z17)*AF17+AG17</f>
        <v>0</v>
      </c>
      <c r="AI17">
        <f>IF(ISNUMBER(AD17),AD17,AH17)</f>
        <v>0</v>
      </c>
      <c r="AJ17">
        <f>IF(ISNUMBER(AI17),IF(ISNUMBER(AE17),IF(AND(AE17=1,AF17=1,AG17=1),100,ROUND(100*EXP(AI17)/(1+EXP(AI17)),2)),ROUND(100*EXP(AI17)/(1+EXP(AI17)),2)),IF(ISTEXT(O17),IF(LEFT(O17,1)="2",100,"N/A"),"N/A"))</f>
        <v>0</v>
      </c>
      <c r="AK17">
        <f>IF(ISNUMBER(AJ17),IF(AJ17&gt;=99,IF(OR(R17=10,R17=11),MatchLabel,SureThingLabel),IF(AJ17&gt;=95,SecureLabel,IF(AJ17&gt;=80,SafetyLabel,IF(AJ17&gt;=50,MatchLabel,IF(AJ17&gt;=20,ReachLabel,IF(AJ17&gt;=10,LongshotLabel,HailMaryLabel)))))),"Other")</f>
        <v>0</v>
      </c>
      <c r="AL17">
        <f>IF(OR(I17="accepted",I17="cond. accept",I17="summer admit"),IF(J17="yes","CHOICE!","Accepted!"),IF(I17="denied","Denied",IF(K17=1,"Waitlist",IF(L17=1,"Deferred",IF(G17="pending","Pending",IF(OR(G17="initial materials submitted",G17="mid-year submitted",G17="final submitted"),"Submitted",IF(H17="interest","Interest","?")))))))</f>
        <v>0</v>
      </c>
      <c r="AM17">
        <f>IF(OR(AK17=ReachLabel,AK17=LongshotLabel,AK17=HailMaryLabel),1,0)</f>
        <v>0</v>
      </c>
      <c r="AN17">
        <f>IF(OR(AM17=1,AK17=MatchLabel),1,0)</f>
        <v>0</v>
      </c>
      <c r="AO17">
        <f>IF(OR(AK17=MatchLabel,AK17=SafetyLabel,AK17=SecureLabel,AK17=SureThingLabel),1,0)</f>
        <v>0</v>
      </c>
      <c r="AP17">
        <f>IF(OR(T17="H",T17="B"),IF(ISNUMBER(Y17),ROUND(Y17,2),0),IF(ISNUMBER(X17),ROUND(X17,2),0))</f>
        <v>0</v>
      </c>
      <c r="AQ17">
        <f>IF(AP17&gt;=U17,1,0)</f>
        <v>0</v>
      </c>
      <c r="AR17">
        <f>IF(AP17&gt;=V17,1,0)</f>
        <v>0</v>
      </c>
      <c r="AS17">
        <f>IF(AP17&lt;(U17-0.10),1,0)</f>
        <v>0</v>
      </c>
      <c r="AT17">
        <f>1-AJ17/100</f>
        <v>0</v>
      </c>
      <c r="AU17">
        <f>IF(AN17=1,AT17,1)</f>
        <v>0</v>
      </c>
      <c r="AV17">
        <f>IF(AM17=1,AT17,1)</f>
        <v>0</v>
      </c>
      <c r="AW17">
        <f>IF(AND(AQ17=1,ISNUMBER(AT17)),$AT17,1)</f>
        <v>0</v>
      </c>
      <c r="AX17">
        <f>IF(AND(AR17=1,ISNUMBER(AT17)),$AT17,1)</f>
        <v>0</v>
      </c>
      <c r="AY17">
        <f>IF(ISNUMBER(Y17),INDEX(AllCollegeMoney, MATCH(N17,AllCollegeNCES,0)),0)</f>
        <v>0</v>
      </c>
      <c r="AZ17">
        <f>IF(AND(AQ17=1,ISNUMBER(AT17),AY17=1),$AT17,1)</f>
        <v>0</v>
      </c>
      <c r="BA17">
        <f>IF(AND(AR17=1,ISNUMBER(AT17),AY17=1),$AT17,1)</f>
        <v>0</v>
      </c>
      <c r="BB17">
        <f>IF(ISNUMBER(Y17),INDEX(AllCollegeILPub, MATCH(N17,AllCollegeNCES,0)),0)</f>
        <v>0</v>
      </c>
      <c r="BC17">
        <f>IF(AK17=ReachLabel,AP17,0)</f>
        <v>0</v>
      </c>
      <c r="BD17">
        <f>IF(AK17=MatchLabel,AP17,0)</f>
        <v>0</v>
      </c>
      <c r="BE17">
        <f>IF(AK17=SafetyLabel,AP17,0)</f>
        <v>0</v>
      </c>
      <c r="BF17">
        <f>IF(AK17=SecureLabel,AP17,0)</f>
        <v>0</v>
      </c>
      <c r="BG17">
        <f>IF(AK17=SureThingLabel,AP17,0)</f>
        <v>0</v>
      </c>
      <c r="BH17">
        <f>MAX(BC17:BG17)</f>
        <v>0</v>
      </c>
      <c r="BI17">
        <f>MAX(BD17:BG17)</f>
        <v>0</v>
      </c>
      <c r="BJ17">
        <f>MAX(BE17:BG17)</f>
        <v>0</v>
      </c>
      <c r="BK17">
        <f>IF(AND(AK17=ReachLabel,AY17=1),AP17,0)</f>
        <v>0</v>
      </c>
      <c r="BL17">
        <f>IF(AND(AK17=MatchLabel,AY17=1),AP17,0)</f>
        <v>0</v>
      </c>
      <c r="BM17">
        <f>IF(AND(AK17=SafetyLabel,AY17=1),AP17,0)</f>
        <v>0</v>
      </c>
      <c r="BN17">
        <f>IF(AND(AK17=SecureLabel,AY17=1),AP17,0)</f>
        <v>0</v>
      </c>
      <c r="BO17">
        <f>IF(AND(AK17=SureThingLabel,AY17=1),AP17,0)</f>
        <v>0</v>
      </c>
      <c r="BP17">
        <f>MAX(BK17:BO17)</f>
        <v>0</v>
      </c>
      <c r="BQ17">
        <f>MAX(BL17:BO17)</f>
        <v>0</v>
      </c>
      <c r="BR17">
        <f>MAX(BM17:BO17)</f>
        <v>0</v>
      </c>
      <c r="BS17">
        <f>IF(ISNUMBER(Y17),INDEX(AllCollegeChicago, MATCH(N17,AllCollegeNCES,0))*AY17,0)</f>
        <v>0</v>
      </c>
      <c r="BT17">
        <f>IF(ISNUMBER(Y17),INDEX(AllCollegeMoneyCode, MATCH(N17,AllCollegeNCES,0)),"?")</f>
        <v>0</v>
      </c>
      <c r="BU17">
        <f>IF(OR(BT17="---",BT17="--",BT17="+/--",BT17="+/---"),1,0)</f>
        <v>0</v>
      </c>
      <c r="BV17">
        <f>AY17*AO17*AQ17</f>
        <v>0</v>
      </c>
    </row>
    <row r="18" spans="1:74">
      <c r="A18" t="s">
        <v>86</v>
      </c>
      <c r="B18">
        <v>21854734</v>
      </c>
      <c r="C18" t="s">
        <v>311</v>
      </c>
      <c r="D18" t="s">
        <v>312</v>
      </c>
      <c r="E18" t="s">
        <v>428</v>
      </c>
      <c r="F18" t="s">
        <v>436</v>
      </c>
      <c r="G18" t="s">
        <v>430</v>
      </c>
      <c r="H18" t="s">
        <v>431</v>
      </c>
      <c r="I18" t="s">
        <v>432</v>
      </c>
      <c r="J18" t="s">
        <v>432</v>
      </c>
      <c r="K18">
        <v>0</v>
      </c>
      <c r="L18" t="s">
        <v>428</v>
      </c>
      <c r="M18" t="s">
        <v>428</v>
      </c>
      <c r="N18">
        <v>147536</v>
      </c>
      <c r="O18">
        <f>INDEX(AllCollegeBarrons,MATCH(N18,AllCollegeNCES,0))</f>
        <v>0</v>
      </c>
      <c r="P18">
        <f>INDEX(KidGPAs,MATCH(B18,KidIDs,0))</f>
        <v>0</v>
      </c>
      <c r="Q18">
        <f>INDEX(KidACTs,MATCH(B18,KidIDs,0))</f>
        <v>0</v>
      </c>
      <c r="R18">
        <f>INDEX(Strats,MATCH(B18,KidIDs,0))</f>
        <v>0</v>
      </c>
      <c r="S18">
        <f>INDEX(KidRace,MATCH(B18,KidIDs,0))</f>
        <v>0</v>
      </c>
      <c r="T18">
        <f>IF(OR(S18="M",S18="I"),"H",S18)</f>
        <v>0</v>
      </c>
      <c r="U18">
        <f>INDEX(StudentTargets,MATCH(B18,KidIDs,0))</f>
        <v>0</v>
      </c>
      <c r="V18">
        <f>INDEX(ReachStudentTargets,MATCH(B18,KidIDs,0))</f>
        <v>0</v>
      </c>
      <c r="W18">
        <f>IF(OR(M18="Posse"),1,0)</f>
        <v>0</v>
      </c>
      <c r="X18">
        <f>IF(ISNUMBER(INDEX(AllCollegeGR, MATCH(N18,AllCollegeNCES,0))),ROUND(INDEX(AllCollegeGR, MATCH(N18,AllCollegeNCES,0))+W18*IF(INDEX(AllCollegeGR, MATCH(N18,AllCollegeNCES,0))&gt;0.7,(1-INDEX(AllCollegeGR, MATCH(N18,AllCollegeNCES,0)))/2,0.15),2),INDEX(AllCollegeGR, MATCH(N18,AllCollegeNCES,0)))</f>
        <v>0</v>
      </c>
      <c r="Y18">
        <f>IF(ISNUMBER(INDEX(AllCollegeAAHGR, MATCH(N18,AllCollegeNCES,0))),ROUND(INDEX(AllCollegeAAHGR, MATCH(N18,AllCollegeNCES,0))+W18*IF(INDEX(AllCollegeAAHGR, MATCH(N18,AllCollegeNCES,0))&gt;0.7,(1-INDEX(AllCollegeAAHGR, MATCH(N18,AllCollegeNCES,0)))/2,0.15),2),INDEX(AllCollegeAAHGR, MATCH(N18,AllCollegeNCES,0)))</f>
        <v>0</v>
      </c>
      <c r="Z18">
        <f>IF(OR(T18="H",T18="B"),INDEX(AllCollegeACT25, MATCH(N18,AllCollegeNCES,0)),INDEX(AllCollegeACT50, MATCH(N18,AllCollegeNCES,0)))</f>
        <v>0</v>
      </c>
      <c r="AA18">
        <f>INDEX(CustomWeightsGPA,MATCH(T18&amp;":"&amp;N18,CustomWeightsIndex,0))</f>
        <v>0</v>
      </c>
      <c r="AB18">
        <f>INDEX(CustomWeightsACT,MATCH(T18&amp;":"&amp;N18,CustomWeightsIndex,0))</f>
        <v>0</v>
      </c>
      <c r="AC18">
        <f>INDEX(CustomWeightsIntercept,MATCH(T18&amp;":"&amp;N18,CustomWeightsIndex,0))</f>
        <v>0</v>
      </c>
      <c r="AD18">
        <f>AA18*P18+AB18*Q18+AC18</f>
        <v>0</v>
      </c>
      <c r="AE18">
        <f>INDEX(CoefficientsGPA,MATCH(T18&amp;":"&amp;O18,CoefficientsIndex,0))</f>
        <v>0</v>
      </c>
      <c r="AF18">
        <f>INDEX(CoefficientsACT,MATCH(T18&amp;":"&amp;O18,CoefficientsIndex,0))</f>
        <v>0</v>
      </c>
      <c r="AG18">
        <f>INDEX(CoefficientsIntercept,MATCH(T18&amp;":"&amp;O18,CoefficientsIndex,0))</f>
        <v>0</v>
      </c>
      <c r="AH18">
        <f>AE18*P18+(Q18-Z18)*AF18+AG18</f>
        <v>0</v>
      </c>
      <c r="AI18">
        <f>IF(ISNUMBER(AD18),AD18,AH18)</f>
        <v>0</v>
      </c>
      <c r="AJ18">
        <f>IF(ISNUMBER(AI18),IF(ISNUMBER(AE18),IF(AND(AE18=1,AF18=1,AG18=1),100,ROUND(100*EXP(AI18)/(1+EXP(AI18)),2)),ROUND(100*EXP(AI18)/(1+EXP(AI18)),2)),IF(ISTEXT(O18),IF(LEFT(O18,1)="2",100,"N/A"),"N/A"))</f>
        <v>0</v>
      </c>
      <c r="AK18">
        <f>IF(ISNUMBER(AJ18),IF(AJ18&gt;=99,IF(OR(R18=10,R18=11),MatchLabel,SureThingLabel),IF(AJ18&gt;=95,SecureLabel,IF(AJ18&gt;=80,SafetyLabel,IF(AJ18&gt;=50,MatchLabel,IF(AJ18&gt;=20,ReachLabel,IF(AJ18&gt;=10,LongshotLabel,HailMaryLabel)))))),"Other")</f>
        <v>0</v>
      </c>
      <c r="AL18">
        <f>IF(OR(I18="accepted",I18="cond. accept",I18="summer admit"),IF(J18="yes","CHOICE!","Accepted!"),IF(I18="denied","Denied",IF(K18=1,"Waitlist",IF(L18=1,"Deferred",IF(G18="pending","Pending",IF(OR(G18="initial materials submitted",G18="mid-year submitted",G18="final submitted"),"Submitted",IF(H18="interest","Interest","?")))))))</f>
        <v>0</v>
      </c>
      <c r="AM18">
        <f>IF(OR(AK18=ReachLabel,AK18=LongshotLabel,AK18=HailMaryLabel),1,0)</f>
        <v>0</v>
      </c>
      <c r="AN18">
        <f>IF(OR(AM18=1,AK18=MatchLabel),1,0)</f>
        <v>0</v>
      </c>
      <c r="AO18">
        <f>IF(OR(AK18=MatchLabel,AK18=SafetyLabel,AK18=SecureLabel,AK18=SureThingLabel),1,0)</f>
        <v>0</v>
      </c>
      <c r="AP18">
        <f>IF(OR(T18="H",T18="B"),IF(ISNUMBER(Y18),ROUND(Y18,2),0),IF(ISNUMBER(X18),ROUND(X18,2),0))</f>
        <v>0</v>
      </c>
      <c r="AQ18">
        <f>IF(AP18&gt;=U18,1,0)</f>
        <v>0</v>
      </c>
      <c r="AR18">
        <f>IF(AP18&gt;=V18,1,0)</f>
        <v>0</v>
      </c>
      <c r="AS18">
        <f>IF(AP18&lt;(U18-0.10),1,0)</f>
        <v>0</v>
      </c>
      <c r="AT18">
        <f>1-AJ18/100</f>
        <v>0</v>
      </c>
      <c r="AU18">
        <f>IF(AN18=1,AT18,1)</f>
        <v>0</v>
      </c>
      <c r="AV18">
        <f>IF(AM18=1,AT18,1)</f>
        <v>0</v>
      </c>
      <c r="AW18">
        <f>IF(AND(AQ18=1,ISNUMBER(AT18)),$AT18,1)</f>
        <v>0</v>
      </c>
      <c r="AX18">
        <f>IF(AND(AR18=1,ISNUMBER(AT18)),$AT18,1)</f>
        <v>0</v>
      </c>
      <c r="AY18">
        <f>IF(ISNUMBER(Y18),INDEX(AllCollegeMoney, MATCH(N18,AllCollegeNCES,0)),0)</f>
        <v>0</v>
      </c>
      <c r="AZ18">
        <f>IF(AND(AQ18=1,ISNUMBER(AT18),AY18=1),$AT18,1)</f>
        <v>0</v>
      </c>
      <c r="BA18">
        <f>IF(AND(AR18=1,ISNUMBER(AT18),AY18=1),$AT18,1)</f>
        <v>0</v>
      </c>
      <c r="BB18">
        <f>IF(ISNUMBER(Y18),INDEX(AllCollegeILPub, MATCH(N18,AllCollegeNCES,0)),0)</f>
        <v>0</v>
      </c>
      <c r="BC18">
        <f>IF(AK18=ReachLabel,AP18,0)</f>
        <v>0</v>
      </c>
      <c r="BD18">
        <f>IF(AK18=MatchLabel,AP18,0)</f>
        <v>0</v>
      </c>
      <c r="BE18">
        <f>IF(AK18=SafetyLabel,AP18,0)</f>
        <v>0</v>
      </c>
      <c r="BF18">
        <f>IF(AK18=SecureLabel,AP18,0)</f>
        <v>0</v>
      </c>
      <c r="BG18">
        <f>IF(AK18=SureThingLabel,AP18,0)</f>
        <v>0</v>
      </c>
      <c r="BH18">
        <f>MAX(BC18:BG18)</f>
        <v>0</v>
      </c>
      <c r="BI18">
        <f>MAX(BD18:BG18)</f>
        <v>0</v>
      </c>
      <c r="BJ18">
        <f>MAX(BE18:BG18)</f>
        <v>0</v>
      </c>
      <c r="BK18">
        <f>IF(AND(AK18=ReachLabel,AY18=1),AP18,0)</f>
        <v>0</v>
      </c>
      <c r="BL18">
        <f>IF(AND(AK18=MatchLabel,AY18=1),AP18,0)</f>
        <v>0</v>
      </c>
      <c r="BM18">
        <f>IF(AND(AK18=SafetyLabel,AY18=1),AP18,0)</f>
        <v>0</v>
      </c>
      <c r="BN18">
        <f>IF(AND(AK18=SecureLabel,AY18=1),AP18,0)</f>
        <v>0</v>
      </c>
      <c r="BO18">
        <f>IF(AND(AK18=SureThingLabel,AY18=1),AP18,0)</f>
        <v>0</v>
      </c>
      <c r="BP18">
        <f>MAX(BK18:BO18)</f>
        <v>0</v>
      </c>
      <c r="BQ18">
        <f>MAX(BL18:BO18)</f>
        <v>0</v>
      </c>
      <c r="BR18">
        <f>MAX(BM18:BO18)</f>
        <v>0</v>
      </c>
      <c r="BS18">
        <f>IF(ISNUMBER(Y18),INDEX(AllCollegeChicago, MATCH(N18,AllCollegeNCES,0))*AY18,0)</f>
        <v>0</v>
      </c>
      <c r="BT18">
        <f>IF(ISNUMBER(Y18),INDEX(AllCollegeMoneyCode, MATCH(N18,AllCollegeNCES,0)),"?")</f>
        <v>0</v>
      </c>
      <c r="BU18">
        <f>IF(OR(BT18="---",BT18="--",BT18="+/--",BT18="+/---"),1,0)</f>
        <v>0</v>
      </c>
      <c r="BV18">
        <f>AY18*AO18*AQ18</f>
        <v>0</v>
      </c>
    </row>
    <row r="19" spans="1:74">
      <c r="A19" t="s">
        <v>86</v>
      </c>
      <c r="B19">
        <v>21854734</v>
      </c>
      <c r="C19" t="s">
        <v>311</v>
      </c>
      <c r="D19" t="s">
        <v>312</v>
      </c>
      <c r="E19" t="s">
        <v>428</v>
      </c>
      <c r="F19" t="s">
        <v>450</v>
      </c>
      <c r="G19" t="s">
        <v>430</v>
      </c>
      <c r="H19" t="s">
        <v>431</v>
      </c>
      <c r="I19" t="s">
        <v>432</v>
      </c>
      <c r="J19" t="s">
        <v>432</v>
      </c>
      <c r="K19">
        <v>0</v>
      </c>
      <c r="L19" t="s">
        <v>428</v>
      </c>
      <c r="M19" t="s">
        <v>428</v>
      </c>
      <c r="N19">
        <v>148335</v>
      </c>
      <c r="O19">
        <f>INDEX(AllCollegeBarrons,MATCH(N19,AllCollegeNCES,0))</f>
        <v>0</v>
      </c>
      <c r="P19">
        <f>INDEX(KidGPAs,MATCH(B19,KidIDs,0))</f>
        <v>0</v>
      </c>
      <c r="Q19">
        <f>INDEX(KidACTs,MATCH(B19,KidIDs,0))</f>
        <v>0</v>
      </c>
      <c r="R19">
        <f>INDEX(Strats,MATCH(B19,KidIDs,0))</f>
        <v>0</v>
      </c>
      <c r="S19">
        <f>INDEX(KidRace,MATCH(B19,KidIDs,0))</f>
        <v>0</v>
      </c>
      <c r="T19">
        <f>IF(OR(S19="M",S19="I"),"H",S19)</f>
        <v>0</v>
      </c>
      <c r="U19">
        <f>INDEX(StudentTargets,MATCH(B19,KidIDs,0))</f>
        <v>0</v>
      </c>
      <c r="V19">
        <f>INDEX(ReachStudentTargets,MATCH(B19,KidIDs,0))</f>
        <v>0</v>
      </c>
      <c r="W19">
        <f>IF(OR(M19="Posse"),1,0)</f>
        <v>0</v>
      </c>
      <c r="X19">
        <f>IF(ISNUMBER(INDEX(AllCollegeGR, MATCH(N19,AllCollegeNCES,0))),ROUND(INDEX(AllCollegeGR, MATCH(N19,AllCollegeNCES,0))+W19*IF(INDEX(AllCollegeGR, MATCH(N19,AllCollegeNCES,0))&gt;0.7,(1-INDEX(AllCollegeGR, MATCH(N19,AllCollegeNCES,0)))/2,0.15),2),INDEX(AllCollegeGR, MATCH(N19,AllCollegeNCES,0)))</f>
        <v>0</v>
      </c>
      <c r="Y19">
        <f>IF(ISNUMBER(INDEX(AllCollegeAAHGR, MATCH(N19,AllCollegeNCES,0))),ROUND(INDEX(AllCollegeAAHGR, MATCH(N19,AllCollegeNCES,0))+W19*IF(INDEX(AllCollegeAAHGR, MATCH(N19,AllCollegeNCES,0))&gt;0.7,(1-INDEX(AllCollegeAAHGR, MATCH(N19,AllCollegeNCES,0)))/2,0.15),2),INDEX(AllCollegeAAHGR, MATCH(N19,AllCollegeNCES,0)))</f>
        <v>0</v>
      </c>
      <c r="Z19">
        <f>IF(OR(T19="H",T19="B"),INDEX(AllCollegeACT25, MATCH(N19,AllCollegeNCES,0)),INDEX(AllCollegeACT50, MATCH(N19,AllCollegeNCES,0)))</f>
        <v>0</v>
      </c>
      <c r="AA19">
        <f>INDEX(CustomWeightsGPA,MATCH(T19&amp;":"&amp;N19,CustomWeightsIndex,0))</f>
        <v>0</v>
      </c>
      <c r="AB19">
        <f>INDEX(CustomWeightsACT,MATCH(T19&amp;":"&amp;N19,CustomWeightsIndex,0))</f>
        <v>0</v>
      </c>
      <c r="AC19">
        <f>INDEX(CustomWeightsIntercept,MATCH(T19&amp;":"&amp;N19,CustomWeightsIndex,0))</f>
        <v>0</v>
      </c>
      <c r="AD19">
        <f>AA19*P19+AB19*Q19+AC19</f>
        <v>0</v>
      </c>
      <c r="AE19">
        <f>INDEX(CoefficientsGPA,MATCH(T19&amp;":"&amp;O19,CoefficientsIndex,0))</f>
        <v>0</v>
      </c>
      <c r="AF19">
        <f>INDEX(CoefficientsACT,MATCH(T19&amp;":"&amp;O19,CoefficientsIndex,0))</f>
        <v>0</v>
      </c>
      <c r="AG19">
        <f>INDEX(CoefficientsIntercept,MATCH(T19&amp;":"&amp;O19,CoefficientsIndex,0))</f>
        <v>0</v>
      </c>
      <c r="AH19">
        <f>AE19*P19+(Q19-Z19)*AF19+AG19</f>
        <v>0</v>
      </c>
      <c r="AI19">
        <f>IF(ISNUMBER(AD19),AD19,AH19)</f>
        <v>0</v>
      </c>
      <c r="AJ19">
        <f>IF(ISNUMBER(AI19),IF(ISNUMBER(AE19),IF(AND(AE19=1,AF19=1,AG19=1),100,ROUND(100*EXP(AI19)/(1+EXP(AI19)),2)),ROUND(100*EXP(AI19)/(1+EXP(AI19)),2)),IF(ISTEXT(O19),IF(LEFT(O19,1)="2",100,"N/A"),"N/A"))</f>
        <v>0</v>
      </c>
      <c r="AK19">
        <f>IF(ISNUMBER(AJ19),IF(AJ19&gt;=99,IF(OR(R19=10,R19=11),MatchLabel,SureThingLabel),IF(AJ19&gt;=95,SecureLabel,IF(AJ19&gt;=80,SafetyLabel,IF(AJ19&gt;=50,MatchLabel,IF(AJ19&gt;=20,ReachLabel,IF(AJ19&gt;=10,LongshotLabel,HailMaryLabel)))))),"Other")</f>
        <v>0</v>
      </c>
      <c r="AL19">
        <f>IF(OR(I19="accepted",I19="cond. accept",I19="summer admit"),IF(J19="yes","CHOICE!","Accepted!"),IF(I19="denied","Denied",IF(K19=1,"Waitlist",IF(L19=1,"Deferred",IF(G19="pending","Pending",IF(OR(G19="initial materials submitted",G19="mid-year submitted",G19="final submitted"),"Submitted",IF(H19="interest","Interest","?")))))))</f>
        <v>0</v>
      </c>
      <c r="AM19">
        <f>IF(OR(AK19=ReachLabel,AK19=LongshotLabel,AK19=HailMaryLabel),1,0)</f>
        <v>0</v>
      </c>
      <c r="AN19">
        <f>IF(OR(AM19=1,AK19=MatchLabel),1,0)</f>
        <v>0</v>
      </c>
      <c r="AO19">
        <f>IF(OR(AK19=MatchLabel,AK19=SafetyLabel,AK19=SecureLabel,AK19=SureThingLabel),1,0)</f>
        <v>0</v>
      </c>
      <c r="AP19">
        <f>IF(OR(T19="H",T19="B"),IF(ISNUMBER(Y19),ROUND(Y19,2),0),IF(ISNUMBER(X19),ROUND(X19,2),0))</f>
        <v>0</v>
      </c>
      <c r="AQ19">
        <f>IF(AP19&gt;=U19,1,0)</f>
        <v>0</v>
      </c>
      <c r="AR19">
        <f>IF(AP19&gt;=V19,1,0)</f>
        <v>0</v>
      </c>
      <c r="AS19">
        <f>IF(AP19&lt;(U19-0.10),1,0)</f>
        <v>0</v>
      </c>
      <c r="AT19">
        <f>1-AJ19/100</f>
        <v>0</v>
      </c>
      <c r="AU19">
        <f>IF(AN19=1,AT19,1)</f>
        <v>0</v>
      </c>
      <c r="AV19">
        <f>IF(AM19=1,AT19,1)</f>
        <v>0</v>
      </c>
      <c r="AW19">
        <f>IF(AND(AQ19=1,ISNUMBER(AT19)),$AT19,1)</f>
        <v>0</v>
      </c>
      <c r="AX19">
        <f>IF(AND(AR19=1,ISNUMBER(AT19)),$AT19,1)</f>
        <v>0</v>
      </c>
      <c r="AY19">
        <f>IF(ISNUMBER(Y19),INDEX(AllCollegeMoney, MATCH(N19,AllCollegeNCES,0)),0)</f>
        <v>0</v>
      </c>
      <c r="AZ19">
        <f>IF(AND(AQ19=1,ISNUMBER(AT19),AY19=1),$AT19,1)</f>
        <v>0</v>
      </c>
      <c r="BA19">
        <f>IF(AND(AR19=1,ISNUMBER(AT19),AY19=1),$AT19,1)</f>
        <v>0</v>
      </c>
      <c r="BB19">
        <f>IF(ISNUMBER(Y19),INDEX(AllCollegeILPub, MATCH(N19,AllCollegeNCES,0)),0)</f>
        <v>0</v>
      </c>
      <c r="BC19">
        <f>IF(AK19=ReachLabel,AP19,0)</f>
        <v>0</v>
      </c>
      <c r="BD19">
        <f>IF(AK19=MatchLabel,AP19,0)</f>
        <v>0</v>
      </c>
      <c r="BE19">
        <f>IF(AK19=SafetyLabel,AP19,0)</f>
        <v>0</v>
      </c>
      <c r="BF19">
        <f>IF(AK19=SecureLabel,AP19,0)</f>
        <v>0</v>
      </c>
      <c r="BG19">
        <f>IF(AK19=SureThingLabel,AP19,0)</f>
        <v>0</v>
      </c>
      <c r="BH19">
        <f>MAX(BC19:BG19)</f>
        <v>0</v>
      </c>
      <c r="BI19">
        <f>MAX(BD19:BG19)</f>
        <v>0</v>
      </c>
      <c r="BJ19">
        <f>MAX(BE19:BG19)</f>
        <v>0</v>
      </c>
      <c r="BK19">
        <f>IF(AND(AK19=ReachLabel,AY19=1),AP19,0)</f>
        <v>0</v>
      </c>
      <c r="BL19">
        <f>IF(AND(AK19=MatchLabel,AY19=1),AP19,0)</f>
        <v>0</v>
      </c>
      <c r="BM19">
        <f>IF(AND(AK19=SafetyLabel,AY19=1),AP19,0)</f>
        <v>0</v>
      </c>
      <c r="BN19">
        <f>IF(AND(AK19=SecureLabel,AY19=1),AP19,0)</f>
        <v>0</v>
      </c>
      <c r="BO19">
        <f>IF(AND(AK19=SureThingLabel,AY19=1),AP19,0)</f>
        <v>0</v>
      </c>
      <c r="BP19">
        <f>MAX(BK19:BO19)</f>
        <v>0</v>
      </c>
      <c r="BQ19">
        <f>MAX(BL19:BO19)</f>
        <v>0</v>
      </c>
      <c r="BR19">
        <f>MAX(BM19:BO19)</f>
        <v>0</v>
      </c>
      <c r="BS19">
        <f>IF(ISNUMBER(Y19),INDEX(AllCollegeChicago, MATCH(N19,AllCollegeNCES,0))*AY19,0)</f>
        <v>0</v>
      </c>
      <c r="BT19">
        <f>IF(ISNUMBER(Y19),INDEX(AllCollegeMoneyCode, MATCH(N19,AllCollegeNCES,0)),"?")</f>
        <v>0</v>
      </c>
      <c r="BU19">
        <f>IF(OR(BT19="---",BT19="--",BT19="+/--",BT19="+/---"),1,0)</f>
        <v>0</v>
      </c>
      <c r="BV19">
        <f>AY19*AO19*AQ19</f>
        <v>0</v>
      </c>
    </row>
    <row r="20" spans="1:74">
      <c r="A20" t="s">
        <v>86</v>
      </c>
      <c r="B20">
        <v>21854734</v>
      </c>
      <c r="C20" t="s">
        <v>311</v>
      </c>
      <c r="D20" t="s">
        <v>312</v>
      </c>
      <c r="E20" t="s">
        <v>428</v>
      </c>
      <c r="F20" t="s">
        <v>451</v>
      </c>
      <c r="G20" t="s">
        <v>430</v>
      </c>
      <c r="H20" t="s">
        <v>431</v>
      </c>
      <c r="I20" t="s">
        <v>432</v>
      </c>
      <c r="J20" t="s">
        <v>432</v>
      </c>
      <c r="K20">
        <v>0</v>
      </c>
      <c r="L20" t="s">
        <v>428</v>
      </c>
      <c r="M20" t="s">
        <v>428</v>
      </c>
      <c r="N20">
        <v>147378</v>
      </c>
      <c r="O20">
        <f>INDEX(AllCollegeBarrons,MATCH(N20,AllCollegeNCES,0))</f>
        <v>0</v>
      </c>
      <c r="P20">
        <f>INDEX(KidGPAs,MATCH(B20,KidIDs,0))</f>
        <v>0</v>
      </c>
      <c r="Q20">
        <f>INDEX(KidACTs,MATCH(B20,KidIDs,0))</f>
        <v>0</v>
      </c>
      <c r="R20">
        <f>INDEX(Strats,MATCH(B20,KidIDs,0))</f>
        <v>0</v>
      </c>
      <c r="S20">
        <f>INDEX(KidRace,MATCH(B20,KidIDs,0))</f>
        <v>0</v>
      </c>
      <c r="T20">
        <f>IF(OR(S20="M",S20="I"),"H",S20)</f>
        <v>0</v>
      </c>
      <c r="U20">
        <f>INDEX(StudentTargets,MATCH(B20,KidIDs,0))</f>
        <v>0</v>
      </c>
      <c r="V20">
        <f>INDEX(ReachStudentTargets,MATCH(B20,KidIDs,0))</f>
        <v>0</v>
      </c>
      <c r="W20">
        <f>IF(OR(M20="Posse"),1,0)</f>
        <v>0</v>
      </c>
      <c r="X20">
        <f>IF(ISNUMBER(INDEX(AllCollegeGR, MATCH(N20,AllCollegeNCES,0))),ROUND(INDEX(AllCollegeGR, MATCH(N20,AllCollegeNCES,0))+W20*IF(INDEX(AllCollegeGR, MATCH(N20,AllCollegeNCES,0))&gt;0.7,(1-INDEX(AllCollegeGR, MATCH(N20,AllCollegeNCES,0)))/2,0.15),2),INDEX(AllCollegeGR, MATCH(N20,AllCollegeNCES,0)))</f>
        <v>0</v>
      </c>
      <c r="Y20">
        <f>IF(ISNUMBER(INDEX(AllCollegeAAHGR, MATCH(N20,AllCollegeNCES,0))),ROUND(INDEX(AllCollegeAAHGR, MATCH(N20,AllCollegeNCES,0))+W20*IF(INDEX(AllCollegeAAHGR, MATCH(N20,AllCollegeNCES,0))&gt;0.7,(1-INDEX(AllCollegeAAHGR, MATCH(N20,AllCollegeNCES,0)))/2,0.15),2),INDEX(AllCollegeAAHGR, MATCH(N20,AllCollegeNCES,0)))</f>
        <v>0</v>
      </c>
      <c r="Z20">
        <f>IF(OR(T20="H",T20="B"),INDEX(AllCollegeACT25, MATCH(N20,AllCollegeNCES,0)),INDEX(AllCollegeACT50, MATCH(N20,AllCollegeNCES,0)))</f>
        <v>0</v>
      </c>
      <c r="AA20">
        <f>INDEX(CustomWeightsGPA,MATCH(T20&amp;":"&amp;N20,CustomWeightsIndex,0))</f>
        <v>0</v>
      </c>
      <c r="AB20">
        <f>INDEX(CustomWeightsACT,MATCH(T20&amp;":"&amp;N20,CustomWeightsIndex,0))</f>
        <v>0</v>
      </c>
      <c r="AC20">
        <f>INDEX(CustomWeightsIntercept,MATCH(T20&amp;":"&amp;N20,CustomWeightsIndex,0))</f>
        <v>0</v>
      </c>
      <c r="AD20">
        <f>AA20*P20+AB20*Q20+AC20</f>
        <v>0</v>
      </c>
      <c r="AE20">
        <f>INDEX(CoefficientsGPA,MATCH(T20&amp;":"&amp;O20,CoefficientsIndex,0))</f>
        <v>0</v>
      </c>
      <c r="AF20">
        <f>INDEX(CoefficientsACT,MATCH(T20&amp;":"&amp;O20,CoefficientsIndex,0))</f>
        <v>0</v>
      </c>
      <c r="AG20">
        <f>INDEX(CoefficientsIntercept,MATCH(T20&amp;":"&amp;O20,CoefficientsIndex,0))</f>
        <v>0</v>
      </c>
      <c r="AH20">
        <f>AE20*P20+(Q20-Z20)*AF20+AG20</f>
        <v>0</v>
      </c>
      <c r="AI20">
        <f>IF(ISNUMBER(AD20),AD20,AH20)</f>
        <v>0</v>
      </c>
      <c r="AJ20">
        <f>IF(ISNUMBER(AI20),IF(ISNUMBER(AE20),IF(AND(AE20=1,AF20=1,AG20=1),100,ROUND(100*EXP(AI20)/(1+EXP(AI20)),2)),ROUND(100*EXP(AI20)/(1+EXP(AI20)),2)),IF(ISTEXT(O20),IF(LEFT(O20,1)="2",100,"N/A"),"N/A"))</f>
        <v>0</v>
      </c>
      <c r="AK20">
        <f>IF(ISNUMBER(AJ20),IF(AJ20&gt;=99,IF(OR(R20=10,R20=11),MatchLabel,SureThingLabel),IF(AJ20&gt;=95,SecureLabel,IF(AJ20&gt;=80,SafetyLabel,IF(AJ20&gt;=50,MatchLabel,IF(AJ20&gt;=20,ReachLabel,IF(AJ20&gt;=10,LongshotLabel,HailMaryLabel)))))),"Other")</f>
        <v>0</v>
      </c>
      <c r="AL20">
        <f>IF(OR(I20="accepted",I20="cond. accept",I20="summer admit"),IF(J20="yes","CHOICE!","Accepted!"),IF(I20="denied","Denied",IF(K20=1,"Waitlist",IF(L20=1,"Deferred",IF(G20="pending","Pending",IF(OR(G20="initial materials submitted",G20="mid-year submitted",G20="final submitted"),"Submitted",IF(H20="interest","Interest","?")))))))</f>
        <v>0</v>
      </c>
      <c r="AM20">
        <f>IF(OR(AK20=ReachLabel,AK20=LongshotLabel,AK20=HailMaryLabel),1,0)</f>
        <v>0</v>
      </c>
      <c r="AN20">
        <f>IF(OR(AM20=1,AK20=MatchLabel),1,0)</f>
        <v>0</v>
      </c>
      <c r="AO20">
        <f>IF(OR(AK20=MatchLabel,AK20=SafetyLabel,AK20=SecureLabel,AK20=SureThingLabel),1,0)</f>
        <v>0</v>
      </c>
      <c r="AP20">
        <f>IF(OR(T20="H",T20="B"),IF(ISNUMBER(Y20),ROUND(Y20,2),0),IF(ISNUMBER(X20),ROUND(X20,2),0))</f>
        <v>0</v>
      </c>
      <c r="AQ20">
        <f>IF(AP20&gt;=U20,1,0)</f>
        <v>0</v>
      </c>
      <c r="AR20">
        <f>IF(AP20&gt;=V20,1,0)</f>
        <v>0</v>
      </c>
      <c r="AS20">
        <f>IF(AP20&lt;(U20-0.10),1,0)</f>
        <v>0</v>
      </c>
      <c r="AT20">
        <f>1-AJ20/100</f>
        <v>0</v>
      </c>
      <c r="AU20">
        <f>IF(AN20=1,AT20,1)</f>
        <v>0</v>
      </c>
      <c r="AV20">
        <f>IF(AM20=1,AT20,1)</f>
        <v>0</v>
      </c>
      <c r="AW20">
        <f>IF(AND(AQ20=1,ISNUMBER(AT20)),$AT20,1)</f>
        <v>0</v>
      </c>
      <c r="AX20">
        <f>IF(AND(AR20=1,ISNUMBER(AT20)),$AT20,1)</f>
        <v>0</v>
      </c>
      <c r="AY20">
        <f>IF(ISNUMBER(Y20),INDEX(AllCollegeMoney, MATCH(N20,AllCollegeNCES,0)),0)</f>
        <v>0</v>
      </c>
      <c r="AZ20">
        <f>IF(AND(AQ20=1,ISNUMBER(AT20),AY20=1),$AT20,1)</f>
        <v>0</v>
      </c>
      <c r="BA20">
        <f>IF(AND(AR20=1,ISNUMBER(AT20),AY20=1),$AT20,1)</f>
        <v>0</v>
      </c>
      <c r="BB20">
        <f>IF(ISNUMBER(Y20),INDEX(AllCollegeILPub, MATCH(N20,AllCollegeNCES,0)),0)</f>
        <v>0</v>
      </c>
      <c r="BC20">
        <f>IF(AK20=ReachLabel,AP20,0)</f>
        <v>0</v>
      </c>
      <c r="BD20">
        <f>IF(AK20=MatchLabel,AP20,0)</f>
        <v>0</v>
      </c>
      <c r="BE20">
        <f>IF(AK20=SafetyLabel,AP20,0)</f>
        <v>0</v>
      </c>
      <c r="BF20">
        <f>IF(AK20=SecureLabel,AP20,0)</f>
        <v>0</v>
      </c>
      <c r="BG20">
        <f>IF(AK20=SureThingLabel,AP20,0)</f>
        <v>0</v>
      </c>
      <c r="BH20">
        <f>MAX(BC20:BG20)</f>
        <v>0</v>
      </c>
      <c r="BI20">
        <f>MAX(BD20:BG20)</f>
        <v>0</v>
      </c>
      <c r="BJ20">
        <f>MAX(BE20:BG20)</f>
        <v>0</v>
      </c>
      <c r="BK20">
        <f>IF(AND(AK20=ReachLabel,AY20=1),AP20,0)</f>
        <v>0</v>
      </c>
      <c r="BL20">
        <f>IF(AND(AK20=MatchLabel,AY20=1),AP20,0)</f>
        <v>0</v>
      </c>
      <c r="BM20">
        <f>IF(AND(AK20=SafetyLabel,AY20=1),AP20,0)</f>
        <v>0</v>
      </c>
      <c r="BN20">
        <f>IF(AND(AK20=SecureLabel,AY20=1),AP20,0)</f>
        <v>0</v>
      </c>
      <c r="BO20">
        <f>IF(AND(AK20=SureThingLabel,AY20=1),AP20,0)</f>
        <v>0</v>
      </c>
      <c r="BP20">
        <f>MAX(BK20:BO20)</f>
        <v>0</v>
      </c>
      <c r="BQ20">
        <f>MAX(BL20:BO20)</f>
        <v>0</v>
      </c>
      <c r="BR20">
        <f>MAX(BM20:BO20)</f>
        <v>0</v>
      </c>
      <c r="BS20">
        <f>IF(ISNUMBER(Y20),INDEX(AllCollegeChicago, MATCH(N20,AllCollegeNCES,0))*AY20,0)</f>
        <v>0</v>
      </c>
      <c r="BT20">
        <f>IF(ISNUMBER(Y20),INDEX(AllCollegeMoneyCode, MATCH(N20,AllCollegeNCES,0)),"?")</f>
        <v>0</v>
      </c>
      <c r="BU20">
        <f>IF(OR(BT20="---",BT20="--",BT20="+/--",BT20="+/---"),1,0)</f>
        <v>0</v>
      </c>
      <c r="BV20">
        <f>AY20*AO20*AQ20</f>
        <v>0</v>
      </c>
    </row>
    <row r="21" spans="1:74">
      <c r="A21" t="s">
        <v>86</v>
      </c>
      <c r="B21">
        <v>21854734</v>
      </c>
      <c r="C21" t="s">
        <v>311</v>
      </c>
      <c r="D21" t="s">
        <v>312</v>
      </c>
      <c r="E21" t="s">
        <v>428</v>
      </c>
      <c r="F21" t="s">
        <v>452</v>
      </c>
      <c r="G21" t="s">
        <v>430</v>
      </c>
      <c r="H21" t="s">
        <v>431</v>
      </c>
      <c r="I21" t="s">
        <v>432</v>
      </c>
      <c r="J21" t="s">
        <v>432</v>
      </c>
      <c r="K21">
        <v>0</v>
      </c>
      <c r="L21" t="s">
        <v>428</v>
      </c>
      <c r="M21" t="s">
        <v>439</v>
      </c>
      <c r="N21">
        <v>154493</v>
      </c>
      <c r="O21">
        <f>INDEX(AllCollegeBarrons,MATCH(N21,AllCollegeNCES,0))</f>
        <v>0</v>
      </c>
      <c r="P21">
        <f>INDEX(KidGPAs,MATCH(B21,KidIDs,0))</f>
        <v>0</v>
      </c>
      <c r="Q21">
        <f>INDEX(KidACTs,MATCH(B21,KidIDs,0))</f>
        <v>0</v>
      </c>
      <c r="R21">
        <f>INDEX(Strats,MATCH(B21,KidIDs,0))</f>
        <v>0</v>
      </c>
      <c r="S21">
        <f>INDEX(KidRace,MATCH(B21,KidIDs,0))</f>
        <v>0</v>
      </c>
      <c r="T21">
        <f>IF(OR(S21="M",S21="I"),"H",S21)</f>
        <v>0</v>
      </c>
      <c r="U21">
        <f>INDEX(StudentTargets,MATCH(B21,KidIDs,0))</f>
        <v>0</v>
      </c>
      <c r="V21">
        <f>INDEX(ReachStudentTargets,MATCH(B21,KidIDs,0))</f>
        <v>0</v>
      </c>
      <c r="W21">
        <f>IF(OR(M21="Posse"),1,0)</f>
        <v>0</v>
      </c>
      <c r="X21">
        <f>IF(ISNUMBER(INDEX(AllCollegeGR, MATCH(N21,AllCollegeNCES,0))),ROUND(INDEX(AllCollegeGR, MATCH(N21,AllCollegeNCES,0))+W21*IF(INDEX(AllCollegeGR, MATCH(N21,AllCollegeNCES,0))&gt;0.7,(1-INDEX(AllCollegeGR, MATCH(N21,AllCollegeNCES,0)))/2,0.15),2),INDEX(AllCollegeGR, MATCH(N21,AllCollegeNCES,0)))</f>
        <v>0</v>
      </c>
      <c r="Y21">
        <f>IF(ISNUMBER(INDEX(AllCollegeAAHGR, MATCH(N21,AllCollegeNCES,0))),ROUND(INDEX(AllCollegeAAHGR, MATCH(N21,AllCollegeNCES,0))+W21*IF(INDEX(AllCollegeAAHGR, MATCH(N21,AllCollegeNCES,0))&gt;0.7,(1-INDEX(AllCollegeAAHGR, MATCH(N21,AllCollegeNCES,0)))/2,0.15),2),INDEX(AllCollegeAAHGR, MATCH(N21,AllCollegeNCES,0)))</f>
        <v>0</v>
      </c>
      <c r="Z21">
        <f>IF(OR(T21="H",T21="B"),INDEX(AllCollegeACT25, MATCH(N21,AllCollegeNCES,0)),INDEX(AllCollegeACT50, MATCH(N21,AllCollegeNCES,0)))</f>
        <v>0</v>
      </c>
      <c r="AA21">
        <f>INDEX(CustomWeightsGPA,MATCH(T21&amp;":"&amp;N21,CustomWeightsIndex,0))</f>
        <v>0</v>
      </c>
      <c r="AB21">
        <f>INDEX(CustomWeightsACT,MATCH(T21&amp;":"&amp;N21,CustomWeightsIndex,0))</f>
        <v>0</v>
      </c>
      <c r="AC21">
        <f>INDEX(CustomWeightsIntercept,MATCH(T21&amp;":"&amp;N21,CustomWeightsIndex,0))</f>
        <v>0</v>
      </c>
      <c r="AD21">
        <f>AA21*P21+AB21*Q21+AC21</f>
        <v>0</v>
      </c>
      <c r="AE21">
        <f>INDEX(CoefficientsGPA,MATCH(T21&amp;":"&amp;O21,CoefficientsIndex,0))</f>
        <v>0</v>
      </c>
      <c r="AF21">
        <f>INDEX(CoefficientsACT,MATCH(T21&amp;":"&amp;O21,CoefficientsIndex,0))</f>
        <v>0</v>
      </c>
      <c r="AG21">
        <f>INDEX(CoefficientsIntercept,MATCH(T21&amp;":"&amp;O21,CoefficientsIndex,0))</f>
        <v>0</v>
      </c>
      <c r="AH21">
        <f>AE21*P21+(Q21-Z21)*AF21+AG21</f>
        <v>0</v>
      </c>
      <c r="AI21">
        <f>IF(ISNUMBER(AD21),AD21,AH21)</f>
        <v>0</v>
      </c>
      <c r="AJ21">
        <f>IF(ISNUMBER(AI21),IF(ISNUMBER(AE21),IF(AND(AE21=1,AF21=1,AG21=1),100,ROUND(100*EXP(AI21)/(1+EXP(AI21)),2)),ROUND(100*EXP(AI21)/(1+EXP(AI21)),2)),IF(ISTEXT(O21),IF(LEFT(O21,1)="2",100,"N/A"),"N/A"))</f>
        <v>0</v>
      </c>
      <c r="AK21">
        <f>IF(ISNUMBER(AJ21),IF(AJ21&gt;=99,IF(OR(R21=10,R21=11),MatchLabel,SureThingLabel),IF(AJ21&gt;=95,SecureLabel,IF(AJ21&gt;=80,SafetyLabel,IF(AJ21&gt;=50,MatchLabel,IF(AJ21&gt;=20,ReachLabel,IF(AJ21&gt;=10,LongshotLabel,HailMaryLabel)))))),"Other")</f>
        <v>0</v>
      </c>
      <c r="AL21">
        <f>IF(OR(I21="accepted",I21="cond. accept",I21="summer admit"),IF(J21="yes","CHOICE!","Accepted!"),IF(I21="denied","Denied",IF(K21=1,"Waitlist",IF(L21=1,"Deferred",IF(G21="pending","Pending",IF(OR(G21="initial materials submitted",G21="mid-year submitted",G21="final submitted"),"Submitted",IF(H21="interest","Interest","?")))))))</f>
        <v>0</v>
      </c>
      <c r="AM21">
        <f>IF(OR(AK21=ReachLabel,AK21=LongshotLabel,AK21=HailMaryLabel),1,0)</f>
        <v>0</v>
      </c>
      <c r="AN21">
        <f>IF(OR(AM21=1,AK21=MatchLabel),1,0)</f>
        <v>0</v>
      </c>
      <c r="AO21">
        <f>IF(OR(AK21=MatchLabel,AK21=SafetyLabel,AK21=SecureLabel,AK21=SureThingLabel),1,0)</f>
        <v>0</v>
      </c>
      <c r="AP21">
        <f>IF(OR(T21="H",T21="B"),IF(ISNUMBER(Y21),ROUND(Y21,2),0),IF(ISNUMBER(X21),ROUND(X21,2),0))</f>
        <v>0</v>
      </c>
      <c r="AQ21">
        <f>IF(AP21&gt;=U21,1,0)</f>
        <v>0</v>
      </c>
      <c r="AR21">
        <f>IF(AP21&gt;=V21,1,0)</f>
        <v>0</v>
      </c>
      <c r="AS21">
        <f>IF(AP21&lt;(U21-0.10),1,0)</f>
        <v>0</v>
      </c>
      <c r="AT21">
        <f>1-AJ21/100</f>
        <v>0</v>
      </c>
      <c r="AU21">
        <f>IF(AN21=1,AT21,1)</f>
        <v>0</v>
      </c>
      <c r="AV21">
        <f>IF(AM21=1,AT21,1)</f>
        <v>0</v>
      </c>
      <c r="AW21">
        <f>IF(AND(AQ21=1,ISNUMBER(AT21)),$AT21,1)</f>
        <v>0</v>
      </c>
      <c r="AX21">
        <f>IF(AND(AR21=1,ISNUMBER(AT21)),$AT21,1)</f>
        <v>0</v>
      </c>
      <c r="AY21">
        <f>IF(ISNUMBER(Y21),INDEX(AllCollegeMoney, MATCH(N21,AllCollegeNCES,0)),0)</f>
        <v>0</v>
      </c>
      <c r="AZ21">
        <f>IF(AND(AQ21=1,ISNUMBER(AT21),AY21=1),$AT21,1)</f>
        <v>0</v>
      </c>
      <c r="BA21">
        <f>IF(AND(AR21=1,ISNUMBER(AT21),AY21=1),$AT21,1)</f>
        <v>0</v>
      </c>
      <c r="BB21">
        <f>IF(ISNUMBER(Y21),INDEX(AllCollegeILPub, MATCH(N21,AllCollegeNCES,0)),0)</f>
        <v>0</v>
      </c>
      <c r="BC21">
        <f>IF(AK21=ReachLabel,AP21,0)</f>
        <v>0</v>
      </c>
      <c r="BD21">
        <f>IF(AK21=MatchLabel,AP21,0)</f>
        <v>0</v>
      </c>
      <c r="BE21">
        <f>IF(AK21=SafetyLabel,AP21,0)</f>
        <v>0</v>
      </c>
      <c r="BF21">
        <f>IF(AK21=SecureLabel,AP21,0)</f>
        <v>0</v>
      </c>
      <c r="BG21">
        <f>IF(AK21=SureThingLabel,AP21,0)</f>
        <v>0</v>
      </c>
      <c r="BH21">
        <f>MAX(BC21:BG21)</f>
        <v>0</v>
      </c>
      <c r="BI21">
        <f>MAX(BD21:BG21)</f>
        <v>0</v>
      </c>
      <c r="BJ21">
        <f>MAX(BE21:BG21)</f>
        <v>0</v>
      </c>
      <c r="BK21">
        <f>IF(AND(AK21=ReachLabel,AY21=1),AP21,0)</f>
        <v>0</v>
      </c>
      <c r="BL21">
        <f>IF(AND(AK21=MatchLabel,AY21=1),AP21,0)</f>
        <v>0</v>
      </c>
      <c r="BM21">
        <f>IF(AND(AK21=SafetyLabel,AY21=1),AP21,0)</f>
        <v>0</v>
      </c>
      <c r="BN21">
        <f>IF(AND(AK21=SecureLabel,AY21=1),AP21,0)</f>
        <v>0</v>
      </c>
      <c r="BO21">
        <f>IF(AND(AK21=SureThingLabel,AY21=1),AP21,0)</f>
        <v>0</v>
      </c>
      <c r="BP21">
        <f>MAX(BK21:BO21)</f>
        <v>0</v>
      </c>
      <c r="BQ21">
        <f>MAX(BL21:BO21)</f>
        <v>0</v>
      </c>
      <c r="BR21">
        <f>MAX(BM21:BO21)</f>
        <v>0</v>
      </c>
      <c r="BS21">
        <f>IF(ISNUMBER(Y21),INDEX(AllCollegeChicago, MATCH(N21,AllCollegeNCES,0))*AY21,0)</f>
        <v>0</v>
      </c>
      <c r="BT21">
        <f>IF(ISNUMBER(Y21),INDEX(AllCollegeMoneyCode, MATCH(N21,AllCollegeNCES,0)),"?")</f>
        <v>0</v>
      </c>
      <c r="BU21">
        <f>IF(OR(BT21="---",BT21="--",BT21="+/--",BT21="+/---"),1,0)</f>
        <v>0</v>
      </c>
      <c r="BV21">
        <f>AY21*AO21*AQ21</f>
        <v>0</v>
      </c>
    </row>
    <row r="22" spans="1:74">
      <c r="A22" t="s">
        <v>86</v>
      </c>
      <c r="B22">
        <v>21854734</v>
      </c>
      <c r="C22" t="s">
        <v>311</v>
      </c>
      <c r="D22" t="s">
        <v>312</v>
      </c>
      <c r="E22" t="s">
        <v>428</v>
      </c>
      <c r="F22" t="s">
        <v>443</v>
      </c>
      <c r="G22" t="s">
        <v>430</v>
      </c>
      <c r="H22" t="s">
        <v>431</v>
      </c>
      <c r="I22" t="s">
        <v>432</v>
      </c>
      <c r="J22" t="s">
        <v>432</v>
      </c>
      <c r="K22">
        <v>0</v>
      </c>
      <c r="L22" t="s">
        <v>428</v>
      </c>
      <c r="M22" t="s">
        <v>428</v>
      </c>
      <c r="N22">
        <v>144209</v>
      </c>
      <c r="O22">
        <f>INDEX(AllCollegeBarrons,MATCH(N22,AllCollegeNCES,0))</f>
        <v>0</v>
      </c>
      <c r="P22">
        <f>INDEX(KidGPAs,MATCH(B22,KidIDs,0))</f>
        <v>0</v>
      </c>
      <c r="Q22">
        <f>INDEX(KidACTs,MATCH(B22,KidIDs,0))</f>
        <v>0</v>
      </c>
      <c r="R22">
        <f>INDEX(Strats,MATCH(B22,KidIDs,0))</f>
        <v>0</v>
      </c>
      <c r="S22">
        <f>INDEX(KidRace,MATCH(B22,KidIDs,0))</f>
        <v>0</v>
      </c>
      <c r="T22">
        <f>IF(OR(S22="M",S22="I"),"H",S22)</f>
        <v>0</v>
      </c>
      <c r="U22">
        <f>INDEX(StudentTargets,MATCH(B22,KidIDs,0))</f>
        <v>0</v>
      </c>
      <c r="V22">
        <f>INDEX(ReachStudentTargets,MATCH(B22,KidIDs,0))</f>
        <v>0</v>
      </c>
      <c r="W22">
        <f>IF(OR(M22="Posse"),1,0)</f>
        <v>0</v>
      </c>
      <c r="X22">
        <f>IF(ISNUMBER(INDEX(AllCollegeGR, MATCH(N22,AllCollegeNCES,0))),ROUND(INDEX(AllCollegeGR, MATCH(N22,AllCollegeNCES,0))+W22*IF(INDEX(AllCollegeGR, MATCH(N22,AllCollegeNCES,0))&gt;0.7,(1-INDEX(AllCollegeGR, MATCH(N22,AllCollegeNCES,0)))/2,0.15),2),INDEX(AllCollegeGR, MATCH(N22,AllCollegeNCES,0)))</f>
        <v>0</v>
      </c>
      <c r="Y22">
        <f>IF(ISNUMBER(INDEX(AllCollegeAAHGR, MATCH(N22,AllCollegeNCES,0))),ROUND(INDEX(AllCollegeAAHGR, MATCH(N22,AllCollegeNCES,0))+W22*IF(INDEX(AllCollegeAAHGR, MATCH(N22,AllCollegeNCES,0))&gt;0.7,(1-INDEX(AllCollegeAAHGR, MATCH(N22,AllCollegeNCES,0)))/2,0.15),2),INDEX(AllCollegeAAHGR, MATCH(N22,AllCollegeNCES,0)))</f>
        <v>0</v>
      </c>
      <c r="Z22">
        <f>IF(OR(T22="H",T22="B"),INDEX(AllCollegeACT25, MATCH(N22,AllCollegeNCES,0)),INDEX(AllCollegeACT50, MATCH(N22,AllCollegeNCES,0)))</f>
        <v>0</v>
      </c>
      <c r="AA22">
        <f>INDEX(CustomWeightsGPA,MATCH(T22&amp;":"&amp;N22,CustomWeightsIndex,0))</f>
        <v>0</v>
      </c>
      <c r="AB22">
        <f>INDEX(CustomWeightsACT,MATCH(T22&amp;":"&amp;N22,CustomWeightsIndex,0))</f>
        <v>0</v>
      </c>
      <c r="AC22">
        <f>INDEX(CustomWeightsIntercept,MATCH(T22&amp;":"&amp;N22,CustomWeightsIndex,0))</f>
        <v>0</v>
      </c>
      <c r="AD22">
        <f>AA22*P22+AB22*Q22+AC22</f>
        <v>0</v>
      </c>
      <c r="AE22">
        <f>INDEX(CoefficientsGPA,MATCH(T22&amp;":"&amp;O22,CoefficientsIndex,0))</f>
        <v>0</v>
      </c>
      <c r="AF22">
        <f>INDEX(CoefficientsACT,MATCH(T22&amp;":"&amp;O22,CoefficientsIndex,0))</f>
        <v>0</v>
      </c>
      <c r="AG22">
        <f>INDEX(CoefficientsIntercept,MATCH(T22&amp;":"&amp;O22,CoefficientsIndex,0))</f>
        <v>0</v>
      </c>
      <c r="AH22">
        <f>AE22*P22+(Q22-Z22)*AF22+AG22</f>
        <v>0</v>
      </c>
      <c r="AI22">
        <f>IF(ISNUMBER(AD22),AD22,AH22)</f>
        <v>0</v>
      </c>
      <c r="AJ22">
        <f>IF(ISNUMBER(AI22),IF(ISNUMBER(AE22),IF(AND(AE22=1,AF22=1,AG22=1),100,ROUND(100*EXP(AI22)/(1+EXP(AI22)),2)),ROUND(100*EXP(AI22)/(1+EXP(AI22)),2)),IF(ISTEXT(O22),IF(LEFT(O22,1)="2",100,"N/A"),"N/A"))</f>
        <v>0</v>
      </c>
      <c r="AK22">
        <f>IF(ISNUMBER(AJ22),IF(AJ22&gt;=99,IF(OR(R22=10,R22=11),MatchLabel,SureThingLabel),IF(AJ22&gt;=95,SecureLabel,IF(AJ22&gt;=80,SafetyLabel,IF(AJ22&gt;=50,MatchLabel,IF(AJ22&gt;=20,ReachLabel,IF(AJ22&gt;=10,LongshotLabel,HailMaryLabel)))))),"Other")</f>
        <v>0</v>
      </c>
      <c r="AL22">
        <f>IF(OR(I22="accepted",I22="cond. accept",I22="summer admit"),IF(J22="yes","CHOICE!","Accepted!"),IF(I22="denied","Denied",IF(K22=1,"Waitlist",IF(L22=1,"Deferred",IF(G22="pending","Pending",IF(OR(G22="initial materials submitted",G22="mid-year submitted",G22="final submitted"),"Submitted",IF(H22="interest","Interest","?")))))))</f>
        <v>0</v>
      </c>
      <c r="AM22">
        <f>IF(OR(AK22=ReachLabel,AK22=LongshotLabel,AK22=HailMaryLabel),1,0)</f>
        <v>0</v>
      </c>
      <c r="AN22">
        <f>IF(OR(AM22=1,AK22=MatchLabel),1,0)</f>
        <v>0</v>
      </c>
      <c r="AO22">
        <f>IF(OR(AK22=MatchLabel,AK22=SafetyLabel,AK22=SecureLabel,AK22=SureThingLabel),1,0)</f>
        <v>0</v>
      </c>
      <c r="AP22">
        <f>IF(OR(T22="H",T22="B"),IF(ISNUMBER(Y22),ROUND(Y22,2),0),IF(ISNUMBER(X22),ROUND(X22,2),0))</f>
        <v>0</v>
      </c>
      <c r="AQ22">
        <f>IF(AP22&gt;=U22,1,0)</f>
        <v>0</v>
      </c>
      <c r="AR22">
        <f>IF(AP22&gt;=V22,1,0)</f>
        <v>0</v>
      </c>
      <c r="AS22">
        <f>IF(AP22&lt;(U22-0.10),1,0)</f>
        <v>0</v>
      </c>
      <c r="AT22">
        <f>1-AJ22/100</f>
        <v>0</v>
      </c>
      <c r="AU22">
        <f>IF(AN22=1,AT22,1)</f>
        <v>0</v>
      </c>
      <c r="AV22">
        <f>IF(AM22=1,AT22,1)</f>
        <v>0</v>
      </c>
      <c r="AW22">
        <f>IF(AND(AQ22=1,ISNUMBER(AT22)),$AT22,1)</f>
        <v>0</v>
      </c>
      <c r="AX22">
        <f>IF(AND(AR22=1,ISNUMBER(AT22)),$AT22,1)</f>
        <v>0</v>
      </c>
      <c r="AY22">
        <f>IF(ISNUMBER(Y22),INDEX(AllCollegeMoney, MATCH(N22,AllCollegeNCES,0)),0)</f>
        <v>0</v>
      </c>
      <c r="AZ22">
        <f>IF(AND(AQ22=1,ISNUMBER(AT22),AY22=1),$AT22,1)</f>
        <v>0</v>
      </c>
      <c r="BA22">
        <f>IF(AND(AR22=1,ISNUMBER(AT22),AY22=1),$AT22,1)</f>
        <v>0</v>
      </c>
      <c r="BB22">
        <f>IF(ISNUMBER(Y22),INDEX(AllCollegeILPub, MATCH(N22,AllCollegeNCES,0)),0)</f>
        <v>0</v>
      </c>
      <c r="BC22">
        <f>IF(AK22=ReachLabel,AP22,0)</f>
        <v>0</v>
      </c>
      <c r="BD22">
        <f>IF(AK22=MatchLabel,AP22,0)</f>
        <v>0</v>
      </c>
      <c r="BE22">
        <f>IF(AK22=SafetyLabel,AP22,0)</f>
        <v>0</v>
      </c>
      <c r="BF22">
        <f>IF(AK22=SecureLabel,AP22,0)</f>
        <v>0</v>
      </c>
      <c r="BG22">
        <f>IF(AK22=SureThingLabel,AP22,0)</f>
        <v>0</v>
      </c>
      <c r="BH22">
        <f>MAX(BC22:BG22)</f>
        <v>0</v>
      </c>
      <c r="BI22">
        <f>MAX(BD22:BG22)</f>
        <v>0</v>
      </c>
      <c r="BJ22">
        <f>MAX(BE22:BG22)</f>
        <v>0</v>
      </c>
      <c r="BK22">
        <f>IF(AND(AK22=ReachLabel,AY22=1),AP22,0)</f>
        <v>0</v>
      </c>
      <c r="BL22">
        <f>IF(AND(AK22=MatchLabel,AY22=1),AP22,0)</f>
        <v>0</v>
      </c>
      <c r="BM22">
        <f>IF(AND(AK22=SafetyLabel,AY22=1),AP22,0)</f>
        <v>0</v>
      </c>
      <c r="BN22">
        <f>IF(AND(AK22=SecureLabel,AY22=1),AP22,0)</f>
        <v>0</v>
      </c>
      <c r="BO22">
        <f>IF(AND(AK22=SureThingLabel,AY22=1),AP22,0)</f>
        <v>0</v>
      </c>
      <c r="BP22">
        <f>MAX(BK22:BO22)</f>
        <v>0</v>
      </c>
      <c r="BQ22">
        <f>MAX(BL22:BO22)</f>
        <v>0</v>
      </c>
      <c r="BR22">
        <f>MAX(BM22:BO22)</f>
        <v>0</v>
      </c>
      <c r="BS22">
        <f>IF(ISNUMBER(Y22),INDEX(AllCollegeChicago, MATCH(N22,AllCollegeNCES,0))*AY22,0)</f>
        <v>0</v>
      </c>
      <c r="BT22">
        <f>IF(ISNUMBER(Y22),INDEX(AllCollegeMoneyCode, MATCH(N22,AllCollegeNCES,0)),"?")</f>
        <v>0</v>
      </c>
      <c r="BU22">
        <f>IF(OR(BT22="---",BT22="--",BT22="+/--",BT22="+/---"),1,0)</f>
        <v>0</v>
      </c>
      <c r="BV22">
        <f>AY22*AO22*AQ22</f>
        <v>0</v>
      </c>
    </row>
    <row r="23" spans="1:74">
      <c r="A23" t="s">
        <v>86</v>
      </c>
      <c r="B23">
        <v>21854734</v>
      </c>
      <c r="C23" t="s">
        <v>311</v>
      </c>
      <c r="D23" t="s">
        <v>312</v>
      </c>
      <c r="E23" t="s">
        <v>428</v>
      </c>
      <c r="F23" t="s">
        <v>445</v>
      </c>
      <c r="G23" t="s">
        <v>430</v>
      </c>
      <c r="H23" t="s">
        <v>431</v>
      </c>
      <c r="I23" t="s">
        <v>432</v>
      </c>
      <c r="J23" t="s">
        <v>432</v>
      </c>
      <c r="K23">
        <v>0</v>
      </c>
      <c r="L23" t="s">
        <v>428</v>
      </c>
      <c r="M23" t="s">
        <v>428</v>
      </c>
      <c r="N23">
        <v>147776</v>
      </c>
      <c r="O23">
        <f>INDEX(AllCollegeBarrons,MATCH(N23,AllCollegeNCES,0))</f>
        <v>0</v>
      </c>
      <c r="P23">
        <f>INDEX(KidGPAs,MATCH(B23,KidIDs,0))</f>
        <v>0</v>
      </c>
      <c r="Q23">
        <f>INDEX(KidACTs,MATCH(B23,KidIDs,0))</f>
        <v>0</v>
      </c>
      <c r="R23">
        <f>INDEX(Strats,MATCH(B23,KidIDs,0))</f>
        <v>0</v>
      </c>
      <c r="S23">
        <f>INDEX(KidRace,MATCH(B23,KidIDs,0))</f>
        <v>0</v>
      </c>
      <c r="T23">
        <f>IF(OR(S23="M",S23="I"),"H",S23)</f>
        <v>0</v>
      </c>
      <c r="U23">
        <f>INDEX(StudentTargets,MATCH(B23,KidIDs,0))</f>
        <v>0</v>
      </c>
      <c r="V23">
        <f>INDEX(ReachStudentTargets,MATCH(B23,KidIDs,0))</f>
        <v>0</v>
      </c>
      <c r="W23">
        <f>IF(OR(M23="Posse"),1,0)</f>
        <v>0</v>
      </c>
      <c r="X23">
        <f>IF(ISNUMBER(INDEX(AllCollegeGR, MATCH(N23,AllCollegeNCES,0))),ROUND(INDEX(AllCollegeGR, MATCH(N23,AllCollegeNCES,0))+W23*IF(INDEX(AllCollegeGR, MATCH(N23,AllCollegeNCES,0))&gt;0.7,(1-INDEX(AllCollegeGR, MATCH(N23,AllCollegeNCES,0)))/2,0.15),2),INDEX(AllCollegeGR, MATCH(N23,AllCollegeNCES,0)))</f>
        <v>0</v>
      </c>
      <c r="Y23">
        <f>IF(ISNUMBER(INDEX(AllCollegeAAHGR, MATCH(N23,AllCollegeNCES,0))),ROUND(INDEX(AllCollegeAAHGR, MATCH(N23,AllCollegeNCES,0))+W23*IF(INDEX(AllCollegeAAHGR, MATCH(N23,AllCollegeNCES,0))&gt;0.7,(1-INDEX(AllCollegeAAHGR, MATCH(N23,AllCollegeNCES,0)))/2,0.15),2),INDEX(AllCollegeAAHGR, MATCH(N23,AllCollegeNCES,0)))</f>
        <v>0</v>
      </c>
      <c r="Z23">
        <f>IF(OR(T23="H",T23="B"),INDEX(AllCollegeACT25, MATCH(N23,AllCollegeNCES,0)),INDEX(AllCollegeACT50, MATCH(N23,AllCollegeNCES,0)))</f>
        <v>0</v>
      </c>
      <c r="AA23">
        <f>INDEX(CustomWeightsGPA,MATCH(T23&amp;":"&amp;N23,CustomWeightsIndex,0))</f>
        <v>0</v>
      </c>
      <c r="AB23">
        <f>INDEX(CustomWeightsACT,MATCH(T23&amp;":"&amp;N23,CustomWeightsIndex,0))</f>
        <v>0</v>
      </c>
      <c r="AC23">
        <f>INDEX(CustomWeightsIntercept,MATCH(T23&amp;":"&amp;N23,CustomWeightsIndex,0))</f>
        <v>0</v>
      </c>
      <c r="AD23">
        <f>AA23*P23+AB23*Q23+AC23</f>
        <v>0</v>
      </c>
      <c r="AE23">
        <f>INDEX(CoefficientsGPA,MATCH(T23&amp;":"&amp;O23,CoefficientsIndex,0))</f>
        <v>0</v>
      </c>
      <c r="AF23">
        <f>INDEX(CoefficientsACT,MATCH(T23&amp;":"&amp;O23,CoefficientsIndex,0))</f>
        <v>0</v>
      </c>
      <c r="AG23">
        <f>INDEX(CoefficientsIntercept,MATCH(T23&amp;":"&amp;O23,CoefficientsIndex,0))</f>
        <v>0</v>
      </c>
      <c r="AH23">
        <f>AE23*P23+(Q23-Z23)*AF23+AG23</f>
        <v>0</v>
      </c>
      <c r="AI23">
        <f>IF(ISNUMBER(AD23),AD23,AH23)</f>
        <v>0</v>
      </c>
      <c r="AJ23">
        <f>IF(ISNUMBER(AI23),IF(ISNUMBER(AE23),IF(AND(AE23=1,AF23=1,AG23=1),100,ROUND(100*EXP(AI23)/(1+EXP(AI23)),2)),ROUND(100*EXP(AI23)/(1+EXP(AI23)),2)),IF(ISTEXT(O23),IF(LEFT(O23,1)="2",100,"N/A"),"N/A"))</f>
        <v>0</v>
      </c>
      <c r="AK23">
        <f>IF(ISNUMBER(AJ23),IF(AJ23&gt;=99,IF(OR(R23=10,R23=11),MatchLabel,SureThingLabel),IF(AJ23&gt;=95,SecureLabel,IF(AJ23&gt;=80,SafetyLabel,IF(AJ23&gt;=50,MatchLabel,IF(AJ23&gt;=20,ReachLabel,IF(AJ23&gt;=10,LongshotLabel,HailMaryLabel)))))),"Other")</f>
        <v>0</v>
      </c>
      <c r="AL23">
        <f>IF(OR(I23="accepted",I23="cond. accept",I23="summer admit"),IF(J23="yes","CHOICE!","Accepted!"),IF(I23="denied","Denied",IF(K23=1,"Waitlist",IF(L23=1,"Deferred",IF(G23="pending","Pending",IF(OR(G23="initial materials submitted",G23="mid-year submitted",G23="final submitted"),"Submitted",IF(H23="interest","Interest","?")))))))</f>
        <v>0</v>
      </c>
      <c r="AM23">
        <f>IF(OR(AK23=ReachLabel,AK23=LongshotLabel,AK23=HailMaryLabel),1,0)</f>
        <v>0</v>
      </c>
      <c r="AN23">
        <f>IF(OR(AM23=1,AK23=MatchLabel),1,0)</f>
        <v>0</v>
      </c>
      <c r="AO23">
        <f>IF(OR(AK23=MatchLabel,AK23=SafetyLabel,AK23=SecureLabel,AK23=SureThingLabel),1,0)</f>
        <v>0</v>
      </c>
      <c r="AP23">
        <f>IF(OR(T23="H",T23="B"),IF(ISNUMBER(Y23),ROUND(Y23,2),0),IF(ISNUMBER(X23),ROUND(X23,2),0))</f>
        <v>0</v>
      </c>
      <c r="AQ23">
        <f>IF(AP23&gt;=U23,1,0)</f>
        <v>0</v>
      </c>
      <c r="AR23">
        <f>IF(AP23&gt;=V23,1,0)</f>
        <v>0</v>
      </c>
      <c r="AS23">
        <f>IF(AP23&lt;(U23-0.10),1,0)</f>
        <v>0</v>
      </c>
      <c r="AT23">
        <f>1-AJ23/100</f>
        <v>0</v>
      </c>
      <c r="AU23">
        <f>IF(AN23=1,AT23,1)</f>
        <v>0</v>
      </c>
      <c r="AV23">
        <f>IF(AM23=1,AT23,1)</f>
        <v>0</v>
      </c>
      <c r="AW23">
        <f>IF(AND(AQ23=1,ISNUMBER(AT23)),$AT23,1)</f>
        <v>0</v>
      </c>
      <c r="AX23">
        <f>IF(AND(AR23=1,ISNUMBER(AT23)),$AT23,1)</f>
        <v>0</v>
      </c>
      <c r="AY23">
        <f>IF(ISNUMBER(Y23),INDEX(AllCollegeMoney, MATCH(N23,AllCollegeNCES,0)),0)</f>
        <v>0</v>
      </c>
      <c r="AZ23">
        <f>IF(AND(AQ23=1,ISNUMBER(AT23),AY23=1),$AT23,1)</f>
        <v>0</v>
      </c>
      <c r="BA23">
        <f>IF(AND(AR23=1,ISNUMBER(AT23),AY23=1),$AT23,1)</f>
        <v>0</v>
      </c>
      <c r="BB23">
        <f>IF(ISNUMBER(Y23),INDEX(AllCollegeILPub, MATCH(N23,AllCollegeNCES,0)),0)</f>
        <v>0</v>
      </c>
      <c r="BC23">
        <f>IF(AK23=ReachLabel,AP23,0)</f>
        <v>0</v>
      </c>
      <c r="BD23">
        <f>IF(AK23=MatchLabel,AP23,0)</f>
        <v>0</v>
      </c>
      <c r="BE23">
        <f>IF(AK23=SafetyLabel,AP23,0)</f>
        <v>0</v>
      </c>
      <c r="BF23">
        <f>IF(AK23=SecureLabel,AP23,0)</f>
        <v>0</v>
      </c>
      <c r="BG23">
        <f>IF(AK23=SureThingLabel,AP23,0)</f>
        <v>0</v>
      </c>
      <c r="BH23">
        <f>MAX(BC23:BG23)</f>
        <v>0</v>
      </c>
      <c r="BI23">
        <f>MAX(BD23:BG23)</f>
        <v>0</v>
      </c>
      <c r="BJ23">
        <f>MAX(BE23:BG23)</f>
        <v>0</v>
      </c>
      <c r="BK23">
        <f>IF(AND(AK23=ReachLabel,AY23=1),AP23,0)</f>
        <v>0</v>
      </c>
      <c r="BL23">
        <f>IF(AND(AK23=MatchLabel,AY23=1),AP23,0)</f>
        <v>0</v>
      </c>
      <c r="BM23">
        <f>IF(AND(AK23=SafetyLabel,AY23=1),AP23,0)</f>
        <v>0</v>
      </c>
      <c r="BN23">
        <f>IF(AND(AK23=SecureLabel,AY23=1),AP23,0)</f>
        <v>0</v>
      </c>
      <c r="BO23">
        <f>IF(AND(AK23=SureThingLabel,AY23=1),AP23,0)</f>
        <v>0</v>
      </c>
      <c r="BP23">
        <f>MAX(BK23:BO23)</f>
        <v>0</v>
      </c>
      <c r="BQ23">
        <f>MAX(BL23:BO23)</f>
        <v>0</v>
      </c>
      <c r="BR23">
        <f>MAX(BM23:BO23)</f>
        <v>0</v>
      </c>
      <c r="BS23">
        <f>IF(ISNUMBER(Y23),INDEX(AllCollegeChicago, MATCH(N23,AllCollegeNCES,0))*AY23,0)</f>
        <v>0</v>
      </c>
      <c r="BT23">
        <f>IF(ISNUMBER(Y23),INDEX(AllCollegeMoneyCode, MATCH(N23,AllCollegeNCES,0)),"?")</f>
        <v>0</v>
      </c>
      <c r="BU23">
        <f>IF(OR(BT23="---",BT23="--",BT23="+/--",BT23="+/---"),1,0)</f>
        <v>0</v>
      </c>
      <c r="BV23">
        <f>AY23*AO23*AQ23</f>
        <v>0</v>
      </c>
    </row>
    <row r="24" spans="1:74">
      <c r="A24" t="s">
        <v>86</v>
      </c>
      <c r="B24">
        <v>22026339</v>
      </c>
      <c r="C24" t="s">
        <v>299</v>
      </c>
      <c r="D24" t="s">
        <v>300</v>
      </c>
      <c r="E24" t="s">
        <v>428</v>
      </c>
      <c r="F24" t="s">
        <v>453</v>
      </c>
      <c r="G24" t="s">
        <v>430</v>
      </c>
      <c r="H24" t="s">
        <v>431</v>
      </c>
      <c r="I24" t="s">
        <v>432</v>
      </c>
      <c r="J24" t="s">
        <v>432</v>
      </c>
      <c r="K24">
        <v>0</v>
      </c>
      <c r="L24" t="s">
        <v>428</v>
      </c>
      <c r="M24" t="s">
        <v>428</v>
      </c>
      <c r="N24">
        <v>212674</v>
      </c>
      <c r="O24">
        <f>INDEX(AllCollegeBarrons,MATCH(N24,AllCollegeNCES,0))</f>
        <v>0</v>
      </c>
      <c r="P24">
        <f>INDEX(KidGPAs,MATCH(B24,KidIDs,0))</f>
        <v>0</v>
      </c>
      <c r="Q24">
        <f>INDEX(KidACTs,MATCH(B24,KidIDs,0))</f>
        <v>0</v>
      </c>
      <c r="R24">
        <f>INDEX(Strats,MATCH(B24,KidIDs,0))</f>
        <v>0</v>
      </c>
      <c r="S24">
        <f>INDEX(KidRace,MATCH(B24,KidIDs,0))</f>
        <v>0</v>
      </c>
      <c r="T24">
        <f>IF(OR(S24="M",S24="I"),"H",S24)</f>
        <v>0</v>
      </c>
      <c r="U24">
        <f>INDEX(StudentTargets,MATCH(B24,KidIDs,0))</f>
        <v>0</v>
      </c>
      <c r="V24">
        <f>INDEX(ReachStudentTargets,MATCH(B24,KidIDs,0))</f>
        <v>0</v>
      </c>
      <c r="W24">
        <f>IF(OR(M24="Posse"),1,0)</f>
        <v>0</v>
      </c>
      <c r="X24">
        <f>IF(ISNUMBER(INDEX(AllCollegeGR, MATCH(N24,AllCollegeNCES,0))),ROUND(INDEX(AllCollegeGR, MATCH(N24,AllCollegeNCES,0))+W24*IF(INDEX(AllCollegeGR, MATCH(N24,AllCollegeNCES,0))&gt;0.7,(1-INDEX(AllCollegeGR, MATCH(N24,AllCollegeNCES,0)))/2,0.15),2),INDEX(AllCollegeGR, MATCH(N24,AllCollegeNCES,0)))</f>
        <v>0</v>
      </c>
      <c r="Y24">
        <f>IF(ISNUMBER(INDEX(AllCollegeAAHGR, MATCH(N24,AllCollegeNCES,0))),ROUND(INDEX(AllCollegeAAHGR, MATCH(N24,AllCollegeNCES,0))+W24*IF(INDEX(AllCollegeAAHGR, MATCH(N24,AllCollegeNCES,0))&gt;0.7,(1-INDEX(AllCollegeAAHGR, MATCH(N24,AllCollegeNCES,0)))/2,0.15),2),INDEX(AllCollegeAAHGR, MATCH(N24,AllCollegeNCES,0)))</f>
        <v>0</v>
      </c>
      <c r="Z24">
        <f>IF(OR(T24="H",T24="B"),INDEX(AllCollegeACT25, MATCH(N24,AllCollegeNCES,0)),INDEX(AllCollegeACT50, MATCH(N24,AllCollegeNCES,0)))</f>
        <v>0</v>
      </c>
      <c r="AA24">
        <f>INDEX(CustomWeightsGPA,MATCH(T24&amp;":"&amp;N24,CustomWeightsIndex,0))</f>
        <v>0</v>
      </c>
      <c r="AB24">
        <f>INDEX(CustomWeightsACT,MATCH(T24&amp;":"&amp;N24,CustomWeightsIndex,0))</f>
        <v>0</v>
      </c>
      <c r="AC24">
        <f>INDEX(CustomWeightsIntercept,MATCH(T24&amp;":"&amp;N24,CustomWeightsIndex,0))</f>
        <v>0</v>
      </c>
      <c r="AD24">
        <f>AA24*P24+AB24*Q24+AC24</f>
        <v>0</v>
      </c>
      <c r="AE24">
        <f>INDEX(CoefficientsGPA,MATCH(T24&amp;":"&amp;O24,CoefficientsIndex,0))</f>
        <v>0</v>
      </c>
      <c r="AF24">
        <f>INDEX(CoefficientsACT,MATCH(T24&amp;":"&amp;O24,CoefficientsIndex,0))</f>
        <v>0</v>
      </c>
      <c r="AG24">
        <f>INDEX(CoefficientsIntercept,MATCH(T24&amp;":"&amp;O24,CoefficientsIndex,0))</f>
        <v>0</v>
      </c>
      <c r="AH24">
        <f>AE24*P24+(Q24-Z24)*AF24+AG24</f>
        <v>0</v>
      </c>
      <c r="AI24">
        <f>IF(ISNUMBER(AD24),AD24,AH24)</f>
        <v>0</v>
      </c>
      <c r="AJ24">
        <f>IF(ISNUMBER(AI24),IF(ISNUMBER(AE24),IF(AND(AE24=1,AF24=1,AG24=1),100,ROUND(100*EXP(AI24)/(1+EXP(AI24)),2)),ROUND(100*EXP(AI24)/(1+EXP(AI24)),2)),IF(ISTEXT(O24),IF(LEFT(O24,1)="2",100,"N/A"),"N/A"))</f>
        <v>0</v>
      </c>
      <c r="AK24">
        <f>IF(ISNUMBER(AJ24),IF(AJ24&gt;=99,IF(OR(R24=10,R24=11),MatchLabel,SureThingLabel),IF(AJ24&gt;=95,SecureLabel,IF(AJ24&gt;=80,SafetyLabel,IF(AJ24&gt;=50,MatchLabel,IF(AJ24&gt;=20,ReachLabel,IF(AJ24&gt;=10,LongshotLabel,HailMaryLabel)))))),"Other")</f>
        <v>0</v>
      </c>
      <c r="AL24">
        <f>IF(OR(I24="accepted",I24="cond. accept",I24="summer admit"),IF(J24="yes","CHOICE!","Accepted!"),IF(I24="denied","Denied",IF(K24=1,"Waitlist",IF(L24=1,"Deferred",IF(G24="pending","Pending",IF(OR(G24="initial materials submitted",G24="mid-year submitted",G24="final submitted"),"Submitted",IF(H24="interest","Interest","?")))))))</f>
        <v>0</v>
      </c>
      <c r="AM24">
        <f>IF(OR(AK24=ReachLabel,AK24=LongshotLabel,AK24=HailMaryLabel),1,0)</f>
        <v>0</v>
      </c>
      <c r="AN24">
        <f>IF(OR(AM24=1,AK24=MatchLabel),1,0)</f>
        <v>0</v>
      </c>
      <c r="AO24">
        <f>IF(OR(AK24=MatchLabel,AK24=SafetyLabel,AK24=SecureLabel,AK24=SureThingLabel),1,0)</f>
        <v>0</v>
      </c>
      <c r="AP24">
        <f>IF(OR(T24="H",T24="B"),IF(ISNUMBER(Y24),ROUND(Y24,2),0),IF(ISNUMBER(X24),ROUND(X24,2),0))</f>
        <v>0</v>
      </c>
      <c r="AQ24">
        <f>IF(AP24&gt;=U24,1,0)</f>
        <v>0</v>
      </c>
      <c r="AR24">
        <f>IF(AP24&gt;=V24,1,0)</f>
        <v>0</v>
      </c>
      <c r="AS24">
        <f>IF(AP24&lt;(U24-0.10),1,0)</f>
        <v>0</v>
      </c>
      <c r="AT24">
        <f>1-AJ24/100</f>
        <v>0</v>
      </c>
      <c r="AU24">
        <f>IF(AN24=1,AT24,1)</f>
        <v>0</v>
      </c>
      <c r="AV24">
        <f>IF(AM24=1,AT24,1)</f>
        <v>0</v>
      </c>
      <c r="AW24">
        <f>IF(AND(AQ24=1,ISNUMBER(AT24)),$AT24,1)</f>
        <v>0</v>
      </c>
      <c r="AX24">
        <f>IF(AND(AR24=1,ISNUMBER(AT24)),$AT24,1)</f>
        <v>0</v>
      </c>
      <c r="AY24">
        <f>IF(ISNUMBER(Y24),INDEX(AllCollegeMoney, MATCH(N24,AllCollegeNCES,0)),0)</f>
        <v>0</v>
      </c>
      <c r="AZ24">
        <f>IF(AND(AQ24=1,ISNUMBER(AT24),AY24=1),$AT24,1)</f>
        <v>0</v>
      </c>
      <c r="BA24">
        <f>IF(AND(AR24=1,ISNUMBER(AT24),AY24=1),$AT24,1)</f>
        <v>0</v>
      </c>
      <c r="BB24">
        <f>IF(ISNUMBER(Y24),INDEX(AllCollegeILPub, MATCH(N24,AllCollegeNCES,0)),0)</f>
        <v>0</v>
      </c>
      <c r="BC24">
        <f>IF(AK24=ReachLabel,AP24,0)</f>
        <v>0</v>
      </c>
      <c r="BD24">
        <f>IF(AK24=MatchLabel,AP24,0)</f>
        <v>0</v>
      </c>
      <c r="BE24">
        <f>IF(AK24=SafetyLabel,AP24,0)</f>
        <v>0</v>
      </c>
      <c r="BF24">
        <f>IF(AK24=SecureLabel,AP24,0)</f>
        <v>0</v>
      </c>
      <c r="BG24">
        <f>IF(AK24=SureThingLabel,AP24,0)</f>
        <v>0</v>
      </c>
      <c r="BH24">
        <f>MAX(BC24:BG24)</f>
        <v>0</v>
      </c>
      <c r="BI24">
        <f>MAX(BD24:BG24)</f>
        <v>0</v>
      </c>
      <c r="BJ24">
        <f>MAX(BE24:BG24)</f>
        <v>0</v>
      </c>
      <c r="BK24">
        <f>IF(AND(AK24=ReachLabel,AY24=1),AP24,0)</f>
        <v>0</v>
      </c>
      <c r="BL24">
        <f>IF(AND(AK24=MatchLabel,AY24=1),AP24,0)</f>
        <v>0</v>
      </c>
      <c r="BM24">
        <f>IF(AND(AK24=SafetyLabel,AY24=1),AP24,0)</f>
        <v>0</v>
      </c>
      <c r="BN24">
        <f>IF(AND(AK24=SecureLabel,AY24=1),AP24,0)</f>
        <v>0</v>
      </c>
      <c r="BO24">
        <f>IF(AND(AK24=SureThingLabel,AY24=1),AP24,0)</f>
        <v>0</v>
      </c>
      <c r="BP24">
        <f>MAX(BK24:BO24)</f>
        <v>0</v>
      </c>
      <c r="BQ24">
        <f>MAX(BL24:BO24)</f>
        <v>0</v>
      </c>
      <c r="BR24">
        <f>MAX(BM24:BO24)</f>
        <v>0</v>
      </c>
      <c r="BS24">
        <f>IF(ISNUMBER(Y24),INDEX(AllCollegeChicago, MATCH(N24,AllCollegeNCES,0))*AY24,0)</f>
        <v>0</v>
      </c>
      <c r="BT24">
        <f>IF(ISNUMBER(Y24),INDEX(AllCollegeMoneyCode, MATCH(N24,AllCollegeNCES,0)),"?")</f>
        <v>0</v>
      </c>
      <c r="BU24">
        <f>IF(OR(BT24="---",BT24="--",BT24="+/--",BT24="+/---"),1,0)</f>
        <v>0</v>
      </c>
      <c r="BV24">
        <f>AY24*AO24*AQ24</f>
        <v>0</v>
      </c>
    </row>
    <row r="25" spans="1:74">
      <c r="A25" t="s">
        <v>86</v>
      </c>
      <c r="B25">
        <v>22026339</v>
      </c>
      <c r="C25" t="s">
        <v>299</v>
      </c>
      <c r="D25" t="s">
        <v>300</v>
      </c>
      <c r="E25" t="s">
        <v>428</v>
      </c>
      <c r="F25" t="s">
        <v>454</v>
      </c>
      <c r="G25" t="s">
        <v>430</v>
      </c>
      <c r="H25" t="s">
        <v>431</v>
      </c>
      <c r="I25" t="s">
        <v>432</v>
      </c>
      <c r="J25" t="s">
        <v>432</v>
      </c>
      <c r="K25">
        <v>0</v>
      </c>
      <c r="L25" t="s">
        <v>428</v>
      </c>
      <c r="M25" t="s">
        <v>428</v>
      </c>
      <c r="N25">
        <v>170532</v>
      </c>
      <c r="O25">
        <f>INDEX(AllCollegeBarrons,MATCH(N25,AllCollegeNCES,0))</f>
        <v>0</v>
      </c>
      <c r="P25">
        <f>INDEX(KidGPAs,MATCH(B25,KidIDs,0))</f>
        <v>0</v>
      </c>
      <c r="Q25">
        <f>INDEX(KidACTs,MATCH(B25,KidIDs,0))</f>
        <v>0</v>
      </c>
      <c r="R25">
        <f>INDEX(Strats,MATCH(B25,KidIDs,0))</f>
        <v>0</v>
      </c>
      <c r="S25">
        <f>INDEX(KidRace,MATCH(B25,KidIDs,0))</f>
        <v>0</v>
      </c>
      <c r="T25">
        <f>IF(OR(S25="M",S25="I"),"H",S25)</f>
        <v>0</v>
      </c>
      <c r="U25">
        <f>INDEX(StudentTargets,MATCH(B25,KidIDs,0))</f>
        <v>0</v>
      </c>
      <c r="V25">
        <f>INDEX(ReachStudentTargets,MATCH(B25,KidIDs,0))</f>
        <v>0</v>
      </c>
      <c r="W25">
        <f>IF(OR(M25="Posse"),1,0)</f>
        <v>0</v>
      </c>
      <c r="X25">
        <f>IF(ISNUMBER(INDEX(AllCollegeGR, MATCH(N25,AllCollegeNCES,0))),ROUND(INDEX(AllCollegeGR, MATCH(N25,AllCollegeNCES,0))+W25*IF(INDEX(AllCollegeGR, MATCH(N25,AllCollegeNCES,0))&gt;0.7,(1-INDEX(AllCollegeGR, MATCH(N25,AllCollegeNCES,0)))/2,0.15),2),INDEX(AllCollegeGR, MATCH(N25,AllCollegeNCES,0)))</f>
        <v>0</v>
      </c>
      <c r="Y25">
        <f>IF(ISNUMBER(INDEX(AllCollegeAAHGR, MATCH(N25,AllCollegeNCES,0))),ROUND(INDEX(AllCollegeAAHGR, MATCH(N25,AllCollegeNCES,0))+W25*IF(INDEX(AllCollegeAAHGR, MATCH(N25,AllCollegeNCES,0))&gt;0.7,(1-INDEX(AllCollegeAAHGR, MATCH(N25,AllCollegeNCES,0)))/2,0.15),2),INDEX(AllCollegeAAHGR, MATCH(N25,AllCollegeNCES,0)))</f>
        <v>0</v>
      </c>
      <c r="Z25">
        <f>IF(OR(T25="H",T25="B"),INDEX(AllCollegeACT25, MATCH(N25,AllCollegeNCES,0)),INDEX(AllCollegeACT50, MATCH(N25,AllCollegeNCES,0)))</f>
        <v>0</v>
      </c>
      <c r="AA25">
        <f>INDEX(CustomWeightsGPA,MATCH(T25&amp;":"&amp;N25,CustomWeightsIndex,0))</f>
        <v>0</v>
      </c>
      <c r="AB25">
        <f>INDEX(CustomWeightsACT,MATCH(T25&amp;":"&amp;N25,CustomWeightsIndex,0))</f>
        <v>0</v>
      </c>
      <c r="AC25">
        <f>INDEX(CustomWeightsIntercept,MATCH(T25&amp;":"&amp;N25,CustomWeightsIndex,0))</f>
        <v>0</v>
      </c>
      <c r="AD25">
        <f>AA25*P25+AB25*Q25+AC25</f>
        <v>0</v>
      </c>
      <c r="AE25">
        <f>INDEX(CoefficientsGPA,MATCH(T25&amp;":"&amp;O25,CoefficientsIndex,0))</f>
        <v>0</v>
      </c>
      <c r="AF25">
        <f>INDEX(CoefficientsACT,MATCH(T25&amp;":"&amp;O25,CoefficientsIndex,0))</f>
        <v>0</v>
      </c>
      <c r="AG25">
        <f>INDEX(CoefficientsIntercept,MATCH(T25&amp;":"&amp;O25,CoefficientsIndex,0))</f>
        <v>0</v>
      </c>
      <c r="AH25">
        <f>AE25*P25+(Q25-Z25)*AF25+AG25</f>
        <v>0</v>
      </c>
      <c r="AI25">
        <f>IF(ISNUMBER(AD25),AD25,AH25)</f>
        <v>0</v>
      </c>
      <c r="AJ25">
        <f>IF(ISNUMBER(AI25),IF(ISNUMBER(AE25),IF(AND(AE25=1,AF25=1,AG25=1),100,ROUND(100*EXP(AI25)/(1+EXP(AI25)),2)),ROUND(100*EXP(AI25)/(1+EXP(AI25)),2)),IF(ISTEXT(O25),IF(LEFT(O25,1)="2",100,"N/A"),"N/A"))</f>
        <v>0</v>
      </c>
      <c r="AK25">
        <f>IF(ISNUMBER(AJ25),IF(AJ25&gt;=99,IF(OR(R25=10,R25=11),MatchLabel,SureThingLabel),IF(AJ25&gt;=95,SecureLabel,IF(AJ25&gt;=80,SafetyLabel,IF(AJ25&gt;=50,MatchLabel,IF(AJ25&gt;=20,ReachLabel,IF(AJ25&gt;=10,LongshotLabel,HailMaryLabel)))))),"Other")</f>
        <v>0</v>
      </c>
      <c r="AL25">
        <f>IF(OR(I25="accepted",I25="cond. accept",I25="summer admit"),IF(J25="yes","CHOICE!","Accepted!"),IF(I25="denied","Denied",IF(K25=1,"Waitlist",IF(L25=1,"Deferred",IF(G25="pending","Pending",IF(OR(G25="initial materials submitted",G25="mid-year submitted",G25="final submitted"),"Submitted",IF(H25="interest","Interest","?")))))))</f>
        <v>0</v>
      </c>
      <c r="AM25">
        <f>IF(OR(AK25=ReachLabel,AK25=LongshotLabel,AK25=HailMaryLabel),1,0)</f>
        <v>0</v>
      </c>
      <c r="AN25">
        <f>IF(OR(AM25=1,AK25=MatchLabel),1,0)</f>
        <v>0</v>
      </c>
      <c r="AO25">
        <f>IF(OR(AK25=MatchLabel,AK25=SafetyLabel,AK25=SecureLabel,AK25=SureThingLabel),1,0)</f>
        <v>0</v>
      </c>
      <c r="AP25">
        <f>IF(OR(T25="H",T25="B"),IF(ISNUMBER(Y25),ROUND(Y25,2),0),IF(ISNUMBER(X25),ROUND(X25,2),0))</f>
        <v>0</v>
      </c>
      <c r="AQ25">
        <f>IF(AP25&gt;=U25,1,0)</f>
        <v>0</v>
      </c>
      <c r="AR25">
        <f>IF(AP25&gt;=V25,1,0)</f>
        <v>0</v>
      </c>
      <c r="AS25">
        <f>IF(AP25&lt;(U25-0.10),1,0)</f>
        <v>0</v>
      </c>
      <c r="AT25">
        <f>1-AJ25/100</f>
        <v>0</v>
      </c>
      <c r="AU25">
        <f>IF(AN25=1,AT25,1)</f>
        <v>0</v>
      </c>
      <c r="AV25">
        <f>IF(AM25=1,AT25,1)</f>
        <v>0</v>
      </c>
      <c r="AW25">
        <f>IF(AND(AQ25=1,ISNUMBER(AT25)),$AT25,1)</f>
        <v>0</v>
      </c>
      <c r="AX25">
        <f>IF(AND(AR25=1,ISNUMBER(AT25)),$AT25,1)</f>
        <v>0</v>
      </c>
      <c r="AY25">
        <f>IF(ISNUMBER(Y25),INDEX(AllCollegeMoney, MATCH(N25,AllCollegeNCES,0)),0)</f>
        <v>0</v>
      </c>
      <c r="AZ25">
        <f>IF(AND(AQ25=1,ISNUMBER(AT25),AY25=1),$AT25,1)</f>
        <v>0</v>
      </c>
      <c r="BA25">
        <f>IF(AND(AR25=1,ISNUMBER(AT25),AY25=1),$AT25,1)</f>
        <v>0</v>
      </c>
      <c r="BB25">
        <f>IF(ISNUMBER(Y25),INDEX(AllCollegeILPub, MATCH(N25,AllCollegeNCES,0)),0)</f>
        <v>0</v>
      </c>
      <c r="BC25">
        <f>IF(AK25=ReachLabel,AP25,0)</f>
        <v>0</v>
      </c>
      <c r="BD25">
        <f>IF(AK25=MatchLabel,AP25,0)</f>
        <v>0</v>
      </c>
      <c r="BE25">
        <f>IF(AK25=SafetyLabel,AP25,0)</f>
        <v>0</v>
      </c>
      <c r="BF25">
        <f>IF(AK25=SecureLabel,AP25,0)</f>
        <v>0</v>
      </c>
      <c r="BG25">
        <f>IF(AK25=SureThingLabel,AP25,0)</f>
        <v>0</v>
      </c>
      <c r="BH25">
        <f>MAX(BC25:BG25)</f>
        <v>0</v>
      </c>
      <c r="BI25">
        <f>MAX(BD25:BG25)</f>
        <v>0</v>
      </c>
      <c r="BJ25">
        <f>MAX(BE25:BG25)</f>
        <v>0</v>
      </c>
      <c r="BK25">
        <f>IF(AND(AK25=ReachLabel,AY25=1),AP25,0)</f>
        <v>0</v>
      </c>
      <c r="BL25">
        <f>IF(AND(AK25=MatchLabel,AY25=1),AP25,0)</f>
        <v>0</v>
      </c>
      <c r="BM25">
        <f>IF(AND(AK25=SafetyLabel,AY25=1),AP25,0)</f>
        <v>0</v>
      </c>
      <c r="BN25">
        <f>IF(AND(AK25=SecureLabel,AY25=1),AP25,0)</f>
        <v>0</v>
      </c>
      <c r="BO25">
        <f>IF(AND(AK25=SureThingLabel,AY25=1),AP25,0)</f>
        <v>0</v>
      </c>
      <c r="BP25">
        <f>MAX(BK25:BO25)</f>
        <v>0</v>
      </c>
      <c r="BQ25">
        <f>MAX(BL25:BO25)</f>
        <v>0</v>
      </c>
      <c r="BR25">
        <f>MAX(BM25:BO25)</f>
        <v>0</v>
      </c>
      <c r="BS25">
        <f>IF(ISNUMBER(Y25),INDEX(AllCollegeChicago, MATCH(N25,AllCollegeNCES,0))*AY25,0)</f>
        <v>0</v>
      </c>
      <c r="BT25">
        <f>IF(ISNUMBER(Y25),INDEX(AllCollegeMoneyCode, MATCH(N25,AllCollegeNCES,0)),"?")</f>
        <v>0</v>
      </c>
      <c r="BU25">
        <f>IF(OR(BT25="---",BT25="--",BT25="+/--",BT25="+/---"),1,0)</f>
        <v>0</v>
      </c>
      <c r="BV25">
        <f>AY25*AO25*AQ25</f>
        <v>0</v>
      </c>
    </row>
    <row r="26" spans="1:74">
      <c r="A26" t="s">
        <v>86</v>
      </c>
      <c r="B26">
        <v>22026339</v>
      </c>
      <c r="C26" t="s">
        <v>299</v>
      </c>
      <c r="D26" t="s">
        <v>300</v>
      </c>
      <c r="E26" t="s">
        <v>428</v>
      </c>
      <c r="F26" t="s">
        <v>455</v>
      </c>
      <c r="G26" t="s">
        <v>430</v>
      </c>
      <c r="H26" t="s">
        <v>431</v>
      </c>
      <c r="I26" t="s">
        <v>432</v>
      </c>
      <c r="J26" t="s">
        <v>432</v>
      </c>
      <c r="K26">
        <v>0</v>
      </c>
      <c r="L26" t="s">
        <v>428</v>
      </c>
      <c r="M26" t="s">
        <v>428</v>
      </c>
      <c r="N26">
        <v>240444</v>
      </c>
      <c r="O26">
        <f>INDEX(AllCollegeBarrons,MATCH(N26,AllCollegeNCES,0))</f>
        <v>0</v>
      </c>
      <c r="P26">
        <f>INDEX(KidGPAs,MATCH(B26,KidIDs,0))</f>
        <v>0</v>
      </c>
      <c r="Q26">
        <f>INDEX(KidACTs,MATCH(B26,KidIDs,0))</f>
        <v>0</v>
      </c>
      <c r="R26">
        <f>INDEX(Strats,MATCH(B26,KidIDs,0))</f>
        <v>0</v>
      </c>
      <c r="S26">
        <f>INDEX(KidRace,MATCH(B26,KidIDs,0))</f>
        <v>0</v>
      </c>
      <c r="T26">
        <f>IF(OR(S26="M",S26="I"),"H",S26)</f>
        <v>0</v>
      </c>
      <c r="U26">
        <f>INDEX(StudentTargets,MATCH(B26,KidIDs,0))</f>
        <v>0</v>
      </c>
      <c r="V26">
        <f>INDEX(ReachStudentTargets,MATCH(B26,KidIDs,0))</f>
        <v>0</v>
      </c>
      <c r="W26">
        <f>IF(OR(M26="Posse"),1,0)</f>
        <v>0</v>
      </c>
      <c r="X26">
        <f>IF(ISNUMBER(INDEX(AllCollegeGR, MATCH(N26,AllCollegeNCES,0))),ROUND(INDEX(AllCollegeGR, MATCH(N26,AllCollegeNCES,0))+W26*IF(INDEX(AllCollegeGR, MATCH(N26,AllCollegeNCES,0))&gt;0.7,(1-INDEX(AllCollegeGR, MATCH(N26,AllCollegeNCES,0)))/2,0.15),2),INDEX(AllCollegeGR, MATCH(N26,AllCollegeNCES,0)))</f>
        <v>0</v>
      </c>
      <c r="Y26">
        <f>IF(ISNUMBER(INDEX(AllCollegeAAHGR, MATCH(N26,AllCollegeNCES,0))),ROUND(INDEX(AllCollegeAAHGR, MATCH(N26,AllCollegeNCES,0))+W26*IF(INDEX(AllCollegeAAHGR, MATCH(N26,AllCollegeNCES,0))&gt;0.7,(1-INDEX(AllCollegeAAHGR, MATCH(N26,AllCollegeNCES,0)))/2,0.15),2),INDEX(AllCollegeAAHGR, MATCH(N26,AllCollegeNCES,0)))</f>
        <v>0</v>
      </c>
      <c r="Z26">
        <f>IF(OR(T26="H",T26="B"),INDEX(AllCollegeACT25, MATCH(N26,AllCollegeNCES,0)),INDEX(AllCollegeACT50, MATCH(N26,AllCollegeNCES,0)))</f>
        <v>0</v>
      </c>
      <c r="AA26">
        <f>INDEX(CustomWeightsGPA,MATCH(T26&amp;":"&amp;N26,CustomWeightsIndex,0))</f>
        <v>0</v>
      </c>
      <c r="AB26">
        <f>INDEX(CustomWeightsACT,MATCH(T26&amp;":"&amp;N26,CustomWeightsIndex,0))</f>
        <v>0</v>
      </c>
      <c r="AC26">
        <f>INDEX(CustomWeightsIntercept,MATCH(T26&amp;":"&amp;N26,CustomWeightsIndex,0))</f>
        <v>0</v>
      </c>
      <c r="AD26">
        <f>AA26*P26+AB26*Q26+AC26</f>
        <v>0</v>
      </c>
      <c r="AE26">
        <f>INDEX(CoefficientsGPA,MATCH(T26&amp;":"&amp;O26,CoefficientsIndex,0))</f>
        <v>0</v>
      </c>
      <c r="AF26">
        <f>INDEX(CoefficientsACT,MATCH(T26&amp;":"&amp;O26,CoefficientsIndex,0))</f>
        <v>0</v>
      </c>
      <c r="AG26">
        <f>INDEX(CoefficientsIntercept,MATCH(T26&amp;":"&amp;O26,CoefficientsIndex,0))</f>
        <v>0</v>
      </c>
      <c r="AH26">
        <f>AE26*P26+(Q26-Z26)*AF26+AG26</f>
        <v>0</v>
      </c>
      <c r="AI26">
        <f>IF(ISNUMBER(AD26),AD26,AH26)</f>
        <v>0</v>
      </c>
      <c r="AJ26">
        <f>IF(ISNUMBER(AI26),IF(ISNUMBER(AE26),IF(AND(AE26=1,AF26=1,AG26=1),100,ROUND(100*EXP(AI26)/(1+EXP(AI26)),2)),ROUND(100*EXP(AI26)/(1+EXP(AI26)),2)),IF(ISTEXT(O26),IF(LEFT(O26,1)="2",100,"N/A"),"N/A"))</f>
        <v>0</v>
      </c>
      <c r="AK26">
        <f>IF(ISNUMBER(AJ26),IF(AJ26&gt;=99,IF(OR(R26=10,R26=11),MatchLabel,SureThingLabel),IF(AJ26&gt;=95,SecureLabel,IF(AJ26&gt;=80,SafetyLabel,IF(AJ26&gt;=50,MatchLabel,IF(AJ26&gt;=20,ReachLabel,IF(AJ26&gt;=10,LongshotLabel,HailMaryLabel)))))),"Other")</f>
        <v>0</v>
      </c>
      <c r="AL26">
        <f>IF(OR(I26="accepted",I26="cond. accept",I26="summer admit"),IF(J26="yes","CHOICE!","Accepted!"),IF(I26="denied","Denied",IF(K26=1,"Waitlist",IF(L26=1,"Deferred",IF(G26="pending","Pending",IF(OR(G26="initial materials submitted",G26="mid-year submitted",G26="final submitted"),"Submitted",IF(H26="interest","Interest","?")))))))</f>
        <v>0</v>
      </c>
      <c r="AM26">
        <f>IF(OR(AK26=ReachLabel,AK26=LongshotLabel,AK26=HailMaryLabel),1,0)</f>
        <v>0</v>
      </c>
      <c r="AN26">
        <f>IF(OR(AM26=1,AK26=MatchLabel),1,0)</f>
        <v>0</v>
      </c>
      <c r="AO26">
        <f>IF(OR(AK26=MatchLabel,AK26=SafetyLabel,AK26=SecureLabel,AK26=SureThingLabel),1,0)</f>
        <v>0</v>
      </c>
      <c r="AP26">
        <f>IF(OR(T26="H",T26="B"),IF(ISNUMBER(Y26),ROUND(Y26,2),0),IF(ISNUMBER(X26),ROUND(X26,2),0))</f>
        <v>0</v>
      </c>
      <c r="AQ26">
        <f>IF(AP26&gt;=U26,1,0)</f>
        <v>0</v>
      </c>
      <c r="AR26">
        <f>IF(AP26&gt;=V26,1,0)</f>
        <v>0</v>
      </c>
      <c r="AS26">
        <f>IF(AP26&lt;(U26-0.10),1,0)</f>
        <v>0</v>
      </c>
      <c r="AT26">
        <f>1-AJ26/100</f>
        <v>0</v>
      </c>
      <c r="AU26">
        <f>IF(AN26=1,AT26,1)</f>
        <v>0</v>
      </c>
      <c r="AV26">
        <f>IF(AM26=1,AT26,1)</f>
        <v>0</v>
      </c>
      <c r="AW26">
        <f>IF(AND(AQ26=1,ISNUMBER(AT26)),$AT26,1)</f>
        <v>0</v>
      </c>
      <c r="AX26">
        <f>IF(AND(AR26=1,ISNUMBER(AT26)),$AT26,1)</f>
        <v>0</v>
      </c>
      <c r="AY26">
        <f>IF(ISNUMBER(Y26),INDEX(AllCollegeMoney, MATCH(N26,AllCollegeNCES,0)),0)</f>
        <v>0</v>
      </c>
      <c r="AZ26">
        <f>IF(AND(AQ26=1,ISNUMBER(AT26),AY26=1),$AT26,1)</f>
        <v>0</v>
      </c>
      <c r="BA26">
        <f>IF(AND(AR26=1,ISNUMBER(AT26),AY26=1),$AT26,1)</f>
        <v>0</v>
      </c>
      <c r="BB26">
        <f>IF(ISNUMBER(Y26),INDEX(AllCollegeILPub, MATCH(N26,AllCollegeNCES,0)),0)</f>
        <v>0</v>
      </c>
      <c r="BC26">
        <f>IF(AK26=ReachLabel,AP26,0)</f>
        <v>0</v>
      </c>
      <c r="BD26">
        <f>IF(AK26=MatchLabel,AP26,0)</f>
        <v>0</v>
      </c>
      <c r="BE26">
        <f>IF(AK26=SafetyLabel,AP26,0)</f>
        <v>0</v>
      </c>
      <c r="BF26">
        <f>IF(AK26=SecureLabel,AP26,0)</f>
        <v>0</v>
      </c>
      <c r="BG26">
        <f>IF(AK26=SureThingLabel,AP26,0)</f>
        <v>0</v>
      </c>
      <c r="BH26">
        <f>MAX(BC26:BG26)</f>
        <v>0</v>
      </c>
      <c r="BI26">
        <f>MAX(BD26:BG26)</f>
        <v>0</v>
      </c>
      <c r="BJ26">
        <f>MAX(BE26:BG26)</f>
        <v>0</v>
      </c>
      <c r="BK26">
        <f>IF(AND(AK26=ReachLabel,AY26=1),AP26,0)</f>
        <v>0</v>
      </c>
      <c r="BL26">
        <f>IF(AND(AK26=MatchLabel,AY26=1),AP26,0)</f>
        <v>0</v>
      </c>
      <c r="BM26">
        <f>IF(AND(AK26=SafetyLabel,AY26=1),AP26,0)</f>
        <v>0</v>
      </c>
      <c r="BN26">
        <f>IF(AND(AK26=SecureLabel,AY26=1),AP26,0)</f>
        <v>0</v>
      </c>
      <c r="BO26">
        <f>IF(AND(AK26=SureThingLabel,AY26=1),AP26,0)</f>
        <v>0</v>
      </c>
      <c r="BP26">
        <f>MAX(BK26:BO26)</f>
        <v>0</v>
      </c>
      <c r="BQ26">
        <f>MAX(BL26:BO26)</f>
        <v>0</v>
      </c>
      <c r="BR26">
        <f>MAX(BM26:BO26)</f>
        <v>0</v>
      </c>
      <c r="BS26">
        <f>IF(ISNUMBER(Y26),INDEX(AllCollegeChicago, MATCH(N26,AllCollegeNCES,0))*AY26,0)</f>
        <v>0</v>
      </c>
      <c r="BT26">
        <f>IF(ISNUMBER(Y26),INDEX(AllCollegeMoneyCode, MATCH(N26,AllCollegeNCES,0)),"?")</f>
        <v>0</v>
      </c>
      <c r="BU26">
        <f>IF(OR(BT26="---",BT26="--",BT26="+/--",BT26="+/---"),1,0)</f>
        <v>0</v>
      </c>
      <c r="BV26">
        <f>AY26*AO26*AQ26</f>
        <v>0</v>
      </c>
    </row>
    <row r="27" spans="1:74">
      <c r="A27" t="s">
        <v>86</v>
      </c>
      <c r="B27">
        <v>22026339</v>
      </c>
      <c r="C27" t="s">
        <v>299</v>
      </c>
      <c r="D27" t="s">
        <v>300</v>
      </c>
      <c r="E27" t="s">
        <v>428</v>
      </c>
      <c r="F27" t="s">
        <v>456</v>
      </c>
      <c r="G27" t="s">
        <v>430</v>
      </c>
      <c r="H27" t="s">
        <v>431</v>
      </c>
      <c r="I27" t="s">
        <v>432</v>
      </c>
      <c r="J27" t="s">
        <v>432</v>
      </c>
      <c r="K27">
        <v>0</v>
      </c>
      <c r="L27" t="s">
        <v>428</v>
      </c>
      <c r="M27" t="s">
        <v>428</v>
      </c>
      <c r="N27">
        <v>213668</v>
      </c>
      <c r="O27">
        <f>INDEX(AllCollegeBarrons,MATCH(N27,AllCollegeNCES,0))</f>
        <v>0</v>
      </c>
      <c r="P27">
        <f>INDEX(KidGPAs,MATCH(B27,KidIDs,0))</f>
        <v>0</v>
      </c>
      <c r="Q27">
        <f>INDEX(KidACTs,MATCH(B27,KidIDs,0))</f>
        <v>0</v>
      </c>
      <c r="R27">
        <f>INDEX(Strats,MATCH(B27,KidIDs,0))</f>
        <v>0</v>
      </c>
      <c r="S27">
        <f>INDEX(KidRace,MATCH(B27,KidIDs,0))</f>
        <v>0</v>
      </c>
      <c r="T27">
        <f>IF(OR(S27="M",S27="I"),"H",S27)</f>
        <v>0</v>
      </c>
      <c r="U27">
        <f>INDEX(StudentTargets,MATCH(B27,KidIDs,0))</f>
        <v>0</v>
      </c>
      <c r="V27">
        <f>INDEX(ReachStudentTargets,MATCH(B27,KidIDs,0))</f>
        <v>0</v>
      </c>
      <c r="W27">
        <f>IF(OR(M27="Posse"),1,0)</f>
        <v>0</v>
      </c>
      <c r="X27">
        <f>IF(ISNUMBER(INDEX(AllCollegeGR, MATCH(N27,AllCollegeNCES,0))),ROUND(INDEX(AllCollegeGR, MATCH(N27,AllCollegeNCES,0))+W27*IF(INDEX(AllCollegeGR, MATCH(N27,AllCollegeNCES,0))&gt;0.7,(1-INDEX(AllCollegeGR, MATCH(N27,AllCollegeNCES,0)))/2,0.15),2),INDEX(AllCollegeGR, MATCH(N27,AllCollegeNCES,0)))</f>
        <v>0</v>
      </c>
      <c r="Y27">
        <f>IF(ISNUMBER(INDEX(AllCollegeAAHGR, MATCH(N27,AllCollegeNCES,0))),ROUND(INDEX(AllCollegeAAHGR, MATCH(N27,AllCollegeNCES,0))+W27*IF(INDEX(AllCollegeAAHGR, MATCH(N27,AllCollegeNCES,0))&gt;0.7,(1-INDEX(AllCollegeAAHGR, MATCH(N27,AllCollegeNCES,0)))/2,0.15),2),INDEX(AllCollegeAAHGR, MATCH(N27,AllCollegeNCES,0)))</f>
        <v>0</v>
      </c>
      <c r="Z27">
        <f>IF(OR(T27="H",T27="B"),INDEX(AllCollegeACT25, MATCH(N27,AllCollegeNCES,0)),INDEX(AllCollegeACT50, MATCH(N27,AllCollegeNCES,0)))</f>
        <v>0</v>
      </c>
      <c r="AA27">
        <f>INDEX(CustomWeightsGPA,MATCH(T27&amp;":"&amp;N27,CustomWeightsIndex,0))</f>
        <v>0</v>
      </c>
      <c r="AB27">
        <f>INDEX(CustomWeightsACT,MATCH(T27&amp;":"&amp;N27,CustomWeightsIndex,0))</f>
        <v>0</v>
      </c>
      <c r="AC27">
        <f>INDEX(CustomWeightsIntercept,MATCH(T27&amp;":"&amp;N27,CustomWeightsIndex,0))</f>
        <v>0</v>
      </c>
      <c r="AD27">
        <f>AA27*P27+AB27*Q27+AC27</f>
        <v>0</v>
      </c>
      <c r="AE27">
        <f>INDEX(CoefficientsGPA,MATCH(T27&amp;":"&amp;O27,CoefficientsIndex,0))</f>
        <v>0</v>
      </c>
      <c r="AF27">
        <f>INDEX(CoefficientsACT,MATCH(T27&amp;":"&amp;O27,CoefficientsIndex,0))</f>
        <v>0</v>
      </c>
      <c r="AG27">
        <f>INDEX(CoefficientsIntercept,MATCH(T27&amp;":"&amp;O27,CoefficientsIndex,0))</f>
        <v>0</v>
      </c>
      <c r="AH27">
        <f>AE27*P27+(Q27-Z27)*AF27+AG27</f>
        <v>0</v>
      </c>
      <c r="AI27">
        <f>IF(ISNUMBER(AD27),AD27,AH27)</f>
        <v>0</v>
      </c>
      <c r="AJ27">
        <f>IF(ISNUMBER(AI27),IF(ISNUMBER(AE27),IF(AND(AE27=1,AF27=1,AG27=1),100,ROUND(100*EXP(AI27)/(1+EXP(AI27)),2)),ROUND(100*EXP(AI27)/(1+EXP(AI27)),2)),IF(ISTEXT(O27),IF(LEFT(O27,1)="2",100,"N/A"),"N/A"))</f>
        <v>0</v>
      </c>
      <c r="AK27">
        <f>IF(ISNUMBER(AJ27),IF(AJ27&gt;=99,IF(OR(R27=10,R27=11),MatchLabel,SureThingLabel),IF(AJ27&gt;=95,SecureLabel,IF(AJ27&gt;=80,SafetyLabel,IF(AJ27&gt;=50,MatchLabel,IF(AJ27&gt;=20,ReachLabel,IF(AJ27&gt;=10,LongshotLabel,HailMaryLabel)))))),"Other")</f>
        <v>0</v>
      </c>
      <c r="AL27">
        <f>IF(OR(I27="accepted",I27="cond. accept",I27="summer admit"),IF(J27="yes","CHOICE!","Accepted!"),IF(I27="denied","Denied",IF(K27=1,"Waitlist",IF(L27=1,"Deferred",IF(G27="pending","Pending",IF(OR(G27="initial materials submitted",G27="mid-year submitted",G27="final submitted"),"Submitted",IF(H27="interest","Interest","?")))))))</f>
        <v>0</v>
      </c>
      <c r="AM27">
        <f>IF(OR(AK27=ReachLabel,AK27=LongshotLabel,AK27=HailMaryLabel),1,0)</f>
        <v>0</v>
      </c>
      <c r="AN27">
        <f>IF(OR(AM27=1,AK27=MatchLabel),1,0)</f>
        <v>0</v>
      </c>
      <c r="AO27">
        <f>IF(OR(AK27=MatchLabel,AK27=SafetyLabel,AK27=SecureLabel,AK27=SureThingLabel),1,0)</f>
        <v>0</v>
      </c>
      <c r="AP27">
        <f>IF(OR(T27="H",T27="B"),IF(ISNUMBER(Y27),ROUND(Y27,2),0),IF(ISNUMBER(X27),ROUND(X27,2),0))</f>
        <v>0</v>
      </c>
      <c r="AQ27">
        <f>IF(AP27&gt;=U27,1,0)</f>
        <v>0</v>
      </c>
      <c r="AR27">
        <f>IF(AP27&gt;=V27,1,0)</f>
        <v>0</v>
      </c>
      <c r="AS27">
        <f>IF(AP27&lt;(U27-0.10),1,0)</f>
        <v>0</v>
      </c>
      <c r="AT27">
        <f>1-AJ27/100</f>
        <v>0</v>
      </c>
      <c r="AU27">
        <f>IF(AN27=1,AT27,1)</f>
        <v>0</v>
      </c>
      <c r="AV27">
        <f>IF(AM27=1,AT27,1)</f>
        <v>0</v>
      </c>
      <c r="AW27">
        <f>IF(AND(AQ27=1,ISNUMBER(AT27)),$AT27,1)</f>
        <v>0</v>
      </c>
      <c r="AX27">
        <f>IF(AND(AR27=1,ISNUMBER(AT27)),$AT27,1)</f>
        <v>0</v>
      </c>
      <c r="AY27">
        <f>IF(ISNUMBER(Y27),INDEX(AllCollegeMoney, MATCH(N27,AllCollegeNCES,0)),0)</f>
        <v>0</v>
      </c>
      <c r="AZ27">
        <f>IF(AND(AQ27=1,ISNUMBER(AT27),AY27=1),$AT27,1)</f>
        <v>0</v>
      </c>
      <c r="BA27">
        <f>IF(AND(AR27=1,ISNUMBER(AT27),AY27=1),$AT27,1)</f>
        <v>0</v>
      </c>
      <c r="BB27">
        <f>IF(ISNUMBER(Y27),INDEX(AllCollegeILPub, MATCH(N27,AllCollegeNCES,0)),0)</f>
        <v>0</v>
      </c>
      <c r="BC27">
        <f>IF(AK27=ReachLabel,AP27,0)</f>
        <v>0</v>
      </c>
      <c r="BD27">
        <f>IF(AK27=MatchLabel,AP27,0)</f>
        <v>0</v>
      </c>
      <c r="BE27">
        <f>IF(AK27=SafetyLabel,AP27,0)</f>
        <v>0</v>
      </c>
      <c r="BF27">
        <f>IF(AK27=SecureLabel,AP27,0)</f>
        <v>0</v>
      </c>
      <c r="BG27">
        <f>IF(AK27=SureThingLabel,AP27,0)</f>
        <v>0</v>
      </c>
      <c r="BH27">
        <f>MAX(BC27:BG27)</f>
        <v>0</v>
      </c>
      <c r="BI27">
        <f>MAX(BD27:BG27)</f>
        <v>0</v>
      </c>
      <c r="BJ27">
        <f>MAX(BE27:BG27)</f>
        <v>0</v>
      </c>
      <c r="BK27">
        <f>IF(AND(AK27=ReachLabel,AY27=1),AP27,0)</f>
        <v>0</v>
      </c>
      <c r="BL27">
        <f>IF(AND(AK27=MatchLabel,AY27=1),AP27,0)</f>
        <v>0</v>
      </c>
      <c r="BM27">
        <f>IF(AND(AK27=SafetyLabel,AY27=1),AP27,0)</f>
        <v>0</v>
      </c>
      <c r="BN27">
        <f>IF(AND(AK27=SecureLabel,AY27=1),AP27,0)</f>
        <v>0</v>
      </c>
      <c r="BO27">
        <f>IF(AND(AK27=SureThingLabel,AY27=1),AP27,0)</f>
        <v>0</v>
      </c>
      <c r="BP27">
        <f>MAX(BK27:BO27)</f>
        <v>0</v>
      </c>
      <c r="BQ27">
        <f>MAX(BL27:BO27)</f>
        <v>0</v>
      </c>
      <c r="BR27">
        <f>MAX(BM27:BO27)</f>
        <v>0</v>
      </c>
      <c r="BS27">
        <f>IF(ISNUMBER(Y27),INDEX(AllCollegeChicago, MATCH(N27,AllCollegeNCES,0))*AY27,0)</f>
        <v>0</v>
      </c>
      <c r="BT27">
        <f>IF(ISNUMBER(Y27),INDEX(AllCollegeMoneyCode, MATCH(N27,AllCollegeNCES,0)),"?")</f>
        <v>0</v>
      </c>
      <c r="BU27">
        <f>IF(OR(BT27="---",BT27="--",BT27="+/--",BT27="+/---"),1,0)</f>
        <v>0</v>
      </c>
      <c r="BV27">
        <f>AY27*AO27*AQ27</f>
        <v>0</v>
      </c>
    </row>
    <row r="28" spans="1:74">
      <c r="A28" t="s">
        <v>86</v>
      </c>
      <c r="B28">
        <v>22026339</v>
      </c>
      <c r="C28" t="s">
        <v>299</v>
      </c>
      <c r="D28" t="s">
        <v>300</v>
      </c>
      <c r="E28" t="s">
        <v>428</v>
      </c>
      <c r="F28" t="s">
        <v>457</v>
      </c>
      <c r="G28" t="s">
        <v>430</v>
      </c>
      <c r="H28" t="s">
        <v>431</v>
      </c>
      <c r="I28" t="s">
        <v>432</v>
      </c>
      <c r="J28" t="s">
        <v>432</v>
      </c>
      <c r="K28">
        <v>0</v>
      </c>
      <c r="L28" t="s">
        <v>428</v>
      </c>
      <c r="M28" t="s">
        <v>428</v>
      </c>
      <c r="N28">
        <v>145637</v>
      </c>
      <c r="O28">
        <f>INDEX(AllCollegeBarrons,MATCH(N28,AllCollegeNCES,0))</f>
        <v>0</v>
      </c>
      <c r="P28">
        <f>INDEX(KidGPAs,MATCH(B28,KidIDs,0))</f>
        <v>0</v>
      </c>
      <c r="Q28">
        <f>INDEX(KidACTs,MATCH(B28,KidIDs,0))</f>
        <v>0</v>
      </c>
      <c r="R28">
        <f>INDEX(Strats,MATCH(B28,KidIDs,0))</f>
        <v>0</v>
      </c>
      <c r="S28">
        <f>INDEX(KidRace,MATCH(B28,KidIDs,0))</f>
        <v>0</v>
      </c>
      <c r="T28">
        <f>IF(OR(S28="M",S28="I"),"H",S28)</f>
        <v>0</v>
      </c>
      <c r="U28">
        <f>INDEX(StudentTargets,MATCH(B28,KidIDs,0))</f>
        <v>0</v>
      </c>
      <c r="V28">
        <f>INDEX(ReachStudentTargets,MATCH(B28,KidIDs,0))</f>
        <v>0</v>
      </c>
      <c r="W28">
        <f>IF(OR(M28="Posse"),1,0)</f>
        <v>0</v>
      </c>
      <c r="X28">
        <f>IF(ISNUMBER(INDEX(AllCollegeGR, MATCH(N28,AllCollegeNCES,0))),ROUND(INDEX(AllCollegeGR, MATCH(N28,AllCollegeNCES,0))+W28*IF(INDEX(AllCollegeGR, MATCH(N28,AllCollegeNCES,0))&gt;0.7,(1-INDEX(AllCollegeGR, MATCH(N28,AllCollegeNCES,0)))/2,0.15),2),INDEX(AllCollegeGR, MATCH(N28,AllCollegeNCES,0)))</f>
        <v>0</v>
      </c>
      <c r="Y28">
        <f>IF(ISNUMBER(INDEX(AllCollegeAAHGR, MATCH(N28,AllCollegeNCES,0))),ROUND(INDEX(AllCollegeAAHGR, MATCH(N28,AllCollegeNCES,0))+W28*IF(INDEX(AllCollegeAAHGR, MATCH(N28,AllCollegeNCES,0))&gt;0.7,(1-INDEX(AllCollegeAAHGR, MATCH(N28,AllCollegeNCES,0)))/2,0.15),2),INDEX(AllCollegeAAHGR, MATCH(N28,AllCollegeNCES,0)))</f>
        <v>0</v>
      </c>
      <c r="Z28">
        <f>IF(OR(T28="H",T28="B"),INDEX(AllCollegeACT25, MATCH(N28,AllCollegeNCES,0)),INDEX(AllCollegeACT50, MATCH(N28,AllCollegeNCES,0)))</f>
        <v>0</v>
      </c>
      <c r="AA28">
        <f>INDEX(CustomWeightsGPA,MATCH(T28&amp;":"&amp;N28,CustomWeightsIndex,0))</f>
        <v>0</v>
      </c>
      <c r="AB28">
        <f>INDEX(CustomWeightsACT,MATCH(T28&amp;":"&amp;N28,CustomWeightsIndex,0))</f>
        <v>0</v>
      </c>
      <c r="AC28">
        <f>INDEX(CustomWeightsIntercept,MATCH(T28&amp;":"&amp;N28,CustomWeightsIndex,0))</f>
        <v>0</v>
      </c>
      <c r="AD28">
        <f>AA28*P28+AB28*Q28+AC28</f>
        <v>0</v>
      </c>
      <c r="AE28">
        <f>INDEX(CoefficientsGPA,MATCH(T28&amp;":"&amp;O28,CoefficientsIndex,0))</f>
        <v>0</v>
      </c>
      <c r="AF28">
        <f>INDEX(CoefficientsACT,MATCH(T28&amp;":"&amp;O28,CoefficientsIndex,0))</f>
        <v>0</v>
      </c>
      <c r="AG28">
        <f>INDEX(CoefficientsIntercept,MATCH(T28&amp;":"&amp;O28,CoefficientsIndex,0))</f>
        <v>0</v>
      </c>
      <c r="AH28">
        <f>AE28*P28+(Q28-Z28)*AF28+AG28</f>
        <v>0</v>
      </c>
      <c r="AI28">
        <f>IF(ISNUMBER(AD28),AD28,AH28)</f>
        <v>0</v>
      </c>
      <c r="AJ28">
        <f>IF(ISNUMBER(AI28),IF(ISNUMBER(AE28),IF(AND(AE28=1,AF28=1,AG28=1),100,ROUND(100*EXP(AI28)/(1+EXP(AI28)),2)),ROUND(100*EXP(AI28)/(1+EXP(AI28)),2)),IF(ISTEXT(O28),IF(LEFT(O28,1)="2",100,"N/A"),"N/A"))</f>
        <v>0</v>
      </c>
      <c r="AK28">
        <f>IF(ISNUMBER(AJ28),IF(AJ28&gt;=99,IF(OR(R28=10,R28=11),MatchLabel,SureThingLabel),IF(AJ28&gt;=95,SecureLabel,IF(AJ28&gt;=80,SafetyLabel,IF(AJ28&gt;=50,MatchLabel,IF(AJ28&gt;=20,ReachLabel,IF(AJ28&gt;=10,LongshotLabel,HailMaryLabel)))))),"Other")</f>
        <v>0</v>
      </c>
      <c r="AL28">
        <f>IF(OR(I28="accepted",I28="cond. accept",I28="summer admit"),IF(J28="yes","CHOICE!","Accepted!"),IF(I28="denied","Denied",IF(K28=1,"Waitlist",IF(L28=1,"Deferred",IF(G28="pending","Pending",IF(OR(G28="initial materials submitted",G28="mid-year submitted",G28="final submitted"),"Submitted",IF(H28="interest","Interest","?")))))))</f>
        <v>0</v>
      </c>
      <c r="AM28">
        <f>IF(OR(AK28=ReachLabel,AK28=LongshotLabel,AK28=HailMaryLabel),1,0)</f>
        <v>0</v>
      </c>
      <c r="AN28">
        <f>IF(OR(AM28=1,AK28=MatchLabel),1,0)</f>
        <v>0</v>
      </c>
      <c r="AO28">
        <f>IF(OR(AK28=MatchLabel,AK28=SafetyLabel,AK28=SecureLabel,AK28=SureThingLabel),1,0)</f>
        <v>0</v>
      </c>
      <c r="AP28">
        <f>IF(OR(T28="H",T28="B"),IF(ISNUMBER(Y28),ROUND(Y28,2),0),IF(ISNUMBER(X28),ROUND(X28,2),0))</f>
        <v>0</v>
      </c>
      <c r="AQ28">
        <f>IF(AP28&gt;=U28,1,0)</f>
        <v>0</v>
      </c>
      <c r="AR28">
        <f>IF(AP28&gt;=V28,1,0)</f>
        <v>0</v>
      </c>
      <c r="AS28">
        <f>IF(AP28&lt;(U28-0.10),1,0)</f>
        <v>0</v>
      </c>
      <c r="AT28">
        <f>1-AJ28/100</f>
        <v>0</v>
      </c>
      <c r="AU28">
        <f>IF(AN28=1,AT28,1)</f>
        <v>0</v>
      </c>
      <c r="AV28">
        <f>IF(AM28=1,AT28,1)</f>
        <v>0</v>
      </c>
      <c r="AW28">
        <f>IF(AND(AQ28=1,ISNUMBER(AT28)),$AT28,1)</f>
        <v>0</v>
      </c>
      <c r="AX28">
        <f>IF(AND(AR28=1,ISNUMBER(AT28)),$AT28,1)</f>
        <v>0</v>
      </c>
      <c r="AY28">
        <f>IF(ISNUMBER(Y28),INDEX(AllCollegeMoney, MATCH(N28,AllCollegeNCES,0)),0)</f>
        <v>0</v>
      </c>
      <c r="AZ28">
        <f>IF(AND(AQ28=1,ISNUMBER(AT28),AY28=1),$AT28,1)</f>
        <v>0</v>
      </c>
      <c r="BA28">
        <f>IF(AND(AR28=1,ISNUMBER(AT28),AY28=1),$AT28,1)</f>
        <v>0</v>
      </c>
      <c r="BB28">
        <f>IF(ISNUMBER(Y28),INDEX(AllCollegeILPub, MATCH(N28,AllCollegeNCES,0)),0)</f>
        <v>0</v>
      </c>
      <c r="BC28">
        <f>IF(AK28=ReachLabel,AP28,0)</f>
        <v>0</v>
      </c>
      <c r="BD28">
        <f>IF(AK28=MatchLabel,AP28,0)</f>
        <v>0</v>
      </c>
      <c r="BE28">
        <f>IF(AK28=SafetyLabel,AP28,0)</f>
        <v>0</v>
      </c>
      <c r="BF28">
        <f>IF(AK28=SecureLabel,AP28,0)</f>
        <v>0</v>
      </c>
      <c r="BG28">
        <f>IF(AK28=SureThingLabel,AP28,0)</f>
        <v>0</v>
      </c>
      <c r="BH28">
        <f>MAX(BC28:BG28)</f>
        <v>0</v>
      </c>
      <c r="BI28">
        <f>MAX(BD28:BG28)</f>
        <v>0</v>
      </c>
      <c r="BJ28">
        <f>MAX(BE28:BG28)</f>
        <v>0</v>
      </c>
      <c r="BK28">
        <f>IF(AND(AK28=ReachLabel,AY28=1),AP28,0)</f>
        <v>0</v>
      </c>
      <c r="BL28">
        <f>IF(AND(AK28=MatchLabel,AY28=1),AP28,0)</f>
        <v>0</v>
      </c>
      <c r="BM28">
        <f>IF(AND(AK28=SafetyLabel,AY28=1),AP28,0)</f>
        <v>0</v>
      </c>
      <c r="BN28">
        <f>IF(AND(AK28=SecureLabel,AY28=1),AP28,0)</f>
        <v>0</v>
      </c>
      <c r="BO28">
        <f>IF(AND(AK28=SureThingLabel,AY28=1),AP28,0)</f>
        <v>0</v>
      </c>
      <c r="BP28">
        <f>MAX(BK28:BO28)</f>
        <v>0</v>
      </c>
      <c r="BQ28">
        <f>MAX(BL28:BO28)</f>
        <v>0</v>
      </c>
      <c r="BR28">
        <f>MAX(BM28:BO28)</f>
        <v>0</v>
      </c>
      <c r="BS28">
        <f>IF(ISNUMBER(Y28),INDEX(AllCollegeChicago, MATCH(N28,AllCollegeNCES,0))*AY28,0)</f>
        <v>0</v>
      </c>
      <c r="BT28">
        <f>IF(ISNUMBER(Y28),INDEX(AllCollegeMoneyCode, MATCH(N28,AllCollegeNCES,0)),"?")</f>
        <v>0</v>
      </c>
      <c r="BU28">
        <f>IF(OR(BT28="---",BT28="--",BT28="+/--",BT28="+/---"),1,0)</f>
        <v>0</v>
      </c>
      <c r="BV28">
        <f>AY28*AO28*AQ28</f>
        <v>0</v>
      </c>
    </row>
    <row r="29" spans="1:74">
      <c r="A29" t="s">
        <v>86</v>
      </c>
      <c r="B29">
        <v>22026339</v>
      </c>
      <c r="C29" t="s">
        <v>299</v>
      </c>
      <c r="D29" t="s">
        <v>300</v>
      </c>
      <c r="E29" t="s">
        <v>428</v>
      </c>
      <c r="F29" t="s">
        <v>458</v>
      </c>
      <c r="G29" t="s">
        <v>430</v>
      </c>
      <c r="H29" t="s">
        <v>431</v>
      </c>
      <c r="I29" t="s">
        <v>432</v>
      </c>
      <c r="J29" t="s">
        <v>432</v>
      </c>
      <c r="K29">
        <v>0</v>
      </c>
      <c r="L29" t="s">
        <v>428</v>
      </c>
      <c r="M29" t="s">
        <v>428</v>
      </c>
      <c r="N29">
        <v>202523</v>
      </c>
      <c r="O29">
        <f>INDEX(AllCollegeBarrons,MATCH(N29,AllCollegeNCES,0))</f>
        <v>0</v>
      </c>
      <c r="P29">
        <f>INDEX(KidGPAs,MATCH(B29,KidIDs,0))</f>
        <v>0</v>
      </c>
      <c r="Q29">
        <f>INDEX(KidACTs,MATCH(B29,KidIDs,0))</f>
        <v>0</v>
      </c>
      <c r="R29">
        <f>INDEX(Strats,MATCH(B29,KidIDs,0))</f>
        <v>0</v>
      </c>
      <c r="S29">
        <f>INDEX(KidRace,MATCH(B29,KidIDs,0))</f>
        <v>0</v>
      </c>
      <c r="T29">
        <f>IF(OR(S29="M",S29="I"),"H",S29)</f>
        <v>0</v>
      </c>
      <c r="U29">
        <f>INDEX(StudentTargets,MATCH(B29,KidIDs,0))</f>
        <v>0</v>
      </c>
      <c r="V29">
        <f>INDEX(ReachStudentTargets,MATCH(B29,KidIDs,0))</f>
        <v>0</v>
      </c>
      <c r="W29">
        <f>IF(OR(M29="Posse"),1,0)</f>
        <v>0</v>
      </c>
      <c r="X29">
        <f>IF(ISNUMBER(INDEX(AllCollegeGR, MATCH(N29,AllCollegeNCES,0))),ROUND(INDEX(AllCollegeGR, MATCH(N29,AllCollegeNCES,0))+W29*IF(INDEX(AllCollegeGR, MATCH(N29,AllCollegeNCES,0))&gt;0.7,(1-INDEX(AllCollegeGR, MATCH(N29,AllCollegeNCES,0)))/2,0.15),2),INDEX(AllCollegeGR, MATCH(N29,AllCollegeNCES,0)))</f>
        <v>0</v>
      </c>
      <c r="Y29">
        <f>IF(ISNUMBER(INDEX(AllCollegeAAHGR, MATCH(N29,AllCollegeNCES,0))),ROUND(INDEX(AllCollegeAAHGR, MATCH(N29,AllCollegeNCES,0))+W29*IF(INDEX(AllCollegeAAHGR, MATCH(N29,AllCollegeNCES,0))&gt;0.7,(1-INDEX(AllCollegeAAHGR, MATCH(N29,AllCollegeNCES,0)))/2,0.15),2),INDEX(AllCollegeAAHGR, MATCH(N29,AllCollegeNCES,0)))</f>
        <v>0</v>
      </c>
      <c r="Z29">
        <f>IF(OR(T29="H",T29="B"),INDEX(AllCollegeACT25, MATCH(N29,AllCollegeNCES,0)),INDEX(AllCollegeACT50, MATCH(N29,AllCollegeNCES,0)))</f>
        <v>0</v>
      </c>
      <c r="AA29">
        <f>INDEX(CustomWeightsGPA,MATCH(T29&amp;":"&amp;N29,CustomWeightsIndex,0))</f>
        <v>0</v>
      </c>
      <c r="AB29">
        <f>INDEX(CustomWeightsACT,MATCH(T29&amp;":"&amp;N29,CustomWeightsIndex,0))</f>
        <v>0</v>
      </c>
      <c r="AC29">
        <f>INDEX(CustomWeightsIntercept,MATCH(T29&amp;":"&amp;N29,CustomWeightsIndex,0))</f>
        <v>0</v>
      </c>
      <c r="AD29">
        <f>AA29*P29+AB29*Q29+AC29</f>
        <v>0</v>
      </c>
      <c r="AE29">
        <f>INDEX(CoefficientsGPA,MATCH(T29&amp;":"&amp;O29,CoefficientsIndex,0))</f>
        <v>0</v>
      </c>
      <c r="AF29">
        <f>INDEX(CoefficientsACT,MATCH(T29&amp;":"&amp;O29,CoefficientsIndex,0))</f>
        <v>0</v>
      </c>
      <c r="AG29">
        <f>INDEX(CoefficientsIntercept,MATCH(T29&amp;":"&amp;O29,CoefficientsIndex,0))</f>
        <v>0</v>
      </c>
      <c r="AH29">
        <f>AE29*P29+(Q29-Z29)*AF29+AG29</f>
        <v>0</v>
      </c>
      <c r="AI29">
        <f>IF(ISNUMBER(AD29),AD29,AH29)</f>
        <v>0</v>
      </c>
      <c r="AJ29">
        <f>IF(ISNUMBER(AI29),IF(ISNUMBER(AE29),IF(AND(AE29=1,AF29=1,AG29=1),100,ROUND(100*EXP(AI29)/(1+EXP(AI29)),2)),ROUND(100*EXP(AI29)/(1+EXP(AI29)),2)),IF(ISTEXT(O29),IF(LEFT(O29,1)="2",100,"N/A"),"N/A"))</f>
        <v>0</v>
      </c>
      <c r="AK29">
        <f>IF(ISNUMBER(AJ29),IF(AJ29&gt;=99,IF(OR(R29=10,R29=11),MatchLabel,SureThingLabel),IF(AJ29&gt;=95,SecureLabel,IF(AJ29&gt;=80,SafetyLabel,IF(AJ29&gt;=50,MatchLabel,IF(AJ29&gt;=20,ReachLabel,IF(AJ29&gt;=10,LongshotLabel,HailMaryLabel)))))),"Other")</f>
        <v>0</v>
      </c>
      <c r="AL29">
        <f>IF(OR(I29="accepted",I29="cond. accept",I29="summer admit"),IF(J29="yes","CHOICE!","Accepted!"),IF(I29="denied","Denied",IF(K29=1,"Waitlist",IF(L29=1,"Deferred",IF(G29="pending","Pending",IF(OR(G29="initial materials submitted",G29="mid-year submitted",G29="final submitted"),"Submitted",IF(H29="interest","Interest","?")))))))</f>
        <v>0</v>
      </c>
      <c r="AM29">
        <f>IF(OR(AK29=ReachLabel,AK29=LongshotLabel,AK29=HailMaryLabel),1,0)</f>
        <v>0</v>
      </c>
      <c r="AN29">
        <f>IF(OR(AM29=1,AK29=MatchLabel),1,0)</f>
        <v>0</v>
      </c>
      <c r="AO29">
        <f>IF(OR(AK29=MatchLabel,AK29=SafetyLabel,AK29=SecureLabel,AK29=SureThingLabel),1,0)</f>
        <v>0</v>
      </c>
      <c r="AP29">
        <f>IF(OR(T29="H",T29="B"),IF(ISNUMBER(Y29),ROUND(Y29,2),0),IF(ISNUMBER(X29),ROUND(X29,2),0))</f>
        <v>0</v>
      </c>
      <c r="AQ29">
        <f>IF(AP29&gt;=U29,1,0)</f>
        <v>0</v>
      </c>
      <c r="AR29">
        <f>IF(AP29&gt;=V29,1,0)</f>
        <v>0</v>
      </c>
      <c r="AS29">
        <f>IF(AP29&lt;(U29-0.10),1,0)</f>
        <v>0</v>
      </c>
      <c r="AT29">
        <f>1-AJ29/100</f>
        <v>0</v>
      </c>
      <c r="AU29">
        <f>IF(AN29=1,AT29,1)</f>
        <v>0</v>
      </c>
      <c r="AV29">
        <f>IF(AM29=1,AT29,1)</f>
        <v>0</v>
      </c>
      <c r="AW29">
        <f>IF(AND(AQ29=1,ISNUMBER(AT29)),$AT29,1)</f>
        <v>0</v>
      </c>
      <c r="AX29">
        <f>IF(AND(AR29=1,ISNUMBER(AT29)),$AT29,1)</f>
        <v>0</v>
      </c>
      <c r="AY29">
        <f>IF(ISNUMBER(Y29),INDEX(AllCollegeMoney, MATCH(N29,AllCollegeNCES,0)),0)</f>
        <v>0</v>
      </c>
      <c r="AZ29">
        <f>IF(AND(AQ29=1,ISNUMBER(AT29),AY29=1),$AT29,1)</f>
        <v>0</v>
      </c>
      <c r="BA29">
        <f>IF(AND(AR29=1,ISNUMBER(AT29),AY29=1),$AT29,1)</f>
        <v>0</v>
      </c>
      <c r="BB29">
        <f>IF(ISNUMBER(Y29),INDEX(AllCollegeILPub, MATCH(N29,AllCollegeNCES,0)),0)</f>
        <v>0</v>
      </c>
      <c r="BC29">
        <f>IF(AK29=ReachLabel,AP29,0)</f>
        <v>0</v>
      </c>
      <c r="BD29">
        <f>IF(AK29=MatchLabel,AP29,0)</f>
        <v>0</v>
      </c>
      <c r="BE29">
        <f>IF(AK29=SafetyLabel,AP29,0)</f>
        <v>0</v>
      </c>
      <c r="BF29">
        <f>IF(AK29=SecureLabel,AP29,0)</f>
        <v>0</v>
      </c>
      <c r="BG29">
        <f>IF(AK29=SureThingLabel,AP29,0)</f>
        <v>0</v>
      </c>
      <c r="BH29">
        <f>MAX(BC29:BG29)</f>
        <v>0</v>
      </c>
      <c r="BI29">
        <f>MAX(BD29:BG29)</f>
        <v>0</v>
      </c>
      <c r="BJ29">
        <f>MAX(BE29:BG29)</f>
        <v>0</v>
      </c>
      <c r="BK29">
        <f>IF(AND(AK29=ReachLabel,AY29=1),AP29,0)</f>
        <v>0</v>
      </c>
      <c r="BL29">
        <f>IF(AND(AK29=MatchLabel,AY29=1),AP29,0)</f>
        <v>0</v>
      </c>
      <c r="BM29">
        <f>IF(AND(AK29=SafetyLabel,AY29=1),AP29,0)</f>
        <v>0</v>
      </c>
      <c r="BN29">
        <f>IF(AND(AK29=SecureLabel,AY29=1),AP29,0)</f>
        <v>0</v>
      </c>
      <c r="BO29">
        <f>IF(AND(AK29=SureThingLabel,AY29=1),AP29,0)</f>
        <v>0</v>
      </c>
      <c r="BP29">
        <f>MAX(BK29:BO29)</f>
        <v>0</v>
      </c>
      <c r="BQ29">
        <f>MAX(BL29:BO29)</f>
        <v>0</v>
      </c>
      <c r="BR29">
        <f>MAX(BM29:BO29)</f>
        <v>0</v>
      </c>
      <c r="BS29">
        <f>IF(ISNUMBER(Y29),INDEX(AllCollegeChicago, MATCH(N29,AllCollegeNCES,0))*AY29,0)</f>
        <v>0</v>
      </c>
      <c r="BT29">
        <f>IF(ISNUMBER(Y29),INDEX(AllCollegeMoneyCode, MATCH(N29,AllCollegeNCES,0)),"?")</f>
        <v>0</v>
      </c>
      <c r="BU29">
        <f>IF(OR(BT29="---",BT29="--",BT29="+/--",BT29="+/---"),1,0)</f>
        <v>0</v>
      </c>
      <c r="BV29">
        <f>AY29*AO29*AQ29</f>
        <v>0</v>
      </c>
    </row>
    <row r="30" spans="1:74">
      <c r="A30" t="s">
        <v>86</v>
      </c>
      <c r="B30">
        <v>22026339</v>
      </c>
      <c r="C30" t="s">
        <v>299</v>
      </c>
      <c r="D30" t="s">
        <v>300</v>
      </c>
      <c r="E30" t="s">
        <v>428</v>
      </c>
      <c r="F30" t="s">
        <v>459</v>
      </c>
      <c r="G30" t="s">
        <v>430</v>
      </c>
      <c r="H30" t="s">
        <v>431</v>
      </c>
      <c r="I30" t="s">
        <v>432</v>
      </c>
      <c r="J30" t="s">
        <v>432</v>
      </c>
      <c r="K30">
        <v>0</v>
      </c>
      <c r="L30" t="s">
        <v>428</v>
      </c>
      <c r="M30" t="s">
        <v>428</v>
      </c>
      <c r="N30">
        <v>146427</v>
      </c>
      <c r="O30">
        <f>INDEX(AllCollegeBarrons,MATCH(N30,AllCollegeNCES,0))</f>
        <v>0</v>
      </c>
      <c r="P30">
        <f>INDEX(KidGPAs,MATCH(B30,KidIDs,0))</f>
        <v>0</v>
      </c>
      <c r="Q30">
        <f>INDEX(KidACTs,MATCH(B30,KidIDs,0))</f>
        <v>0</v>
      </c>
      <c r="R30">
        <f>INDEX(Strats,MATCH(B30,KidIDs,0))</f>
        <v>0</v>
      </c>
      <c r="S30">
        <f>INDEX(KidRace,MATCH(B30,KidIDs,0))</f>
        <v>0</v>
      </c>
      <c r="T30">
        <f>IF(OR(S30="M",S30="I"),"H",S30)</f>
        <v>0</v>
      </c>
      <c r="U30">
        <f>INDEX(StudentTargets,MATCH(B30,KidIDs,0))</f>
        <v>0</v>
      </c>
      <c r="V30">
        <f>INDEX(ReachStudentTargets,MATCH(B30,KidIDs,0))</f>
        <v>0</v>
      </c>
      <c r="W30">
        <f>IF(OR(M30="Posse"),1,0)</f>
        <v>0</v>
      </c>
      <c r="X30">
        <f>IF(ISNUMBER(INDEX(AllCollegeGR, MATCH(N30,AllCollegeNCES,0))),ROUND(INDEX(AllCollegeGR, MATCH(N30,AllCollegeNCES,0))+W30*IF(INDEX(AllCollegeGR, MATCH(N30,AllCollegeNCES,0))&gt;0.7,(1-INDEX(AllCollegeGR, MATCH(N30,AllCollegeNCES,0)))/2,0.15),2),INDEX(AllCollegeGR, MATCH(N30,AllCollegeNCES,0)))</f>
        <v>0</v>
      </c>
      <c r="Y30">
        <f>IF(ISNUMBER(INDEX(AllCollegeAAHGR, MATCH(N30,AllCollegeNCES,0))),ROUND(INDEX(AllCollegeAAHGR, MATCH(N30,AllCollegeNCES,0))+W30*IF(INDEX(AllCollegeAAHGR, MATCH(N30,AllCollegeNCES,0))&gt;0.7,(1-INDEX(AllCollegeAAHGR, MATCH(N30,AllCollegeNCES,0)))/2,0.15),2),INDEX(AllCollegeAAHGR, MATCH(N30,AllCollegeNCES,0)))</f>
        <v>0</v>
      </c>
      <c r="Z30">
        <f>IF(OR(T30="H",T30="B"),INDEX(AllCollegeACT25, MATCH(N30,AllCollegeNCES,0)),INDEX(AllCollegeACT50, MATCH(N30,AllCollegeNCES,0)))</f>
        <v>0</v>
      </c>
      <c r="AA30">
        <f>INDEX(CustomWeightsGPA,MATCH(T30&amp;":"&amp;N30,CustomWeightsIndex,0))</f>
        <v>0</v>
      </c>
      <c r="AB30">
        <f>INDEX(CustomWeightsACT,MATCH(T30&amp;":"&amp;N30,CustomWeightsIndex,0))</f>
        <v>0</v>
      </c>
      <c r="AC30">
        <f>INDEX(CustomWeightsIntercept,MATCH(T30&amp;":"&amp;N30,CustomWeightsIndex,0))</f>
        <v>0</v>
      </c>
      <c r="AD30">
        <f>AA30*P30+AB30*Q30+AC30</f>
        <v>0</v>
      </c>
      <c r="AE30">
        <f>INDEX(CoefficientsGPA,MATCH(T30&amp;":"&amp;O30,CoefficientsIndex,0))</f>
        <v>0</v>
      </c>
      <c r="AF30">
        <f>INDEX(CoefficientsACT,MATCH(T30&amp;":"&amp;O30,CoefficientsIndex,0))</f>
        <v>0</v>
      </c>
      <c r="AG30">
        <f>INDEX(CoefficientsIntercept,MATCH(T30&amp;":"&amp;O30,CoefficientsIndex,0))</f>
        <v>0</v>
      </c>
      <c r="AH30">
        <f>AE30*P30+(Q30-Z30)*AF30+AG30</f>
        <v>0</v>
      </c>
      <c r="AI30">
        <f>IF(ISNUMBER(AD30),AD30,AH30)</f>
        <v>0</v>
      </c>
      <c r="AJ30">
        <f>IF(ISNUMBER(AI30),IF(ISNUMBER(AE30),IF(AND(AE30=1,AF30=1,AG30=1),100,ROUND(100*EXP(AI30)/(1+EXP(AI30)),2)),ROUND(100*EXP(AI30)/(1+EXP(AI30)),2)),IF(ISTEXT(O30),IF(LEFT(O30,1)="2",100,"N/A"),"N/A"))</f>
        <v>0</v>
      </c>
      <c r="AK30">
        <f>IF(ISNUMBER(AJ30),IF(AJ30&gt;=99,IF(OR(R30=10,R30=11),MatchLabel,SureThingLabel),IF(AJ30&gt;=95,SecureLabel,IF(AJ30&gt;=80,SafetyLabel,IF(AJ30&gt;=50,MatchLabel,IF(AJ30&gt;=20,ReachLabel,IF(AJ30&gt;=10,LongshotLabel,HailMaryLabel)))))),"Other")</f>
        <v>0</v>
      </c>
      <c r="AL30">
        <f>IF(OR(I30="accepted",I30="cond. accept",I30="summer admit"),IF(J30="yes","CHOICE!","Accepted!"),IF(I30="denied","Denied",IF(K30=1,"Waitlist",IF(L30=1,"Deferred",IF(G30="pending","Pending",IF(OR(G30="initial materials submitted",G30="mid-year submitted",G30="final submitted"),"Submitted",IF(H30="interest","Interest","?")))))))</f>
        <v>0</v>
      </c>
      <c r="AM30">
        <f>IF(OR(AK30=ReachLabel,AK30=LongshotLabel,AK30=HailMaryLabel),1,0)</f>
        <v>0</v>
      </c>
      <c r="AN30">
        <f>IF(OR(AM30=1,AK30=MatchLabel),1,0)</f>
        <v>0</v>
      </c>
      <c r="AO30">
        <f>IF(OR(AK30=MatchLabel,AK30=SafetyLabel,AK30=SecureLabel,AK30=SureThingLabel),1,0)</f>
        <v>0</v>
      </c>
      <c r="AP30">
        <f>IF(OR(T30="H",T30="B"),IF(ISNUMBER(Y30),ROUND(Y30,2),0),IF(ISNUMBER(X30),ROUND(X30,2),0))</f>
        <v>0</v>
      </c>
      <c r="AQ30">
        <f>IF(AP30&gt;=U30,1,0)</f>
        <v>0</v>
      </c>
      <c r="AR30">
        <f>IF(AP30&gt;=V30,1,0)</f>
        <v>0</v>
      </c>
      <c r="AS30">
        <f>IF(AP30&lt;(U30-0.10),1,0)</f>
        <v>0</v>
      </c>
      <c r="AT30">
        <f>1-AJ30/100</f>
        <v>0</v>
      </c>
      <c r="AU30">
        <f>IF(AN30=1,AT30,1)</f>
        <v>0</v>
      </c>
      <c r="AV30">
        <f>IF(AM30=1,AT30,1)</f>
        <v>0</v>
      </c>
      <c r="AW30">
        <f>IF(AND(AQ30=1,ISNUMBER(AT30)),$AT30,1)</f>
        <v>0</v>
      </c>
      <c r="AX30">
        <f>IF(AND(AR30=1,ISNUMBER(AT30)),$AT30,1)</f>
        <v>0</v>
      </c>
      <c r="AY30">
        <f>IF(ISNUMBER(Y30),INDEX(AllCollegeMoney, MATCH(N30,AllCollegeNCES,0)),0)</f>
        <v>0</v>
      </c>
      <c r="AZ30">
        <f>IF(AND(AQ30=1,ISNUMBER(AT30),AY30=1),$AT30,1)</f>
        <v>0</v>
      </c>
      <c r="BA30">
        <f>IF(AND(AR30=1,ISNUMBER(AT30),AY30=1),$AT30,1)</f>
        <v>0</v>
      </c>
      <c r="BB30">
        <f>IF(ISNUMBER(Y30),INDEX(AllCollegeILPub, MATCH(N30,AllCollegeNCES,0)),0)</f>
        <v>0</v>
      </c>
      <c r="BC30">
        <f>IF(AK30=ReachLabel,AP30,0)</f>
        <v>0</v>
      </c>
      <c r="BD30">
        <f>IF(AK30=MatchLabel,AP30,0)</f>
        <v>0</v>
      </c>
      <c r="BE30">
        <f>IF(AK30=SafetyLabel,AP30,0)</f>
        <v>0</v>
      </c>
      <c r="BF30">
        <f>IF(AK30=SecureLabel,AP30,0)</f>
        <v>0</v>
      </c>
      <c r="BG30">
        <f>IF(AK30=SureThingLabel,AP30,0)</f>
        <v>0</v>
      </c>
      <c r="BH30">
        <f>MAX(BC30:BG30)</f>
        <v>0</v>
      </c>
      <c r="BI30">
        <f>MAX(BD30:BG30)</f>
        <v>0</v>
      </c>
      <c r="BJ30">
        <f>MAX(BE30:BG30)</f>
        <v>0</v>
      </c>
      <c r="BK30">
        <f>IF(AND(AK30=ReachLabel,AY30=1),AP30,0)</f>
        <v>0</v>
      </c>
      <c r="BL30">
        <f>IF(AND(AK30=MatchLabel,AY30=1),AP30,0)</f>
        <v>0</v>
      </c>
      <c r="BM30">
        <f>IF(AND(AK30=SafetyLabel,AY30=1),AP30,0)</f>
        <v>0</v>
      </c>
      <c r="BN30">
        <f>IF(AND(AK30=SecureLabel,AY30=1),AP30,0)</f>
        <v>0</v>
      </c>
      <c r="BO30">
        <f>IF(AND(AK30=SureThingLabel,AY30=1),AP30,0)</f>
        <v>0</v>
      </c>
      <c r="BP30">
        <f>MAX(BK30:BO30)</f>
        <v>0</v>
      </c>
      <c r="BQ30">
        <f>MAX(BL30:BO30)</f>
        <v>0</v>
      </c>
      <c r="BR30">
        <f>MAX(BM30:BO30)</f>
        <v>0</v>
      </c>
      <c r="BS30">
        <f>IF(ISNUMBER(Y30),INDEX(AllCollegeChicago, MATCH(N30,AllCollegeNCES,0))*AY30,0)</f>
        <v>0</v>
      </c>
      <c r="BT30">
        <f>IF(ISNUMBER(Y30),INDEX(AllCollegeMoneyCode, MATCH(N30,AllCollegeNCES,0)),"?")</f>
        <v>0</v>
      </c>
      <c r="BU30">
        <f>IF(OR(BT30="---",BT30="--",BT30="+/--",BT30="+/---"),1,0)</f>
        <v>0</v>
      </c>
      <c r="BV30">
        <f>AY30*AO30*AQ30</f>
        <v>0</v>
      </c>
    </row>
    <row r="31" spans="1:74">
      <c r="A31" t="s">
        <v>86</v>
      </c>
      <c r="B31">
        <v>22026339</v>
      </c>
      <c r="C31" t="s">
        <v>299</v>
      </c>
      <c r="D31" t="s">
        <v>300</v>
      </c>
      <c r="E31" t="s">
        <v>428</v>
      </c>
      <c r="F31" t="s">
        <v>460</v>
      </c>
      <c r="G31" t="s">
        <v>430</v>
      </c>
      <c r="H31" t="s">
        <v>431</v>
      </c>
      <c r="I31" t="s">
        <v>432</v>
      </c>
      <c r="J31" t="s">
        <v>432</v>
      </c>
      <c r="K31">
        <v>0</v>
      </c>
      <c r="L31" t="s">
        <v>428</v>
      </c>
      <c r="M31" t="s">
        <v>428</v>
      </c>
      <c r="N31">
        <v>221519</v>
      </c>
      <c r="O31">
        <f>INDEX(AllCollegeBarrons,MATCH(N31,AllCollegeNCES,0))</f>
        <v>0</v>
      </c>
      <c r="P31">
        <f>INDEX(KidGPAs,MATCH(B31,KidIDs,0))</f>
        <v>0</v>
      </c>
      <c r="Q31">
        <f>INDEX(KidACTs,MATCH(B31,KidIDs,0))</f>
        <v>0</v>
      </c>
      <c r="R31">
        <f>INDEX(Strats,MATCH(B31,KidIDs,0))</f>
        <v>0</v>
      </c>
      <c r="S31">
        <f>INDEX(KidRace,MATCH(B31,KidIDs,0))</f>
        <v>0</v>
      </c>
      <c r="T31">
        <f>IF(OR(S31="M",S31="I"),"H",S31)</f>
        <v>0</v>
      </c>
      <c r="U31">
        <f>INDEX(StudentTargets,MATCH(B31,KidIDs,0))</f>
        <v>0</v>
      </c>
      <c r="V31">
        <f>INDEX(ReachStudentTargets,MATCH(B31,KidIDs,0))</f>
        <v>0</v>
      </c>
      <c r="W31">
        <f>IF(OR(M31="Posse"),1,0)</f>
        <v>0</v>
      </c>
      <c r="X31">
        <f>IF(ISNUMBER(INDEX(AllCollegeGR, MATCH(N31,AllCollegeNCES,0))),ROUND(INDEX(AllCollegeGR, MATCH(N31,AllCollegeNCES,0))+W31*IF(INDEX(AllCollegeGR, MATCH(N31,AllCollegeNCES,0))&gt;0.7,(1-INDEX(AllCollegeGR, MATCH(N31,AllCollegeNCES,0)))/2,0.15),2),INDEX(AllCollegeGR, MATCH(N31,AllCollegeNCES,0)))</f>
        <v>0</v>
      </c>
      <c r="Y31">
        <f>IF(ISNUMBER(INDEX(AllCollegeAAHGR, MATCH(N31,AllCollegeNCES,0))),ROUND(INDEX(AllCollegeAAHGR, MATCH(N31,AllCollegeNCES,0))+W31*IF(INDEX(AllCollegeAAHGR, MATCH(N31,AllCollegeNCES,0))&gt;0.7,(1-INDEX(AllCollegeAAHGR, MATCH(N31,AllCollegeNCES,0)))/2,0.15),2),INDEX(AllCollegeAAHGR, MATCH(N31,AllCollegeNCES,0)))</f>
        <v>0</v>
      </c>
      <c r="Z31">
        <f>IF(OR(T31="H",T31="B"),INDEX(AllCollegeACT25, MATCH(N31,AllCollegeNCES,0)),INDEX(AllCollegeACT50, MATCH(N31,AllCollegeNCES,0)))</f>
        <v>0</v>
      </c>
      <c r="AA31">
        <f>INDEX(CustomWeightsGPA,MATCH(T31&amp;":"&amp;N31,CustomWeightsIndex,0))</f>
        <v>0</v>
      </c>
      <c r="AB31">
        <f>INDEX(CustomWeightsACT,MATCH(T31&amp;":"&amp;N31,CustomWeightsIndex,0))</f>
        <v>0</v>
      </c>
      <c r="AC31">
        <f>INDEX(CustomWeightsIntercept,MATCH(T31&amp;":"&amp;N31,CustomWeightsIndex,0))</f>
        <v>0</v>
      </c>
      <c r="AD31">
        <f>AA31*P31+AB31*Q31+AC31</f>
        <v>0</v>
      </c>
      <c r="AE31">
        <f>INDEX(CoefficientsGPA,MATCH(T31&amp;":"&amp;O31,CoefficientsIndex,0))</f>
        <v>0</v>
      </c>
      <c r="AF31">
        <f>INDEX(CoefficientsACT,MATCH(T31&amp;":"&amp;O31,CoefficientsIndex,0))</f>
        <v>0</v>
      </c>
      <c r="AG31">
        <f>INDEX(CoefficientsIntercept,MATCH(T31&amp;":"&amp;O31,CoefficientsIndex,0))</f>
        <v>0</v>
      </c>
      <c r="AH31">
        <f>AE31*P31+(Q31-Z31)*AF31+AG31</f>
        <v>0</v>
      </c>
      <c r="AI31">
        <f>IF(ISNUMBER(AD31),AD31,AH31)</f>
        <v>0</v>
      </c>
      <c r="AJ31">
        <f>IF(ISNUMBER(AI31),IF(ISNUMBER(AE31),IF(AND(AE31=1,AF31=1,AG31=1),100,ROUND(100*EXP(AI31)/(1+EXP(AI31)),2)),ROUND(100*EXP(AI31)/(1+EXP(AI31)),2)),IF(ISTEXT(O31),IF(LEFT(O31,1)="2",100,"N/A"),"N/A"))</f>
        <v>0</v>
      </c>
      <c r="AK31">
        <f>IF(ISNUMBER(AJ31),IF(AJ31&gt;=99,IF(OR(R31=10,R31=11),MatchLabel,SureThingLabel),IF(AJ31&gt;=95,SecureLabel,IF(AJ31&gt;=80,SafetyLabel,IF(AJ31&gt;=50,MatchLabel,IF(AJ31&gt;=20,ReachLabel,IF(AJ31&gt;=10,LongshotLabel,HailMaryLabel)))))),"Other")</f>
        <v>0</v>
      </c>
      <c r="AL31">
        <f>IF(OR(I31="accepted",I31="cond. accept",I31="summer admit"),IF(J31="yes","CHOICE!","Accepted!"),IF(I31="denied","Denied",IF(K31=1,"Waitlist",IF(L31=1,"Deferred",IF(G31="pending","Pending",IF(OR(G31="initial materials submitted",G31="mid-year submitted",G31="final submitted"),"Submitted",IF(H31="interest","Interest","?")))))))</f>
        <v>0</v>
      </c>
      <c r="AM31">
        <f>IF(OR(AK31=ReachLabel,AK31=LongshotLabel,AK31=HailMaryLabel),1,0)</f>
        <v>0</v>
      </c>
      <c r="AN31">
        <f>IF(OR(AM31=1,AK31=MatchLabel),1,0)</f>
        <v>0</v>
      </c>
      <c r="AO31">
        <f>IF(OR(AK31=MatchLabel,AK31=SafetyLabel,AK31=SecureLabel,AK31=SureThingLabel),1,0)</f>
        <v>0</v>
      </c>
      <c r="AP31">
        <f>IF(OR(T31="H",T31="B"),IF(ISNUMBER(Y31),ROUND(Y31,2),0),IF(ISNUMBER(X31),ROUND(X31,2),0))</f>
        <v>0</v>
      </c>
      <c r="AQ31">
        <f>IF(AP31&gt;=U31,1,0)</f>
        <v>0</v>
      </c>
      <c r="AR31">
        <f>IF(AP31&gt;=V31,1,0)</f>
        <v>0</v>
      </c>
      <c r="AS31">
        <f>IF(AP31&lt;(U31-0.10),1,0)</f>
        <v>0</v>
      </c>
      <c r="AT31">
        <f>1-AJ31/100</f>
        <v>0</v>
      </c>
      <c r="AU31">
        <f>IF(AN31=1,AT31,1)</f>
        <v>0</v>
      </c>
      <c r="AV31">
        <f>IF(AM31=1,AT31,1)</f>
        <v>0</v>
      </c>
      <c r="AW31">
        <f>IF(AND(AQ31=1,ISNUMBER(AT31)),$AT31,1)</f>
        <v>0</v>
      </c>
      <c r="AX31">
        <f>IF(AND(AR31=1,ISNUMBER(AT31)),$AT31,1)</f>
        <v>0</v>
      </c>
      <c r="AY31">
        <f>IF(ISNUMBER(Y31),INDEX(AllCollegeMoney, MATCH(N31,AllCollegeNCES,0)),0)</f>
        <v>0</v>
      </c>
      <c r="AZ31">
        <f>IF(AND(AQ31=1,ISNUMBER(AT31),AY31=1),$AT31,1)</f>
        <v>0</v>
      </c>
      <c r="BA31">
        <f>IF(AND(AR31=1,ISNUMBER(AT31),AY31=1),$AT31,1)</f>
        <v>0</v>
      </c>
      <c r="BB31">
        <f>IF(ISNUMBER(Y31),INDEX(AllCollegeILPub, MATCH(N31,AllCollegeNCES,0)),0)</f>
        <v>0</v>
      </c>
      <c r="BC31">
        <f>IF(AK31=ReachLabel,AP31,0)</f>
        <v>0</v>
      </c>
      <c r="BD31">
        <f>IF(AK31=MatchLabel,AP31,0)</f>
        <v>0</v>
      </c>
      <c r="BE31">
        <f>IF(AK31=SafetyLabel,AP31,0)</f>
        <v>0</v>
      </c>
      <c r="BF31">
        <f>IF(AK31=SecureLabel,AP31,0)</f>
        <v>0</v>
      </c>
      <c r="BG31">
        <f>IF(AK31=SureThingLabel,AP31,0)</f>
        <v>0</v>
      </c>
      <c r="BH31">
        <f>MAX(BC31:BG31)</f>
        <v>0</v>
      </c>
      <c r="BI31">
        <f>MAX(BD31:BG31)</f>
        <v>0</v>
      </c>
      <c r="BJ31">
        <f>MAX(BE31:BG31)</f>
        <v>0</v>
      </c>
      <c r="BK31">
        <f>IF(AND(AK31=ReachLabel,AY31=1),AP31,0)</f>
        <v>0</v>
      </c>
      <c r="BL31">
        <f>IF(AND(AK31=MatchLabel,AY31=1),AP31,0)</f>
        <v>0</v>
      </c>
      <c r="BM31">
        <f>IF(AND(AK31=SafetyLabel,AY31=1),AP31,0)</f>
        <v>0</v>
      </c>
      <c r="BN31">
        <f>IF(AND(AK31=SecureLabel,AY31=1),AP31,0)</f>
        <v>0</v>
      </c>
      <c r="BO31">
        <f>IF(AND(AK31=SureThingLabel,AY31=1),AP31,0)</f>
        <v>0</v>
      </c>
      <c r="BP31">
        <f>MAX(BK31:BO31)</f>
        <v>0</v>
      </c>
      <c r="BQ31">
        <f>MAX(BL31:BO31)</f>
        <v>0</v>
      </c>
      <c r="BR31">
        <f>MAX(BM31:BO31)</f>
        <v>0</v>
      </c>
      <c r="BS31">
        <f>IF(ISNUMBER(Y31),INDEX(AllCollegeChicago, MATCH(N31,AllCollegeNCES,0))*AY31,0)</f>
        <v>0</v>
      </c>
      <c r="BT31">
        <f>IF(ISNUMBER(Y31),INDEX(AllCollegeMoneyCode, MATCH(N31,AllCollegeNCES,0)),"?")</f>
        <v>0</v>
      </c>
      <c r="BU31">
        <f>IF(OR(BT31="---",BT31="--",BT31="+/--",BT31="+/---"),1,0)</f>
        <v>0</v>
      </c>
      <c r="BV31">
        <f>AY31*AO31*AQ31</f>
        <v>0</v>
      </c>
    </row>
    <row r="32" spans="1:74">
      <c r="A32" t="s">
        <v>86</v>
      </c>
      <c r="B32">
        <v>22026339</v>
      </c>
      <c r="C32" t="s">
        <v>299</v>
      </c>
      <c r="D32" t="s">
        <v>300</v>
      </c>
      <c r="E32" t="s">
        <v>428</v>
      </c>
      <c r="F32" t="s">
        <v>461</v>
      </c>
      <c r="G32" t="s">
        <v>430</v>
      </c>
      <c r="H32" t="s">
        <v>431</v>
      </c>
      <c r="I32" t="s">
        <v>432</v>
      </c>
      <c r="J32" t="s">
        <v>432</v>
      </c>
      <c r="K32">
        <v>0</v>
      </c>
      <c r="L32" t="s">
        <v>428</v>
      </c>
      <c r="M32" t="s">
        <v>428</v>
      </c>
      <c r="N32">
        <v>153834</v>
      </c>
      <c r="O32">
        <f>INDEX(AllCollegeBarrons,MATCH(N32,AllCollegeNCES,0))</f>
        <v>0</v>
      </c>
      <c r="P32">
        <f>INDEX(KidGPAs,MATCH(B32,KidIDs,0))</f>
        <v>0</v>
      </c>
      <c r="Q32">
        <f>INDEX(KidACTs,MATCH(B32,KidIDs,0))</f>
        <v>0</v>
      </c>
      <c r="R32">
        <f>INDEX(Strats,MATCH(B32,KidIDs,0))</f>
        <v>0</v>
      </c>
      <c r="S32">
        <f>INDEX(KidRace,MATCH(B32,KidIDs,0))</f>
        <v>0</v>
      </c>
      <c r="T32">
        <f>IF(OR(S32="M",S32="I"),"H",S32)</f>
        <v>0</v>
      </c>
      <c r="U32">
        <f>INDEX(StudentTargets,MATCH(B32,KidIDs,0))</f>
        <v>0</v>
      </c>
      <c r="V32">
        <f>INDEX(ReachStudentTargets,MATCH(B32,KidIDs,0))</f>
        <v>0</v>
      </c>
      <c r="W32">
        <f>IF(OR(M32="Posse"),1,0)</f>
        <v>0</v>
      </c>
      <c r="X32">
        <f>IF(ISNUMBER(INDEX(AllCollegeGR, MATCH(N32,AllCollegeNCES,0))),ROUND(INDEX(AllCollegeGR, MATCH(N32,AllCollegeNCES,0))+W32*IF(INDEX(AllCollegeGR, MATCH(N32,AllCollegeNCES,0))&gt;0.7,(1-INDEX(AllCollegeGR, MATCH(N32,AllCollegeNCES,0)))/2,0.15),2),INDEX(AllCollegeGR, MATCH(N32,AllCollegeNCES,0)))</f>
        <v>0</v>
      </c>
      <c r="Y32">
        <f>IF(ISNUMBER(INDEX(AllCollegeAAHGR, MATCH(N32,AllCollegeNCES,0))),ROUND(INDEX(AllCollegeAAHGR, MATCH(N32,AllCollegeNCES,0))+W32*IF(INDEX(AllCollegeAAHGR, MATCH(N32,AllCollegeNCES,0))&gt;0.7,(1-INDEX(AllCollegeAAHGR, MATCH(N32,AllCollegeNCES,0)))/2,0.15),2),INDEX(AllCollegeAAHGR, MATCH(N32,AllCollegeNCES,0)))</f>
        <v>0</v>
      </c>
      <c r="Z32">
        <f>IF(OR(T32="H",T32="B"),INDEX(AllCollegeACT25, MATCH(N32,AllCollegeNCES,0)),INDEX(AllCollegeACT50, MATCH(N32,AllCollegeNCES,0)))</f>
        <v>0</v>
      </c>
      <c r="AA32">
        <f>INDEX(CustomWeightsGPA,MATCH(T32&amp;":"&amp;N32,CustomWeightsIndex,0))</f>
        <v>0</v>
      </c>
      <c r="AB32">
        <f>INDEX(CustomWeightsACT,MATCH(T32&amp;":"&amp;N32,CustomWeightsIndex,0))</f>
        <v>0</v>
      </c>
      <c r="AC32">
        <f>INDEX(CustomWeightsIntercept,MATCH(T32&amp;":"&amp;N32,CustomWeightsIndex,0))</f>
        <v>0</v>
      </c>
      <c r="AD32">
        <f>AA32*P32+AB32*Q32+AC32</f>
        <v>0</v>
      </c>
      <c r="AE32">
        <f>INDEX(CoefficientsGPA,MATCH(T32&amp;":"&amp;O32,CoefficientsIndex,0))</f>
        <v>0</v>
      </c>
      <c r="AF32">
        <f>INDEX(CoefficientsACT,MATCH(T32&amp;":"&amp;O32,CoefficientsIndex,0))</f>
        <v>0</v>
      </c>
      <c r="AG32">
        <f>INDEX(CoefficientsIntercept,MATCH(T32&amp;":"&amp;O32,CoefficientsIndex,0))</f>
        <v>0</v>
      </c>
      <c r="AH32">
        <f>AE32*P32+(Q32-Z32)*AF32+AG32</f>
        <v>0</v>
      </c>
      <c r="AI32">
        <f>IF(ISNUMBER(AD32),AD32,AH32)</f>
        <v>0</v>
      </c>
      <c r="AJ32">
        <f>IF(ISNUMBER(AI32),IF(ISNUMBER(AE32),IF(AND(AE32=1,AF32=1,AG32=1),100,ROUND(100*EXP(AI32)/(1+EXP(AI32)),2)),ROUND(100*EXP(AI32)/(1+EXP(AI32)),2)),IF(ISTEXT(O32),IF(LEFT(O32,1)="2",100,"N/A"),"N/A"))</f>
        <v>0</v>
      </c>
      <c r="AK32">
        <f>IF(ISNUMBER(AJ32),IF(AJ32&gt;=99,IF(OR(R32=10,R32=11),MatchLabel,SureThingLabel),IF(AJ32&gt;=95,SecureLabel,IF(AJ32&gt;=80,SafetyLabel,IF(AJ32&gt;=50,MatchLabel,IF(AJ32&gt;=20,ReachLabel,IF(AJ32&gt;=10,LongshotLabel,HailMaryLabel)))))),"Other")</f>
        <v>0</v>
      </c>
      <c r="AL32">
        <f>IF(OR(I32="accepted",I32="cond. accept",I32="summer admit"),IF(J32="yes","CHOICE!","Accepted!"),IF(I32="denied","Denied",IF(K32=1,"Waitlist",IF(L32=1,"Deferred",IF(G32="pending","Pending",IF(OR(G32="initial materials submitted",G32="mid-year submitted",G32="final submitted"),"Submitted",IF(H32="interest","Interest","?")))))))</f>
        <v>0</v>
      </c>
      <c r="AM32">
        <f>IF(OR(AK32=ReachLabel,AK32=LongshotLabel,AK32=HailMaryLabel),1,0)</f>
        <v>0</v>
      </c>
      <c r="AN32">
        <f>IF(OR(AM32=1,AK32=MatchLabel),1,0)</f>
        <v>0</v>
      </c>
      <c r="AO32">
        <f>IF(OR(AK32=MatchLabel,AK32=SafetyLabel,AK32=SecureLabel,AK32=SureThingLabel),1,0)</f>
        <v>0</v>
      </c>
      <c r="AP32">
        <f>IF(OR(T32="H",T32="B"),IF(ISNUMBER(Y32),ROUND(Y32,2),0),IF(ISNUMBER(X32),ROUND(X32,2),0))</f>
        <v>0</v>
      </c>
      <c r="AQ32">
        <f>IF(AP32&gt;=U32,1,0)</f>
        <v>0</v>
      </c>
      <c r="AR32">
        <f>IF(AP32&gt;=V32,1,0)</f>
        <v>0</v>
      </c>
      <c r="AS32">
        <f>IF(AP32&lt;(U32-0.10),1,0)</f>
        <v>0</v>
      </c>
      <c r="AT32">
        <f>1-AJ32/100</f>
        <v>0</v>
      </c>
      <c r="AU32">
        <f>IF(AN32=1,AT32,1)</f>
        <v>0</v>
      </c>
      <c r="AV32">
        <f>IF(AM32=1,AT32,1)</f>
        <v>0</v>
      </c>
      <c r="AW32">
        <f>IF(AND(AQ32=1,ISNUMBER(AT32)),$AT32,1)</f>
        <v>0</v>
      </c>
      <c r="AX32">
        <f>IF(AND(AR32=1,ISNUMBER(AT32)),$AT32,1)</f>
        <v>0</v>
      </c>
      <c r="AY32">
        <f>IF(ISNUMBER(Y32),INDEX(AllCollegeMoney, MATCH(N32,AllCollegeNCES,0)),0)</f>
        <v>0</v>
      </c>
      <c r="AZ32">
        <f>IF(AND(AQ32=1,ISNUMBER(AT32),AY32=1),$AT32,1)</f>
        <v>0</v>
      </c>
      <c r="BA32">
        <f>IF(AND(AR32=1,ISNUMBER(AT32),AY32=1),$AT32,1)</f>
        <v>0</v>
      </c>
      <c r="BB32">
        <f>IF(ISNUMBER(Y32),INDEX(AllCollegeILPub, MATCH(N32,AllCollegeNCES,0)),0)</f>
        <v>0</v>
      </c>
      <c r="BC32">
        <f>IF(AK32=ReachLabel,AP32,0)</f>
        <v>0</v>
      </c>
      <c r="BD32">
        <f>IF(AK32=MatchLabel,AP32,0)</f>
        <v>0</v>
      </c>
      <c r="BE32">
        <f>IF(AK32=SafetyLabel,AP32,0)</f>
        <v>0</v>
      </c>
      <c r="BF32">
        <f>IF(AK32=SecureLabel,AP32,0)</f>
        <v>0</v>
      </c>
      <c r="BG32">
        <f>IF(AK32=SureThingLabel,AP32,0)</f>
        <v>0</v>
      </c>
      <c r="BH32">
        <f>MAX(BC32:BG32)</f>
        <v>0</v>
      </c>
      <c r="BI32">
        <f>MAX(BD32:BG32)</f>
        <v>0</v>
      </c>
      <c r="BJ32">
        <f>MAX(BE32:BG32)</f>
        <v>0</v>
      </c>
      <c r="BK32">
        <f>IF(AND(AK32=ReachLabel,AY32=1),AP32,0)</f>
        <v>0</v>
      </c>
      <c r="BL32">
        <f>IF(AND(AK32=MatchLabel,AY32=1),AP32,0)</f>
        <v>0</v>
      </c>
      <c r="BM32">
        <f>IF(AND(AK32=SafetyLabel,AY32=1),AP32,0)</f>
        <v>0</v>
      </c>
      <c r="BN32">
        <f>IF(AND(AK32=SecureLabel,AY32=1),AP32,0)</f>
        <v>0</v>
      </c>
      <c r="BO32">
        <f>IF(AND(AK32=SureThingLabel,AY32=1),AP32,0)</f>
        <v>0</v>
      </c>
      <c r="BP32">
        <f>MAX(BK32:BO32)</f>
        <v>0</v>
      </c>
      <c r="BQ32">
        <f>MAX(BL32:BO32)</f>
        <v>0</v>
      </c>
      <c r="BR32">
        <f>MAX(BM32:BO32)</f>
        <v>0</v>
      </c>
      <c r="BS32">
        <f>IF(ISNUMBER(Y32),INDEX(AllCollegeChicago, MATCH(N32,AllCollegeNCES,0))*AY32,0)</f>
        <v>0</v>
      </c>
      <c r="BT32">
        <f>IF(ISNUMBER(Y32),INDEX(AllCollegeMoneyCode, MATCH(N32,AllCollegeNCES,0)),"?")</f>
        <v>0</v>
      </c>
      <c r="BU32">
        <f>IF(OR(BT32="---",BT32="--",BT32="+/--",BT32="+/---"),1,0)</f>
        <v>0</v>
      </c>
      <c r="BV32">
        <f>AY32*AO32*AQ32</f>
        <v>0</v>
      </c>
    </row>
    <row r="33" spans="1:74">
      <c r="A33" t="s">
        <v>86</v>
      </c>
      <c r="B33">
        <v>22026339</v>
      </c>
      <c r="C33" t="s">
        <v>299</v>
      </c>
      <c r="D33" t="s">
        <v>300</v>
      </c>
      <c r="E33" t="s">
        <v>428</v>
      </c>
      <c r="F33" t="s">
        <v>462</v>
      </c>
      <c r="G33" t="s">
        <v>463</v>
      </c>
      <c r="H33" t="s">
        <v>431</v>
      </c>
      <c r="I33" t="s">
        <v>432</v>
      </c>
      <c r="J33" t="s">
        <v>432</v>
      </c>
      <c r="K33">
        <v>0</v>
      </c>
      <c r="L33" t="s">
        <v>428</v>
      </c>
      <c r="M33" t="s">
        <v>428</v>
      </c>
      <c r="N33">
        <v>168546</v>
      </c>
      <c r="O33">
        <f>INDEX(AllCollegeBarrons,MATCH(N33,AllCollegeNCES,0))</f>
        <v>0</v>
      </c>
      <c r="P33">
        <f>INDEX(KidGPAs,MATCH(B33,KidIDs,0))</f>
        <v>0</v>
      </c>
      <c r="Q33">
        <f>INDEX(KidACTs,MATCH(B33,KidIDs,0))</f>
        <v>0</v>
      </c>
      <c r="R33">
        <f>INDEX(Strats,MATCH(B33,KidIDs,0))</f>
        <v>0</v>
      </c>
      <c r="S33">
        <f>INDEX(KidRace,MATCH(B33,KidIDs,0))</f>
        <v>0</v>
      </c>
      <c r="T33">
        <f>IF(OR(S33="M",S33="I"),"H",S33)</f>
        <v>0</v>
      </c>
      <c r="U33">
        <f>INDEX(StudentTargets,MATCH(B33,KidIDs,0))</f>
        <v>0</v>
      </c>
      <c r="V33">
        <f>INDEX(ReachStudentTargets,MATCH(B33,KidIDs,0))</f>
        <v>0</v>
      </c>
      <c r="W33">
        <f>IF(OR(M33="Posse"),1,0)</f>
        <v>0</v>
      </c>
      <c r="X33">
        <f>IF(ISNUMBER(INDEX(AllCollegeGR, MATCH(N33,AllCollegeNCES,0))),ROUND(INDEX(AllCollegeGR, MATCH(N33,AllCollegeNCES,0))+W33*IF(INDEX(AllCollegeGR, MATCH(N33,AllCollegeNCES,0))&gt;0.7,(1-INDEX(AllCollegeGR, MATCH(N33,AllCollegeNCES,0)))/2,0.15),2),INDEX(AllCollegeGR, MATCH(N33,AllCollegeNCES,0)))</f>
        <v>0</v>
      </c>
      <c r="Y33">
        <f>IF(ISNUMBER(INDEX(AllCollegeAAHGR, MATCH(N33,AllCollegeNCES,0))),ROUND(INDEX(AllCollegeAAHGR, MATCH(N33,AllCollegeNCES,0))+W33*IF(INDEX(AllCollegeAAHGR, MATCH(N33,AllCollegeNCES,0))&gt;0.7,(1-INDEX(AllCollegeAAHGR, MATCH(N33,AllCollegeNCES,0)))/2,0.15),2),INDEX(AllCollegeAAHGR, MATCH(N33,AllCollegeNCES,0)))</f>
        <v>0</v>
      </c>
      <c r="Z33">
        <f>IF(OR(T33="H",T33="B"),INDEX(AllCollegeACT25, MATCH(N33,AllCollegeNCES,0)),INDEX(AllCollegeACT50, MATCH(N33,AllCollegeNCES,0)))</f>
        <v>0</v>
      </c>
      <c r="AA33">
        <f>INDEX(CustomWeightsGPA,MATCH(T33&amp;":"&amp;N33,CustomWeightsIndex,0))</f>
        <v>0</v>
      </c>
      <c r="AB33">
        <f>INDEX(CustomWeightsACT,MATCH(T33&amp;":"&amp;N33,CustomWeightsIndex,0))</f>
        <v>0</v>
      </c>
      <c r="AC33">
        <f>INDEX(CustomWeightsIntercept,MATCH(T33&amp;":"&amp;N33,CustomWeightsIndex,0))</f>
        <v>0</v>
      </c>
      <c r="AD33">
        <f>AA33*P33+AB33*Q33+AC33</f>
        <v>0</v>
      </c>
      <c r="AE33">
        <f>INDEX(CoefficientsGPA,MATCH(T33&amp;":"&amp;O33,CoefficientsIndex,0))</f>
        <v>0</v>
      </c>
      <c r="AF33">
        <f>INDEX(CoefficientsACT,MATCH(T33&amp;":"&amp;O33,CoefficientsIndex,0))</f>
        <v>0</v>
      </c>
      <c r="AG33">
        <f>INDEX(CoefficientsIntercept,MATCH(T33&amp;":"&amp;O33,CoefficientsIndex,0))</f>
        <v>0</v>
      </c>
      <c r="AH33">
        <f>AE33*P33+(Q33-Z33)*AF33+AG33</f>
        <v>0</v>
      </c>
      <c r="AI33">
        <f>IF(ISNUMBER(AD33),AD33,AH33)</f>
        <v>0</v>
      </c>
      <c r="AJ33">
        <f>IF(ISNUMBER(AI33),IF(ISNUMBER(AE33),IF(AND(AE33=1,AF33=1,AG33=1),100,ROUND(100*EXP(AI33)/(1+EXP(AI33)),2)),ROUND(100*EXP(AI33)/(1+EXP(AI33)),2)),IF(ISTEXT(O33),IF(LEFT(O33,1)="2",100,"N/A"),"N/A"))</f>
        <v>0</v>
      </c>
      <c r="AK33">
        <f>IF(ISNUMBER(AJ33),IF(AJ33&gt;=99,IF(OR(R33=10,R33=11),MatchLabel,SureThingLabel),IF(AJ33&gt;=95,SecureLabel,IF(AJ33&gt;=80,SafetyLabel,IF(AJ33&gt;=50,MatchLabel,IF(AJ33&gt;=20,ReachLabel,IF(AJ33&gt;=10,LongshotLabel,HailMaryLabel)))))),"Other")</f>
        <v>0</v>
      </c>
      <c r="AL33">
        <f>IF(OR(I33="accepted",I33="cond. accept",I33="summer admit"),IF(J33="yes","CHOICE!","Accepted!"),IF(I33="denied","Denied",IF(K33=1,"Waitlist",IF(L33=1,"Deferred",IF(G33="pending","Pending",IF(OR(G33="initial materials submitted",G33="mid-year submitted",G33="final submitted"),"Submitted",IF(H33="interest","Interest","?")))))))</f>
        <v>0</v>
      </c>
      <c r="AM33">
        <f>IF(OR(AK33=ReachLabel,AK33=LongshotLabel,AK33=HailMaryLabel),1,0)</f>
        <v>0</v>
      </c>
      <c r="AN33">
        <f>IF(OR(AM33=1,AK33=MatchLabel),1,0)</f>
        <v>0</v>
      </c>
      <c r="AO33">
        <f>IF(OR(AK33=MatchLabel,AK33=SafetyLabel,AK33=SecureLabel,AK33=SureThingLabel),1,0)</f>
        <v>0</v>
      </c>
      <c r="AP33">
        <f>IF(OR(T33="H",T33="B"),IF(ISNUMBER(Y33),ROUND(Y33,2),0),IF(ISNUMBER(X33),ROUND(X33,2),0))</f>
        <v>0</v>
      </c>
      <c r="AQ33">
        <f>IF(AP33&gt;=U33,1,0)</f>
        <v>0</v>
      </c>
      <c r="AR33">
        <f>IF(AP33&gt;=V33,1,0)</f>
        <v>0</v>
      </c>
      <c r="AS33">
        <f>IF(AP33&lt;(U33-0.10),1,0)</f>
        <v>0</v>
      </c>
      <c r="AT33">
        <f>1-AJ33/100</f>
        <v>0</v>
      </c>
      <c r="AU33">
        <f>IF(AN33=1,AT33,1)</f>
        <v>0</v>
      </c>
      <c r="AV33">
        <f>IF(AM33=1,AT33,1)</f>
        <v>0</v>
      </c>
      <c r="AW33">
        <f>IF(AND(AQ33=1,ISNUMBER(AT33)),$AT33,1)</f>
        <v>0</v>
      </c>
      <c r="AX33">
        <f>IF(AND(AR33=1,ISNUMBER(AT33)),$AT33,1)</f>
        <v>0</v>
      </c>
      <c r="AY33">
        <f>IF(ISNUMBER(Y33),INDEX(AllCollegeMoney, MATCH(N33,AllCollegeNCES,0)),0)</f>
        <v>0</v>
      </c>
      <c r="AZ33">
        <f>IF(AND(AQ33=1,ISNUMBER(AT33),AY33=1),$AT33,1)</f>
        <v>0</v>
      </c>
      <c r="BA33">
        <f>IF(AND(AR33=1,ISNUMBER(AT33),AY33=1),$AT33,1)</f>
        <v>0</v>
      </c>
      <c r="BB33">
        <f>IF(ISNUMBER(Y33),INDEX(AllCollegeILPub, MATCH(N33,AllCollegeNCES,0)),0)</f>
        <v>0</v>
      </c>
      <c r="BC33">
        <f>IF(AK33=ReachLabel,AP33,0)</f>
        <v>0</v>
      </c>
      <c r="BD33">
        <f>IF(AK33=MatchLabel,AP33,0)</f>
        <v>0</v>
      </c>
      <c r="BE33">
        <f>IF(AK33=SafetyLabel,AP33,0)</f>
        <v>0</v>
      </c>
      <c r="BF33">
        <f>IF(AK33=SecureLabel,AP33,0)</f>
        <v>0</v>
      </c>
      <c r="BG33">
        <f>IF(AK33=SureThingLabel,AP33,0)</f>
        <v>0</v>
      </c>
      <c r="BH33">
        <f>MAX(BC33:BG33)</f>
        <v>0</v>
      </c>
      <c r="BI33">
        <f>MAX(BD33:BG33)</f>
        <v>0</v>
      </c>
      <c r="BJ33">
        <f>MAX(BE33:BG33)</f>
        <v>0</v>
      </c>
      <c r="BK33">
        <f>IF(AND(AK33=ReachLabel,AY33=1),AP33,0)</f>
        <v>0</v>
      </c>
      <c r="BL33">
        <f>IF(AND(AK33=MatchLabel,AY33=1),AP33,0)</f>
        <v>0</v>
      </c>
      <c r="BM33">
        <f>IF(AND(AK33=SafetyLabel,AY33=1),AP33,0)</f>
        <v>0</v>
      </c>
      <c r="BN33">
        <f>IF(AND(AK33=SecureLabel,AY33=1),AP33,0)</f>
        <v>0</v>
      </c>
      <c r="BO33">
        <f>IF(AND(AK33=SureThingLabel,AY33=1),AP33,0)</f>
        <v>0</v>
      </c>
      <c r="BP33">
        <f>MAX(BK33:BO33)</f>
        <v>0</v>
      </c>
      <c r="BQ33">
        <f>MAX(BL33:BO33)</f>
        <v>0</v>
      </c>
      <c r="BR33">
        <f>MAX(BM33:BO33)</f>
        <v>0</v>
      </c>
      <c r="BS33">
        <f>IF(ISNUMBER(Y33),INDEX(AllCollegeChicago, MATCH(N33,AllCollegeNCES,0))*AY33,0)</f>
        <v>0</v>
      </c>
      <c r="BT33">
        <f>IF(ISNUMBER(Y33),INDEX(AllCollegeMoneyCode, MATCH(N33,AllCollegeNCES,0)),"?")</f>
        <v>0</v>
      </c>
      <c r="BU33">
        <f>IF(OR(BT33="---",BT33="--",BT33="+/--",BT33="+/---"),1,0)</f>
        <v>0</v>
      </c>
      <c r="BV33">
        <f>AY33*AO33*AQ33</f>
        <v>0</v>
      </c>
    </row>
    <row r="34" spans="1:74">
      <c r="A34" t="s">
        <v>86</v>
      </c>
      <c r="B34">
        <v>22026339</v>
      </c>
      <c r="C34" t="s">
        <v>299</v>
      </c>
      <c r="D34" t="s">
        <v>300</v>
      </c>
      <c r="E34" t="s">
        <v>428</v>
      </c>
      <c r="F34" t="s">
        <v>447</v>
      </c>
      <c r="G34" t="s">
        <v>430</v>
      </c>
      <c r="H34" t="s">
        <v>431</v>
      </c>
      <c r="I34" t="s">
        <v>432</v>
      </c>
      <c r="J34" t="s">
        <v>432</v>
      </c>
      <c r="K34">
        <v>0</v>
      </c>
      <c r="L34" t="s">
        <v>428</v>
      </c>
      <c r="M34" t="s">
        <v>428</v>
      </c>
      <c r="N34">
        <v>145600</v>
      </c>
      <c r="O34">
        <f>INDEX(AllCollegeBarrons,MATCH(N34,AllCollegeNCES,0))</f>
        <v>0</v>
      </c>
      <c r="P34">
        <f>INDEX(KidGPAs,MATCH(B34,KidIDs,0))</f>
        <v>0</v>
      </c>
      <c r="Q34">
        <f>INDEX(KidACTs,MATCH(B34,KidIDs,0))</f>
        <v>0</v>
      </c>
      <c r="R34">
        <f>INDEX(Strats,MATCH(B34,KidIDs,0))</f>
        <v>0</v>
      </c>
      <c r="S34">
        <f>INDEX(KidRace,MATCH(B34,KidIDs,0))</f>
        <v>0</v>
      </c>
      <c r="T34">
        <f>IF(OR(S34="M",S34="I"),"H",S34)</f>
        <v>0</v>
      </c>
      <c r="U34">
        <f>INDEX(StudentTargets,MATCH(B34,KidIDs,0))</f>
        <v>0</v>
      </c>
      <c r="V34">
        <f>INDEX(ReachStudentTargets,MATCH(B34,KidIDs,0))</f>
        <v>0</v>
      </c>
      <c r="W34">
        <f>IF(OR(M34="Posse"),1,0)</f>
        <v>0</v>
      </c>
      <c r="X34">
        <f>IF(ISNUMBER(INDEX(AllCollegeGR, MATCH(N34,AllCollegeNCES,0))),ROUND(INDEX(AllCollegeGR, MATCH(N34,AllCollegeNCES,0))+W34*IF(INDEX(AllCollegeGR, MATCH(N34,AllCollegeNCES,0))&gt;0.7,(1-INDEX(AllCollegeGR, MATCH(N34,AllCollegeNCES,0)))/2,0.15),2),INDEX(AllCollegeGR, MATCH(N34,AllCollegeNCES,0)))</f>
        <v>0</v>
      </c>
      <c r="Y34">
        <f>IF(ISNUMBER(INDEX(AllCollegeAAHGR, MATCH(N34,AllCollegeNCES,0))),ROUND(INDEX(AllCollegeAAHGR, MATCH(N34,AllCollegeNCES,0))+W34*IF(INDEX(AllCollegeAAHGR, MATCH(N34,AllCollegeNCES,0))&gt;0.7,(1-INDEX(AllCollegeAAHGR, MATCH(N34,AllCollegeNCES,0)))/2,0.15),2),INDEX(AllCollegeAAHGR, MATCH(N34,AllCollegeNCES,0)))</f>
        <v>0</v>
      </c>
      <c r="Z34">
        <f>IF(OR(T34="H",T34="B"),INDEX(AllCollegeACT25, MATCH(N34,AllCollegeNCES,0)),INDEX(AllCollegeACT50, MATCH(N34,AllCollegeNCES,0)))</f>
        <v>0</v>
      </c>
      <c r="AA34">
        <f>INDEX(CustomWeightsGPA,MATCH(T34&amp;":"&amp;N34,CustomWeightsIndex,0))</f>
        <v>0</v>
      </c>
      <c r="AB34">
        <f>INDEX(CustomWeightsACT,MATCH(T34&amp;":"&amp;N34,CustomWeightsIndex,0))</f>
        <v>0</v>
      </c>
      <c r="AC34">
        <f>INDEX(CustomWeightsIntercept,MATCH(T34&amp;":"&amp;N34,CustomWeightsIndex,0))</f>
        <v>0</v>
      </c>
      <c r="AD34">
        <f>AA34*P34+AB34*Q34+AC34</f>
        <v>0</v>
      </c>
      <c r="AE34">
        <f>INDEX(CoefficientsGPA,MATCH(T34&amp;":"&amp;O34,CoefficientsIndex,0))</f>
        <v>0</v>
      </c>
      <c r="AF34">
        <f>INDEX(CoefficientsACT,MATCH(T34&amp;":"&amp;O34,CoefficientsIndex,0))</f>
        <v>0</v>
      </c>
      <c r="AG34">
        <f>INDEX(CoefficientsIntercept,MATCH(T34&amp;":"&amp;O34,CoefficientsIndex,0))</f>
        <v>0</v>
      </c>
      <c r="AH34">
        <f>AE34*P34+(Q34-Z34)*AF34+AG34</f>
        <v>0</v>
      </c>
      <c r="AI34">
        <f>IF(ISNUMBER(AD34),AD34,AH34)</f>
        <v>0</v>
      </c>
      <c r="AJ34">
        <f>IF(ISNUMBER(AI34),IF(ISNUMBER(AE34),IF(AND(AE34=1,AF34=1,AG34=1),100,ROUND(100*EXP(AI34)/(1+EXP(AI34)),2)),ROUND(100*EXP(AI34)/(1+EXP(AI34)),2)),IF(ISTEXT(O34),IF(LEFT(O34,1)="2",100,"N/A"),"N/A"))</f>
        <v>0</v>
      </c>
      <c r="AK34">
        <f>IF(ISNUMBER(AJ34),IF(AJ34&gt;=99,IF(OR(R34=10,R34=11),MatchLabel,SureThingLabel),IF(AJ34&gt;=95,SecureLabel,IF(AJ34&gt;=80,SafetyLabel,IF(AJ34&gt;=50,MatchLabel,IF(AJ34&gt;=20,ReachLabel,IF(AJ34&gt;=10,LongshotLabel,HailMaryLabel)))))),"Other")</f>
        <v>0</v>
      </c>
      <c r="AL34">
        <f>IF(OR(I34="accepted",I34="cond. accept",I34="summer admit"),IF(J34="yes","CHOICE!","Accepted!"),IF(I34="denied","Denied",IF(K34=1,"Waitlist",IF(L34=1,"Deferred",IF(G34="pending","Pending",IF(OR(G34="initial materials submitted",G34="mid-year submitted",G34="final submitted"),"Submitted",IF(H34="interest","Interest","?")))))))</f>
        <v>0</v>
      </c>
      <c r="AM34">
        <f>IF(OR(AK34=ReachLabel,AK34=LongshotLabel,AK34=HailMaryLabel),1,0)</f>
        <v>0</v>
      </c>
      <c r="AN34">
        <f>IF(OR(AM34=1,AK34=MatchLabel),1,0)</f>
        <v>0</v>
      </c>
      <c r="AO34">
        <f>IF(OR(AK34=MatchLabel,AK34=SafetyLabel,AK34=SecureLabel,AK34=SureThingLabel),1,0)</f>
        <v>0</v>
      </c>
      <c r="AP34">
        <f>IF(OR(T34="H",T34="B"),IF(ISNUMBER(Y34),ROUND(Y34,2),0),IF(ISNUMBER(X34),ROUND(X34,2),0))</f>
        <v>0</v>
      </c>
      <c r="AQ34">
        <f>IF(AP34&gt;=U34,1,0)</f>
        <v>0</v>
      </c>
      <c r="AR34">
        <f>IF(AP34&gt;=V34,1,0)</f>
        <v>0</v>
      </c>
      <c r="AS34">
        <f>IF(AP34&lt;(U34-0.10),1,0)</f>
        <v>0</v>
      </c>
      <c r="AT34">
        <f>1-AJ34/100</f>
        <v>0</v>
      </c>
      <c r="AU34">
        <f>IF(AN34=1,AT34,1)</f>
        <v>0</v>
      </c>
      <c r="AV34">
        <f>IF(AM34=1,AT34,1)</f>
        <v>0</v>
      </c>
      <c r="AW34">
        <f>IF(AND(AQ34=1,ISNUMBER(AT34)),$AT34,1)</f>
        <v>0</v>
      </c>
      <c r="AX34">
        <f>IF(AND(AR34=1,ISNUMBER(AT34)),$AT34,1)</f>
        <v>0</v>
      </c>
      <c r="AY34">
        <f>IF(ISNUMBER(Y34),INDEX(AllCollegeMoney, MATCH(N34,AllCollegeNCES,0)),0)</f>
        <v>0</v>
      </c>
      <c r="AZ34">
        <f>IF(AND(AQ34=1,ISNUMBER(AT34),AY34=1),$AT34,1)</f>
        <v>0</v>
      </c>
      <c r="BA34">
        <f>IF(AND(AR34=1,ISNUMBER(AT34),AY34=1),$AT34,1)</f>
        <v>0</v>
      </c>
      <c r="BB34">
        <f>IF(ISNUMBER(Y34),INDEX(AllCollegeILPub, MATCH(N34,AllCollegeNCES,0)),0)</f>
        <v>0</v>
      </c>
      <c r="BC34">
        <f>IF(AK34=ReachLabel,AP34,0)</f>
        <v>0</v>
      </c>
      <c r="BD34">
        <f>IF(AK34=MatchLabel,AP34,0)</f>
        <v>0</v>
      </c>
      <c r="BE34">
        <f>IF(AK34=SafetyLabel,AP34,0)</f>
        <v>0</v>
      </c>
      <c r="BF34">
        <f>IF(AK34=SecureLabel,AP34,0)</f>
        <v>0</v>
      </c>
      <c r="BG34">
        <f>IF(AK34=SureThingLabel,AP34,0)</f>
        <v>0</v>
      </c>
      <c r="BH34">
        <f>MAX(BC34:BG34)</f>
        <v>0</v>
      </c>
      <c r="BI34">
        <f>MAX(BD34:BG34)</f>
        <v>0</v>
      </c>
      <c r="BJ34">
        <f>MAX(BE34:BG34)</f>
        <v>0</v>
      </c>
      <c r="BK34">
        <f>IF(AND(AK34=ReachLabel,AY34=1),AP34,0)</f>
        <v>0</v>
      </c>
      <c r="BL34">
        <f>IF(AND(AK34=MatchLabel,AY34=1),AP34,0)</f>
        <v>0</v>
      </c>
      <c r="BM34">
        <f>IF(AND(AK34=SafetyLabel,AY34=1),AP34,0)</f>
        <v>0</v>
      </c>
      <c r="BN34">
        <f>IF(AND(AK34=SecureLabel,AY34=1),AP34,0)</f>
        <v>0</v>
      </c>
      <c r="BO34">
        <f>IF(AND(AK34=SureThingLabel,AY34=1),AP34,0)</f>
        <v>0</v>
      </c>
      <c r="BP34">
        <f>MAX(BK34:BO34)</f>
        <v>0</v>
      </c>
      <c r="BQ34">
        <f>MAX(BL34:BO34)</f>
        <v>0</v>
      </c>
      <c r="BR34">
        <f>MAX(BM34:BO34)</f>
        <v>0</v>
      </c>
      <c r="BS34">
        <f>IF(ISNUMBER(Y34),INDEX(AllCollegeChicago, MATCH(N34,AllCollegeNCES,0))*AY34,0)</f>
        <v>0</v>
      </c>
      <c r="BT34">
        <f>IF(ISNUMBER(Y34),INDEX(AllCollegeMoneyCode, MATCH(N34,AllCollegeNCES,0)),"?")</f>
        <v>0</v>
      </c>
      <c r="BU34">
        <f>IF(OR(BT34="---",BT34="--",BT34="+/--",BT34="+/---"),1,0)</f>
        <v>0</v>
      </c>
      <c r="BV34">
        <f>AY34*AO34*AQ34</f>
        <v>0</v>
      </c>
    </row>
    <row r="35" spans="1:74">
      <c r="A35" t="s">
        <v>86</v>
      </c>
      <c r="B35">
        <v>22026339</v>
      </c>
      <c r="C35" t="s">
        <v>299</v>
      </c>
      <c r="D35" t="s">
        <v>300</v>
      </c>
      <c r="E35" t="s">
        <v>428</v>
      </c>
      <c r="F35" t="s">
        <v>464</v>
      </c>
      <c r="G35" t="s">
        <v>430</v>
      </c>
      <c r="H35" t="s">
        <v>431</v>
      </c>
      <c r="I35" t="s">
        <v>432</v>
      </c>
      <c r="J35" t="s">
        <v>432</v>
      </c>
      <c r="K35">
        <v>0</v>
      </c>
      <c r="L35" t="s">
        <v>428</v>
      </c>
      <c r="M35" t="s">
        <v>428</v>
      </c>
      <c r="N35">
        <v>169248</v>
      </c>
      <c r="O35">
        <f>INDEX(AllCollegeBarrons,MATCH(N35,AllCollegeNCES,0))</f>
        <v>0</v>
      </c>
      <c r="P35">
        <f>INDEX(KidGPAs,MATCH(B35,KidIDs,0))</f>
        <v>0</v>
      </c>
      <c r="Q35">
        <f>INDEX(KidACTs,MATCH(B35,KidIDs,0))</f>
        <v>0</v>
      </c>
      <c r="R35">
        <f>INDEX(Strats,MATCH(B35,KidIDs,0))</f>
        <v>0</v>
      </c>
      <c r="S35">
        <f>INDEX(KidRace,MATCH(B35,KidIDs,0))</f>
        <v>0</v>
      </c>
      <c r="T35">
        <f>IF(OR(S35="M",S35="I"),"H",S35)</f>
        <v>0</v>
      </c>
      <c r="U35">
        <f>INDEX(StudentTargets,MATCH(B35,KidIDs,0))</f>
        <v>0</v>
      </c>
      <c r="V35">
        <f>INDEX(ReachStudentTargets,MATCH(B35,KidIDs,0))</f>
        <v>0</v>
      </c>
      <c r="W35">
        <f>IF(OR(M35="Posse"),1,0)</f>
        <v>0</v>
      </c>
      <c r="X35">
        <f>IF(ISNUMBER(INDEX(AllCollegeGR, MATCH(N35,AllCollegeNCES,0))),ROUND(INDEX(AllCollegeGR, MATCH(N35,AllCollegeNCES,0))+W35*IF(INDEX(AllCollegeGR, MATCH(N35,AllCollegeNCES,0))&gt;0.7,(1-INDEX(AllCollegeGR, MATCH(N35,AllCollegeNCES,0)))/2,0.15),2),INDEX(AllCollegeGR, MATCH(N35,AllCollegeNCES,0)))</f>
        <v>0</v>
      </c>
      <c r="Y35">
        <f>IF(ISNUMBER(INDEX(AllCollegeAAHGR, MATCH(N35,AllCollegeNCES,0))),ROUND(INDEX(AllCollegeAAHGR, MATCH(N35,AllCollegeNCES,0))+W35*IF(INDEX(AllCollegeAAHGR, MATCH(N35,AllCollegeNCES,0))&gt;0.7,(1-INDEX(AllCollegeAAHGR, MATCH(N35,AllCollegeNCES,0)))/2,0.15),2),INDEX(AllCollegeAAHGR, MATCH(N35,AllCollegeNCES,0)))</f>
        <v>0</v>
      </c>
      <c r="Z35">
        <f>IF(OR(T35="H",T35="B"),INDEX(AllCollegeACT25, MATCH(N35,AllCollegeNCES,0)),INDEX(AllCollegeACT50, MATCH(N35,AllCollegeNCES,0)))</f>
        <v>0</v>
      </c>
      <c r="AA35">
        <f>INDEX(CustomWeightsGPA,MATCH(T35&amp;":"&amp;N35,CustomWeightsIndex,0))</f>
        <v>0</v>
      </c>
      <c r="AB35">
        <f>INDEX(CustomWeightsACT,MATCH(T35&amp;":"&amp;N35,CustomWeightsIndex,0))</f>
        <v>0</v>
      </c>
      <c r="AC35">
        <f>INDEX(CustomWeightsIntercept,MATCH(T35&amp;":"&amp;N35,CustomWeightsIndex,0))</f>
        <v>0</v>
      </c>
      <c r="AD35">
        <f>AA35*P35+AB35*Q35+AC35</f>
        <v>0</v>
      </c>
      <c r="AE35">
        <f>INDEX(CoefficientsGPA,MATCH(T35&amp;":"&amp;O35,CoefficientsIndex,0))</f>
        <v>0</v>
      </c>
      <c r="AF35">
        <f>INDEX(CoefficientsACT,MATCH(T35&amp;":"&amp;O35,CoefficientsIndex,0))</f>
        <v>0</v>
      </c>
      <c r="AG35">
        <f>INDEX(CoefficientsIntercept,MATCH(T35&amp;":"&amp;O35,CoefficientsIndex,0))</f>
        <v>0</v>
      </c>
      <c r="AH35">
        <f>AE35*P35+(Q35-Z35)*AF35+AG35</f>
        <v>0</v>
      </c>
      <c r="AI35">
        <f>IF(ISNUMBER(AD35),AD35,AH35)</f>
        <v>0</v>
      </c>
      <c r="AJ35">
        <f>IF(ISNUMBER(AI35),IF(ISNUMBER(AE35),IF(AND(AE35=1,AF35=1,AG35=1),100,ROUND(100*EXP(AI35)/(1+EXP(AI35)),2)),ROUND(100*EXP(AI35)/(1+EXP(AI35)),2)),IF(ISTEXT(O35),IF(LEFT(O35,1)="2",100,"N/A"),"N/A"))</f>
        <v>0</v>
      </c>
      <c r="AK35">
        <f>IF(ISNUMBER(AJ35),IF(AJ35&gt;=99,IF(OR(R35=10,R35=11),MatchLabel,SureThingLabel),IF(AJ35&gt;=95,SecureLabel,IF(AJ35&gt;=80,SafetyLabel,IF(AJ35&gt;=50,MatchLabel,IF(AJ35&gt;=20,ReachLabel,IF(AJ35&gt;=10,LongshotLabel,HailMaryLabel)))))),"Other")</f>
        <v>0</v>
      </c>
      <c r="AL35">
        <f>IF(OR(I35="accepted",I35="cond. accept",I35="summer admit"),IF(J35="yes","CHOICE!","Accepted!"),IF(I35="denied","Denied",IF(K35=1,"Waitlist",IF(L35=1,"Deferred",IF(G35="pending","Pending",IF(OR(G35="initial materials submitted",G35="mid-year submitted",G35="final submitted"),"Submitted",IF(H35="interest","Interest","?")))))))</f>
        <v>0</v>
      </c>
      <c r="AM35">
        <f>IF(OR(AK35=ReachLabel,AK35=LongshotLabel,AK35=HailMaryLabel),1,0)</f>
        <v>0</v>
      </c>
      <c r="AN35">
        <f>IF(OR(AM35=1,AK35=MatchLabel),1,0)</f>
        <v>0</v>
      </c>
      <c r="AO35">
        <f>IF(OR(AK35=MatchLabel,AK35=SafetyLabel,AK35=SecureLabel,AK35=SureThingLabel),1,0)</f>
        <v>0</v>
      </c>
      <c r="AP35">
        <f>IF(OR(T35="H",T35="B"),IF(ISNUMBER(Y35),ROUND(Y35,2),0),IF(ISNUMBER(X35),ROUND(X35,2),0))</f>
        <v>0</v>
      </c>
      <c r="AQ35">
        <f>IF(AP35&gt;=U35,1,0)</f>
        <v>0</v>
      </c>
      <c r="AR35">
        <f>IF(AP35&gt;=V35,1,0)</f>
        <v>0</v>
      </c>
      <c r="AS35">
        <f>IF(AP35&lt;(U35-0.10),1,0)</f>
        <v>0</v>
      </c>
      <c r="AT35">
        <f>1-AJ35/100</f>
        <v>0</v>
      </c>
      <c r="AU35">
        <f>IF(AN35=1,AT35,1)</f>
        <v>0</v>
      </c>
      <c r="AV35">
        <f>IF(AM35=1,AT35,1)</f>
        <v>0</v>
      </c>
      <c r="AW35">
        <f>IF(AND(AQ35=1,ISNUMBER(AT35)),$AT35,1)</f>
        <v>0</v>
      </c>
      <c r="AX35">
        <f>IF(AND(AR35=1,ISNUMBER(AT35)),$AT35,1)</f>
        <v>0</v>
      </c>
      <c r="AY35">
        <f>IF(ISNUMBER(Y35),INDEX(AllCollegeMoney, MATCH(N35,AllCollegeNCES,0)),0)</f>
        <v>0</v>
      </c>
      <c r="AZ35">
        <f>IF(AND(AQ35=1,ISNUMBER(AT35),AY35=1),$AT35,1)</f>
        <v>0</v>
      </c>
      <c r="BA35">
        <f>IF(AND(AR35=1,ISNUMBER(AT35),AY35=1),$AT35,1)</f>
        <v>0</v>
      </c>
      <c r="BB35">
        <f>IF(ISNUMBER(Y35),INDEX(AllCollegeILPub, MATCH(N35,AllCollegeNCES,0)),0)</f>
        <v>0</v>
      </c>
      <c r="BC35">
        <f>IF(AK35=ReachLabel,AP35,0)</f>
        <v>0</v>
      </c>
      <c r="BD35">
        <f>IF(AK35=MatchLabel,AP35,0)</f>
        <v>0</v>
      </c>
      <c r="BE35">
        <f>IF(AK35=SafetyLabel,AP35,0)</f>
        <v>0</v>
      </c>
      <c r="BF35">
        <f>IF(AK35=SecureLabel,AP35,0)</f>
        <v>0</v>
      </c>
      <c r="BG35">
        <f>IF(AK35=SureThingLabel,AP35,0)</f>
        <v>0</v>
      </c>
      <c r="BH35">
        <f>MAX(BC35:BG35)</f>
        <v>0</v>
      </c>
      <c r="BI35">
        <f>MAX(BD35:BG35)</f>
        <v>0</v>
      </c>
      <c r="BJ35">
        <f>MAX(BE35:BG35)</f>
        <v>0</v>
      </c>
      <c r="BK35">
        <f>IF(AND(AK35=ReachLabel,AY35=1),AP35,0)</f>
        <v>0</v>
      </c>
      <c r="BL35">
        <f>IF(AND(AK35=MatchLabel,AY35=1),AP35,0)</f>
        <v>0</v>
      </c>
      <c r="BM35">
        <f>IF(AND(AK35=SafetyLabel,AY35=1),AP35,0)</f>
        <v>0</v>
      </c>
      <c r="BN35">
        <f>IF(AND(AK35=SecureLabel,AY35=1),AP35,0)</f>
        <v>0</v>
      </c>
      <c r="BO35">
        <f>IF(AND(AK35=SureThingLabel,AY35=1),AP35,0)</f>
        <v>0</v>
      </c>
      <c r="BP35">
        <f>MAX(BK35:BO35)</f>
        <v>0</v>
      </c>
      <c r="BQ35">
        <f>MAX(BL35:BO35)</f>
        <v>0</v>
      </c>
      <c r="BR35">
        <f>MAX(BM35:BO35)</f>
        <v>0</v>
      </c>
      <c r="BS35">
        <f>IF(ISNUMBER(Y35),INDEX(AllCollegeChicago, MATCH(N35,AllCollegeNCES,0))*AY35,0)</f>
        <v>0</v>
      </c>
      <c r="BT35">
        <f>IF(ISNUMBER(Y35),INDEX(AllCollegeMoneyCode, MATCH(N35,AllCollegeNCES,0)),"?")</f>
        <v>0</v>
      </c>
      <c r="BU35">
        <f>IF(OR(BT35="---",BT35="--",BT35="+/--",BT35="+/---"),1,0)</f>
        <v>0</v>
      </c>
      <c r="BV35">
        <f>AY35*AO35*AQ35</f>
        <v>0</v>
      </c>
    </row>
    <row r="36" spans="1:74">
      <c r="A36" t="s">
        <v>86</v>
      </c>
      <c r="B36">
        <v>22054227</v>
      </c>
      <c r="C36" t="s">
        <v>133</v>
      </c>
      <c r="D36" t="s">
        <v>134</v>
      </c>
      <c r="E36" t="s">
        <v>428</v>
      </c>
      <c r="F36" t="s">
        <v>465</v>
      </c>
      <c r="G36" t="s">
        <v>430</v>
      </c>
      <c r="H36" t="s">
        <v>431</v>
      </c>
      <c r="I36" t="s">
        <v>432</v>
      </c>
      <c r="J36" t="s">
        <v>432</v>
      </c>
      <c r="K36">
        <v>0</v>
      </c>
      <c r="L36" t="s">
        <v>428</v>
      </c>
      <c r="M36" t="s">
        <v>428</v>
      </c>
      <c r="N36">
        <v>212577</v>
      </c>
      <c r="O36">
        <f>INDEX(AllCollegeBarrons,MATCH(N36,AllCollegeNCES,0))</f>
        <v>0</v>
      </c>
      <c r="P36">
        <f>INDEX(KidGPAs,MATCH(B36,KidIDs,0))</f>
        <v>0</v>
      </c>
      <c r="Q36">
        <f>INDEX(KidACTs,MATCH(B36,KidIDs,0))</f>
        <v>0</v>
      </c>
      <c r="R36">
        <f>INDEX(Strats,MATCH(B36,KidIDs,0))</f>
        <v>0</v>
      </c>
      <c r="S36">
        <f>INDEX(KidRace,MATCH(B36,KidIDs,0))</f>
        <v>0</v>
      </c>
      <c r="T36">
        <f>IF(OR(S36="M",S36="I"),"H",S36)</f>
        <v>0</v>
      </c>
      <c r="U36">
        <f>INDEX(StudentTargets,MATCH(B36,KidIDs,0))</f>
        <v>0</v>
      </c>
      <c r="V36">
        <f>INDEX(ReachStudentTargets,MATCH(B36,KidIDs,0))</f>
        <v>0</v>
      </c>
      <c r="W36">
        <f>IF(OR(M36="Posse"),1,0)</f>
        <v>0</v>
      </c>
      <c r="X36">
        <f>IF(ISNUMBER(INDEX(AllCollegeGR, MATCH(N36,AllCollegeNCES,0))),ROUND(INDEX(AllCollegeGR, MATCH(N36,AllCollegeNCES,0))+W36*IF(INDEX(AllCollegeGR, MATCH(N36,AllCollegeNCES,0))&gt;0.7,(1-INDEX(AllCollegeGR, MATCH(N36,AllCollegeNCES,0)))/2,0.15),2),INDEX(AllCollegeGR, MATCH(N36,AllCollegeNCES,0)))</f>
        <v>0</v>
      </c>
      <c r="Y36">
        <f>IF(ISNUMBER(INDEX(AllCollegeAAHGR, MATCH(N36,AllCollegeNCES,0))),ROUND(INDEX(AllCollegeAAHGR, MATCH(N36,AllCollegeNCES,0))+W36*IF(INDEX(AllCollegeAAHGR, MATCH(N36,AllCollegeNCES,0))&gt;0.7,(1-INDEX(AllCollegeAAHGR, MATCH(N36,AllCollegeNCES,0)))/2,0.15),2),INDEX(AllCollegeAAHGR, MATCH(N36,AllCollegeNCES,0)))</f>
        <v>0</v>
      </c>
      <c r="Z36">
        <f>IF(OR(T36="H",T36="B"),INDEX(AllCollegeACT25, MATCH(N36,AllCollegeNCES,0)),INDEX(AllCollegeACT50, MATCH(N36,AllCollegeNCES,0)))</f>
        <v>0</v>
      </c>
      <c r="AA36">
        <f>INDEX(CustomWeightsGPA,MATCH(T36&amp;":"&amp;N36,CustomWeightsIndex,0))</f>
        <v>0</v>
      </c>
      <c r="AB36">
        <f>INDEX(CustomWeightsACT,MATCH(T36&amp;":"&amp;N36,CustomWeightsIndex,0))</f>
        <v>0</v>
      </c>
      <c r="AC36">
        <f>INDEX(CustomWeightsIntercept,MATCH(T36&amp;":"&amp;N36,CustomWeightsIndex,0))</f>
        <v>0</v>
      </c>
      <c r="AD36">
        <f>AA36*P36+AB36*Q36+AC36</f>
        <v>0</v>
      </c>
      <c r="AE36">
        <f>INDEX(CoefficientsGPA,MATCH(T36&amp;":"&amp;O36,CoefficientsIndex,0))</f>
        <v>0</v>
      </c>
      <c r="AF36">
        <f>INDEX(CoefficientsACT,MATCH(T36&amp;":"&amp;O36,CoefficientsIndex,0))</f>
        <v>0</v>
      </c>
      <c r="AG36">
        <f>INDEX(CoefficientsIntercept,MATCH(T36&amp;":"&amp;O36,CoefficientsIndex,0))</f>
        <v>0</v>
      </c>
      <c r="AH36">
        <f>AE36*P36+(Q36-Z36)*AF36+AG36</f>
        <v>0</v>
      </c>
      <c r="AI36">
        <f>IF(ISNUMBER(AD36),AD36,AH36)</f>
        <v>0</v>
      </c>
      <c r="AJ36">
        <f>IF(ISNUMBER(AI36),IF(ISNUMBER(AE36),IF(AND(AE36=1,AF36=1,AG36=1),100,ROUND(100*EXP(AI36)/(1+EXP(AI36)),2)),ROUND(100*EXP(AI36)/(1+EXP(AI36)),2)),IF(ISTEXT(O36),IF(LEFT(O36,1)="2",100,"N/A"),"N/A"))</f>
        <v>0</v>
      </c>
      <c r="AK36">
        <f>IF(ISNUMBER(AJ36),IF(AJ36&gt;=99,IF(OR(R36=10,R36=11),MatchLabel,SureThingLabel),IF(AJ36&gt;=95,SecureLabel,IF(AJ36&gt;=80,SafetyLabel,IF(AJ36&gt;=50,MatchLabel,IF(AJ36&gt;=20,ReachLabel,IF(AJ36&gt;=10,LongshotLabel,HailMaryLabel)))))),"Other")</f>
        <v>0</v>
      </c>
      <c r="AL36">
        <f>IF(OR(I36="accepted",I36="cond. accept",I36="summer admit"),IF(J36="yes","CHOICE!","Accepted!"),IF(I36="denied","Denied",IF(K36=1,"Waitlist",IF(L36=1,"Deferred",IF(G36="pending","Pending",IF(OR(G36="initial materials submitted",G36="mid-year submitted",G36="final submitted"),"Submitted",IF(H36="interest","Interest","?")))))))</f>
        <v>0</v>
      </c>
      <c r="AM36">
        <f>IF(OR(AK36=ReachLabel,AK36=LongshotLabel,AK36=HailMaryLabel),1,0)</f>
        <v>0</v>
      </c>
      <c r="AN36">
        <f>IF(OR(AM36=1,AK36=MatchLabel),1,0)</f>
        <v>0</v>
      </c>
      <c r="AO36">
        <f>IF(OR(AK36=MatchLabel,AK36=SafetyLabel,AK36=SecureLabel,AK36=SureThingLabel),1,0)</f>
        <v>0</v>
      </c>
      <c r="AP36">
        <f>IF(OR(T36="H",T36="B"),IF(ISNUMBER(Y36),ROUND(Y36,2),0),IF(ISNUMBER(X36),ROUND(X36,2),0))</f>
        <v>0</v>
      </c>
      <c r="AQ36">
        <f>IF(AP36&gt;=U36,1,0)</f>
        <v>0</v>
      </c>
      <c r="AR36">
        <f>IF(AP36&gt;=V36,1,0)</f>
        <v>0</v>
      </c>
      <c r="AS36">
        <f>IF(AP36&lt;(U36-0.10),1,0)</f>
        <v>0</v>
      </c>
      <c r="AT36">
        <f>1-AJ36/100</f>
        <v>0</v>
      </c>
      <c r="AU36">
        <f>IF(AN36=1,AT36,1)</f>
        <v>0</v>
      </c>
      <c r="AV36">
        <f>IF(AM36=1,AT36,1)</f>
        <v>0</v>
      </c>
      <c r="AW36">
        <f>IF(AND(AQ36=1,ISNUMBER(AT36)),$AT36,1)</f>
        <v>0</v>
      </c>
      <c r="AX36">
        <f>IF(AND(AR36=1,ISNUMBER(AT36)),$AT36,1)</f>
        <v>0</v>
      </c>
      <c r="AY36">
        <f>IF(ISNUMBER(Y36),INDEX(AllCollegeMoney, MATCH(N36,AllCollegeNCES,0)),0)</f>
        <v>0</v>
      </c>
      <c r="AZ36">
        <f>IF(AND(AQ36=1,ISNUMBER(AT36),AY36=1),$AT36,1)</f>
        <v>0</v>
      </c>
      <c r="BA36">
        <f>IF(AND(AR36=1,ISNUMBER(AT36),AY36=1),$AT36,1)</f>
        <v>0</v>
      </c>
      <c r="BB36">
        <f>IF(ISNUMBER(Y36),INDEX(AllCollegeILPub, MATCH(N36,AllCollegeNCES,0)),0)</f>
        <v>0</v>
      </c>
      <c r="BC36">
        <f>IF(AK36=ReachLabel,AP36,0)</f>
        <v>0</v>
      </c>
      <c r="BD36">
        <f>IF(AK36=MatchLabel,AP36,0)</f>
        <v>0</v>
      </c>
      <c r="BE36">
        <f>IF(AK36=SafetyLabel,AP36,0)</f>
        <v>0</v>
      </c>
      <c r="BF36">
        <f>IF(AK36=SecureLabel,AP36,0)</f>
        <v>0</v>
      </c>
      <c r="BG36">
        <f>IF(AK36=SureThingLabel,AP36,0)</f>
        <v>0</v>
      </c>
      <c r="BH36">
        <f>MAX(BC36:BG36)</f>
        <v>0</v>
      </c>
      <c r="BI36">
        <f>MAX(BD36:BG36)</f>
        <v>0</v>
      </c>
      <c r="BJ36">
        <f>MAX(BE36:BG36)</f>
        <v>0</v>
      </c>
      <c r="BK36">
        <f>IF(AND(AK36=ReachLabel,AY36=1),AP36,0)</f>
        <v>0</v>
      </c>
      <c r="BL36">
        <f>IF(AND(AK36=MatchLabel,AY36=1),AP36,0)</f>
        <v>0</v>
      </c>
      <c r="BM36">
        <f>IF(AND(AK36=SafetyLabel,AY36=1),AP36,0)</f>
        <v>0</v>
      </c>
      <c r="BN36">
        <f>IF(AND(AK36=SecureLabel,AY36=1),AP36,0)</f>
        <v>0</v>
      </c>
      <c r="BO36">
        <f>IF(AND(AK36=SureThingLabel,AY36=1),AP36,0)</f>
        <v>0</v>
      </c>
      <c r="BP36">
        <f>MAX(BK36:BO36)</f>
        <v>0</v>
      </c>
      <c r="BQ36">
        <f>MAX(BL36:BO36)</f>
        <v>0</v>
      </c>
      <c r="BR36">
        <f>MAX(BM36:BO36)</f>
        <v>0</v>
      </c>
      <c r="BS36">
        <f>IF(ISNUMBER(Y36),INDEX(AllCollegeChicago, MATCH(N36,AllCollegeNCES,0))*AY36,0)</f>
        <v>0</v>
      </c>
      <c r="BT36">
        <f>IF(ISNUMBER(Y36),INDEX(AllCollegeMoneyCode, MATCH(N36,AllCollegeNCES,0)),"?")</f>
        <v>0</v>
      </c>
      <c r="BU36">
        <f>IF(OR(BT36="---",BT36="--",BT36="+/--",BT36="+/---"),1,0)</f>
        <v>0</v>
      </c>
      <c r="BV36">
        <f>AY36*AO36*AQ36</f>
        <v>0</v>
      </c>
    </row>
    <row r="37" spans="1:74">
      <c r="A37" t="s">
        <v>86</v>
      </c>
      <c r="B37">
        <v>22054227</v>
      </c>
      <c r="C37" t="s">
        <v>133</v>
      </c>
      <c r="D37" t="s">
        <v>134</v>
      </c>
      <c r="E37" t="s">
        <v>428</v>
      </c>
      <c r="F37" t="s">
        <v>466</v>
      </c>
      <c r="G37" t="s">
        <v>430</v>
      </c>
      <c r="H37" t="s">
        <v>431</v>
      </c>
      <c r="I37" t="s">
        <v>432</v>
      </c>
      <c r="J37" t="s">
        <v>432</v>
      </c>
      <c r="K37">
        <v>0</v>
      </c>
      <c r="L37" t="s">
        <v>428</v>
      </c>
      <c r="M37" t="s">
        <v>428</v>
      </c>
      <c r="N37">
        <v>213385</v>
      </c>
      <c r="O37">
        <f>INDEX(AllCollegeBarrons,MATCH(N37,AllCollegeNCES,0))</f>
        <v>0</v>
      </c>
      <c r="P37">
        <f>INDEX(KidGPAs,MATCH(B37,KidIDs,0))</f>
        <v>0</v>
      </c>
      <c r="Q37">
        <f>INDEX(KidACTs,MATCH(B37,KidIDs,0))</f>
        <v>0</v>
      </c>
      <c r="R37">
        <f>INDEX(Strats,MATCH(B37,KidIDs,0))</f>
        <v>0</v>
      </c>
      <c r="S37">
        <f>INDEX(KidRace,MATCH(B37,KidIDs,0))</f>
        <v>0</v>
      </c>
      <c r="T37">
        <f>IF(OR(S37="M",S37="I"),"H",S37)</f>
        <v>0</v>
      </c>
      <c r="U37">
        <f>INDEX(StudentTargets,MATCH(B37,KidIDs,0))</f>
        <v>0</v>
      </c>
      <c r="V37">
        <f>INDEX(ReachStudentTargets,MATCH(B37,KidIDs,0))</f>
        <v>0</v>
      </c>
      <c r="W37">
        <f>IF(OR(M37="Posse"),1,0)</f>
        <v>0</v>
      </c>
      <c r="X37">
        <f>IF(ISNUMBER(INDEX(AllCollegeGR, MATCH(N37,AllCollegeNCES,0))),ROUND(INDEX(AllCollegeGR, MATCH(N37,AllCollegeNCES,0))+W37*IF(INDEX(AllCollegeGR, MATCH(N37,AllCollegeNCES,0))&gt;0.7,(1-INDEX(AllCollegeGR, MATCH(N37,AllCollegeNCES,0)))/2,0.15),2),INDEX(AllCollegeGR, MATCH(N37,AllCollegeNCES,0)))</f>
        <v>0</v>
      </c>
      <c r="Y37">
        <f>IF(ISNUMBER(INDEX(AllCollegeAAHGR, MATCH(N37,AllCollegeNCES,0))),ROUND(INDEX(AllCollegeAAHGR, MATCH(N37,AllCollegeNCES,0))+W37*IF(INDEX(AllCollegeAAHGR, MATCH(N37,AllCollegeNCES,0))&gt;0.7,(1-INDEX(AllCollegeAAHGR, MATCH(N37,AllCollegeNCES,0)))/2,0.15),2),INDEX(AllCollegeAAHGR, MATCH(N37,AllCollegeNCES,0)))</f>
        <v>0</v>
      </c>
      <c r="Z37">
        <f>IF(OR(T37="H",T37="B"),INDEX(AllCollegeACT25, MATCH(N37,AllCollegeNCES,0)),INDEX(AllCollegeACT50, MATCH(N37,AllCollegeNCES,0)))</f>
        <v>0</v>
      </c>
      <c r="AA37">
        <f>INDEX(CustomWeightsGPA,MATCH(T37&amp;":"&amp;N37,CustomWeightsIndex,0))</f>
        <v>0</v>
      </c>
      <c r="AB37">
        <f>INDEX(CustomWeightsACT,MATCH(T37&amp;":"&amp;N37,CustomWeightsIndex,0))</f>
        <v>0</v>
      </c>
      <c r="AC37">
        <f>INDEX(CustomWeightsIntercept,MATCH(T37&amp;":"&amp;N37,CustomWeightsIndex,0))</f>
        <v>0</v>
      </c>
      <c r="AD37">
        <f>AA37*P37+AB37*Q37+AC37</f>
        <v>0</v>
      </c>
      <c r="AE37">
        <f>INDEX(CoefficientsGPA,MATCH(T37&amp;":"&amp;O37,CoefficientsIndex,0))</f>
        <v>0</v>
      </c>
      <c r="AF37">
        <f>INDEX(CoefficientsACT,MATCH(T37&amp;":"&amp;O37,CoefficientsIndex,0))</f>
        <v>0</v>
      </c>
      <c r="AG37">
        <f>INDEX(CoefficientsIntercept,MATCH(T37&amp;":"&amp;O37,CoefficientsIndex,0))</f>
        <v>0</v>
      </c>
      <c r="AH37">
        <f>AE37*P37+(Q37-Z37)*AF37+AG37</f>
        <v>0</v>
      </c>
      <c r="AI37">
        <f>IF(ISNUMBER(AD37),AD37,AH37)</f>
        <v>0</v>
      </c>
      <c r="AJ37">
        <f>IF(ISNUMBER(AI37),IF(ISNUMBER(AE37),IF(AND(AE37=1,AF37=1,AG37=1),100,ROUND(100*EXP(AI37)/(1+EXP(AI37)),2)),ROUND(100*EXP(AI37)/(1+EXP(AI37)),2)),IF(ISTEXT(O37),IF(LEFT(O37,1)="2",100,"N/A"),"N/A"))</f>
        <v>0</v>
      </c>
      <c r="AK37">
        <f>IF(ISNUMBER(AJ37),IF(AJ37&gt;=99,IF(OR(R37=10,R37=11),MatchLabel,SureThingLabel),IF(AJ37&gt;=95,SecureLabel,IF(AJ37&gt;=80,SafetyLabel,IF(AJ37&gt;=50,MatchLabel,IF(AJ37&gt;=20,ReachLabel,IF(AJ37&gt;=10,LongshotLabel,HailMaryLabel)))))),"Other")</f>
        <v>0</v>
      </c>
      <c r="AL37">
        <f>IF(OR(I37="accepted",I37="cond. accept",I37="summer admit"),IF(J37="yes","CHOICE!","Accepted!"),IF(I37="denied","Denied",IF(K37=1,"Waitlist",IF(L37=1,"Deferred",IF(G37="pending","Pending",IF(OR(G37="initial materials submitted",G37="mid-year submitted",G37="final submitted"),"Submitted",IF(H37="interest","Interest","?")))))))</f>
        <v>0</v>
      </c>
      <c r="AM37">
        <f>IF(OR(AK37=ReachLabel,AK37=LongshotLabel,AK37=HailMaryLabel),1,0)</f>
        <v>0</v>
      </c>
      <c r="AN37">
        <f>IF(OR(AM37=1,AK37=MatchLabel),1,0)</f>
        <v>0</v>
      </c>
      <c r="AO37">
        <f>IF(OR(AK37=MatchLabel,AK37=SafetyLabel,AK37=SecureLabel,AK37=SureThingLabel),1,0)</f>
        <v>0</v>
      </c>
      <c r="AP37">
        <f>IF(OR(T37="H",T37="B"),IF(ISNUMBER(Y37),ROUND(Y37,2),0),IF(ISNUMBER(X37),ROUND(X37,2),0))</f>
        <v>0</v>
      </c>
      <c r="AQ37">
        <f>IF(AP37&gt;=U37,1,0)</f>
        <v>0</v>
      </c>
      <c r="AR37">
        <f>IF(AP37&gt;=V37,1,0)</f>
        <v>0</v>
      </c>
      <c r="AS37">
        <f>IF(AP37&lt;(U37-0.10),1,0)</f>
        <v>0</v>
      </c>
      <c r="AT37">
        <f>1-AJ37/100</f>
        <v>0</v>
      </c>
      <c r="AU37">
        <f>IF(AN37=1,AT37,1)</f>
        <v>0</v>
      </c>
      <c r="AV37">
        <f>IF(AM37=1,AT37,1)</f>
        <v>0</v>
      </c>
      <c r="AW37">
        <f>IF(AND(AQ37=1,ISNUMBER(AT37)),$AT37,1)</f>
        <v>0</v>
      </c>
      <c r="AX37">
        <f>IF(AND(AR37=1,ISNUMBER(AT37)),$AT37,1)</f>
        <v>0</v>
      </c>
      <c r="AY37">
        <f>IF(ISNUMBER(Y37),INDEX(AllCollegeMoney, MATCH(N37,AllCollegeNCES,0)),0)</f>
        <v>0</v>
      </c>
      <c r="AZ37">
        <f>IF(AND(AQ37=1,ISNUMBER(AT37),AY37=1),$AT37,1)</f>
        <v>0</v>
      </c>
      <c r="BA37">
        <f>IF(AND(AR37=1,ISNUMBER(AT37),AY37=1),$AT37,1)</f>
        <v>0</v>
      </c>
      <c r="BB37">
        <f>IF(ISNUMBER(Y37),INDEX(AllCollegeILPub, MATCH(N37,AllCollegeNCES,0)),0)</f>
        <v>0</v>
      </c>
      <c r="BC37">
        <f>IF(AK37=ReachLabel,AP37,0)</f>
        <v>0</v>
      </c>
      <c r="BD37">
        <f>IF(AK37=MatchLabel,AP37,0)</f>
        <v>0</v>
      </c>
      <c r="BE37">
        <f>IF(AK37=SafetyLabel,AP37,0)</f>
        <v>0</v>
      </c>
      <c r="BF37">
        <f>IF(AK37=SecureLabel,AP37,0)</f>
        <v>0</v>
      </c>
      <c r="BG37">
        <f>IF(AK37=SureThingLabel,AP37,0)</f>
        <v>0</v>
      </c>
      <c r="BH37">
        <f>MAX(BC37:BG37)</f>
        <v>0</v>
      </c>
      <c r="BI37">
        <f>MAX(BD37:BG37)</f>
        <v>0</v>
      </c>
      <c r="BJ37">
        <f>MAX(BE37:BG37)</f>
        <v>0</v>
      </c>
      <c r="BK37">
        <f>IF(AND(AK37=ReachLabel,AY37=1),AP37,0)</f>
        <v>0</v>
      </c>
      <c r="BL37">
        <f>IF(AND(AK37=MatchLabel,AY37=1),AP37,0)</f>
        <v>0</v>
      </c>
      <c r="BM37">
        <f>IF(AND(AK37=SafetyLabel,AY37=1),AP37,0)</f>
        <v>0</v>
      </c>
      <c r="BN37">
        <f>IF(AND(AK37=SecureLabel,AY37=1),AP37,0)</f>
        <v>0</v>
      </c>
      <c r="BO37">
        <f>IF(AND(AK37=SureThingLabel,AY37=1),AP37,0)</f>
        <v>0</v>
      </c>
      <c r="BP37">
        <f>MAX(BK37:BO37)</f>
        <v>0</v>
      </c>
      <c r="BQ37">
        <f>MAX(BL37:BO37)</f>
        <v>0</v>
      </c>
      <c r="BR37">
        <f>MAX(BM37:BO37)</f>
        <v>0</v>
      </c>
      <c r="BS37">
        <f>IF(ISNUMBER(Y37),INDEX(AllCollegeChicago, MATCH(N37,AllCollegeNCES,0))*AY37,0)</f>
        <v>0</v>
      </c>
      <c r="BT37">
        <f>IF(ISNUMBER(Y37),INDEX(AllCollegeMoneyCode, MATCH(N37,AllCollegeNCES,0)),"?")</f>
        <v>0</v>
      </c>
      <c r="BU37">
        <f>IF(OR(BT37="---",BT37="--",BT37="+/--",BT37="+/---"),1,0)</f>
        <v>0</v>
      </c>
      <c r="BV37">
        <f>AY37*AO37*AQ37</f>
        <v>0</v>
      </c>
    </row>
    <row r="38" spans="1:74">
      <c r="A38" t="s">
        <v>86</v>
      </c>
      <c r="B38">
        <v>22054227</v>
      </c>
      <c r="C38" t="s">
        <v>133</v>
      </c>
      <c r="D38" t="s">
        <v>134</v>
      </c>
      <c r="E38" t="s">
        <v>428</v>
      </c>
      <c r="F38" t="s">
        <v>467</v>
      </c>
      <c r="G38" t="s">
        <v>463</v>
      </c>
      <c r="H38" t="s">
        <v>431</v>
      </c>
      <c r="I38" t="s">
        <v>432</v>
      </c>
      <c r="J38" t="s">
        <v>432</v>
      </c>
      <c r="K38">
        <v>0</v>
      </c>
      <c r="L38" t="s">
        <v>428</v>
      </c>
      <c r="M38" t="s">
        <v>428</v>
      </c>
      <c r="N38">
        <v>170976</v>
      </c>
      <c r="O38">
        <f>INDEX(AllCollegeBarrons,MATCH(N38,AllCollegeNCES,0))</f>
        <v>0</v>
      </c>
      <c r="P38">
        <f>INDEX(KidGPAs,MATCH(B38,KidIDs,0))</f>
        <v>0</v>
      </c>
      <c r="Q38">
        <f>INDEX(KidACTs,MATCH(B38,KidIDs,0))</f>
        <v>0</v>
      </c>
      <c r="R38">
        <f>INDEX(Strats,MATCH(B38,KidIDs,0))</f>
        <v>0</v>
      </c>
      <c r="S38">
        <f>INDEX(KidRace,MATCH(B38,KidIDs,0))</f>
        <v>0</v>
      </c>
      <c r="T38">
        <f>IF(OR(S38="M",S38="I"),"H",S38)</f>
        <v>0</v>
      </c>
      <c r="U38">
        <f>INDEX(StudentTargets,MATCH(B38,KidIDs,0))</f>
        <v>0</v>
      </c>
      <c r="V38">
        <f>INDEX(ReachStudentTargets,MATCH(B38,KidIDs,0))</f>
        <v>0</v>
      </c>
      <c r="W38">
        <f>IF(OR(M38="Posse"),1,0)</f>
        <v>0</v>
      </c>
      <c r="X38">
        <f>IF(ISNUMBER(INDEX(AllCollegeGR, MATCH(N38,AllCollegeNCES,0))),ROUND(INDEX(AllCollegeGR, MATCH(N38,AllCollegeNCES,0))+W38*IF(INDEX(AllCollegeGR, MATCH(N38,AllCollegeNCES,0))&gt;0.7,(1-INDEX(AllCollegeGR, MATCH(N38,AllCollegeNCES,0)))/2,0.15),2),INDEX(AllCollegeGR, MATCH(N38,AllCollegeNCES,0)))</f>
        <v>0</v>
      </c>
      <c r="Y38">
        <f>IF(ISNUMBER(INDEX(AllCollegeAAHGR, MATCH(N38,AllCollegeNCES,0))),ROUND(INDEX(AllCollegeAAHGR, MATCH(N38,AllCollegeNCES,0))+W38*IF(INDEX(AllCollegeAAHGR, MATCH(N38,AllCollegeNCES,0))&gt;0.7,(1-INDEX(AllCollegeAAHGR, MATCH(N38,AllCollegeNCES,0)))/2,0.15),2),INDEX(AllCollegeAAHGR, MATCH(N38,AllCollegeNCES,0)))</f>
        <v>0</v>
      </c>
      <c r="Z38">
        <f>IF(OR(T38="H",T38="B"),INDEX(AllCollegeACT25, MATCH(N38,AllCollegeNCES,0)),INDEX(AllCollegeACT50, MATCH(N38,AllCollegeNCES,0)))</f>
        <v>0</v>
      </c>
      <c r="AA38">
        <f>INDEX(CustomWeightsGPA,MATCH(T38&amp;":"&amp;N38,CustomWeightsIndex,0))</f>
        <v>0</v>
      </c>
      <c r="AB38">
        <f>INDEX(CustomWeightsACT,MATCH(T38&amp;":"&amp;N38,CustomWeightsIndex,0))</f>
        <v>0</v>
      </c>
      <c r="AC38">
        <f>INDEX(CustomWeightsIntercept,MATCH(T38&amp;":"&amp;N38,CustomWeightsIndex,0))</f>
        <v>0</v>
      </c>
      <c r="AD38">
        <f>AA38*P38+AB38*Q38+AC38</f>
        <v>0</v>
      </c>
      <c r="AE38">
        <f>INDEX(CoefficientsGPA,MATCH(T38&amp;":"&amp;O38,CoefficientsIndex,0))</f>
        <v>0</v>
      </c>
      <c r="AF38">
        <f>INDEX(CoefficientsACT,MATCH(T38&amp;":"&amp;O38,CoefficientsIndex,0))</f>
        <v>0</v>
      </c>
      <c r="AG38">
        <f>INDEX(CoefficientsIntercept,MATCH(T38&amp;":"&amp;O38,CoefficientsIndex,0))</f>
        <v>0</v>
      </c>
      <c r="AH38">
        <f>AE38*P38+(Q38-Z38)*AF38+AG38</f>
        <v>0</v>
      </c>
      <c r="AI38">
        <f>IF(ISNUMBER(AD38),AD38,AH38)</f>
        <v>0</v>
      </c>
      <c r="AJ38">
        <f>IF(ISNUMBER(AI38),IF(ISNUMBER(AE38),IF(AND(AE38=1,AF38=1,AG38=1),100,ROUND(100*EXP(AI38)/(1+EXP(AI38)),2)),ROUND(100*EXP(AI38)/(1+EXP(AI38)),2)),IF(ISTEXT(O38),IF(LEFT(O38,1)="2",100,"N/A"),"N/A"))</f>
        <v>0</v>
      </c>
      <c r="AK38">
        <f>IF(ISNUMBER(AJ38),IF(AJ38&gt;=99,IF(OR(R38=10,R38=11),MatchLabel,SureThingLabel),IF(AJ38&gt;=95,SecureLabel,IF(AJ38&gt;=80,SafetyLabel,IF(AJ38&gt;=50,MatchLabel,IF(AJ38&gt;=20,ReachLabel,IF(AJ38&gt;=10,LongshotLabel,HailMaryLabel)))))),"Other")</f>
        <v>0</v>
      </c>
      <c r="AL38">
        <f>IF(OR(I38="accepted",I38="cond. accept",I38="summer admit"),IF(J38="yes","CHOICE!","Accepted!"),IF(I38="denied","Denied",IF(K38=1,"Waitlist",IF(L38=1,"Deferred",IF(G38="pending","Pending",IF(OR(G38="initial materials submitted",G38="mid-year submitted",G38="final submitted"),"Submitted",IF(H38="interest","Interest","?")))))))</f>
        <v>0</v>
      </c>
      <c r="AM38">
        <f>IF(OR(AK38=ReachLabel,AK38=LongshotLabel,AK38=HailMaryLabel),1,0)</f>
        <v>0</v>
      </c>
      <c r="AN38">
        <f>IF(OR(AM38=1,AK38=MatchLabel),1,0)</f>
        <v>0</v>
      </c>
      <c r="AO38">
        <f>IF(OR(AK38=MatchLabel,AK38=SafetyLabel,AK38=SecureLabel,AK38=SureThingLabel),1,0)</f>
        <v>0</v>
      </c>
      <c r="AP38">
        <f>IF(OR(T38="H",T38="B"),IF(ISNUMBER(Y38),ROUND(Y38,2),0),IF(ISNUMBER(X38),ROUND(X38,2),0))</f>
        <v>0</v>
      </c>
      <c r="AQ38">
        <f>IF(AP38&gt;=U38,1,0)</f>
        <v>0</v>
      </c>
      <c r="AR38">
        <f>IF(AP38&gt;=V38,1,0)</f>
        <v>0</v>
      </c>
      <c r="AS38">
        <f>IF(AP38&lt;(U38-0.10),1,0)</f>
        <v>0</v>
      </c>
      <c r="AT38">
        <f>1-AJ38/100</f>
        <v>0</v>
      </c>
      <c r="AU38">
        <f>IF(AN38=1,AT38,1)</f>
        <v>0</v>
      </c>
      <c r="AV38">
        <f>IF(AM38=1,AT38,1)</f>
        <v>0</v>
      </c>
      <c r="AW38">
        <f>IF(AND(AQ38=1,ISNUMBER(AT38)),$AT38,1)</f>
        <v>0</v>
      </c>
      <c r="AX38">
        <f>IF(AND(AR38=1,ISNUMBER(AT38)),$AT38,1)</f>
        <v>0</v>
      </c>
      <c r="AY38">
        <f>IF(ISNUMBER(Y38),INDEX(AllCollegeMoney, MATCH(N38,AllCollegeNCES,0)),0)</f>
        <v>0</v>
      </c>
      <c r="AZ38">
        <f>IF(AND(AQ38=1,ISNUMBER(AT38),AY38=1),$AT38,1)</f>
        <v>0</v>
      </c>
      <c r="BA38">
        <f>IF(AND(AR38=1,ISNUMBER(AT38),AY38=1),$AT38,1)</f>
        <v>0</v>
      </c>
      <c r="BB38">
        <f>IF(ISNUMBER(Y38),INDEX(AllCollegeILPub, MATCH(N38,AllCollegeNCES,0)),0)</f>
        <v>0</v>
      </c>
      <c r="BC38">
        <f>IF(AK38=ReachLabel,AP38,0)</f>
        <v>0</v>
      </c>
      <c r="BD38">
        <f>IF(AK38=MatchLabel,AP38,0)</f>
        <v>0</v>
      </c>
      <c r="BE38">
        <f>IF(AK38=SafetyLabel,AP38,0)</f>
        <v>0</v>
      </c>
      <c r="BF38">
        <f>IF(AK38=SecureLabel,AP38,0)</f>
        <v>0</v>
      </c>
      <c r="BG38">
        <f>IF(AK38=SureThingLabel,AP38,0)</f>
        <v>0</v>
      </c>
      <c r="BH38">
        <f>MAX(BC38:BG38)</f>
        <v>0</v>
      </c>
      <c r="BI38">
        <f>MAX(BD38:BG38)</f>
        <v>0</v>
      </c>
      <c r="BJ38">
        <f>MAX(BE38:BG38)</f>
        <v>0</v>
      </c>
      <c r="BK38">
        <f>IF(AND(AK38=ReachLabel,AY38=1),AP38,0)</f>
        <v>0</v>
      </c>
      <c r="BL38">
        <f>IF(AND(AK38=MatchLabel,AY38=1),AP38,0)</f>
        <v>0</v>
      </c>
      <c r="BM38">
        <f>IF(AND(AK38=SafetyLabel,AY38=1),AP38,0)</f>
        <v>0</v>
      </c>
      <c r="BN38">
        <f>IF(AND(AK38=SecureLabel,AY38=1),AP38,0)</f>
        <v>0</v>
      </c>
      <c r="BO38">
        <f>IF(AND(AK38=SureThingLabel,AY38=1),AP38,0)</f>
        <v>0</v>
      </c>
      <c r="BP38">
        <f>MAX(BK38:BO38)</f>
        <v>0</v>
      </c>
      <c r="BQ38">
        <f>MAX(BL38:BO38)</f>
        <v>0</v>
      </c>
      <c r="BR38">
        <f>MAX(BM38:BO38)</f>
        <v>0</v>
      </c>
      <c r="BS38">
        <f>IF(ISNUMBER(Y38),INDEX(AllCollegeChicago, MATCH(N38,AllCollegeNCES,0))*AY38,0)</f>
        <v>0</v>
      </c>
      <c r="BT38">
        <f>IF(ISNUMBER(Y38),INDEX(AllCollegeMoneyCode, MATCH(N38,AllCollegeNCES,0)),"?")</f>
        <v>0</v>
      </c>
      <c r="BU38">
        <f>IF(OR(BT38="---",BT38="--",BT38="+/--",BT38="+/---"),1,0)</f>
        <v>0</v>
      </c>
      <c r="BV38">
        <f>AY38*AO38*AQ38</f>
        <v>0</v>
      </c>
    </row>
    <row r="39" spans="1:74">
      <c r="A39" t="s">
        <v>86</v>
      </c>
      <c r="B39">
        <v>22054227</v>
      </c>
      <c r="C39" t="s">
        <v>133</v>
      </c>
      <c r="D39" t="s">
        <v>134</v>
      </c>
      <c r="E39" t="s">
        <v>428</v>
      </c>
      <c r="F39" t="s">
        <v>453</v>
      </c>
      <c r="G39" t="s">
        <v>463</v>
      </c>
      <c r="H39" t="s">
        <v>431</v>
      </c>
      <c r="I39" t="s">
        <v>432</v>
      </c>
      <c r="J39" t="s">
        <v>432</v>
      </c>
      <c r="K39">
        <v>0</v>
      </c>
      <c r="L39" t="s">
        <v>428</v>
      </c>
      <c r="M39" t="s">
        <v>428</v>
      </c>
      <c r="N39">
        <v>212674</v>
      </c>
      <c r="O39">
        <f>INDEX(AllCollegeBarrons,MATCH(N39,AllCollegeNCES,0))</f>
        <v>0</v>
      </c>
      <c r="P39">
        <f>INDEX(KidGPAs,MATCH(B39,KidIDs,0))</f>
        <v>0</v>
      </c>
      <c r="Q39">
        <f>INDEX(KidACTs,MATCH(B39,KidIDs,0))</f>
        <v>0</v>
      </c>
      <c r="R39">
        <f>INDEX(Strats,MATCH(B39,KidIDs,0))</f>
        <v>0</v>
      </c>
      <c r="S39">
        <f>INDEX(KidRace,MATCH(B39,KidIDs,0))</f>
        <v>0</v>
      </c>
      <c r="T39">
        <f>IF(OR(S39="M",S39="I"),"H",S39)</f>
        <v>0</v>
      </c>
      <c r="U39">
        <f>INDEX(StudentTargets,MATCH(B39,KidIDs,0))</f>
        <v>0</v>
      </c>
      <c r="V39">
        <f>INDEX(ReachStudentTargets,MATCH(B39,KidIDs,0))</f>
        <v>0</v>
      </c>
      <c r="W39">
        <f>IF(OR(M39="Posse"),1,0)</f>
        <v>0</v>
      </c>
      <c r="X39">
        <f>IF(ISNUMBER(INDEX(AllCollegeGR, MATCH(N39,AllCollegeNCES,0))),ROUND(INDEX(AllCollegeGR, MATCH(N39,AllCollegeNCES,0))+W39*IF(INDEX(AllCollegeGR, MATCH(N39,AllCollegeNCES,0))&gt;0.7,(1-INDEX(AllCollegeGR, MATCH(N39,AllCollegeNCES,0)))/2,0.15),2),INDEX(AllCollegeGR, MATCH(N39,AllCollegeNCES,0)))</f>
        <v>0</v>
      </c>
      <c r="Y39">
        <f>IF(ISNUMBER(INDEX(AllCollegeAAHGR, MATCH(N39,AllCollegeNCES,0))),ROUND(INDEX(AllCollegeAAHGR, MATCH(N39,AllCollegeNCES,0))+W39*IF(INDEX(AllCollegeAAHGR, MATCH(N39,AllCollegeNCES,0))&gt;0.7,(1-INDEX(AllCollegeAAHGR, MATCH(N39,AllCollegeNCES,0)))/2,0.15),2),INDEX(AllCollegeAAHGR, MATCH(N39,AllCollegeNCES,0)))</f>
        <v>0</v>
      </c>
      <c r="Z39">
        <f>IF(OR(T39="H",T39="B"),INDEX(AllCollegeACT25, MATCH(N39,AllCollegeNCES,0)),INDEX(AllCollegeACT50, MATCH(N39,AllCollegeNCES,0)))</f>
        <v>0</v>
      </c>
      <c r="AA39">
        <f>INDEX(CustomWeightsGPA,MATCH(T39&amp;":"&amp;N39,CustomWeightsIndex,0))</f>
        <v>0</v>
      </c>
      <c r="AB39">
        <f>INDEX(CustomWeightsACT,MATCH(T39&amp;":"&amp;N39,CustomWeightsIndex,0))</f>
        <v>0</v>
      </c>
      <c r="AC39">
        <f>INDEX(CustomWeightsIntercept,MATCH(T39&amp;":"&amp;N39,CustomWeightsIndex,0))</f>
        <v>0</v>
      </c>
      <c r="AD39">
        <f>AA39*P39+AB39*Q39+AC39</f>
        <v>0</v>
      </c>
      <c r="AE39">
        <f>INDEX(CoefficientsGPA,MATCH(T39&amp;":"&amp;O39,CoefficientsIndex,0))</f>
        <v>0</v>
      </c>
      <c r="AF39">
        <f>INDEX(CoefficientsACT,MATCH(T39&amp;":"&amp;O39,CoefficientsIndex,0))</f>
        <v>0</v>
      </c>
      <c r="AG39">
        <f>INDEX(CoefficientsIntercept,MATCH(T39&amp;":"&amp;O39,CoefficientsIndex,0))</f>
        <v>0</v>
      </c>
      <c r="AH39">
        <f>AE39*P39+(Q39-Z39)*AF39+AG39</f>
        <v>0</v>
      </c>
      <c r="AI39">
        <f>IF(ISNUMBER(AD39),AD39,AH39)</f>
        <v>0</v>
      </c>
      <c r="AJ39">
        <f>IF(ISNUMBER(AI39),IF(ISNUMBER(AE39),IF(AND(AE39=1,AF39=1,AG39=1),100,ROUND(100*EXP(AI39)/(1+EXP(AI39)),2)),ROUND(100*EXP(AI39)/(1+EXP(AI39)),2)),IF(ISTEXT(O39),IF(LEFT(O39,1)="2",100,"N/A"),"N/A"))</f>
        <v>0</v>
      </c>
      <c r="AK39">
        <f>IF(ISNUMBER(AJ39),IF(AJ39&gt;=99,IF(OR(R39=10,R39=11),MatchLabel,SureThingLabel),IF(AJ39&gt;=95,SecureLabel,IF(AJ39&gt;=80,SafetyLabel,IF(AJ39&gt;=50,MatchLabel,IF(AJ39&gt;=20,ReachLabel,IF(AJ39&gt;=10,LongshotLabel,HailMaryLabel)))))),"Other")</f>
        <v>0</v>
      </c>
      <c r="AL39">
        <f>IF(OR(I39="accepted",I39="cond. accept",I39="summer admit"),IF(J39="yes","CHOICE!","Accepted!"),IF(I39="denied","Denied",IF(K39=1,"Waitlist",IF(L39=1,"Deferred",IF(G39="pending","Pending",IF(OR(G39="initial materials submitted",G39="mid-year submitted",G39="final submitted"),"Submitted",IF(H39="interest","Interest","?")))))))</f>
        <v>0</v>
      </c>
      <c r="AM39">
        <f>IF(OR(AK39=ReachLabel,AK39=LongshotLabel,AK39=HailMaryLabel),1,0)</f>
        <v>0</v>
      </c>
      <c r="AN39">
        <f>IF(OR(AM39=1,AK39=MatchLabel),1,0)</f>
        <v>0</v>
      </c>
      <c r="AO39">
        <f>IF(OR(AK39=MatchLabel,AK39=SafetyLabel,AK39=SecureLabel,AK39=SureThingLabel),1,0)</f>
        <v>0</v>
      </c>
      <c r="AP39">
        <f>IF(OR(T39="H",T39="B"),IF(ISNUMBER(Y39),ROUND(Y39,2),0),IF(ISNUMBER(X39),ROUND(X39,2),0))</f>
        <v>0</v>
      </c>
      <c r="AQ39">
        <f>IF(AP39&gt;=U39,1,0)</f>
        <v>0</v>
      </c>
      <c r="AR39">
        <f>IF(AP39&gt;=V39,1,0)</f>
        <v>0</v>
      </c>
      <c r="AS39">
        <f>IF(AP39&lt;(U39-0.10),1,0)</f>
        <v>0</v>
      </c>
      <c r="AT39">
        <f>1-AJ39/100</f>
        <v>0</v>
      </c>
      <c r="AU39">
        <f>IF(AN39=1,AT39,1)</f>
        <v>0</v>
      </c>
      <c r="AV39">
        <f>IF(AM39=1,AT39,1)</f>
        <v>0</v>
      </c>
      <c r="AW39">
        <f>IF(AND(AQ39=1,ISNUMBER(AT39)),$AT39,1)</f>
        <v>0</v>
      </c>
      <c r="AX39">
        <f>IF(AND(AR39=1,ISNUMBER(AT39)),$AT39,1)</f>
        <v>0</v>
      </c>
      <c r="AY39">
        <f>IF(ISNUMBER(Y39),INDEX(AllCollegeMoney, MATCH(N39,AllCollegeNCES,0)),0)</f>
        <v>0</v>
      </c>
      <c r="AZ39">
        <f>IF(AND(AQ39=1,ISNUMBER(AT39),AY39=1),$AT39,1)</f>
        <v>0</v>
      </c>
      <c r="BA39">
        <f>IF(AND(AR39=1,ISNUMBER(AT39),AY39=1),$AT39,1)</f>
        <v>0</v>
      </c>
      <c r="BB39">
        <f>IF(ISNUMBER(Y39),INDEX(AllCollegeILPub, MATCH(N39,AllCollegeNCES,0)),0)</f>
        <v>0</v>
      </c>
      <c r="BC39">
        <f>IF(AK39=ReachLabel,AP39,0)</f>
        <v>0</v>
      </c>
      <c r="BD39">
        <f>IF(AK39=MatchLabel,AP39,0)</f>
        <v>0</v>
      </c>
      <c r="BE39">
        <f>IF(AK39=SafetyLabel,AP39,0)</f>
        <v>0</v>
      </c>
      <c r="BF39">
        <f>IF(AK39=SecureLabel,AP39,0)</f>
        <v>0</v>
      </c>
      <c r="BG39">
        <f>IF(AK39=SureThingLabel,AP39,0)</f>
        <v>0</v>
      </c>
      <c r="BH39">
        <f>MAX(BC39:BG39)</f>
        <v>0</v>
      </c>
      <c r="BI39">
        <f>MAX(BD39:BG39)</f>
        <v>0</v>
      </c>
      <c r="BJ39">
        <f>MAX(BE39:BG39)</f>
        <v>0</v>
      </c>
      <c r="BK39">
        <f>IF(AND(AK39=ReachLabel,AY39=1),AP39,0)</f>
        <v>0</v>
      </c>
      <c r="BL39">
        <f>IF(AND(AK39=MatchLabel,AY39=1),AP39,0)</f>
        <v>0</v>
      </c>
      <c r="BM39">
        <f>IF(AND(AK39=SafetyLabel,AY39=1),AP39,0)</f>
        <v>0</v>
      </c>
      <c r="BN39">
        <f>IF(AND(AK39=SecureLabel,AY39=1),AP39,0)</f>
        <v>0</v>
      </c>
      <c r="BO39">
        <f>IF(AND(AK39=SureThingLabel,AY39=1),AP39,0)</f>
        <v>0</v>
      </c>
      <c r="BP39">
        <f>MAX(BK39:BO39)</f>
        <v>0</v>
      </c>
      <c r="BQ39">
        <f>MAX(BL39:BO39)</f>
        <v>0</v>
      </c>
      <c r="BR39">
        <f>MAX(BM39:BO39)</f>
        <v>0</v>
      </c>
      <c r="BS39">
        <f>IF(ISNUMBER(Y39),INDEX(AllCollegeChicago, MATCH(N39,AllCollegeNCES,0))*AY39,0)</f>
        <v>0</v>
      </c>
      <c r="BT39">
        <f>IF(ISNUMBER(Y39),INDEX(AllCollegeMoneyCode, MATCH(N39,AllCollegeNCES,0)),"?")</f>
        <v>0</v>
      </c>
      <c r="BU39">
        <f>IF(OR(BT39="---",BT39="--",BT39="+/--",BT39="+/---"),1,0)</f>
        <v>0</v>
      </c>
      <c r="BV39">
        <f>AY39*AO39*AQ39</f>
        <v>0</v>
      </c>
    </row>
    <row r="40" spans="1:74">
      <c r="A40" t="s">
        <v>86</v>
      </c>
      <c r="B40">
        <v>22054227</v>
      </c>
      <c r="C40" t="s">
        <v>133</v>
      </c>
      <c r="D40" t="s">
        <v>134</v>
      </c>
      <c r="E40" t="s">
        <v>428</v>
      </c>
      <c r="F40" t="s">
        <v>468</v>
      </c>
      <c r="G40" t="s">
        <v>430</v>
      </c>
      <c r="H40" t="s">
        <v>431</v>
      </c>
      <c r="I40" t="s">
        <v>432</v>
      </c>
      <c r="J40" t="s">
        <v>432</v>
      </c>
      <c r="K40">
        <v>0</v>
      </c>
      <c r="L40" t="s">
        <v>428</v>
      </c>
      <c r="M40" t="s">
        <v>428</v>
      </c>
      <c r="N40">
        <v>212009</v>
      </c>
      <c r="O40">
        <f>INDEX(AllCollegeBarrons,MATCH(N40,AllCollegeNCES,0))</f>
        <v>0</v>
      </c>
      <c r="P40">
        <f>INDEX(KidGPAs,MATCH(B40,KidIDs,0))</f>
        <v>0</v>
      </c>
      <c r="Q40">
        <f>INDEX(KidACTs,MATCH(B40,KidIDs,0))</f>
        <v>0</v>
      </c>
      <c r="R40">
        <f>INDEX(Strats,MATCH(B40,KidIDs,0))</f>
        <v>0</v>
      </c>
      <c r="S40">
        <f>INDEX(KidRace,MATCH(B40,KidIDs,0))</f>
        <v>0</v>
      </c>
      <c r="T40">
        <f>IF(OR(S40="M",S40="I"),"H",S40)</f>
        <v>0</v>
      </c>
      <c r="U40">
        <f>INDEX(StudentTargets,MATCH(B40,KidIDs,0))</f>
        <v>0</v>
      </c>
      <c r="V40">
        <f>INDEX(ReachStudentTargets,MATCH(B40,KidIDs,0))</f>
        <v>0</v>
      </c>
      <c r="W40">
        <f>IF(OR(M40="Posse"),1,0)</f>
        <v>0</v>
      </c>
      <c r="X40">
        <f>IF(ISNUMBER(INDEX(AllCollegeGR, MATCH(N40,AllCollegeNCES,0))),ROUND(INDEX(AllCollegeGR, MATCH(N40,AllCollegeNCES,0))+W40*IF(INDEX(AllCollegeGR, MATCH(N40,AllCollegeNCES,0))&gt;0.7,(1-INDEX(AllCollegeGR, MATCH(N40,AllCollegeNCES,0)))/2,0.15),2),INDEX(AllCollegeGR, MATCH(N40,AllCollegeNCES,0)))</f>
        <v>0</v>
      </c>
      <c r="Y40">
        <f>IF(ISNUMBER(INDEX(AllCollegeAAHGR, MATCH(N40,AllCollegeNCES,0))),ROUND(INDEX(AllCollegeAAHGR, MATCH(N40,AllCollegeNCES,0))+W40*IF(INDEX(AllCollegeAAHGR, MATCH(N40,AllCollegeNCES,0))&gt;0.7,(1-INDEX(AllCollegeAAHGR, MATCH(N40,AllCollegeNCES,0)))/2,0.15),2),INDEX(AllCollegeAAHGR, MATCH(N40,AllCollegeNCES,0)))</f>
        <v>0</v>
      </c>
      <c r="Z40">
        <f>IF(OR(T40="H",T40="B"),INDEX(AllCollegeACT25, MATCH(N40,AllCollegeNCES,0)),INDEX(AllCollegeACT50, MATCH(N40,AllCollegeNCES,0)))</f>
        <v>0</v>
      </c>
      <c r="AA40">
        <f>INDEX(CustomWeightsGPA,MATCH(T40&amp;":"&amp;N40,CustomWeightsIndex,0))</f>
        <v>0</v>
      </c>
      <c r="AB40">
        <f>INDEX(CustomWeightsACT,MATCH(T40&amp;":"&amp;N40,CustomWeightsIndex,0))</f>
        <v>0</v>
      </c>
      <c r="AC40">
        <f>INDEX(CustomWeightsIntercept,MATCH(T40&amp;":"&amp;N40,CustomWeightsIndex,0))</f>
        <v>0</v>
      </c>
      <c r="AD40">
        <f>AA40*P40+AB40*Q40+AC40</f>
        <v>0</v>
      </c>
      <c r="AE40">
        <f>INDEX(CoefficientsGPA,MATCH(T40&amp;":"&amp;O40,CoefficientsIndex,0))</f>
        <v>0</v>
      </c>
      <c r="AF40">
        <f>INDEX(CoefficientsACT,MATCH(T40&amp;":"&amp;O40,CoefficientsIndex,0))</f>
        <v>0</v>
      </c>
      <c r="AG40">
        <f>INDEX(CoefficientsIntercept,MATCH(T40&amp;":"&amp;O40,CoefficientsIndex,0))</f>
        <v>0</v>
      </c>
      <c r="AH40">
        <f>AE40*P40+(Q40-Z40)*AF40+AG40</f>
        <v>0</v>
      </c>
      <c r="AI40">
        <f>IF(ISNUMBER(AD40),AD40,AH40)</f>
        <v>0</v>
      </c>
      <c r="AJ40">
        <f>IF(ISNUMBER(AI40),IF(ISNUMBER(AE40),IF(AND(AE40=1,AF40=1,AG40=1),100,ROUND(100*EXP(AI40)/(1+EXP(AI40)),2)),ROUND(100*EXP(AI40)/(1+EXP(AI40)),2)),IF(ISTEXT(O40),IF(LEFT(O40,1)="2",100,"N/A"),"N/A"))</f>
        <v>0</v>
      </c>
      <c r="AK40">
        <f>IF(ISNUMBER(AJ40),IF(AJ40&gt;=99,IF(OR(R40=10,R40=11),MatchLabel,SureThingLabel),IF(AJ40&gt;=95,SecureLabel,IF(AJ40&gt;=80,SafetyLabel,IF(AJ40&gt;=50,MatchLabel,IF(AJ40&gt;=20,ReachLabel,IF(AJ40&gt;=10,LongshotLabel,HailMaryLabel)))))),"Other")</f>
        <v>0</v>
      </c>
      <c r="AL40">
        <f>IF(OR(I40="accepted",I40="cond. accept",I40="summer admit"),IF(J40="yes","CHOICE!","Accepted!"),IF(I40="denied","Denied",IF(K40=1,"Waitlist",IF(L40=1,"Deferred",IF(G40="pending","Pending",IF(OR(G40="initial materials submitted",G40="mid-year submitted",G40="final submitted"),"Submitted",IF(H40="interest","Interest","?")))))))</f>
        <v>0</v>
      </c>
      <c r="AM40">
        <f>IF(OR(AK40=ReachLabel,AK40=LongshotLabel,AK40=HailMaryLabel),1,0)</f>
        <v>0</v>
      </c>
      <c r="AN40">
        <f>IF(OR(AM40=1,AK40=MatchLabel),1,0)</f>
        <v>0</v>
      </c>
      <c r="AO40">
        <f>IF(OR(AK40=MatchLabel,AK40=SafetyLabel,AK40=SecureLabel,AK40=SureThingLabel),1,0)</f>
        <v>0</v>
      </c>
      <c r="AP40">
        <f>IF(OR(T40="H",T40="B"),IF(ISNUMBER(Y40),ROUND(Y40,2),0),IF(ISNUMBER(X40),ROUND(X40,2),0))</f>
        <v>0</v>
      </c>
      <c r="AQ40">
        <f>IF(AP40&gt;=U40,1,0)</f>
        <v>0</v>
      </c>
      <c r="AR40">
        <f>IF(AP40&gt;=V40,1,0)</f>
        <v>0</v>
      </c>
      <c r="AS40">
        <f>IF(AP40&lt;(U40-0.10),1,0)</f>
        <v>0</v>
      </c>
      <c r="AT40">
        <f>1-AJ40/100</f>
        <v>0</v>
      </c>
      <c r="AU40">
        <f>IF(AN40=1,AT40,1)</f>
        <v>0</v>
      </c>
      <c r="AV40">
        <f>IF(AM40=1,AT40,1)</f>
        <v>0</v>
      </c>
      <c r="AW40">
        <f>IF(AND(AQ40=1,ISNUMBER(AT40)),$AT40,1)</f>
        <v>0</v>
      </c>
      <c r="AX40">
        <f>IF(AND(AR40=1,ISNUMBER(AT40)),$AT40,1)</f>
        <v>0</v>
      </c>
      <c r="AY40">
        <f>IF(ISNUMBER(Y40),INDEX(AllCollegeMoney, MATCH(N40,AllCollegeNCES,0)),0)</f>
        <v>0</v>
      </c>
      <c r="AZ40">
        <f>IF(AND(AQ40=1,ISNUMBER(AT40),AY40=1),$AT40,1)</f>
        <v>0</v>
      </c>
      <c r="BA40">
        <f>IF(AND(AR40=1,ISNUMBER(AT40),AY40=1),$AT40,1)</f>
        <v>0</v>
      </c>
      <c r="BB40">
        <f>IF(ISNUMBER(Y40),INDEX(AllCollegeILPub, MATCH(N40,AllCollegeNCES,0)),0)</f>
        <v>0</v>
      </c>
      <c r="BC40">
        <f>IF(AK40=ReachLabel,AP40,0)</f>
        <v>0</v>
      </c>
      <c r="BD40">
        <f>IF(AK40=MatchLabel,AP40,0)</f>
        <v>0</v>
      </c>
      <c r="BE40">
        <f>IF(AK40=SafetyLabel,AP40,0)</f>
        <v>0</v>
      </c>
      <c r="BF40">
        <f>IF(AK40=SecureLabel,AP40,0)</f>
        <v>0</v>
      </c>
      <c r="BG40">
        <f>IF(AK40=SureThingLabel,AP40,0)</f>
        <v>0</v>
      </c>
      <c r="BH40">
        <f>MAX(BC40:BG40)</f>
        <v>0</v>
      </c>
      <c r="BI40">
        <f>MAX(BD40:BG40)</f>
        <v>0</v>
      </c>
      <c r="BJ40">
        <f>MAX(BE40:BG40)</f>
        <v>0</v>
      </c>
      <c r="BK40">
        <f>IF(AND(AK40=ReachLabel,AY40=1),AP40,0)</f>
        <v>0</v>
      </c>
      <c r="BL40">
        <f>IF(AND(AK40=MatchLabel,AY40=1),AP40,0)</f>
        <v>0</v>
      </c>
      <c r="BM40">
        <f>IF(AND(AK40=SafetyLabel,AY40=1),AP40,0)</f>
        <v>0</v>
      </c>
      <c r="BN40">
        <f>IF(AND(AK40=SecureLabel,AY40=1),AP40,0)</f>
        <v>0</v>
      </c>
      <c r="BO40">
        <f>IF(AND(AK40=SureThingLabel,AY40=1),AP40,0)</f>
        <v>0</v>
      </c>
      <c r="BP40">
        <f>MAX(BK40:BO40)</f>
        <v>0</v>
      </c>
      <c r="BQ40">
        <f>MAX(BL40:BO40)</f>
        <v>0</v>
      </c>
      <c r="BR40">
        <f>MAX(BM40:BO40)</f>
        <v>0</v>
      </c>
      <c r="BS40">
        <f>IF(ISNUMBER(Y40),INDEX(AllCollegeChicago, MATCH(N40,AllCollegeNCES,0))*AY40,0)</f>
        <v>0</v>
      </c>
      <c r="BT40">
        <f>IF(ISNUMBER(Y40),INDEX(AllCollegeMoneyCode, MATCH(N40,AllCollegeNCES,0)),"?")</f>
        <v>0</v>
      </c>
      <c r="BU40">
        <f>IF(OR(BT40="---",BT40="--",BT40="+/--",BT40="+/---"),1,0)</f>
        <v>0</v>
      </c>
      <c r="BV40">
        <f>AY40*AO40*AQ40</f>
        <v>0</v>
      </c>
    </row>
    <row r="41" spans="1:74">
      <c r="A41" t="s">
        <v>86</v>
      </c>
      <c r="B41">
        <v>22054227</v>
      </c>
      <c r="C41" t="s">
        <v>133</v>
      </c>
      <c r="D41" t="s">
        <v>134</v>
      </c>
      <c r="E41" t="s">
        <v>428</v>
      </c>
      <c r="F41" t="s">
        <v>455</v>
      </c>
      <c r="G41" t="s">
        <v>430</v>
      </c>
      <c r="H41" t="s">
        <v>431</v>
      </c>
      <c r="I41" t="s">
        <v>432</v>
      </c>
      <c r="J41" t="s">
        <v>432</v>
      </c>
      <c r="K41">
        <v>0</v>
      </c>
      <c r="L41" t="s">
        <v>428</v>
      </c>
      <c r="M41" t="s">
        <v>428</v>
      </c>
      <c r="N41">
        <v>240444</v>
      </c>
      <c r="O41">
        <f>INDEX(AllCollegeBarrons,MATCH(N41,AllCollegeNCES,0))</f>
        <v>0</v>
      </c>
      <c r="P41">
        <f>INDEX(KidGPAs,MATCH(B41,KidIDs,0))</f>
        <v>0</v>
      </c>
      <c r="Q41">
        <f>INDEX(KidACTs,MATCH(B41,KidIDs,0))</f>
        <v>0</v>
      </c>
      <c r="R41">
        <f>INDEX(Strats,MATCH(B41,KidIDs,0))</f>
        <v>0</v>
      </c>
      <c r="S41">
        <f>INDEX(KidRace,MATCH(B41,KidIDs,0))</f>
        <v>0</v>
      </c>
      <c r="T41">
        <f>IF(OR(S41="M",S41="I"),"H",S41)</f>
        <v>0</v>
      </c>
      <c r="U41">
        <f>INDEX(StudentTargets,MATCH(B41,KidIDs,0))</f>
        <v>0</v>
      </c>
      <c r="V41">
        <f>INDEX(ReachStudentTargets,MATCH(B41,KidIDs,0))</f>
        <v>0</v>
      </c>
      <c r="W41">
        <f>IF(OR(M41="Posse"),1,0)</f>
        <v>0</v>
      </c>
      <c r="X41">
        <f>IF(ISNUMBER(INDEX(AllCollegeGR, MATCH(N41,AllCollegeNCES,0))),ROUND(INDEX(AllCollegeGR, MATCH(N41,AllCollegeNCES,0))+W41*IF(INDEX(AllCollegeGR, MATCH(N41,AllCollegeNCES,0))&gt;0.7,(1-INDEX(AllCollegeGR, MATCH(N41,AllCollegeNCES,0)))/2,0.15),2),INDEX(AllCollegeGR, MATCH(N41,AllCollegeNCES,0)))</f>
        <v>0</v>
      </c>
      <c r="Y41">
        <f>IF(ISNUMBER(INDEX(AllCollegeAAHGR, MATCH(N41,AllCollegeNCES,0))),ROUND(INDEX(AllCollegeAAHGR, MATCH(N41,AllCollegeNCES,0))+W41*IF(INDEX(AllCollegeAAHGR, MATCH(N41,AllCollegeNCES,0))&gt;0.7,(1-INDEX(AllCollegeAAHGR, MATCH(N41,AllCollegeNCES,0)))/2,0.15),2),INDEX(AllCollegeAAHGR, MATCH(N41,AllCollegeNCES,0)))</f>
        <v>0</v>
      </c>
      <c r="Z41">
        <f>IF(OR(T41="H",T41="B"),INDEX(AllCollegeACT25, MATCH(N41,AllCollegeNCES,0)),INDEX(AllCollegeACT50, MATCH(N41,AllCollegeNCES,0)))</f>
        <v>0</v>
      </c>
      <c r="AA41">
        <f>INDEX(CustomWeightsGPA,MATCH(T41&amp;":"&amp;N41,CustomWeightsIndex,0))</f>
        <v>0</v>
      </c>
      <c r="AB41">
        <f>INDEX(CustomWeightsACT,MATCH(T41&amp;":"&amp;N41,CustomWeightsIndex,0))</f>
        <v>0</v>
      </c>
      <c r="AC41">
        <f>INDEX(CustomWeightsIntercept,MATCH(T41&amp;":"&amp;N41,CustomWeightsIndex,0))</f>
        <v>0</v>
      </c>
      <c r="AD41">
        <f>AA41*P41+AB41*Q41+AC41</f>
        <v>0</v>
      </c>
      <c r="AE41">
        <f>INDEX(CoefficientsGPA,MATCH(T41&amp;":"&amp;O41,CoefficientsIndex,0))</f>
        <v>0</v>
      </c>
      <c r="AF41">
        <f>INDEX(CoefficientsACT,MATCH(T41&amp;":"&amp;O41,CoefficientsIndex,0))</f>
        <v>0</v>
      </c>
      <c r="AG41">
        <f>INDEX(CoefficientsIntercept,MATCH(T41&amp;":"&amp;O41,CoefficientsIndex,0))</f>
        <v>0</v>
      </c>
      <c r="AH41">
        <f>AE41*P41+(Q41-Z41)*AF41+AG41</f>
        <v>0</v>
      </c>
      <c r="AI41">
        <f>IF(ISNUMBER(AD41),AD41,AH41)</f>
        <v>0</v>
      </c>
      <c r="AJ41">
        <f>IF(ISNUMBER(AI41),IF(ISNUMBER(AE41),IF(AND(AE41=1,AF41=1,AG41=1),100,ROUND(100*EXP(AI41)/(1+EXP(AI41)),2)),ROUND(100*EXP(AI41)/(1+EXP(AI41)),2)),IF(ISTEXT(O41),IF(LEFT(O41,1)="2",100,"N/A"),"N/A"))</f>
        <v>0</v>
      </c>
      <c r="AK41">
        <f>IF(ISNUMBER(AJ41),IF(AJ41&gt;=99,IF(OR(R41=10,R41=11),MatchLabel,SureThingLabel),IF(AJ41&gt;=95,SecureLabel,IF(AJ41&gt;=80,SafetyLabel,IF(AJ41&gt;=50,MatchLabel,IF(AJ41&gt;=20,ReachLabel,IF(AJ41&gt;=10,LongshotLabel,HailMaryLabel)))))),"Other")</f>
        <v>0</v>
      </c>
      <c r="AL41">
        <f>IF(OR(I41="accepted",I41="cond. accept",I41="summer admit"),IF(J41="yes","CHOICE!","Accepted!"),IF(I41="denied","Denied",IF(K41=1,"Waitlist",IF(L41=1,"Deferred",IF(G41="pending","Pending",IF(OR(G41="initial materials submitted",G41="mid-year submitted",G41="final submitted"),"Submitted",IF(H41="interest","Interest","?")))))))</f>
        <v>0</v>
      </c>
      <c r="AM41">
        <f>IF(OR(AK41=ReachLabel,AK41=LongshotLabel,AK41=HailMaryLabel),1,0)</f>
        <v>0</v>
      </c>
      <c r="AN41">
        <f>IF(OR(AM41=1,AK41=MatchLabel),1,0)</f>
        <v>0</v>
      </c>
      <c r="AO41">
        <f>IF(OR(AK41=MatchLabel,AK41=SafetyLabel,AK41=SecureLabel,AK41=SureThingLabel),1,0)</f>
        <v>0</v>
      </c>
      <c r="AP41">
        <f>IF(OR(T41="H",T41="B"),IF(ISNUMBER(Y41),ROUND(Y41,2),0),IF(ISNUMBER(X41),ROUND(X41,2),0))</f>
        <v>0</v>
      </c>
      <c r="AQ41">
        <f>IF(AP41&gt;=U41,1,0)</f>
        <v>0</v>
      </c>
      <c r="AR41">
        <f>IF(AP41&gt;=V41,1,0)</f>
        <v>0</v>
      </c>
      <c r="AS41">
        <f>IF(AP41&lt;(U41-0.10),1,0)</f>
        <v>0</v>
      </c>
      <c r="AT41">
        <f>1-AJ41/100</f>
        <v>0</v>
      </c>
      <c r="AU41">
        <f>IF(AN41=1,AT41,1)</f>
        <v>0</v>
      </c>
      <c r="AV41">
        <f>IF(AM41=1,AT41,1)</f>
        <v>0</v>
      </c>
      <c r="AW41">
        <f>IF(AND(AQ41=1,ISNUMBER(AT41)),$AT41,1)</f>
        <v>0</v>
      </c>
      <c r="AX41">
        <f>IF(AND(AR41=1,ISNUMBER(AT41)),$AT41,1)</f>
        <v>0</v>
      </c>
      <c r="AY41">
        <f>IF(ISNUMBER(Y41),INDEX(AllCollegeMoney, MATCH(N41,AllCollegeNCES,0)),0)</f>
        <v>0</v>
      </c>
      <c r="AZ41">
        <f>IF(AND(AQ41=1,ISNUMBER(AT41),AY41=1),$AT41,1)</f>
        <v>0</v>
      </c>
      <c r="BA41">
        <f>IF(AND(AR41=1,ISNUMBER(AT41),AY41=1),$AT41,1)</f>
        <v>0</v>
      </c>
      <c r="BB41">
        <f>IF(ISNUMBER(Y41),INDEX(AllCollegeILPub, MATCH(N41,AllCollegeNCES,0)),0)</f>
        <v>0</v>
      </c>
      <c r="BC41">
        <f>IF(AK41=ReachLabel,AP41,0)</f>
        <v>0</v>
      </c>
      <c r="BD41">
        <f>IF(AK41=MatchLabel,AP41,0)</f>
        <v>0</v>
      </c>
      <c r="BE41">
        <f>IF(AK41=SafetyLabel,AP41,0)</f>
        <v>0</v>
      </c>
      <c r="BF41">
        <f>IF(AK41=SecureLabel,AP41,0)</f>
        <v>0</v>
      </c>
      <c r="BG41">
        <f>IF(AK41=SureThingLabel,AP41,0)</f>
        <v>0</v>
      </c>
      <c r="BH41">
        <f>MAX(BC41:BG41)</f>
        <v>0</v>
      </c>
      <c r="BI41">
        <f>MAX(BD41:BG41)</f>
        <v>0</v>
      </c>
      <c r="BJ41">
        <f>MAX(BE41:BG41)</f>
        <v>0</v>
      </c>
      <c r="BK41">
        <f>IF(AND(AK41=ReachLabel,AY41=1),AP41,0)</f>
        <v>0</v>
      </c>
      <c r="BL41">
        <f>IF(AND(AK41=MatchLabel,AY41=1),AP41,0)</f>
        <v>0</v>
      </c>
      <c r="BM41">
        <f>IF(AND(AK41=SafetyLabel,AY41=1),AP41,0)</f>
        <v>0</v>
      </c>
      <c r="BN41">
        <f>IF(AND(AK41=SecureLabel,AY41=1),AP41,0)</f>
        <v>0</v>
      </c>
      <c r="BO41">
        <f>IF(AND(AK41=SureThingLabel,AY41=1),AP41,0)</f>
        <v>0</v>
      </c>
      <c r="BP41">
        <f>MAX(BK41:BO41)</f>
        <v>0</v>
      </c>
      <c r="BQ41">
        <f>MAX(BL41:BO41)</f>
        <v>0</v>
      </c>
      <c r="BR41">
        <f>MAX(BM41:BO41)</f>
        <v>0</v>
      </c>
      <c r="BS41">
        <f>IF(ISNUMBER(Y41),INDEX(AllCollegeChicago, MATCH(N41,AllCollegeNCES,0))*AY41,0)</f>
        <v>0</v>
      </c>
      <c r="BT41">
        <f>IF(ISNUMBER(Y41),INDEX(AllCollegeMoneyCode, MATCH(N41,AllCollegeNCES,0)),"?")</f>
        <v>0</v>
      </c>
      <c r="BU41">
        <f>IF(OR(BT41="---",BT41="--",BT41="+/--",BT41="+/---"),1,0)</f>
        <v>0</v>
      </c>
      <c r="BV41">
        <f>AY41*AO41*AQ41</f>
        <v>0</v>
      </c>
    </row>
    <row r="42" spans="1:74">
      <c r="A42" t="s">
        <v>86</v>
      </c>
      <c r="B42">
        <v>22054227</v>
      </c>
      <c r="C42" t="s">
        <v>133</v>
      </c>
      <c r="D42" t="s">
        <v>134</v>
      </c>
      <c r="E42" t="s">
        <v>428</v>
      </c>
      <c r="F42" t="s">
        <v>456</v>
      </c>
      <c r="G42" t="s">
        <v>463</v>
      </c>
      <c r="H42" t="s">
        <v>431</v>
      </c>
      <c r="I42" t="s">
        <v>432</v>
      </c>
      <c r="J42" t="s">
        <v>432</v>
      </c>
      <c r="K42">
        <v>0</v>
      </c>
      <c r="L42" t="s">
        <v>428</v>
      </c>
      <c r="M42" t="s">
        <v>428</v>
      </c>
      <c r="N42">
        <v>213668</v>
      </c>
      <c r="O42">
        <f>INDEX(AllCollegeBarrons,MATCH(N42,AllCollegeNCES,0))</f>
        <v>0</v>
      </c>
      <c r="P42">
        <f>INDEX(KidGPAs,MATCH(B42,KidIDs,0))</f>
        <v>0</v>
      </c>
      <c r="Q42">
        <f>INDEX(KidACTs,MATCH(B42,KidIDs,0))</f>
        <v>0</v>
      </c>
      <c r="R42">
        <f>INDEX(Strats,MATCH(B42,KidIDs,0))</f>
        <v>0</v>
      </c>
      <c r="S42">
        <f>INDEX(KidRace,MATCH(B42,KidIDs,0))</f>
        <v>0</v>
      </c>
      <c r="T42">
        <f>IF(OR(S42="M",S42="I"),"H",S42)</f>
        <v>0</v>
      </c>
      <c r="U42">
        <f>INDEX(StudentTargets,MATCH(B42,KidIDs,0))</f>
        <v>0</v>
      </c>
      <c r="V42">
        <f>INDEX(ReachStudentTargets,MATCH(B42,KidIDs,0))</f>
        <v>0</v>
      </c>
      <c r="W42">
        <f>IF(OR(M42="Posse"),1,0)</f>
        <v>0</v>
      </c>
      <c r="X42">
        <f>IF(ISNUMBER(INDEX(AllCollegeGR, MATCH(N42,AllCollegeNCES,0))),ROUND(INDEX(AllCollegeGR, MATCH(N42,AllCollegeNCES,0))+W42*IF(INDEX(AllCollegeGR, MATCH(N42,AllCollegeNCES,0))&gt;0.7,(1-INDEX(AllCollegeGR, MATCH(N42,AllCollegeNCES,0)))/2,0.15),2),INDEX(AllCollegeGR, MATCH(N42,AllCollegeNCES,0)))</f>
        <v>0</v>
      </c>
      <c r="Y42">
        <f>IF(ISNUMBER(INDEX(AllCollegeAAHGR, MATCH(N42,AllCollegeNCES,0))),ROUND(INDEX(AllCollegeAAHGR, MATCH(N42,AllCollegeNCES,0))+W42*IF(INDEX(AllCollegeAAHGR, MATCH(N42,AllCollegeNCES,0))&gt;0.7,(1-INDEX(AllCollegeAAHGR, MATCH(N42,AllCollegeNCES,0)))/2,0.15),2),INDEX(AllCollegeAAHGR, MATCH(N42,AllCollegeNCES,0)))</f>
        <v>0</v>
      </c>
      <c r="Z42">
        <f>IF(OR(T42="H",T42="B"),INDEX(AllCollegeACT25, MATCH(N42,AllCollegeNCES,0)),INDEX(AllCollegeACT50, MATCH(N42,AllCollegeNCES,0)))</f>
        <v>0</v>
      </c>
      <c r="AA42">
        <f>INDEX(CustomWeightsGPA,MATCH(T42&amp;":"&amp;N42,CustomWeightsIndex,0))</f>
        <v>0</v>
      </c>
      <c r="AB42">
        <f>INDEX(CustomWeightsACT,MATCH(T42&amp;":"&amp;N42,CustomWeightsIndex,0))</f>
        <v>0</v>
      </c>
      <c r="AC42">
        <f>INDEX(CustomWeightsIntercept,MATCH(T42&amp;":"&amp;N42,CustomWeightsIndex,0))</f>
        <v>0</v>
      </c>
      <c r="AD42">
        <f>AA42*P42+AB42*Q42+AC42</f>
        <v>0</v>
      </c>
      <c r="AE42">
        <f>INDEX(CoefficientsGPA,MATCH(T42&amp;":"&amp;O42,CoefficientsIndex,0))</f>
        <v>0</v>
      </c>
      <c r="AF42">
        <f>INDEX(CoefficientsACT,MATCH(T42&amp;":"&amp;O42,CoefficientsIndex,0))</f>
        <v>0</v>
      </c>
      <c r="AG42">
        <f>INDEX(CoefficientsIntercept,MATCH(T42&amp;":"&amp;O42,CoefficientsIndex,0))</f>
        <v>0</v>
      </c>
      <c r="AH42">
        <f>AE42*P42+(Q42-Z42)*AF42+AG42</f>
        <v>0</v>
      </c>
      <c r="AI42">
        <f>IF(ISNUMBER(AD42),AD42,AH42)</f>
        <v>0</v>
      </c>
      <c r="AJ42">
        <f>IF(ISNUMBER(AI42),IF(ISNUMBER(AE42),IF(AND(AE42=1,AF42=1,AG42=1),100,ROUND(100*EXP(AI42)/(1+EXP(AI42)),2)),ROUND(100*EXP(AI42)/(1+EXP(AI42)),2)),IF(ISTEXT(O42),IF(LEFT(O42,1)="2",100,"N/A"),"N/A"))</f>
        <v>0</v>
      </c>
      <c r="AK42">
        <f>IF(ISNUMBER(AJ42),IF(AJ42&gt;=99,IF(OR(R42=10,R42=11),MatchLabel,SureThingLabel),IF(AJ42&gt;=95,SecureLabel,IF(AJ42&gt;=80,SafetyLabel,IF(AJ42&gt;=50,MatchLabel,IF(AJ42&gt;=20,ReachLabel,IF(AJ42&gt;=10,LongshotLabel,HailMaryLabel)))))),"Other")</f>
        <v>0</v>
      </c>
      <c r="AL42">
        <f>IF(OR(I42="accepted",I42="cond. accept",I42="summer admit"),IF(J42="yes","CHOICE!","Accepted!"),IF(I42="denied","Denied",IF(K42=1,"Waitlist",IF(L42=1,"Deferred",IF(G42="pending","Pending",IF(OR(G42="initial materials submitted",G42="mid-year submitted",G42="final submitted"),"Submitted",IF(H42="interest","Interest","?")))))))</f>
        <v>0</v>
      </c>
      <c r="AM42">
        <f>IF(OR(AK42=ReachLabel,AK42=LongshotLabel,AK42=HailMaryLabel),1,0)</f>
        <v>0</v>
      </c>
      <c r="AN42">
        <f>IF(OR(AM42=1,AK42=MatchLabel),1,0)</f>
        <v>0</v>
      </c>
      <c r="AO42">
        <f>IF(OR(AK42=MatchLabel,AK42=SafetyLabel,AK42=SecureLabel,AK42=SureThingLabel),1,0)</f>
        <v>0</v>
      </c>
      <c r="AP42">
        <f>IF(OR(T42="H",T42="B"),IF(ISNUMBER(Y42),ROUND(Y42,2),0),IF(ISNUMBER(X42),ROUND(X42,2),0))</f>
        <v>0</v>
      </c>
      <c r="AQ42">
        <f>IF(AP42&gt;=U42,1,0)</f>
        <v>0</v>
      </c>
      <c r="AR42">
        <f>IF(AP42&gt;=V42,1,0)</f>
        <v>0</v>
      </c>
      <c r="AS42">
        <f>IF(AP42&lt;(U42-0.10),1,0)</f>
        <v>0</v>
      </c>
      <c r="AT42">
        <f>1-AJ42/100</f>
        <v>0</v>
      </c>
      <c r="AU42">
        <f>IF(AN42=1,AT42,1)</f>
        <v>0</v>
      </c>
      <c r="AV42">
        <f>IF(AM42=1,AT42,1)</f>
        <v>0</v>
      </c>
      <c r="AW42">
        <f>IF(AND(AQ42=1,ISNUMBER(AT42)),$AT42,1)</f>
        <v>0</v>
      </c>
      <c r="AX42">
        <f>IF(AND(AR42=1,ISNUMBER(AT42)),$AT42,1)</f>
        <v>0</v>
      </c>
      <c r="AY42">
        <f>IF(ISNUMBER(Y42),INDEX(AllCollegeMoney, MATCH(N42,AllCollegeNCES,0)),0)</f>
        <v>0</v>
      </c>
      <c r="AZ42">
        <f>IF(AND(AQ42=1,ISNUMBER(AT42),AY42=1),$AT42,1)</f>
        <v>0</v>
      </c>
      <c r="BA42">
        <f>IF(AND(AR42=1,ISNUMBER(AT42),AY42=1),$AT42,1)</f>
        <v>0</v>
      </c>
      <c r="BB42">
        <f>IF(ISNUMBER(Y42),INDEX(AllCollegeILPub, MATCH(N42,AllCollegeNCES,0)),0)</f>
        <v>0</v>
      </c>
      <c r="BC42">
        <f>IF(AK42=ReachLabel,AP42,0)</f>
        <v>0</v>
      </c>
      <c r="BD42">
        <f>IF(AK42=MatchLabel,AP42,0)</f>
        <v>0</v>
      </c>
      <c r="BE42">
        <f>IF(AK42=SafetyLabel,AP42,0)</f>
        <v>0</v>
      </c>
      <c r="BF42">
        <f>IF(AK42=SecureLabel,AP42,0)</f>
        <v>0</v>
      </c>
      <c r="BG42">
        <f>IF(AK42=SureThingLabel,AP42,0)</f>
        <v>0</v>
      </c>
      <c r="BH42">
        <f>MAX(BC42:BG42)</f>
        <v>0</v>
      </c>
      <c r="BI42">
        <f>MAX(BD42:BG42)</f>
        <v>0</v>
      </c>
      <c r="BJ42">
        <f>MAX(BE42:BG42)</f>
        <v>0</v>
      </c>
      <c r="BK42">
        <f>IF(AND(AK42=ReachLabel,AY42=1),AP42,0)</f>
        <v>0</v>
      </c>
      <c r="BL42">
        <f>IF(AND(AK42=MatchLabel,AY42=1),AP42,0)</f>
        <v>0</v>
      </c>
      <c r="BM42">
        <f>IF(AND(AK42=SafetyLabel,AY42=1),AP42,0)</f>
        <v>0</v>
      </c>
      <c r="BN42">
        <f>IF(AND(AK42=SecureLabel,AY42=1),AP42,0)</f>
        <v>0</v>
      </c>
      <c r="BO42">
        <f>IF(AND(AK42=SureThingLabel,AY42=1),AP42,0)</f>
        <v>0</v>
      </c>
      <c r="BP42">
        <f>MAX(BK42:BO42)</f>
        <v>0</v>
      </c>
      <c r="BQ42">
        <f>MAX(BL42:BO42)</f>
        <v>0</v>
      </c>
      <c r="BR42">
        <f>MAX(BM42:BO42)</f>
        <v>0</v>
      </c>
      <c r="BS42">
        <f>IF(ISNUMBER(Y42),INDEX(AllCollegeChicago, MATCH(N42,AllCollegeNCES,0))*AY42,0)</f>
        <v>0</v>
      </c>
      <c r="BT42">
        <f>IF(ISNUMBER(Y42),INDEX(AllCollegeMoneyCode, MATCH(N42,AllCollegeNCES,0)),"?")</f>
        <v>0</v>
      </c>
      <c r="BU42">
        <f>IF(OR(BT42="---",BT42="--",BT42="+/--",BT42="+/---"),1,0)</f>
        <v>0</v>
      </c>
      <c r="BV42">
        <f>AY42*AO42*AQ42</f>
        <v>0</v>
      </c>
    </row>
    <row r="43" spans="1:74">
      <c r="A43" t="s">
        <v>86</v>
      </c>
      <c r="B43">
        <v>22054227</v>
      </c>
      <c r="C43" t="s">
        <v>133</v>
      </c>
      <c r="D43" t="s">
        <v>134</v>
      </c>
      <c r="E43" t="s">
        <v>428</v>
      </c>
      <c r="F43" t="s">
        <v>469</v>
      </c>
      <c r="G43" t="s">
        <v>430</v>
      </c>
      <c r="H43" t="s">
        <v>431</v>
      </c>
      <c r="I43" t="s">
        <v>432</v>
      </c>
      <c r="J43" t="s">
        <v>432</v>
      </c>
      <c r="K43">
        <v>0</v>
      </c>
      <c r="L43" t="s">
        <v>428</v>
      </c>
      <c r="M43" t="s">
        <v>428</v>
      </c>
      <c r="N43">
        <v>174844</v>
      </c>
      <c r="O43">
        <f>INDEX(AllCollegeBarrons,MATCH(N43,AllCollegeNCES,0))</f>
        <v>0</v>
      </c>
      <c r="P43">
        <f>INDEX(KidGPAs,MATCH(B43,KidIDs,0))</f>
        <v>0</v>
      </c>
      <c r="Q43">
        <f>INDEX(KidACTs,MATCH(B43,KidIDs,0))</f>
        <v>0</v>
      </c>
      <c r="R43">
        <f>INDEX(Strats,MATCH(B43,KidIDs,0))</f>
        <v>0</v>
      </c>
      <c r="S43">
        <f>INDEX(KidRace,MATCH(B43,KidIDs,0))</f>
        <v>0</v>
      </c>
      <c r="T43">
        <f>IF(OR(S43="M",S43="I"),"H",S43)</f>
        <v>0</v>
      </c>
      <c r="U43">
        <f>INDEX(StudentTargets,MATCH(B43,KidIDs,0))</f>
        <v>0</v>
      </c>
      <c r="V43">
        <f>INDEX(ReachStudentTargets,MATCH(B43,KidIDs,0))</f>
        <v>0</v>
      </c>
      <c r="W43">
        <f>IF(OR(M43="Posse"),1,0)</f>
        <v>0</v>
      </c>
      <c r="X43">
        <f>IF(ISNUMBER(INDEX(AllCollegeGR, MATCH(N43,AllCollegeNCES,0))),ROUND(INDEX(AllCollegeGR, MATCH(N43,AllCollegeNCES,0))+W43*IF(INDEX(AllCollegeGR, MATCH(N43,AllCollegeNCES,0))&gt;0.7,(1-INDEX(AllCollegeGR, MATCH(N43,AllCollegeNCES,0)))/2,0.15),2),INDEX(AllCollegeGR, MATCH(N43,AllCollegeNCES,0)))</f>
        <v>0</v>
      </c>
      <c r="Y43">
        <f>IF(ISNUMBER(INDEX(AllCollegeAAHGR, MATCH(N43,AllCollegeNCES,0))),ROUND(INDEX(AllCollegeAAHGR, MATCH(N43,AllCollegeNCES,0))+W43*IF(INDEX(AllCollegeAAHGR, MATCH(N43,AllCollegeNCES,0))&gt;0.7,(1-INDEX(AllCollegeAAHGR, MATCH(N43,AllCollegeNCES,0)))/2,0.15),2),INDEX(AllCollegeAAHGR, MATCH(N43,AllCollegeNCES,0)))</f>
        <v>0</v>
      </c>
      <c r="Z43">
        <f>IF(OR(T43="H",T43="B"),INDEX(AllCollegeACT25, MATCH(N43,AllCollegeNCES,0)),INDEX(AllCollegeACT50, MATCH(N43,AllCollegeNCES,0)))</f>
        <v>0</v>
      </c>
      <c r="AA43">
        <f>INDEX(CustomWeightsGPA,MATCH(T43&amp;":"&amp;N43,CustomWeightsIndex,0))</f>
        <v>0</v>
      </c>
      <c r="AB43">
        <f>INDEX(CustomWeightsACT,MATCH(T43&amp;":"&amp;N43,CustomWeightsIndex,0))</f>
        <v>0</v>
      </c>
      <c r="AC43">
        <f>INDEX(CustomWeightsIntercept,MATCH(T43&amp;":"&amp;N43,CustomWeightsIndex,0))</f>
        <v>0</v>
      </c>
      <c r="AD43">
        <f>AA43*P43+AB43*Q43+AC43</f>
        <v>0</v>
      </c>
      <c r="AE43">
        <f>INDEX(CoefficientsGPA,MATCH(T43&amp;":"&amp;O43,CoefficientsIndex,0))</f>
        <v>0</v>
      </c>
      <c r="AF43">
        <f>INDEX(CoefficientsACT,MATCH(T43&amp;":"&amp;O43,CoefficientsIndex,0))</f>
        <v>0</v>
      </c>
      <c r="AG43">
        <f>INDEX(CoefficientsIntercept,MATCH(T43&amp;":"&amp;O43,CoefficientsIndex,0))</f>
        <v>0</v>
      </c>
      <c r="AH43">
        <f>AE43*P43+(Q43-Z43)*AF43+AG43</f>
        <v>0</v>
      </c>
      <c r="AI43">
        <f>IF(ISNUMBER(AD43),AD43,AH43)</f>
        <v>0</v>
      </c>
      <c r="AJ43">
        <f>IF(ISNUMBER(AI43),IF(ISNUMBER(AE43),IF(AND(AE43=1,AF43=1,AG43=1),100,ROUND(100*EXP(AI43)/(1+EXP(AI43)),2)),ROUND(100*EXP(AI43)/(1+EXP(AI43)),2)),IF(ISTEXT(O43),IF(LEFT(O43,1)="2",100,"N/A"),"N/A"))</f>
        <v>0</v>
      </c>
      <c r="AK43">
        <f>IF(ISNUMBER(AJ43),IF(AJ43&gt;=99,IF(OR(R43=10,R43=11),MatchLabel,SureThingLabel),IF(AJ43&gt;=95,SecureLabel,IF(AJ43&gt;=80,SafetyLabel,IF(AJ43&gt;=50,MatchLabel,IF(AJ43&gt;=20,ReachLabel,IF(AJ43&gt;=10,LongshotLabel,HailMaryLabel)))))),"Other")</f>
        <v>0</v>
      </c>
      <c r="AL43">
        <f>IF(OR(I43="accepted",I43="cond. accept",I43="summer admit"),IF(J43="yes","CHOICE!","Accepted!"),IF(I43="denied","Denied",IF(K43=1,"Waitlist",IF(L43=1,"Deferred",IF(G43="pending","Pending",IF(OR(G43="initial materials submitted",G43="mid-year submitted",G43="final submitted"),"Submitted",IF(H43="interest","Interest","?")))))))</f>
        <v>0</v>
      </c>
      <c r="AM43">
        <f>IF(OR(AK43=ReachLabel,AK43=LongshotLabel,AK43=HailMaryLabel),1,0)</f>
        <v>0</v>
      </c>
      <c r="AN43">
        <f>IF(OR(AM43=1,AK43=MatchLabel),1,0)</f>
        <v>0</v>
      </c>
      <c r="AO43">
        <f>IF(OR(AK43=MatchLabel,AK43=SafetyLabel,AK43=SecureLabel,AK43=SureThingLabel),1,0)</f>
        <v>0</v>
      </c>
      <c r="AP43">
        <f>IF(OR(T43="H",T43="B"),IF(ISNUMBER(Y43),ROUND(Y43,2),0),IF(ISNUMBER(X43),ROUND(X43,2),0))</f>
        <v>0</v>
      </c>
      <c r="AQ43">
        <f>IF(AP43&gt;=U43,1,0)</f>
        <v>0</v>
      </c>
      <c r="AR43">
        <f>IF(AP43&gt;=V43,1,0)</f>
        <v>0</v>
      </c>
      <c r="AS43">
        <f>IF(AP43&lt;(U43-0.10),1,0)</f>
        <v>0</v>
      </c>
      <c r="AT43">
        <f>1-AJ43/100</f>
        <v>0</v>
      </c>
      <c r="AU43">
        <f>IF(AN43=1,AT43,1)</f>
        <v>0</v>
      </c>
      <c r="AV43">
        <f>IF(AM43=1,AT43,1)</f>
        <v>0</v>
      </c>
      <c r="AW43">
        <f>IF(AND(AQ43=1,ISNUMBER(AT43)),$AT43,1)</f>
        <v>0</v>
      </c>
      <c r="AX43">
        <f>IF(AND(AR43=1,ISNUMBER(AT43)),$AT43,1)</f>
        <v>0</v>
      </c>
      <c r="AY43">
        <f>IF(ISNUMBER(Y43),INDEX(AllCollegeMoney, MATCH(N43,AllCollegeNCES,0)),0)</f>
        <v>0</v>
      </c>
      <c r="AZ43">
        <f>IF(AND(AQ43=1,ISNUMBER(AT43),AY43=1),$AT43,1)</f>
        <v>0</v>
      </c>
      <c r="BA43">
        <f>IF(AND(AR43=1,ISNUMBER(AT43),AY43=1),$AT43,1)</f>
        <v>0</v>
      </c>
      <c r="BB43">
        <f>IF(ISNUMBER(Y43),INDEX(AllCollegeILPub, MATCH(N43,AllCollegeNCES,0)),0)</f>
        <v>0</v>
      </c>
      <c r="BC43">
        <f>IF(AK43=ReachLabel,AP43,0)</f>
        <v>0</v>
      </c>
      <c r="BD43">
        <f>IF(AK43=MatchLabel,AP43,0)</f>
        <v>0</v>
      </c>
      <c r="BE43">
        <f>IF(AK43=SafetyLabel,AP43,0)</f>
        <v>0</v>
      </c>
      <c r="BF43">
        <f>IF(AK43=SecureLabel,AP43,0)</f>
        <v>0</v>
      </c>
      <c r="BG43">
        <f>IF(AK43=SureThingLabel,AP43,0)</f>
        <v>0</v>
      </c>
      <c r="BH43">
        <f>MAX(BC43:BG43)</f>
        <v>0</v>
      </c>
      <c r="BI43">
        <f>MAX(BD43:BG43)</f>
        <v>0</v>
      </c>
      <c r="BJ43">
        <f>MAX(BE43:BG43)</f>
        <v>0</v>
      </c>
      <c r="BK43">
        <f>IF(AND(AK43=ReachLabel,AY43=1),AP43,0)</f>
        <v>0</v>
      </c>
      <c r="BL43">
        <f>IF(AND(AK43=MatchLabel,AY43=1),AP43,0)</f>
        <v>0</v>
      </c>
      <c r="BM43">
        <f>IF(AND(AK43=SafetyLabel,AY43=1),AP43,0)</f>
        <v>0</v>
      </c>
      <c r="BN43">
        <f>IF(AND(AK43=SecureLabel,AY43=1),AP43,0)</f>
        <v>0</v>
      </c>
      <c r="BO43">
        <f>IF(AND(AK43=SureThingLabel,AY43=1),AP43,0)</f>
        <v>0</v>
      </c>
      <c r="BP43">
        <f>MAX(BK43:BO43)</f>
        <v>0</v>
      </c>
      <c r="BQ43">
        <f>MAX(BL43:BO43)</f>
        <v>0</v>
      </c>
      <c r="BR43">
        <f>MAX(BM43:BO43)</f>
        <v>0</v>
      </c>
      <c r="BS43">
        <f>IF(ISNUMBER(Y43),INDEX(AllCollegeChicago, MATCH(N43,AllCollegeNCES,0))*AY43,0)</f>
        <v>0</v>
      </c>
      <c r="BT43">
        <f>IF(ISNUMBER(Y43),INDEX(AllCollegeMoneyCode, MATCH(N43,AllCollegeNCES,0)),"?")</f>
        <v>0</v>
      </c>
      <c r="BU43">
        <f>IF(OR(BT43="---",BT43="--",BT43="+/--",BT43="+/---"),1,0)</f>
        <v>0</v>
      </c>
      <c r="BV43">
        <f>AY43*AO43*AQ43</f>
        <v>0</v>
      </c>
    </row>
    <row r="44" spans="1:74">
      <c r="A44" t="s">
        <v>86</v>
      </c>
      <c r="B44">
        <v>22054227</v>
      </c>
      <c r="C44" t="s">
        <v>133</v>
      </c>
      <c r="D44" t="s">
        <v>134</v>
      </c>
      <c r="E44" t="s">
        <v>428</v>
      </c>
      <c r="F44" t="s">
        <v>457</v>
      </c>
      <c r="G44" t="s">
        <v>463</v>
      </c>
      <c r="H44" t="s">
        <v>431</v>
      </c>
      <c r="I44" t="s">
        <v>432</v>
      </c>
      <c r="J44" t="s">
        <v>432</v>
      </c>
      <c r="K44">
        <v>0</v>
      </c>
      <c r="L44" t="s">
        <v>428</v>
      </c>
      <c r="M44" t="s">
        <v>428</v>
      </c>
      <c r="N44">
        <v>145637</v>
      </c>
      <c r="O44">
        <f>INDEX(AllCollegeBarrons,MATCH(N44,AllCollegeNCES,0))</f>
        <v>0</v>
      </c>
      <c r="P44">
        <f>INDEX(KidGPAs,MATCH(B44,KidIDs,0))</f>
        <v>0</v>
      </c>
      <c r="Q44">
        <f>INDEX(KidACTs,MATCH(B44,KidIDs,0))</f>
        <v>0</v>
      </c>
      <c r="R44">
        <f>INDEX(Strats,MATCH(B44,KidIDs,0))</f>
        <v>0</v>
      </c>
      <c r="S44">
        <f>INDEX(KidRace,MATCH(B44,KidIDs,0))</f>
        <v>0</v>
      </c>
      <c r="T44">
        <f>IF(OR(S44="M",S44="I"),"H",S44)</f>
        <v>0</v>
      </c>
      <c r="U44">
        <f>INDEX(StudentTargets,MATCH(B44,KidIDs,0))</f>
        <v>0</v>
      </c>
      <c r="V44">
        <f>INDEX(ReachStudentTargets,MATCH(B44,KidIDs,0))</f>
        <v>0</v>
      </c>
      <c r="W44">
        <f>IF(OR(M44="Posse"),1,0)</f>
        <v>0</v>
      </c>
      <c r="X44">
        <f>IF(ISNUMBER(INDEX(AllCollegeGR, MATCH(N44,AllCollegeNCES,0))),ROUND(INDEX(AllCollegeGR, MATCH(N44,AllCollegeNCES,0))+W44*IF(INDEX(AllCollegeGR, MATCH(N44,AllCollegeNCES,0))&gt;0.7,(1-INDEX(AllCollegeGR, MATCH(N44,AllCollegeNCES,0)))/2,0.15),2),INDEX(AllCollegeGR, MATCH(N44,AllCollegeNCES,0)))</f>
        <v>0</v>
      </c>
      <c r="Y44">
        <f>IF(ISNUMBER(INDEX(AllCollegeAAHGR, MATCH(N44,AllCollegeNCES,0))),ROUND(INDEX(AllCollegeAAHGR, MATCH(N44,AllCollegeNCES,0))+W44*IF(INDEX(AllCollegeAAHGR, MATCH(N44,AllCollegeNCES,0))&gt;0.7,(1-INDEX(AllCollegeAAHGR, MATCH(N44,AllCollegeNCES,0)))/2,0.15),2),INDEX(AllCollegeAAHGR, MATCH(N44,AllCollegeNCES,0)))</f>
        <v>0</v>
      </c>
      <c r="Z44">
        <f>IF(OR(T44="H",T44="B"),INDEX(AllCollegeACT25, MATCH(N44,AllCollegeNCES,0)),INDEX(AllCollegeACT50, MATCH(N44,AllCollegeNCES,0)))</f>
        <v>0</v>
      </c>
      <c r="AA44">
        <f>INDEX(CustomWeightsGPA,MATCH(T44&amp;":"&amp;N44,CustomWeightsIndex,0))</f>
        <v>0</v>
      </c>
      <c r="AB44">
        <f>INDEX(CustomWeightsACT,MATCH(T44&amp;":"&amp;N44,CustomWeightsIndex,0))</f>
        <v>0</v>
      </c>
      <c r="AC44">
        <f>INDEX(CustomWeightsIntercept,MATCH(T44&amp;":"&amp;N44,CustomWeightsIndex,0))</f>
        <v>0</v>
      </c>
      <c r="AD44">
        <f>AA44*P44+AB44*Q44+AC44</f>
        <v>0</v>
      </c>
      <c r="AE44">
        <f>INDEX(CoefficientsGPA,MATCH(T44&amp;":"&amp;O44,CoefficientsIndex,0))</f>
        <v>0</v>
      </c>
      <c r="AF44">
        <f>INDEX(CoefficientsACT,MATCH(T44&amp;":"&amp;O44,CoefficientsIndex,0))</f>
        <v>0</v>
      </c>
      <c r="AG44">
        <f>INDEX(CoefficientsIntercept,MATCH(T44&amp;":"&amp;O44,CoefficientsIndex,0))</f>
        <v>0</v>
      </c>
      <c r="AH44">
        <f>AE44*P44+(Q44-Z44)*AF44+AG44</f>
        <v>0</v>
      </c>
      <c r="AI44">
        <f>IF(ISNUMBER(AD44),AD44,AH44)</f>
        <v>0</v>
      </c>
      <c r="AJ44">
        <f>IF(ISNUMBER(AI44),IF(ISNUMBER(AE44),IF(AND(AE44=1,AF44=1,AG44=1),100,ROUND(100*EXP(AI44)/(1+EXP(AI44)),2)),ROUND(100*EXP(AI44)/(1+EXP(AI44)),2)),IF(ISTEXT(O44),IF(LEFT(O44,1)="2",100,"N/A"),"N/A"))</f>
        <v>0</v>
      </c>
      <c r="AK44">
        <f>IF(ISNUMBER(AJ44),IF(AJ44&gt;=99,IF(OR(R44=10,R44=11),MatchLabel,SureThingLabel),IF(AJ44&gt;=95,SecureLabel,IF(AJ44&gt;=80,SafetyLabel,IF(AJ44&gt;=50,MatchLabel,IF(AJ44&gt;=20,ReachLabel,IF(AJ44&gt;=10,LongshotLabel,HailMaryLabel)))))),"Other")</f>
        <v>0</v>
      </c>
      <c r="AL44">
        <f>IF(OR(I44="accepted",I44="cond. accept",I44="summer admit"),IF(J44="yes","CHOICE!","Accepted!"),IF(I44="denied","Denied",IF(K44=1,"Waitlist",IF(L44=1,"Deferred",IF(G44="pending","Pending",IF(OR(G44="initial materials submitted",G44="mid-year submitted",G44="final submitted"),"Submitted",IF(H44="interest","Interest","?")))))))</f>
        <v>0</v>
      </c>
      <c r="AM44">
        <f>IF(OR(AK44=ReachLabel,AK44=LongshotLabel,AK44=HailMaryLabel),1,0)</f>
        <v>0</v>
      </c>
      <c r="AN44">
        <f>IF(OR(AM44=1,AK44=MatchLabel),1,0)</f>
        <v>0</v>
      </c>
      <c r="AO44">
        <f>IF(OR(AK44=MatchLabel,AK44=SafetyLabel,AK44=SecureLabel,AK44=SureThingLabel),1,0)</f>
        <v>0</v>
      </c>
      <c r="AP44">
        <f>IF(OR(T44="H",T44="B"),IF(ISNUMBER(Y44),ROUND(Y44,2),0),IF(ISNUMBER(X44),ROUND(X44,2),0))</f>
        <v>0</v>
      </c>
      <c r="AQ44">
        <f>IF(AP44&gt;=U44,1,0)</f>
        <v>0</v>
      </c>
      <c r="AR44">
        <f>IF(AP44&gt;=V44,1,0)</f>
        <v>0</v>
      </c>
      <c r="AS44">
        <f>IF(AP44&lt;(U44-0.10),1,0)</f>
        <v>0</v>
      </c>
      <c r="AT44">
        <f>1-AJ44/100</f>
        <v>0</v>
      </c>
      <c r="AU44">
        <f>IF(AN44=1,AT44,1)</f>
        <v>0</v>
      </c>
      <c r="AV44">
        <f>IF(AM44=1,AT44,1)</f>
        <v>0</v>
      </c>
      <c r="AW44">
        <f>IF(AND(AQ44=1,ISNUMBER(AT44)),$AT44,1)</f>
        <v>0</v>
      </c>
      <c r="AX44">
        <f>IF(AND(AR44=1,ISNUMBER(AT44)),$AT44,1)</f>
        <v>0</v>
      </c>
      <c r="AY44">
        <f>IF(ISNUMBER(Y44),INDEX(AllCollegeMoney, MATCH(N44,AllCollegeNCES,0)),0)</f>
        <v>0</v>
      </c>
      <c r="AZ44">
        <f>IF(AND(AQ44=1,ISNUMBER(AT44),AY44=1),$AT44,1)</f>
        <v>0</v>
      </c>
      <c r="BA44">
        <f>IF(AND(AR44=1,ISNUMBER(AT44),AY44=1),$AT44,1)</f>
        <v>0</v>
      </c>
      <c r="BB44">
        <f>IF(ISNUMBER(Y44),INDEX(AllCollegeILPub, MATCH(N44,AllCollegeNCES,0)),0)</f>
        <v>0</v>
      </c>
      <c r="BC44">
        <f>IF(AK44=ReachLabel,AP44,0)</f>
        <v>0</v>
      </c>
      <c r="BD44">
        <f>IF(AK44=MatchLabel,AP44,0)</f>
        <v>0</v>
      </c>
      <c r="BE44">
        <f>IF(AK44=SafetyLabel,AP44,0)</f>
        <v>0</v>
      </c>
      <c r="BF44">
        <f>IF(AK44=SecureLabel,AP44,0)</f>
        <v>0</v>
      </c>
      <c r="BG44">
        <f>IF(AK44=SureThingLabel,AP44,0)</f>
        <v>0</v>
      </c>
      <c r="BH44">
        <f>MAX(BC44:BG44)</f>
        <v>0</v>
      </c>
      <c r="BI44">
        <f>MAX(BD44:BG44)</f>
        <v>0</v>
      </c>
      <c r="BJ44">
        <f>MAX(BE44:BG44)</f>
        <v>0</v>
      </c>
      <c r="BK44">
        <f>IF(AND(AK44=ReachLabel,AY44=1),AP44,0)</f>
        <v>0</v>
      </c>
      <c r="BL44">
        <f>IF(AND(AK44=MatchLabel,AY44=1),AP44,0)</f>
        <v>0</v>
      </c>
      <c r="BM44">
        <f>IF(AND(AK44=SafetyLabel,AY44=1),AP44,0)</f>
        <v>0</v>
      </c>
      <c r="BN44">
        <f>IF(AND(AK44=SecureLabel,AY44=1),AP44,0)</f>
        <v>0</v>
      </c>
      <c r="BO44">
        <f>IF(AND(AK44=SureThingLabel,AY44=1),AP44,0)</f>
        <v>0</v>
      </c>
      <c r="BP44">
        <f>MAX(BK44:BO44)</f>
        <v>0</v>
      </c>
      <c r="BQ44">
        <f>MAX(BL44:BO44)</f>
        <v>0</v>
      </c>
      <c r="BR44">
        <f>MAX(BM44:BO44)</f>
        <v>0</v>
      </c>
      <c r="BS44">
        <f>IF(ISNUMBER(Y44),INDEX(AllCollegeChicago, MATCH(N44,AllCollegeNCES,0))*AY44,0)</f>
        <v>0</v>
      </c>
      <c r="BT44">
        <f>IF(ISNUMBER(Y44),INDEX(AllCollegeMoneyCode, MATCH(N44,AllCollegeNCES,0)),"?")</f>
        <v>0</v>
      </c>
      <c r="BU44">
        <f>IF(OR(BT44="---",BT44="--",BT44="+/--",BT44="+/---"),1,0)</f>
        <v>0</v>
      </c>
      <c r="BV44">
        <f>AY44*AO44*AQ44</f>
        <v>0</v>
      </c>
    </row>
    <row r="45" spans="1:74">
      <c r="A45" t="s">
        <v>86</v>
      </c>
      <c r="B45">
        <v>22054227</v>
      </c>
      <c r="C45" t="s">
        <v>133</v>
      </c>
      <c r="D45" t="s">
        <v>134</v>
      </c>
      <c r="E45" t="s">
        <v>428</v>
      </c>
      <c r="F45" t="s">
        <v>470</v>
      </c>
      <c r="G45" t="s">
        <v>430</v>
      </c>
      <c r="H45" t="s">
        <v>431</v>
      </c>
      <c r="I45" t="s">
        <v>432</v>
      </c>
      <c r="J45" t="s">
        <v>432</v>
      </c>
      <c r="K45">
        <v>0</v>
      </c>
      <c r="L45" t="s">
        <v>428</v>
      </c>
      <c r="M45" t="s">
        <v>428</v>
      </c>
      <c r="N45">
        <v>206589</v>
      </c>
      <c r="O45">
        <f>INDEX(AllCollegeBarrons,MATCH(N45,AllCollegeNCES,0))</f>
        <v>0</v>
      </c>
      <c r="P45">
        <f>INDEX(KidGPAs,MATCH(B45,KidIDs,0))</f>
        <v>0</v>
      </c>
      <c r="Q45">
        <f>INDEX(KidACTs,MATCH(B45,KidIDs,0))</f>
        <v>0</v>
      </c>
      <c r="R45">
        <f>INDEX(Strats,MATCH(B45,KidIDs,0))</f>
        <v>0</v>
      </c>
      <c r="S45">
        <f>INDEX(KidRace,MATCH(B45,KidIDs,0))</f>
        <v>0</v>
      </c>
      <c r="T45">
        <f>IF(OR(S45="M",S45="I"),"H",S45)</f>
        <v>0</v>
      </c>
      <c r="U45">
        <f>INDEX(StudentTargets,MATCH(B45,KidIDs,0))</f>
        <v>0</v>
      </c>
      <c r="V45">
        <f>INDEX(ReachStudentTargets,MATCH(B45,KidIDs,0))</f>
        <v>0</v>
      </c>
      <c r="W45">
        <f>IF(OR(M45="Posse"),1,0)</f>
        <v>0</v>
      </c>
      <c r="X45">
        <f>IF(ISNUMBER(INDEX(AllCollegeGR, MATCH(N45,AllCollegeNCES,0))),ROUND(INDEX(AllCollegeGR, MATCH(N45,AllCollegeNCES,0))+W45*IF(INDEX(AllCollegeGR, MATCH(N45,AllCollegeNCES,0))&gt;0.7,(1-INDEX(AllCollegeGR, MATCH(N45,AllCollegeNCES,0)))/2,0.15),2),INDEX(AllCollegeGR, MATCH(N45,AllCollegeNCES,0)))</f>
        <v>0</v>
      </c>
      <c r="Y45">
        <f>IF(ISNUMBER(INDEX(AllCollegeAAHGR, MATCH(N45,AllCollegeNCES,0))),ROUND(INDEX(AllCollegeAAHGR, MATCH(N45,AllCollegeNCES,0))+W45*IF(INDEX(AllCollegeAAHGR, MATCH(N45,AllCollegeNCES,0))&gt;0.7,(1-INDEX(AllCollegeAAHGR, MATCH(N45,AllCollegeNCES,0)))/2,0.15),2),INDEX(AllCollegeAAHGR, MATCH(N45,AllCollegeNCES,0)))</f>
        <v>0</v>
      </c>
      <c r="Z45">
        <f>IF(OR(T45="H",T45="B"),INDEX(AllCollegeACT25, MATCH(N45,AllCollegeNCES,0)),INDEX(AllCollegeACT50, MATCH(N45,AllCollegeNCES,0)))</f>
        <v>0</v>
      </c>
      <c r="AA45">
        <f>INDEX(CustomWeightsGPA,MATCH(T45&amp;":"&amp;N45,CustomWeightsIndex,0))</f>
        <v>0</v>
      </c>
      <c r="AB45">
        <f>INDEX(CustomWeightsACT,MATCH(T45&amp;":"&amp;N45,CustomWeightsIndex,0))</f>
        <v>0</v>
      </c>
      <c r="AC45">
        <f>INDEX(CustomWeightsIntercept,MATCH(T45&amp;":"&amp;N45,CustomWeightsIndex,0))</f>
        <v>0</v>
      </c>
      <c r="AD45">
        <f>AA45*P45+AB45*Q45+AC45</f>
        <v>0</v>
      </c>
      <c r="AE45">
        <f>INDEX(CoefficientsGPA,MATCH(T45&amp;":"&amp;O45,CoefficientsIndex,0))</f>
        <v>0</v>
      </c>
      <c r="AF45">
        <f>INDEX(CoefficientsACT,MATCH(T45&amp;":"&amp;O45,CoefficientsIndex,0))</f>
        <v>0</v>
      </c>
      <c r="AG45">
        <f>INDEX(CoefficientsIntercept,MATCH(T45&amp;":"&amp;O45,CoefficientsIndex,0))</f>
        <v>0</v>
      </c>
      <c r="AH45">
        <f>AE45*P45+(Q45-Z45)*AF45+AG45</f>
        <v>0</v>
      </c>
      <c r="AI45">
        <f>IF(ISNUMBER(AD45),AD45,AH45)</f>
        <v>0</v>
      </c>
      <c r="AJ45">
        <f>IF(ISNUMBER(AI45),IF(ISNUMBER(AE45),IF(AND(AE45=1,AF45=1,AG45=1),100,ROUND(100*EXP(AI45)/(1+EXP(AI45)),2)),ROUND(100*EXP(AI45)/(1+EXP(AI45)),2)),IF(ISTEXT(O45),IF(LEFT(O45,1)="2",100,"N/A"),"N/A"))</f>
        <v>0</v>
      </c>
      <c r="AK45">
        <f>IF(ISNUMBER(AJ45),IF(AJ45&gt;=99,IF(OR(R45=10,R45=11),MatchLabel,SureThingLabel),IF(AJ45&gt;=95,SecureLabel,IF(AJ45&gt;=80,SafetyLabel,IF(AJ45&gt;=50,MatchLabel,IF(AJ45&gt;=20,ReachLabel,IF(AJ45&gt;=10,LongshotLabel,HailMaryLabel)))))),"Other")</f>
        <v>0</v>
      </c>
      <c r="AL45">
        <f>IF(OR(I45="accepted",I45="cond. accept",I45="summer admit"),IF(J45="yes","CHOICE!","Accepted!"),IF(I45="denied","Denied",IF(K45=1,"Waitlist",IF(L45=1,"Deferred",IF(G45="pending","Pending",IF(OR(G45="initial materials submitted",G45="mid-year submitted",G45="final submitted"),"Submitted",IF(H45="interest","Interest","?")))))))</f>
        <v>0</v>
      </c>
      <c r="AM45">
        <f>IF(OR(AK45=ReachLabel,AK45=LongshotLabel,AK45=HailMaryLabel),1,0)</f>
        <v>0</v>
      </c>
      <c r="AN45">
        <f>IF(OR(AM45=1,AK45=MatchLabel),1,0)</f>
        <v>0</v>
      </c>
      <c r="AO45">
        <f>IF(OR(AK45=MatchLabel,AK45=SafetyLabel,AK45=SecureLabel,AK45=SureThingLabel),1,0)</f>
        <v>0</v>
      </c>
      <c r="AP45">
        <f>IF(OR(T45="H",T45="B"),IF(ISNUMBER(Y45),ROUND(Y45,2),0),IF(ISNUMBER(X45),ROUND(X45,2),0))</f>
        <v>0</v>
      </c>
      <c r="AQ45">
        <f>IF(AP45&gt;=U45,1,0)</f>
        <v>0</v>
      </c>
      <c r="AR45">
        <f>IF(AP45&gt;=V45,1,0)</f>
        <v>0</v>
      </c>
      <c r="AS45">
        <f>IF(AP45&lt;(U45-0.10),1,0)</f>
        <v>0</v>
      </c>
      <c r="AT45">
        <f>1-AJ45/100</f>
        <v>0</v>
      </c>
      <c r="AU45">
        <f>IF(AN45=1,AT45,1)</f>
        <v>0</v>
      </c>
      <c r="AV45">
        <f>IF(AM45=1,AT45,1)</f>
        <v>0</v>
      </c>
      <c r="AW45">
        <f>IF(AND(AQ45=1,ISNUMBER(AT45)),$AT45,1)</f>
        <v>0</v>
      </c>
      <c r="AX45">
        <f>IF(AND(AR45=1,ISNUMBER(AT45)),$AT45,1)</f>
        <v>0</v>
      </c>
      <c r="AY45">
        <f>IF(ISNUMBER(Y45),INDEX(AllCollegeMoney, MATCH(N45,AllCollegeNCES,0)),0)</f>
        <v>0</v>
      </c>
      <c r="AZ45">
        <f>IF(AND(AQ45=1,ISNUMBER(AT45),AY45=1),$AT45,1)</f>
        <v>0</v>
      </c>
      <c r="BA45">
        <f>IF(AND(AR45=1,ISNUMBER(AT45),AY45=1),$AT45,1)</f>
        <v>0</v>
      </c>
      <c r="BB45">
        <f>IF(ISNUMBER(Y45),INDEX(AllCollegeILPub, MATCH(N45,AllCollegeNCES,0)),0)</f>
        <v>0</v>
      </c>
      <c r="BC45">
        <f>IF(AK45=ReachLabel,AP45,0)</f>
        <v>0</v>
      </c>
      <c r="BD45">
        <f>IF(AK45=MatchLabel,AP45,0)</f>
        <v>0</v>
      </c>
      <c r="BE45">
        <f>IF(AK45=SafetyLabel,AP45,0)</f>
        <v>0</v>
      </c>
      <c r="BF45">
        <f>IF(AK45=SecureLabel,AP45,0)</f>
        <v>0</v>
      </c>
      <c r="BG45">
        <f>IF(AK45=SureThingLabel,AP45,0)</f>
        <v>0</v>
      </c>
      <c r="BH45">
        <f>MAX(BC45:BG45)</f>
        <v>0</v>
      </c>
      <c r="BI45">
        <f>MAX(BD45:BG45)</f>
        <v>0</v>
      </c>
      <c r="BJ45">
        <f>MAX(BE45:BG45)</f>
        <v>0</v>
      </c>
      <c r="BK45">
        <f>IF(AND(AK45=ReachLabel,AY45=1),AP45,0)</f>
        <v>0</v>
      </c>
      <c r="BL45">
        <f>IF(AND(AK45=MatchLabel,AY45=1),AP45,0)</f>
        <v>0</v>
      </c>
      <c r="BM45">
        <f>IF(AND(AK45=SafetyLabel,AY45=1),AP45,0)</f>
        <v>0</v>
      </c>
      <c r="BN45">
        <f>IF(AND(AK45=SecureLabel,AY45=1),AP45,0)</f>
        <v>0</v>
      </c>
      <c r="BO45">
        <f>IF(AND(AK45=SureThingLabel,AY45=1),AP45,0)</f>
        <v>0</v>
      </c>
      <c r="BP45">
        <f>MAX(BK45:BO45)</f>
        <v>0</v>
      </c>
      <c r="BQ45">
        <f>MAX(BL45:BO45)</f>
        <v>0</v>
      </c>
      <c r="BR45">
        <f>MAX(BM45:BO45)</f>
        <v>0</v>
      </c>
      <c r="BS45">
        <f>IF(ISNUMBER(Y45),INDEX(AllCollegeChicago, MATCH(N45,AllCollegeNCES,0))*AY45,0)</f>
        <v>0</v>
      </c>
      <c r="BT45">
        <f>IF(ISNUMBER(Y45),INDEX(AllCollegeMoneyCode, MATCH(N45,AllCollegeNCES,0)),"?")</f>
        <v>0</v>
      </c>
      <c r="BU45">
        <f>IF(OR(BT45="---",BT45="--",BT45="+/--",BT45="+/---"),1,0)</f>
        <v>0</v>
      </c>
      <c r="BV45">
        <f>AY45*AO45*AQ45</f>
        <v>0</v>
      </c>
    </row>
    <row r="46" spans="1:74">
      <c r="A46" t="s">
        <v>86</v>
      </c>
      <c r="B46">
        <v>22054227</v>
      </c>
      <c r="C46" t="s">
        <v>133</v>
      </c>
      <c r="D46" t="s">
        <v>134</v>
      </c>
      <c r="E46" t="s">
        <v>428</v>
      </c>
      <c r="F46" t="s">
        <v>471</v>
      </c>
      <c r="G46" t="s">
        <v>430</v>
      </c>
      <c r="H46" t="s">
        <v>431</v>
      </c>
      <c r="I46" t="s">
        <v>432</v>
      </c>
      <c r="J46" t="s">
        <v>432</v>
      </c>
      <c r="K46">
        <v>0</v>
      </c>
      <c r="L46" t="s">
        <v>428</v>
      </c>
      <c r="M46" t="s">
        <v>428</v>
      </c>
      <c r="N46">
        <v>170301</v>
      </c>
      <c r="O46">
        <f>INDEX(AllCollegeBarrons,MATCH(N46,AllCollegeNCES,0))</f>
        <v>0</v>
      </c>
      <c r="P46">
        <f>INDEX(KidGPAs,MATCH(B46,KidIDs,0))</f>
        <v>0</v>
      </c>
      <c r="Q46">
        <f>INDEX(KidACTs,MATCH(B46,KidIDs,0))</f>
        <v>0</v>
      </c>
      <c r="R46">
        <f>INDEX(Strats,MATCH(B46,KidIDs,0))</f>
        <v>0</v>
      </c>
      <c r="S46">
        <f>INDEX(KidRace,MATCH(B46,KidIDs,0))</f>
        <v>0</v>
      </c>
      <c r="T46">
        <f>IF(OR(S46="M",S46="I"),"H",S46)</f>
        <v>0</v>
      </c>
      <c r="U46">
        <f>INDEX(StudentTargets,MATCH(B46,KidIDs,0))</f>
        <v>0</v>
      </c>
      <c r="V46">
        <f>INDEX(ReachStudentTargets,MATCH(B46,KidIDs,0))</f>
        <v>0</v>
      </c>
      <c r="W46">
        <f>IF(OR(M46="Posse"),1,0)</f>
        <v>0</v>
      </c>
      <c r="X46">
        <f>IF(ISNUMBER(INDEX(AllCollegeGR, MATCH(N46,AllCollegeNCES,0))),ROUND(INDEX(AllCollegeGR, MATCH(N46,AllCollegeNCES,0))+W46*IF(INDEX(AllCollegeGR, MATCH(N46,AllCollegeNCES,0))&gt;0.7,(1-INDEX(AllCollegeGR, MATCH(N46,AllCollegeNCES,0)))/2,0.15),2),INDEX(AllCollegeGR, MATCH(N46,AllCollegeNCES,0)))</f>
        <v>0</v>
      </c>
      <c r="Y46">
        <f>IF(ISNUMBER(INDEX(AllCollegeAAHGR, MATCH(N46,AllCollegeNCES,0))),ROUND(INDEX(AllCollegeAAHGR, MATCH(N46,AllCollegeNCES,0))+W46*IF(INDEX(AllCollegeAAHGR, MATCH(N46,AllCollegeNCES,0))&gt;0.7,(1-INDEX(AllCollegeAAHGR, MATCH(N46,AllCollegeNCES,0)))/2,0.15),2),INDEX(AllCollegeAAHGR, MATCH(N46,AllCollegeNCES,0)))</f>
        <v>0</v>
      </c>
      <c r="Z46">
        <f>IF(OR(T46="H",T46="B"),INDEX(AllCollegeACT25, MATCH(N46,AllCollegeNCES,0)),INDEX(AllCollegeACT50, MATCH(N46,AllCollegeNCES,0)))</f>
        <v>0</v>
      </c>
      <c r="AA46">
        <f>INDEX(CustomWeightsGPA,MATCH(T46&amp;":"&amp;N46,CustomWeightsIndex,0))</f>
        <v>0</v>
      </c>
      <c r="AB46">
        <f>INDEX(CustomWeightsACT,MATCH(T46&amp;":"&amp;N46,CustomWeightsIndex,0))</f>
        <v>0</v>
      </c>
      <c r="AC46">
        <f>INDEX(CustomWeightsIntercept,MATCH(T46&amp;":"&amp;N46,CustomWeightsIndex,0))</f>
        <v>0</v>
      </c>
      <c r="AD46">
        <f>AA46*P46+AB46*Q46+AC46</f>
        <v>0</v>
      </c>
      <c r="AE46">
        <f>INDEX(CoefficientsGPA,MATCH(T46&amp;":"&amp;O46,CoefficientsIndex,0))</f>
        <v>0</v>
      </c>
      <c r="AF46">
        <f>INDEX(CoefficientsACT,MATCH(T46&amp;":"&amp;O46,CoefficientsIndex,0))</f>
        <v>0</v>
      </c>
      <c r="AG46">
        <f>INDEX(CoefficientsIntercept,MATCH(T46&amp;":"&amp;O46,CoefficientsIndex,0))</f>
        <v>0</v>
      </c>
      <c r="AH46">
        <f>AE46*P46+(Q46-Z46)*AF46+AG46</f>
        <v>0</v>
      </c>
      <c r="AI46">
        <f>IF(ISNUMBER(AD46),AD46,AH46)</f>
        <v>0</v>
      </c>
      <c r="AJ46">
        <f>IF(ISNUMBER(AI46),IF(ISNUMBER(AE46),IF(AND(AE46=1,AF46=1,AG46=1),100,ROUND(100*EXP(AI46)/(1+EXP(AI46)),2)),ROUND(100*EXP(AI46)/(1+EXP(AI46)),2)),IF(ISTEXT(O46),IF(LEFT(O46,1)="2",100,"N/A"),"N/A"))</f>
        <v>0</v>
      </c>
      <c r="AK46">
        <f>IF(ISNUMBER(AJ46),IF(AJ46&gt;=99,IF(OR(R46=10,R46=11),MatchLabel,SureThingLabel),IF(AJ46&gt;=95,SecureLabel,IF(AJ46&gt;=80,SafetyLabel,IF(AJ46&gt;=50,MatchLabel,IF(AJ46&gt;=20,ReachLabel,IF(AJ46&gt;=10,LongshotLabel,HailMaryLabel)))))),"Other")</f>
        <v>0</v>
      </c>
      <c r="AL46">
        <f>IF(OR(I46="accepted",I46="cond. accept",I46="summer admit"),IF(J46="yes","CHOICE!","Accepted!"),IF(I46="denied","Denied",IF(K46=1,"Waitlist",IF(L46=1,"Deferred",IF(G46="pending","Pending",IF(OR(G46="initial materials submitted",G46="mid-year submitted",G46="final submitted"),"Submitted",IF(H46="interest","Interest","?")))))))</f>
        <v>0</v>
      </c>
      <c r="AM46">
        <f>IF(OR(AK46=ReachLabel,AK46=LongshotLabel,AK46=HailMaryLabel),1,0)</f>
        <v>0</v>
      </c>
      <c r="AN46">
        <f>IF(OR(AM46=1,AK46=MatchLabel),1,0)</f>
        <v>0</v>
      </c>
      <c r="AO46">
        <f>IF(OR(AK46=MatchLabel,AK46=SafetyLabel,AK46=SecureLabel,AK46=SureThingLabel),1,0)</f>
        <v>0</v>
      </c>
      <c r="AP46">
        <f>IF(OR(T46="H",T46="B"),IF(ISNUMBER(Y46),ROUND(Y46,2),0),IF(ISNUMBER(X46),ROUND(X46,2),0))</f>
        <v>0</v>
      </c>
      <c r="AQ46">
        <f>IF(AP46&gt;=U46,1,0)</f>
        <v>0</v>
      </c>
      <c r="AR46">
        <f>IF(AP46&gt;=V46,1,0)</f>
        <v>0</v>
      </c>
      <c r="AS46">
        <f>IF(AP46&lt;(U46-0.10),1,0)</f>
        <v>0</v>
      </c>
      <c r="AT46">
        <f>1-AJ46/100</f>
        <v>0</v>
      </c>
      <c r="AU46">
        <f>IF(AN46=1,AT46,1)</f>
        <v>0</v>
      </c>
      <c r="AV46">
        <f>IF(AM46=1,AT46,1)</f>
        <v>0</v>
      </c>
      <c r="AW46">
        <f>IF(AND(AQ46=1,ISNUMBER(AT46)),$AT46,1)</f>
        <v>0</v>
      </c>
      <c r="AX46">
        <f>IF(AND(AR46=1,ISNUMBER(AT46)),$AT46,1)</f>
        <v>0</v>
      </c>
      <c r="AY46">
        <f>IF(ISNUMBER(Y46),INDEX(AllCollegeMoney, MATCH(N46,AllCollegeNCES,0)),0)</f>
        <v>0</v>
      </c>
      <c r="AZ46">
        <f>IF(AND(AQ46=1,ISNUMBER(AT46),AY46=1),$AT46,1)</f>
        <v>0</v>
      </c>
      <c r="BA46">
        <f>IF(AND(AR46=1,ISNUMBER(AT46),AY46=1),$AT46,1)</f>
        <v>0</v>
      </c>
      <c r="BB46">
        <f>IF(ISNUMBER(Y46),INDEX(AllCollegeILPub, MATCH(N46,AllCollegeNCES,0)),0)</f>
        <v>0</v>
      </c>
      <c r="BC46">
        <f>IF(AK46=ReachLabel,AP46,0)</f>
        <v>0</v>
      </c>
      <c r="BD46">
        <f>IF(AK46=MatchLabel,AP46,0)</f>
        <v>0</v>
      </c>
      <c r="BE46">
        <f>IF(AK46=SafetyLabel,AP46,0)</f>
        <v>0</v>
      </c>
      <c r="BF46">
        <f>IF(AK46=SecureLabel,AP46,0)</f>
        <v>0</v>
      </c>
      <c r="BG46">
        <f>IF(AK46=SureThingLabel,AP46,0)</f>
        <v>0</v>
      </c>
      <c r="BH46">
        <f>MAX(BC46:BG46)</f>
        <v>0</v>
      </c>
      <c r="BI46">
        <f>MAX(BD46:BG46)</f>
        <v>0</v>
      </c>
      <c r="BJ46">
        <f>MAX(BE46:BG46)</f>
        <v>0</v>
      </c>
      <c r="BK46">
        <f>IF(AND(AK46=ReachLabel,AY46=1),AP46,0)</f>
        <v>0</v>
      </c>
      <c r="BL46">
        <f>IF(AND(AK46=MatchLabel,AY46=1),AP46,0)</f>
        <v>0</v>
      </c>
      <c r="BM46">
        <f>IF(AND(AK46=SafetyLabel,AY46=1),AP46,0)</f>
        <v>0</v>
      </c>
      <c r="BN46">
        <f>IF(AND(AK46=SecureLabel,AY46=1),AP46,0)</f>
        <v>0</v>
      </c>
      <c r="BO46">
        <f>IF(AND(AK46=SureThingLabel,AY46=1),AP46,0)</f>
        <v>0</v>
      </c>
      <c r="BP46">
        <f>MAX(BK46:BO46)</f>
        <v>0</v>
      </c>
      <c r="BQ46">
        <f>MAX(BL46:BO46)</f>
        <v>0</v>
      </c>
      <c r="BR46">
        <f>MAX(BM46:BO46)</f>
        <v>0</v>
      </c>
      <c r="BS46">
        <f>IF(ISNUMBER(Y46),INDEX(AllCollegeChicago, MATCH(N46,AllCollegeNCES,0))*AY46,0)</f>
        <v>0</v>
      </c>
      <c r="BT46">
        <f>IF(ISNUMBER(Y46),INDEX(AllCollegeMoneyCode, MATCH(N46,AllCollegeNCES,0)),"?")</f>
        <v>0</v>
      </c>
      <c r="BU46">
        <f>IF(OR(BT46="---",BT46="--",BT46="+/--",BT46="+/---"),1,0)</f>
        <v>0</v>
      </c>
      <c r="BV46">
        <f>AY46*AO46*AQ46</f>
        <v>0</v>
      </c>
    </row>
    <row r="47" spans="1:74">
      <c r="A47" t="s">
        <v>86</v>
      </c>
      <c r="B47">
        <v>22054227</v>
      </c>
      <c r="C47" t="s">
        <v>133</v>
      </c>
      <c r="D47" t="s">
        <v>134</v>
      </c>
      <c r="E47" t="s">
        <v>428</v>
      </c>
      <c r="F47" t="s">
        <v>472</v>
      </c>
      <c r="G47" t="s">
        <v>463</v>
      </c>
      <c r="H47" t="s">
        <v>431</v>
      </c>
      <c r="I47" t="s">
        <v>432</v>
      </c>
      <c r="J47" t="s">
        <v>432</v>
      </c>
      <c r="K47">
        <v>0</v>
      </c>
      <c r="L47" t="s">
        <v>428</v>
      </c>
      <c r="M47" t="s">
        <v>428</v>
      </c>
      <c r="N47">
        <v>202480</v>
      </c>
      <c r="O47">
        <f>INDEX(AllCollegeBarrons,MATCH(N47,AllCollegeNCES,0))</f>
        <v>0</v>
      </c>
      <c r="P47">
        <f>INDEX(KidGPAs,MATCH(B47,KidIDs,0))</f>
        <v>0</v>
      </c>
      <c r="Q47">
        <f>INDEX(KidACTs,MATCH(B47,KidIDs,0))</f>
        <v>0</v>
      </c>
      <c r="R47">
        <f>INDEX(Strats,MATCH(B47,KidIDs,0))</f>
        <v>0</v>
      </c>
      <c r="S47">
        <f>INDEX(KidRace,MATCH(B47,KidIDs,0))</f>
        <v>0</v>
      </c>
      <c r="T47">
        <f>IF(OR(S47="M",S47="I"),"H",S47)</f>
        <v>0</v>
      </c>
      <c r="U47">
        <f>INDEX(StudentTargets,MATCH(B47,KidIDs,0))</f>
        <v>0</v>
      </c>
      <c r="V47">
        <f>INDEX(ReachStudentTargets,MATCH(B47,KidIDs,0))</f>
        <v>0</v>
      </c>
      <c r="W47">
        <f>IF(OR(M47="Posse"),1,0)</f>
        <v>0</v>
      </c>
      <c r="X47">
        <f>IF(ISNUMBER(INDEX(AllCollegeGR, MATCH(N47,AllCollegeNCES,0))),ROUND(INDEX(AllCollegeGR, MATCH(N47,AllCollegeNCES,0))+W47*IF(INDEX(AllCollegeGR, MATCH(N47,AllCollegeNCES,0))&gt;0.7,(1-INDEX(AllCollegeGR, MATCH(N47,AllCollegeNCES,0)))/2,0.15),2),INDEX(AllCollegeGR, MATCH(N47,AllCollegeNCES,0)))</f>
        <v>0</v>
      </c>
      <c r="Y47">
        <f>IF(ISNUMBER(INDEX(AllCollegeAAHGR, MATCH(N47,AllCollegeNCES,0))),ROUND(INDEX(AllCollegeAAHGR, MATCH(N47,AllCollegeNCES,0))+W47*IF(INDEX(AllCollegeAAHGR, MATCH(N47,AllCollegeNCES,0))&gt;0.7,(1-INDEX(AllCollegeAAHGR, MATCH(N47,AllCollegeNCES,0)))/2,0.15),2),INDEX(AllCollegeAAHGR, MATCH(N47,AllCollegeNCES,0)))</f>
        <v>0</v>
      </c>
      <c r="Z47">
        <f>IF(OR(T47="H",T47="B"),INDEX(AllCollegeACT25, MATCH(N47,AllCollegeNCES,0)),INDEX(AllCollegeACT50, MATCH(N47,AllCollegeNCES,0)))</f>
        <v>0</v>
      </c>
      <c r="AA47">
        <f>INDEX(CustomWeightsGPA,MATCH(T47&amp;":"&amp;N47,CustomWeightsIndex,0))</f>
        <v>0</v>
      </c>
      <c r="AB47">
        <f>INDEX(CustomWeightsACT,MATCH(T47&amp;":"&amp;N47,CustomWeightsIndex,0))</f>
        <v>0</v>
      </c>
      <c r="AC47">
        <f>INDEX(CustomWeightsIntercept,MATCH(T47&amp;":"&amp;N47,CustomWeightsIndex,0))</f>
        <v>0</v>
      </c>
      <c r="AD47">
        <f>AA47*P47+AB47*Q47+AC47</f>
        <v>0</v>
      </c>
      <c r="AE47">
        <f>INDEX(CoefficientsGPA,MATCH(T47&amp;":"&amp;O47,CoefficientsIndex,0))</f>
        <v>0</v>
      </c>
      <c r="AF47">
        <f>INDEX(CoefficientsACT,MATCH(T47&amp;":"&amp;O47,CoefficientsIndex,0))</f>
        <v>0</v>
      </c>
      <c r="AG47">
        <f>INDEX(CoefficientsIntercept,MATCH(T47&amp;":"&amp;O47,CoefficientsIndex,0))</f>
        <v>0</v>
      </c>
      <c r="AH47">
        <f>AE47*P47+(Q47-Z47)*AF47+AG47</f>
        <v>0</v>
      </c>
      <c r="AI47">
        <f>IF(ISNUMBER(AD47),AD47,AH47)</f>
        <v>0</v>
      </c>
      <c r="AJ47">
        <f>IF(ISNUMBER(AI47),IF(ISNUMBER(AE47),IF(AND(AE47=1,AF47=1,AG47=1),100,ROUND(100*EXP(AI47)/(1+EXP(AI47)),2)),ROUND(100*EXP(AI47)/(1+EXP(AI47)),2)),IF(ISTEXT(O47),IF(LEFT(O47,1)="2",100,"N/A"),"N/A"))</f>
        <v>0</v>
      </c>
      <c r="AK47">
        <f>IF(ISNUMBER(AJ47),IF(AJ47&gt;=99,IF(OR(R47=10,R47=11),MatchLabel,SureThingLabel),IF(AJ47&gt;=95,SecureLabel,IF(AJ47&gt;=80,SafetyLabel,IF(AJ47&gt;=50,MatchLabel,IF(AJ47&gt;=20,ReachLabel,IF(AJ47&gt;=10,LongshotLabel,HailMaryLabel)))))),"Other")</f>
        <v>0</v>
      </c>
      <c r="AL47">
        <f>IF(OR(I47="accepted",I47="cond. accept",I47="summer admit"),IF(J47="yes","CHOICE!","Accepted!"),IF(I47="denied","Denied",IF(K47=1,"Waitlist",IF(L47=1,"Deferred",IF(G47="pending","Pending",IF(OR(G47="initial materials submitted",G47="mid-year submitted",G47="final submitted"),"Submitted",IF(H47="interest","Interest","?")))))))</f>
        <v>0</v>
      </c>
      <c r="AM47">
        <f>IF(OR(AK47=ReachLabel,AK47=LongshotLabel,AK47=HailMaryLabel),1,0)</f>
        <v>0</v>
      </c>
      <c r="AN47">
        <f>IF(OR(AM47=1,AK47=MatchLabel),1,0)</f>
        <v>0</v>
      </c>
      <c r="AO47">
        <f>IF(OR(AK47=MatchLabel,AK47=SafetyLabel,AK47=SecureLabel,AK47=SureThingLabel),1,0)</f>
        <v>0</v>
      </c>
      <c r="AP47">
        <f>IF(OR(T47="H",T47="B"),IF(ISNUMBER(Y47),ROUND(Y47,2),0),IF(ISNUMBER(X47),ROUND(X47,2),0))</f>
        <v>0</v>
      </c>
      <c r="AQ47">
        <f>IF(AP47&gt;=U47,1,0)</f>
        <v>0</v>
      </c>
      <c r="AR47">
        <f>IF(AP47&gt;=V47,1,0)</f>
        <v>0</v>
      </c>
      <c r="AS47">
        <f>IF(AP47&lt;(U47-0.10),1,0)</f>
        <v>0</v>
      </c>
      <c r="AT47">
        <f>1-AJ47/100</f>
        <v>0</v>
      </c>
      <c r="AU47">
        <f>IF(AN47=1,AT47,1)</f>
        <v>0</v>
      </c>
      <c r="AV47">
        <f>IF(AM47=1,AT47,1)</f>
        <v>0</v>
      </c>
      <c r="AW47">
        <f>IF(AND(AQ47=1,ISNUMBER(AT47)),$AT47,1)</f>
        <v>0</v>
      </c>
      <c r="AX47">
        <f>IF(AND(AR47=1,ISNUMBER(AT47)),$AT47,1)</f>
        <v>0</v>
      </c>
      <c r="AY47">
        <f>IF(ISNUMBER(Y47),INDEX(AllCollegeMoney, MATCH(N47,AllCollegeNCES,0)),0)</f>
        <v>0</v>
      </c>
      <c r="AZ47">
        <f>IF(AND(AQ47=1,ISNUMBER(AT47),AY47=1),$AT47,1)</f>
        <v>0</v>
      </c>
      <c r="BA47">
        <f>IF(AND(AR47=1,ISNUMBER(AT47),AY47=1),$AT47,1)</f>
        <v>0</v>
      </c>
      <c r="BB47">
        <f>IF(ISNUMBER(Y47),INDEX(AllCollegeILPub, MATCH(N47,AllCollegeNCES,0)),0)</f>
        <v>0</v>
      </c>
      <c r="BC47">
        <f>IF(AK47=ReachLabel,AP47,0)</f>
        <v>0</v>
      </c>
      <c r="BD47">
        <f>IF(AK47=MatchLabel,AP47,0)</f>
        <v>0</v>
      </c>
      <c r="BE47">
        <f>IF(AK47=SafetyLabel,AP47,0)</f>
        <v>0</v>
      </c>
      <c r="BF47">
        <f>IF(AK47=SecureLabel,AP47,0)</f>
        <v>0</v>
      </c>
      <c r="BG47">
        <f>IF(AK47=SureThingLabel,AP47,0)</f>
        <v>0</v>
      </c>
      <c r="BH47">
        <f>MAX(BC47:BG47)</f>
        <v>0</v>
      </c>
      <c r="BI47">
        <f>MAX(BD47:BG47)</f>
        <v>0</v>
      </c>
      <c r="BJ47">
        <f>MAX(BE47:BG47)</f>
        <v>0</v>
      </c>
      <c r="BK47">
        <f>IF(AND(AK47=ReachLabel,AY47=1),AP47,0)</f>
        <v>0</v>
      </c>
      <c r="BL47">
        <f>IF(AND(AK47=MatchLabel,AY47=1),AP47,0)</f>
        <v>0</v>
      </c>
      <c r="BM47">
        <f>IF(AND(AK47=SafetyLabel,AY47=1),AP47,0)</f>
        <v>0</v>
      </c>
      <c r="BN47">
        <f>IF(AND(AK47=SecureLabel,AY47=1),AP47,0)</f>
        <v>0</v>
      </c>
      <c r="BO47">
        <f>IF(AND(AK47=SureThingLabel,AY47=1),AP47,0)</f>
        <v>0</v>
      </c>
      <c r="BP47">
        <f>MAX(BK47:BO47)</f>
        <v>0</v>
      </c>
      <c r="BQ47">
        <f>MAX(BL47:BO47)</f>
        <v>0</v>
      </c>
      <c r="BR47">
        <f>MAX(BM47:BO47)</f>
        <v>0</v>
      </c>
      <c r="BS47">
        <f>IF(ISNUMBER(Y47),INDEX(AllCollegeChicago, MATCH(N47,AllCollegeNCES,0))*AY47,0)</f>
        <v>0</v>
      </c>
      <c r="BT47">
        <f>IF(ISNUMBER(Y47),INDEX(AllCollegeMoneyCode, MATCH(N47,AllCollegeNCES,0)),"?")</f>
        <v>0</v>
      </c>
      <c r="BU47">
        <f>IF(OR(BT47="---",BT47="--",BT47="+/--",BT47="+/---"),1,0)</f>
        <v>0</v>
      </c>
      <c r="BV47">
        <f>AY47*AO47*AQ47</f>
        <v>0</v>
      </c>
    </row>
    <row r="48" spans="1:74">
      <c r="A48" t="s">
        <v>86</v>
      </c>
      <c r="B48">
        <v>22165076</v>
      </c>
      <c r="C48" t="s">
        <v>185</v>
      </c>
      <c r="D48" t="s">
        <v>186</v>
      </c>
      <c r="E48" t="s">
        <v>428</v>
      </c>
      <c r="F48" t="s">
        <v>473</v>
      </c>
      <c r="G48" t="s">
        <v>430</v>
      </c>
      <c r="H48" t="s">
        <v>431</v>
      </c>
      <c r="I48" t="s">
        <v>432</v>
      </c>
      <c r="J48" t="s">
        <v>432</v>
      </c>
      <c r="K48">
        <v>0</v>
      </c>
      <c r="L48" t="s">
        <v>428</v>
      </c>
      <c r="M48" t="s">
        <v>428</v>
      </c>
      <c r="N48">
        <v>198419</v>
      </c>
      <c r="O48">
        <f>INDEX(AllCollegeBarrons,MATCH(N48,AllCollegeNCES,0))</f>
        <v>0</v>
      </c>
      <c r="P48">
        <f>INDEX(KidGPAs,MATCH(B48,KidIDs,0))</f>
        <v>0</v>
      </c>
      <c r="Q48">
        <f>INDEX(KidACTs,MATCH(B48,KidIDs,0))</f>
        <v>0</v>
      </c>
      <c r="R48">
        <f>INDEX(Strats,MATCH(B48,KidIDs,0))</f>
        <v>0</v>
      </c>
      <c r="S48">
        <f>INDEX(KidRace,MATCH(B48,KidIDs,0))</f>
        <v>0</v>
      </c>
      <c r="T48">
        <f>IF(OR(S48="M",S48="I"),"H",S48)</f>
        <v>0</v>
      </c>
      <c r="U48">
        <f>INDEX(StudentTargets,MATCH(B48,KidIDs,0))</f>
        <v>0</v>
      </c>
      <c r="V48">
        <f>INDEX(ReachStudentTargets,MATCH(B48,KidIDs,0))</f>
        <v>0</v>
      </c>
      <c r="W48">
        <f>IF(OR(M48="Posse"),1,0)</f>
        <v>0</v>
      </c>
      <c r="X48">
        <f>IF(ISNUMBER(INDEX(AllCollegeGR, MATCH(N48,AllCollegeNCES,0))),ROUND(INDEX(AllCollegeGR, MATCH(N48,AllCollegeNCES,0))+W48*IF(INDEX(AllCollegeGR, MATCH(N48,AllCollegeNCES,0))&gt;0.7,(1-INDEX(AllCollegeGR, MATCH(N48,AllCollegeNCES,0)))/2,0.15),2),INDEX(AllCollegeGR, MATCH(N48,AllCollegeNCES,0)))</f>
        <v>0</v>
      </c>
      <c r="Y48">
        <f>IF(ISNUMBER(INDEX(AllCollegeAAHGR, MATCH(N48,AllCollegeNCES,0))),ROUND(INDEX(AllCollegeAAHGR, MATCH(N48,AllCollegeNCES,0))+W48*IF(INDEX(AllCollegeAAHGR, MATCH(N48,AllCollegeNCES,0))&gt;0.7,(1-INDEX(AllCollegeAAHGR, MATCH(N48,AllCollegeNCES,0)))/2,0.15),2),INDEX(AllCollegeAAHGR, MATCH(N48,AllCollegeNCES,0)))</f>
        <v>0</v>
      </c>
      <c r="Z48">
        <f>IF(OR(T48="H",T48="B"),INDEX(AllCollegeACT25, MATCH(N48,AllCollegeNCES,0)),INDEX(AllCollegeACT50, MATCH(N48,AllCollegeNCES,0)))</f>
        <v>0</v>
      </c>
      <c r="AA48">
        <f>INDEX(CustomWeightsGPA,MATCH(T48&amp;":"&amp;N48,CustomWeightsIndex,0))</f>
        <v>0</v>
      </c>
      <c r="AB48">
        <f>INDEX(CustomWeightsACT,MATCH(T48&amp;":"&amp;N48,CustomWeightsIndex,0))</f>
        <v>0</v>
      </c>
      <c r="AC48">
        <f>INDEX(CustomWeightsIntercept,MATCH(T48&amp;":"&amp;N48,CustomWeightsIndex,0))</f>
        <v>0</v>
      </c>
      <c r="AD48">
        <f>AA48*P48+AB48*Q48+AC48</f>
        <v>0</v>
      </c>
      <c r="AE48">
        <f>INDEX(CoefficientsGPA,MATCH(T48&amp;":"&amp;O48,CoefficientsIndex,0))</f>
        <v>0</v>
      </c>
      <c r="AF48">
        <f>INDEX(CoefficientsACT,MATCH(T48&amp;":"&amp;O48,CoefficientsIndex,0))</f>
        <v>0</v>
      </c>
      <c r="AG48">
        <f>INDEX(CoefficientsIntercept,MATCH(T48&amp;":"&amp;O48,CoefficientsIndex,0))</f>
        <v>0</v>
      </c>
      <c r="AH48">
        <f>AE48*P48+(Q48-Z48)*AF48+AG48</f>
        <v>0</v>
      </c>
      <c r="AI48">
        <f>IF(ISNUMBER(AD48),AD48,AH48)</f>
        <v>0</v>
      </c>
      <c r="AJ48">
        <f>IF(ISNUMBER(AI48),IF(ISNUMBER(AE48),IF(AND(AE48=1,AF48=1,AG48=1),100,ROUND(100*EXP(AI48)/(1+EXP(AI48)),2)),ROUND(100*EXP(AI48)/(1+EXP(AI48)),2)),IF(ISTEXT(O48),IF(LEFT(O48,1)="2",100,"N/A"),"N/A"))</f>
        <v>0</v>
      </c>
      <c r="AK48">
        <f>IF(ISNUMBER(AJ48),IF(AJ48&gt;=99,IF(OR(R48=10,R48=11),MatchLabel,SureThingLabel),IF(AJ48&gt;=95,SecureLabel,IF(AJ48&gt;=80,SafetyLabel,IF(AJ48&gt;=50,MatchLabel,IF(AJ48&gt;=20,ReachLabel,IF(AJ48&gt;=10,LongshotLabel,HailMaryLabel)))))),"Other")</f>
        <v>0</v>
      </c>
      <c r="AL48">
        <f>IF(OR(I48="accepted",I48="cond. accept",I48="summer admit"),IF(J48="yes","CHOICE!","Accepted!"),IF(I48="denied","Denied",IF(K48=1,"Waitlist",IF(L48=1,"Deferred",IF(G48="pending","Pending",IF(OR(G48="initial materials submitted",G48="mid-year submitted",G48="final submitted"),"Submitted",IF(H48="interest","Interest","?")))))))</f>
        <v>0</v>
      </c>
      <c r="AM48">
        <f>IF(OR(AK48=ReachLabel,AK48=LongshotLabel,AK48=HailMaryLabel),1,0)</f>
        <v>0</v>
      </c>
      <c r="AN48">
        <f>IF(OR(AM48=1,AK48=MatchLabel),1,0)</f>
        <v>0</v>
      </c>
      <c r="AO48">
        <f>IF(OR(AK48=MatchLabel,AK48=SafetyLabel,AK48=SecureLabel,AK48=SureThingLabel),1,0)</f>
        <v>0</v>
      </c>
      <c r="AP48">
        <f>IF(OR(T48="H",T48="B"),IF(ISNUMBER(Y48),ROUND(Y48,2),0),IF(ISNUMBER(X48),ROUND(X48,2),0))</f>
        <v>0</v>
      </c>
      <c r="AQ48">
        <f>IF(AP48&gt;=U48,1,0)</f>
        <v>0</v>
      </c>
      <c r="AR48">
        <f>IF(AP48&gt;=V48,1,0)</f>
        <v>0</v>
      </c>
      <c r="AS48">
        <f>IF(AP48&lt;(U48-0.10),1,0)</f>
        <v>0</v>
      </c>
      <c r="AT48">
        <f>1-AJ48/100</f>
        <v>0</v>
      </c>
      <c r="AU48">
        <f>IF(AN48=1,AT48,1)</f>
        <v>0</v>
      </c>
      <c r="AV48">
        <f>IF(AM48=1,AT48,1)</f>
        <v>0</v>
      </c>
      <c r="AW48">
        <f>IF(AND(AQ48=1,ISNUMBER(AT48)),$AT48,1)</f>
        <v>0</v>
      </c>
      <c r="AX48">
        <f>IF(AND(AR48=1,ISNUMBER(AT48)),$AT48,1)</f>
        <v>0</v>
      </c>
      <c r="AY48">
        <f>IF(ISNUMBER(Y48),INDEX(AllCollegeMoney, MATCH(N48,AllCollegeNCES,0)),0)</f>
        <v>0</v>
      </c>
      <c r="AZ48">
        <f>IF(AND(AQ48=1,ISNUMBER(AT48),AY48=1),$AT48,1)</f>
        <v>0</v>
      </c>
      <c r="BA48">
        <f>IF(AND(AR48=1,ISNUMBER(AT48),AY48=1),$AT48,1)</f>
        <v>0</v>
      </c>
      <c r="BB48">
        <f>IF(ISNUMBER(Y48),INDEX(AllCollegeILPub, MATCH(N48,AllCollegeNCES,0)),0)</f>
        <v>0</v>
      </c>
      <c r="BC48">
        <f>IF(AK48=ReachLabel,AP48,0)</f>
        <v>0</v>
      </c>
      <c r="BD48">
        <f>IF(AK48=MatchLabel,AP48,0)</f>
        <v>0</v>
      </c>
      <c r="BE48">
        <f>IF(AK48=SafetyLabel,AP48,0)</f>
        <v>0</v>
      </c>
      <c r="BF48">
        <f>IF(AK48=SecureLabel,AP48,0)</f>
        <v>0</v>
      </c>
      <c r="BG48">
        <f>IF(AK48=SureThingLabel,AP48,0)</f>
        <v>0</v>
      </c>
      <c r="BH48">
        <f>MAX(BC48:BG48)</f>
        <v>0</v>
      </c>
      <c r="BI48">
        <f>MAX(BD48:BG48)</f>
        <v>0</v>
      </c>
      <c r="BJ48">
        <f>MAX(BE48:BG48)</f>
        <v>0</v>
      </c>
      <c r="BK48">
        <f>IF(AND(AK48=ReachLabel,AY48=1),AP48,0)</f>
        <v>0</v>
      </c>
      <c r="BL48">
        <f>IF(AND(AK48=MatchLabel,AY48=1),AP48,0)</f>
        <v>0</v>
      </c>
      <c r="BM48">
        <f>IF(AND(AK48=SafetyLabel,AY48=1),AP48,0)</f>
        <v>0</v>
      </c>
      <c r="BN48">
        <f>IF(AND(AK48=SecureLabel,AY48=1),AP48,0)</f>
        <v>0</v>
      </c>
      <c r="BO48">
        <f>IF(AND(AK48=SureThingLabel,AY48=1),AP48,0)</f>
        <v>0</v>
      </c>
      <c r="BP48">
        <f>MAX(BK48:BO48)</f>
        <v>0</v>
      </c>
      <c r="BQ48">
        <f>MAX(BL48:BO48)</f>
        <v>0</v>
      </c>
      <c r="BR48">
        <f>MAX(BM48:BO48)</f>
        <v>0</v>
      </c>
      <c r="BS48">
        <f>IF(ISNUMBER(Y48),INDEX(AllCollegeChicago, MATCH(N48,AllCollegeNCES,0))*AY48,0)</f>
        <v>0</v>
      </c>
      <c r="BT48">
        <f>IF(ISNUMBER(Y48),INDEX(AllCollegeMoneyCode, MATCH(N48,AllCollegeNCES,0)),"?")</f>
        <v>0</v>
      </c>
      <c r="BU48">
        <f>IF(OR(BT48="---",BT48="--",BT48="+/--",BT48="+/---"),1,0)</f>
        <v>0</v>
      </c>
      <c r="BV48">
        <f>AY48*AO48*AQ48</f>
        <v>0</v>
      </c>
    </row>
    <row r="49" spans="1:74">
      <c r="A49" t="s">
        <v>86</v>
      </c>
      <c r="B49">
        <v>22165076</v>
      </c>
      <c r="C49" t="s">
        <v>185</v>
      </c>
      <c r="D49" t="s">
        <v>186</v>
      </c>
      <c r="E49" t="s">
        <v>428</v>
      </c>
      <c r="F49" t="s">
        <v>474</v>
      </c>
      <c r="G49" t="s">
        <v>430</v>
      </c>
      <c r="H49" t="s">
        <v>431</v>
      </c>
      <c r="I49" t="s">
        <v>432</v>
      </c>
      <c r="J49" t="s">
        <v>432</v>
      </c>
      <c r="K49">
        <v>0</v>
      </c>
      <c r="L49" t="s">
        <v>428</v>
      </c>
      <c r="M49" t="s">
        <v>428</v>
      </c>
      <c r="N49">
        <v>131496</v>
      </c>
      <c r="O49">
        <f>INDEX(AllCollegeBarrons,MATCH(N49,AllCollegeNCES,0))</f>
        <v>0</v>
      </c>
      <c r="P49">
        <f>INDEX(KidGPAs,MATCH(B49,KidIDs,0))</f>
        <v>0</v>
      </c>
      <c r="Q49">
        <f>INDEX(KidACTs,MATCH(B49,KidIDs,0))</f>
        <v>0</v>
      </c>
      <c r="R49">
        <f>INDEX(Strats,MATCH(B49,KidIDs,0))</f>
        <v>0</v>
      </c>
      <c r="S49">
        <f>INDEX(KidRace,MATCH(B49,KidIDs,0))</f>
        <v>0</v>
      </c>
      <c r="T49">
        <f>IF(OR(S49="M",S49="I"),"H",S49)</f>
        <v>0</v>
      </c>
      <c r="U49">
        <f>INDEX(StudentTargets,MATCH(B49,KidIDs,0))</f>
        <v>0</v>
      </c>
      <c r="V49">
        <f>INDEX(ReachStudentTargets,MATCH(B49,KidIDs,0))</f>
        <v>0</v>
      </c>
      <c r="W49">
        <f>IF(OR(M49="Posse"),1,0)</f>
        <v>0</v>
      </c>
      <c r="X49">
        <f>IF(ISNUMBER(INDEX(AllCollegeGR, MATCH(N49,AllCollegeNCES,0))),ROUND(INDEX(AllCollegeGR, MATCH(N49,AllCollegeNCES,0))+W49*IF(INDEX(AllCollegeGR, MATCH(N49,AllCollegeNCES,0))&gt;0.7,(1-INDEX(AllCollegeGR, MATCH(N49,AllCollegeNCES,0)))/2,0.15),2),INDEX(AllCollegeGR, MATCH(N49,AllCollegeNCES,0)))</f>
        <v>0</v>
      </c>
      <c r="Y49">
        <f>IF(ISNUMBER(INDEX(AllCollegeAAHGR, MATCH(N49,AllCollegeNCES,0))),ROUND(INDEX(AllCollegeAAHGR, MATCH(N49,AllCollegeNCES,0))+W49*IF(INDEX(AllCollegeAAHGR, MATCH(N49,AllCollegeNCES,0))&gt;0.7,(1-INDEX(AllCollegeAAHGR, MATCH(N49,AllCollegeNCES,0)))/2,0.15),2),INDEX(AllCollegeAAHGR, MATCH(N49,AllCollegeNCES,0)))</f>
        <v>0</v>
      </c>
      <c r="Z49">
        <f>IF(OR(T49="H",T49="B"),INDEX(AllCollegeACT25, MATCH(N49,AllCollegeNCES,0)),INDEX(AllCollegeACT50, MATCH(N49,AllCollegeNCES,0)))</f>
        <v>0</v>
      </c>
      <c r="AA49">
        <f>INDEX(CustomWeightsGPA,MATCH(T49&amp;":"&amp;N49,CustomWeightsIndex,0))</f>
        <v>0</v>
      </c>
      <c r="AB49">
        <f>INDEX(CustomWeightsACT,MATCH(T49&amp;":"&amp;N49,CustomWeightsIndex,0))</f>
        <v>0</v>
      </c>
      <c r="AC49">
        <f>INDEX(CustomWeightsIntercept,MATCH(T49&amp;":"&amp;N49,CustomWeightsIndex,0))</f>
        <v>0</v>
      </c>
      <c r="AD49">
        <f>AA49*P49+AB49*Q49+AC49</f>
        <v>0</v>
      </c>
      <c r="AE49">
        <f>INDEX(CoefficientsGPA,MATCH(T49&amp;":"&amp;O49,CoefficientsIndex,0))</f>
        <v>0</v>
      </c>
      <c r="AF49">
        <f>INDEX(CoefficientsACT,MATCH(T49&amp;":"&amp;O49,CoefficientsIndex,0))</f>
        <v>0</v>
      </c>
      <c r="AG49">
        <f>INDEX(CoefficientsIntercept,MATCH(T49&amp;":"&amp;O49,CoefficientsIndex,0))</f>
        <v>0</v>
      </c>
      <c r="AH49">
        <f>AE49*P49+(Q49-Z49)*AF49+AG49</f>
        <v>0</v>
      </c>
      <c r="AI49">
        <f>IF(ISNUMBER(AD49),AD49,AH49)</f>
        <v>0</v>
      </c>
      <c r="AJ49">
        <f>IF(ISNUMBER(AI49),IF(ISNUMBER(AE49),IF(AND(AE49=1,AF49=1,AG49=1),100,ROUND(100*EXP(AI49)/(1+EXP(AI49)),2)),ROUND(100*EXP(AI49)/(1+EXP(AI49)),2)),IF(ISTEXT(O49),IF(LEFT(O49,1)="2",100,"N/A"),"N/A"))</f>
        <v>0</v>
      </c>
      <c r="AK49">
        <f>IF(ISNUMBER(AJ49),IF(AJ49&gt;=99,IF(OR(R49=10,R49=11),MatchLabel,SureThingLabel),IF(AJ49&gt;=95,SecureLabel,IF(AJ49&gt;=80,SafetyLabel,IF(AJ49&gt;=50,MatchLabel,IF(AJ49&gt;=20,ReachLabel,IF(AJ49&gt;=10,LongshotLabel,HailMaryLabel)))))),"Other")</f>
        <v>0</v>
      </c>
      <c r="AL49">
        <f>IF(OR(I49="accepted",I49="cond. accept",I49="summer admit"),IF(J49="yes","CHOICE!","Accepted!"),IF(I49="denied","Denied",IF(K49=1,"Waitlist",IF(L49=1,"Deferred",IF(G49="pending","Pending",IF(OR(G49="initial materials submitted",G49="mid-year submitted",G49="final submitted"),"Submitted",IF(H49="interest","Interest","?")))))))</f>
        <v>0</v>
      </c>
      <c r="AM49">
        <f>IF(OR(AK49=ReachLabel,AK49=LongshotLabel,AK49=HailMaryLabel),1,0)</f>
        <v>0</v>
      </c>
      <c r="AN49">
        <f>IF(OR(AM49=1,AK49=MatchLabel),1,0)</f>
        <v>0</v>
      </c>
      <c r="AO49">
        <f>IF(OR(AK49=MatchLabel,AK49=SafetyLabel,AK49=SecureLabel,AK49=SureThingLabel),1,0)</f>
        <v>0</v>
      </c>
      <c r="AP49">
        <f>IF(OR(T49="H",T49="B"),IF(ISNUMBER(Y49),ROUND(Y49,2),0),IF(ISNUMBER(X49),ROUND(X49,2),0))</f>
        <v>0</v>
      </c>
      <c r="AQ49">
        <f>IF(AP49&gt;=U49,1,0)</f>
        <v>0</v>
      </c>
      <c r="AR49">
        <f>IF(AP49&gt;=V49,1,0)</f>
        <v>0</v>
      </c>
      <c r="AS49">
        <f>IF(AP49&lt;(U49-0.10),1,0)</f>
        <v>0</v>
      </c>
      <c r="AT49">
        <f>1-AJ49/100</f>
        <v>0</v>
      </c>
      <c r="AU49">
        <f>IF(AN49=1,AT49,1)</f>
        <v>0</v>
      </c>
      <c r="AV49">
        <f>IF(AM49=1,AT49,1)</f>
        <v>0</v>
      </c>
      <c r="AW49">
        <f>IF(AND(AQ49=1,ISNUMBER(AT49)),$AT49,1)</f>
        <v>0</v>
      </c>
      <c r="AX49">
        <f>IF(AND(AR49=1,ISNUMBER(AT49)),$AT49,1)</f>
        <v>0</v>
      </c>
      <c r="AY49">
        <f>IF(ISNUMBER(Y49),INDEX(AllCollegeMoney, MATCH(N49,AllCollegeNCES,0)),0)</f>
        <v>0</v>
      </c>
      <c r="AZ49">
        <f>IF(AND(AQ49=1,ISNUMBER(AT49),AY49=1),$AT49,1)</f>
        <v>0</v>
      </c>
      <c r="BA49">
        <f>IF(AND(AR49=1,ISNUMBER(AT49),AY49=1),$AT49,1)</f>
        <v>0</v>
      </c>
      <c r="BB49">
        <f>IF(ISNUMBER(Y49),INDEX(AllCollegeILPub, MATCH(N49,AllCollegeNCES,0)),0)</f>
        <v>0</v>
      </c>
      <c r="BC49">
        <f>IF(AK49=ReachLabel,AP49,0)</f>
        <v>0</v>
      </c>
      <c r="BD49">
        <f>IF(AK49=MatchLabel,AP49,0)</f>
        <v>0</v>
      </c>
      <c r="BE49">
        <f>IF(AK49=SafetyLabel,AP49,0)</f>
        <v>0</v>
      </c>
      <c r="BF49">
        <f>IF(AK49=SecureLabel,AP49,0)</f>
        <v>0</v>
      </c>
      <c r="BG49">
        <f>IF(AK49=SureThingLabel,AP49,0)</f>
        <v>0</v>
      </c>
      <c r="BH49">
        <f>MAX(BC49:BG49)</f>
        <v>0</v>
      </c>
      <c r="BI49">
        <f>MAX(BD49:BG49)</f>
        <v>0</v>
      </c>
      <c r="BJ49">
        <f>MAX(BE49:BG49)</f>
        <v>0</v>
      </c>
      <c r="BK49">
        <f>IF(AND(AK49=ReachLabel,AY49=1),AP49,0)</f>
        <v>0</v>
      </c>
      <c r="BL49">
        <f>IF(AND(AK49=MatchLabel,AY49=1),AP49,0)</f>
        <v>0</v>
      </c>
      <c r="BM49">
        <f>IF(AND(AK49=SafetyLabel,AY49=1),AP49,0)</f>
        <v>0</v>
      </c>
      <c r="BN49">
        <f>IF(AND(AK49=SecureLabel,AY49=1),AP49,0)</f>
        <v>0</v>
      </c>
      <c r="BO49">
        <f>IF(AND(AK49=SureThingLabel,AY49=1),AP49,0)</f>
        <v>0</v>
      </c>
      <c r="BP49">
        <f>MAX(BK49:BO49)</f>
        <v>0</v>
      </c>
      <c r="BQ49">
        <f>MAX(BL49:BO49)</f>
        <v>0</v>
      </c>
      <c r="BR49">
        <f>MAX(BM49:BO49)</f>
        <v>0</v>
      </c>
      <c r="BS49">
        <f>IF(ISNUMBER(Y49),INDEX(AllCollegeChicago, MATCH(N49,AllCollegeNCES,0))*AY49,0)</f>
        <v>0</v>
      </c>
      <c r="BT49">
        <f>IF(ISNUMBER(Y49),INDEX(AllCollegeMoneyCode, MATCH(N49,AllCollegeNCES,0)),"?")</f>
        <v>0</v>
      </c>
      <c r="BU49">
        <f>IF(OR(BT49="---",BT49="--",BT49="+/--",BT49="+/---"),1,0)</f>
        <v>0</v>
      </c>
      <c r="BV49">
        <f>AY49*AO49*AQ49</f>
        <v>0</v>
      </c>
    </row>
    <row r="50" spans="1:74">
      <c r="A50" t="s">
        <v>86</v>
      </c>
      <c r="B50">
        <v>22165076</v>
      </c>
      <c r="C50" t="s">
        <v>185</v>
      </c>
      <c r="D50" t="s">
        <v>186</v>
      </c>
      <c r="E50" t="s">
        <v>428</v>
      </c>
      <c r="F50" t="s">
        <v>475</v>
      </c>
      <c r="G50" t="s">
        <v>430</v>
      </c>
      <c r="H50" t="s">
        <v>431</v>
      </c>
      <c r="I50" t="s">
        <v>432</v>
      </c>
      <c r="J50" t="s">
        <v>432</v>
      </c>
      <c r="K50">
        <v>0</v>
      </c>
      <c r="L50" t="s">
        <v>428</v>
      </c>
      <c r="M50" t="s">
        <v>428</v>
      </c>
      <c r="N50">
        <v>179867</v>
      </c>
      <c r="O50">
        <f>INDEX(AllCollegeBarrons,MATCH(N50,AllCollegeNCES,0))</f>
        <v>0</v>
      </c>
      <c r="P50">
        <f>INDEX(KidGPAs,MATCH(B50,KidIDs,0))</f>
        <v>0</v>
      </c>
      <c r="Q50">
        <f>INDEX(KidACTs,MATCH(B50,KidIDs,0))</f>
        <v>0</v>
      </c>
      <c r="R50">
        <f>INDEX(Strats,MATCH(B50,KidIDs,0))</f>
        <v>0</v>
      </c>
      <c r="S50">
        <f>INDEX(KidRace,MATCH(B50,KidIDs,0))</f>
        <v>0</v>
      </c>
      <c r="T50">
        <f>IF(OR(S50="M",S50="I"),"H",S50)</f>
        <v>0</v>
      </c>
      <c r="U50">
        <f>INDEX(StudentTargets,MATCH(B50,KidIDs,0))</f>
        <v>0</v>
      </c>
      <c r="V50">
        <f>INDEX(ReachStudentTargets,MATCH(B50,KidIDs,0))</f>
        <v>0</v>
      </c>
      <c r="W50">
        <f>IF(OR(M50="Posse"),1,0)</f>
        <v>0</v>
      </c>
      <c r="X50">
        <f>IF(ISNUMBER(INDEX(AllCollegeGR, MATCH(N50,AllCollegeNCES,0))),ROUND(INDEX(AllCollegeGR, MATCH(N50,AllCollegeNCES,0))+W50*IF(INDEX(AllCollegeGR, MATCH(N50,AllCollegeNCES,0))&gt;0.7,(1-INDEX(AllCollegeGR, MATCH(N50,AllCollegeNCES,0)))/2,0.15),2),INDEX(AllCollegeGR, MATCH(N50,AllCollegeNCES,0)))</f>
        <v>0</v>
      </c>
      <c r="Y50">
        <f>IF(ISNUMBER(INDEX(AllCollegeAAHGR, MATCH(N50,AllCollegeNCES,0))),ROUND(INDEX(AllCollegeAAHGR, MATCH(N50,AllCollegeNCES,0))+W50*IF(INDEX(AllCollegeAAHGR, MATCH(N50,AllCollegeNCES,0))&gt;0.7,(1-INDEX(AllCollegeAAHGR, MATCH(N50,AllCollegeNCES,0)))/2,0.15),2),INDEX(AllCollegeAAHGR, MATCH(N50,AllCollegeNCES,0)))</f>
        <v>0</v>
      </c>
      <c r="Z50">
        <f>IF(OR(T50="H",T50="B"),INDEX(AllCollegeACT25, MATCH(N50,AllCollegeNCES,0)),INDEX(AllCollegeACT50, MATCH(N50,AllCollegeNCES,0)))</f>
        <v>0</v>
      </c>
      <c r="AA50">
        <f>INDEX(CustomWeightsGPA,MATCH(T50&amp;":"&amp;N50,CustomWeightsIndex,0))</f>
        <v>0</v>
      </c>
      <c r="AB50">
        <f>INDEX(CustomWeightsACT,MATCH(T50&amp;":"&amp;N50,CustomWeightsIndex,0))</f>
        <v>0</v>
      </c>
      <c r="AC50">
        <f>INDEX(CustomWeightsIntercept,MATCH(T50&amp;":"&amp;N50,CustomWeightsIndex,0))</f>
        <v>0</v>
      </c>
      <c r="AD50">
        <f>AA50*P50+AB50*Q50+AC50</f>
        <v>0</v>
      </c>
      <c r="AE50">
        <f>INDEX(CoefficientsGPA,MATCH(T50&amp;":"&amp;O50,CoefficientsIndex,0))</f>
        <v>0</v>
      </c>
      <c r="AF50">
        <f>INDEX(CoefficientsACT,MATCH(T50&amp;":"&amp;O50,CoefficientsIndex,0))</f>
        <v>0</v>
      </c>
      <c r="AG50">
        <f>INDEX(CoefficientsIntercept,MATCH(T50&amp;":"&amp;O50,CoefficientsIndex,0))</f>
        <v>0</v>
      </c>
      <c r="AH50">
        <f>AE50*P50+(Q50-Z50)*AF50+AG50</f>
        <v>0</v>
      </c>
      <c r="AI50">
        <f>IF(ISNUMBER(AD50),AD50,AH50)</f>
        <v>0</v>
      </c>
      <c r="AJ50">
        <f>IF(ISNUMBER(AI50),IF(ISNUMBER(AE50),IF(AND(AE50=1,AF50=1,AG50=1),100,ROUND(100*EXP(AI50)/(1+EXP(AI50)),2)),ROUND(100*EXP(AI50)/(1+EXP(AI50)),2)),IF(ISTEXT(O50),IF(LEFT(O50,1)="2",100,"N/A"),"N/A"))</f>
        <v>0</v>
      </c>
      <c r="AK50">
        <f>IF(ISNUMBER(AJ50),IF(AJ50&gt;=99,IF(OR(R50=10,R50=11),MatchLabel,SureThingLabel),IF(AJ50&gt;=95,SecureLabel,IF(AJ50&gt;=80,SafetyLabel,IF(AJ50&gt;=50,MatchLabel,IF(AJ50&gt;=20,ReachLabel,IF(AJ50&gt;=10,LongshotLabel,HailMaryLabel)))))),"Other")</f>
        <v>0</v>
      </c>
      <c r="AL50">
        <f>IF(OR(I50="accepted",I50="cond. accept",I50="summer admit"),IF(J50="yes","CHOICE!","Accepted!"),IF(I50="denied","Denied",IF(K50=1,"Waitlist",IF(L50=1,"Deferred",IF(G50="pending","Pending",IF(OR(G50="initial materials submitted",G50="mid-year submitted",G50="final submitted"),"Submitted",IF(H50="interest","Interest","?")))))))</f>
        <v>0</v>
      </c>
      <c r="AM50">
        <f>IF(OR(AK50=ReachLabel,AK50=LongshotLabel,AK50=HailMaryLabel),1,0)</f>
        <v>0</v>
      </c>
      <c r="AN50">
        <f>IF(OR(AM50=1,AK50=MatchLabel),1,0)</f>
        <v>0</v>
      </c>
      <c r="AO50">
        <f>IF(OR(AK50=MatchLabel,AK50=SafetyLabel,AK50=SecureLabel,AK50=SureThingLabel),1,0)</f>
        <v>0</v>
      </c>
      <c r="AP50">
        <f>IF(OR(T50="H",T50="B"),IF(ISNUMBER(Y50),ROUND(Y50,2),0),IF(ISNUMBER(X50),ROUND(X50,2),0))</f>
        <v>0</v>
      </c>
      <c r="AQ50">
        <f>IF(AP50&gt;=U50,1,0)</f>
        <v>0</v>
      </c>
      <c r="AR50">
        <f>IF(AP50&gt;=V50,1,0)</f>
        <v>0</v>
      </c>
      <c r="AS50">
        <f>IF(AP50&lt;(U50-0.10),1,0)</f>
        <v>0</v>
      </c>
      <c r="AT50">
        <f>1-AJ50/100</f>
        <v>0</v>
      </c>
      <c r="AU50">
        <f>IF(AN50=1,AT50,1)</f>
        <v>0</v>
      </c>
      <c r="AV50">
        <f>IF(AM50=1,AT50,1)</f>
        <v>0</v>
      </c>
      <c r="AW50">
        <f>IF(AND(AQ50=1,ISNUMBER(AT50)),$AT50,1)</f>
        <v>0</v>
      </c>
      <c r="AX50">
        <f>IF(AND(AR50=1,ISNUMBER(AT50)),$AT50,1)</f>
        <v>0</v>
      </c>
      <c r="AY50">
        <f>IF(ISNUMBER(Y50),INDEX(AllCollegeMoney, MATCH(N50,AllCollegeNCES,0)),0)</f>
        <v>0</v>
      </c>
      <c r="AZ50">
        <f>IF(AND(AQ50=1,ISNUMBER(AT50),AY50=1),$AT50,1)</f>
        <v>0</v>
      </c>
      <c r="BA50">
        <f>IF(AND(AR50=1,ISNUMBER(AT50),AY50=1),$AT50,1)</f>
        <v>0</v>
      </c>
      <c r="BB50">
        <f>IF(ISNUMBER(Y50),INDEX(AllCollegeILPub, MATCH(N50,AllCollegeNCES,0)),0)</f>
        <v>0</v>
      </c>
      <c r="BC50">
        <f>IF(AK50=ReachLabel,AP50,0)</f>
        <v>0</v>
      </c>
      <c r="BD50">
        <f>IF(AK50=MatchLabel,AP50,0)</f>
        <v>0</v>
      </c>
      <c r="BE50">
        <f>IF(AK50=SafetyLabel,AP50,0)</f>
        <v>0</v>
      </c>
      <c r="BF50">
        <f>IF(AK50=SecureLabel,AP50,0)</f>
        <v>0</v>
      </c>
      <c r="BG50">
        <f>IF(AK50=SureThingLabel,AP50,0)</f>
        <v>0</v>
      </c>
      <c r="BH50">
        <f>MAX(BC50:BG50)</f>
        <v>0</v>
      </c>
      <c r="BI50">
        <f>MAX(BD50:BG50)</f>
        <v>0</v>
      </c>
      <c r="BJ50">
        <f>MAX(BE50:BG50)</f>
        <v>0</v>
      </c>
      <c r="BK50">
        <f>IF(AND(AK50=ReachLabel,AY50=1),AP50,0)</f>
        <v>0</v>
      </c>
      <c r="BL50">
        <f>IF(AND(AK50=MatchLabel,AY50=1),AP50,0)</f>
        <v>0</v>
      </c>
      <c r="BM50">
        <f>IF(AND(AK50=SafetyLabel,AY50=1),AP50,0)</f>
        <v>0</v>
      </c>
      <c r="BN50">
        <f>IF(AND(AK50=SecureLabel,AY50=1),AP50,0)</f>
        <v>0</v>
      </c>
      <c r="BO50">
        <f>IF(AND(AK50=SureThingLabel,AY50=1),AP50,0)</f>
        <v>0</v>
      </c>
      <c r="BP50">
        <f>MAX(BK50:BO50)</f>
        <v>0</v>
      </c>
      <c r="BQ50">
        <f>MAX(BL50:BO50)</f>
        <v>0</v>
      </c>
      <c r="BR50">
        <f>MAX(BM50:BO50)</f>
        <v>0</v>
      </c>
      <c r="BS50">
        <f>IF(ISNUMBER(Y50),INDEX(AllCollegeChicago, MATCH(N50,AllCollegeNCES,0))*AY50,0)</f>
        <v>0</v>
      </c>
      <c r="BT50">
        <f>IF(ISNUMBER(Y50),INDEX(AllCollegeMoneyCode, MATCH(N50,AllCollegeNCES,0)),"?")</f>
        <v>0</v>
      </c>
      <c r="BU50">
        <f>IF(OR(BT50="---",BT50="--",BT50="+/--",BT50="+/---"),1,0)</f>
        <v>0</v>
      </c>
      <c r="BV50">
        <f>AY50*AO50*AQ50</f>
        <v>0</v>
      </c>
    </row>
    <row r="51" spans="1:74">
      <c r="A51" t="s">
        <v>86</v>
      </c>
      <c r="B51">
        <v>22165076</v>
      </c>
      <c r="C51" t="s">
        <v>185</v>
      </c>
      <c r="D51" t="s">
        <v>186</v>
      </c>
      <c r="E51" t="s">
        <v>428</v>
      </c>
      <c r="F51" t="s">
        <v>476</v>
      </c>
      <c r="G51" t="s">
        <v>430</v>
      </c>
      <c r="H51" t="s">
        <v>431</v>
      </c>
      <c r="I51" t="s">
        <v>432</v>
      </c>
      <c r="J51" t="s">
        <v>432</v>
      </c>
      <c r="K51">
        <v>0</v>
      </c>
      <c r="L51" t="s">
        <v>428</v>
      </c>
      <c r="M51" t="s">
        <v>428</v>
      </c>
      <c r="N51">
        <v>152080</v>
      </c>
      <c r="O51">
        <f>INDEX(AllCollegeBarrons,MATCH(N51,AllCollegeNCES,0))</f>
        <v>0</v>
      </c>
      <c r="P51">
        <f>INDEX(KidGPAs,MATCH(B51,KidIDs,0))</f>
        <v>0</v>
      </c>
      <c r="Q51">
        <f>INDEX(KidACTs,MATCH(B51,KidIDs,0))</f>
        <v>0</v>
      </c>
      <c r="R51">
        <f>INDEX(Strats,MATCH(B51,KidIDs,0))</f>
        <v>0</v>
      </c>
      <c r="S51">
        <f>INDEX(KidRace,MATCH(B51,KidIDs,0))</f>
        <v>0</v>
      </c>
      <c r="T51">
        <f>IF(OR(S51="M",S51="I"),"H",S51)</f>
        <v>0</v>
      </c>
      <c r="U51">
        <f>INDEX(StudentTargets,MATCH(B51,KidIDs,0))</f>
        <v>0</v>
      </c>
      <c r="V51">
        <f>INDEX(ReachStudentTargets,MATCH(B51,KidIDs,0))</f>
        <v>0</v>
      </c>
      <c r="W51">
        <f>IF(OR(M51="Posse"),1,0)</f>
        <v>0</v>
      </c>
      <c r="X51">
        <f>IF(ISNUMBER(INDEX(AllCollegeGR, MATCH(N51,AllCollegeNCES,0))),ROUND(INDEX(AllCollegeGR, MATCH(N51,AllCollegeNCES,0))+W51*IF(INDEX(AllCollegeGR, MATCH(N51,AllCollegeNCES,0))&gt;0.7,(1-INDEX(AllCollegeGR, MATCH(N51,AllCollegeNCES,0)))/2,0.15),2),INDEX(AllCollegeGR, MATCH(N51,AllCollegeNCES,0)))</f>
        <v>0</v>
      </c>
      <c r="Y51">
        <f>IF(ISNUMBER(INDEX(AllCollegeAAHGR, MATCH(N51,AllCollegeNCES,0))),ROUND(INDEX(AllCollegeAAHGR, MATCH(N51,AllCollegeNCES,0))+W51*IF(INDEX(AllCollegeAAHGR, MATCH(N51,AllCollegeNCES,0))&gt;0.7,(1-INDEX(AllCollegeAAHGR, MATCH(N51,AllCollegeNCES,0)))/2,0.15),2),INDEX(AllCollegeAAHGR, MATCH(N51,AllCollegeNCES,0)))</f>
        <v>0</v>
      </c>
      <c r="Z51">
        <f>IF(OR(T51="H",T51="B"),INDEX(AllCollegeACT25, MATCH(N51,AllCollegeNCES,0)),INDEX(AllCollegeACT50, MATCH(N51,AllCollegeNCES,0)))</f>
        <v>0</v>
      </c>
      <c r="AA51">
        <f>INDEX(CustomWeightsGPA,MATCH(T51&amp;":"&amp;N51,CustomWeightsIndex,0))</f>
        <v>0</v>
      </c>
      <c r="AB51">
        <f>INDEX(CustomWeightsACT,MATCH(T51&amp;":"&amp;N51,CustomWeightsIndex,0))</f>
        <v>0</v>
      </c>
      <c r="AC51">
        <f>INDEX(CustomWeightsIntercept,MATCH(T51&amp;":"&amp;N51,CustomWeightsIndex,0))</f>
        <v>0</v>
      </c>
      <c r="AD51">
        <f>AA51*P51+AB51*Q51+AC51</f>
        <v>0</v>
      </c>
      <c r="AE51">
        <f>INDEX(CoefficientsGPA,MATCH(T51&amp;":"&amp;O51,CoefficientsIndex,0))</f>
        <v>0</v>
      </c>
      <c r="AF51">
        <f>INDEX(CoefficientsACT,MATCH(T51&amp;":"&amp;O51,CoefficientsIndex,0))</f>
        <v>0</v>
      </c>
      <c r="AG51">
        <f>INDEX(CoefficientsIntercept,MATCH(T51&amp;":"&amp;O51,CoefficientsIndex,0))</f>
        <v>0</v>
      </c>
      <c r="AH51">
        <f>AE51*P51+(Q51-Z51)*AF51+AG51</f>
        <v>0</v>
      </c>
      <c r="AI51">
        <f>IF(ISNUMBER(AD51),AD51,AH51)</f>
        <v>0</v>
      </c>
      <c r="AJ51">
        <f>IF(ISNUMBER(AI51),IF(ISNUMBER(AE51),IF(AND(AE51=1,AF51=1,AG51=1),100,ROUND(100*EXP(AI51)/(1+EXP(AI51)),2)),ROUND(100*EXP(AI51)/(1+EXP(AI51)),2)),IF(ISTEXT(O51),IF(LEFT(O51,1)="2",100,"N/A"),"N/A"))</f>
        <v>0</v>
      </c>
      <c r="AK51">
        <f>IF(ISNUMBER(AJ51),IF(AJ51&gt;=99,IF(OR(R51=10,R51=11),MatchLabel,SureThingLabel),IF(AJ51&gt;=95,SecureLabel,IF(AJ51&gt;=80,SafetyLabel,IF(AJ51&gt;=50,MatchLabel,IF(AJ51&gt;=20,ReachLabel,IF(AJ51&gt;=10,LongshotLabel,HailMaryLabel)))))),"Other")</f>
        <v>0</v>
      </c>
      <c r="AL51">
        <f>IF(OR(I51="accepted",I51="cond. accept",I51="summer admit"),IF(J51="yes","CHOICE!","Accepted!"),IF(I51="denied","Denied",IF(K51=1,"Waitlist",IF(L51=1,"Deferred",IF(G51="pending","Pending",IF(OR(G51="initial materials submitted",G51="mid-year submitted",G51="final submitted"),"Submitted",IF(H51="interest","Interest","?")))))))</f>
        <v>0</v>
      </c>
      <c r="AM51">
        <f>IF(OR(AK51=ReachLabel,AK51=LongshotLabel,AK51=HailMaryLabel),1,0)</f>
        <v>0</v>
      </c>
      <c r="AN51">
        <f>IF(OR(AM51=1,AK51=MatchLabel),1,0)</f>
        <v>0</v>
      </c>
      <c r="AO51">
        <f>IF(OR(AK51=MatchLabel,AK51=SafetyLabel,AK51=SecureLabel,AK51=SureThingLabel),1,0)</f>
        <v>0</v>
      </c>
      <c r="AP51">
        <f>IF(OR(T51="H",T51="B"),IF(ISNUMBER(Y51),ROUND(Y51,2),0),IF(ISNUMBER(X51),ROUND(X51,2),0))</f>
        <v>0</v>
      </c>
      <c r="AQ51">
        <f>IF(AP51&gt;=U51,1,0)</f>
        <v>0</v>
      </c>
      <c r="AR51">
        <f>IF(AP51&gt;=V51,1,0)</f>
        <v>0</v>
      </c>
      <c r="AS51">
        <f>IF(AP51&lt;(U51-0.10),1,0)</f>
        <v>0</v>
      </c>
      <c r="AT51">
        <f>1-AJ51/100</f>
        <v>0</v>
      </c>
      <c r="AU51">
        <f>IF(AN51=1,AT51,1)</f>
        <v>0</v>
      </c>
      <c r="AV51">
        <f>IF(AM51=1,AT51,1)</f>
        <v>0</v>
      </c>
      <c r="AW51">
        <f>IF(AND(AQ51=1,ISNUMBER(AT51)),$AT51,1)</f>
        <v>0</v>
      </c>
      <c r="AX51">
        <f>IF(AND(AR51=1,ISNUMBER(AT51)),$AT51,1)</f>
        <v>0</v>
      </c>
      <c r="AY51">
        <f>IF(ISNUMBER(Y51),INDEX(AllCollegeMoney, MATCH(N51,AllCollegeNCES,0)),0)</f>
        <v>0</v>
      </c>
      <c r="AZ51">
        <f>IF(AND(AQ51=1,ISNUMBER(AT51),AY51=1),$AT51,1)</f>
        <v>0</v>
      </c>
      <c r="BA51">
        <f>IF(AND(AR51=1,ISNUMBER(AT51),AY51=1),$AT51,1)</f>
        <v>0</v>
      </c>
      <c r="BB51">
        <f>IF(ISNUMBER(Y51),INDEX(AllCollegeILPub, MATCH(N51,AllCollegeNCES,0)),0)</f>
        <v>0</v>
      </c>
      <c r="BC51">
        <f>IF(AK51=ReachLabel,AP51,0)</f>
        <v>0</v>
      </c>
      <c r="BD51">
        <f>IF(AK51=MatchLabel,AP51,0)</f>
        <v>0</v>
      </c>
      <c r="BE51">
        <f>IF(AK51=SafetyLabel,AP51,0)</f>
        <v>0</v>
      </c>
      <c r="BF51">
        <f>IF(AK51=SecureLabel,AP51,0)</f>
        <v>0</v>
      </c>
      <c r="BG51">
        <f>IF(AK51=SureThingLabel,AP51,0)</f>
        <v>0</v>
      </c>
      <c r="BH51">
        <f>MAX(BC51:BG51)</f>
        <v>0</v>
      </c>
      <c r="BI51">
        <f>MAX(BD51:BG51)</f>
        <v>0</v>
      </c>
      <c r="BJ51">
        <f>MAX(BE51:BG51)</f>
        <v>0</v>
      </c>
      <c r="BK51">
        <f>IF(AND(AK51=ReachLabel,AY51=1),AP51,0)</f>
        <v>0</v>
      </c>
      <c r="BL51">
        <f>IF(AND(AK51=MatchLabel,AY51=1),AP51,0)</f>
        <v>0</v>
      </c>
      <c r="BM51">
        <f>IF(AND(AK51=SafetyLabel,AY51=1),AP51,0)</f>
        <v>0</v>
      </c>
      <c r="BN51">
        <f>IF(AND(AK51=SecureLabel,AY51=1),AP51,0)</f>
        <v>0</v>
      </c>
      <c r="BO51">
        <f>IF(AND(AK51=SureThingLabel,AY51=1),AP51,0)</f>
        <v>0</v>
      </c>
      <c r="BP51">
        <f>MAX(BK51:BO51)</f>
        <v>0</v>
      </c>
      <c r="BQ51">
        <f>MAX(BL51:BO51)</f>
        <v>0</v>
      </c>
      <c r="BR51">
        <f>MAX(BM51:BO51)</f>
        <v>0</v>
      </c>
      <c r="BS51">
        <f>IF(ISNUMBER(Y51),INDEX(AllCollegeChicago, MATCH(N51,AllCollegeNCES,0))*AY51,0)</f>
        <v>0</v>
      </c>
      <c r="BT51">
        <f>IF(ISNUMBER(Y51),INDEX(AllCollegeMoneyCode, MATCH(N51,AllCollegeNCES,0)),"?")</f>
        <v>0</v>
      </c>
      <c r="BU51">
        <f>IF(OR(BT51="---",BT51="--",BT51="+/--",BT51="+/---"),1,0)</f>
        <v>0</v>
      </c>
      <c r="BV51">
        <f>AY51*AO51*AQ51</f>
        <v>0</v>
      </c>
    </row>
    <row r="52" spans="1:74">
      <c r="A52" t="s">
        <v>86</v>
      </c>
      <c r="B52">
        <v>22165076</v>
      </c>
      <c r="C52" t="s">
        <v>185</v>
      </c>
      <c r="D52" t="s">
        <v>186</v>
      </c>
      <c r="E52" t="s">
        <v>428</v>
      </c>
      <c r="F52" t="s">
        <v>477</v>
      </c>
      <c r="G52" t="s">
        <v>430</v>
      </c>
      <c r="H52" t="s">
        <v>431</v>
      </c>
      <c r="I52" t="s">
        <v>432</v>
      </c>
      <c r="J52" t="s">
        <v>432</v>
      </c>
      <c r="K52">
        <v>0</v>
      </c>
      <c r="L52" t="s">
        <v>428</v>
      </c>
      <c r="M52" t="s">
        <v>428</v>
      </c>
      <c r="N52">
        <v>147767</v>
      </c>
      <c r="O52">
        <f>INDEX(AllCollegeBarrons,MATCH(N52,AllCollegeNCES,0))</f>
        <v>0</v>
      </c>
      <c r="P52">
        <f>INDEX(KidGPAs,MATCH(B52,KidIDs,0))</f>
        <v>0</v>
      </c>
      <c r="Q52">
        <f>INDEX(KidACTs,MATCH(B52,KidIDs,0))</f>
        <v>0</v>
      </c>
      <c r="R52">
        <f>INDEX(Strats,MATCH(B52,KidIDs,0))</f>
        <v>0</v>
      </c>
      <c r="S52">
        <f>INDEX(KidRace,MATCH(B52,KidIDs,0))</f>
        <v>0</v>
      </c>
      <c r="T52">
        <f>IF(OR(S52="M",S52="I"),"H",S52)</f>
        <v>0</v>
      </c>
      <c r="U52">
        <f>INDEX(StudentTargets,MATCH(B52,KidIDs,0))</f>
        <v>0</v>
      </c>
      <c r="V52">
        <f>INDEX(ReachStudentTargets,MATCH(B52,KidIDs,0))</f>
        <v>0</v>
      </c>
      <c r="W52">
        <f>IF(OR(M52="Posse"),1,0)</f>
        <v>0</v>
      </c>
      <c r="X52">
        <f>IF(ISNUMBER(INDEX(AllCollegeGR, MATCH(N52,AllCollegeNCES,0))),ROUND(INDEX(AllCollegeGR, MATCH(N52,AllCollegeNCES,0))+W52*IF(INDEX(AllCollegeGR, MATCH(N52,AllCollegeNCES,0))&gt;0.7,(1-INDEX(AllCollegeGR, MATCH(N52,AllCollegeNCES,0)))/2,0.15),2),INDEX(AllCollegeGR, MATCH(N52,AllCollegeNCES,0)))</f>
        <v>0</v>
      </c>
      <c r="Y52">
        <f>IF(ISNUMBER(INDEX(AllCollegeAAHGR, MATCH(N52,AllCollegeNCES,0))),ROUND(INDEX(AllCollegeAAHGR, MATCH(N52,AllCollegeNCES,0))+W52*IF(INDEX(AllCollegeAAHGR, MATCH(N52,AllCollegeNCES,0))&gt;0.7,(1-INDEX(AllCollegeAAHGR, MATCH(N52,AllCollegeNCES,0)))/2,0.15),2),INDEX(AllCollegeAAHGR, MATCH(N52,AllCollegeNCES,0)))</f>
        <v>0</v>
      </c>
      <c r="Z52">
        <f>IF(OR(T52="H",T52="B"),INDEX(AllCollegeACT25, MATCH(N52,AllCollegeNCES,0)),INDEX(AllCollegeACT50, MATCH(N52,AllCollegeNCES,0)))</f>
        <v>0</v>
      </c>
      <c r="AA52">
        <f>INDEX(CustomWeightsGPA,MATCH(T52&amp;":"&amp;N52,CustomWeightsIndex,0))</f>
        <v>0</v>
      </c>
      <c r="AB52">
        <f>INDEX(CustomWeightsACT,MATCH(T52&amp;":"&amp;N52,CustomWeightsIndex,0))</f>
        <v>0</v>
      </c>
      <c r="AC52">
        <f>INDEX(CustomWeightsIntercept,MATCH(T52&amp;":"&amp;N52,CustomWeightsIndex,0))</f>
        <v>0</v>
      </c>
      <c r="AD52">
        <f>AA52*P52+AB52*Q52+AC52</f>
        <v>0</v>
      </c>
      <c r="AE52">
        <f>INDEX(CoefficientsGPA,MATCH(T52&amp;":"&amp;O52,CoefficientsIndex,0))</f>
        <v>0</v>
      </c>
      <c r="AF52">
        <f>INDEX(CoefficientsACT,MATCH(T52&amp;":"&amp;O52,CoefficientsIndex,0))</f>
        <v>0</v>
      </c>
      <c r="AG52">
        <f>INDEX(CoefficientsIntercept,MATCH(T52&amp;":"&amp;O52,CoefficientsIndex,0))</f>
        <v>0</v>
      </c>
      <c r="AH52">
        <f>AE52*P52+(Q52-Z52)*AF52+AG52</f>
        <v>0</v>
      </c>
      <c r="AI52">
        <f>IF(ISNUMBER(AD52),AD52,AH52)</f>
        <v>0</v>
      </c>
      <c r="AJ52">
        <f>IF(ISNUMBER(AI52),IF(ISNUMBER(AE52),IF(AND(AE52=1,AF52=1,AG52=1),100,ROUND(100*EXP(AI52)/(1+EXP(AI52)),2)),ROUND(100*EXP(AI52)/(1+EXP(AI52)),2)),IF(ISTEXT(O52),IF(LEFT(O52,1)="2",100,"N/A"),"N/A"))</f>
        <v>0</v>
      </c>
      <c r="AK52">
        <f>IF(ISNUMBER(AJ52),IF(AJ52&gt;=99,IF(OR(R52=10,R52=11),MatchLabel,SureThingLabel),IF(AJ52&gt;=95,SecureLabel,IF(AJ52&gt;=80,SafetyLabel,IF(AJ52&gt;=50,MatchLabel,IF(AJ52&gt;=20,ReachLabel,IF(AJ52&gt;=10,LongshotLabel,HailMaryLabel)))))),"Other")</f>
        <v>0</v>
      </c>
      <c r="AL52">
        <f>IF(OR(I52="accepted",I52="cond. accept",I52="summer admit"),IF(J52="yes","CHOICE!","Accepted!"),IF(I52="denied","Denied",IF(K52=1,"Waitlist",IF(L52=1,"Deferred",IF(G52="pending","Pending",IF(OR(G52="initial materials submitted",G52="mid-year submitted",G52="final submitted"),"Submitted",IF(H52="interest","Interest","?")))))))</f>
        <v>0</v>
      </c>
      <c r="AM52">
        <f>IF(OR(AK52=ReachLabel,AK52=LongshotLabel,AK52=HailMaryLabel),1,0)</f>
        <v>0</v>
      </c>
      <c r="AN52">
        <f>IF(OR(AM52=1,AK52=MatchLabel),1,0)</f>
        <v>0</v>
      </c>
      <c r="AO52">
        <f>IF(OR(AK52=MatchLabel,AK52=SafetyLabel,AK52=SecureLabel,AK52=SureThingLabel),1,0)</f>
        <v>0</v>
      </c>
      <c r="AP52">
        <f>IF(OR(T52="H",T52="B"),IF(ISNUMBER(Y52),ROUND(Y52,2),0),IF(ISNUMBER(X52),ROUND(X52,2),0))</f>
        <v>0</v>
      </c>
      <c r="AQ52">
        <f>IF(AP52&gt;=U52,1,0)</f>
        <v>0</v>
      </c>
      <c r="AR52">
        <f>IF(AP52&gt;=V52,1,0)</f>
        <v>0</v>
      </c>
      <c r="AS52">
        <f>IF(AP52&lt;(U52-0.10),1,0)</f>
        <v>0</v>
      </c>
      <c r="AT52">
        <f>1-AJ52/100</f>
        <v>0</v>
      </c>
      <c r="AU52">
        <f>IF(AN52=1,AT52,1)</f>
        <v>0</v>
      </c>
      <c r="AV52">
        <f>IF(AM52=1,AT52,1)</f>
        <v>0</v>
      </c>
      <c r="AW52">
        <f>IF(AND(AQ52=1,ISNUMBER(AT52)),$AT52,1)</f>
        <v>0</v>
      </c>
      <c r="AX52">
        <f>IF(AND(AR52=1,ISNUMBER(AT52)),$AT52,1)</f>
        <v>0</v>
      </c>
      <c r="AY52">
        <f>IF(ISNUMBER(Y52),INDEX(AllCollegeMoney, MATCH(N52,AllCollegeNCES,0)),0)</f>
        <v>0</v>
      </c>
      <c r="AZ52">
        <f>IF(AND(AQ52=1,ISNUMBER(AT52),AY52=1),$AT52,1)</f>
        <v>0</v>
      </c>
      <c r="BA52">
        <f>IF(AND(AR52=1,ISNUMBER(AT52),AY52=1),$AT52,1)</f>
        <v>0</v>
      </c>
      <c r="BB52">
        <f>IF(ISNUMBER(Y52),INDEX(AllCollegeILPub, MATCH(N52,AllCollegeNCES,0)),0)</f>
        <v>0</v>
      </c>
      <c r="BC52">
        <f>IF(AK52=ReachLabel,AP52,0)</f>
        <v>0</v>
      </c>
      <c r="BD52">
        <f>IF(AK52=MatchLabel,AP52,0)</f>
        <v>0</v>
      </c>
      <c r="BE52">
        <f>IF(AK52=SafetyLabel,AP52,0)</f>
        <v>0</v>
      </c>
      <c r="BF52">
        <f>IF(AK52=SecureLabel,AP52,0)</f>
        <v>0</v>
      </c>
      <c r="BG52">
        <f>IF(AK52=SureThingLabel,AP52,0)</f>
        <v>0</v>
      </c>
      <c r="BH52">
        <f>MAX(BC52:BG52)</f>
        <v>0</v>
      </c>
      <c r="BI52">
        <f>MAX(BD52:BG52)</f>
        <v>0</v>
      </c>
      <c r="BJ52">
        <f>MAX(BE52:BG52)</f>
        <v>0</v>
      </c>
      <c r="BK52">
        <f>IF(AND(AK52=ReachLabel,AY52=1),AP52,0)</f>
        <v>0</v>
      </c>
      <c r="BL52">
        <f>IF(AND(AK52=MatchLabel,AY52=1),AP52,0)</f>
        <v>0</v>
      </c>
      <c r="BM52">
        <f>IF(AND(AK52=SafetyLabel,AY52=1),AP52,0)</f>
        <v>0</v>
      </c>
      <c r="BN52">
        <f>IF(AND(AK52=SecureLabel,AY52=1),AP52,0)</f>
        <v>0</v>
      </c>
      <c r="BO52">
        <f>IF(AND(AK52=SureThingLabel,AY52=1),AP52,0)</f>
        <v>0</v>
      </c>
      <c r="BP52">
        <f>MAX(BK52:BO52)</f>
        <v>0</v>
      </c>
      <c r="BQ52">
        <f>MAX(BL52:BO52)</f>
        <v>0</v>
      </c>
      <c r="BR52">
        <f>MAX(BM52:BO52)</f>
        <v>0</v>
      </c>
      <c r="BS52">
        <f>IF(ISNUMBER(Y52),INDEX(AllCollegeChicago, MATCH(N52,AllCollegeNCES,0))*AY52,0)</f>
        <v>0</v>
      </c>
      <c r="BT52">
        <f>IF(ISNUMBER(Y52),INDEX(AllCollegeMoneyCode, MATCH(N52,AllCollegeNCES,0)),"?")</f>
        <v>0</v>
      </c>
      <c r="BU52">
        <f>IF(OR(BT52="---",BT52="--",BT52="+/--",BT52="+/---"),1,0)</f>
        <v>0</v>
      </c>
      <c r="BV52">
        <f>AY52*AO52*AQ52</f>
        <v>0</v>
      </c>
    </row>
    <row r="53" spans="1:74">
      <c r="A53" t="s">
        <v>86</v>
      </c>
      <c r="B53">
        <v>22165076</v>
      </c>
      <c r="C53" t="s">
        <v>185</v>
      </c>
      <c r="D53" t="s">
        <v>186</v>
      </c>
      <c r="E53" t="s">
        <v>428</v>
      </c>
      <c r="F53" t="s">
        <v>478</v>
      </c>
      <c r="G53" t="s">
        <v>430</v>
      </c>
      <c r="H53" t="s">
        <v>431</v>
      </c>
      <c r="I53" t="s">
        <v>432</v>
      </c>
      <c r="J53" t="s">
        <v>432</v>
      </c>
      <c r="K53">
        <v>0</v>
      </c>
      <c r="L53" t="s">
        <v>428</v>
      </c>
      <c r="M53" t="s">
        <v>428</v>
      </c>
      <c r="N53">
        <v>221999</v>
      </c>
      <c r="O53">
        <f>INDEX(AllCollegeBarrons,MATCH(N53,AllCollegeNCES,0))</f>
        <v>0</v>
      </c>
      <c r="P53">
        <f>INDEX(KidGPAs,MATCH(B53,KidIDs,0))</f>
        <v>0</v>
      </c>
      <c r="Q53">
        <f>INDEX(KidACTs,MATCH(B53,KidIDs,0))</f>
        <v>0</v>
      </c>
      <c r="R53">
        <f>INDEX(Strats,MATCH(B53,KidIDs,0))</f>
        <v>0</v>
      </c>
      <c r="S53">
        <f>INDEX(KidRace,MATCH(B53,KidIDs,0))</f>
        <v>0</v>
      </c>
      <c r="T53">
        <f>IF(OR(S53="M",S53="I"),"H",S53)</f>
        <v>0</v>
      </c>
      <c r="U53">
        <f>INDEX(StudentTargets,MATCH(B53,KidIDs,0))</f>
        <v>0</v>
      </c>
      <c r="V53">
        <f>INDEX(ReachStudentTargets,MATCH(B53,KidIDs,0))</f>
        <v>0</v>
      </c>
      <c r="W53">
        <f>IF(OR(M53="Posse"),1,0)</f>
        <v>0</v>
      </c>
      <c r="X53">
        <f>IF(ISNUMBER(INDEX(AllCollegeGR, MATCH(N53,AllCollegeNCES,0))),ROUND(INDEX(AllCollegeGR, MATCH(N53,AllCollegeNCES,0))+W53*IF(INDEX(AllCollegeGR, MATCH(N53,AllCollegeNCES,0))&gt;0.7,(1-INDEX(AllCollegeGR, MATCH(N53,AllCollegeNCES,0)))/2,0.15),2),INDEX(AllCollegeGR, MATCH(N53,AllCollegeNCES,0)))</f>
        <v>0</v>
      </c>
      <c r="Y53">
        <f>IF(ISNUMBER(INDEX(AllCollegeAAHGR, MATCH(N53,AllCollegeNCES,0))),ROUND(INDEX(AllCollegeAAHGR, MATCH(N53,AllCollegeNCES,0))+W53*IF(INDEX(AllCollegeAAHGR, MATCH(N53,AllCollegeNCES,0))&gt;0.7,(1-INDEX(AllCollegeAAHGR, MATCH(N53,AllCollegeNCES,0)))/2,0.15),2),INDEX(AllCollegeAAHGR, MATCH(N53,AllCollegeNCES,0)))</f>
        <v>0</v>
      </c>
      <c r="Z53">
        <f>IF(OR(T53="H",T53="B"),INDEX(AllCollegeACT25, MATCH(N53,AllCollegeNCES,0)),INDEX(AllCollegeACT50, MATCH(N53,AllCollegeNCES,0)))</f>
        <v>0</v>
      </c>
      <c r="AA53">
        <f>INDEX(CustomWeightsGPA,MATCH(T53&amp;":"&amp;N53,CustomWeightsIndex,0))</f>
        <v>0</v>
      </c>
      <c r="AB53">
        <f>INDEX(CustomWeightsACT,MATCH(T53&amp;":"&amp;N53,CustomWeightsIndex,0))</f>
        <v>0</v>
      </c>
      <c r="AC53">
        <f>INDEX(CustomWeightsIntercept,MATCH(T53&amp;":"&amp;N53,CustomWeightsIndex,0))</f>
        <v>0</v>
      </c>
      <c r="AD53">
        <f>AA53*P53+AB53*Q53+AC53</f>
        <v>0</v>
      </c>
      <c r="AE53">
        <f>INDEX(CoefficientsGPA,MATCH(T53&amp;":"&amp;O53,CoefficientsIndex,0))</f>
        <v>0</v>
      </c>
      <c r="AF53">
        <f>INDEX(CoefficientsACT,MATCH(T53&amp;":"&amp;O53,CoefficientsIndex,0))</f>
        <v>0</v>
      </c>
      <c r="AG53">
        <f>INDEX(CoefficientsIntercept,MATCH(T53&amp;":"&amp;O53,CoefficientsIndex,0))</f>
        <v>0</v>
      </c>
      <c r="AH53">
        <f>AE53*P53+(Q53-Z53)*AF53+AG53</f>
        <v>0</v>
      </c>
      <c r="AI53">
        <f>IF(ISNUMBER(AD53),AD53,AH53)</f>
        <v>0</v>
      </c>
      <c r="AJ53">
        <f>IF(ISNUMBER(AI53),IF(ISNUMBER(AE53),IF(AND(AE53=1,AF53=1,AG53=1),100,ROUND(100*EXP(AI53)/(1+EXP(AI53)),2)),ROUND(100*EXP(AI53)/(1+EXP(AI53)),2)),IF(ISTEXT(O53),IF(LEFT(O53,1)="2",100,"N/A"),"N/A"))</f>
        <v>0</v>
      </c>
      <c r="AK53">
        <f>IF(ISNUMBER(AJ53),IF(AJ53&gt;=99,IF(OR(R53=10,R53=11),MatchLabel,SureThingLabel),IF(AJ53&gt;=95,SecureLabel,IF(AJ53&gt;=80,SafetyLabel,IF(AJ53&gt;=50,MatchLabel,IF(AJ53&gt;=20,ReachLabel,IF(AJ53&gt;=10,LongshotLabel,HailMaryLabel)))))),"Other")</f>
        <v>0</v>
      </c>
      <c r="AL53">
        <f>IF(OR(I53="accepted",I53="cond. accept",I53="summer admit"),IF(J53="yes","CHOICE!","Accepted!"),IF(I53="denied","Denied",IF(K53=1,"Waitlist",IF(L53=1,"Deferred",IF(G53="pending","Pending",IF(OR(G53="initial materials submitted",G53="mid-year submitted",G53="final submitted"),"Submitted",IF(H53="interest","Interest","?")))))))</f>
        <v>0</v>
      </c>
      <c r="AM53">
        <f>IF(OR(AK53=ReachLabel,AK53=LongshotLabel,AK53=HailMaryLabel),1,0)</f>
        <v>0</v>
      </c>
      <c r="AN53">
        <f>IF(OR(AM53=1,AK53=MatchLabel),1,0)</f>
        <v>0</v>
      </c>
      <c r="AO53">
        <f>IF(OR(AK53=MatchLabel,AK53=SafetyLabel,AK53=SecureLabel,AK53=SureThingLabel),1,0)</f>
        <v>0</v>
      </c>
      <c r="AP53">
        <f>IF(OR(T53="H",T53="B"),IF(ISNUMBER(Y53),ROUND(Y53,2),0),IF(ISNUMBER(X53),ROUND(X53,2),0))</f>
        <v>0</v>
      </c>
      <c r="AQ53">
        <f>IF(AP53&gt;=U53,1,0)</f>
        <v>0</v>
      </c>
      <c r="AR53">
        <f>IF(AP53&gt;=V53,1,0)</f>
        <v>0</v>
      </c>
      <c r="AS53">
        <f>IF(AP53&lt;(U53-0.10),1,0)</f>
        <v>0</v>
      </c>
      <c r="AT53">
        <f>1-AJ53/100</f>
        <v>0</v>
      </c>
      <c r="AU53">
        <f>IF(AN53=1,AT53,1)</f>
        <v>0</v>
      </c>
      <c r="AV53">
        <f>IF(AM53=1,AT53,1)</f>
        <v>0</v>
      </c>
      <c r="AW53">
        <f>IF(AND(AQ53=1,ISNUMBER(AT53)),$AT53,1)</f>
        <v>0</v>
      </c>
      <c r="AX53">
        <f>IF(AND(AR53=1,ISNUMBER(AT53)),$AT53,1)</f>
        <v>0</v>
      </c>
      <c r="AY53">
        <f>IF(ISNUMBER(Y53),INDEX(AllCollegeMoney, MATCH(N53,AllCollegeNCES,0)),0)</f>
        <v>0</v>
      </c>
      <c r="AZ53">
        <f>IF(AND(AQ53=1,ISNUMBER(AT53),AY53=1),$AT53,1)</f>
        <v>0</v>
      </c>
      <c r="BA53">
        <f>IF(AND(AR53=1,ISNUMBER(AT53),AY53=1),$AT53,1)</f>
        <v>0</v>
      </c>
      <c r="BB53">
        <f>IF(ISNUMBER(Y53),INDEX(AllCollegeILPub, MATCH(N53,AllCollegeNCES,0)),0)</f>
        <v>0</v>
      </c>
      <c r="BC53">
        <f>IF(AK53=ReachLabel,AP53,0)</f>
        <v>0</v>
      </c>
      <c r="BD53">
        <f>IF(AK53=MatchLabel,AP53,0)</f>
        <v>0</v>
      </c>
      <c r="BE53">
        <f>IF(AK53=SafetyLabel,AP53,0)</f>
        <v>0</v>
      </c>
      <c r="BF53">
        <f>IF(AK53=SecureLabel,AP53,0)</f>
        <v>0</v>
      </c>
      <c r="BG53">
        <f>IF(AK53=SureThingLabel,AP53,0)</f>
        <v>0</v>
      </c>
      <c r="BH53">
        <f>MAX(BC53:BG53)</f>
        <v>0</v>
      </c>
      <c r="BI53">
        <f>MAX(BD53:BG53)</f>
        <v>0</v>
      </c>
      <c r="BJ53">
        <f>MAX(BE53:BG53)</f>
        <v>0</v>
      </c>
      <c r="BK53">
        <f>IF(AND(AK53=ReachLabel,AY53=1),AP53,0)</f>
        <v>0</v>
      </c>
      <c r="BL53">
        <f>IF(AND(AK53=MatchLabel,AY53=1),AP53,0)</f>
        <v>0</v>
      </c>
      <c r="BM53">
        <f>IF(AND(AK53=SafetyLabel,AY53=1),AP53,0)</f>
        <v>0</v>
      </c>
      <c r="BN53">
        <f>IF(AND(AK53=SecureLabel,AY53=1),AP53,0)</f>
        <v>0</v>
      </c>
      <c r="BO53">
        <f>IF(AND(AK53=SureThingLabel,AY53=1),AP53,0)</f>
        <v>0</v>
      </c>
      <c r="BP53">
        <f>MAX(BK53:BO53)</f>
        <v>0</v>
      </c>
      <c r="BQ53">
        <f>MAX(BL53:BO53)</f>
        <v>0</v>
      </c>
      <c r="BR53">
        <f>MAX(BM53:BO53)</f>
        <v>0</v>
      </c>
      <c r="BS53">
        <f>IF(ISNUMBER(Y53),INDEX(AllCollegeChicago, MATCH(N53,AllCollegeNCES,0))*AY53,0)</f>
        <v>0</v>
      </c>
      <c r="BT53">
        <f>IF(ISNUMBER(Y53),INDEX(AllCollegeMoneyCode, MATCH(N53,AllCollegeNCES,0)),"?")</f>
        <v>0</v>
      </c>
      <c r="BU53">
        <f>IF(OR(BT53="---",BT53="--",BT53="+/--",BT53="+/---"),1,0)</f>
        <v>0</v>
      </c>
      <c r="BV53">
        <f>AY53*AO53*AQ53</f>
        <v>0</v>
      </c>
    </row>
    <row r="54" spans="1:74">
      <c r="A54" t="s">
        <v>86</v>
      </c>
      <c r="B54">
        <v>22165076</v>
      </c>
      <c r="C54" t="s">
        <v>185</v>
      </c>
      <c r="D54" t="s">
        <v>186</v>
      </c>
      <c r="E54" t="s">
        <v>428</v>
      </c>
      <c r="F54" t="s">
        <v>479</v>
      </c>
      <c r="G54" t="s">
        <v>430</v>
      </c>
      <c r="H54" t="s">
        <v>431</v>
      </c>
      <c r="I54" t="s">
        <v>432</v>
      </c>
      <c r="J54" t="s">
        <v>432</v>
      </c>
      <c r="K54">
        <v>0</v>
      </c>
      <c r="L54" t="s">
        <v>428</v>
      </c>
      <c r="M54" t="s">
        <v>428</v>
      </c>
      <c r="N54">
        <v>216287</v>
      </c>
      <c r="O54">
        <f>INDEX(AllCollegeBarrons,MATCH(N54,AllCollegeNCES,0))</f>
        <v>0</v>
      </c>
      <c r="P54">
        <f>INDEX(KidGPAs,MATCH(B54,KidIDs,0))</f>
        <v>0</v>
      </c>
      <c r="Q54">
        <f>INDEX(KidACTs,MATCH(B54,KidIDs,0))</f>
        <v>0</v>
      </c>
      <c r="R54">
        <f>INDEX(Strats,MATCH(B54,KidIDs,0))</f>
        <v>0</v>
      </c>
      <c r="S54">
        <f>INDEX(KidRace,MATCH(B54,KidIDs,0))</f>
        <v>0</v>
      </c>
      <c r="T54">
        <f>IF(OR(S54="M",S54="I"),"H",S54)</f>
        <v>0</v>
      </c>
      <c r="U54">
        <f>INDEX(StudentTargets,MATCH(B54,KidIDs,0))</f>
        <v>0</v>
      </c>
      <c r="V54">
        <f>INDEX(ReachStudentTargets,MATCH(B54,KidIDs,0))</f>
        <v>0</v>
      </c>
      <c r="W54">
        <f>IF(OR(M54="Posse"),1,0)</f>
        <v>0</v>
      </c>
      <c r="X54">
        <f>IF(ISNUMBER(INDEX(AllCollegeGR, MATCH(N54,AllCollegeNCES,0))),ROUND(INDEX(AllCollegeGR, MATCH(N54,AllCollegeNCES,0))+W54*IF(INDEX(AllCollegeGR, MATCH(N54,AllCollegeNCES,0))&gt;0.7,(1-INDEX(AllCollegeGR, MATCH(N54,AllCollegeNCES,0)))/2,0.15),2),INDEX(AllCollegeGR, MATCH(N54,AllCollegeNCES,0)))</f>
        <v>0</v>
      </c>
      <c r="Y54">
        <f>IF(ISNUMBER(INDEX(AllCollegeAAHGR, MATCH(N54,AllCollegeNCES,0))),ROUND(INDEX(AllCollegeAAHGR, MATCH(N54,AllCollegeNCES,0))+W54*IF(INDEX(AllCollegeAAHGR, MATCH(N54,AllCollegeNCES,0))&gt;0.7,(1-INDEX(AllCollegeAAHGR, MATCH(N54,AllCollegeNCES,0)))/2,0.15),2),INDEX(AllCollegeAAHGR, MATCH(N54,AllCollegeNCES,0)))</f>
        <v>0</v>
      </c>
      <c r="Z54">
        <f>IF(OR(T54="H",T54="B"),INDEX(AllCollegeACT25, MATCH(N54,AllCollegeNCES,0)),INDEX(AllCollegeACT50, MATCH(N54,AllCollegeNCES,0)))</f>
        <v>0</v>
      </c>
      <c r="AA54">
        <f>INDEX(CustomWeightsGPA,MATCH(T54&amp;":"&amp;N54,CustomWeightsIndex,0))</f>
        <v>0</v>
      </c>
      <c r="AB54">
        <f>INDEX(CustomWeightsACT,MATCH(T54&amp;":"&amp;N54,CustomWeightsIndex,0))</f>
        <v>0</v>
      </c>
      <c r="AC54">
        <f>INDEX(CustomWeightsIntercept,MATCH(T54&amp;":"&amp;N54,CustomWeightsIndex,0))</f>
        <v>0</v>
      </c>
      <c r="AD54">
        <f>AA54*P54+AB54*Q54+AC54</f>
        <v>0</v>
      </c>
      <c r="AE54">
        <f>INDEX(CoefficientsGPA,MATCH(T54&amp;":"&amp;O54,CoefficientsIndex,0))</f>
        <v>0</v>
      </c>
      <c r="AF54">
        <f>INDEX(CoefficientsACT,MATCH(T54&amp;":"&amp;O54,CoefficientsIndex,0))</f>
        <v>0</v>
      </c>
      <c r="AG54">
        <f>INDEX(CoefficientsIntercept,MATCH(T54&amp;":"&amp;O54,CoefficientsIndex,0))</f>
        <v>0</v>
      </c>
      <c r="AH54">
        <f>AE54*P54+(Q54-Z54)*AF54+AG54</f>
        <v>0</v>
      </c>
      <c r="AI54">
        <f>IF(ISNUMBER(AD54),AD54,AH54)</f>
        <v>0</v>
      </c>
      <c r="AJ54">
        <f>IF(ISNUMBER(AI54),IF(ISNUMBER(AE54),IF(AND(AE54=1,AF54=1,AG54=1),100,ROUND(100*EXP(AI54)/(1+EXP(AI54)),2)),ROUND(100*EXP(AI54)/(1+EXP(AI54)),2)),IF(ISTEXT(O54),IF(LEFT(O54,1)="2",100,"N/A"),"N/A"))</f>
        <v>0</v>
      </c>
      <c r="AK54">
        <f>IF(ISNUMBER(AJ54),IF(AJ54&gt;=99,IF(OR(R54=10,R54=11),MatchLabel,SureThingLabel),IF(AJ54&gt;=95,SecureLabel,IF(AJ54&gt;=80,SafetyLabel,IF(AJ54&gt;=50,MatchLabel,IF(AJ54&gt;=20,ReachLabel,IF(AJ54&gt;=10,LongshotLabel,HailMaryLabel)))))),"Other")</f>
        <v>0</v>
      </c>
      <c r="AL54">
        <f>IF(OR(I54="accepted",I54="cond. accept",I54="summer admit"),IF(J54="yes","CHOICE!","Accepted!"),IF(I54="denied","Denied",IF(K54=1,"Waitlist",IF(L54=1,"Deferred",IF(G54="pending","Pending",IF(OR(G54="initial materials submitted",G54="mid-year submitted",G54="final submitted"),"Submitted",IF(H54="interest","Interest","?")))))))</f>
        <v>0</v>
      </c>
      <c r="AM54">
        <f>IF(OR(AK54=ReachLabel,AK54=LongshotLabel,AK54=HailMaryLabel),1,0)</f>
        <v>0</v>
      </c>
      <c r="AN54">
        <f>IF(OR(AM54=1,AK54=MatchLabel),1,0)</f>
        <v>0</v>
      </c>
      <c r="AO54">
        <f>IF(OR(AK54=MatchLabel,AK54=SafetyLabel,AK54=SecureLabel,AK54=SureThingLabel),1,0)</f>
        <v>0</v>
      </c>
      <c r="AP54">
        <f>IF(OR(T54="H",T54="B"),IF(ISNUMBER(Y54),ROUND(Y54,2),0),IF(ISNUMBER(X54),ROUND(X54,2),0))</f>
        <v>0</v>
      </c>
      <c r="AQ54">
        <f>IF(AP54&gt;=U54,1,0)</f>
        <v>0</v>
      </c>
      <c r="AR54">
        <f>IF(AP54&gt;=V54,1,0)</f>
        <v>0</v>
      </c>
      <c r="AS54">
        <f>IF(AP54&lt;(U54-0.10),1,0)</f>
        <v>0</v>
      </c>
      <c r="AT54">
        <f>1-AJ54/100</f>
        <v>0</v>
      </c>
      <c r="AU54">
        <f>IF(AN54=1,AT54,1)</f>
        <v>0</v>
      </c>
      <c r="AV54">
        <f>IF(AM54=1,AT54,1)</f>
        <v>0</v>
      </c>
      <c r="AW54">
        <f>IF(AND(AQ54=1,ISNUMBER(AT54)),$AT54,1)</f>
        <v>0</v>
      </c>
      <c r="AX54">
        <f>IF(AND(AR54=1,ISNUMBER(AT54)),$AT54,1)</f>
        <v>0</v>
      </c>
      <c r="AY54">
        <f>IF(ISNUMBER(Y54),INDEX(AllCollegeMoney, MATCH(N54,AllCollegeNCES,0)),0)</f>
        <v>0</v>
      </c>
      <c r="AZ54">
        <f>IF(AND(AQ54=1,ISNUMBER(AT54),AY54=1),$AT54,1)</f>
        <v>0</v>
      </c>
      <c r="BA54">
        <f>IF(AND(AR54=1,ISNUMBER(AT54),AY54=1),$AT54,1)</f>
        <v>0</v>
      </c>
      <c r="BB54">
        <f>IF(ISNUMBER(Y54),INDEX(AllCollegeILPub, MATCH(N54,AllCollegeNCES,0)),0)</f>
        <v>0</v>
      </c>
      <c r="BC54">
        <f>IF(AK54=ReachLabel,AP54,0)</f>
        <v>0</v>
      </c>
      <c r="BD54">
        <f>IF(AK54=MatchLabel,AP54,0)</f>
        <v>0</v>
      </c>
      <c r="BE54">
        <f>IF(AK54=SafetyLabel,AP54,0)</f>
        <v>0</v>
      </c>
      <c r="BF54">
        <f>IF(AK54=SecureLabel,AP54,0)</f>
        <v>0</v>
      </c>
      <c r="BG54">
        <f>IF(AK54=SureThingLabel,AP54,0)</f>
        <v>0</v>
      </c>
      <c r="BH54">
        <f>MAX(BC54:BG54)</f>
        <v>0</v>
      </c>
      <c r="BI54">
        <f>MAX(BD54:BG54)</f>
        <v>0</v>
      </c>
      <c r="BJ54">
        <f>MAX(BE54:BG54)</f>
        <v>0</v>
      </c>
      <c r="BK54">
        <f>IF(AND(AK54=ReachLabel,AY54=1),AP54,0)</f>
        <v>0</v>
      </c>
      <c r="BL54">
        <f>IF(AND(AK54=MatchLabel,AY54=1),AP54,0)</f>
        <v>0</v>
      </c>
      <c r="BM54">
        <f>IF(AND(AK54=SafetyLabel,AY54=1),AP54,0)</f>
        <v>0</v>
      </c>
      <c r="BN54">
        <f>IF(AND(AK54=SecureLabel,AY54=1),AP54,0)</f>
        <v>0</v>
      </c>
      <c r="BO54">
        <f>IF(AND(AK54=SureThingLabel,AY54=1),AP54,0)</f>
        <v>0</v>
      </c>
      <c r="BP54">
        <f>MAX(BK54:BO54)</f>
        <v>0</v>
      </c>
      <c r="BQ54">
        <f>MAX(BL54:BO54)</f>
        <v>0</v>
      </c>
      <c r="BR54">
        <f>MAX(BM54:BO54)</f>
        <v>0</v>
      </c>
      <c r="BS54">
        <f>IF(ISNUMBER(Y54),INDEX(AllCollegeChicago, MATCH(N54,AllCollegeNCES,0))*AY54,0)</f>
        <v>0</v>
      </c>
      <c r="BT54">
        <f>IF(ISNUMBER(Y54),INDEX(AllCollegeMoneyCode, MATCH(N54,AllCollegeNCES,0)),"?")</f>
        <v>0</v>
      </c>
      <c r="BU54">
        <f>IF(OR(BT54="---",BT54="--",BT54="+/--",BT54="+/---"),1,0)</f>
        <v>0</v>
      </c>
      <c r="BV54">
        <f>AY54*AO54*AQ54</f>
        <v>0</v>
      </c>
    </row>
    <row r="55" spans="1:74">
      <c r="A55" t="s">
        <v>86</v>
      </c>
      <c r="B55">
        <v>22165076</v>
      </c>
      <c r="C55" t="s">
        <v>185</v>
      </c>
      <c r="D55" t="s">
        <v>186</v>
      </c>
      <c r="E55" t="s">
        <v>428</v>
      </c>
      <c r="F55" t="s">
        <v>480</v>
      </c>
      <c r="G55" t="s">
        <v>430</v>
      </c>
      <c r="H55" t="s">
        <v>431</v>
      </c>
      <c r="I55" t="s">
        <v>432</v>
      </c>
      <c r="J55" t="s">
        <v>432</v>
      </c>
      <c r="K55">
        <v>0</v>
      </c>
      <c r="L55" t="s">
        <v>428</v>
      </c>
      <c r="M55" t="s">
        <v>428</v>
      </c>
      <c r="N55">
        <v>144050</v>
      </c>
      <c r="O55">
        <f>INDEX(AllCollegeBarrons,MATCH(N55,AllCollegeNCES,0))</f>
        <v>0</v>
      </c>
      <c r="P55">
        <f>INDEX(KidGPAs,MATCH(B55,KidIDs,0))</f>
        <v>0</v>
      </c>
      <c r="Q55">
        <f>INDEX(KidACTs,MATCH(B55,KidIDs,0))</f>
        <v>0</v>
      </c>
      <c r="R55">
        <f>INDEX(Strats,MATCH(B55,KidIDs,0))</f>
        <v>0</v>
      </c>
      <c r="S55">
        <f>INDEX(KidRace,MATCH(B55,KidIDs,0))</f>
        <v>0</v>
      </c>
      <c r="T55">
        <f>IF(OR(S55="M",S55="I"),"H",S55)</f>
        <v>0</v>
      </c>
      <c r="U55">
        <f>INDEX(StudentTargets,MATCH(B55,KidIDs,0))</f>
        <v>0</v>
      </c>
      <c r="V55">
        <f>INDEX(ReachStudentTargets,MATCH(B55,KidIDs,0))</f>
        <v>0</v>
      </c>
      <c r="W55">
        <f>IF(OR(M55="Posse"),1,0)</f>
        <v>0</v>
      </c>
      <c r="X55">
        <f>IF(ISNUMBER(INDEX(AllCollegeGR, MATCH(N55,AllCollegeNCES,0))),ROUND(INDEX(AllCollegeGR, MATCH(N55,AllCollegeNCES,0))+W55*IF(INDEX(AllCollegeGR, MATCH(N55,AllCollegeNCES,0))&gt;0.7,(1-INDEX(AllCollegeGR, MATCH(N55,AllCollegeNCES,0)))/2,0.15),2),INDEX(AllCollegeGR, MATCH(N55,AllCollegeNCES,0)))</f>
        <v>0</v>
      </c>
      <c r="Y55">
        <f>IF(ISNUMBER(INDEX(AllCollegeAAHGR, MATCH(N55,AllCollegeNCES,0))),ROUND(INDEX(AllCollegeAAHGR, MATCH(N55,AllCollegeNCES,0))+W55*IF(INDEX(AllCollegeAAHGR, MATCH(N55,AllCollegeNCES,0))&gt;0.7,(1-INDEX(AllCollegeAAHGR, MATCH(N55,AllCollegeNCES,0)))/2,0.15),2),INDEX(AllCollegeAAHGR, MATCH(N55,AllCollegeNCES,0)))</f>
        <v>0</v>
      </c>
      <c r="Z55">
        <f>IF(OR(T55="H",T55="B"),INDEX(AllCollegeACT25, MATCH(N55,AllCollegeNCES,0)),INDEX(AllCollegeACT50, MATCH(N55,AllCollegeNCES,0)))</f>
        <v>0</v>
      </c>
      <c r="AA55">
        <f>INDEX(CustomWeightsGPA,MATCH(T55&amp;":"&amp;N55,CustomWeightsIndex,0))</f>
        <v>0</v>
      </c>
      <c r="AB55">
        <f>INDEX(CustomWeightsACT,MATCH(T55&amp;":"&amp;N55,CustomWeightsIndex,0))</f>
        <v>0</v>
      </c>
      <c r="AC55">
        <f>INDEX(CustomWeightsIntercept,MATCH(T55&amp;":"&amp;N55,CustomWeightsIndex,0))</f>
        <v>0</v>
      </c>
      <c r="AD55">
        <f>AA55*P55+AB55*Q55+AC55</f>
        <v>0</v>
      </c>
      <c r="AE55">
        <f>INDEX(CoefficientsGPA,MATCH(T55&amp;":"&amp;O55,CoefficientsIndex,0))</f>
        <v>0</v>
      </c>
      <c r="AF55">
        <f>INDEX(CoefficientsACT,MATCH(T55&amp;":"&amp;O55,CoefficientsIndex,0))</f>
        <v>0</v>
      </c>
      <c r="AG55">
        <f>INDEX(CoefficientsIntercept,MATCH(T55&amp;":"&amp;O55,CoefficientsIndex,0))</f>
        <v>0</v>
      </c>
      <c r="AH55">
        <f>AE55*P55+(Q55-Z55)*AF55+AG55</f>
        <v>0</v>
      </c>
      <c r="AI55">
        <f>IF(ISNUMBER(AD55),AD55,AH55)</f>
        <v>0</v>
      </c>
      <c r="AJ55">
        <f>IF(ISNUMBER(AI55),IF(ISNUMBER(AE55),IF(AND(AE55=1,AF55=1,AG55=1),100,ROUND(100*EXP(AI55)/(1+EXP(AI55)),2)),ROUND(100*EXP(AI55)/(1+EXP(AI55)),2)),IF(ISTEXT(O55),IF(LEFT(O55,1)="2",100,"N/A"),"N/A"))</f>
        <v>0</v>
      </c>
      <c r="AK55">
        <f>IF(ISNUMBER(AJ55),IF(AJ55&gt;=99,IF(OR(R55=10,R55=11),MatchLabel,SureThingLabel),IF(AJ55&gt;=95,SecureLabel,IF(AJ55&gt;=80,SafetyLabel,IF(AJ55&gt;=50,MatchLabel,IF(AJ55&gt;=20,ReachLabel,IF(AJ55&gt;=10,LongshotLabel,HailMaryLabel)))))),"Other")</f>
        <v>0</v>
      </c>
      <c r="AL55">
        <f>IF(OR(I55="accepted",I55="cond. accept",I55="summer admit"),IF(J55="yes","CHOICE!","Accepted!"),IF(I55="denied","Denied",IF(K55=1,"Waitlist",IF(L55=1,"Deferred",IF(G55="pending","Pending",IF(OR(G55="initial materials submitted",G55="mid-year submitted",G55="final submitted"),"Submitted",IF(H55="interest","Interest","?")))))))</f>
        <v>0</v>
      </c>
      <c r="AM55">
        <f>IF(OR(AK55=ReachLabel,AK55=LongshotLabel,AK55=HailMaryLabel),1,0)</f>
        <v>0</v>
      </c>
      <c r="AN55">
        <f>IF(OR(AM55=1,AK55=MatchLabel),1,0)</f>
        <v>0</v>
      </c>
      <c r="AO55">
        <f>IF(OR(AK55=MatchLabel,AK55=SafetyLabel,AK55=SecureLabel,AK55=SureThingLabel),1,0)</f>
        <v>0</v>
      </c>
      <c r="AP55">
        <f>IF(OR(T55="H",T55="B"),IF(ISNUMBER(Y55),ROUND(Y55,2),0),IF(ISNUMBER(X55),ROUND(X55,2),0))</f>
        <v>0</v>
      </c>
      <c r="AQ55">
        <f>IF(AP55&gt;=U55,1,0)</f>
        <v>0</v>
      </c>
      <c r="AR55">
        <f>IF(AP55&gt;=V55,1,0)</f>
        <v>0</v>
      </c>
      <c r="AS55">
        <f>IF(AP55&lt;(U55-0.10),1,0)</f>
        <v>0</v>
      </c>
      <c r="AT55">
        <f>1-AJ55/100</f>
        <v>0</v>
      </c>
      <c r="AU55">
        <f>IF(AN55=1,AT55,1)</f>
        <v>0</v>
      </c>
      <c r="AV55">
        <f>IF(AM55=1,AT55,1)</f>
        <v>0</v>
      </c>
      <c r="AW55">
        <f>IF(AND(AQ55=1,ISNUMBER(AT55)),$AT55,1)</f>
        <v>0</v>
      </c>
      <c r="AX55">
        <f>IF(AND(AR55=1,ISNUMBER(AT55)),$AT55,1)</f>
        <v>0</v>
      </c>
      <c r="AY55">
        <f>IF(ISNUMBER(Y55),INDEX(AllCollegeMoney, MATCH(N55,AllCollegeNCES,0)),0)</f>
        <v>0</v>
      </c>
      <c r="AZ55">
        <f>IF(AND(AQ55=1,ISNUMBER(AT55),AY55=1),$AT55,1)</f>
        <v>0</v>
      </c>
      <c r="BA55">
        <f>IF(AND(AR55=1,ISNUMBER(AT55),AY55=1),$AT55,1)</f>
        <v>0</v>
      </c>
      <c r="BB55">
        <f>IF(ISNUMBER(Y55),INDEX(AllCollegeILPub, MATCH(N55,AllCollegeNCES,0)),0)</f>
        <v>0</v>
      </c>
      <c r="BC55">
        <f>IF(AK55=ReachLabel,AP55,0)</f>
        <v>0</v>
      </c>
      <c r="BD55">
        <f>IF(AK55=MatchLabel,AP55,0)</f>
        <v>0</v>
      </c>
      <c r="BE55">
        <f>IF(AK55=SafetyLabel,AP55,0)</f>
        <v>0</v>
      </c>
      <c r="BF55">
        <f>IF(AK55=SecureLabel,AP55,0)</f>
        <v>0</v>
      </c>
      <c r="BG55">
        <f>IF(AK55=SureThingLabel,AP55,0)</f>
        <v>0</v>
      </c>
      <c r="BH55">
        <f>MAX(BC55:BG55)</f>
        <v>0</v>
      </c>
      <c r="BI55">
        <f>MAX(BD55:BG55)</f>
        <v>0</v>
      </c>
      <c r="BJ55">
        <f>MAX(BE55:BG55)</f>
        <v>0</v>
      </c>
      <c r="BK55">
        <f>IF(AND(AK55=ReachLabel,AY55=1),AP55,0)</f>
        <v>0</v>
      </c>
      <c r="BL55">
        <f>IF(AND(AK55=MatchLabel,AY55=1),AP55,0)</f>
        <v>0</v>
      </c>
      <c r="BM55">
        <f>IF(AND(AK55=SafetyLabel,AY55=1),AP55,0)</f>
        <v>0</v>
      </c>
      <c r="BN55">
        <f>IF(AND(AK55=SecureLabel,AY55=1),AP55,0)</f>
        <v>0</v>
      </c>
      <c r="BO55">
        <f>IF(AND(AK55=SureThingLabel,AY55=1),AP55,0)</f>
        <v>0</v>
      </c>
      <c r="BP55">
        <f>MAX(BK55:BO55)</f>
        <v>0</v>
      </c>
      <c r="BQ55">
        <f>MAX(BL55:BO55)</f>
        <v>0</v>
      </c>
      <c r="BR55">
        <f>MAX(BM55:BO55)</f>
        <v>0</v>
      </c>
      <c r="BS55">
        <f>IF(ISNUMBER(Y55),INDEX(AllCollegeChicago, MATCH(N55,AllCollegeNCES,0))*AY55,0)</f>
        <v>0</v>
      </c>
      <c r="BT55">
        <f>IF(ISNUMBER(Y55),INDEX(AllCollegeMoneyCode, MATCH(N55,AllCollegeNCES,0)),"?")</f>
        <v>0</v>
      </c>
      <c r="BU55">
        <f>IF(OR(BT55="---",BT55="--",BT55="+/--",BT55="+/---"),1,0)</f>
        <v>0</v>
      </c>
      <c r="BV55">
        <f>AY55*AO55*AQ55</f>
        <v>0</v>
      </c>
    </row>
    <row r="56" spans="1:74">
      <c r="A56" t="s">
        <v>86</v>
      </c>
      <c r="B56">
        <v>22165076</v>
      </c>
      <c r="C56" t="s">
        <v>185</v>
      </c>
      <c r="D56" t="s">
        <v>186</v>
      </c>
      <c r="E56" t="s">
        <v>428</v>
      </c>
      <c r="F56" t="s">
        <v>481</v>
      </c>
      <c r="G56" t="s">
        <v>430</v>
      </c>
      <c r="H56" t="s">
        <v>431</v>
      </c>
      <c r="I56" t="s">
        <v>432</v>
      </c>
      <c r="J56" t="s">
        <v>432</v>
      </c>
      <c r="K56">
        <v>0</v>
      </c>
      <c r="L56" t="s">
        <v>428</v>
      </c>
      <c r="M56" t="s">
        <v>428</v>
      </c>
      <c r="N56">
        <v>190099</v>
      </c>
      <c r="O56">
        <f>INDEX(AllCollegeBarrons,MATCH(N56,AllCollegeNCES,0))</f>
        <v>0</v>
      </c>
      <c r="P56">
        <f>INDEX(KidGPAs,MATCH(B56,KidIDs,0))</f>
        <v>0</v>
      </c>
      <c r="Q56">
        <f>INDEX(KidACTs,MATCH(B56,KidIDs,0))</f>
        <v>0</v>
      </c>
      <c r="R56">
        <f>INDEX(Strats,MATCH(B56,KidIDs,0))</f>
        <v>0</v>
      </c>
      <c r="S56">
        <f>INDEX(KidRace,MATCH(B56,KidIDs,0))</f>
        <v>0</v>
      </c>
      <c r="T56">
        <f>IF(OR(S56="M",S56="I"),"H",S56)</f>
        <v>0</v>
      </c>
      <c r="U56">
        <f>INDEX(StudentTargets,MATCH(B56,KidIDs,0))</f>
        <v>0</v>
      </c>
      <c r="V56">
        <f>INDEX(ReachStudentTargets,MATCH(B56,KidIDs,0))</f>
        <v>0</v>
      </c>
      <c r="W56">
        <f>IF(OR(M56="Posse"),1,0)</f>
        <v>0</v>
      </c>
      <c r="X56">
        <f>IF(ISNUMBER(INDEX(AllCollegeGR, MATCH(N56,AllCollegeNCES,0))),ROUND(INDEX(AllCollegeGR, MATCH(N56,AllCollegeNCES,0))+W56*IF(INDEX(AllCollegeGR, MATCH(N56,AllCollegeNCES,0))&gt;0.7,(1-INDEX(AllCollegeGR, MATCH(N56,AllCollegeNCES,0)))/2,0.15),2),INDEX(AllCollegeGR, MATCH(N56,AllCollegeNCES,0)))</f>
        <v>0</v>
      </c>
      <c r="Y56">
        <f>IF(ISNUMBER(INDEX(AllCollegeAAHGR, MATCH(N56,AllCollegeNCES,0))),ROUND(INDEX(AllCollegeAAHGR, MATCH(N56,AllCollegeNCES,0))+W56*IF(INDEX(AllCollegeAAHGR, MATCH(N56,AllCollegeNCES,0))&gt;0.7,(1-INDEX(AllCollegeAAHGR, MATCH(N56,AllCollegeNCES,0)))/2,0.15),2),INDEX(AllCollegeAAHGR, MATCH(N56,AllCollegeNCES,0)))</f>
        <v>0</v>
      </c>
      <c r="Z56">
        <f>IF(OR(T56="H",T56="B"),INDEX(AllCollegeACT25, MATCH(N56,AllCollegeNCES,0)),INDEX(AllCollegeACT50, MATCH(N56,AllCollegeNCES,0)))</f>
        <v>0</v>
      </c>
      <c r="AA56">
        <f>INDEX(CustomWeightsGPA,MATCH(T56&amp;":"&amp;N56,CustomWeightsIndex,0))</f>
        <v>0</v>
      </c>
      <c r="AB56">
        <f>INDEX(CustomWeightsACT,MATCH(T56&amp;":"&amp;N56,CustomWeightsIndex,0))</f>
        <v>0</v>
      </c>
      <c r="AC56">
        <f>INDEX(CustomWeightsIntercept,MATCH(T56&amp;":"&amp;N56,CustomWeightsIndex,0))</f>
        <v>0</v>
      </c>
      <c r="AD56">
        <f>AA56*P56+AB56*Q56+AC56</f>
        <v>0</v>
      </c>
      <c r="AE56">
        <f>INDEX(CoefficientsGPA,MATCH(T56&amp;":"&amp;O56,CoefficientsIndex,0))</f>
        <v>0</v>
      </c>
      <c r="AF56">
        <f>INDEX(CoefficientsACT,MATCH(T56&amp;":"&amp;O56,CoefficientsIndex,0))</f>
        <v>0</v>
      </c>
      <c r="AG56">
        <f>INDEX(CoefficientsIntercept,MATCH(T56&amp;":"&amp;O56,CoefficientsIndex,0))</f>
        <v>0</v>
      </c>
      <c r="AH56">
        <f>AE56*P56+(Q56-Z56)*AF56+AG56</f>
        <v>0</v>
      </c>
      <c r="AI56">
        <f>IF(ISNUMBER(AD56),AD56,AH56)</f>
        <v>0</v>
      </c>
      <c r="AJ56">
        <f>IF(ISNUMBER(AI56),IF(ISNUMBER(AE56),IF(AND(AE56=1,AF56=1,AG56=1),100,ROUND(100*EXP(AI56)/(1+EXP(AI56)),2)),ROUND(100*EXP(AI56)/(1+EXP(AI56)),2)),IF(ISTEXT(O56),IF(LEFT(O56,1)="2",100,"N/A"),"N/A"))</f>
        <v>0</v>
      </c>
      <c r="AK56">
        <f>IF(ISNUMBER(AJ56),IF(AJ56&gt;=99,IF(OR(R56=10,R56=11),MatchLabel,SureThingLabel),IF(AJ56&gt;=95,SecureLabel,IF(AJ56&gt;=80,SafetyLabel,IF(AJ56&gt;=50,MatchLabel,IF(AJ56&gt;=20,ReachLabel,IF(AJ56&gt;=10,LongshotLabel,HailMaryLabel)))))),"Other")</f>
        <v>0</v>
      </c>
      <c r="AL56">
        <f>IF(OR(I56="accepted",I56="cond. accept",I56="summer admit"),IF(J56="yes","CHOICE!","Accepted!"),IF(I56="denied","Denied",IF(K56=1,"Waitlist",IF(L56=1,"Deferred",IF(G56="pending","Pending",IF(OR(G56="initial materials submitted",G56="mid-year submitted",G56="final submitted"),"Submitted",IF(H56="interest","Interest","?")))))))</f>
        <v>0</v>
      </c>
      <c r="AM56">
        <f>IF(OR(AK56=ReachLabel,AK56=LongshotLabel,AK56=HailMaryLabel),1,0)</f>
        <v>0</v>
      </c>
      <c r="AN56">
        <f>IF(OR(AM56=1,AK56=MatchLabel),1,0)</f>
        <v>0</v>
      </c>
      <c r="AO56">
        <f>IF(OR(AK56=MatchLabel,AK56=SafetyLabel,AK56=SecureLabel,AK56=SureThingLabel),1,0)</f>
        <v>0</v>
      </c>
      <c r="AP56">
        <f>IF(OR(T56="H",T56="B"),IF(ISNUMBER(Y56),ROUND(Y56,2),0),IF(ISNUMBER(X56),ROUND(X56,2),0))</f>
        <v>0</v>
      </c>
      <c r="AQ56">
        <f>IF(AP56&gt;=U56,1,0)</f>
        <v>0</v>
      </c>
      <c r="AR56">
        <f>IF(AP56&gt;=V56,1,0)</f>
        <v>0</v>
      </c>
      <c r="AS56">
        <f>IF(AP56&lt;(U56-0.10),1,0)</f>
        <v>0</v>
      </c>
      <c r="AT56">
        <f>1-AJ56/100</f>
        <v>0</v>
      </c>
      <c r="AU56">
        <f>IF(AN56=1,AT56,1)</f>
        <v>0</v>
      </c>
      <c r="AV56">
        <f>IF(AM56=1,AT56,1)</f>
        <v>0</v>
      </c>
      <c r="AW56">
        <f>IF(AND(AQ56=1,ISNUMBER(AT56)),$AT56,1)</f>
        <v>0</v>
      </c>
      <c r="AX56">
        <f>IF(AND(AR56=1,ISNUMBER(AT56)),$AT56,1)</f>
        <v>0</v>
      </c>
      <c r="AY56">
        <f>IF(ISNUMBER(Y56),INDEX(AllCollegeMoney, MATCH(N56,AllCollegeNCES,0)),0)</f>
        <v>0</v>
      </c>
      <c r="AZ56">
        <f>IF(AND(AQ56=1,ISNUMBER(AT56),AY56=1),$AT56,1)</f>
        <v>0</v>
      </c>
      <c r="BA56">
        <f>IF(AND(AR56=1,ISNUMBER(AT56),AY56=1),$AT56,1)</f>
        <v>0</v>
      </c>
      <c r="BB56">
        <f>IF(ISNUMBER(Y56),INDEX(AllCollegeILPub, MATCH(N56,AllCollegeNCES,0)),0)</f>
        <v>0</v>
      </c>
      <c r="BC56">
        <f>IF(AK56=ReachLabel,AP56,0)</f>
        <v>0</v>
      </c>
      <c r="BD56">
        <f>IF(AK56=MatchLabel,AP56,0)</f>
        <v>0</v>
      </c>
      <c r="BE56">
        <f>IF(AK56=SafetyLabel,AP56,0)</f>
        <v>0</v>
      </c>
      <c r="BF56">
        <f>IF(AK56=SecureLabel,AP56,0)</f>
        <v>0</v>
      </c>
      <c r="BG56">
        <f>IF(AK56=SureThingLabel,AP56,0)</f>
        <v>0</v>
      </c>
      <c r="BH56">
        <f>MAX(BC56:BG56)</f>
        <v>0</v>
      </c>
      <c r="BI56">
        <f>MAX(BD56:BG56)</f>
        <v>0</v>
      </c>
      <c r="BJ56">
        <f>MAX(BE56:BG56)</f>
        <v>0</v>
      </c>
      <c r="BK56">
        <f>IF(AND(AK56=ReachLabel,AY56=1),AP56,0)</f>
        <v>0</v>
      </c>
      <c r="BL56">
        <f>IF(AND(AK56=MatchLabel,AY56=1),AP56,0)</f>
        <v>0</v>
      </c>
      <c r="BM56">
        <f>IF(AND(AK56=SafetyLabel,AY56=1),AP56,0)</f>
        <v>0</v>
      </c>
      <c r="BN56">
        <f>IF(AND(AK56=SecureLabel,AY56=1),AP56,0)</f>
        <v>0</v>
      </c>
      <c r="BO56">
        <f>IF(AND(AK56=SureThingLabel,AY56=1),AP56,0)</f>
        <v>0</v>
      </c>
      <c r="BP56">
        <f>MAX(BK56:BO56)</f>
        <v>0</v>
      </c>
      <c r="BQ56">
        <f>MAX(BL56:BO56)</f>
        <v>0</v>
      </c>
      <c r="BR56">
        <f>MAX(BM56:BO56)</f>
        <v>0</v>
      </c>
      <c r="BS56">
        <f>IF(ISNUMBER(Y56),INDEX(AllCollegeChicago, MATCH(N56,AllCollegeNCES,0))*AY56,0)</f>
        <v>0</v>
      </c>
      <c r="BT56">
        <f>IF(ISNUMBER(Y56),INDEX(AllCollegeMoneyCode, MATCH(N56,AllCollegeNCES,0)),"?")</f>
        <v>0</v>
      </c>
      <c r="BU56">
        <f>IF(OR(BT56="---",BT56="--",BT56="+/--",BT56="+/---"),1,0)</f>
        <v>0</v>
      </c>
      <c r="BV56">
        <f>AY56*AO56*AQ56</f>
        <v>0</v>
      </c>
    </row>
    <row r="57" spans="1:74">
      <c r="A57" t="s">
        <v>86</v>
      </c>
      <c r="B57">
        <v>22165076</v>
      </c>
      <c r="C57" t="s">
        <v>185</v>
      </c>
      <c r="D57" t="s">
        <v>186</v>
      </c>
      <c r="E57" t="s">
        <v>428</v>
      </c>
      <c r="F57" t="s">
        <v>466</v>
      </c>
      <c r="G57" t="s">
        <v>430</v>
      </c>
      <c r="H57" t="s">
        <v>431</v>
      </c>
      <c r="I57" t="s">
        <v>432</v>
      </c>
      <c r="J57" t="s">
        <v>432</v>
      </c>
      <c r="K57">
        <v>0</v>
      </c>
      <c r="L57" t="s">
        <v>428</v>
      </c>
      <c r="M57" t="s">
        <v>428</v>
      </c>
      <c r="N57">
        <v>213385</v>
      </c>
      <c r="O57">
        <f>INDEX(AllCollegeBarrons,MATCH(N57,AllCollegeNCES,0))</f>
        <v>0</v>
      </c>
      <c r="P57">
        <f>INDEX(KidGPAs,MATCH(B57,KidIDs,0))</f>
        <v>0</v>
      </c>
      <c r="Q57">
        <f>INDEX(KidACTs,MATCH(B57,KidIDs,0))</f>
        <v>0</v>
      </c>
      <c r="R57">
        <f>INDEX(Strats,MATCH(B57,KidIDs,0))</f>
        <v>0</v>
      </c>
      <c r="S57">
        <f>INDEX(KidRace,MATCH(B57,KidIDs,0))</f>
        <v>0</v>
      </c>
      <c r="T57">
        <f>IF(OR(S57="M",S57="I"),"H",S57)</f>
        <v>0</v>
      </c>
      <c r="U57">
        <f>INDEX(StudentTargets,MATCH(B57,KidIDs,0))</f>
        <v>0</v>
      </c>
      <c r="V57">
        <f>INDEX(ReachStudentTargets,MATCH(B57,KidIDs,0))</f>
        <v>0</v>
      </c>
      <c r="W57">
        <f>IF(OR(M57="Posse"),1,0)</f>
        <v>0</v>
      </c>
      <c r="X57">
        <f>IF(ISNUMBER(INDEX(AllCollegeGR, MATCH(N57,AllCollegeNCES,0))),ROUND(INDEX(AllCollegeGR, MATCH(N57,AllCollegeNCES,0))+W57*IF(INDEX(AllCollegeGR, MATCH(N57,AllCollegeNCES,0))&gt;0.7,(1-INDEX(AllCollegeGR, MATCH(N57,AllCollegeNCES,0)))/2,0.15),2),INDEX(AllCollegeGR, MATCH(N57,AllCollegeNCES,0)))</f>
        <v>0</v>
      </c>
      <c r="Y57">
        <f>IF(ISNUMBER(INDEX(AllCollegeAAHGR, MATCH(N57,AllCollegeNCES,0))),ROUND(INDEX(AllCollegeAAHGR, MATCH(N57,AllCollegeNCES,0))+W57*IF(INDEX(AllCollegeAAHGR, MATCH(N57,AllCollegeNCES,0))&gt;0.7,(1-INDEX(AllCollegeAAHGR, MATCH(N57,AllCollegeNCES,0)))/2,0.15),2),INDEX(AllCollegeAAHGR, MATCH(N57,AllCollegeNCES,0)))</f>
        <v>0</v>
      </c>
      <c r="Z57">
        <f>IF(OR(T57="H",T57="B"),INDEX(AllCollegeACT25, MATCH(N57,AllCollegeNCES,0)),INDEX(AllCollegeACT50, MATCH(N57,AllCollegeNCES,0)))</f>
        <v>0</v>
      </c>
      <c r="AA57">
        <f>INDEX(CustomWeightsGPA,MATCH(T57&amp;":"&amp;N57,CustomWeightsIndex,0))</f>
        <v>0</v>
      </c>
      <c r="AB57">
        <f>INDEX(CustomWeightsACT,MATCH(T57&amp;":"&amp;N57,CustomWeightsIndex,0))</f>
        <v>0</v>
      </c>
      <c r="AC57">
        <f>INDEX(CustomWeightsIntercept,MATCH(T57&amp;":"&amp;N57,CustomWeightsIndex,0))</f>
        <v>0</v>
      </c>
      <c r="AD57">
        <f>AA57*P57+AB57*Q57+AC57</f>
        <v>0</v>
      </c>
      <c r="AE57">
        <f>INDEX(CoefficientsGPA,MATCH(T57&amp;":"&amp;O57,CoefficientsIndex,0))</f>
        <v>0</v>
      </c>
      <c r="AF57">
        <f>INDEX(CoefficientsACT,MATCH(T57&amp;":"&amp;O57,CoefficientsIndex,0))</f>
        <v>0</v>
      </c>
      <c r="AG57">
        <f>INDEX(CoefficientsIntercept,MATCH(T57&amp;":"&amp;O57,CoefficientsIndex,0))</f>
        <v>0</v>
      </c>
      <c r="AH57">
        <f>AE57*P57+(Q57-Z57)*AF57+AG57</f>
        <v>0</v>
      </c>
      <c r="AI57">
        <f>IF(ISNUMBER(AD57),AD57,AH57)</f>
        <v>0</v>
      </c>
      <c r="AJ57">
        <f>IF(ISNUMBER(AI57),IF(ISNUMBER(AE57),IF(AND(AE57=1,AF57=1,AG57=1),100,ROUND(100*EXP(AI57)/(1+EXP(AI57)),2)),ROUND(100*EXP(AI57)/(1+EXP(AI57)),2)),IF(ISTEXT(O57),IF(LEFT(O57,1)="2",100,"N/A"),"N/A"))</f>
        <v>0</v>
      </c>
      <c r="AK57">
        <f>IF(ISNUMBER(AJ57),IF(AJ57&gt;=99,IF(OR(R57=10,R57=11),MatchLabel,SureThingLabel),IF(AJ57&gt;=95,SecureLabel,IF(AJ57&gt;=80,SafetyLabel,IF(AJ57&gt;=50,MatchLabel,IF(AJ57&gt;=20,ReachLabel,IF(AJ57&gt;=10,LongshotLabel,HailMaryLabel)))))),"Other")</f>
        <v>0</v>
      </c>
      <c r="AL57">
        <f>IF(OR(I57="accepted",I57="cond. accept",I57="summer admit"),IF(J57="yes","CHOICE!","Accepted!"),IF(I57="denied","Denied",IF(K57=1,"Waitlist",IF(L57=1,"Deferred",IF(G57="pending","Pending",IF(OR(G57="initial materials submitted",G57="mid-year submitted",G57="final submitted"),"Submitted",IF(H57="interest","Interest","?")))))))</f>
        <v>0</v>
      </c>
      <c r="AM57">
        <f>IF(OR(AK57=ReachLabel,AK57=LongshotLabel,AK57=HailMaryLabel),1,0)</f>
        <v>0</v>
      </c>
      <c r="AN57">
        <f>IF(OR(AM57=1,AK57=MatchLabel),1,0)</f>
        <v>0</v>
      </c>
      <c r="AO57">
        <f>IF(OR(AK57=MatchLabel,AK57=SafetyLabel,AK57=SecureLabel,AK57=SureThingLabel),1,0)</f>
        <v>0</v>
      </c>
      <c r="AP57">
        <f>IF(OR(T57="H",T57="B"),IF(ISNUMBER(Y57),ROUND(Y57,2),0),IF(ISNUMBER(X57),ROUND(X57,2),0))</f>
        <v>0</v>
      </c>
      <c r="AQ57">
        <f>IF(AP57&gt;=U57,1,0)</f>
        <v>0</v>
      </c>
      <c r="AR57">
        <f>IF(AP57&gt;=V57,1,0)</f>
        <v>0</v>
      </c>
      <c r="AS57">
        <f>IF(AP57&lt;(U57-0.10),1,0)</f>
        <v>0</v>
      </c>
      <c r="AT57">
        <f>1-AJ57/100</f>
        <v>0</v>
      </c>
      <c r="AU57">
        <f>IF(AN57=1,AT57,1)</f>
        <v>0</v>
      </c>
      <c r="AV57">
        <f>IF(AM57=1,AT57,1)</f>
        <v>0</v>
      </c>
      <c r="AW57">
        <f>IF(AND(AQ57=1,ISNUMBER(AT57)),$AT57,1)</f>
        <v>0</v>
      </c>
      <c r="AX57">
        <f>IF(AND(AR57=1,ISNUMBER(AT57)),$AT57,1)</f>
        <v>0</v>
      </c>
      <c r="AY57">
        <f>IF(ISNUMBER(Y57),INDEX(AllCollegeMoney, MATCH(N57,AllCollegeNCES,0)),0)</f>
        <v>0</v>
      </c>
      <c r="AZ57">
        <f>IF(AND(AQ57=1,ISNUMBER(AT57),AY57=1),$AT57,1)</f>
        <v>0</v>
      </c>
      <c r="BA57">
        <f>IF(AND(AR57=1,ISNUMBER(AT57),AY57=1),$AT57,1)</f>
        <v>0</v>
      </c>
      <c r="BB57">
        <f>IF(ISNUMBER(Y57),INDEX(AllCollegeILPub, MATCH(N57,AllCollegeNCES,0)),0)</f>
        <v>0</v>
      </c>
      <c r="BC57">
        <f>IF(AK57=ReachLabel,AP57,0)</f>
        <v>0</v>
      </c>
      <c r="BD57">
        <f>IF(AK57=MatchLabel,AP57,0)</f>
        <v>0</v>
      </c>
      <c r="BE57">
        <f>IF(AK57=SafetyLabel,AP57,0)</f>
        <v>0</v>
      </c>
      <c r="BF57">
        <f>IF(AK57=SecureLabel,AP57,0)</f>
        <v>0</v>
      </c>
      <c r="BG57">
        <f>IF(AK57=SureThingLabel,AP57,0)</f>
        <v>0</v>
      </c>
      <c r="BH57">
        <f>MAX(BC57:BG57)</f>
        <v>0</v>
      </c>
      <c r="BI57">
        <f>MAX(BD57:BG57)</f>
        <v>0</v>
      </c>
      <c r="BJ57">
        <f>MAX(BE57:BG57)</f>
        <v>0</v>
      </c>
      <c r="BK57">
        <f>IF(AND(AK57=ReachLabel,AY57=1),AP57,0)</f>
        <v>0</v>
      </c>
      <c r="BL57">
        <f>IF(AND(AK57=MatchLabel,AY57=1),AP57,0)</f>
        <v>0</v>
      </c>
      <c r="BM57">
        <f>IF(AND(AK57=SafetyLabel,AY57=1),AP57,0)</f>
        <v>0</v>
      </c>
      <c r="BN57">
        <f>IF(AND(AK57=SecureLabel,AY57=1),AP57,0)</f>
        <v>0</v>
      </c>
      <c r="BO57">
        <f>IF(AND(AK57=SureThingLabel,AY57=1),AP57,0)</f>
        <v>0</v>
      </c>
      <c r="BP57">
        <f>MAX(BK57:BO57)</f>
        <v>0</v>
      </c>
      <c r="BQ57">
        <f>MAX(BL57:BO57)</f>
        <v>0</v>
      </c>
      <c r="BR57">
        <f>MAX(BM57:BO57)</f>
        <v>0</v>
      </c>
      <c r="BS57">
        <f>IF(ISNUMBER(Y57),INDEX(AllCollegeChicago, MATCH(N57,AllCollegeNCES,0))*AY57,0)</f>
        <v>0</v>
      </c>
      <c r="BT57">
        <f>IF(ISNUMBER(Y57),INDEX(AllCollegeMoneyCode, MATCH(N57,AllCollegeNCES,0)),"?")</f>
        <v>0</v>
      </c>
      <c r="BU57">
        <f>IF(OR(BT57="---",BT57="--",BT57="+/--",BT57="+/---"),1,0)</f>
        <v>0</v>
      </c>
      <c r="BV57">
        <f>AY57*AO57*AQ57</f>
        <v>0</v>
      </c>
    </row>
    <row r="58" spans="1:74">
      <c r="A58" t="s">
        <v>86</v>
      </c>
      <c r="B58">
        <v>22165076</v>
      </c>
      <c r="C58" t="s">
        <v>185</v>
      </c>
      <c r="D58" t="s">
        <v>186</v>
      </c>
      <c r="E58" t="s">
        <v>428</v>
      </c>
      <c r="F58" t="s">
        <v>467</v>
      </c>
      <c r="G58" t="s">
        <v>463</v>
      </c>
      <c r="H58" t="s">
        <v>431</v>
      </c>
      <c r="I58" t="s">
        <v>432</v>
      </c>
      <c r="J58" t="s">
        <v>432</v>
      </c>
      <c r="K58">
        <v>0</v>
      </c>
      <c r="L58" t="s">
        <v>428</v>
      </c>
      <c r="M58" t="s">
        <v>428</v>
      </c>
      <c r="N58">
        <v>170976</v>
      </c>
      <c r="O58">
        <f>INDEX(AllCollegeBarrons,MATCH(N58,AllCollegeNCES,0))</f>
        <v>0</v>
      </c>
      <c r="P58">
        <f>INDEX(KidGPAs,MATCH(B58,KidIDs,0))</f>
        <v>0</v>
      </c>
      <c r="Q58">
        <f>INDEX(KidACTs,MATCH(B58,KidIDs,0))</f>
        <v>0</v>
      </c>
      <c r="R58">
        <f>INDEX(Strats,MATCH(B58,KidIDs,0))</f>
        <v>0</v>
      </c>
      <c r="S58">
        <f>INDEX(KidRace,MATCH(B58,KidIDs,0))</f>
        <v>0</v>
      </c>
      <c r="T58">
        <f>IF(OR(S58="M",S58="I"),"H",S58)</f>
        <v>0</v>
      </c>
      <c r="U58">
        <f>INDEX(StudentTargets,MATCH(B58,KidIDs,0))</f>
        <v>0</v>
      </c>
      <c r="V58">
        <f>INDEX(ReachStudentTargets,MATCH(B58,KidIDs,0))</f>
        <v>0</v>
      </c>
      <c r="W58">
        <f>IF(OR(M58="Posse"),1,0)</f>
        <v>0</v>
      </c>
      <c r="X58">
        <f>IF(ISNUMBER(INDEX(AllCollegeGR, MATCH(N58,AllCollegeNCES,0))),ROUND(INDEX(AllCollegeGR, MATCH(N58,AllCollegeNCES,0))+W58*IF(INDEX(AllCollegeGR, MATCH(N58,AllCollegeNCES,0))&gt;0.7,(1-INDEX(AllCollegeGR, MATCH(N58,AllCollegeNCES,0)))/2,0.15),2),INDEX(AllCollegeGR, MATCH(N58,AllCollegeNCES,0)))</f>
        <v>0</v>
      </c>
      <c r="Y58">
        <f>IF(ISNUMBER(INDEX(AllCollegeAAHGR, MATCH(N58,AllCollegeNCES,0))),ROUND(INDEX(AllCollegeAAHGR, MATCH(N58,AllCollegeNCES,0))+W58*IF(INDEX(AllCollegeAAHGR, MATCH(N58,AllCollegeNCES,0))&gt;0.7,(1-INDEX(AllCollegeAAHGR, MATCH(N58,AllCollegeNCES,0)))/2,0.15),2),INDEX(AllCollegeAAHGR, MATCH(N58,AllCollegeNCES,0)))</f>
        <v>0</v>
      </c>
      <c r="Z58">
        <f>IF(OR(T58="H",T58="B"),INDEX(AllCollegeACT25, MATCH(N58,AllCollegeNCES,0)),INDEX(AllCollegeACT50, MATCH(N58,AllCollegeNCES,0)))</f>
        <v>0</v>
      </c>
      <c r="AA58">
        <f>INDEX(CustomWeightsGPA,MATCH(T58&amp;":"&amp;N58,CustomWeightsIndex,0))</f>
        <v>0</v>
      </c>
      <c r="AB58">
        <f>INDEX(CustomWeightsACT,MATCH(T58&amp;":"&amp;N58,CustomWeightsIndex,0))</f>
        <v>0</v>
      </c>
      <c r="AC58">
        <f>INDEX(CustomWeightsIntercept,MATCH(T58&amp;":"&amp;N58,CustomWeightsIndex,0))</f>
        <v>0</v>
      </c>
      <c r="AD58">
        <f>AA58*P58+AB58*Q58+AC58</f>
        <v>0</v>
      </c>
      <c r="AE58">
        <f>INDEX(CoefficientsGPA,MATCH(T58&amp;":"&amp;O58,CoefficientsIndex,0))</f>
        <v>0</v>
      </c>
      <c r="AF58">
        <f>INDEX(CoefficientsACT,MATCH(T58&amp;":"&amp;O58,CoefficientsIndex,0))</f>
        <v>0</v>
      </c>
      <c r="AG58">
        <f>INDEX(CoefficientsIntercept,MATCH(T58&amp;":"&amp;O58,CoefficientsIndex,0))</f>
        <v>0</v>
      </c>
      <c r="AH58">
        <f>AE58*P58+(Q58-Z58)*AF58+AG58</f>
        <v>0</v>
      </c>
      <c r="AI58">
        <f>IF(ISNUMBER(AD58),AD58,AH58)</f>
        <v>0</v>
      </c>
      <c r="AJ58">
        <f>IF(ISNUMBER(AI58),IF(ISNUMBER(AE58),IF(AND(AE58=1,AF58=1,AG58=1),100,ROUND(100*EXP(AI58)/(1+EXP(AI58)),2)),ROUND(100*EXP(AI58)/(1+EXP(AI58)),2)),IF(ISTEXT(O58),IF(LEFT(O58,1)="2",100,"N/A"),"N/A"))</f>
        <v>0</v>
      </c>
      <c r="AK58">
        <f>IF(ISNUMBER(AJ58),IF(AJ58&gt;=99,IF(OR(R58=10,R58=11),MatchLabel,SureThingLabel),IF(AJ58&gt;=95,SecureLabel,IF(AJ58&gt;=80,SafetyLabel,IF(AJ58&gt;=50,MatchLabel,IF(AJ58&gt;=20,ReachLabel,IF(AJ58&gt;=10,LongshotLabel,HailMaryLabel)))))),"Other")</f>
        <v>0</v>
      </c>
      <c r="AL58">
        <f>IF(OR(I58="accepted",I58="cond. accept",I58="summer admit"),IF(J58="yes","CHOICE!","Accepted!"),IF(I58="denied","Denied",IF(K58=1,"Waitlist",IF(L58=1,"Deferred",IF(G58="pending","Pending",IF(OR(G58="initial materials submitted",G58="mid-year submitted",G58="final submitted"),"Submitted",IF(H58="interest","Interest","?")))))))</f>
        <v>0</v>
      </c>
      <c r="AM58">
        <f>IF(OR(AK58=ReachLabel,AK58=LongshotLabel,AK58=HailMaryLabel),1,0)</f>
        <v>0</v>
      </c>
      <c r="AN58">
        <f>IF(OR(AM58=1,AK58=MatchLabel),1,0)</f>
        <v>0</v>
      </c>
      <c r="AO58">
        <f>IF(OR(AK58=MatchLabel,AK58=SafetyLabel,AK58=SecureLabel,AK58=SureThingLabel),1,0)</f>
        <v>0</v>
      </c>
      <c r="AP58">
        <f>IF(OR(T58="H",T58="B"),IF(ISNUMBER(Y58),ROUND(Y58,2),0),IF(ISNUMBER(X58),ROUND(X58,2),0))</f>
        <v>0</v>
      </c>
      <c r="AQ58">
        <f>IF(AP58&gt;=U58,1,0)</f>
        <v>0</v>
      </c>
      <c r="AR58">
        <f>IF(AP58&gt;=V58,1,0)</f>
        <v>0</v>
      </c>
      <c r="AS58">
        <f>IF(AP58&lt;(U58-0.10),1,0)</f>
        <v>0</v>
      </c>
      <c r="AT58">
        <f>1-AJ58/100</f>
        <v>0</v>
      </c>
      <c r="AU58">
        <f>IF(AN58=1,AT58,1)</f>
        <v>0</v>
      </c>
      <c r="AV58">
        <f>IF(AM58=1,AT58,1)</f>
        <v>0</v>
      </c>
      <c r="AW58">
        <f>IF(AND(AQ58=1,ISNUMBER(AT58)),$AT58,1)</f>
        <v>0</v>
      </c>
      <c r="AX58">
        <f>IF(AND(AR58=1,ISNUMBER(AT58)),$AT58,1)</f>
        <v>0</v>
      </c>
      <c r="AY58">
        <f>IF(ISNUMBER(Y58),INDEX(AllCollegeMoney, MATCH(N58,AllCollegeNCES,0)),0)</f>
        <v>0</v>
      </c>
      <c r="AZ58">
        <f>IF(AND(AQ58=1,ISNUMBER(AT58),AY58=1),$AT58,1)</f>
        <v>0</v>
      </c>
      <c r="BA58">
        <f>IF(AND(AR58=1,ISNUMBER(AT58),AY58=1),$AT58,1)</f>
        <v>0</v>
      </c>
      <c r="BB58">
        <f>IF(ISNUMBER(Y58),INDEX(AllCollegeILPub, MATCH(N58,AllCollegeNCES,0)),0)</f>
        <v>0</v>
      </c>
      <c r="BC58">
        <f>IF(AK58=ReachLabel,AP58,0)</f>
        <v>0</v>
      </c>
      <c r="BD58">
        <f>IF(AK58=MatchLabel,AP58,0)</f>
        <v>0</v>
      </c>
      <c r="BE58">
        <f>IF(AK58=SafetyLabel,AP58,0)</f>
        <v>0</v>
      </c>
      <c r="BF58">
        <f>IF(AK58=SecureLabel,AP58,0)</f>
        <v>0</v>
      </c>
      <c r="BG58">
        <f>IF(AK58=SureThingLabel,AP58,0)</f>
        <v>0</v>
      </c>
      <c r="BH58">
        <f>MAX(BC58:BG58)</f>
        <v>0</v>
      </c>
      <c r="BI58">
        <f>MAX(BD58:BG58)</f>
        <v>0</v>
      </c>
      <c r="BJ58">
        <f>MAX(BE58:BG58)</f>
        <v>0</v>
      </c>
      <c r="BK58">
        <f>IF(AND(AK58=ReachLabel,AY58=1),AP58,0)</f>
        <v>0</v>
      </c>
      <c r="BL58">
        <f>IF(AND(AK58=MatchLabel,AY58=1),AP58,0)</f>
        <v>0</v>
      </c>
      <c r="BM58">
        <f>IF(AND(AK58=SafetyLabel,AY58=1),AP58,0)</f>
        <v>0</v>
      </c>
      <c r="BN58">
        <f>IF(AND(AK58=SecureLabel,AY58=1),AP58,0)</f>
        <v>0</v>
      </c>
      <c r="BO58">
        <f>IF(AND(AK58=SureThingLabel,AY58=1),AP58,0)</f>
        <v>0</v>
      </c>
      <c r="BP58">
        <f>MAX(BK58:BO58)</f>
        <v>0</v>
      </c>
      <c r="BQ58">
        <f>MAX(BL58:BO58)</f>
        <v>0</v>
      </c>
      <c r="BR58">
        <f>MAX(BM58:BO58)</f>
        <v>0</v>
      </c>
      <c r="BS58">
        <f>IF(ISNUMBER(Y58),INDEX(AllCollegeChicago, MATCH(N58,AllCollegeNCES,0))*AY58,0)</f>
        <v>0</v>
      </c>
      <c r="BT58">
        <f>IF(ISNUMBER(Y58),INDEX(AllCollegeMoneyCode, MATCH(N58,AllCollegeNCES,0)),"?")</f>
        <v>0</v>
      </c>
      <c r="BU58">
        <f>IF(OR(BT58="---",BT58="--",BT58="+/--",BT58="+/---"),1,0)</f>
        <v>0</v>
      </c>
      <c r="BV58">
        <f>AY58*AO58*AQ58</f>
        <v>0</v>
      </c>
    </row>
    <row r="59" spans="1:74">
      <c r="A59" t="s">
        <v>86</v>
      </c>
      <c r="B59">
        <v>22165076</v>
      </c>
      <c r="C59" t="s">
        <v>185</v>
      </c>
      <c r="D59" t="s">
        <v>186</v>
      </c>
      <c r="E59" t="s">
        <v>428</v>
      </c>
      <c r="F59" t="s">
        <v>482</v>
      </c>
      <c r="G59" t="s">
        <v>430</v>
      </c>
      <c r="H59" t="s">
        <v>431</v>
      </c>
      <c r="I59" t="s">
        <v>432</v>
      </c>
      <c r="J59" t="s">
        <v>432</v>
      </c>
      <c r="K59">
        <v>0</v>
      </c>
      <c r="L59" t="s">
        <v>428</v>
      </c>
      <c r="M59" t="s">
        <v>428</v>
      </c>
      <c r="N59">
        <v>173902</v>
      </c>
      <c r="O59">
        <f>INDEX(AllCollegeBarrons,MATCH(N59,AllCollegeNCES,0))</f>
        <v>0</v>
      </c>
      <c r="P59">
        <f>INDEX(KidGPAs,MATCH(B59,KidIDs,0))</f>
        <v>0</v>
      </c>
      <c r="Q59">
        <f>INDEX(KidACTs,MATCH(B59,KidIDs,0))</f>
        <v>0</v>
      </c>
      <c r="R59">
        <f>INDEX(Strats,MATCH(B59,KidIDs,0))</f>
        <v>0</v>
      </c>
      <c r="S59">
        <f>INDEX(KidRace,MATCH(B59,KidIDs,0))</f>
        <v>0</v>
      </c>
      <c r="T59">
        <f>IF(OR(S59="M",S59="I"),"H",S59)</f>
        <v>0</v>
      </c>
      <c r="U59">
        <f>INDEX(StudentTargets,MATCH(B59,KidIDs,0))</f>
        <v>0</v>
      </c>
      <c r="V59">
        <f>INDEX(ReachStudentTargets,MATCH(B59,KidIDs,0))</f>
        <v>0</v>
      </c>
      <c r="W59">
        <f>IF(OR(M59="Posse"),1,0)</f>
        <v>0</v>
      </c>
      <c r="X59">
        <f>IF(ISNUMBER(INDEX(AllCollegeGR, MATCH(N59,AllCollegeNCES,0))),ROUND(INDEX(AllCollegeGR, MATCH(N59,AllCollegeNCES,0))+W59*IF(INDEX(AllCollegeGR, MATCH(N59,AllCollegeNCES,0))&gt;0.7,(1-INDEX(AllCollegeGR, MATCH(N59,AllCollegeNCES,0)))/2,0.15),2),INDEX(AllCollegeGR, MATCH(N59,AllCollegeNCES,0)))</f>
        <v>0</v>
      </c>
      <c r="Y59">
        <f>IF(ISNUMBER(INDEX(AllCollegeAAHGR, MATCH(N59,AllCollegeNCES,0))),ROUND(INDEX(AllCollegeAAHGR, MATCH(N59,AllCollegeNCES,0))+W59*IF(INDEX(AllCollegeAAHGR, MATCH(N59,AllCollegeNCES,0))&gt;0.7,(1-INDEX(AllCollegeAAHGR, MATCH(N59,AllCollegeNCES,0)))/2,0.15),2),INDEX(AllCollegeAAHGR, MATCH(N59,AllCollegeNCES,0)))</f>
        <v>0</v>
      </c>
      <c r="Z59">
        <f>IF(OR(T59="H",T59="B"),INDEX(AllCollegeACT25, MATCH(N59,AllCollegeNCES,0)),INDEX(AllCollegeACT50, MATCH(N59,AllCollegeNCES,0)))</f>
        <v>0</v>
      </c>
      <c r="AA59">
        <f>INDEX(CustomWeightsGPA,MATCH(T59&amp;":"&amp;N59,CustomWeightsIndex,0))</f>
        <v>0</v>
      </c>
      <c r="AB59">
        <f>INDEX(CustomWeightsACT,MATCH(T59&amp;":"&amp;N59,CustomWeightsIndex,0))</f>
        <v>0</v>
      </c>
      <c r="AC59">
        <f>INDEX(CustomWeightsIntercept,MATCH(T59&amp;":"&amp;N59,CustomWeightsIndex,0))</f>
        <v>0</v>
      </c>
      <c r="AD59">
        <f>AA59*P59+AB59*Q59+AC59</f>
        <v>0</v>
      </c>
      <c r="AE59">
        <f>INDEX(CoefficientsGPA,MATCH(T59&amp;":"&amp;O59,CoefficientsIndex,0))</f>
        <v>0</v>
      </c>
      <c r="AF59">
        <f>INDEX(CoefficientsACT,MATCH(T59&amp;":"&amp;O59,CoefficientsIndex,0))</f>
        <v>0</v>
      </c>
      <c r="AG59">
        <f>INDEX(CoefficientsIntercept,MATCH(T59&amp;":"&amp;O59,CoefficientsIndex,0))</f>
        <v>0</v>
      </c>
      <c r="AH59">
        <f>AE59*P59+(Q59-Z59)*AF59+AG59</f>
        <v>0</v>
      </c>
      <c r="AI59">
        <f>IF(ISNUMBER(AD59),AD59,AH59)</f>
        <v>0</v>
      </c>
      <c r="AJ59">
        <f>IF(ISNUMBER(AI59),IF(ISNUMBER(AE59),IF(AND(AE59=1,AF59=1,AG59=1),100,ROUND(100*EXP(AI59)/(1+EXP(AI59)),2)),ROUND(100*EXP(AI59)/(1+EXP(AI59)),2)),IF(ISTEXT(O59),IF(LEFT(O59,1)="2",100,"N/A"),"N/A"))</f>
        <v>0</v>
      </c>
      <c r="AK59">
        <f>IF(ISNUMBER(AJ59),IF(AJ59&gt;=99,IF(OR(R59=10,R59=11),MatchLabel,SureThingLabel),IF(AJ59&gt;=95,SecureLabel,IF(AJ59&gt;=80,SafetyLabel,IF(AJ59&gt;=50,MatchLabel,IF(AJ59&gt;=20,ReachLabel,IF(AJ59&gt;=10,LongshotLabel,HailMaryLabel)))))),"Other")</f>
        <v>0</v>
      </c>
      <c r="AL59">
        <f>IF(OR(I59="accepted",I59="cond. accept",I59="summer admit"),IF(J59="yes","CHOICE!","Accepted!"),IF(I59="denied","Denied",IF(K59=1,"Waitlist",IF(L59=1,"Deferred",IF(G59="pending","Pending",IF(OR(G59="initial materials submitted",G59="mid-year submitted",G59="final submitted"),"Submitted",IF(H59="interest","Interest","?")))))))</f>
        <v>0</v>
      </c>
      <c r="AM59">
        <f>IF(OR(AK59=ReachLabel,AK59=LongshotLabel,AK59=HailMaryLabel),1,0)</f>
        <v>0</v>
      </c>
      <c r="AN59">
        <f>IF(OR(AM59=1,AK59=MatchLabel),1,0)</f>
        <v>0</v>
      </c>
      <c r="AO59">
        <f>IF(OR(AK59=MatchLabel,AK59=SafetyLabel,AK59=SecureLabel,AK59=SureThingLabel),1,0)</f>
        <v>0</v>
      </c>
      <c r="AP59">
        <f>IF(OR(T59="H",T59="B"),IF(ISNUMBER(Y59),ROUND(Y59,2),0),IF(ISNUMBER(X59),ROUND(X59,2),0))</f>
        <v>0</v>
      </c>
      <c r="AQ59">
        <f>IF(AP59&gt;=U59,1,0)</f>
        <v>0</v>
      </c>
      <c r="AR59">
        <f>IF(AP59&gt;=V59,1,0)</f>
        <v>0</v>
      </c>
      <c r="AS59">
        <f>IF(AP59&lt;(U59-0.10),1,0)</f>
        <v>0</v>
      </c>
      <c r="AT59">
        <f>1-AJ59/100</f>
        <v>0</v>
      </c>
      <c r="AU59">
        <f>IF(AN59=1,AT59,1)</f>
        <v>0</v>
      </c>
      <c r="AV59">
        <f>IF(AM59=1,AT59,1)</f>
        <v>0</v>
      </c>
      <c r="AW59">
        <f>IF(AND(AQ59=1,ISNUMBER(AT59)),$AT59,1)</f>
        <v>0</v>
      </c>
      <c r="AX59">
        <f>IF(AND(AR59=1,ISNUMBER(AT59)),$AT59,1)</f>
        <v>0</v>
      </c>
      <c r="AY59">
        <f>IF(ISNUMBER(Y59),INDEX(AllCollegeMoney, MATCH(N59,AllCollegeNCES,0)),0)</f>
        <v>0</v>
      </c>
      <c r="AZ59">
        <f>IF(AND(AQ59=1,ISNUMBER(AT59),AY59=1),$AT59,1)</f>
        <v>0</v>
      </c>
      <c r="BA59">
        <f>IF(AND(AR59=1,ISNUMBER(AT59),AY59=1),$AT59,1)</f>
        <v>0</v>
      </c>
      <c r="BB59">
        <f>IF(ISNUMBER(Y59),INDEX(AllCollegeILPub, MATCH(N59,AllCollegeNCES,0)),0)</f>
        <v>0</v>
      </c>
      <c r="BC59">
        <f>IF(AK59=ReachLabel,AP59,0)</f>
        <v>0</v>
      </c>
      <c r="BD59">
        <f>IF(AK59=MatchLabel,AP59,0)</f>
        <v>0</v>
      </c>
      <c r="BE59">
        <f>IF(AK59=SafetyLabel,AP59,0)</f>
        <v>0</v>
      </c>
      <c r="BF59">
        <f>IF(AK59=SecureLabel,AP59,0)</f>
        <v>0</v>
      </c>
      <c r="BG59">
        <f>IF(AK59=SureThingLabel,AP59,0)</f>
        <v>0</v>
      </c>
      <c r="BH59">
        <f>MAX(BC59:BG59)</f>
        <v>0</v>
      </c>
      <c r="BI59">
        <f>MAX(BD59:BG59)</f>
        <v>0</v>
      </c>
      <c r="BJ59">
        <f>MAX(BE59:BG59)</f>
        <v>0</v>
      </c>
      <c r="BK59">
        <f>IF(AND(AK59=ReachLabel,AY59=1),AP59,0)</f>
        <v>0</v>
      </c>
      <c r="BL59">
        <f>IF(AND(AK59=MatchLabel,AY59=1),AP59,0)</f>
        <v>0</v>
      </c>
      <c r="BM59">
        <f>IF(AND(AK59=SafetyLabel,AY59=1),AP59,0)</f>
        <v>0</v>
      </c>
      <c r="BN59">
        <f>IF(AND(AK59=SecureLabel,AY59=1),AP59,0)</f>
        <v>0</v>
      </c>
      <c r="BO59">
        <f>IF(AND(AK59=SureThingLabel,AY59=1),AP59,0)</f>
        <v>0</v>
      </c>
      <c r="BP59">
        <f>MAX(BK59:BO59)</f>
        <v>0</v>
      </c>
      <c r="BQ59">
        <f>MAX(BL59:BO59)</f>
        <v>0</v>
      </c>
      <c r="BR59">
        <f>MAX(BM59:BO59)</f>
        <v>0</v>
      </c>
      <c r="BS59">
        <f>IF(ISNUMBER(Y59),INDEX(AllCollegeChicago, MATCH(N59,AllCollegeNCES,0))*AY59,0)</f>
        <v>0</v>
      </c>
      <c r="BT59">
        <f>IF(ISNUMBER(Y59),INDEX(AllCollegeMoneyCode, MATCH(N59,AllCollegeNCES,0)),"?")</f>
        <v>0</v>
      </c>
      <c r="BU59">
        <f>IF(OR(BT59="---",BT59="--",BT59="+/--",BT59="+/---"),1,0)</f>
        <v>0</v>
      </c>
      <c r="BV59">
        <f>AY59*AO59*AQ59</f>
        <v>0</v>
      </c>
    </row>
    <row r="60" spans="1:74">
      <c r="A60" t="s">
        <v>86</v>
      </c>
      <c r="B60">
        <v>22165076</v>
      </c>
      <c r="C60" t="s">
        <v>185</v>
      </c>
      <c r="D60" t="s">
        <v>186</v>
      </c>
      <c r="E60" t="s">
        <v>428</v>
      </c>
      <c r="F60" t="s">
        <v>483</v>
      </c>
      <c r="G60" t="s">
        <v>430</v>
      </c>
      <c r="H60" t="s">
        <v>431</v>
      </c>
      <c r="I60" t="s">
        <v>432</v>
      </c>
      <c r="J60" t="s">
        <v>432</v>
      </c>
      <c r="K60">
        <v>0</v>
      </c>
      <c r="L60" t="s">
        <v>428</v>
      </c>
      <c r="M60" t="s">
        <v>428</v>
      </c>
      <c r="N60">
        <v>153384</v>
      </c>
      <c r="O60">
        <f>INDEX(AllCollegeBarrons,MATCH(N60,AllCollegeNCES,0))</f>
        <v>0</v>
      </c>
      <c r="P60">
        <f>INDEX(KidGPAs,MATCH(B60,KidIDs,0))</f>
        <v>0</v>
      </c>
      <c r="Q60">
        <f>INDEX(KidACTs,MATCH(B60,KidIDs,0))</f>
        <v>0</v>
      </c>
      <c r="R60">
        <f>INDEX(Strats,MATCH(B60,KidIDs,0))</f>
        <v>0</v>
      </c>
      <c r="S60">
        <f>INDEX(KidRace,MATCH(B60,KidIDs,0))</f>
        <v>0</v>
      </c>
      <c r="T60">
        <f>IF(OR(S60="M",S60="I"),"H",S60)</f>
        <v>0</v>
      </c>
      <c r="U60">
        <f>INDEX(StudentTargets,MATCH(B60,KidIDs,0))</f>
        <v>0</v>
      </c>
      <c r="V60">
        <f>INDEX(ReachStudentTargets,MATCH(B60,KidIDs,0))</f>
        <v>0</v>
      </c>
      <c r="W60">
        <f>IF(OR(M60="Posse"),1,0)</f>
        <v>0</v>
      </c>
      <c r="X60">
        <f>IF(ISNUMBER(INDEX(AllCollegeGR, MATCH(N60,AllCollegeNCES,0))),ROUND(INDEX(AllCollegeGR, MATCH(N60,AllCollegeNCES,0))+W60*IF(INDEX(AllCollegeGR, MATCH(N60,AllCollegeNCES,0))&gt;0.7,(1-INDEX(AllCollegeGR, MATCH(N60,AllCollegeNCES,0)))/2,0.15),2),INDEX(AllCollegeGR, MATCH(N60,AllCollegeNCES,0)))</f>
        <v>0</v>
      </c>
      <c r="Y60">
        <f>IF(ISNUMBER(INDEX(AllCollegeAAHGR, MATCH(N60,AllCollegeNCES,0))),ROUND(INDEX(AllCollegeAAHGR, MATCH(N60,AllCollegeNCES,0))+W60*IF(INDEX(AllCollegeAAHGR, MATCH(N60,AllCollegeNCES,0))&gt;0.7,(1-INDEX(AllCollegeAAHGR, MATCH(N60,AllCollegeNCES,0)))/2,0.15),2),INDEX(AllCollegeAAHGR, MATCH(N60,AllCollegeNCES,0)))</f>
        <v>0</v>
      </c>
      <c r="Z60">
        <f>IF(OR(T60="H",T60="B"),INDEX(AllCollegeACT25, MATCH(N60,AllCollegeNCES,0)),INDEX(AllCollegeACT50, MATCH(N60,AllCollegeNCES,0)))</f>
        <v>0</v>
      </c>
      <c r="AA60">
        <f>INDEX(CustomWeightsGPA,MATCH(T60&amp;":"&amp;N60,CustomWeightsIndex,0))</f>
        <v>0</v>
      </c>
      <c r="AB60">
        <f>INDEX(CustomWeightsACT,MATCH(T60&amp;":"&amp;N60,CustomWeightsIndex,0))</f>
        <v>0</v>
      </c>
      <c r="AC60">
        <f>INDEX(CustomWeightsIntercept,MATCH(T60&amp;":"&amp;N60,CustomWeightsIndex,0))</f>
        <v>0</v>
      </c>
      <c r="AD60">
        <f>AA60*P60+AB60*Q60+AC60</f>
        <v>0</v>
      </c>
      <c r="AE60">
        <f>INDEX(CoefficientsGPA,MATCH(T60&amp;":"&amp;O60,CoefficientsIndex,0))</f>
        <v>0</v>
      </c>
      <c r="AF60">
        <f>INDEX(CoefficientsACT,MATCH(T60&amp;":"&amp;O60,CoefficientsIndex,0))</f>
        <v>0</v>
      </c>
      <c r="AG60">
        <f>INDEX(CoefficientsIntercept,MATCH(T60&amp;":"&amp;O60,CoefficientsIndex,0))</f>
        <v>0</v>
      </c>
      <c r="AH60">
        <f>AE60*P60+(Q60-Z60)*AF60+AG60</f>
        <v>0</v>
      </c>
      <c r="AI60">
        <f>IF(ISNUMBER(AD60),AD60,AH60)</f>
        <v>0</v>
      </c>
      <c r="AJ60">
        <f>IF(ISNUMBER(AI60),IF(ISNUMBER(AE60),IF(AND(AE60=1,AF60=1,AG60=1),100,ROUND(100*EXP(AI60)/(1+EXP(AI60)),2)),ROUND(100*EXP(AI60)/(1+EXP(AI60)),2)),IF(ISTEXT(O60),IF(LEFT(O60,1)="2",100,"N/A"),"N/A"))</f>
        <v>0</v>
      </c>
      <c r="AK60">
        <f>IF(ISNUMBER(AJ60),IF(AJ60&gt;=99,IF(OR(R60=10,R60=11),MatchLabel,SureThingLabel),IF(AJ60&gt;=95,SecureLabel,IF(AJ60&gt;=80,SafetyLabel,IF(AJ60&gt;=50,MatchLabel,IF(AJ60&gt;=20,ReachLabel,IF(AJ60&gt;=10,LongshotLabel,HailMaryLabel)))))),"Other")</f>
        <v>0</v>
      </c>
      <c r="AL60">
        <f>IF(OR(I60="accepted",I60="cond. accept",I60="summer admit"),IF(J60="yes","CHOICE!","Accepted!"),IF(I60="denied","Denied",IF(K60=1,"Waitlist",IF(L60=1,"Deferred",IF(G60="pending","Pending",IF(OR(G60="initial materials submitted",G60="mid-year submitted",G60="final submitted"),"Submitted",IF(H60="interest","Interest","?")))))))</f>
        <v>0</v>
      </c>
      <c r="AM60">
        <f>IF(OR(AK60=ReachLabel,AK60=LongshotLabel,AK60=HailMaryLabel),1,0)</f>
        <v>0</v>
      </c>
      <c r="AN60">
        <f>IF(OR(AM60=1,AK60=MatchLabel),1,0)</f>
        <v>0</v>
      </c>
      <c r="AO60">
        <f>IF(OR(AK60=MatchLabel,AK60=SafetyLabel,AK60=SecureLabel,AK60=SureThingLabel),1,0)</f>
        <v>0</v>
      </c>
      <c r="AP60">
        <f>IF(OR(T60="H",T60="B"),IF(ISNUMBER(Y60),ROUND(Y60,2),0),IF(ISNUMBER(X60),ROUND(X60,2),0))</f>
        <v>0</v>
      </c>
      <c r="AQ60">
        <f>IF(AP60&gt;=U60,1,0)</f>
        <v>0</v>
      </c>
      <c r="AR60">
        <f>IF(AP60&gt;=V60,1,0)</f>
        <v>0</v>
      </c>
      <c r="AS60">
        <f>IF(AP60&lt;(U60-0.10),1,0)</f>
        <v>0</v>
      </c>
      <c r="AT60">
        <f>1-AJ60/100</f>
        <v>0</v>
      </c>
      <c r="AU60">
        <f>IF(AN60=1,AT60,1)</f>
        <v>0</v>
      </c>
      <c r="AV60">
        <f>IF(AM60=1,AT60,1)</f>
        <v>0</v>
      </c>
      <c r="AW60">
        <f>IF(AND(AQ60=1,ISNUMBER(AT60)),$AT60,1)</f>
        <v>0</v>
      </c>
      <c r="AX60">
        <f>IF(AND(AR60=1,ISNUMBER(AT60)),$AT60,1)</f>
        <v>0</v>
      </c>
      <c r="AY60">
        <f>IF(ISNUMBER(Y60),INDEX(AllCollegeMoney, MATCH(N60,AllCollegeNCES,0)),0)</f>
        <v>0</v>
      </c>
      <c r="AZ60">
        <f>IF(AND(AQ60=1,ISNUMBER(AT60),AY60=1),$AT60,1)</f>
        <v>0</v>
      </c>
      <c r="BA60">
        <f>IF(AND(AR60=1,ISNUMBER(AT60),AY60=1),$AT60,1)</f>
        <v>0</v>
      </c>
      <c r="BB60">
        <f>IF(ISNUMBER(Y60),INDEX(AllCollegeILPub, MATCH(N60,AllCollegeNCES,0)),0)</f>
        <v>0</v>
      </c>
      <c r="BC60">
        <f>IF(AK60=ReachLabel,AP60,0)</f>
        <v>0</v>
      </c>
      <c r="BD60">
        <f>IF(AK60=MatchLabel,AP60,0)</f>
        <v>0</v>
      </c>
      <c r="BE60">
        <f>IF(AK60=SafetyLabel,AP60,0)</f>
        <v>0</v>
      </c>
      <c r="BF60">
        <f>IF(AK60=SecureLabel,AP60,0)</f>
        <v>0</v>
      </c>
      <c r="BG60">
        <f>IF(AK60=SureThingLabel,AP60,0)</f>
        <v>0</v>
      </c>
      <c r="BH60">
        <f>MAX(BC60:BG60)</f>
        <v>0</v>
      </c>
      <c r="BI60">
        <f>MAX(BD60:BG60)</f>
        <v>0</v>
      </c>
      <c r="BJ60">
        <f>MAX(BE60:BG60)</f>
        <v>0</v>
      </c>
      <c r="BK60">
        <f>IF(AND(AK60=ReachLabel,AY60=1),AP60,0)</f>
        <v>0</v>
      </c>
      <c r="BL60">
        <f>IF(AND(AK60=MatchLabel,AY60=1),AP60,0)</f>
        <v>0</v>
      </c>
      <c r="BM60">
        <f>IF(AND(AK60=SafetyLabel,AY60=1),AP60,0)</f>
        <v>0</v>
      </c>
      <c r="BN60">
        <f>IF(AND(AK60=SecureLabel,AY60=1),AP60,0)</f>
        <v>0</v>
      </c>
      <c r="BO60">
        <f>IF(AND(AK60=SureThingLabel,AY60=1),AP60,0)</f>
        <v>0</v>
      </c>
      <c r="BP60">
        <f>MAX(BK60:BO60)</f>
        <v>0</v>
      </c>
      <c r="BQ60">
        <f>MAX(BL60:BO60)</f>
        <v>0</v>
      </c>
      <c r="BR60">
        <f>MAX(BM60:BO60)</f>
        <v>0</v>
      </c>
      <c r="BS60">
        <f>IF(ISNUMBER(Y60),INDEX(AllCollegeChicago, MATCH(N60,AllCollegeNCES,0))*AY60,0)</f>
        <v>0</v>
      </c>
      <c r="BT60">
        <f>IF(ISNUMBER(Y60),INDEX(AllCollegeMoneyCode, MATCH(N60,AllCollegeNCES,0)),"?")</f>
        <v>0</v>
      </c>
      <c r="BU60">
        <f>IF(OR(BT60="---",BT60="--",BT60="+/--",BT60="+/---"),1,0)</f>
        <v>0</v>
      </c>
      <c r="BV60">
        <f>AY60*AO60*AQ60</f>
        <v>0</v>
      </c>
    </row>
    <row r="61" spans="1:74">
      <c r="A61" t="s">
        <v>86</v>
      </c>
      <c r="B61">
        <v>22165076</v>
      </c>
      <c r="C61" t="s">
        <v>185</v>
      </c>
      <c r="D61" t="s">
        <v>186</v>
      </c>
      <c r="E61" t="s">
        <v>428</v>
      </c>
      <c r="F61" t="s">
        <v>457</v>
      </c>
      <c r="G61" t="s">
        <v>463</v>
      </c>
      <c r="H61" t="s">
        <v>431</v>
      </c>
      <c r="I61" t="s">
        <v>432</v>
      </c>
      <c r="J61" t="s">
        <v>432</v>
      </c>
      <c r="K61">
        <v>0</v>
      </c>
      <c r="L61" t="s">
        <v>428</v>
      </c>
      <c r="M61" t="s">
        <v>428</v>
      </c>
      <c r="N61">
        <v>145637</v>
      </c>
      <c r="O61">
        <f>INDEX(AllCollegeBarrons,MATCH(N61,AllCollegeNCES,0))</f>
        <v>0</v>
      </c>
      <c r="P61">
        <f>INDEX(KidGPAs,MATCH(B61,KidIDs,0))</f>
        <v>0</v>
      </c>
      <c r="Q61">
        <f>INDEX(KidACTs,MATCH(B61,KidIDs,0))</f>
        <v>0</v>
      </c>
      <c r="R61">
        <f>INDEX(Strats,MATCH(B61,KidIDs,0))</f>
        <v>0</v>
      </c>
      <c r="S61">
        <f>INDEX(KidRace,MATCH(B61,KidIDs,0))</f>
        <v>0</v>
      </c>
      <c r="T61">
        <f>IF(OR(S61="M",S61="I"),"H",S61)</f>
        <v>0</v>
      </c>
      <c r="U61">
        <f>INDEX(StudentTargets,MATCH(B61,KidIDs,0))</f>
        <v>0</v>
      </c>
      <c r="V61">
        <f>INDEX(ReachStudentTargets,MATCH(B61,KidIDs,0))</f>
        <v>0</v>
      </c>
      <c r="W61">
        <f>IF(OR(M61="Posse"),1,0)</f>
        <v>0</v>
      </c>
      <c r="X61">
        <f>IF(ISNUMBER(INDEX(AllCollegeGR, MATCH(N61,AllCollegeNCES,0))),ROUND(INDEX(AllCollegeGR, MATCH(N61,AllCollegeNCES,0))+W61*IF(INDEX(AllCollegeGR, MATCH(N61,AllCollegeNCES,0))&gt;0.7,(1-INDEX(AllCollegeGR, MATCH(N61,AllCollegeNCES,0)))/2,0.15),2),INDEX(AllCollegeGR, MATCH(N61,AllCollegeNCES,0)))</f>
        <v>0</v>
      </c>
      <c r="Y61">
        <f>IF(ISNUMBER(INDEX(AllCollegeAAHGR, MATCH(N61,AllCollegeNCES,0))),ROUND(INDEX(AllCollegeAAHGR, MATCH(N61,AllCollegeNCES,0))+W61*IF(INDEX(AllCollegeAAHGR, MATCH(N61,AllCollegeNCES,0))&gt;0.7,(1-INDEX(AllCollegeAAHGR, MATCH(N61,AllCollegeNCES,0)))/2,0.15),2),INDEX(AllCollegeAAHGR, MATCH(N61,AllCollegeNCES,0)))</f>
        <v>0</v>
      </c>
      <c r="Z61">
        <f>IF(OR(T61="H",T61="B"),INDEX(AllCollegeACT25, MATCH(N61,AllCollegeNCES,0)),INDEX(AllCollegeACT50, MATCH(N61,AllCollegeNCES,0)))</f>
        <v>0</v>
      </c>
      <c r="AA61">
        <f>INDEX(CustomWeightsGPA,MATCH(T61&amp;":"&amp;N61,CustomWeightsIndex,0))</f>
        <v>0</v>
      </c>
      <c r="AB61">
        <f>INDEX(CustomWeightsACT,MATCH(T61&amp;":"&amp;N61,CustomWeightsIndex,0))</f>
        <v>0</v>
      </c>
      <c r="AC61">
        <f>INDEX(CustomWeightsIntercept,MATCH(T61&amp;":"&amp;N61,CustomWeightsIndex,0))</f>
        <v>0</v>
      </c>
      <c r="AD61">
        <f>AA61*P61+AB61*Q61+AC61</f>
        <v>0</v>
      </c>
      <c r="AE61">
        <f>INDEX(CoefficientsGPA,MATCH(T61&amp;":"&amp;O61,CoefficientsIndex,0))</f>
        <v>0</v>
      </c>
      <c r="AF61">
        <f>INDEX(CoefficientsACT,MATCH(T61&amp;":"&amp;O61,CoefficientsIndex,0))</f>
        <v>0</v>
      </c>
      <c r="AG61">
        <f>INDEX(CoefficientsIntercept,MATCH(T61&amp;":"&amp;O61,CoefficientsIndex,0))</f>
        <v>0</v>
      </c>
      <c r="AH61">
        <f>AE61*P61+(Q61-Z61)*AF61+AG61</f>
        <v>0</v>
      </c>
      <c r="AI61">
        <f>IF(ISNUMBER(AD61),AD61,AH61)</f>
        <v>0</v>
      </c>
      <c r="AJ61">
        <f>IF(ISNUMBER(AI61),IF(ISNUMBER(AE61),IF(AND(AE61=1,AF61=1,AG61=1),100,ROUND(100*EXP(AI61)/(1+EXP(AI61)),2)),ROUND(100*EXP(AI61)/(1+EXP(AI61)),2)),IF(ISTEXT(O61),IF(LEFT(O61,1)="2",100,"N/A"),"N/A"))</f>
        <v>0</v>
      </c>
      <c r="AK61">
        <f>IF(ISNUMBER(AJ61),IF(AJ61&gt;=99,IF(OR(R61=10,R61=11),MatchLabel,SureThingLabel),IF(AJ61&gt;=95,SecureLabel,IF(AJ61&gt;=80,SafetyLabel,IF(AJ61&gt;=50,MatchLabel,IF(AJ61&gt;=20,ReachLabel,IF(AJ61&gt;=10,LongshotLabel,HailMaryLabel)))))),"Other")</f>
        <v>0</v>
      </c>
      <c r="AL61">
        <f>IF(OR(I61="accepted",I61="cond. accept",I61="summer admit"),IF(J61="yes","CHOICE!","Accepted!"),IF(I61="denied","Denied",IF(K61=1,"Waitlist",IF(L61=1,"Deferred",IF(G61="pending","Pending",IF(OR(G61="initial materials submitted",G61="mid-year submitted",G61="final submitted"),"Submitted",IF(H61="interest","Interest","?")))))))</f>
        <v>0</v>
      </c>
      <c r="AM61">
        <f>IF(OR(AK61=ReachLabel,AK61=LongshotLabel,AK61=HailMaryLabel),1,0)</f>
        <v>0</v>
      </c>
      <c r="AN61">
        <f>IF(OR(AM61=1,AK61=MatchLabel),1,0)</f>
        <v>0</v>
      </c>
      <c r="AO61">
        <f>IF(OR(AK61=MatchLabel,AK61=SafetyLabel,AK61=SecureLabel,AK61=SureThingLabel),1,0)</f>
        <v>0</v>
      </c>
      <c r="AP61">
        <f>IF(OR(T61="H",T61="B"),IF(ISNUMBER(Y61),ROUND(Y61,2),0),IF(ISNUMBER(X61),ROUND(X61,2),0))</f>
        <v>0</v>
      </c>
      <c r="AQ61">
        <f>IF(AP61&gt;=U61,1,0)</f>
        <v>0</v>
      </c>
      <c r="AR61">
        <f>IF(AP61&gt;=V61,1,0)</f>
        <v>0</v>
      </c>
      <c r="AS61">
        <f>IF(AP61&lt;(U61-0.10),1,0)</f>
        <v>0</v>
      </c>
      <c r="AT61">
        <f>1-AJ61/100</f>
        <v>0</v>
      </c>
      <c r="AU61">
        <f>IF(AN61=1,AT61,1)</f>
        <v>0</v>
      </c>
      <c r="AV61">
        <f>IF(AM61=1,AT61,1)</f>
        <v>0</v>
      </c>
      <c r="AW61">
        <f>IF(AND(AQ61=1,ISNUMBER(AT61)),$AT61,1)</f>
        <v>0</v>
      </c>
      <c r="AX61">
        <f>IF(AND(AR61=1,ISNUMBER(AT61)),$AT61,1)</f>
        <v>0</v>
      </c>
      <c r="AY61">
        <f>IF(ISNUMBER(Y61),INDEX(AllCollegeMoney, MATCH(N61,AllCollegeNCES,0)),0)</f>
        <v>0</v>
      </c>
      <c r="AZ61">
        <f>IF(AND(AQ61=1,ISNUMBER(AT61),AY61=1),$AT61,1)</f>
        <v>0</v>
      </c>
      <c r="BA61">
        <f>IF(AND(AR61=1,ISNUMBER(AT61),AY61=1),$AT61,1)</f>
        <v>0</v>
      </c>
      <c r="BB61">
        <f>IF(ISNUMBER(Y61),INDEX(AllCollegeILPub, MATCH(N61,AllCollegeNCES,0)),0)</f>
        <v>0</v>
      </c>
      <c r="BC61">
        <f>IF(AK61=ReachLabel,AP61,0)</f>
        <v>0</v>
      </c>
      <c r="BD61">
        <f>IF(AK61=MatchLabel,AP61,0)</f>
        <v>0</v>
      </c>
      <c r="BE61">
        <f>IF(AK61=SafetyLabel,AP61,0)</f>
        <v>0</v>
      </c>
      <c r="BF61">
        <f>IF(AK61=SecureLabel,AP61,0)</f>
        <v>0</v>
      </c>
      <c r="BG61">
        <f>IF(AK61=SureThingLabel,AP61,0)</f>
        <v>0</v>
      </c>
      <c r="BH61">
        <f>MAX(BC61:BG61)</f>
        <v>0</v>
      </c>
      <c r="BI61">
        <f>MAX(BD61:BG61)</f>
        <v>0</v>
      </c>
      <c r="BJ61">
        <f>MAX(BE61:BG61)</f>
        <v>0</v>
      </c>
      <c r="BK61">
        <f>IF(AND(AK61=ReachLabel,AY61=1),AP61,0)</f>
        <v>0</v>
      </c>
      <c r="BL61">
        <f>IF(AND(AK61=MatchLabel,AY61=1),AP61,0)</f>
        <v>0</v>
      </c>
      <c r="BM61">
        <f>IF(AND(AK61=SafetyLabel,AY61=1),AP61,0)</f>
        <v>0</v>
      </c>
      <c r="BN61">
        <f>IF(AND(AK61=SecureLabel,AY61=1),AP61,0)</f>
        <v>0</v>
      </c>
      <c r="BO61">
        <f>IF(AND(AK61=SureThingLabel,AY61=1),AP61,0)</f>
        <v>0</v>
      </c>
      <c r="BP61">
        <f>MAX(BK61:BO61)</f>
        <v>0</v>
      </c>
      <c r="BQ61">
        <f>MAX(BL61:BO61)</f>
        <v>0</v>
      </c>
      <c r="BR61">
        <f>MAX(BM61:BO61)</f>
        <v>0</v>
      </c>
      <c r="BS61">
        <f>IF(ISNUMBER(Y61),INDEX(AllCollegeChicago, MATCH(N61,AllCollegeNCES,0))*AY61,0)</f>
        <v>0</v>
      </c>
      <c r="BT61">
        <f>IF(ISNUMBER(Y61),INDEX(AllCollegeMoneyCode, MATCH(N61,AllCollegeNCES,0)),"?")</f>
        <v>0</v>
      </c>
      <c r="BU61">
        <f>IF(OR(BT61="---",BT61="--",BT61="+/--",BT61="+/---"),1,0)</f>
        <v>0</v>
      </c>
      <c r="BV61">
        <f>AY61*AO61*AQ61</f>
        <v>0</v>
      </c>
    </row>
    <row r="62" spans="1:74">
      <c r="A62" t="s">
        <v>86</v>
      </c>
      <c r="B62">
        <v>22264507</v>
      </c>
      <c r="C62" t="s">
        <v>163</v>
      </c>
      <c r="D62" t="s">
        <v>164</v>
      </c>
      <c r="E62" t="s">
        <v>428</v>
      </c>
      <c r="F62" t="s">
        <v>456</v>
      </c>
      <c r="G62" t="s">
        <v>430</v>
      </c>
      <c r="H62" t="s">
        <v>431</v>
      </c>
      <c r="I62" t="s">
        <v>432</v>
      </c>
      <c r="J62" t="s">
        <v>432</v>
      </c>
      <c r="K62">
        <v>0</v>
      </c>
      <c r="L62" t="s">
        <v>428</v>
      </c>
      <c r="M62" t="s">
        <v>428</v>
      </c>
      <c r="N62">
        <v>213668</v>
      </c>
      <c r="O62">
        <f>INDEX(AllCollegeBarrons,MATCH(N62,AllCollegeNCES,0))</f>
        <v>0</v>
      </c>
      <c r="P62">
        <f>INDEX(KidGPAs,MATCH(B62,KidIDs,0))</f>
        <v>0</v>
      </c>
      <c r="Q62">
        <f>INDEX(KidACTs,MATCH(B62,KidIDs,0))</f>
        <v>0</v>
      </c>
      <c r="R62">
        <f>INDEX(Strats,MATCH(B62,KidIDs,0))</f>
        <v>0</v>
      </c>
      <c r="S62">
        <f>INDEX(KidRace,MATCH(B62,KidIDs,0))</f>
        <v>0</v>
      </c>
      <c r="T62">
        <f>IF(OR(S62="M",S62="I"),"H",S62)</f>
        <v>0</v>
      </c>
      <c r="U62">
        <f>INDEX(StudentTargets,MATCH(B62,KidIDs,0))</f>
        <v>0</v>
      </c>
      <c r="V62">
        <f>INDEX(ReachStudentTargets,MATCH(B62,KidIDs,0))</f>
        <v>0</v>
      </c>
      <c r="W62">
        <f>IF(OR(M62="Posse"),1,0)</f>
        <v>0</v>
      </c>
      <c r="X62">
        <f>IF(ISNUMBER(INDEX(AllCollegeGR, MATCH(N62,AllCollegeNCES,0))),ROUND(INDEX(AllCollegeGR, MATCH(N62,AllCollegeNCES,0))+W62*IF(INDEX(AllCollegeGR, MATCH(N62,AllCollegeNCES,0))&gt;0.7,(1-INDEX(AllCollegeGR, MATCH(N62,AllCollegeNCES,0)))/2,0.15),2),INDEX(AllCollegeGR, MATCH(N62,AllCollegeNCES,0)))</f>
        <v>0</v>
      </c>
      <c r="Y62">
        <f>IF(ISNUMBER(INDEX(AllCollegeAAHGR, MATCH(N62,AllCollegeNCES,0))),ROUND(INDEX(AllCollegeAAHGR, MATCH(N62,AllCollegeNCES,0))+W62*IF(INDEX(AllCollegeAAHGR, MATCH(N62,AllCollegeNCES,0))&gt;0.7,(1-INDEX(AllCollegeAAHGR, MATCH(N62,AllCollegeNCES,0)))/2,0.15),2),INDEX(AllCollegeAAHGR, MATCH(N62,AllCollegeNCES,0)))</f>
        <v>0</v>
      </c>
      <c r="Z62">
        <f>IF(OR(T62="H",T62="B"),INDEX(AllCollegeACT25, MATCH(N62,AllCollegeNCES,0)),INDEX(AllCollegeACT50, MATCH(N62,AllCollegeNCES,0)))</f>
        <v>0</v>
      </c>
      <c r="AA62">
        <f>INDEX(CustomWeightsGPA,MATCH(T62&amp;":"&amp;N62,CustomWeightsIndex,0))</f>
        <v>0</v>
      </c>
      <c r="AB62">
        <f>INDEX(CustomWeightsACT,MATCH(T62&amp;":"&amp;N62,CustomWeightsIndex,0))</f>
        <v>0</v>
      </c>
      <c r="AC62">
        <f>INDEX(CustomWeightsIntercept,MATCH(T62&amp;":"&amp;N62,CustomWeightsIndex,0))</f>
        <v>0</v>
      </c>
      <c r="AD62">
        <f>AA62*P62+AB62*Q62+AC62</f>
        <v>0</v>
      </c>
      <c r="AE62">
        <f>INDEX(CoefficientsGPA,MATCH(T62&amp;":"&amp;O62,CoefficientsIndex,0))</f>
        <v>0</v>
      </c>
      <c r="AF62">
        <f>INDEX(CoefficientsACT,MATCH(T62&amp;":"&amp;O62,CoefficientsIndex,0))</f>
        <v>0</v>
      </c>
      <c r="AG62">
        <f>INDEX(CoefficientsIntercept,MATCH(T62&amp;":"&amp;O62,CoefficientsIndex,0))</f>
        <v>0</v>
      </c>
      <c r="AH62">
        <f>AE62*P62+(Q62-Z62)*AF62+AG62</f>
        <v>0</v>
      </c>
      <c r="AI62">
        <f>IF(ISNUMBER(AD62),AD62,AH62)</f>
        <v>0</v>
      </c>
      <c r="AJ62">
        <f>IF(ISNUMBER(AI62),IF(ISNUMBER(AE62),IF(AND(AE62=1,AF62=1,AG62=1),100,ROUND(100*EXP(AI62)/(1+EXP(AI62)),2)),ROUND(100*EXP(AI62)/(1+EXP(AI62)),2)),IF(ISTEXT(O62),IF(LEFT(O62,1)="2",100,"N/A"),"N/A"))</f>
        <v>0</v>
      </c>
      <c r="AK62">
        <f>IF(ISNUMBER(AJ62),IF(AJ62&gt;=99,IF(OR(R62=10,R62=11),MatchLabel,SureThingLabel),IF(AJ62&gt;=95,SecureLabel,IF(AJ62&gt;=80,SafetyLabel,IF(AJ62&gt;=50,MatchLabel,IF(AJ62&gt;=20,ReachLabel,IF(AJ62&gt;=10,LongshotLabel,HailMaryLabel)))))),"Other")</f>
        <v>0</v>
      </c>
      <c r="AL62">
        <f>IF(OR(I62="accepted",I62="cond. accept",I62="summer admit"),IF(J62="yes","CHOICE!","Accepted!"),IF(I62="denied","Denied",IF(K62=1,"Waitlist",IF(L62=1,"Deferred",IF(G62="pending","Pending",IF(OR(G62="initial materials submitted",G62="mid-year submitted",G62="final submitted"),"Submitted",IF(H62="interest","Interest","?")))))))</f>
        <v>0</v>
      </c>
      <c r="AM62">
        <f>IF(OR(AK62=ReachLabel,AK62=LongshotLabel,AK62=HailMaryLabel),1,0)</f>
        <v>0</v>
      </c>
      <c r="AN62">
        <f>IF(OR(AM62=1,AK62=MatchLabel),1,0)</f>
        <v>0</v>
      </c>
      <c r="AO62">
        <f>IF(OR(AK62=MatchLabel,AK62=SafetyLabel,AK62=SecureLabel,AK62=SureThingLabel),1,0)</f>
        <v>0</v>
      </c>
      <c r="AP62">
        <f>IF(OR(T62="H",T62="B"),IF(ISNUMBER(Y62),ROUND(Y62,2),0),IF(ISNUMBER(X62),ROUND(X62,2),0))</f>
        <v>0</v>
      </c>
      <c r="AQ62">
        <f>IF(AP62&gt;=U62,1,0)</f>
        <v>0</v>
      </c>
      <c r="AR62">
        <f>IF(AP62&gt;=V62,1,0)</f>
        <v>0</v>
      </c>
      <c r="AS62">
        <f>IF(AP62&lt;(U62-0.10),1,0)</f>
        <v>0</v>
      </c>
      <c r="AT62">
        <f>1-AJ62/100</f>
        <v>0</v>
      </c>
      <c r="AU62">
        <f>IF(AN62=1,AT62,1)</f>
        <v>0</v>
      </c>
      <c r="AV62">
        <f>IF(AM62=1,AT62,1)</f>
        <v>0</v>
      </c>
      <c r="AW62">
        <f>IF(AND(AQ62=1,ISNUMBER(AT62)),$AT62,1)</f>
        <v>0</v>
      </c>
      <c r="AX62">
        <f>IF(AND(AR62=1,ISNUMBER(AT62)),$AT62,1)</f>
        <v>0</v>
      </c>
      <c r="AY62">
        <f>IF(ISNUMBER(Y62),INDEX(AllCollegeMoney, MATCH(N62,AllCollegeNCES,0)),0)</f>
        <v>0</v>
      </c>
      <c r="AZ62">
        <f>IF(AND(AQ62=1,ISNUMBER(AT62),AY62=1),$AT62,1)</f>
        <v>0</v>
      </c>
      <c r="BA62">
        <f>IF(AND(AR62=1,ISNUMBER(AT62),AY62=1),$AT62,1)</f>
        <v>0</v>
      </c>
      <c r="BB62">
        <f>IF(ISNUMBER(Y62),INDEX(AllCollegeILPub, MATCH(N62,AllCollegeNCES,0)),0)</f>
        <v>0</v>
      </c>
      <c r="BC62">
        <f>IF(AK62=ReachLabel,AP62,0)</f>
        <v>0</v>
      </c>
      <c r="BD62">
        <f>IF(AK62=MatchLabel,AP62,0)</f>
        <v>0</v>
      </c>
      <c r="BE62">
        <f>IF(AK62=SafetyLabel,AP62,0)</f>
        <v>0</v>
      </c>
      <c r="BF62">
        <f>IF(AK62=SecureLabel,AP62,0)</f>
        <v>0</v>
      </c>
      <c r="BG62">
        <f>IF(AK62=SureThingLabel,AP62,0)</f>
        <v>0</v>
      </c>
      <c r="BH62">
        <f>MAX(BC62:BG62)</f>
        <v>0</v>
      </c>
      <c r="BI62">
        <f>MAX(BD62:BG62)</f>
        <v>0</v>
      </c>
      <c r="BJ62">
        <f>MAX(BE62:BG62)</f>
        <v>0</v>
      </c>
      <c r="BK62">
        <f>IF(AND(AK62=ReachLabel,AY62=1),AP62,0)</f>
        <v>0</v>
      </c>
      <c r="BL62">
        <f>IF(AND(AK62=MatchLabel,AY62=1),AP62,0)</f>
        <v>0</v>
      </c>
      <c r="BM62">
        <f>IF(AND(AK62=SafetyLabel,AY62=1),AP62,0)</f>
        <v>0</v>
      </c>
      <c r="BN62">
        <f>IF(AND(AK62=SecureLabel,AY62=1),AP62,0)</f>
        <v>0</v>
      </c>
      <c r="BO62">
        <f>IF(AND(AK62=SureThingLabel,AY62=1),AP62,0)</f>
        <v>0</v>
      </c>
      <c r="BP62">
        <f>MAX(BK62:BO62)</f>
        <v>0</v>
      </c>
      <c r="BQ62">
        <f>MAX(BL62:BO62)</f>
        <v>0</v>
      </c>
      <c r="BR62">
        <f>MAX(BM62:BO62)</f>
        <v>0</v>
      </c>
      <c r="BS62">
        <f>IF(ISNUMBER(Y62),INDEX(AllCollegeChicago, MATCH(N62,AllCollegeNCES,0))*AY62,0)</f>
        <v>0</v>
      </c>
      <c r="BT62">
        <f>IF(ISNUMBER(Y62),INDEX(AllCollegeMoneyCode, MATCH(N62,AllCollegeNCES,0)),"?")</f>
        <v>0</v>
      </c>
      <c r="BU62">
        <f>IF(OR(BT62="---",BT62="--",BT62="+/--",BT62="+/---"),1,0)</f>
        <v>0</v>
      </c>
      <c r="BV62">
        <f>AY62*AO62*AQ62</f>
        <v>0</v>
      </c>
    </row>
    <row r="63" spans="1:74">
      <c r="A63" t="s">
        <v>86</v>
      </c>
      <c r="B63">
        <v>22264507</v>
      </c>
      <c r="C63" t="s">
        <v>163</v>
      </c>
      <c r="D63" t="s">
        <v>164</v>
      </c>
      <c r="E63" t="s">
        <v>428</v>
      </c>
      <c r="F63" t="s">
        <v>484</v>
      </c>
      <c r="G63" t="s">
        <v>430</v>
      </c>
      <c r="H63" t="s">
        <v>431</v>
      </c>
      <c r="I63" t="s">
        <v>432</v>
      </c>
      <c r="J63" t="s">
        <v>432</v>
      </c>
      <c r="K63">
        <v>0</v>
      </c>
      <c r="L63" t="s">
        <v>428</v>
      </c>
      <c r="M63" t="s">
        <v>428</v>
      </c>
      <c r="N63">
        <v>144740</v>
      </c>
      <c r="O63">
        <f>INDEX(AllCollegeBarrons,MATCH(N63,AllCollegeNCES,0))</f>
        <v>0</v>
      </c>
      <c r="P63">
        <f>INDEX(KidGPAs,MATCH(B63,KidIDs,0))</f>
        <v>0</v>
      </c>
      <c r="Q63">
        <f>INDEX(KidACTs,MATCH(B63,KidIDs,0))</f>
        <v>0</v>
      </c>
      <c r="R63">
        <f>INDEX(Strats,MATCH(B63,KidIDs,0))</f>
        <v>0</v>
      </c>
      <c r="S63">
        <f>INDEX(KidRace,MATCH(B63,KidIDs,0))</f>
        <v>0</v>
      </c>
      <c r="T63">
        <f>IF(OR(S63="M",S63="I"),"H",S63)</f>
        <v>0</v>
      </c>
      <c r="U63">
        <f>INDEX(StudentTargets,MATCH(B63,KidIDs,0))</f>
        <v>0</v>
      </c>
      <c r="V63">
        <f>INDEX(ReachStudentTargets,MATCH(B63,KidIDs,0))</f>
        <v>0</v>
      </c>
      <c r="W63">
        <f>IF(OR(M63="Posse"),1,0)</f>
        <v>0</v>
      </c>
      <c r="X63">
        <f>IF(ISNUMBER(INDEX(AllCollegeGR, MATCH(N63,AllCollegeNCES,0))),ROUND(INDEX(AllCollegeGR, MATCH(N63,AllCollegeNCES,0))+W63*IF(INDEX(AllCollegeGR, MATCH(N63,AllCollegeNCES,0))&gt;0.7,(1-INDEX(AllCollegeGR, MATCH(N63,AllCollegeNCES,0)))/2,0.15),2),INDEX(AllCollegeGR, MATCH(N63,AllCollegeNCES,0)))</f>
        <v>0</v>
      </c>
      <c r="Y63">
        <f>IF(ISNUMBER(INDEX(AllCollegeAAHGR, MATCH(N63,AllCollegeNCES,0))),ROUND(INDEX(AllCollegeAAHGR, MATCH(N63,AllCollegeNCES,0))+W63*IF(INDEX(AllCollegeAAHGR, MATCH(N63,AllCollegeNCES,0))&gt;0.7,(1-INDEX(AllCollegeAAHGR, MATCH(N63,AllCollegeNCES,0)))/2,0.15),2),INDEX(AllCollegeAAHGR, MATCH(N63,AllCollegeNCES,0)))</f>
        <v>0</v>
      </c>
      <c r="Z63">
        <f>IF(OR(T63="H",T63="B"),INDEX(AllCollegeACT25, MATCH(N63,AllCollegeNCES,0)),INDEX(AllCollegeACT50, MATCH(N63,AllCollegeNCES,0)))</f>
        <v>0</v>
      </c>
      <c r="AA63">
        <f>INDEX(CustomWeightsGPA,MATCH(T63&amp;":"&amp;N63,CustomWeightsIndex,0))</f>
        <v>0</v>
      </c>
      <c r="AB63">
        <f>INDEX(CustomWeightsACT,MATCH(T63&amp;":"&amp;N63,CustomWeightsIndex,0))</f>
        <v>0</v>
      </c>
      <c r="AC63">
        <f>INDEX(CustomWeightsIntercept,MATCH(T63&amp;":"&amp;N63,CustomWeightsIndex,0))</f>
        <v>0</v>
      </c>
      <c r="AD63">
        <f>AA63*P63+AB63*Q63+AC63</f>
        <v>0</v>
      </c>
      <c r="AE63">
        <f>INDEX(CoefficientsGPA,MATCH(T63&amp;":"&amp;O63,CoefficientsIndex,0))</f>
        <v>0</v>
      </c>
      <c r="AF63">
        <f>INDEX(CoefficientsACT,MATCH(T63&amp;":"&amp;O63,CoefficientsIndex,0))</f>
        <v>0</v>
      </c>
      <c r="AG63">
        <f>INDEX(CoefficientsIntercept,MATCH(T63&amp;":"&amp;O63,CoefficientsIndex,0))</f>
        <v>0</v>
      </c>
      <c r="AH63">
        <f>AE63*P63+(Q63-Z63)*AF63+AG63</f>
        <v>0</v>
      </c>
      <c r="AI63">
        <f>IF(ISNUMBER(AD63),AD63,AH63)</f>
        <v>0</v>
      </c>
      <c r="AJ63">
        <f>IF(ISNUMBER(AI63),IF(ISNUMBER(AE63),IF(AND(AE63=1,AF63=1,AG63=1),100,ROUND(100*EXP(AI63)/(1+EXP(AI63)),2)),ROUND(100*EXP(AI63)/(1+EXP(AI63)),2)),IF(ISTEXT(O63),IF(LEFT(O63,1)="2",100,"N/A"),"N/A"))</f>
        <v>0</v>
      </c>
      <c r="AK63">
        <f>IF(ISNUMBER(AJ63),IF(AJ63&gt;=99,IF(OR(R63=10,R63=11),MatchLabel,SureThingLabel),IF(AJ63&gt;=95,SecureLabel,IF(AJ63&gt;=80,SafetyLabel,IF(AJ63&gt;=50,MatchLabel,IF(AJ63&gt;=20,ReachLabel,IF(AJ63&gt;=10,LongshotLabel,HailMaryLabel)))))),"Other")</f>
        <v>0</v>
      </c>
      <c r="AL63">
        <f>IF(OR(I63="accepted",I63="cond. accept",I63="summer admit"),IF(J63="yes","CHOICE!","Accepted!"),IF(I63="denied","Denied",IF(K63=1,"Waitlist",IF(L63=1,"Deferred",IF(G63="pending","Pending",IF(OR(G63="initial materials submitted",G63="mid-year submitted",G63="final submitted"),"Submitted",IF(H63="interest","Interest","?")))))))</f>
        <v>0</v>
      </c>
      <c r="AM63">
        <f>IF(OR(AK63=ReachLabel,AK63=LongshotLabel,AK63=HailMaryLabel),1,0)</f>
        <v>0</v>
      </c>
      <c r="AN63">
        <f>IF(OR(AM63=1,AK63=MatchLabel),1,0)</f>
        <v>0</v>
      </c>
      <c r="AO63">
        <f>IF(OR(AK63=MatchLabel,AK63=SafetyLabel,AK63=SecureLabel,AK63=SureThingLabel),1,0)</f>
        <v>0</v>
      </c>
      <c r="AP63">
        <f>IF(OR(T63="H",T63="B"),IF(ISNUMBER(Y63),ROUND(Y63,2),0),IF(ISNUMBER(X63),ROUND(X63,2),0))</f>
        <v>0</v>
      </c>
      <c r="AQ63">
        <f>IF(AP63&gt;=U63,1,0)</f>
        <v>0</v>
      </c>
      <c r="AR63">
        <f>IF(AP63&gt;=V63,1,0)</f>
        <v>0</v>
      </c>
      <c r="AS63">
        <f>IF(AP63&lt;(U63-0.10),1,0)</f>
        <v>0</v>
      </c>
      <c r="AT63">
        <f>1-AJ63/100</f>
        <v>0</v>
      </c>
      <c r="AU63">
        <f>IF(AN63=1,AT63,1)</f>
        <v>0</v>
      </c>
      <c r="AV63">
        <f>IF(AM63=1,AT63,1)</f>
        <v>0</v>
      </c>
      <c r="AW63">
        <f>IF(AND(AQ63=1,ISNUMBER(AT63)),$AT63,1)</f>
        <v>0</v>
      </c>
      <c r="AX63">
        <f>IF(AND(AR63=1,ISNUMBER(AT63)),$AT63,1)</f>
        <v>0</v>
      </c>
      <c r="AY63">
        <f>IF(ISNUMBER(Y63),INDEX(AllCollegeMoney, MATCH(N63,AllCollegeNCES,0)),0)</f>
        <v>0</v>
      </c>
      <c r="AZ63">
        <f>IF(AND(AQ63=1,ISNUMBER(AT63),AY63=1),$AT63,1)</f>
        <v>0</v>
      </c>
      <c r="BA63">
        <f>IF(AND(AR63=1,ISNUMBER(AT63),AY63=1),$AT63,1)</f>
        <v>0</v>
      </c>
      <c r="BB63">
        <f>IF(ISNUMBER(Y63),INDEX(AllCollegeILPub, MATCH(N63,AllCollegeNCES,0)),0)</f>
        <v>0</v>
      </c>
      <c r="BC63">
        <f>IF(AK63=ReachLabel,AP63,0)</f>
        <v>0</v>
      </c>
      <c r="BD63">
        <f>IF(AK63=MatchLabel,AP63,0)</f>
        <v>0</v>
      </c>
      <c r="BE63">
        <f>IF(AK63=SafetyLabel,AP63,0)</f>
        <v>0</v>
      </c>
      <c r="BF63">
        <f>IF(AK63=SecureLabel,AP63,0)</f>
        <v>0</v>
      </c>
      <c r="BG63">
        <f>IF(AK63=SureThingLabel,AP63,0)</f>
        <v>0</v>
      </c>
      <c r="BH63">
        <f>MAX(BC63:BG63)</f>
        <v>0</v>
      </c>
      <c r="BI63">
        <f>MAX(BD63:BG63)</f>
        <v>0</v>
      </c>
      <c r="BJ63">
        <f>MAX(BE63:BG63)</f>
        <v>0</v>
      </c>
      <c r="BK63">
        <f>IF(AND(AK63=ReachLabel,AY63=1),AP63,0)</f>
        <v>0</v>
      </c>
      <c r="BL63">
        <f>IF(AND(AK63=MatchLabel,AY63=1),AP63,0)</f>
        <v>0</v>
      </c>
      <c r="BM63">
        <f>IF(AND(AK63=SafetyLabel,AY63=1),AP63,0)</f>
        <v>0</v>
      </c>
      <c r="BN63">
        <f>IF(AND(AK63=SecureLabel,AY63=1),AP63,0)</f>
        <v>0</v>
      </c>
      <c r="BO63">
        <f>IF(AND(AK63=SureThingLabel,AY63=1),AP63,0)</f>
        <v>0</v>
      </c>
      <c r="BP63">
        <f>MAX(BK63:BO63)</f>
        <v>0</v>
      </c>
      <c r="BQ63">
        <f>MAX(BL63:BO63)</f>
        <v>0</v>
      </c>
      <c r="BR63">
        <f>MAX(BM63:BO63)</f>
        <v>0</v>
      </c>
      <c r="BS63">
        <f>IF(ISNUMBER(Y63),INDEX(AllCollegeChicago, MATCH(N63,AllCollegeNCES,0))*AY63,0)</f>
        <v>0</v>
      </c>
      <c r="BT63">
        <f>IF(ISNUMBER(Y63),INDEX(AllCollegeMoneyCode, MATCH(N63,AllCollegeNCES,0)),"?")</f>
        <v>0</v>
      </c>
      <c r="BU63">
        <f>IF(OR(BT63="---",BT63="--",BT63="+/--",BT63="+/---"),1,0)</f>
        <v>0</v>
      </c>
      <c r="BV63">
        <f>AY63*AO63*AQ63</f>
        <v>0</v>
      </c>
    </row>
    <row r="64" spans="1:74">
      <c r="A64" t="s">
        <v>86</v>
      </c>
      <c r="B64">
        <v>22264507</v>
      </c>
      <c r="C64" t="s">
        <v>163</v>
      </c>
      <c r="D64" t="s">
        <v>164</v>
      </c>
      <c r="E64" t="s">
        <v>428</v>
      </c>
      <c r="F64" t="s">
        <v>462</v>
      </c>
      <c r="G64" t="s">
        <v>430</v>
      </c>
      <c r="H64" t="s">
        <v>431</v>
      </c>
      <c r="I64" t="s">
        <v>432</v>
      </c>
      <c r="J64" t="s">
        <v>432</v>
      </c>
      <c r="K64">
        <v>0</v>
      </c>
      <c r="L64" t="s">
        <v>428</v>
      </c>
      <c r="M64" t="s">
        <v>428</v>
      </c>
      <c r="N64">
        <v>168546</v>
      </c>
      <c r="O64">
        <f>INDEX(AllCollegeBarrons,MATCH(N64,AllCollegeNCES,0))</f>
        <v>0</v>
      </c>
      <c r="P64">
        <f>INDEX(KidGPAs,MATCH(B64,KidIDs,0))</f>
        <v>0</v>
      </c>
      <c r="Q64">
        <f>INDEX(KidACTs,MATCH(B64,KidIDs,0))</f>
        <v>0</v>
      </c>
      <c r="R64">
        <f>INDEX(Strats,MATCH(B64,KidIDs,0))</f>
        <v>0</v>
      </c>
      <c r="S64">
        <f>INDEX(KidRace,MATCH(B64,KidIDs,0))</f>
        <v>0</v>
      </c>
      <c r="T64">
        <f>IF(OR(S64="M",S64="I"),"H",S64)</f>
        <v>0</v>
      </c>
      <c r="U64">
        <f>INDEX(StudentTargets,MATCH(B64,KidIDs,0))</f>
        <v>0</v>
      </c>
      <c r="V64">
        <f>INDEX(ReachStudentTargets,MATCH(B64,KidIDs,0))</f>
        <v>0</v>
      </c>
      <c r="W64">
        <f>IF(OR(M64="Posse"),1,0)</f>
        <v>0</v>
      </c>
      <c r="X64">
        <f>IF(ISNUMBER(INDEX(AllCollegeGR, MATCH(N64,AllCollegeNCES,0))),ROUND(INDEX(AllCollegeGR, MATCH(N64,AllCollegeNCES,0))+W64*IF(INDEX(AllCollegeGR, MATCH(N64,AllCollegeNCES,0))&gt;0.7,(1-INDEX(AllCollegeGR, MATCH(N64,AllCollegeNCES,0)))/2,0.15),2),INDEX(AllCollegeGR, MATCH(N64,AllCollegeNCES,0)))</f>
        <v>0</v>
      </c>
      <c r="Y64">
        <f>IF(ISNUMBER(INDEX(AllCollegeAAHGR, MATCH(N64,AllCollegeNCES,0))),ROUND(INDEX(AllCollegeAAHGR, MATCH(N64,AllCollegeNCES,0))+W64*IF(INDEX(AllCollegeAAHGR, MATCH(N64,AllCollegeNCES,0))&gt;0.7,(1-INDEX(AllCollegeAAHGR, MATCH(N64,AllCollegeNCES,0)))/2,0.15),2),INDEX(AllCollegeAAHGR, MATCH(N64,AllCollegeNCES,0)))</f>
        <v>0</v>
      </c>
      <c r="Z64">
        <f>IF(OR(T64="H",T64="B"),INDEX(AllCollegeACT25, MATCH(N64,AllCollegeNCES,0)),INDEX(AllCollegeACT50, MATCH(N64,AllCollegeNCES,0)))</f>
        <v>0</v>
      </c>
      <c r="AA64">
        <f>INDEX(CustomWeightsGPA,MATCH(T64&amp;":"&amp;N64,CustomWeightsIndex,0))</f>
        <v>0</v>
      </c>
      <c r="AB64">
        <f>INDEX(CustomWeightsACT,MATCH(T64&amp;":"&amp;N64,CustomWeightsIndex,0))</f>
        <v>0</v>
      </c>
      <c r="AC64">
        <f>INDEX(CustomWeightsIntercept,MATCH(T64&amp;":"&amp;N64,CustomWeightsIndex,0))</f>
        <v>0</v>
      </c>
      <c r="AD64">
        <f>AA64*P64+AB64*Q64+AC64</f>
        <v>0</v>
      </c>
      <c r="AE64">
        <f>INDEX(CoefficientsGPA,MATCH(T64&amp;":"&amp;O64,CoefficientsIndex,0))</f>
        <v>0</v>
      </c>
      <c r="AF64">
        <f>INDEX(CoefficientsACT,MATCH(T64&amp;":"&amp;O64,CoefficientsIndex,0))</f>
        <v>0</v>
      </c>
      <c r="AG64">
        <f>INDEX(CoefficientsIntercept,MATCH(T64&amp;":"&amp;O64,CoefficientsIndex,0))</f>
        <v>0</v>
      </c>
      <c r="AH64">
        <f>AE64*P64+(Q64-Z64)*AF64+AG64</f>
        <v>0</v>
      </c>
      <c r="AI64">
        <f>IF(ISNUMBER(AD64),AD64,AH64)</f>
        <v>0</v>
      </c>
      <c r="AJ64">
        <f>IF(ISNUMBER(AI64),IF(ISNUMBER(AE64),IF(AND(AE64=1,AF64=1,AG64=1),100,ROUND(100*EXP(AI64)/(1+EXP(AI64)),2)),ROUND(100*EXP(AI64)/(1+EXP(AI64)),2)),IF(ISTEXT(O64),IF(LEFT(O64,1)="2",100,"N/A"),"N/A"))</f>
        <v>0</v>
      </c>
      <c r="AK64">
        <f>IF(ISNUMBER(AJ64),IF(AJ64&gt;=99,IF(OR(R64=10,R64=11),MatchLabel,SureThingLabel),IF(AJ64&gt;=95,SecureLabel,IF(AJ64&gt;=80,SafetyLabel,IF(AJ64&gt;=50,MatchLabel,IF(AJ64&gt;=20,ReachLabel,IF(AJ64&gt;=10,LongshotLabel,HailMaryLabel)))))),"Other")</f>
        <v>0</v>
      </c>
      <c r="AL64">
        <f>IF(OR(I64="accepted",I64="cond. accept",I64="summer admit"),IF(J64="yes","CHOICE!","Accepted!"),IF(I64="denied","Denied",IF(K64=1,"Waitlist",IF(L64=1,"Deferred",IF(G64="pending","Pending",IF(OR(G64="initial materials submitted",G64="mid-year submitted",G64="final submitted"),"Submitted",IF(H64="interest","Interest","?")))))))</f>
        <v>0</v>
      </c>
      <c r="AM64">
        <f>IF(OR(AK64=ReachLabel,AK64=LongshotLabel,AK64=HailMaryLabel),1,0)</f>
        <v>0</v>
      </c>
      <c r="AN64">
        <f>IF(OR(AM64=1,AK64=MatchLabel),1,0)</f>
        <v>0</v>
      </c>
      <c r="AO64">
        <f>IF(OR(AK64=MatchLabel,AK64=SafetyLabel,AK64=SecureLabel,AK64=SureThingLabel),1,0)</f>
        <v>0</v>
      </c>
      <c r="AP64">
        <f>IF(OR(T64="H",T64="B"),IF(ISNUMBER(Y64),ROUND(Y64,2),0),IF(ISNUMBER(X64),ROUND(X64,2),0))</f>
        <v>0</v>
      </c>
      <c r="AQ64">
        <f>IF(AP64&gt;=U64,1,0)</f>
        <v>0</v>
      </c>
      <c r="AR64">
        <f>IF(AP64&gt;=V64,1,0)</f>
        <v>0</v>
      </c>
      <c r="AS64">
        <f>IF(AP64&lt;(U64-0.10),1,0)</f>
        <v>0</v>
      </c>
      <c r="AT64">
        <f>1-AJ64/100</f>
        <v>0</v>
      </c>
      <c r="AU64">
        <f>IF(AN64=1,AT64,1)</f>
        <v>0</v>
      </c>
      <c r="AV64">
        <f>IF(AM64=1,AT64,1)</f>
        <v>0</v>
      </c>
      <c r="AW64">
        <f>IF(AND(AQ64=1,ISNUMBER(AT64)),$AT64,1)</f>
        <v>0</v>
      </c>
      <c r="AX64">
        <f>IF(AND(AR64=1,ISNUMBER(AT64)),$AT64,1)</f>
        <v>0</v>
      </c>
      <c r="AY64">
        <f>IF(ISNUMBER(Y64),INDEX(AllCollegeMoney, MATCH(N64,AllCollegeNCES,0)),0)</f>
        <v>0</v>
      </c>
      <c r="AZ64">
        <f>IF(AND(AQ64=1,ISNUMBER(AT64),AY64=1),$AT64,1)</f>
        <v>0</v>
      </c>
      <c r="BA64">
        <f>IF(AND(AR64=1,ISNUMBER(AT64),AY64=1),$AT64,1)</f>
        <v>0</v>
      </c>
      <c r="BB64">
        <f>IF(ISNUMBER(Y64),INDEX(AllCollegeILPub, MATCH(N64,AllCollegeNCES,0)),0)</f>
        <v>0</v>
      </c>
      <c r="BC64">
        <f>IF(AK64=ReachLabel,AP64,0)</f>
        <v>0</v>
      </c>
      <c r="BD64">
        <f>IF(AK64=MatchLabel,AP64,0)</f>
        <v>0</v>
      </c>
      <c r="BE64">
        <f>IF(AK64=SafetyLabel,AP64,0)</f>
        <v>0</v>
      </c>
      <c r="BF64">
        <f>IF(AK64=SecureLabel,AP64,0)</f>
        <v>0</v>
      </c>
      <c r="BG64">
        <f>IF(AK64=SureThingLabel,AP64,0)</f>
        <v>0</v>
      </c>
      <c r="BH64">
        <f>MAX(BC64:BG64)</f>
        <v>0</v>
      </c>
      <c r="BI64">
        <f>MAX(BD64:BG64)</f>
        <v>0</v>
      </c>
      <c r="BJ64">
        <f>MAX(BE64:BG64)</f>
        <v>0</v>
      </c>
      <c r="BK64">
        <f>IF(AND(AK64=ReachLabel,AY64=1),AP64,0)</f>
        <v>0</v>
      </c>
      <c r="BL64">
        <f>IF(AND(AK64=MatchLabel,AY64=1),AP64,0)</f>
        <v>0</v>
      </c>
      <c r="BM64">
        <f>IF(AND(AK64=SafetyLabel,AY64=1),AP64,0)</f>
        <v>0</v>
      </c>
      <c r="BN64">
        <f>IF(AND(AK64=SecureLabel,AY64=1),AP64,0)</f>
        <v>0</v>
      </c>
      <c r="BO64">
        <f>IF(AND(AK64=SureThingLabel,AY64=1),AP64,0)</f>
        <v>0</v>
      </c>
      <c r="BP64">
        <f>MAX(BK64:BO64)</f>
        <v>0</v>
      </c>
      <c r="BQ64">
        <f>MAX(BL64:BO64)</f>
        <v>0</v>
      </c>
      <c r="BR64">
        <f>MAX(BM64:BO64)</f>
        <v>0</v>
      </c>
      <c r="BS64">
        <f>IF(ISNUMBER(Y64),INDEX(AllCollegeChicago, MATCH(N64,AllCollegeNCES,0))*AY64,0)</f>
        <v>0</v>
      </c>
      <c r="BT64">
        <f>IF(ISNUMBER(Y64),INDEX(AllCollegeMoneyCode, MATCH(N64,AllCollegeNCES,0)),"?")</f>
        <v>0</v>
      </c>
      <c r="BU64">
        <f>IF(OR(BT64="---",BT64="--",BT64="+/--",BT64="+/---"),1,0)</f>
        <v>0</v>
      </c>
      <c r="BV64">
        <f>AY64*AO64*AQ64</f>
        <v>0</v>
      </c>
    </row>
    <row r="65" spans="1:74">
      <c r="A65" t="s">
        <v>86</v>
      </c>
      <c r="B65">
        <v>22264507</v>
      </c>
      <c r="C65" t="s">
        <v>163</v>
      </c>
      <c r="D65" t="s">
        <v>164</v>
      </c>
      <c r="E65" t="s">
        <v>428</v>
      </c>
      <c r="F65" t="s">
        <v>433</v>
      </c>
      <c r="G65" t="s">
        <v>430</v>
      </c>
      <c r="H65" t="s">
        <v>431</v>
      </c>
      <c r="I65" t="s">
        <v>432</v>
      </c>
      <c r="J65" t="s">
        <v>432</v>
      </c>
      <c r="K65">
        <v>0</v>
      </c>
      <c r="L65" t="s">
        <v>428</v>
      </c>
      <c r="M65" t="s">
        <v>428</v>
      </c>
      <c r="N65">
        <v>148496</v>
      </c>
      <c r="O65">
        <f>INDEX(AllCollegeBarrons,MATCH(N65,AllCollegeNCES,0))</f>
        <v>0</v>
      </c>
      <c r="P65">
        <f>INDEX(KidGPAs,MATCH(B65,KidIDs,0))</f>
        <v>0</v>
      </c>
      <c r="Q65">
        <f>INDEX(KidACTs,MATCH(B65,KidIDs,0))</f>
        <v>0</v>
      </c>
      <c r="R65">
        <f>INDEX(Strats,MATCH(B65,KidIDs,0))</f>
        <v>0</v>
      </c>
      <c r="S65">
        <f>INDEX(KidRace,MATCH(B65,KidIDs,0))</f>
        <v>0</v>
      </c>
      <c r="T65">
        <f>IF(OR(S65="M",S65="I"),"H",S65)</f>
        <v>0</v>
      </c>
      <c r="U65">
        <f>INDEX(StudentTargets,MATCH(B65,KidIDs,0))</f>
        <v>0</v>
      </c>
      <c r="V65">
        <f>INDEX(ReachStudentTargets,MATCH(B65,KidIDs,0))</f>
        <v>0</v>
      </c>
      <c r="W65">
        <f>IF(OR(M65="Posse"),1,0)</f>
        <v>0</v>
      </c>
      <c r="X65">
        <f>IF(ISNUMBER(INDEX(AllCollegeGR, MATCH(N65,AllCollegeNCES,0))),ROUND(INDEX(AllCollegeGR, MATCH(N65,AllCollegeNCES,0))+W65*IF(INDEX(AllCollegeGR, MATCH(N65,AllCollegeNCES,0))&gt;0.7,(1-INDEX(AllCollegeGR, MATCH(N65,AllCollegeNCES,0)))/2,0.15),2),INDEX(AllCollegeGR, MATCH(N65,AllCollegeNCES,0)))</f>
        <v>0</v>
      </c>
      <c r="Y65">
        <f>IF(ISNUMBER(INDEX(AllCollegeAAHGR, MATCH(N65,AllCollegeNCES,0))),ROUND(INDEX(AllCollegeAAHGR, MATCH(N65,AllCollegeNCES,0))+W65*IF(INDEX(AllCollegeAAHGR, MATCH(N65,AllCollegeNCES,0))&gt;0.7,(1-INDEX(AllCollegeAAHGR, MATCH(N65,AllCollegeNCES,0)))/2,0.15),2),INDEX(AllCollegeAAHGR, MATCH(N65,AllCollegeNCES,0)))</f>
        <v>0</v>
      </c>
      <c r="Z65">
        <f>IF(OR(T65="H",T65="B"),INDEX(AllCollegeACT25, MATCH(N65,AllCollegeNCES,0)),INDEX(AllCollegeACT50, MATCH(N65,AllCollegeNCES,0)))</f>
        <v>0</v>
      </c>
      <c r="AA65">
        <f>INDEX(CustomWeightsGPA,MATCH(T65&amp;":"&amp;N65,CustomWeightsIndex,0))</f>
        <v>0</v>
      </c>
      <c r="AB65">
        <f>INDEX(CustomWeightsACT,MATCH(T65&amp;":"&amp;N65,CustomWeightsIndex,0))</f>
        <v>0</v>
      </c>
      <c r="AC65">
        <f>INDEX(CustomWeightsIntercept,MATCH(T65&amp;":"&amp;N65,CustomWeightsIndex,0))</f>
        <v>0</v>
      </c>
      <c r="AD65">
        <f>AA65*P65+AB65*Q65+AC65</f>
        <v>0</v>
      </c>
      <c r="AE65">
        <f>INDEX(CoefficientsGPA,MATCH(T65&amp;":"&amp;O65,CoefficientsIndex,0))</f>
        <v>0</v>
      </c>
      <c r="AF65">
        <f>INDEX(CoefficientsACT,MATCH(T65&amp;":"&amp;O65,CoefficientsIndex,0))</f>
        <v>0</v>
      </c>
      <c r="AG65">
        <f>INDEX(CoefficientsIntercept,MATCH(T65&amp;":"&amp;O65,CoefficientsIndex,0))</f>
        <v>0</v>
      </c>
      <c r="AH65">
        <f>AE65*P65+(Q65-Z65)*AF65+AG65</f>
        <v>0</v>
      </c>
      <c r="AI65">
        <f>IF(ISNUMBER(AD65),AD65,AH65)</f>
        <v>0</v>
      </c>
      <c r="AJ65">
        <f>IF(ISNUMBER(AI65),IF(ISNUMBER(AE65),IF(AND(AE65=1,AF65=1,AG65=1),100,ROUND(100*EXP(AI65)/(1+EXP(AI65)),2)),ROUND(100*EXP(AI65)/(1+EXP(AI65)),2)),IF(ISTEXT(O65),IF(LEFT(O65,1)="2",100,"N/A"),"N/A"))</f>
        <v>0</v>
      </c>
      <c r="AK65">
        <f>IF(ISNUMBER(AJ65),IF(AJ65&gt;=99,IF(OR(R65=10,R65=11),MatchLabel,SureThingLabel),IF(AJ65&gt;=95,SecureLabel,IF(AJ65&gt;=80,SafetyLabel,IF(AJ65&gt;=50,MatchLabel,IF(AJ65&gt;=20,ReachLabel,IF(AJ65&gt;=10,LongshotLabel,HailMaryLabel)))))),"Other")</f>
        <v>0</v>
      </c>
      <c r="AL65">
        <f>IF(OR(I65="accepted",I65="cond. accept",I65="summer admit"),IF(J65="yes","CHOICE!","Accepted!"),IF(I65="denied","Denied",IF(K65=1,"Waitlist",IF(L65=1,"Deferred",IF(G65="pending","Pending",IF(OR(G65="initial materials submitted",G65="mid-year submitted",G65="final submitted"),"Submitted",IF(H65="interest","Interest","?")))))))</f>
        <v>0</v>
      </c>
      <c r="AM65">
        <f>IF(OR(AK65=ReachLabel,AK65=LongshotLabel,AK65=HailMaryLabel),1,0)</f>
        <v>0</v>
      </c>
      <c r="AN65">
        <f>IF(OR(AM65=1,AK65=MatchLabel),1,0)</f>
        <v>0</v>
      </c>
      <c r="AO65">
        <f>IF(OR(AK65=MatchLabel,AK65=SafetyLabel,AK65=SecureLabel,AK65=SureThingLabel),1,0)</f>
        <v>0</v>
      </c>
      <c r="AP65">
        <f>IF(OR(T65="H",T65="B"),IF(ISNUMBER(Y65),ROUND(Y65,2),0),IF(ISNUMBER(X65),ROUND(X65,2),0))</f>
        <v>0</v>
      </c>
      <c r="AQ65">
        <f>IF(AP65&gt;=U65,1,0)</f>
        <v>0</v>
      </c>
      <c r="AR65">
        <f>IF(AP65&gt;=V65,1,0)</f>
        <v>0</v>
      </c>
      <c r="AS65">
        <f>IF(AP65&lt;(U65-0.10),1,0)</f>
        <v>0</v>
      </c>
      <c r="AT65">
        <f>1-AJ65/100</f>
        <v>0</v>
      </c>
      <c r="AU65">
        <f>IF(AN65=1,AT65,1)</f>
        <v>0</v>
      </c>
      <c r="AV65">
        <f>IF(AM65=1,AT65,1)</f>
        <v>0</v>
      </c>
      <c r="AW65">
        <f>IF(AND(AQ65=1,ISNUMBER(AT65)),$AT65,1)</f>
        <v>0</v>
      </c>
      <c r="AX65">
        <f>IF(AND(AR65=1,ISNUMBER(AT65)),$AT65,1)</f>
        <v>0</v>
      </c>
      <c r="AY65">
        <f>IF(ISNUMBER(Y65),INDEX(AllCollegeMoney, MATCH(N65,AllCollegeNCES,0)),0)</f>
        <v>0</v>
      </c>
      <c r="AZ65">
        <f>IF(AND(AQ65=1,ISNUMBER(AT65),AY65=1),$AT65,1)</f>
        <v>0</v>
      </c>
      <c r="BA65">
        <f>IF(AND(AR65=1,ISNUMBER(AT65),AY65=1),$AT65,1)</f>
        <v>0</v>
      </c>
      <c r="BB65">
        <f>IF(ISNUMBER(Y65),INDEX(AllCollegeILPub, MATCH(N65,AllCollegeNCES,0)),0)</f>
        <v>0</v>
      </c>
      <c r="BC65">
        <f>IF(AK65=ReachLabel,AP65,0)</f>
        <v>0</v>
      </c>
      <c r="BD65">
        <f>IF(AK65=MatchLabel,AP65,0)</f>
        <v>0</v>
      </c>
      <c r="BE65">
        <f>IF(AK65=SafetyLabel,AP65,0)</f>
        <v>0</v>
      </c>
      <c r="BF65">
        <f>IF(AK65=SecureLabel,AP65,0)</f>
        <v>0</v>
      </c>
      <c r="BG65">
        <f>IF(AK65=SureThingLabel,AP65,0)</f>
        <v>0</v>
      </c>
      <c r="BH65">
        <f>MAX(BC65:BG65)</f>
        <v>0</v>
      </c>
      <c r="BI65">
        <f>MAX(BD65:BG65)</f>
        <v>0</v>
      </c>
      <c r="BJ65">
        <f>MAX(BE65:BG65)</f>
        <v>0</v>
      </c>
      <c r="BK65">
        <f>IF(AND(AK65=ReachLabel,AY65=1),AP65,0)</f>
        <v>0</v>
      </c>
      <c r="BL65">
        <f>IF(AND(AK65=MatchLabel,AY65=1),AP65,0)</f>
        <v>0</v>
      </c>
      <c r="BM65">
        <f>IF(AND(AK65=SafetyLabel,AY65=1),AP65,0)</f>
        <v>0</v>
      </c>
      <c r="BN65">
        <f>IF(AND(AK65=SecureLabel,AY65=1),AP65,0)</f>
        <v>0</v>
      </c>
      <c r="BO65">
        <f>IF(AND(AK65=SureThingLabel,AY65=1),AP65,0)</f>
        <v>0</v>
      </c>
      <c r="BP65">
        <f>MAX(BK65:BO65)</f>
        <v>0</v>
      </c>
      <c r="BQ65">
        <f>MAX(BL65:BO65)</f>
        <v>0</v>
      </c>
      <c r="BR65">
        <f>MAX(BM65:BO65)</f>
        <v>0</v>
      </c>
      <c r="BS65">
        <f>IF(ISNUMBER(Y65),INDEX(AllCollegeChicago, MATCH(N65,AllCollegeNCES,0))*AY65,0)</f>
        <v>0</v>
      </c>
      <c r="BT65">
        <f>IF(ISNUMBER(Y65),INDEX(AllCollegeMoneyCode, MATCH(N65,AllCollegeNCES,0)),"?")</f>
        <v>0</v>
      </c>
      <c r="BU65">
        <f>IF(OR(BT65="---",BT65="--",BT65="+/--",BT65="+/---"),1,0)</f>
        <v>0</v>
      </c>
      <c r="BV65">
        <f>AY65*AO65*AQ65</f>
        <v>0</v>
      </c>
    </row>
    <row r="66" spans="1:74">
      <c r="A66" t="s">
        <v>86</v>
      </c>
      <c r="B66">
        <v>22264507</v>
      </c>
      <c r="C66" t="s">
        <v>163</v>
      </c>
      <c r="D66" t="s">
        <v>164</v>
      </c>
      <c r="E66" t="s">
        <v>428</v>
      </c>
      <c r="F66" t="s">
        <v>485</v>
      </c>
      <c r="G66" t="s">
        <v>430</v>
      </c>
      <c r="H66" t="s">
        <v>431</v>
      </c>
      <c r="I66" t="s">
        <v>432</v>
      </c>
      <c r="J66" t="s">
        <v>432</v>
      </c>
      <c r="K66">
        <v>0</v>
      </c>
      <c r="L66" t="s">
        <v>428</v>
      </c>
      <c r="M66" t="s">
        <v>428</v>
      </c>
      <c r="N66">
        <v>170082</v>
      </c>
      <c r="O66">
        <f>INDEX(AllCollegeBarrons,MATCH(N66,AllCollegeNCES,0))</f>
        <v>0</v>
      </c>
      <c r="P66">
        <f>INDEX(KidGPAs,MATCH(B66,KidIDs,0))</f>
        <v>0</v>
      </c>
      <c r="Q66">
        <f>INDEX(KidACTs,MATCH(B66,KidIDs,0))</f>
        <v>0</v>
      </c>
      <c r="R66">
        <f>INDEX(Strats,MATCH(B66,KidIDs,0))</f>
        <v>0</v>
      </c>
      <c r="S66">
        <f>INDEX(KidRace,MATCH(B66,KidIDs,0))</f>
        <v>0</v>
      </c>
      <c r="T66">
        <f>IF(OR(S66="M",S66="I"),"H",S66)</f>
        <v>0</v>
      </c>
      <c r="U66">
        <f>INDEX(StudentTargets,MATCH(B66,KidIDs,0))</f>
        <v>0</v>
      </c>
      <c r="V66">
        <f>INDEX(ReachStudentTargets,MATCH(B66,KidIDs,0))</f>
        <v>0</v>
      </c>
      <c r="W66">
        <f>IF(OR(M66="Posse"),1,0)</f>
        <v>0</v>
      </c>
      <c r="X66">
        <f>IF(ISNUMBER(INDEX(AllCollegeGR, MATCH(N66,AllCollegeNCES,0))),ROUND(INDEX(AllCollegeGR, MATCH(N66,AllCollegeNCES,0))+W66*IF(INDEX(AllCollegeGR, MATCH(N66,AllCollegeNCES,0))&gt;0.7,(1-INDEX(AllCollegeGR, MATCH(N66,AllCollegeNCES,0)))/2,0.15),2),INDEX(AllCollegeGR, MATCH(N66,AllCollegeNCES,0)))</f>
        <v>0</v>
      </c>
      <c r="Y66">
        <f>IF(ISNUMBER(INDEX(AllCollegeAAHGR, MATCH(N66,AllCollegeNCES,0))),ROUND(INDEX(AllCollegeAAHGR, MATCH(N66,AllCollegeNCES,0))+W66*IF(INDEX(AllCollegeAAHGR, MATCH(N66,AllCollegeNCES,0))&gt;0.7,(1-INDEX(AllCollegeAAHGR, MATCH(N66,AllCollegeNCES,0)))/2,0.15),2),INDEX(AllCollegeAAHGR, MATCH(N66,AllCollegeNCES,0)))</f>
        <v>0</v>
      </c>
      <c r="Z66">
        <f>IF(OR(T66="H",T66="B"),INDEX(AllCollegeACT25, MATCH(N66,AllCollegeNCES,0)),INDEX(AllCollegeACT50, MATCH(N66,AllCollegeNCES,0)))</f>
        <v>0</v>
      </c>
      <c r="AA66">
        <f>INDEX(CustomWeightsGPA,MATCH(T66&amp;":"&amp;N66,CustomWeightsIndex,0))</f>
        <v>0</v>
      </c>
      <c r="AB66">
        <f>INDEX(CustomWeightsACT,MATCH(T66&amp;":"&amp;N66,CustomWeightsIndex,0))</f>
        <v>0</v>
      </c>
      <c r="AC66">
        <f>INDEX(CustomWeightsIntercept,MATCH(T66&amp;":"&amp;N66,CustomWeightsIndex,0))</f>
        <v>0</v>
      </c>
      <c r="AD66">
        <f>AA66*P66+AB66*Q66+AC66</f>
        <v>0</v>
      </c>
      <c r="AE66">
        <f>INDEX(CoefficientsGPA,MATCH(T66&amp;":"&amp;O66,CoefficientsIndex,0))</f>
        <v>0</v>
      </c>
      <c r="AF66">
        <f>INDEX(CoefficientsACT,MATCH(T66&amp;":"&amp;O66,CoefficientsIndex,0))</f>
        <v>0</v>
      </c>
      <c r="AG66">
        <f>INDEX(CoefficientsIntercept,MATCH(T66&amp;":"&amp;O66,CoefficientsIndex,0))</f>
        <v>0</v>
      </c>
      <c r="AH66">
        <f>AE66*P66+(Q66-Z66)*AF66+AG66</f>
        <v>0</v>
      </c>
      <c r="AI66">
        <f>IF(ISNUMBER(AD66),AD66,AH66)</f>
        <v>0</v>
      </c>
      <c r="AJ66">
        <f>IF(ISNUMBER(AI66),IF(ISNUMBER(AE66),IF(AND(AE66=1,AF66=1,AG66=1),100,ROUND(100*EXP(AI66)/(1+EXP(AI66)),2)),ROUND(100*EXP(AI66)/(1+EXP(AI66)),2)),IF(ISTEXT(O66),IF(LEFT(O66,1)="2",100,"N/A"),"N/A"))</f>
        <v>0</v>
      </c>
      <c r="AK66">
        <f>IF(ISNUMBER(AJ66),IF(AJ66&gt;=99,IF(OR(R66=10,R66=11),MatchLabel,SureThingLabel),IF(AJ66&gt;=95,SecureLabel,IF(AJ66&gt;=80,SafetyLabel,IF(AJ66&gt;=50,MatchLabel,IF(AJ66&gt;=20,ReachLabel,IF(AJ66&gt;=10,LongshotLabel,HailMaryLabel)))))),"Other")</f>
        <v>0</v>
      </c>
      <c r="AL66">
        <f>IF(OR(I66="accepted",I66="cond. accept",I66="summer admit"),IF(J66="yes","CHOICE!","Accepted!"),IF(I66="denied","Denied",IF(K66=1,"Waitlist",IF(L66=1,"Deferred",IF(G66="pending","Pending",IF(OR(G66="initial materials submitted",G66="mid-year submitted",G66="final submitted"),"Submitted",IF(H66="interest","Interest","?")))))))</f>
        <v>0</v>
      </c>
      <c r="AM66">
        <f>IF(OR(AK66=ReachLabel,AK66=LongshotLabel,AK66=HailMaryLabel),1,0)</f>
        <v>0</v>
      </c>
      <c r="AN66">
        <f>IF(OR(AM66=1,AK66=MatchLabel),1,0)</f>
        <v>0</v>
      </c>
      <c r="AO66">
        <f>IF(OR(AK66=MatchLabel,AK66=SafetyLabel,AK66=SecureLabel,AK66=SureThingLabel),1,0)</f>
        <v>0</v>
      </c>
      <c r="AP66">
        <f>IF(OR(T66="H",T66="B"),IF(ISNUMBER(Y66),ROUND(Y66,2),0),IF(ISNUMBER(X66),ROUND(X66,2),0))</f>
        <v>0</v>
      </c>
      <c r="AQ66">
        <f>IF(AP66&gt;=U66,1,0)</f>
        <v>0</v>
      </c>
      <c r="AR66">
        <f>IF(AP66&gt;=V66,1,0)</f>
        <v>0</v>
      </c>
      <c r="AS66">
        <f>IF(AP66&lt;(U66-0.10),1,0)</f>
        <v>0</v>
      </c>
      <c r="AT66">
        <f>1-AJ66/100</f>
        <v>0</v>
      </c>
      <c r="AU66">
        <f>IF(AN66=1,AT66,1)</f>
        <v>0</v>
      </c>
      <c r="AV66">
        <f>IF(AM66=1,AT66,1)</f>
        <v>0</v>
      </c>
      <c r="AW66">
        <f>IF(AND(AQ66=1,ISNUMBER(AT66)),$AT66,1)</f>
        <v>0</v>
      </c>
      <c r="AX66">
        <f>IF(AND(AR66=1,ISNUMBER(AT66)),$AT66,1)</f>
        <v>0</v>
      </c>
      <c r="AY66">
        <f>IF(ISNUMBER(Y66),INDEX(AllCollegeMoney, MATCH(N66,AllCollegeNCES,0)),0)</f>
        <v>0</v>
      </c>
      <c r="AZ66">
        <f>IF(AND(AQ66=1,ISNUMBER(AT66),AY66=1),$AT66,1)</f>
        <v>0</v>
      </c>
      <c r="BA66">
        <f>IF(AND(AR66=1,ISNUMBER(AT66),AY66=1),$AT66,1)</f>
        <v>0</v>
      </c>
      <c r="BB66">
        <f>IF(ISNUMBER(Y66),INDEX(AllCollegeILPub, MATCH(N66,AllCollegeNCES,0)),0)</f>
        <v>0</v>
      </c>
      <c r="BC66">
        <f>IF(AK66=ReachLabel,AP66,0)</f>
        <v>0</v>
      </c>
      <c r="BD66">
        <f>IF(AK66=MatchLabel,AP66,0)</f>
        <v>0</v>
      </c>
      <c r="BE66">
        <f>IF(AK66=SafetyLabel,AP66,0)</f>
        <v>0</v>
      </c>
      <c r="BF66">
        <f>IF(AK66=SecureLabel,AP66,0)</f>
        <v>0</v>
      </c>
      <c r="BG66">
        <f>IF(AK66=SureThingLabel,AP66,0)</f>
        <v>0</v>
      </c>
      <c r="BH66">
        <f>MAX(BC66:BG66)</f>
        <v>0</v>
      </c>
      <c r="BI66">
        <f>MAX(BD66:BG66)</f>
        <v>0</v>
      </c>
      <c r="BJ66">
        <f>MAX(BE66:BG66)</f>
        <v>0</v>
      </c>
      <c r="BK66">
        <f>IF(AND(AK66=ReachLabel,AY66=1),AP66,0)</f>
        <v>0</v>
      </c>
      <c r="BL66">
        <f>IF(AND(AK66=MatchLabel,AY66=1),AP66,0)</f>
        <v>0</v>
      </c>
      <c r="BM66">
        <f>IF(AND(AK66=SafetyLabel,AY66=1),AP66,0)</f>
        <v>0</v>
      </c>
      <c r="BN66">
        <f>IF(AND(AK66=SecureLabel,AY66=1),AP66,0)</f>
        <v>0</v>
      </c>
      <c r="BO66">
        <f>IF(AND(AK66=SureThingLabel,AY66=1),AP66,0)</f>
        <v>0</v>
      </c>
      <c r="BP66">
        <f>MAX(BK66:BO66)</f>
        <v>0</v>
      </c>
      <c r="BQ66">
        <f>MAX(BL66:BO66)</f>
        <v>0</v>
      </c>
      <c r="BR66">
        <f>MAX(BM66:BO66)</f>
        <v>0</v>
      </c>
      <c r="BS66">
        <f>IF(ISNUMBER(Y66),INDEX(AllCollegeChicago, MATCH(N66,AllCollegeNCES,0))*AY66,0)</f>
        <v>0</v>
      </c>
      <c r="BT66">
        <f>IF(ISNUMBER(Y66),INDEX(AllCollegeMoneyCode, MATCH(N66,AllCollegeNCES,0)),"?")</f>
        <v>0</v>
      </c>
      <c r="BU66">
        <f>IF(OR(BT66="---",BT66="--",BT66="+/--",BT66="+/---"),1,0)</f>
        <v>0</v>
      </c>
      <c r="BV66">
        <f>AY66*AO66*AQ66</f>
        <v>0</v>
      </c>
    </row>
    <row r="67" spans="1:74">
      <c r="A67" t="s">
        <v>86</v>
      </c>
      <c r="B67">
        <v>22264507</v>
      </c>
      <c r="C67" t="s">
        <v>163</v>
      </c>
      <c r="D67" t="s">
        <v>164</v>
      </c>
      <c r="E67" t="s">
        <v>428</v>
      </c>
      <c r="F67" t="s">
        <v>447</v>
      </c>
      <c r="G67" t="s">
        <v>430</v>
      </c>
      <c r="H67" t="s">
        <v>431</v>
      </c>
      <c r="I67" t="s">
        <v>432</v>
      </c>
      <c r="J67" t="s">
        <v>432</v>
      </c>
      <c r="K67">
        <v>0</v>
      </c>
      <c r="L67" t="s">
        <v>428</v>
      </c>
      <c r="M67" t="s">
        <v>428</v>
      </c>
      <c r="N67">
        <v>145600</v>
      </c>
      <c r="O67">
        <f>INDEX(AllCollegeBarrons,MATCH(N67,AllCollegeNCES,0))</f>
        <v>0</v>
      </c>
      <c r="P67">
        <f>INDEX(KidGPAs,MATCH(B67,KidIDs,0))</f>
        <v>0</v>
      </c>
      <c r="Q67">
        <f>INDEX(KidACTs,MATCH(B67,KidIDs,0))</f>
        <v>0</v>
      </c>
      <c r="R67">
        <f>INDEX(Strats,MATCH(B67,KidIDs,0))</f>
        <v>0</v>
      </c>
      <c r="S67">
        <f>INDEX(KidRace,MATCH(B67,KidIDs,0))</f>
        <v>0</v>
      </c>
      <c r="T67">
        <f>IF(OR(S67="M",S67="I"),"H",S67)</f>
        <v>0</v>
      </c>
      <c r="U67">
        <f>INDEX(StudentTargets,MATCH(B67,KidIDs,0))</f>
        <v>0</v>
      </c>
      <c r="V67">
        <f>INDEX(ReachStudentTargets,MATCH(B67,KidIDs,0))</f>
        <v>0</v>
      </c>
      <c r="W67">
        <f>IF(OR(M67="Posse"),1,0)</f>
        <v>0</v>
      </c>
      <c r="X67">
        <f>IF(ISNUMBER(INDEX(AllCollegeGR, MATCH(N67,AllCollegeNCES,0))),ROUND(INDEX(AllCollegeGR, MATCH(N67,AllCollegeNCES,0))+W67*IF(INDEX(AllCollegeGR, MATCH(N67,AllCollegeNCES,0))&gt;0.7,(1-INDEX(AllCollegeGR, MATCH(N67,AllCollegeNCES,0)))/2,0.15),2),INDEX(AllCollegeGR, MATCH(N67,AllCollegeNCES,0)))</f>
        <v>0</v>
      </c>
      <c r="Y67">
        <f>IF(ISNUMBER(INDEX(AllCollegeAAHGR, MATCH(N67,AllCollegeNCES,0))),ROUND(INDEX(AllCollegeAAHGR, MATCH(N67,AllCollegeNCES,0))+W67*IF(INDEX(AllCollegeAAHGR, MATCH(N67,AllCollegeNCES,0))&gt;0.7,(1-INDEX(AllCollegeAAHGR, MATCH(N67,AllCollegeNCES,0)))/2,0.15),2),INDEX(AllCollegeAAHGR, MATCH(N67,AllCollegeNCES,0)))</f>
        <v>0</v>
      </c>
      <c r="Z67">
        <f>IF(OR(T67="H",T67="B"),INDEX(AllCollegeACT25, MATCH(N67,AllCollegeNCES,0)),INDEX(AllCollegeACT50, MATCH(N67,AllCollegeNCES,0)))</f>
        <v>0</v>
      </c>
      <c r="AA67">
        <f>INDEX(CustomWeightsGPA,MATCH(T67&amp;":"&amp;N67,CustomWeightsIndex,0))</f>
        <v>0</v>
      </c>
      <c r="AB67">
        <f>INDEX(CustomWeightsACT,MATCH(T67&amp;":"&amp;N67,CustomWeightsIndex,0))</f>
        <v>0</v>
      </c>
      <c r="AC67">
        <f>INDEX(CustomWeightsIntercept,MATCH(T67&amp;":"&amp;N67,CustomWeightsIndex,0))</f>
        <v>0</v>
      </c>
      <c r="AD67">
        <f>AA67*P67+AB67*Q67+AC67</f>
        <v>0</v>
      </c>
      <c r="AE67">
        <f>INDEX(CoefficientsGPA,MATCH(T67&amp;":"&amp;O67,CoefficientsIndex,0))</f>
        <v>0</v>
      </c>
      <c r="AF67">
        <f>INDEX(CoefficientsACT,MATCH(T67&amp;":"&amp;O67,CoefficientsIndex,0))</f>
        <v>0</v>
      </c>
      <c r="AG67">
        <f>INDEX(CoefficientsIntercept,MATCH(T67&amp;":"&amp;O67,CoefficientsIndex,0))</f>
        <v>0</v>
      </c>
      <c r="AH67">
        <f>AE67*P67+(Q67-Z67)*AF67+AG67</f>
        <v>0</v>
      </c>
      <c r="AI67">
        <f>IF(ISNUMBER(AD67),AD67,AH67)</f>
        <v>0</v>
      </c>
      <c r="AJ67">
        <f>IF(ISNUMBER(AI67),IF(ISNUMBER(AE67),IF(AND(AE67=1,AF67=1,AG67=1),100,ROUND(100*EXP(AI67)/(1+EXP(AI67)),2)),ROUND(100*EXP(AI67)/(1+EXP(AI67)),2)),IF(ISTEXT(O67),IF(LEFT(O67,1)="2",100,"N/A"),"N/A"))</f>
        <v>0</v>
      </c>
      <c r="AK67">
        <f>IF(ISNUMBER(AJ67),IF(AJ67&gt;=99,IF(OR(R67=10,R67=11),MatchLabel,SureThingLabel),IF(AJ67&gt;=95,SecureLabel,IF(AJ67&gt;=80,SafetyLabel,IF(AJ67&gt;=50,MatchLabel,IF(AJ67&gt;=20,ReachLabel,IF(AJ67&gt;=10,LongshotLabel,HailMaryLabel)))))),"Other")</f>
        <v>0</v>
      </c>
      <c r="AL67">
        <f>IF(OR(I67="accepted",I67="cond. accept",I67="summer admit"),IF(J67="yes","CHOICE!","Accepted!"),IF(I67="denied","Denied",IF(K67=1,"Waitlist",IF(L67=1,"Deferred",IF(G67="pending","Pending",IF(OR(G67="initial materials submitted",G67="mid-year submitted",G67="final submitted"),"Submitted",IF(H67="interest","Interest","?")))))))</f>
        <v>0</v>
      </c>
      <c r="AM67">
        <f>IF(OR(AK67=ReachLabel,AK67=LongshotLabel,AK67=HailMaryLabel),1,0)</f>
        <v>0</v>
      </c>
      <c r="AN67">
        <f>IF(OR(AM67=1,AK67=MatchLabel),1,0)</f>
        <v>0</v>
      </c>
      <c r="AO67">
        <f>IF(OR(AK67=MatchLabel,AK67=SafetyLabel,AK67=SecureLabel,AK67=SureThingLabel),1,0)</f>
        <v>0</v>
      </c>
      <c r="AP67">
        <f>IF(OR(T67="H",T67="B"),IF(ISNUMBER(Y67),ROUND(Y67,2),0),IF(ISNUMBER(X67),ROUND(X67,2),0))</f>
        <v>0</v>
      </c>
      <c r="AQ67">
        <f>IF(AP67&gt;=U67,1,0)</f>
        <v>0</v>
      </c>
      <c r="AR67">
        <f>IF(AP67&gt;=V67,1,0)</f>
        <v>0</v>
      </c>
      <c r="AS67">
        <f>IF(AP67&lt;(U67-0.10),1,0)</f>
        <v>0</v>
      </c>
      <c r="AT67">
        <f>1-AJ67/100</f>
        <v>0</v>
      </c>
      <c r="AU67">
        <f>IF(AN67=1,AT67,1)</f>
        <v>0</v>
      </c>
      <c r="AV67">
        <f>IF(AM67=1,AT67,1)</f>
        <v>0</v>
      </c>
      <c r="AW67">
        <f>IF(AND(AQ67=1,ISNUMBER(AT67)),$AT67,1)</f>
        <v>0</v>
      </c>
      <c r="AX67">
        <f>IF(AND(AR67=1,ISNUMBER(AT67)),$AT67,1)</f>
        <v>0</v>
      </c>
      <c r="AY67">
        <f>IF(ISNUMBER(Y67),INDEX(AllCollegeMoney, MATCH(N67,AllCollegeNCES,0)),0)</f>
        <v>0</v>
      </c>
      <c r="AZ67">
        <f>IF(AND(AQ67=1,ISNUMBER(AT67),AY67=1),$AT67,1)</f>
        <v>0</v>
      </c>
      <c r="BA67">
        <f>IF(AND(AR67=1,ISNUMBER(AT67),AY67=1),$AT67,1)</f>
        <v>0</v>
      </c>
      <c r="BB67">
        <f>IF(ISNUMBER(Y67),INDEX(AllCollegeILPub, MATCH(N67,AllCollegeNCES,0)),0)</f>
        <v>0</v>
      </c>
      <c r="BC67">
        <f>IF(AK67=ReachLabel,AP67,0)</f>
        <v>0</v>
      </c>
      <c r="BD67">
        <f>IF(AK67=MatchLabel,AP67,0)</f>
        <v>0</v>
      </c>
      <c r="BE67">
        <f>IF(AK67=SafetyLabel,AP67,0)</f>
        <v>0</v>
      </c>
      <c r="BF67">
        <f>IF(AK67=SecureLabel,AP67,0)</f>
        <v>0</v>
      </c>
      <c r="BG67">
        <f>IF(AK67=SureThingLabel,AP67,0)</f>
        <v>0</v>
      </c>
      <c r="BH67">
        <f>MAX(BC67:BG67)</f>
        <v>0</v>
      </c>
      <c r="BI67">
        <f>MAX(BD67:BG67)</f>
        <v>0</v>
      </c>
      <c r="BJ67">
        <f>MAX(BE67:BG67)</f>
        <v>0</v>
      </c>
      <c r="BK67">
        <f>IF(AND(AK67=ReachLabel,AY67=1),AP67,0)</f>
        <v>0</v>
      </c>
      <c r="BL67">
        <f>IF(AND(AK67=MatchLabel,AY67=1),AP67,0)</f>
        <v>0</v>
      </c>
      <c r="BM67">
        <f>IF(AND(AK67=SafetyLabel,AY67=1),AP67,0)</f>
        <v>0</v>
      </c>
      <c r="BN67">
        <f>IF(AND(AK67=SecureLabel,AY67=1),AP67,0)</f>
        <v>0</v>
      </c>
      <c r="BO67">
        <f>IF(AND(AK67=SureThingLabel,AY67=1),AP67,0)</f>
        <v>0</v>
      </c>
      <c r="BP67">
        <f>MAX(BK67:BO67)</f>
        <v>0</v>
      </c>
      <c r="BQ67">
        <f>MAX(BL67:BO67)</f>
        <v>0</v>
      </c>
      <c r="BR67">
        <f>MAX(BM67:BO67)</f>
        <v>0</v>
      </c>
      <c r="BS67">
        <f>IF(ISNUMBER(Y67),INDEX(AllCollegeChicago, MATCH(N67,AllCollegeNCES,0))*AY67,0)</f>
        <v>0</v>
      </c>
      <c r="BT67">
        <f>IF(ISNUMBER(Y67),INDEX(AllCollegeMoneyCode, MATCH(N67,AllCollegeNCES,0)),"?")</f>
        <v>0</v>
      </c>
      <c r="BU67">
        <f>IF(OR(BT67="---",BT67="--",BT67="+/--",BT67="+/---"),1,0)</f>
        <v>0</v>
      </c>
      <c r="BV67">
        <f>AY67*AO67*AQ67</f>
        <v>0</v>
      </c>
    </row>
    <row r="68" spans="1:74">
      <c r="A68" t="s">
        <v>86</v>
      </c>
      <c r="B68">
        <v>22264507</v>
      </c>
      <c r="C68" t="s">
        <v>163</v>
      </c>
      <c r="D68" t="s">
        <v>164</v>
      </c>
      <c r="E68" t="s">
        <v>428</v>
      </c>
      <c r="F68" t="s">
        <v>435</v>
      </c>
      <c r="G68" t="s">
        <v>430</v>
      </c>
      <c r="H68" t="s">
        <v>431</v>
      </c>
      <c r="I68" t="s">
        <v>432</v>
      </c>
      <c r="J68" t="s">
        <v>432</v>
      </c>
      <c r="K68">
        <v>0</v>
      </c>
      <c r="L68" t="s">
        <v>428</v>
      </c>
      <c r="M68" t="s">
        <v>428</v>
      </c>
      <c r="N68">
        <v>144892</v>
      </c>
      <c r="O68">
        <f>INDEX(AllCollegeBarrons,MATCH(N68,AllCollegeNCES,0))</f>
        <v>0</v>
      </c>
      <c r="P68">
        <f>INDEX(KidGPAs,MATCH(B68,KidIDs,0))</f>
        <v>0</v>
      </c>
      <c r="Q68">
        <f>INDEX(KidACTs,MATCH(B68,KidIDs,0))</f>
        <v>0</v>
      </c>
      <c r="R68">
        <f>INDEX(Strats,MATCH(B68,KidIDs,0))</f>
        <v>0</v>
      </c>
      <c r="S68">
        <f>INDEX(KidRace,MATCH(B68,KidIDs,0))</f>
        <v>0</v>
      </c>
      <c r="T68">
        <f>IF(OR(S68="M",S68="I"),"H",S68)</f>
        <v>0</v>
      </c>
      <c r="U68">
        <f>INDEX(StudentTargets,MATCH(B68,KidIDs,0))</f>
        <v>0</v>
      </c>
      <c r="V68">
        <f>INDEX(ReachStudentTargets,MATCH(B68,KidIDs,0))</f>
        <v>0</v>
      </c>
      <c r="W68">
        <f>IF(OR(M68="Posse"),1,0)</f>
        <v>0</v>
      </c>
      <c r="X68">
        <f>IF(ISNUMBER(INDEX(AllCollegeGR, MATCH(N68,AllCollegeNCES,0))),ROUND(INDEX(AllCollegeGR, MATCH(N68,AllCollegeNCES,0))+W68*IF(INDEX(AllCollegeGR, MATCH(N68,AllCollegeNCES,0))&gt;0.7,(1-INDEX(AllCollegeGR, MATCH(N68,AllCollegeNCES,0)))/2,0.15),2),INDEX(AllCollegeGR, MATCH(N68,AllCollegeNCES,0)))</f>
        <v>0</v>
      </c>
      <c r="Y68">
        <f>IF(ISNUMBER(INDEX(AllCollegeAAHGR, MATCH(N68,AllCollegeNCES,0))),ROUND(INDEX(AllCollegeAAHGR, MATCH(N68,AllCollegeNCES,0))+W68*IF(INDEX(AllCollegeAAHGR, MATCH(N68,AllCollegeNCES,0))&gt;0.7,(1-INDEX(AllCollegeAAHGR, MATCH(N68,AllCollegeNCES,0)))/2,0.15),2),INDEX(AllCollegeAAHGR, MATCH(N68,AllCollegeNCES,0)))</f>
        <v>0</v>
      </c>
      <c r="Z68">
        <f>IF(OR(T68="H",T68="B"),INDEX(AllCollegeACT25, MATCH(N68,AllCollegeNCES,0)),INDEX(AllCollegeACT50, MATCH(N68,AllCollegeNCES,0)))</f>
        <v>0</v>
      </c>
      <c r="AA68">
        <f>INDEX(CustomWeightsGPA,MATCH(T68&amp;":"&amp;N68,CustomWeightsIndex,0))</f>
        <v>0</v>
      </c>
      <c r="AB68">
        <f>INDEX(CustomWeightsACT,MATCH(T68&amp;":"&amp;N68,CustomWeightsIndex,0))</f>
        <v>0</v>
      </c>
      <c r="AC68">
        <f>INDEX(CustomWeightsIntercept,MATCH(T68&amp;":"&amp;N68,CustomWeightsIndex,0))</f>
        <v>0</v>
      </c>
      <c r="AD68">
        <f>AA68*P68+AB68*Q68+AC68</f>
        <v>0</v>
      </c>
      <c r="AE68">
        <f>INDEX(CoefficientsGPA,MATCH(T68&amp;":"&amp;O68,CoefficientsIndex,0))</f>
        <v>0</v>
      </c>
      <c r="AF68">
        <f>INDEX(CoefficientsACT,MATCH(T68&amp;":"&amp;O68,CoefficientsIndex,0))</f>
        <v>0</v>
      </c>
      <c r="AG68">
        <f>INDEX(CoefficientsIntercept,MATCH(T68&amp;":"&amp;O68,CoefficientsIndex,0))</f>
        <v>0</v>
      </c>
      <c r="AH68">
        <f>AE68*P68+(Q68-Z68)*AF68+AG68</f>
        <v>0</v>
      </c>
      <c r="AI68">
        <f>IF(ISNUMBER(AD68),AD68,AH68)</f>
        <v>0</v>
      </c>
      <c r="AJ68">
        <f>IF(ISNUMBER(AI68),IF(ISNUMBER(AE68),IF(AND(AE68=1,AF68=1,AG68=1),100,ROUND(100*EXP(AI68)/(1+EXP(AI68)),2)),ROUND(100*EXP(AI68)/(1+EXP(AI68)),2)),IF(ISTEXT(O68),IF(LEFT(O68,1)="2",100,"N/A"),"N/A"))</f>
        <v>0</v>
      </c>
      <c r="AK68">
        <f>IF(ISNUMBER(AJ68),IF(AJ68&gt;=99,IF(OR(R68=10,R68=11),MatchLabel,SureThingLabel),IF(AJ68&gt;=95,SecureLabel,IF(AJ68&gt;=80,SafetyLabel,IF(AJ68&gt;=50,MatchLabel,IF(AJ68&gt;=20,ReachLabel,IF(AJ68&gt;=10,LongshotLabel,HailMaryLabel)))))),"Other")</f>
        <v>0</v>
      </c>
      <c r="AL68">
        <f>IF(OR(I68="accepted",I68="cond. accept",I68="summer admit"),IF(J68="yes","CHOICE!","Accepted!"),IF(I68="denied","Denied",IF(K68=1,"Waitlist",IF(L68=1,"Deferred",IF(G68="pending","Pending",IF(OR(G68="initial materials submitted",G68="mid-year submitted",G68="final submitted"),"Submitted",IF(H68="interest","Interest","?")))))))</f>
        <v>0</v>
      </c>
      <c r="AM68">
        <f>IF(OR(AK68=ReachLabel,AK68=LongshotLabel,AK68=HailMaryLabel),1,0)</f>
        <v>0</v>
      </c>
      <c r="AN68">
        <f>IF(OR(AM68=1,AK68=MatchLabel),1,0)</f>
        <v>0</v>
      </c>
      <c r="AO68">
        <f>IF(OR(AK68=MatchLabel,AK68=SafetyLabel,AK68=SecureLabel,AK68=SureThingLabel),1,0)</f>
        <v>0</v>
      </c>
      <c r="AP68">
        <f>IF(OR(T68="H",T68="B"),IF(ISNUMBER(Y68),ROUND(Y68,2),0),IF(ISNUMBER(X68),ROUND(X68,2),0))</f>
        <v>0</v>
      </c>
      <c r="AQ68">
        <f>IF(AP68&gt;=U68,1,0)</f>
        <v>0</v>
      </c>
      <c r="AR68">
        <f>IF(AP68&gt;=V68,1,0)</f>
        <v>0</v>
      </c>
      <c r="AS68">
        <f>IF(AP68&lt;(U68-0.10),1,0)</f>
        <v>0</v>
      </c>
      <c r="AT68">
        <f>1-AJ68/100</f>
        <v>0</v>
      </c>
      <c r="AU68">
        <f>IF(AN68=1,AT68,1)</f>
        <v>0</v>
      </c>
      <c r="AV68">
        <f>IF(AM68=1,AT68,1)</f>
        <v>0</v>
      </c>
      <c r="AW68">
        <f>IF(AND(AQ68=1,ISNUMBER(AT68)),$AT68,1)</f>
        <v>0</v>
      </c>
      <c r="AX68">
        <f>IF(AND(AR68=1,ISNUMBER(AT68)),$AT68,1)</f>
        <v>0</v>
      </c>
      <c r="AY68">
        <f>IF(ISNUMBER(Y68),INDEX(AllCollegeMoney, MATCH(N68,AllCollegeNCES,0)),0)</f>
        <v>0</v>
      </c>
      <c r="AZ68">
        <f>IF(AND(AQ68=1,ISNUMBER(AT68),AY68=1),$AT68,1)</f>
        <v>0</v>
      </c>
      <c r="BA68">
        <f>IF(AND(AR68=1,ISNUMBER(AT68),AY68=1),$AT68,1)</f>
        <v>0</v>
      </c>
      <c r="BB68">
        <f>IF(ISNUMBER(Y68),INDEX(AllCollegeILPub, MATCH(N68,AllCollegeNCES,0)),0)</f>
        <v>0</v>
      </c>
      <c r="BC68">
        <f>IF(AK68=ReachLabel,AP68,0)</f>
        <v>0</v>
      </c>
      <c r="BD68">
        <f>IF(AK68=MatchLabel,AP68,0)</f>
        <v>0</v>
      </c>
      <c r="BE68">
        <f>IF(AK68=SafetyLabel,AP68,0)</f>
        <v>0</v>
      </c>
      <c r="BF68">
        <f>IF(AK68=SecureLabel,AP68,0)</f>
        <v>0</v>
      </c>
      <c r="BG68">
        <f>IF(AK68=SureThingLabel,AP68,0)</f>
        <v>0</v>
      </c>
      <c r="BH68">
        <f>MAX(BC68:BG68)</f>
        <v>0</v>
      </c>
      <c r="BI68">
        <f>MAX(BD68:BG68)</f>
        <v>0</v>
      </c>
      <c r="BJ68">
        <f>MAX(BE68:BG68)</f>
        <v>0</v>
      </c>
      <c r="BK68">
        <f>IF(AND(AK68=ReachLabel,AY68=1),AP68,0)</f>
        <v>0</v>
      </c>
      <c r="BL68">
        <f>IF(AND(AK68=MatchLabel,AY68=1),AP68,0)</f>
        <v>0</v>
      </c>
      <c r="BM68">
        <f>IF(AND(AK68=SafetyLabel,AY68=1),AP68,0)</f>
        <v>0</v>
      </c>
      <c r="BN68">
        <f>IF(AND(AK68=SecureLabel,AY68=1),AP68,0)</f>
        <v>0</v>
      </c>
      <c r="BO68">
        <f>IF(AND(AK68=SureThingLabel,AY68=1),AP68,0)</f>
        <v>0</v>
      </c>
      <c r="BP68">
        <f>MAX(BK68:BO68)</f>
        <v>0</v>
      </c>
      <c r="BQ68">
        <f>MAX(BL68:BO68)</f>
        <v>0</v>
      </c>
      <c r="BR68">
        <f>MAX(BM68:BO68)</f>
        <v>0</v>
      </c>
      <c r="BS68">
        <f>IF(ISNUMBER(Y68),INDEX(AllCollegeChicago, MATCH(N68,AllCollegeNCES,0))*AY68,0)</f>
        <v>0</v>
      </c>
      <c r="BT68">
        <f>IF(ISNUMBER(Y68),INDEX(AllCollegeMoneyCode, MATCH(N68,AllCollegeNCES,0)),"?")</f>
        <v>0</v>
      </c>
      <c r="BU68">
        <f>IF(OR(BT68="---",BT68="--",BT68="+/--",BT68="+/---"),1,0)</f>
        <v>0</v>
      </c>
      <c r="BV68">
        <f>AY68*AO68*AQ68</f>
        <v>0</v>
      </c>
    </row>
    <row r="69" spans="1:74">
      <c r="A69" t="s">
        <v>86</v>
      </c>
      <c r="B69">
        <v>22264507</v>
      </c>
      <c r="C69" t="s">
        <v>163</v>
      </c>
      <c r="D69" t="s">
        <v>164</v>
      </c>
      <c r="E69" t="s">
        <v>428</v>
      </c>
      <c r="F69" t="s">
        <v>436</v>
      </c>
      <c r="G69" t="s">
        <v>430</v>
      </c>
      <c r="H69" t="s">
        <v>431</v>
      </c>
      <c r="I69" t="s">
        <v>432</v>
      </c>
      <c r="J69" t="s">
        <v>432</v>
      </c>
      <c r="K69">
        <v>0</v>
      </c>
      <c r="L69" t="s">
        <v>428</v>
      </c>
      <c r="M69" t="s">
        <v>428</v>
      </c>
      <c r="N69">
        <v>147536</v>
      </c>
      <c r="O69">
        <f>INDEX(AllCollegeBarrons,MATCH(N69,AllCollegeNCES,0))</f>
        <v>0</v>
      </c>
      <c r="P69">
        <f>INDEX(KidGPAs,MATCH(B69,KidIDs,0))</f>
        <v>0</v>
      </c>
      <c r="Q69">
        <f>INDEX(KidACTs,MATCH(B69,KidIDs,0))</f>
        <v>0</v>
      </c>
      <c r="R69">
        <f>INDEX(Strats,MATCH(B69,KidIDs,0))</f>
        <v>0</v>
      </c>
      <c r="S69">
        <f>INDEX(KidRace,MATCH(B69,KidIDs,0))</f>
        <v>0</v>
      </c>
      <c r="T69">
        <f>IF(OR(S69="M",S69="I"),"H",S69)</f>
        <v>0</v>
      </c>
      <c r="U69">
        <f>INDEX(StudentTargets,MATCH(B69,KidIDs,0))</f>
        <v>0</v>
      </c>
      <c r="V69">
        <f>INDEX(ReachStudentTargets,MATCH(B69,KidIDs,0))</f>
        <v>0</v>
      </c>
      <c r="W69">
        <f>IF(OR(M69="Posse"),1,0)</f>
        <v>0</v>
      </c>
      <c r="X69">
        <f>IF(ISNUMBER(INDEX(AllCollegeGR, MATCH(N69,AllCollegeNCES,0))),ROUND(INDEX(AllCollegeGR, MATCH(N69,AllCollegeNCES,0))+W69*IF(INDEX(AllCollegeGR, MATCH(N69,AllCollegeNCES,0))&gt;0.7,(1-INDEX(AllCollegeGR, MATCH(N69,AllCollegeNCES,0)))/2,0.15),2),INDEX(AllCollegeGR, MATCH(N69,AllCollegeNCES,0)))</f>
        <v>0</v>
      </c>
      <c r="Y69">
        <f>IF(ISNUMBER(INDEX(AllCollegeAAHGR, MATCH(N69,AllCollegeNCES,0))),ROUND(INDEX(AllCollegeAAHGR, MATCH(N69,AllCollegeNCES,0))+W69*IF(INDEX(AllCollegeAAHGR, MATCH(N69,AllCollegeNCES,0))&gt;0.7,(1-INDEX(AllCollegeAAHGR, MATCH(N69,AllCollegeNCES,0)))/2,0.15),2),INDEX(AllCollegeAAHGR, MATCH(N69,AllCollegeNCES,0)))</f>
        <v>0</v>
      </c>
      <c r="Z69">
        <f>IF(OR(T69="H",T69="B"),INDEX(AllCollegeACT25, MATCH(N69,AllCollegeNCES,0)),INDEX(AllCollegeACT50, MATCH(N69,AllCollegeNCES,0)))</f>
        <v>0</v>
      </c>
      <c r="AA69">
        <f>INDEX(CustomWeightsGPA,MATCH(T69&amp;":"&amp;N69,CustomWeightsIndex,0))</f>
        <v>0</v>
      </c>
      <c r="AB69">
        <f>INDEX(CustomWeightsACT,MATCH(T69&amp;":"&amp;N69,CustomWeightsIndex,0))</f>
        <v>0</v>
      </c>
      <c r="AC69">
        <f>INDEX(CustomWeightsIntercept,MATCH(T69&amp;":"&amp;N69,CustomWeightsIndex,0))</f>
        <v>0</v>
      </c>
      <c r="AD69">
        <f>AA69*P69+AB69*Q69+AC69</f>
        <v>0</v>
      </c>
      <c r="AE69">
        <f>INDEX(CoefficientsGPA,MATCH(T69&amp;":"&amp;O69,CoefficientsIndex,0))</f>
        <v>0</v>
      </c>
      <c r="AF69">
        <f>INDEX(CoefficientsACT,MATCH(T69&amp;":"&amp;O69,CoefficientsIndex,0))</f>
        <v>0</v>
      </c>
      <c r="AG69">
        <f>INDEX(CoefficientsIntercept,MATCH(T69&amp;":"&amp;O69,CoefficientsIndex,0))</f>
        <v>0</v>
      </c>
      <c r="AH69">
        <f>AE69*P69+(Q69-Z69)*AF69+AG69</f>
        <v>0</v>
      </c>
      <c r="AI69">
        <f>IF(ISNUMBER(AD69),AD69,AH69)</f>
        <v>0</v>
      </c>
      <c r="AJ69">
        <f>IF(ISNUMBER(AI69),IF(ISNUMBER(AE69),IF(AND(AE69=1,AF69=1,AG69=1),100,ROUND(100*EXP(AI69)/(1+EXP(AI69)),2)),ROUND(100*EXP(AI69)/(1+EXP(AI69)),2)),IF(ISTEXT(O69),IF(LEFT(O69,1)="2",100,"N/A"),"N/A"))</f>
        <v>0</v>
      </c>
      <c r="AK69">
        <f>IF(ISNUMBER(AJ69),IF(AJ69&gt;=99,IF(OR(R69=10,R69=11),MatchLabel,SureThingLabel),IF(AJ69&gt;=95,SecureLabel,IF(AJ69&gt;=80,SafetyLabel,IF(AJ69&gt;=50,MatchLabel,IF(AJ69&gt;=20,ReachLabel,IF(AJ69&gt;=10,LongshotLabel,HailMaryLabel)))))),"Other")</f>
        <v>0</v>
      </c>
      <c r="AL69">
        <f>IF(OR(I69="accepted",I69="cond. accept",I69="summer admit"),IF(J69="yes","CHOICE!","Accepted!"),IF(I69="denied","Denied",IF(K69=1,"Waitlist",IF(L69=1,"Deferred",IF(G69="pending","Pending",IF(OR(G69="initial materials submitted",G69="mid-year submitted",G69="final submitted"),"Submitted",IF(H69="interest","Interest","?")))))))</f>
        <v>0</v>
      </c>
      <c r="AM69">
        <f>IF(OR(AK69=ReachLabel,AK69=LongshotLabel,AK69=HailMaryLabel),1,0)</f>
        <v>0</v>
      </c>
      <c r="AN69">
        <f>IF(OR(AM69=1,AK69=MatchLabel),1,0)</f>
        <v>0</v>
      </c>
      <c r="AO69">
        <f>IF(OR(AK69=MatchLabel,AK69=SafetyLabel,AK69=SecureLabel,AK69=SureThingLabel),1,0)</f>
        <v>0</v>
      </c>
      <c r="AP69">
        <f>IF(OR(T69="H",T69="B"),IF(ISNUMBER(Y69),ROUND(Y69,2),0),IF(ISNUMBER(X69),ROUND(X69,2),0))</f>
        <v>0</v>
      </c>
      <c r="AQ69">
        <f>IF(AP69&gt;=U69,1,0)</f>
        <v>0</v>
      </c>
      <c r="AR69">
        <f>IF(AP69&gt;=V69,1,0)</f>
        <v>0</v>
      </c>
      <c r="AS69">
        <f>IF(AP69&lt;(U69-0.10),1,0)</f>
        <v>0</v>
      </c>
      <c r="AT69">
        <f>1-AJ69/100</f>
        <v>0</v>
      </c>
      <c r="AU69">
        <f>IF(AN69=1,AT69,1)</f>
        <v>0</v>
      </c>
      <c r="AV69">
        <f>IF(AM69=1,AT69,1)</f>
        <v>0</v>
      </c>
      <c r="AW69">
        <f>IF(AND(AQ69=1,ISNUMBER(AT69)),$AT69,1)</f>
        <v>0</v>
      </c>
      <c r="AX69">
        <f>IF(AND(AR69=1,ISNUMBER(AT69)),$AT69,1)</f>
        <v>0</v>
      </c>
      <c r="AY69">
        <f>IF(ISNUMBER(Y69),INDEX(AllCollegeMoney, MATCH(N69,AllCollegeNCES,0)),0)</f>
        <v>0</v>
      </c>
      <c r="AZ69">
        <f>IF(AND(AQ69=1,ISNUMBER(AT69),AY69=1),$AT69,1)</f>
        <v>0</v>
      </c>
      <c r="BA69">
        <f>IF(AND(AR69=1,ISNUMBER(AT69),AY69=1),$AT69,1)</f>
        <v>0</v>
      </c>
      <c r="BB69">
        <f>IF(ISNUMBER(Y69),INDEX(AllCollegeILPub, MATCH(N69,AllCollegeNCES,0)),0)</f>
        <v>0</v>
      </c>
      <c r="BC69">
        <f>IF(AK69=ReachLabel,AP69,0)</f>
        <v>0</v>
      </c>
      <c r="BD69">
        <f>IF(AK69=MatchLabel,AP69,0)</f>
        <v>0</v>
      </c>
      <c r="BE69">
        <f>IF(AK69=SafetyLabel,AP69,0)</f>
        <v>0</v>
      </c>
      <c r="BF69">
        <f>IF(AK69=SecureLabel,AP69,0)</f>
        <v>0</v>
      </c>
      <c r="BG69">
        <f>IF(AK69=SureThingLabel,AP69,0)</f>
        <v>0</v>
      </c>
      <c r="BH69">
        <f>MAX(BC69:BG69)</f>
        <v>0</v>
      </c>
      <c r="BI69">
        <f>MAX(BD69:BG69)</f>
        <v>0</v>
      </c>
      <c r="BJ69">
        <f>MAX(BE69:BG69)</f>
        <v>0</v>
      </c>
      <c r="BK69">
        <f>IF(AND(AK69=ReachLabel,AY69=1),AP69,0)</f>
        <v>0</v>
      </c>
      <c r="BL69">
        <f>IF(AND(AK69=MatchLabel,AY69=1),AP69,0)</f>
        <v>0</v>
      </c>
      <c r="BM69">
        <f>IF(AND(AK69=SafetyLabel,AY69=1),AP69,0)</f>
        <v>0</v>
      </c>
      <c r="BN69">
        <f>IF(AND(AK69=SecureLabel,AY69=1),AP69,0)</f>
        <v>0</v>
      </c>
      <c r="BO69">
        <f>IF(AND(AK69=SureThingLabel,AY69=1),AP69,0)</f>
        <v>0</v>
      </c>
      <c r="BP69">
        <f>MAX(BK69:BO69)</f>
        <v>0</v>
      </c>
      <c r="BQ69">
        <f>MAX(BL69:BO69)</f>
        <v>0</v>
      </c>
      <c r="BR69">
        <f>MAX(BM69:BO69)</f>
        <v>0</v>
      </c>
      <c r="BS69">
        <f>IF(ISNUMBER(Y69),INDEX(AllCollegeChicago, MATCH(N69,AllCollegeNCES,0))*AY69,0)</f>
        <v>0</v>
      </c>
      <c r="BT69">
        <f>IF(ISNUMBER(Y69),INDEX(AllCollegeMoneyCode, MATCH(N69,AllCollegeNCES,0)),"?")</f>
        <v>0</v>
      </c>
      <c r="BU69">
        <f>IF(OR(BT69="---",BT69="--",BT69="+/--",BT69="+/---"),1,0)</f>
        <v>0</v>
      </c>
      <c r="BV69">
        <f>AY69*AO69*AQ69</f>
        <v>0</v>
      </c>
    </row>
    <row r="70" spans="1:74">
      <c r="A70" t="s">
        <v>86</v>
      </c>
      <c r="B70">
        <v>22264507</v>
      </c>
      <c r="C70" t="s">
        <v>163</v>
      </c>
      <c r="D70" t="s">
        <v>164</v>
      </c>
      <c r="E70" t="s">
        <v>428</v>
      </c>
      <c r="F70" t="s">
        <v>437</v>
      </c>
      <c r="G70" t="s">
        <v>430</v>
      </c>
      <c r="H70" t="s">
        <v>431</v>
      </c>
      <c r="I70" t="s">
        <v>432</v>
      </c>
      <c r="J70" t="s">
        <v>432</v>
      </c>
      <c r="K70">
        <v>0</v>
      </c>
      <c r="L70" t="s">
        <v>428</v>
      </c>
      <c r="M70" t="s">
        <v>428</v>
      </c>
      <c r="N70">
        <v>149772</v>
      </c>
      <c r="O70">
        <f>INDEX(AllCollegeBarrons,MATCH(N70,AllCollegeNCES,0))</f>
        <v>0</v>
      </c>
      <c r="P70">
        <f>INDEX(KidGPAs,MATCH(B70,KidIDs,0))</f>
        <v>0</v>
      </c>
      <c r="Q70">
        <f>INDEX(KidACTs,MATCH(B70,KidIDs,0))</f>
        <v>0</v>
      </c>
      <c r="R70">
        <f>INDEX(Strats,MATCH(B70,KidIDs,0))</f>
        <v>0</v>
      </c>
      <c r="S70">
        <f>INDEX(KidRace,MATCH(B70,KidIDs,0))</f>
        <v>0</v>
      </c>
      <c r="T70">
        <f>IF(OR(S70="M",S70="I"),"H",S70)</f>
        <v>0</v>
      </c>
      <c r="U70">
        <f>INDEX(StudentTargets,MATCH(B70,KidIDs,0))</f>
        <v>0</v>
      </c>
      <c r="V70">
        <f>INDEX(ReachStudentTargets,MATCH(B70,KidIDs,0))</f>
        <v>0</v>
      </c>
      <c r="W70">
        <f>IF(OR(M70="Posse"),1,0)</f>
        <v>0</v>
      </c>
      <c r="X70">
        <f>IF(ISNUMBER(INDEX(AllCollegeGR, MATCH(N70,AllCollegeNCES,0))),ROUND(INDEX(AllCollegeGR, MATCH(N70,AllCollegeNCES,0))+W70*IF(INDEX(AllCollegeGR, MATCH(N70,AllCollegeNCES,0))&gt;0.7,(1-INDEX(AllCollegeGR, MATCH(N70,AllCollegeNCES,0)))/2,0.15),2),INDEX(AllCollegeGR, MATCH(N70,AllCollegeNCES,0)))</f>
        <v>0</v>
      </c>
      <c r="Y70">
        <f>IF(ISNUMBER(INDEX(AllCollegeAAHGR, MATCH(N70,AllCollegeNCES,0))),ROUND(INDEX(AllCollegeAAHGR, MATCH(N70,AllCollegeNCES,0))+W70*IF(INDEX(AllCollegeAAHGR, MATCH(N70,AllCollegeNCES,0))&gt;0.7,(1-INDEX(AllCollegeAAHGR, MATCH(N70,AllCollegeNCES,0)))/2,0.15),2),INDEX(AllCollegeAAHGR, MATCH(N70,AllCollegeNCES,0)))</f>
        <v>0</v>
      </c>
      <c r="Z70">
        <f>IF(OR(T70="H",T70="B"),INDEX(AllCollegeACT25, MATCH(N70,AllCollegeNCES,0)),INDEX(AllCollegeACT50, MATCH(N70,AllCollegeNCES,0)))</f>
        <v>0</v>
      </c>
      <c r="AA70">
        <f>INDEX(CustomWeightsGPA,MATCH(T70&amp;":"&amp;N70,CustomWeightsIndex,0))</f>
        <v>0</v>
      </c>
      <c r="AB70">
        <f>INDEX(CustomWeightsACT,MATCH(T70&amp;":"&amp;N70,CustomWeightsIndex,0))</f>
        <v>0</v>
      </c>
      <c r="AC70">
        <f>INDEX(CustomWeightsIntercept,MATCH(T70&amp;":"&amp;N70,CustomWeightsIndex,0))</f>
        <v>0</v>
      </c>
      <c r="AD70">
        <f>AA70*P70+AB70*Q70+AC70</f>
        <v>0</v>
      </c>
      <c r="AE70">
        <f>INDEX(CoefficientsGPA,MATCH(T70&amp;":"&amp;O70,CoefficientsIndex,0))</f>
        <v>0</v>
      </c>
      <c r="AF70">
        <f>INDEX(CoefficientsACT,MATCH(T70&amp;":"&amp;O70,CoefficientsIndex,0))</f>
        <v>0</v>
      </c>
      <c r="AG70">
        <f>INDEX(CoefficientsIntercept,MATCH(T70&amp;":"&amp;O70,CoefficientsIndex,0))</f>
        <v>0</v>
      </c>
      <c r="AH70">
        <f>AE70*P70+(Q70-Z70)*AF70+AG70</f>
        <v>0</v>
      </c>
      <c r="AI70">
        <f>IF(ISNUMBER(AD70),AD70,AH70)</f>
        <v>0</v>
      </c>
      <c r="AJ70">
        <f>IF(ISNUMBER(AI70),IF(ISNUMBER(AE70),IF(AND(AE70=1,AF70=1,AG70=1),100,ROUND(100*EXP(AI70)/(1+EXP(AI70)),2)),ROUND(100*EXP(AI70)/(1+EXP(AI70)),2)),IF(ISTEXT(O70),IF(LEFT(O70,1)="2",100,"N/A"),"N/A"))</f>
        <v>0</v>
      </c>
      <c r="AK70">
        <f>IF(ISNUMBER(AJ70),IF(AJ70&gt;=99,IF(OR(R70=10,R70=11),MatchLabel,SureThingLabel),IF(AJ70&gt;=95,SecureLabel,IF(AJ70&gt;=80,SafetyLabel,IF(AJ70&gt;=50,MatchLabel,IF(AJ70&gt;=20,ReachLabel,IF(AJ70&gt;=10,LongshotLabel,HailMaryLabel)))))),"Other")</f>
        <v>0</v>
      </c>
      <c r="AL70">
        <f>IF(OR(I70="accepted",I70="cond. accept",I70="summer admit"),IF(J70="yes","CHOICE!","Accepted!"),IF(I70="denied","Denied",IF(K70=1,"Waitlist",IF(L70=1,"Deferred",IF(G70="pending","Pending",IF(OR(G70="initial materials submitted",G70="mid-year submitted",G70="final submitted"),"Submitted",IF(H70="interest","Interest","?")))))))</f>
        <v>0</v>
      </c>
      <c r="AM70">
        <f>IF(OR(AK70=ReachLabel,AK70=LongshotLabel,AK70=HailMaryLabel),1,0)</f>
        <v>0</v>
      </c>
      <c r="AN70">
        <f>IF(OR(AM70=1,AK70=MatchLabel),1,0)</f>
        <v>0</v>
      </c>
      <c r="AO70">
        <f>IF(OR(AK70=MatchLabel,AK70=SafetyLabel,AK70=SecureLabel,AK70=SureThingLabel),1,0)</f>
        <v>0</v>
      </c>
      <c r="AP70">
        <f>IF(OR(T70="H",T70="B"),IF(ISNUMBER(Y70),ROUND(Y70,2),0),IF(ISNUMBER(X70),ROUND(X70,2),0))</f>
        <v>0</v>
      </c>
      <c r="AQ70">
        <f>IF(AP70&gt;=U70,1,0)</f>
        <v>0</v>
      </c>
      <c r="AR70">
        <f>IF(AP70&gt;=V70,1,0)</f>
        <v>0</v>
      </c>
      <c r="AS70">
        <f>IF(AP70&lt;(U70-0.10),1,0)</f>
        <v>0</v>
      </c>
      <c r="AT70">
        <f>1-AJ70/100</f>
        <v>0</v>
      </c>
      <c r="AU70">
        <f>IF(AN70=1,AT70,1)</f>
        <v>0</v>
      </c>
      <c r="AV70">
        <f>IF(AM70=1,AT70,1)</f>
        <v>0</v>
      </c>
      <c r="AW70">
        <f>IF(AND(AQ70=1,ISNUMBER(AT70)),$AT70,1)</f>
        <v>0</v>
      </c>
      <c r="AX70">
        <f>IF(AND(AR70=1,ISNUMBER(AT70)),$AT70,1)</f>
        <v>0</v>
      </c>
      <c r="AY70">
        <f>IF(ISNUMBER(Y70),INDEX(AllCollegeMoney, MATCH(N70,AllCollegeNCES,0)),0)</f>
        <v>0</v>
      </c>
      <c r="AZ70">
        <f>IF(AND(AQ70=1,ISNUMBER(AT70),AY70=1),$AT70,1)</f>
        <v>0</v>
      </c>
      <c r="BA70">
        <f>IF(AND(AR70=1,ISNUMBER(AT70),AY70=1),$AT70,1)</f>
        <v>0</v>
      </c>
      <c r="BB70">
        <f>IF(ISNUMBER(Y70),INDEX(AllCollegeILPub, MATCH(N70,AllCollegeNCES,0)),0)</f>
        <v>0</v>
      </c>
      <c r="BC70">
        <f>IF(AK70=ReachLabel,AP70,0)</f>
        <v>0</v>
      </c>
      <c r="BD70">
        <f>IF(AK70=MatchLabel,AP70,0)</f>
        <v>0</v>
      </c>
      <c r="BE70">
        <f>IF(AK70=SafetyLabel,AP70,0)</f>
        <v>0</v>
      </c>
      <c r="BF70">
        <f>IF(AK70=SecureLabel,AP70,0)</f>
        <v>0</v>
      </c>
      <c r="BG70">
        <f>IF(AK70=SureThingLabel,AP70,0)</f>
        <v>0</v>
      </c>
      <c r="BH70">
        <f>MAX(BC70:BG70)</f>
        <v>0</v>
      </c>
      <c r="BI70">
        <f>MAX(BD70:BG70)</f>
        <v>0</v>
      </c>
      <c r="BJ70">
        <f>MAX(BE70:BG70)</f>
        <v>0</v>
      </c>
      <c r="BK70">
        <f>IF(AND(AK70=ReachLabel,AY70=1),AP70,0)</f>
        <v>0</v>
      </c>
      <c r="BL70">
        <f>IF(AND(AK70=MatchLabel,AY70=1),AP70,0)</f>
        <v>0</v>
      </c>
      <c r="BM70">
        <f>IF(AND(AK70=SafetyLabel,AY70=1),AP70,0)</f>
        <v>0</v>
      </c>
      <c r="BN70">
        <f>IF(AND(AK70=SecureLabel,AY70=1),AP70,0)</f>
        <v>0</v>
      </c>
      <c r="BO70">
        <f>IF(AND(AK70=SureThingLabel,AY70=1),AP70,0)</f>
        <v>0</v>
      </c>
      <c r="BP70">
        <f>MAX(BK70:BO70)</f>
        <v>0</v>
      </c>
      <c r="BQ70">
        <f>MAX(BL70:BO70)</f>
        <v>0</v>
      </c>
      <c r="BR70">
        <f>MAX(BM70:BO70)</f>
        <v>0</v>
      </c>
      <c r="BS70">
        <f>IF(ISNUMBER(Y70),INDEX(AllCollegeChicago, MATCH(N70,AllCollegeNCES,0))*AY70,0)</f>
        <v>0</v>
      </c>
      <c r="BT70">
        <f>IF(ISNUMBER(Y70),INDEX(AllCollegeMoneyCode, MATCH(N70,AllCollegeNCES,0)),"?")</f>
        <v>0</v>
      </c>
      <c r="BU70">
        <f>IF(OR(BT70="---",BT70="--",BT70="+/--",BT70="+/---"),1,0)</f>
        <v>0</v>
      </c>
      <c r="BV70">
        <f>AY70*AO70*AQ70</f>
        <v>0</v>
      </c>
    </row>
    <row r="71" spans="1:74">
      <c r="A71" t="s">
        <v>86</v>
      </c>
      <c r="B71">
        <v>22347828</v>
      </c>
      <c r="C71" t="s">
        <v>176</v>
      </c>
      <c r="D71" t="s">
        <v>177</v>
      </c>
      <c r="E71" t="s">
        <v>428</v>
      </c>
      <c r="F71" t="s">
        <v>455</v>
      </c>
      <c r="G71" t="s">
        <v>463</v>
      </c>
      <c r="H71" t="s">
        <v>431</v>
      </c>
      <c r="I71" t="s">
        <v>432</v>
      </c>
      <c r="J71" t="s">
        <v>432</v>
      </c>
      <c r="K71">
        <v>0</v>
      </c>
      <c r="L71" t="s">
        <v>428</v>
      </c>
      <c r="M71" t="s">
        <v>428</v>
      </c>
      <c r="N71">
        <v>240444</v>
      </c>
      <c r="O71">
        <f>INDEX(AllCollegeBarrons,MATCH(N71,AllCollegeNCES,0))</f>
        <v>0</v>
      </c>
      <c r="P71">
        <f>INDEX(KidGPAs,MATCH(B71,KidIDs,0))</f>
        <v>0</v>
      </c>
      <c r="Q71">
        <f>INDEX(KidACTs,MATCH(B71,KidIDs,0))</f>
        <v>0</v>
      </c>
      <c r="R71">
        <f>INDEX(Strats,MATCH(B71,KidIDs,0))</f>
        <v>0</v>
      </c>
      <c r="S71">
        <f>INDEX(KidRace,MATCH(B71,KidIDs,0))</f>
        <v>0</v>
      </c>
      <c r="T71">
        <f>IF(OR(S71="M",S71="I"),"H",S71)</f>
        <v>0</v>
      </c>
      <c r="U71">
        <f>INDEX(StudentTargets,MATCH(B71,KidIDs,0))</f>
        <v>0</v>
      </c>
      <c r="V71">
        <f>INDEX(ReachStudentTargets,MATCH(B71,KidIDs,0))</f>
        <v>0</v>
      </c>
      <c r="W71">
        <f>IF(OR(M71="Posse"),1,0)</f>
        <v>0</v>
      </c>
      <c r="X71">
        <f>IF(ISNUMBER(INDEX(AllCollegeGR, MATCH(N71,AllCollegeNCES,0))),ROUND(INDEX(AllCollegeGR, MATCH(N71,AllCollegeNCES,0))+W71*IF(INDEX(AllCollegeGR, MATCH(N71,AllCollegeNCES,0))&gt;0.7,(1-INDEX(AllCollegeGR, MATCH(N71,AllCollegeNCES,0)))/2,0.15),2),INDEX(AllCollegeGR, MATCH(N71,AllCollegeNCES,0)))</f>
        <v>0</v>
      </c>
      <c r="Y71">
        <f>IF(ISNUMBER(INDEX(AllCollegeAAHGR, MATCH(N71,AllCollegeNCES,0))),ROUND(INDEX(AllCollegeAAHGR, MATCH(N71,AllCollegeNCES,0))+W71*IF(INDEX(AllCollegeAAHGR, MATCH(N71,AllCollegeNCES,0))&gt;0.7,(1-INDEX(AllCollegeAAHGR, MATCH(N71,AllCollegeNCES,0)))/2,0.15),2),INDEX(AllCollegeAAHGR, MATCH(N71,AllCollegeNCES,0)))</f>
        <v>0</v>
      </c>
      <c r="Z71">
        <f>IF(OR(T71="H",T71="B"),INDEX(AllCollegeACT25, MATCH(N71,AllCollegeNCES,0)),INDEX(AllCollegeACT50, MATCH(N71,AllCollegeNCES,0)))</f>
        <v>0</v>
      </c>
      <c r="AA71">
        <f>INDEX(CustomWeightsGPA,MATCH(T71&amp;":"&amp;N71,CustomWeightsIndex,0))</f>
        <v>0</v>
      </c>
      <c r="AB71">
        <f>INDEX(CustomWeightsACT,MATCH(T71&amp;":"&amp;N71,CustomWeightsIndex,0))</f>
        <v>0</v>
      </c>
      <c r="AC71">
        <f>INDEX(CustomWeightsIntercept,MATCH(T71&amp;":"&amp;N71,CustomWeightsIndex,0))</f>
        <v>0</v>
      </c>
      <c r="AD71">
        <f>AA71*P71+AB71*Q71+AC71</f>
        <v>0</v>
      </c>
      <c r="AE71">
        <f>INDEX(CoefficientsGPA,MATCH(T71&amp;":"&amp;O71,CoefficientsIndex,0))</f>
        <v>0</v>
      </c>
      <c r="AF71">
        <f>INDEX(CoefficientsACT,MATCH(T71&amp;":"&amp;O71,CoefficientsIndex,0))</f>
        <v>0</v>
      </c>
      <c r="AG71">
        <f>INDEX(CoefficientsIntercept,MATCH(T71&amp;":"&amp;O71,CoefficientsIndex,0))</f>
        <v>0</v>
      </c>
      <c r="AH71">
        <f>AE71*P71+(Q71-Z71)*AF71+AG71</f>
        <v>0</v>
      </c>
      <c r="AI71">
        <f>IF(ISNUMBER(AD71),AD71,AH71)</f>
        <v>0</v>
      </c>
      <c r="AJ71">
        <f>IF(ISNUMBER(AI71),IF(ISNUMBER(AE71),IF(AND(AE71=1,AF71=1,AG71=1),100,ROUND(100*EXP(AI71)/(1+EXP(AI71)),2)),ROUND(100*EXP(AI71)/(1+EXP(AI71)),2)),IF(ISTEXT(O71),IF(LEFT(O71,1)="2",100,"N/A"),"N/A"))</f>
        <v>0</v>
      </c>
      <c r="AK71">
        <f>IF(ISNUMBER(AJ71),IF(AJ71&gt;=99,IF(OR(R71=10,R71=11),MatchLabel,SureThingLabel),IF(AJ71&gt;=95,SecureLabel,IF(AJ71&gt;=80,SafetyLabel,IF(AJ71&gt;=50,MatchLabel,IF(AJ71&gt;=20,ReachLabel,IF(AJ71&gt;=10,LongshotLabel,HailMaryLabel)))))),"Other")</f>
        <v>0</v>
      </c>
      <c r="AL71">
        <f>IF(OR(I71="accepted",I71="cond. accept",I71="summer admit"),IF(J71="yes","CHOICE!","Accepted!"),IF(I71="denied","Denied",IF(K71=1,"Waitlist",IF(L71=1,"Deferred",IF(G71="pending","Pending",IF(OR(G71="initial materials submitted",G71="mid-year submitted",G71="final submitted"),"Submitted",IF(H71="interest","Interest","?")))))))</f>
        <v>0</v>
      </c>
      <c r="AM71">
        <f>IF(OR(AK71=ReachLabel,AK71=LongshotLabel,AK71=HailMaryLabel),1,0)</f>
        <v>0</v>
      </c>
      <c r="AN71">
        <f>IF(OR(AM71=1,AK71=MatchLabel),1,0)</f>
        <v>0</v>
      </c>
      <c r="AO71">
        <f>IF(OR(AK71=MatchLabel,AK71=SafetyLabel,AK71=SecureLabel,AK71=SureThingLabel),1,0)</f>
        <v>0</v>
      </c>
      <c r="AP71">
        <f>IF(OR(T71="H",T71="B"),IF(ISNUMBER(Y71),ROUND(Y71,2),0),IF(ISNUMBER(X71),ROUND(X71,2),0))</f>
        <v>0</v>
      </c>
      <c r="AQ71">
        <f>IF(AP71&gt;=U71,1,0)</f>
        <v>0</v>
      </c>
      <c r="AR71">
        <f>IF(AP71&gt;=V71,1,0)</f>
        <v>0</v>
      </c>
      <c r="AS71">
        <f>IF(AP71&lt;(U71-0.10),1,0)</f>
        <v>0</v>
      </c>
      <c r="AT71">
        <f>1-AJ71/100</f>
        <v>0</v>
      </c>
      <c r="AU71">
        <f>IF(AN71=1,AT71,1)</f>
        <v>0</v>
      </c>
      <c r="AV71">
        <f>IF(AM71=1,AT71,1)</f>
        <v>0</v>
      </c>
      <c r="AW71">
        <f>IF(AND(AQ71=1,ISNUMBER(AT71)),$AT71,1)</f>
        <v>0</v>
      </c>
      <c r="AX71">
        <f>IF(AND(AR71=1,ISNUMBER(AT71)),$AT71,1)</f>
        <v>0</v>
      </c>
      <c r="AY71">
        <f>IF(ISNUMBER(Y71),INDEX(AllCollegeMoney, MATCH(N71,AllCollegeNCES,0)),0)</f>
        <v>0</v>
      </c>
      <c r="AZ71">
        <f>IF(AND(AQ71=1,ISNUMBER(AT71),AY71=1),$AT71,1)</f>
        <v>0</v>
      </c>
      <c r="BA71">
        <f>IF(AND(AR71=1,ISNUMBER(AT71),AY71=1),$AT71,1)</f>
        <v>0</v>
      </c>
      <c r="BB71">
        <f>IF(ISNUMBER(Y71),INDEX(AllCollegeILPub, MATCH(N71,AllCollegeNCES,0)),0)</f>
        <v>0</v>
      </c>
      <c r="BC71">
        <f>IF(AK71=ReachLabel,AP71,0)</f>
        <v>0</v>
      </c>
      <c r="BD71">
        <f>IF(AK71=MatchLabel,AP71,0)</f>
        <v>0</v>
      </c>
      <c r="BE71">
        <f>IF(AK71=SafetyLabel,AP71,0)</f>
        <v>0</v>
      </c>
      <c r="BF71">
        <f>IF(AK71=SecureLabel,AP71,0)</f>
        <v>0</v>
      </c>
      <c r="BG71">
        <f>IF(AK71=SureThingLabel,AP71,0)</f>
        <v>0</v>
      </c>
      <c r="BH71">
        <f>MAX(BC71:BG71)</f>
        <v>0</v>
      </c>
      <c r="BI71">
        <f>MAX(BD71:BG71)</f>
        <v>0</v>
      </c>
      <c r="BJ71">
        <f>MAX(BE71:BG71)</f>
        <v>0</v>
      </c>
      <c r="BK71">
        <f>IF(AND(AK71=ReachLabel,AY71=1),AP71,0)</f>
        <v>0</v>
      </c>
      <c r="BL71">
        <f>IF(AND(AK71=MatchLabel,AY71=1),AP71,0)</f>
        <v>0</v>
      </c>
      <c r="BM71">
        <f>IF(AND(AK71=SafetyLabel,AY71=1),AP71,0)</f>
        <v>0</v>
      </c>
      <c r="BN71">
        <f>IF(AND(AK71=SecureLabel,AY71=1),AP71,0)</f>
        <v>0</v>
      </c>
      <c r="BO71">
        <f>IF(AND(AK71=SureThingLabel,AY71=1),AP71,0)</f>
        <v>0</v>
      </c>
      <c r="BP71">
        <f>MAX(BK71:BO71)</f>
        <v>0</v>
      </c>
      <c r="BQ71">
        <f>MAX(BL71:BO71)</f>
        <v>0</v>
      </c>
      <c r="BR71">
        <f>MAX(BM71:BO71)</f>
        <v>0</v>
      </c>
      <c r="BS71">
        <f>IF(ISNUMBER(Y71),INDEX(AllCollegeChicago, MATCH(N71,AllCollegeNCES,0))*AY71,0)</f>
        <v>0</v>
      </c>
      <c r="BT71">
        <f>IF(ISNUMBER(Y71),INDEX(AllCollegeMoneyCode, MATCH(N71,AllCollegeNCES,0)),"?")</f>
        <v>0</v>
      </c>
      <c r="BU71">
        <f>IF(OR(BT71="---",BT71="--",BT71="+/--",BT71="+/---"),1,0)</f>
        <v>0</v>
      </c>
      <c r="BV71">
        <f>AY71*AO71*AQ71</f>
        <v>0</v>
      </c>
    </row>
    <row r="72" spans="1:74">
      <c r="A72" t="s">
        <v>86</v>
      </c>
      <c r="B72">
        <v>22347828</v>
      </c>
      <c r="C72" t="s">
        <v>176</v>
      </c>
      <c r="D72" t="s">
        <v>177</v>
      </c>
      <c r="E72" t="s">
        <v>428</v>
      </c>
      <c r="F72" t="s">
        <v>486</v>
      </c>
      <c r="G72" t="s">
        <v>463</v>
      </c>
      <c r="H72" t="s">
        <v>431</v>
      </c>
      <c r="I72" t="s">
        <v>432</v>
      </c>
      <c r="J72" t="s">
        <v>432</v>
      </c>
      <c r="K72">
        <v>0</v>
      </c>
      <c r="L72" t="s">
        <v>428</v>
      </c>
      <c r="M72" t="s">
        <v>428</v>
      </c>
      <c r="N72">
        <v>238333</v>
      </c>
      <c r="O72">
        <f>INDEX(AllCollegeBarrons,MATCH(N72,AllCollegeNCES,0))</f>
        <v>0</v>
      </c>
      <c r="P72">
        <f>INDEX(KidGPAs,MATCH(B72,KidIDs,0))</f>
        <v>0</v>
      </c>
      <c r="Q72">
        <f>INDEX(KidACTs,MATCH(B72,KidIDs,0))</f>
        <v>0</v>
      </c>
      <c r="R72">
        <f>INDEX(Strats,MATCH(B72,KidIDs,0))</f>
        <v>0</v>
      </c>
      <c r="S72">
        <f>INDEX(KidRace,MATCH(B72,KidIDs,0))</f>
        <v>0</v>
      </c>
      <c r="T72">
        <f>IF(OR(S72="M",S72="I"),"H",S72)</f>
        <v>0</v>
      </c>
      <c r="U72">
        <f>INDEX(StudentTargets,MATCH(B72,KidIDs,0))</f>
        <v>0</v>
      </c>
      <c r="V72">
        <f>INDEX(ReachStudentTargets,MATCH(B72,KidIDs,0))</f>
        <v>0</v>
      </c>
      <c r="W72">
        <f>IF(OR(M72="Posse"),1,0)</f>
        <v>0</v>
      </c>
      <c r="X72">
        <f>IF(ISNUMBER(INDEX(AllCollegeGR, MATCH(N72,AllCollegeNCES,0))),ROUND(INDEX(AllCollegeGR, MATCH(N72,AllCollegeNCES,0))+W72*IF(INDEX(AllCollegeGR, MATCH(N72,AllCollegeNCES,0))&gt;0.7,(1-INDEX(AllCollegeGR, MATCH(N72,AllCollegeNCES,0)))/2,0.15),2),INDEX(AllCollegeGR, MATCH(N72,AllCollegeNCES,0)))</f>
        <v>0</v>
      </c>
      <c r="Y72">
        <f>IF(ISNUMBER(INDEX(AllCollegeAAHGR, MATCH(N72,AllCollegeNCES,0))),ROUND(INDEX(AllCollegeAAHGR, MATCH(N72,AllCollegeNCES,0))+W72*IF(INDEX(AllCollegeAAHGR, MATCH(N72,AllCollegeNCES,0))&gt;0.7,(1-INDEX(AllCollegeAAHGR, MATCH(N72,AllCollegeNCES,0)))/2,0.15),2),INDEX(AllCollegeAAHGR, MATCH(N72,AllCollegeNCES,0)))</f>
        <v>0</v>
      </c>
      <c r="Z72">
        <f>IF(OR(T72="H",T72="B"),INDEX(AllCollegeACT25, MATCH(N72,AllCollegeNCES,0)),INDEX(AllCollegeACT50, MATCH(N72,AllCollegeNCES,0)))</f>
        <v>0</v>
      </c>
      <c r="AA72">
        <f>INDEX(CustomWeightsGPA,MATCH(T72&amp;":"&amp;N72,CustomWeightsIndex,0))</f>
        <v>0</v>
      </c>
      <c r="AB72">
        <f>INDEX(CustomWeightsACT,MATCH(T72&amp;":"&amp;N72,CustomWeightsIndex,0))</f>
        <v>0</v>
      </c>
      <c r="AC72">
        <f>INDEX(CustomWeightsIntercept,MATCH(T72&amp;":"&amp;N72,CustomWeightsIndex,0))</f>
        <v>0</v>
      </c>
      <c r="AD72">
        <f>AA72*P72+AB72*Q72+AC72</f>
        <v>0</v>
      </c>
      <c r="AE72">
        <f>INDEX(CoefficientsGPA,MATCH(T72&amp;":"&amp;O72,CoefficientsIndex,0))</f>
        <v>0</v>
      </c>
      <c r="AF72">
        <f>INDEX(CoefficientsACT,MATCH(T72&amp;":"&amp;O72,CoefficientsIndex,0))</f>
        <v>0</v>
      </c>
      <c r="AG72">
        <f>INDEX(CoefficientsIntercept,MATCH(T72&amp;":"&amp;O72,CoefficientsIndex,0))</f>
        <v>0</v>
      </c>
      <c r="AH72">
        <f>AE72*P72+(Q72-Z72)*AF72+AG72</f>
        <v>0</v>
      </c>
      <c r="AI72">
        <f>IF(ISNUMBER(AD72),AD72,AH72)</f>
        <v>0</v>
      </c>
      <c r="AJ72">
        <f>IF(ISNUMBER(AI72),IF(ISNUMBER(AE72),IF(AND(AE72=1,AF72=1,AG72=1),100,ROUND(100*EXP(AI72)/(1+EXP(AI72)),2)),ROUND(100*EXP(AI72)/(1+EXP(AI72)),2)),IF(ISTEXT(O72),IF(LEFT(O72,1)="2",100,"N/A"),"N/A"))</f>
        <v>0</v>
      </c>
      <c r="AK72">
        <f>IF(ISNUMBER(AJ72),IF(AJ72&gt;=99,IF(OR(R72=10,R72=11),MatchLabel,SureThingLabel),IF(AJ72&gt;=95,SecureLabel,IF(AJ72&gt;=80,SafetyLabel,IF(AJ72&gt;=50,MatchLabel,IF(AJ72&gt;=20,ReachLabel,IF(AJ72&gt;=10,LongshotLabel,HailMaryLabel)))))),"Other")</f>
        <v>0</v>
      </c>
      <c r="AL72">
        <f>IF(OR(I72="accepted",I72="cond. accept",I72="summer admit"),IF(J72="yes","CHOICE!","Accepted!"),IF(I72="denied","Denied",IF(K72=1,"Waitlist",IF(L72=1,"Deferred",IF(G72="pending","Pending",IF(OR(G72="initial materials submitted",G72="mid-year submitted",G72="final submitted"),"Submitted",IF(H72="interest","Interest","?")))))))</f>
        <v>0</v>
      </c>
      <c r="AM72">
        <f>IF(OR(AK72=ReachLabel,AK72=LongshotLabel,AK72=HailMaryLabel),1,0)</f>
        <v>0</v>
      </c>
      <c r="AN72">
        <f>IF(OR(AM72=1,AK72=MatchLabel),1,0)</f>
        <v>0</v>
      </c>
      <c r="AO72">
        <f>IF(OR(AK72=MatchLabel,AK72=SafetyLabel,AK72=SecureLabel,AK72=SureThingLabel),1,0)</f>
        <v>0</v>
      </c>
      <c r="AP72">
        <f>IF(OR(T72="H",T72="B"),IF(ISNUMBER(Y72),ROUND(Y72,2),0),IF(ISNUMBER(X72),ROUND(X72,2),0))</f>
        <v>0</v>
      </c>
      <c r="AQ72">
        <f>IF(AP72&gt;=U72,1,0)</f>
        <v>0</v>
      </c>
      <c r="AR72">
        <f>IF(AP72&gt;=V72,1,0)</f>
        <v>0</v>
      </c>
      <c r="AS72">
        <f>IF(AP72&lt;(U72-0.10),1,0)</f>
        <v>0</v>
      </c>
      <c r="AT72">
        <f>1-AJ72/100</f>
        <v>0</v>
      </c>
      <c r="AU72">
        <f>IF(AN72=1,AT72,1)</f>
        <v>0</v>
      </c>
      <c r="AV72">
        <f>IF(AM72=1,AT72,1)</f>
        <v>0</v>
      </c>
      <c r="AW72">
        <f>IF(AND(AQ72=1,ISNUMBER(AT72)),$AT72,1)</f>
        <v>0</v>
      </c>
      <c r="AX72">
        <f>IF(AND(AR72=1,ISNUMBER(AT72)),$AT72,1)</f>
        <v>0</v>
      </c>
      <c r="AY72">
        <f>IF(ISNUMBER(Y72),INDEX(AllCollegeMoney, MATCH(N72,AllCollegeNCES,0)),0)</f>
        <v>0</v>
      </c>
      <c r="AZ72">
        <f>IF(AND(AQ72=1,ISNUMBER(AT72),AY72=1),$AT72,1)</f>
        <v>0</v>
      </c>
      <c r="BA72">
        <f>IF(AND(AR72=1,ISNUMBER(AT72),AY72=1),$AT72,1)</f>
        <v>0</v>
      </c>
      <c r="BB72">
        <f>IF(ISNUMBER(Y72),INDEX(AllCollegeILPub, MATCH(N72,AllCollegeNCES,0)),0)</f>
        <v>0</v>
      </c>
      <c r="BC72">
        <f>IF(AK72=ReachLabel,AP72,0)</f>
        <v>0</v>
      </c>
      <c r="BD72">
        <f>IF(AK72=MatchLabel,AP72,0)</f>
        <v>0</v>
      </c>
      <c r="BE72">
        <f>IF(AK72=SafetyLabel,AP72,0)</f>
        <v>0</v>
      </c>
      <c r="BF72">
        <f>IF(AK72=SecureLabel,AP72,0)</f>
        <v>0</v>
      </c>
      <c r="BG72">
        <f>IF(AK72=SureThingLabel,AP72,0)</f>
        <v>0</v>
      </c>
      <c r="BH72">
        <f>MAX(BC72:BG72)</f>
        <v>0</v>
      </c>
      <c r="BI72">
        <f>MAX(BD72:BG72)</f>
        <v>0</v>
      </c>
      <c r="BJ72">
        <f>MAX(BE72:BG72)</f>
        <v>0</v>
      </c>
      <c r="BK72">
        <f>IF(AND(AK72=ReachLabel,AY72=1),AP72,0)</f>
        <v>0</v>
      </c>
      <c r="BL72">
        <f>IF(AND(AK72=MatchLabel,AY72=1),AP72,0)</f>
        <v>0</v>
      </c>
      <c r="BM72">
        <f>IF(AND(AK72=SafetyLabel,AY72=1),AP72,0)</f>
        <v>0</v>
      </c>
      <c r="BN72">
        <f>IF(AND(AK72=SecureLabel,AY72=1),AP72,0)</f>
        <v>0</v>
      </c>
      <c r="BO72">
        <f>IF(AND(AK72=SureThingLabel,AY72=1),AP72,0)</f>
        <v>0</v>
      </c>
      <c r="BP72">
        <f>MAX(BK72:BO72)</f>
        <v>0</v>
      </c>
      <c r="BQ72">
        <f>MAX(BL72:BO72)</f>
        <v>0</v>
      </c>
      <c r="BR72">
        <f>MAX(BM72:BO72)</f>
        <v>0</v>
      </c>
      <c r="BS72">
        <f>IF(ISNUMBER(Y72),INDEX(AllCollegeChicago, MATCH(N72,AllCollegeNCES,0))*AY72,0)</f>
        <v>0</v>
      </c>
      <c r="BT72">
        <f>IF(ISNUMBER(Y72),INDEX(AllCollegeMoneyCode, MATCH(N72,AllCollegeNCES,0)),"?")</f>
        <v>0</v>
      </c>
      <c r="BU72">
        <f>IF(OR(BT72="---",BT72="--",BT72="+/--",BT72="+/---"),1,0)</f>
        <v>0</v>
      </c>
      <c r="BV72">
        <f>AY72*AO72*AQ72</f>
        <v>0</v>
      </c>
    </row>
    <row r="73" spans="1:74">
      <c r="A73" t="s">
        <v>86</v>
      </c>
      <c r="B73">
        <v>22347828</v>
      </c>
      <c r="C73" t="s">
        <v>176</v>
      </c>
      <c r="D73" t="s">
        <v>177</v>
      </c>
      <c r="E73" t="s">
        <v>428</v>
      </c>
      <c r="F73" t="s">
        <v>457</v>
      </c>
      <c r="G73" t="s">
        <v>430</v>
      </c>
      <c r="H73" t="s">
        <v>431</v>
      </c>
      <c r="I73" t="s">
        <v>432</v>
      </c>
      <c r="J73" t="s">
        <v>432</v>
      </c>
      <c r="K73">
        <v>0</v>
      </c>
      <c r="L73" t="s">
        <v>428</v>
      </c>
      <c r="M73" t="s">
        <v>428</v>
      </c>
      <c r="N73">
        <v>145637</v>
      </c>
      <c r="O73">
        <f>INDEX(AllCollegeBarrons,MATCH(N73,AllCollegeNCES,0))</f>
        <v>0</v>
      </c>
      <c r="P73">
        <f>INDEX(KidGPAs,MATCH(B73,KidIDs,0))</f>
        <v>0</v>
      </c>
      <c r="Q73">
        <f>INDEX(KidACTs,MATCH(B73,KidIDs,0))</f>
        <v>0</v>
      </c>
      <c r="R73">
        <f>INDEX(Strats,MATCH(B73,KidIDs,0))</f>
        <v>0</v>
      </c>
      <c r="S73">
        <f>INDEX(KidRace,MATCH(B73,KidIDs,0))</f>
        <v>0</v>
      </c>
      <c r="T73">
        <f>IF(OR(S73="M",S73="I"),"H",S73)</f>
        <v>0</v>
      </c>
      <c r="U73">
        <f>INDEX(StudentTargets,MATCH(B73,KidIDs,0))</f>
        <v>0</v>
      </c>
      <c r="V73">
        <f>INDEX(ReachStudentTargets,MATCH(B73,KidIDs,0))</f>
        <v>0</v>
      </c>
      <c r="W73">
        <f>IF(OR(M73="Posse"),1,0)</f>
        <v>0</v>
      </c>
      <c r="X73">
        <f>IF(ISNUMBER(INDEX(AllCollegeGR, MATCH(N73,AllCollegeNCES,0))),ROUND(INDEX(AllCollegeGR, MATCH(N73,AllCollegeNCES,0))+W73*IF(INDEX(AllCollegeGR, MATCH(N73,AllCollegeNCES,0))&gt;0.7,(1-INDEX(AllCollegeGR, MATCH(N73,AllCollegeNCES,0)))/2,0.15),2),INDEX(AllCollegeGR, MATCH(N73,AllCollegeNCES,0)))</f>
        <v>0</v>
      </c>
      <c r="Y73">
        <f>IF(ISNUMBER(INDEX(AllCollegeAAHGR, MATCH(N73,AllCollegeNCES,0))),ROUND(INDEX(AllCollegeAAHGR, MATCH(N73,AllCollegeNCES,0))+W73*IF(INDEX(AllCollegeAAHGR, MATCH(N73,AllCollegeNCES,0))&gt;0.7,(1-INDEX(AllCollegeAAHGR, MATCH(N73,AllCollegeNCES,0)))/2,0.15),2),INDEX(AllCollegeAAHGR, MATCH(N73,AllCollegeNCES,0)))</f>
        <v>0</v>
      </c>
      <c r="Z73">
        <f>IF(OR(T73="H",T73="B"),INDEX(AllCollegeACT25, MATCH(N73,AllCollegeNCES,0)),INDEX(AllCollegeACT50, MATCH(N73,AllCollegeNCES,0)))</f>
        <v>0</v>
      </c>
      <c r="AA73">
        <f>INDEX(CustomWeightsGPA,MATCH(T73&amp;":"&amp;N73,CustomWeightsIndex,0))</f>
        <v>0</v>
      </c>
      <c r="AB73">
        <f>INDEX(CustomWeightsACT,MATCH(T73&amp;":"&amp;N73,CustomWeightsIndex,0))</f>
        <v>0</v>
      </c>
      <c r="AC73">
        <f>INDEX(CustomWeightsIntercept,MATCH(T73&amp;":"&amp;N73,CustomWeightsIndex,0))</f>
        <v>0</v>
      </c>
      <c r="AD73">
        <f>AA73*P73+AB73*Q73+AC73</f>
        <v>0</v>
      </c>
      <c r="AE73">
        <f>INDEX(CoefficientsGPA,MATCH(T73&amp;":"&amp;O73,CoefficientsIndex,0))</f>
        <v>0</v>
      </c>
      <c r="AF73">
        <f>INDEX(CoefficientsACT,MATCH(T73&amp;":"&amp;O73,CoefficientsIndex,0))</f>
        <v>0</v>
      </c>
      <c r="AG73">
        <f>INDEX(CoefficientsIntercept,MATCH(T73&amp;":"&amp;O73,CoefficientsIndex,0))</f>
        <v>0</v>
      </c>
      <c r="AH73">
        <f>AE73*P73+(Q73-Z73)*AF73+AG73</f>
        <v>0</v>
      </c>
      <c r="AI73">
        <f>IF(ISNUMBER(AD73),AD73,AH73)</f>
        <v>0</v>
      </c>
      <c r="AJ73">
        <f>IF(ISNUMBER(AI73),IF(ISNUMBER(AE73),IF(AND(AE73=1,AF73=1,AG73=1),100,ROUND(100*EXP(AI73)/(1+EXP(AI73)),2)),ROUND(100*EXP(AI73)/(1+EXP(AI73)),2)),IF(ISTEXT(O73),IF(LEFT(O73,1)="2",100,"N/A"),"N/A"))</f>
        <v>0</v>
      </c>
      <c r="AK73">
        <f>IF(ISNUMBER(AJ73),IF(AJ73&gt;=99,IF(OR(R73=10,R73=11),MatchLabel,SureThingLabel),IF(AJ73&gt;=95,SecureLabel,IF(AJ73&gt;=80,SafetyLabel,IF(AJ73&gt;=50,MatchLabel,IF(AJ73&gt;=20,ReachLabel,IF(AJ73&gt;=10,LongshotLabel,HailMaryLabel)))))),"Other")</f>
        <v>0</v>
      </c>
      <c r="AL73">
        <f>IF(OR(I73="accepted",I73="cond. accept",I73="summer admit"),IF(J73="yes","CHOICE!","Accepted!"),IF(I73="denied","Denied",IF(K73=1,"Waitlist",IF(L73=1,"Deferred",IF(G73="pending","Pending",IF(OR(G73="initial materials submitted",G73="mid-year submitted",G73="final submitted"),"Submitted",IF(H73="interest","Interest","?")))))))</f>
        <v>0</v>
      </c>
      <c r="AM73">
        <f>IF(OR(AK73=ReachLabel,AK73=LongshotLabel,AK73=HailMaryLabel),1,0)</f>
        <v>0</v>
      </c>
      <c r="AN73">
        <f>IF(OR(AM73=1,AK73=MatchLabel),1,0)</f>
        <v>0</v>
      </c>
      <c r="AO73">
        <f>IF(OR(AK73=MatchLabel,AK73=SafetyLabel,AK73=SecureLabel,AK73=SureThingLabel),1,0)</f>
        <v>0</v>
      </c>
      <c r="AP73">
        <f>IF(OR(T73="H",T73="B"),IF(ISNUMBER(Y73),ROUND(Y73,2),0),IF(ISNUMBER(X73),ROUND(X73,2),0))</f>
        <v>0</v>
      </c>
      <c r="AQ73">
        <f>IF(AP73&gt;=U73,1,0)</f>
        <v>0</v>
      </c>
      <c r="AR73">
        <f>IF(AP73&gt;=V73,1,0)</f>
        <v>0</v>
      </c>
      <c r="AS73">
        <f>IF(AP73&lt;(U73-0.10),1,0)</f>
        <v>0</v>
      </c>
      <c r="AT73">
        <f>1-AJ73/100</f>
        <v>0</v>
      </c>
      <c r="AU73">
        <f>IF(AN73=1,AT73,1)</f>
        <v>0</v>
      </c>
      <c r="AV73">
        <f>IF(AM73=1,AT73,1)</f>
        <v>0</v>
      </c>
      <c r="AW73">
        <f>IF(AND(AQ73=1,ISNUMBER(AT73)),$AT73,1)</f>
        <v>0</v>
      </c>
      <c r="AX73">
        <f>IF(AND(AR73=1,ISNUMBER(AT73)),$AT73,1)</f>
        <v>0</v>
      </c>
      <c r="AY73">
        <f>IF(ISNUMBER(Y73),INDEX(AllCollegeMoney, MATCH(N73,AllCollegeNCES,0)),0)</f>
        <v>0</v>
      </c>
      <c r="AZ73">
        <f>IF(AND(AQ73=1,ISNUMBER(AT73),AY73=1),$AT73,1)</f>
        <v>0</v>
      </c>
      <c r="BA73">
        <f>IF(AND(AR73=1,ISNUMBER(AT73),AY73=1),$AT73,1)</f>
        <v>0</v>
      </c>
      <c r="BB73">
        <f>IF(ISNUMBER(Y73),INDEX(AllCollegeILPub, MATCH(N73,AllCollegeNCES,0)),0)</f>
        <v>0</v>
      </c>
      <c r="BC73">
        <f>IF(AK73=ReachLabel,AP73,0)</f>
        <v>0</v>
      </c>
      <c r="BD73">
        <f>IF(AK73=MatchLabel,AP73,0)</f>
        <v>0</v>
      </c>
      <c r="BE73">
        <f>IF(AK73=SafetyLabel,AP73,0)</f>
        <v>0</v>
      </c>
      <c r="BF73">
        <f>IF(AK73=SecureLabel,AP73,0)</f>
        <v>0</v>
      </c>
      <c r="BG73">
        <f>IF(AK73=SureThingLabel,AP73,0)</f>
        <v>0</v>
      </c>
      <c r="BH73">
        <f>MAX(BC73:BG73)</f>
        <v>0</v>
      </c>
      <c r="BI73">
        <f>MAX(BD73:BG73)</f>
        <v>0</v>
      </c>
      <c r="BJ73">
        <f>MAX(BE73:BG73)</f>
        <v>0</v>
      </c>
      <c r="BK73">
        <f>IF(AND(AK73=ReachLabel,AY73=1),AP73,0)</f>
        <v>0</v>
      </c>
      <c r="BL73">
        <f>IF(AND(AK73=MatchLabel,AY73=1),AP73,0)</f>
        <v>0</v>
      </c>
      <c r="BM73">
        <f>IF(AND(AK73=SafetyLabel,AY73=1),AP73,0)</f>
        <v>0</v>
      </c>
      <c r="BN73">
        <f>IF(AND(AK73=SecureLabel,AY73=1),AP73,0)</f>
        <v>0</v>
      </c>
      <c r="BO73">
        <f>IF(AND(AK73=SureThingLabel,AY73=1),AP73,0)</f>
        <v>0</v>
      </c>
      <c r="BP73">
        <f>MAX(BK73:BO73)</f>
        <v>0</v>
      </c>
      <c r="BQ73">
        <f>MAX(BL73:BO73)</f>
        <v>0</v>
      </c>
      <c r="BR73">
        <f>MAX(BM73:BO73)</f>
        <v>0</v>
      </c>
      <c r="BS73">
        <f>IF(ISNUMBER(Y73),INDEX(AllCollegeChicago, MATCH(N73,AllCollegeNCES,0))*AY73,0)</f>
        <v>0</v>
      </c>
      <c r="BT73">
        <f>IF(ISNUMBER(Y73),INDEX(AllCollegeMoneyCode, MATCH(N73,AllCollegeNCES,0)),"?")</f>
        <v>0</v>
      </c>
      <c r="BU73">
        <f>IF(OR(BT73="---",BT73="--",BT73="+/--",BT73="+/---"),1,0)</f>
        <v>0</v>
      </c>
      <c r="BV73">
        <f>AY73*AO73*AQ73</f>
        <v>0</v>
      </c>
    </row>
    <row r="74" spans="1:74">
      <c r="A74" t="s">
        <v>86</v>
      </c>
      <c r="B74">
        <v>22347828</v>
      </c>
      <c r="C74" t="s">
        <v>176</v>
      </c>
      <c r="D74" t="s">
        <v>177</v>
      </c>
      <c r="E74" t="s">
        <v>428</v>
      </c>
      <c r="F74" t="s">
        <v>458</v>
      </c>
      <c r="G74" t="s">
        <v>430</v>
      </c>
      <c r="H74" t="s">
        <v>431</v>
      </c>
      <c r="I74" t="s">
        <v>432</v>
      </c>
      <c r="J74" t="s">
        <v>432</v>
      </c>
      <c r="K74">
        <v>0</v>
      </c>
      <c r="L74" t="s">
        <v>428</v>
      </c>
      <c r="M74" t="s">
        <v>428</v>
      </c>
      <c r="N74">
        <v>202523</v>
      </c>
      <c r="O74">
        <f>INDEX(AllCollegeBarrons,MATCH(N74,AllCollegeNCES,0))</f>
        <v>0</v>
      </c>
      <c r="P74">
        <f>INDEX(KidGPAs,MATCH(B74,KidIDs,0))</f>
        <v>0</v>
      </c>
      <c r="Q74">
        <f>INDEX(KidACTs,MATCH(B74,KidIDs,0))</f>
        <v>0</v>
      </c>
      <c r="R74">
        <f>INDEX(Strats,MATCH(B74,KidIDs,0))</f>
        <v>0</v>
      </c>
      <c r="S74">
        <f>INDEX(KidRace,MATCH(B74,KidIDs,0))</f>
        <v>0</v>
      </c>
      <c r="T74">
        <f>IF(OR(S74="M",S74="I"),"H",S74)</f>
        <v>0</v>
      </c>
      <c r="U74">
        <f>INDEX(StudentTargets,MATCH(B74,KidIDs,0))</f>
        <v>0</v>
      </c>
      <c r="V74">
        <f>INDEX(ReachStudentTargets,MATCH(B74,KidIDs,0))</f>
        <v>0</v>
      </c>
      <c r="W74">
        <f>IF(OR(M74="Posse"),1,0)</f>
        <v>0</v>
      </c>
      <c r="X74">
        <f>IF(ISNUMBER(INDEX(AllCollegeGR, MATCH(N74,AllCollegeNCES,0))),ROUND(INDEX(AllCollegeGR, MATCH(N74,AllCollegeNCES,0))+W74*IF(INDEX(AllCollegeGR, MATCH(N74,AllCollegeNCES,0))&gt;0.7,(1-INDEX(AllCollegeGR, MATCH(N74,AllCollegeNCES,0)))/2,0.15),2),INDEX(AllCollegeGR, MATCH(N74,AllCollegeNCES,0)))</f>
        <v>0</v>
      </c>
      <c r="Y74">
        <f>IF(ISNUMBER(INDEX(AllCollegeAAHGR, MATCH(N74,AllCollegeNCES,0))),ROUND(INDEX(AllCollegeAAHGR, MATCH(N74,AllCollegeNCES,0))+W74*IF(INDEX(AllCollegeAAHGR, MATCH(N74,AllCollegeNCES,0))&gt;0.7,(1-INDEX(AllCollegeAAHGR, MATCH(N74,AllCollegeNCES,0)))/2,0.15),2),INDEX(AllCollegeAAHGR, MATCH(N74,AllCollegeNCES,0)))</f>
        <v>0</v>
      </c>
      <c r="Z74">
        <f>IF(OR(T74="H",T74="B"),INDEX(AllCollegeACT25, MATCH(N74,AllCollegeNCES,0)),INDEX(AllCollegeACT50, MATCH(N74,AllCollegeNCES,0)))</f>
        <v>0</v>
      </c>
      <c r="AA74">
        <f>INDEX(CustomWeightsGPA,MATCH(T74&amp;":"&amp;N74,CustomWeightsIndex,0))</f>
        <v>0</v>
      </c>
      <c r="AB74">
        <f>INDEX(CustomWeightsACT,MATCH(T74&amp;":"&amp;N74,CustomWeightsIndex,0))</f>
        <v>0</v>
      </c>
      <c r="AC74">
        <f>INDEX(CustomWeightsIntercept,MATCH(T74&amp;":"&amp;N74,CustomWeightsIndex,0))</f>
        <v>0</v>
      </c>
      <c r="AD74">
        <f>AA74*P74+AB74*Q74+AC74</f>
        <v>0</v>
      </c>
      <c r="AE74">
        <f>INDEX(CoefficientsGPA,MATCH(T74&amp;":"&amp;O74,CoefficientsIndex,0))</f>
        <v>0</v>
      </c>
      <c r="AF74">
        <f>INDEX(CoefficientsACT,MATCH(T74&amp;":"&amp;O74,CoefficientsIndex,0))</f>
        <v>0</v>
      </c>
      <c r="AG74">
        <f>INDEX(CoefficientsIntercept,MATCH(T74&amp;":"&amp;O74,CoefficientsIndex,0))</f>
        <v>0</v>
      </c>
      <c r="AH74">
        <f>AE74*P74+(Q74-Z74)*AF74+AG74</f>
        <v>0</v>
      </c>
      <c r="AI74">
        <f>IF(ISNUMBER(AD74),AD74,AH74)</f>
        <v>0</v>
      </c>
      <c r="AJ74">
        <f>IF(ISNUMBER(AI74),IF(ISNUMBER(AE74),IF(AND(AE74=1,AF74=1,AG74=1),100,ROUND(100*EXP(AI74)/(1+EXP(AI74)),2)),ROUND(100*EXP(AI74)/(1+EXP(AI74)),2)),IF(ISTEXT(O74),IF(LEFT(O74,1)="2",100,"N/A"),"N/A"))</f>
        <v>0</v>
      </c>
      <c r="AK74">
        <f>IF(ISNUMBER(AJ74),IF(AJ74&gt;=99,IF(OR(R74=10,R74=11),MatchLabel,SureThingLabel),IF(AJ74&gt;=95,SecureLabel,IF(AJ74&gt;=80,SafetyLabel,IF(AJ74&gt;=50,MatchLabel,IF(AJ74&gt;=20,ReachLabel,IF(AJ74&gt;=10,LongshotLabel,HailMaryLabel)))))),"Other")</f>
        <v>0</v>
      </c>
      <c r="AL74">
        <f>IF(OR(I74="accepted",I74="cond. accept",I74="summer admit"),IF(J74="yes","CHOICE!","Accepted!"),IF(I74="denied","Denied",IF(K74=1,"Waitlist",IF(L74=1,"Deferred",IF(G74="pending","Pending",IF(OR(G74="initial materials submitted",G74="mid-year submitted",G74="final submitted"),"Submitted",IF(H74="interest","Interest","?")))))))</f>
        <v>0</v>
      </c>
      <c r="AM74">
        <f>IF(OR(AK74=ReachLabel,AK74=LongshotLabel,AK74=HailMaryLabel),1,0)</f>
        <v>0</v>
      </c>
      <c r="AN74">
        <f>IF(OR(AM74=1,AK74=MatchLabel),1,0)</f>
        <v>0</v>
      </c>
      <c r="AO74">
        <f>IF(OR(AK74=MatchLabel,AK74=SafetyLabel,AK74=SecureLabel,AK74=SureThingLabel),1,0)</f>
        <v>0</v>
      </c>
      <c r="AP74">
        <f>IF(OR(T74="H",T74="B"),IF(ISNUMBER(Y74),ROUND(Y74,2),0),IF(ISNUMBER(X74),ROUND(X74,2),0))</f>
        <v>0</v>
      </c>
      <c r="AQ74">
        <f>IF(AP74&gt;=U74,1,0)</f>
        <v>0</v>
      </c>
      <c r="AR74">
        <f>IF(AP74&gt;=V74,1,0)</f>
        <v>0</v>
      </c>
      <c r="AS74">
        <f>IF(AP74&lt;(U74-0.10),1,0)</f>
        <v>0</v>
      </c>
      <c r="AT74">
        <f>1-AJ74/100</f>
        <v>0</v>
      </c>
      <c r="AU74">
        <f>IF(AN74=1,AT74,1)</f>
        <v>0</v>
      </c>
      <c r="AV74">
        <f>IF(AM74=1,AT74,1)</f>
        <v>0</v>
      </c>
      <c r="AW74">
        <f>IF(AND(AQ74=1,ISNUMBER(AT74)),$AT74,1)</f>
        <v>0</v>
      </c>
      <c r="AX74">
        <f>IF(AND(AR74=1,ISNUMBER(AT74)),$AT74,1)</f>
        <v>0</v>
      </c>
      <c r="AY74">
        <f>IF(ISNUMBER(Y74),INDEX(AllCollegeMoney, MATCH(N74,AllCollegeNCES,0)),0)</f>
        <v>0</v>
      </c>
      <c r="AZ74">
        <f>IF(AND(AQ74=1,ISNUMBER(AT74),AY74=1),$AT74,1)</f>
        <v>0</v>
      </c>
      <c r="BA74">
        <f>IF(AND(AR74=1,ISNUMBER(AT74),AY74=1),$AT74,1)</f>
        <v>0</v>
      </c>
      <c r="BB74">
        <f>IF(ISNUMBER(Y74),INDEX(AllCollegeILPub, MATCH(N74,AllCollegeNCES,0)),0)</f>
        <v>0</v>
      </c>
      <c r="BC74">
        <f>IF(AK74=ReachLabel,AP74,0)</f>
        <v>0</v>
      </c>
      <c r="BD74">
        <f>IF(AK74=MatchLabel,AP74,0)</f>
        <v>0</v>
      </c>
      <c r="BE74">
        <f>IF(AK74=SafetyLabel,AP74,0)</f>
        <v>0</v>
      </c>
      <c r="BF74">
        <f>IF(AK74=SecureLabel,AP74,0)</f>
        <v>0</v>
      </c>
      <c r="BG74">
        <f>IF(AK74=SureThingLabel,AP74,0)</f>
        <v>0</v>
      </c>
      <c r="BH74">
        <f>MAX(BC74:BG74)</f>
        <v>0</v>
      </c>
      <c r="BI74">
        <f>MAX(BD74:BG74)</f>
        <v>0</v>
      </c>
      <c r="BJ74">
        <f>MAX(BE74:BG74)</f>
        <v>0</v>
      </c>
      <c r="BK74">
        <f>IF(AND(AK74=ReachLabel,AY74=1),AP74,0)</f>
        <v>0</v>
      </c>
      <c r="BL74">
        <f>IF(AND(AK74=MatchLabel,AY74=1),AP74,0)</f>
        <v>0</v>
      </c>
      <c r="BM74">
        <f>IF(AND(AK74=SafetyLabel,AY74=1),AP74,0)</f>
        <v>0</v>
      </c>
      <c r="BN74">
        <f>IF(AND(AK74=SecureLabel,AY74=1),AP74,0)</f>
        <v>0</v>
      </c>
      <c r="BO74">
        <f>IF(AND(AK74=SureThingLabel,AY74=1),AP74,0)</f>
        <v>0</v>
      </c>
      <c r="BP74">
        <f>MAX(BK74:BO74)</f>
        <v>0</v>
      </c>
      <c r="BQ74">
        <f>MAX(BL74:BO74)</f>
        <v>0</v>
      </c>
      <c r="BR74">
        <f>MAX(BM74:BO74)</f>
        <v>0</v>
      </c>
      <c r="BS74">
        <f>IF(ISNUMBER(Y74),INDEX(AllCollegeChicago, MATCH(N74,AllCollegeNCES,0))*AY74,0)</f>
        <v>0</v>
      </c>
      <c r="BT74">
        <f>IF(ISNUMBER(Y74),INDEX(AllCollegeMoneyCode, MATCH(N74,AllCollegeNCES,0)),"?")</f>
        <v>0</v>
      </c>
      <c r="BU74">
        <f>IF(OR(BT74="---",BT74="--",BT74="+/--",BT74="+/---"),1,0)</f>
        <v>0</v>
      </c>
      <c r="BV74">
        <f>AY74*AO74*AQ74</f>
        <v>0</v>
      </c>
    </row>
    <row r="75" spans="1:74">
      <c r="A75" t="s">
        <v>86</v>
      </c>
      <c r="B75">
        <v>22347828</v>
      </c>
      <c r="C75" t="s">
        <v>176</v>
      </c>
      <c r="D75" t="s">
        <v>177</v>
      </c>
      <c r="E75" t="s">
        <v>428</v>
      </c>
      <c r="F75" t="s">
        <v>459</v>
      </c>
      <c r="G75" t="s">
        <v>463</v>
      </c>
      <c r="H75" t="s">
        <v>431</v>
      </c>
      <c r="I75" t="s">
        <v>432</v>
      </c>
      <c r="J75" t="s">
        <v>432</v>
      </c>
      <c r="K75">
        <v>0</v>
      </c>
      <c r="L75" t="s">
        <v>428</v>
      </c>
      <c r="M75" t="s">
        <v>428</v>
      </c>
      <c r="N75">
        <v>146427</v>
      </c>
      <c r="O75">
        <f>INDEX(AllCollegeBarrons,MATCH(N75,AllCollegeNCES,0))</f>
        <v>0</v>
      </c>
      <c r="P75">
        <f>INDEX(KidGPAs,MATCH(B75,KidIDs,0))</f>
        <v>0</v>
      </c>
      <c r="Q75">
        <f>INDEX(KidACTs,MATCH(B75,KidIDs,0))</f>
        <v>0</v>
      </c>
      <c r="R75">
        <f>INDEX(Strats,MATCH(B75,KidIDs,0))</f>
        <v>0</v>
      </c>
      <c r="S75">
        <f>INDEX(KidRace,MATCH(B75,KidIDs,0))</f>
        <v>0</v>
      </c>
      <c r="T75">
        <f>IF(OR(S75="M",S75="I"),"H",S75)</f>
        <v>0</v>
      </c>
      <c r="U75">
        <f>INDEX(StudentTargets,MATCH(B75,KidIDs,0))</f>
        <v>0</v>
      </c>
      <c r="V75">
        <f>INDEX(ReachStudentTargets,MATCH(B75,KidIDs,0))</f>
        <v>0</v>
      </c>
      <c r="W75">
        <f>IF(OR(M75="Posse"),1,0)</f>
        <v>0</v>
      </c>
      <c r="X75">
        <f>IF(ISNUMBER(INDEX(AllCollegeGR, MATCH(N75,AllCollegeNCES,0))),ROUND(INDEX(AllCollegeGR, MATCH(N75,AllCollegeNCES,0))+W75*IF(INDEX(AllCollegeGR, MATCH(N75,AllCollegeNCES,0))&gt;0.7,(1-INDEX(AllCollegeGR, MATCH(N75,AllCollegeNCES,0)))/2,0.15),2),INDEX(AllCollegeGR, MATCH(N75,AllCollegeNCES,0)))</f>
        <v>0</v>
      </c>
      <c r="Y75">
        <f>IF(ISNUMBER(INDEX(AllCollegeAAHGR, MATCH(N75,AllCollegeNCES,0))),ROUND(INDEX(AllCollegeAAHGR, MATCH(N75,AllCollegeNCES,0))+W75*IF(INDEX(AllCollegeAAHGR, MATCH(N75,AllCollegeNCES,0))&gt;0.7,(1-INDEX(AllCollegeAAHGR, MATCH(N75,AllCollegeNCES,0)))/2,0.15),2),INDEX(AllCollegeAAHGR, MATCH(N75,AllCollegeNCES,0)))</f>
        <v>0</v>
      </c>
      <c r="Z75">
        <f>IF(OR(T75="H",T75="B"),INDEX(AllCollegeACT25, MATCH(N75,AllCollegeNCES,0)),INDEX(AllCollegeACT50, MATCH(N75,AllCollegeNCES,0)))</f>
        <v>0</v>
      </c>
      <c r="AA75">
        <f>INDEX(CustomWeightsGPA,MATCH(T75&amp;":"&amp;N75,CustomWeightsIndex,0))</f>
        <v>0</v>
      </c>
      <c r="AB75">
        <f>INDEX(CustomWeightsACT,MATCH(T75&amp;":"&amp;N75,CustomWeightsIndex,0))</f>
        <v>0</v>
      </c>
      <c r="AC75">
        <f>INDEX(CustomWeightsIntercept,MATCH(T75&amp;":"&amp;N75,CustomWeightsIndex,0))</f>
        <v>0</v>
      </c>
      <c r="AD75">
        <f>AA75*P75+AB75*Q75+AC75</f>
        <v>0</v>
      </c>
      <c r="AE75">
        <f>INDEX(CoefficientsGPA,MATCH(T75&amp;":"&amp;O75,CoefficientsIndex,0))</f>
        <v>0</v>
      </c>
      <c r="AF75">
        <f>INDEX(CoefficientsACT,MATCH(T75&amp;":"&amp;O75,CoefficientsIndex,0))</f>
        <v>0</v>
      </c>
      <c r="AG75">
        <f>INDEX(CoefficientsIntercept,MATCH(T75&amp;":"&amp;O75,CoefficientsIndex,0))</f>
        <v>0</v>
      </c>
      <c r="AH75">
        <f>AE75*P75+(Q75-Z75)*AF75+AG75</f>
        <v>0</v>
      </c>
      <c r="AI75">
        <f>IF(ISNUMBER(AD75),AD75,AH75)</f>
        <v>0</v>
      </c>
      <c r="AJ75">
        <f>IF(ISNUMBER(AI75),IF(ISNUMBER(AE75),IF(AND(AE75=1,AF75=1,AG75=1),100,ROUND(100*EXP(AI75)/(1+EXP(AI75)),2)),ROUND(100*EXP(AI75)/(1+EXP(AI75)),2)),IF(ISTEXT(O75),IF(LEFT(O75,1)="2",100,"N/A"),"N/A"))</f>
        <v>0</v>
      </c>
      <c r="AK75">
        <f>IF(ISNUMBER(AJ75),IF(AJ75&gt;=99,IF(OR(R75=10,R75=11),MatchLabel,SureThingLabel),IF(AJ75&gt;=95,SecureLabel,IF(AJ75&gt;=80,SafetyLabel,IF(AJ75&gt;=50,MatchLabel,IF(AJ75&gt;=20,ReachLabel,IF(AJ75&gt;=10,LongshotLabel,HailMaryLabel)))))),"Other")</f>
        <v>0</v>
      </c>
      <c r="AL75">
        <f>IF(OR(I75="accepted",I75="cond. accept",I75="summer admit"),IF(J75="yes","CHOICE!","Accepted!"),IF(I75="denied","Denied",IF(K75=1,"Waitlist",IF(L75=1,"Deferred",IF(G75="pending","Pending",IF(OR(G75="initial materials submitted",G75="mid-year submitted",G75="final submitted"),"Submitted",IF(H75="interest","Interest","?")))))))</f>
        <v>0</v>
      </c>
      <c r="AM75">
        <f>IF(OR(AK75=ReachLabel,AK75=LongshotLabel,AK75=HailMaryLabel),1,0)</f>
        <v>0</v>
      </c>
      <c r="AN75">
        <f>IF(OR(AM75=1,AK75=MatchLabel),1,0)</f>
        <v>0</v>
      </c>
      <c r="AO75">
        <f>IF(OR(AK75=MatchLabel,AK75=SafetyLabel,AK75=SecureLabel,AK75=SureThingLabel),1,0)</f>
        <v>0</v>
      </c>
      <c r="AP75">
        <f>IF(OR(T75="H",T75="B"),IF(ISNUMBER(Y75),ROUND(Y75,2),0),IF(ISNUMBER(X75),ROUND(X75,2),0))</f>
        <v>0</v>
      </c>
      <c r="AQ75">
        <f>IF(AP75&gt;=U75,1,0)</f>
        <v>0</v>
      </c>
      <c r="AR75">
        <f>IF(AP75&gt;=V75,1,0)</f>
        <v>0</v>
      </c>
      <c r="AS75">
        <f>IF(AP75&lt;(U75-0.10),1,0)</f>
        <v>0</v>
      </c>
      <c r="AT75">
        <f>1-AJ75/100</f>
        <v>0</v>
      </c>
      <c r="AU75">
        <f>IF(AN75=1,AT75,1)</f>
        <v>0</v>
      </c>
      <c r="AV75">
        <f>IF(AM75=1,AT75,1)</f>
        <v>0</v>
      </c>
      <c r="AW75">
        <f>IF(AND(AQ75=1,ISNUMBER(AT75)),$AT75,1)</f>
        <v>0</v>
      </c>
      <c r="AX75">
        <f>IF(AND(AR75=1,ISNUMBER(AT75)),$AT75,1)</f>
        <v>0</v>
      </c>
      <c r="AY75">
        <f>IF(ISNUMBER(Y75),INDEX(AllCollegeMoney, MATCH(N75,AllCollegeNCES,0)),0)</f>
        <v>0</v>
      </c>
      <c r="AZ75">
        <f>IF(AND(AQ75=1,ISNUMBER(AT75),AY75=1),$AT75,1)</f>
        <v>0</v>
      </c>
      <c r="BA75">
        <f>IF(AND(AR75=1,ISNUMBER(AT75),AY75=1),$AT75,1)</f>
        <v>0</v>
      </c>
      <c r="BB75">
        <f>IF(ISNUMBER(Y75),INDEX(AllCollegeILPub, MATCH(N75,AllCollegeNCES,0)),0)</f>
        <v>0</v>
      </c>
      <c r="BC75">
        <f>IF(AK75=ReachLabel,AP75,0)</f>
        <v>0</v>
      </c>
      <c r="BD75">
        <f>IF(AK75=MatchLabel,AP75,0)</f>
        <v>0</v>
      </c>
      <c r="BE75">
        <f>IF(AK75=SafetyLabel,AP75,0)</f>
        <v>0</v>
      </c>
      <c r="BF75">
        <f>IF(AK75=SecureLabel,AP75,0)</f>
        <v>0</v>
      </c>
      <c r="BG75">
        <f>IF(AK75=SureThingLabel,AP75,0)</f>
        <v>0</v>
      </c>
      <c r="BH75">
        <f>MAX(BC75:BG75)</f>
        <v>0</v>
      </c>
      <c r="BI75">
        <f>MAX(BD75:BG75)</f>
        <v>0</v>
      </c>
      <c r="BJ75">
        <f>MAX(BE75:BG75)</f>
        <v>0</v>
      </c>
      <c r="BK75">
        <f>IF(AND(AK75=ReachLabel,AY75=1),AP75,0)</f>
        <v>0</v>
      </c>
      <c r="BL75">
        <f>IF(AND(AK75=MatchLabel,AY75=1),AP75,0)</f>
        <v>0</v>
      </c>
      <c r="BM75">
        <f>IF(AND(AK75=SafetyLabel,AY75=1),AP75,0)</f>
        <v>0</v>
      </c>
      <c r="BN75">
        <f>IF(AND(AK75=SecureLabel,AY75=1),AP75,0)</f>
        <v>0</v>
      </c>
      <c r="BO75">
        <f>IF(AND(AK75=SureThingLabel,AY75=1),AP75,0)</f>
        <v>0</v>
      </c>
      <c r="BP75">
        <f>MAX(BK75:BO75)</f>
        <v>0</v>
      </c>
      <c r="BQ75">
        <f>MAX(BL75:BO75)</f>
        <v>0</v>
      </c>
      <c r="BR75">
        <f>MAX(BM75:BO75)</f>
        <v>0</v>
      </c>
      <c r="BS75">
        <f>IF(ISNUMBER(Y75),INDEX(AllCollegeChicago, MATCH(N75,AllCollegeNCES,0))*AY75,0)</f>
        <v>0</v>
      </c>
      <c r="BT75">
        <f>IF(ISNUMBER(Y75),INDEX(AllCollegeMoneyCode, MATCH(N75,AllCollegeNCES,0)),"?")</f>
        <v>0</v>
      </c>
      <c r="BU75">
        <f>IF(OR(BT75="---",BT75="--",BT75="+/--",BT75="+/---"),1,0)</f>
        <v>0</v>
      </c>
      <c r="BV75">
        <f>AY75*AO75*AQ75</f>
        <v>0</v>
      </c>
    </row>
    <row r="76" spans="1:74">
      <c r="A76" t="s">
        <v>86</v>
      </c>
      <c r="B76">
        <v>22347828</v>
      </c>
      <c r="C76" t="s">
        <v>176</v>
      </c>
      <c r="D76" t="s">
        <v>177</v>
      </c>
      <c r="E76" t="s">
        <v>428</v>
      </c>
      <c r="F76" t="s">
        <v>471</v>
      </c>
      <c r="G76" t="s">
        <v>463</v>
      </c>
      <c r="H76" t="s">
        <v>431</v>
      </c>
      <c r="I76" t="s">
        <v>432</v>
      </c>
      <c r="J76" t="s">
        <v>432</v>
      </c>
      <c r="K76">
        <v>0</v>
      </c>
      <c r="L76" t="s">
        <v>428</v>
      </c>
      <c r="M76" t="s">
        <v>428</v>
      </c>
      <c r="N76">
        <v>170301</v>
      </c>
      <c r="O76">
        <f>INDEX(AllCollegeBarrons,MATCH(N76,AllCollegeNCES,0))</f>
        <v>0</v>
      </c>
      <c r="P76">
        <f>INDEX(KidGPAs,MATCH(B76,KidIDs,0))</f>
        <v>0</v>
      </c>
      <c r="Q76">
        <f>INDEX(KidACTs,MATCH(B76,KidIDs,0))</f>
        <v>0</v>
      </c>
      <c r="R76">
        <f>INDEX(Strats,MATCH(B76,KidIDs,0))</f>
        <v>0</v>
      </c>
      <c r="S76">
        <f>INDEX(KidRace,MATCH(B76,KidIDs,0))</f>
        <v>0</v>
      </c>
      <c r="T76">
        <f>IF(OR(S76="M",S76="I"),"H",S76)</f>
        <v>0</v>
      </c>
      <c r="U76">
        <f>INDEX(StudentTargets,MATCH(B76,KidIDs,0))</f>
        <v>0</v>
      </c>
      <c r="V76">
        <f>INDEX(ReachStudentTargets,MATCH(B76,KidIDs,0))</f>
        <v>0</v>
      </c>
      <c r="W76">
        <f>IF(OR(M76="Posse"),1,0)</f>
        <v>0</v>
      </c>
      <c r="X76">
        <f>IF(ISNUMBER(INDEX(AllCollegeGR, MATCH(N76,AllCollegeNCES,0))),ROUND(INDEX(AllCollegeGR, MATCH(N76,AllCollegeNCES,0))+W76*IF(INDEX(AllCollegeGR, MATCH(N76,AllCollegeNCES,0))&gt;0.7,(1-INDEX(AllCollegeGR, MATCH(N76,AllCollegeNCES,0)))/2,0.15),2),INDEX(AllCollegeGR, MATCH(N76,AllCollegeNCES,0)))</f>
        <v>0</v>
      </c>
      <c r="Y76">
        <f>IF(ISNUMBER(INDEX(AllCollegeAAHGR, MATCH(N76,AllCollegeNCES,0))),ROUND(INDEX(AllCollegeAAHGR, MATCH(N76,AllCollegeNCES,0))+W76*IF(INDEX(AllCollegeAAHGR, MATCH(N76,AllCollegeNCES,0))&gt;0.7,(1-INDEX(AllCollegeAAHGR, MATCH(N76,AllCollegeNCES,0)))/2,0.15),2),INDEX(AllCollegeAAHGR, MATCH(N76,AllCollegeNCES,0)))</f>
        <v>0</v>
      </c>
      <c r="Z76">
        <f>IF(OR(T76="H",T76="B"),INDEX(AllCollegeACT25, MATCH(N76,AllCollegeNCES,0)),INDEX(AllCollegeACT50, MATCH(N76,AllCollegeNCES,0)))</f>
        <v>0</v>
      </c>
      <c r="AA76">
        <f>INDEX(CustomWeightsGPA,MATCH(T76&amp;":"&amp;N76,CustomWeightsIndex,0))</f>
        <v>0</v>
      </c>
      <c r="AB76">
        <f>INDEX(CustomWeightsACT,MATCH(T76&amp;":"&amp;N76,CustomWeightsIndex,0))</f>
        <v>0</v>
      </c>
      <c r="AC76">
        <f>INDEX(CustomWeightsIntercept,MATCH(T76&amp;":"&amp;N76,CustomWeightsIndex,0))</f>
        <v>0</v>
      </c>
      <c r="AD76">
        <f>AA76*P76+AB76*Q76+AC76</f>
        <v>0</v>
      </c>
      <c r="AE76">
        <f>INDEX(CoefficientsGPA,MATCH(T76&amp;":"&amp;O76,CoefficientsIndex,0))</f>
        <v>0</v>
      </c>
      <c r="AF76">
        <f>INDEX(CoefficientsACT,MATCH(T76&amp;":"&amp;O76,CoefficientsIndex,0))</f>
        <v>0</v>
      </c>
      <c r="AG76">
        <f>INDEX(CoefficientsIntercept,MATCH(T76&amp;":"&amp;O76,CoefficientsIndex,0))</f>
        <v>0</v>
      </c>
      <c r="AH76">
        <f>AE76*P76+(Q76-Z76)*AF76+AG76</f>
        <v>0</v>
      </c>
      <c r="AI76">
        <f>IF(ISNUMBER(AD76),AD76,AH76)</f>
        <v>0</v>
      </c>
      <c r="AJ76">
        <f>IF(ISNUMBER(AI76),IF(ISNUMBER(AE76),IF(AND(AE76=1,AF76=1,AG76=1),100,ROUND(100*EXP(AI76)/(1+EXP(AI76)),2)),ROUND(100*EXP(AI76)/(1+EXP(AI76)),2)),IF(ISTEXT(O76),IF(LEFT(O76,1)="2",100,"N/A"),"N/A"))</f>
        <v>0</v>
      </c>
      <c r="AK76">
        <f>IF(ISNUMBER(AJ76),IF(AJ76&gt;=99,IF(OR(R76=10,R76=11),MatchLabel,SureThingLabel),IF(AJ76&gt;=95,SecureLabel,IF(AJ76&gt;=80,SafetyLabel,IF(AJ76&gt;=50,MatchLabel,IF(AJ76&gt;=20,ReachLabel,IF(AJ76&gt;=10,LongshotLabel,HailMaryLabel)))))),"Other")</f>
        <v>0</v>
      </c>
      <c r="AL76">
        <f>IF(OR(I76="accepted",I76="cond. accept",I76="summer admit"),IF(J76="yes","CHOICE!","Accepted!"),IF(I76="denied","Denied",IF(K76=1,"Waitlist",IF(L76=1,"Deferred",IF(G76="pending","Pending",IF(OR(G76="initial materials submitted",G76="mid-year submitted",G76="final submitted"),"Submitted",IF(H76="interest","Interest","?")))))))</f>
        <v>0</v>
      </c>
      <c r="AM76">
        <f>IF(OR(AK76=ReachLabel,AK76=LongshotLabel,AK76=HailMaryLabel),1,0)</f>
        <v>0</v>
      </c>
      <c r="AN76">
        <f>IF(OR(AM76=1,AK76=MatchLabel),1,0)</f>
        <v>0</v>
      </c>
      <c r="AO76">
        <f>IF(OR(AK76=MatchLabel,AK76=SafetyLabel,AK76=SecureLabel,AK76=SureThingLabel),1,0)</f>
        <v>0</v>
      </c>
      <c r="AP76">
        <f>IF(OR(T76="H",T76="B"),IF(ISNUMBER(Y76),ROUND(Y76,2),0),IF(ISNUMBER(X76),ROUND(X76,2),0))</f>
        <v>0</v>
      </c>
      <c r="AQ76">
        <f>IF(AP76&gt;=U76,1,0)</f>
        <v>0</v>
      </c>
      <c r="AR76">
        <f>IF(AP76&gt;=V76,1,0)</f>
        <v>0</v>
      </c>
      <c r="AS76">
        <f>IF(AP76&lt;(U76-0.10),1,0)</f>
        <v>0</v>
      </c>
      <c r="AT76">
        <f>1-AJ76/100</f>
        <v>0</v>
      </c>
      <c r="AU76">
        <f>IF(AN76=1,AT76,1)</f>
        <v>0</v>
      </c>
      <c r="AV76">
        <f>IF(AM76=1,AT76,1)</f>
        <v>0</v>
      </c>
      <c r="AW76">
        <f>IF(AND(AQ76=1,ISNUMBER(AT76)),$AT76,1)</f>
        <v>0</v>
      </c>
      <c r="AX76">
        <f>IF(AND(AR76=1,ISNUMBER(AT76)),$AT76,1)</f>
        <v>0</v>
      </c>
      <c r="AY76">
        <f>IF(ISNUMBER(Y76),INDEX(AllCollegeMoney, MATCH(N76,AllCollegeNCES,0)),0)</f>
        <v>0</v>
      </c>
      <c r="AZ76">
        <f>IF(AND(AQ76=1,ISNUMBER(AT76),AY76=1),$AT76,1)</f>
        <v>0</v>
      </c>
      <c r="BA76">
        <f>IF(AND(AR76=1,ISNUMBER(AT76),AY76=1),$AT76,1)</f>
        <v>0</v>
      </c>
      <c r="BB76">
        <f>IF(ISNUMBER(Y76),INDEX(AllCollegeILPub, MATCH(N76,AllCollegeNCES,0)),0)</f>
        <v>0</v>
      </c>
      <c r="BC76">
        <f>IF(AK76=ReachLabel,AP76,0)</f>
        <v>0</v>
      </c>
      <c r="BD76">
        <f>IF(AK76=MatchLabel,AP76,0)</f>
        <v>0</v>
      </c>
      <c r="BE76">
        <f>IF(AK76=SafetyLabel,AP76,0)</f>
        <v>0</v>
      </c>
      <c r="BF76">
        <f>IF(AK76=SecureLabel,AP76,0)</f>
        <v>0</v>
      </c>
      <c r="BG76">
        <f>IF(AK76=SureThingLabel,AP76,0)</f>
        <v>0</v>
      </c>
      <c r="BH76">
        <f>MAX(BC76:BG76)</f>
        <v>0</v>
      </c>
      <c r="BI76">
        <f>MAX(BD76:BG76)</f>
        <v>0</v>
      </c>
      <c r="BJ76">
        <f>MAX(BE76:BG76)</f>
        <v>0</v>
      </c>
      <c r="BK76">
        <f>IF(AND(AK76=ReachLabel,AY76=1),AP76,0)</f>
        <v>0</v>
      </c>
      <c r="BL76">
        <f>IF(AND(AK76=MatchLabel,AY76=1),AP76,0)</f>
        <v>0</v>
      </c>
      <c r="BM76">
        <f>IF(AND(AK76=SafetyLabel,AY76=1),AP76,0)</f>
        <v>0</v>
      </c>
      <c r="BN76">
        <f>IF(AND(AK76=SecureLabel,AY76=1),AP76,0)</f>
        <v>0</v>
      </c>
      <c r="BO76">
        <f>IF(AND(AK76=SureThingLabel,AY76=1),AP76,0)</f>
        <v>0</v>
      </c>
      <c r="BP76">
        <f>MAX(BK76:BO76)</f>
        <v>0</v>
      </c>
      <c r="BQ76">
        <f>MAX(BL76:BO76)</f>
        <v>0</v>
      </c>
      <c r="BR76">
        <f>MAX(BM76:BO76)</f>
        <v>0</v>
      </c>
      <c r="BS76">
        <f>IF(ISNUMBER(Y76),INDEX(AllCollegeChicago, MATCH(N76,AllCollegeNCES,0))*AY76,0)</f>
        <v>0</v>
      </c>
      <c r="BT76">
        <f>IF(ISNUMBER(Y76),INDEX(AllCollegeMoneyCode, MATCH(N76,AllCollegeNCES,0)),"?")</f>
        <v>0</v>
      </c>
      <c r="BU76">
        <f>IF(OR(BT76="---",BT76="--",BT76="+/--",BT76="+/---"),1,0)</f>
        <v>0</v>
      </c>
      <c r="BV76">
        <f>AY76*AO76*AQ76</f>
        <v>0</v>
      </c>
    </row>
    <row r="77" spans="1:74">
      <c r="A77" t="s">
        <v>86</v>
      </c>
      <c r="B77">
        <v>22347828</v>
      </c>
      <c r="C77" t="s">
        <v>176</v>
      </c>
      <c r="D77" t="s">
        <v>177</v>
      </c>
      <c r="E77" t="s">
        <v>428</v>
      </c>
      <c r="F77" t="s">
        <v>447</v>
      </c>
      <c r="G77" t="s">
        <v>463</v>
      </c>
      <c r="H77" t="s">
        <v>431</v>
      </c>
      <c r="I77" t="s">
        <v>432</v>
      </c>
      <c r="J77" t="s">
        <v>432</v>
      </c>
      <c r="K77">
        <v>0</v>
      </c>
      <c r="L77" t="s">
        <v>428</v>
      </c>
      <c r="M77" t="s">
        <v>428</v>
      </c>
      <c r="N77">
        <v>145600</v>
      </c>
      <c r="O77">
        <f>INDEX(AllCollegeBarrons,MATCH(N77,AllCollegeNCES,0))</f>
        <v>0</v>
      </c>
      <c r="P77">
        <f>INDEX(KidGPAs,MATCH(B77,KidIDs,0))</f>
        <v>0</v>
      </c>
      <c r="Q77">
        <f>INDEX(KidACTs,MATCH(B77,KidIDs,0))</f>
        <v>0</v>
      </c>
      <c r="R77">
        <f>INDEX(Strats,MATCH(B77,KidIDs,0))</f>
        <v>0</v>
      </c>
      <c r="S77">
        <f>INDEX(KidRace,MATCH(B77,KidIDs,0))</f>
        <v>0</v>
      </c>
      <c r="T77">
        <f>IF(OR(S77="M",S77="I"),"H",S77)</f>
        <v>0</v>
      </c>
      <c r="U77">
        <f>INDEX(StudentTargets,MATCH(B77,KidIDs,0))</f>
        <v>0</v>
      </c>
      <c r="V77">
        <f>INDEX(ReachStudentTargets,MATCH(B77,KidIDs,0))</f>
        <v>0</v>
      </c>
      <c r="W77">
        <f>IF(OR(M77="Posse"),1,0)</f>
        <v>0</v>
      </c>
      <c r="X77">
        <f>IF(ISNUMBER(INDEX(AllCollegeGR, MATCH(N77,AllCollegeNCES,0))),ROUND(INDEX(AllCollegeGR, MATCH(N77,AllCollegeNCES,0))+W77*IF(INDEX(AllCollegeGR, MATCH(N77,AllCollegeNCES,0))&gt;0.7,(1-INDEX(AllCollegeGR, MATCH(N77,AllCollegeNCES,0)))/2,0.15),2),INDEX(AllCollegeGR, MATCH(N77,AllCollegeNCES,0)))</f>
        <v>0</v>
      </c>
      <c r="Y77">
        <f>IF(ISNUMBER(INDEX(AllCollegeAAHGR, MATCH(N77,AllCollegeNCES,0))),ROUND(INDEX(AllCollegeAAHGR, MATCH(N77,AllCollegeNCES,0))+W77*IF(INDEX(AllCollegeAAHGR, MATCH(N77,AllCollegeNCES,0))&gt;0.7,(1-INDEX(AllCollegeAAHGR, MATCH(N77,AllCollegeNCES,0)))/2,0.15),2),INDEX(AllCollegeAAHGR, MATCH(N77,AllCollegeNCES,0)))</f>
        <v>0</v>
      </c>
      <c r="Z77">
        <f>IF(OR(T77="H",T77="B"),INDEX(AllCollegeACT25, MATCH(N77,AllCollegeNCES,0)),INDEX(AllCollegeACT50, MATCH(N77,AllCollegeNCES,0)))</f>
        <v>0</v>
      </c>
      <c r="AA77">
        <f>INDEX(CustomWeightsGPA,MATCH(T77&amp;":"&amp;N77,CustomWeightsIndex,0))</f>
        <v>0</v>
      </c>
      <c r="AB77">
        <f>INDEX(CustomWeightsACT,MATCH(T77&amp;":"&amp;N77,CustomWeightsIndex,0))</f>
        <v>0</v>
      </c>
      <c r="AC77">
        <f>INDEX(CustomWeightsIntercept,MATCH(T77&amp;":"&amp;N77,CustomWeightsIndex,0))</f>
        <v>0</v>
      </c>
      <c r="AD77">
        <f>AA77*P77+AB77*Q77+AC77</f>
        <v>0</v>
      </c>
      <c r="AE77">
        <f>INDEX(CoefficientsGPA,MATCH(T77&amp;":"&amp;O77,CoefficientsIndex,0))</f>
        <v>0</v>
      </c>
      <c r="AF77">
        <f>INDEX(CoefficientsACT,MATCH(T77&amp;":"&amp;O77,CoefficientsIndex,0))</f>
        <v>0</v>
      </c>
      <c r="AG77">
        <f>INDEX(CoefficientsIntercept,MATCH(T77&amp;":"&amp;O77,CoefficientsIndex,0))</f>
        <v>0</v>
      </c>
      <c r="AH77">
        <f>AE77*P77+(Q77-Z77)*AF77+AG77</f>
        <v>0</v>
      </c>
      <c r="AI77">
        <f>IF(ISNUMBER(AD77),AD77,AH77)</f>
        <v>0</v>
      </c>
      <c r="AJ77">
        <f>IF(ISNUMBER(AI77),IF(ISNUMBER(AE77),IF(AND(AE77=1,AF77=1,AG77=1),100,ROUND(100*EXP(AI77)/(1+EXP(AI77)),2)),ROUND(100*EXP(AI77)/(1+EXP(AI77)),2)),IF(ISTEXT(O77),IF(LEFT(O77,1)="2",100,"N/A"),"N/A"))</f>
        <v>0</v>
      </c>
      <c r="AK77">
        <f>IF(ISNUMBER(AJ77),IF(AJ77&gt;=99,IF(OR(R77=10,R77=11),MatchLabel,SureThingLabel),IF(AJ77&gt;=95,SecureLabel,IF(AJ77&gt;=80,SafetyLabel,IF(AJ77&gt;=50,MatchLabel,IF(AJ77&gt;=20,ReachLabel,IF(AJ77&gt;=10,LongshotLabel,HailMaryLabel)))))),"Other")</f>
        <v>0</v>
      </c>
      <c r="AL77">
        <f>IF(OR(I77="accepted",I77="cond. accept",I77="summer admit"),IF(J77="yes","CHOICE!","Accepted!"),IF(I77="denied","Denied",IF(K77=1,"Waitlist",IF(L77=1,"Deferred",IF(G77="pending","Pending",IF(OR(G77="initial materials submitted",G77="mid-year submitted",G77="final submitted"),"Submitted",IF(H77="interest","Interest","?")))))))</f>
        <v>0</v>
      </c>
      <c r="AM77">
        <f>IF(OR(AK77=ReachLabel,AK77=LongshotLabel,AK77=HailMaryLabel),1,0)</f>
        <v>0</v>
      </c>
      <c r="AN77">
        <f>IF(OR(AM77=1,AK77=MatchLabel),1,0)</f>
        <v>0</v>
      </c>
      <c r="AO77">
        <f>IF(OR(AK77=MatchLabel,AK77=SafetyLabel,AK77=SecureLabel,AK77=SureThingLabel),1,0)</f>
        <v>0</v>
      </c>
      <c r="AP77">
        <f>IF(OR(T77="H",T77="B"),IF(ISNUMBER(Y77),ROUND(Y77,2),0),IF(ISNUMBER(X77),ROUND(X77,2),0))</f>
        <v>0</v>
      </c>
      <c r="AQ77">
        <f>IF(AP77&gt;=U77,1,0)</f>
        <v>0</v>
      </c>
      <c r="AR77">
        <f>IF(AP77&gt;=V77,1,0)</f>
        <v>0</v>
      </c>
      <c r="AS77">
        <f>IF(AP77&lt;(U77-0.10),1,0)</f>
        <v>0</v>
      </c>
      <c r="AT77">
        <f>1-AJ77/100</f>
        <v>0</v>
      </c>
      <c r="AU77">
        <f>IF(AN77=1,AT77,1)</f>
        <v>0</v>
      </c>
      <c r="AV77">
        <f>IF(AM77=1,AT77,1)</f>
        <v>0</v>
      </c>
      <c r="AW77">
        <f>IF(AND(AQ77=1,ISNUMBER(AT77)),$AT77,1)</f>
        <v>0</v>
      </c>
      <c r="AX77">
        <f>IF(AND(AR77=1,ISNUMBER(AT77)),$AT77,1)</f>
        <v>0</v>
      </c>
      <c r="AY77">
        <f>IF(ISNUMBER(Y77),INDEX(AllCollegeMoney, MATCH(N77,AllCollegeNCES,0)),0)</f>
        <v>0</v>
      </c>
      <c r="AZ77">
        <f>IF(AND(AQ77=1,ISNUMBER(AT77),AY77=1),$AT77,1)</f>
        <v>0</v>
      </c>
      <c r="BA77">
        <f>IF(AND(AR77=1,ISNUMBER(AT77),AY77=1),$AT77,1)</f>
        <v>0</v>
      </c>
      <c r="BB77">
        <f>IF(ISNUMBER(Y77),INDEX(AllCollegeILPub, MATCH(N77,AllCollegeNCES,0)),0)</f>
        <v>0</v>
      </c>
      <c r="BC77">
        <f>IF(AK77=ReachLabel,AP77,0)</f>
        <v>0</v>
      </c>
      <c r="BD77">
        <f>IF(AK77=MatchLabel,AP77,0)</f>
        <v>0</v>
      </c>
      <c r="BE77">
        <f>IF(AK77=SafetyLabel,AP77,0)</f>
        <v>0</v>
      </c>
      <c r="BF77">
        <f>IF(AK77=SecureLabel,AP77,0)</f>
        <v>0</v>
      </c>
      <c r="BG77">
        <f>IF(AK77=SureThingLabel,AP77,0)</f>
        <v>0</v>
      </c>
      <c r="BH77">
        <f>MAX(BC77:BG77)</f>
        <v>0</v>
      </c>
      <c r="BI77">
        <f>MAX(BD77:BG77)</f>
        <v>0</v>
      </c>
      <c r="BJ77">
        <f>MAX(BE77:BG77)</f>
        <v>0</v>
      </c>
      <c r="BK77">
        <f>IF(AND(AK77=ReachLabel,AY77=1),AP77,0)</f>
        <v>0</v>
      </c>
      <c r="BL77">
        <f>IF(AND(AK77=MatchLabel,AY77=1),AP77,0)</f>
        <v>0</v>
      </c>
      <c r="BM77">
        <f>IF(AND(AK77=SafetyLabel,AY77=1),AP77,0)</f>
        <v>0</v>
      </c>
      <c r="BN77">
        <f>IF(AND(AK77=SecureLabel,AY77=1),AP77,0)</f>
        <v>0</v>
      </c>
      <c r="BO77">
        <f>IF(AND(AK77=SureThingLabel,AY77=1),AP77,0)</f>
        <v>0</v>
      </c>
      <c r="BP77">
        <f>MAX(BK77:BO77)</f>
        <v>0</v>
      </c>
      <c r="BQ77">
        <f>MAX(BL77:BO77)</f>
        <v>0</v>
      </c>
      <c r="BR77">
        <f>MAX(BM77:BO77)</f>
        <v>0</v>
      </c>
      <c r="BS77">
        <f>IF(ISNUMBER(Y77),INDEX(AllCollegeChicago, MATCH(N77,AllCollegeNCES,0))*AY77,0)</f>
        <v>0</v>
      </c>
      <c r="BT77">
        <f>IF(ISNUMBER(Y77),INDEX(AllCollegeMoneyCode, MATCH(N77,AllCollegeNCES,0)),"?")</f>
        <v>0</v>
      </c>
      <c r="BU77">
        <f>IF(OR(BT77="---",BT77="--",BT77="+/--",BT77="+/---"),1,0)</f>
        <v>0</v>
      </c>
      <c r="BV77">
        <f>AY77*AO77*AQ77</f>
        <v>0</v>
      </c>
    </row>
    <row r="78" spans="1:74">
      <c r="A78" t="s">
        <v>86</v>
      </c>
      <c r="B78">
        <v>22366458</v>
      </c>
      <c r="C78" t="s">
        <v>284</v>
      </c>
      <c r="D78" t="s">
        <v>285</v>
      </c>
      <c r="E78" t="s">
        <v>428</v>
      </c>
      <c r="F78" t="s">
        <v>467</v>
      </c>
      <c r="G78" t="s">
        <v>430</v>
      </c>
      <c r="H78" t="s">
        <v>431</v>
      </c>
      <c r="I78" t="s">
        <v>432</v>
      </c>
      <c r="J78" t="s">
        <v>432</v>
      </c>
      <c r="K78">
        <v>0</v>
      </c>
      <c r="L78" t="s">
        <v>428</v>
      </c>
      <c r="M78" t="s">
        <v>428</v>
      </c>
      <c r="N78">
        <v>170976</v>
      </c>
      <c r="O78">
        <f>INDEX(AllCollegeBarrons,MATCH(N78,AllCollegeNCES,0))</f>
        <v>0</v>
      </c>
      <c r="P78">
        <f>INDEX(KidGPAs,MATCH(B78,KidIDs,0))</f>
        <v>0</v>
      </c>
      <c r="Q78">
        <f>INDEX(KidACTs,MATCH(B78,KidIDs,0))</f>
        <v>0</v>
      </c>
      <c r="R78">
        <f>INDEX(Strats,MATCH(B78,KidIDs,0))</f>
        <v>0</v>
      </c>
      <c r="S78">
        <f>INDEX(KidRace,MATCH(B78,KidIDs,0))</f>
        <v>0</v>
      </c>
      <c r="T78">
        <f>IF(OR(S78="M",S78="I"),"H",S78)</f>
        <v>0</v>
      </c>
      <c r="U78">
        <f>INDEX(StudentTargets,MATCH(B78,KidIDs,0))</f>
        <v>0</v>
      </c>
      <c r="V78">
        <f>INDEX(ReachStudentTargets,MATCH(B78,KidIDs,0))</f>
        <v>0</v>
      </c>
      <c r="W78">
        <f>IF(OR(M78="Posse"),1,0)</f>
        <v>0</v>
      </c>
      <c r="X78">
        <f>IF(ISNUMBER(INDEX(AllCollegeGR, MATCH(N78,AllCollegeNCES,0))),ROUND(INDEX(AllCollegeGR, MATCH(N78,AllCollegeNCES,0))+W78*IF(INDEX(AllCollegeGR, MATCH(N78,AllCollegeNCES,0))&gt;0.7,(1-INDEX(AllCollegeGR, MATCH(N78,AllCollegeNCES,0)))/2,0.15),2),INDEX(AllCollegeGR, MATCH(N78,AllCollegeNCES,0)))</f>
        <v>0</v>
      </c>
      <c r="Y78">
        <f>IF(ISNUMBER(INDEX(AllCollegeAAHGR, MATCH(N78,AllCollegeNCES,0))),ROUND(INDEX(AllCollegeAAHGR, MATCH(N78,AllCollegeNCES,0))+W78*IF(INDEX(AllCollegeAAHGR, MATCH(N78,AllCollegeNCES,0))&gt;0.7,(1-INDEX(AllCollegeAAHGR, MATCH(N78,AllCollegeNCES,0)))/2,0.15),2),INDEX(AllCollegeAAHGR, MATCH(N78,AllCollegeNCES,0)))</f>
        <v>0</v>
      </c>
      <c r="Z78">
        <f>IF(OR(T78="H",T78="B"),INDEX(AllCollegeACT25, MATCH(N78,AllCollegeNCES,0)),INDEX(AllCollegeACT50, MATCH(N78,AllCollegeNCES,0)))</f>
        <v>0</v>
      </c>
      <c r="AA78">
        <f>INDEX(CustomWeightsGPA,MATCH(T78&amp;":"&amp;N78,CustomWeightsIndex,0))</f>
        <v>0</v>
      </c>
      <c r="AB78">
        <f>INDEX(CustomWeightsACT,MATCH(T78&amp;":"&amp;N78,CustomWeightsIndex,0))</f>
        <v>0</v>
      </c>
      <c r="AC78">
        <f>INDEX(CustomWeightsIntercept,MATCH(T78&amp;":"&amp;N78,CustomWeightsIndex,0))</f>
        <v>0</v>
      </c>
      <c r="AD78">
        <f>AA78*P78+AB78*Q78+AC78</f>
        <v>0</v>
      </c>
      <c r="AE78">
        <f>INDEX(CoefficientsGPA,MATCH(T78&amp;":"&amp;O78,CoefficientsIndex,0))</f>
        <v>0</v>
      </c>
      <c r="AF78">
        <f>INDEX(CoefficientsACT,MATCH(T78&amp;":"&amp;O78,CoefficientsIndex,0))</f>
        <v>0</v>
      </c>
      <c r="AG78">
        <f>INDEX(CoefficientsIntercept,MATCH(T78&amp;":"&amp;O78,CoefficientsIndex,0))</f>
        <v>0</v>
      </c>
      <c r="AH78">
        <f>AE78*P78+(Q78-Z78)*AF78+AG78</f>
        <v>0</v>
      </c>
      <c r="AI78">
        <f>IF(ISNUMBER(AD78),AD78,AH78)</f>
        <v>0</v>
      </c>
      <c r="AJ78">
        <f>IF(ISNUMBER(AI78),IF(ISNUMBER(AE78),IF(AND(AE78=1,AF78=1,AG78=1),100,ROUND(100*EXP(AI78)/(1+EXP(AI78)),2)),ROUND(100*EXP(AI78)/(1+EXP(AI78)),2)),IF(ISTEXT(O78),IF(LEFT(O78,1)="2",100,"N/A"),"N/A"))</f>
        <v>0</v>
      </c>
      <c r="AK78">
        <f>IF(ISNUMBER(AJ78),IF(AJ78&gt;=99,IF(OR(R78=10,R78=11),MatchLabel,SureThingLabel),IF(AJ78&gt;=95,SecureLabel,IF(AJ78&gt;=80,SafetyLabel,IF(AJ78&gt;=50,MatchLabel,IF(AJ78&gt;=20,ReachLabel,IF(AJ78&gt;=10,LongshotLabel,HailMaryLabel)))))),"Other")</f>
        <v>0</v>
      </c>
      <c r="AL78">
        <f>IF(OR(I78="accepted",I78="cond. accept",I78="summer admit"),IF(J78="yes","CHOICE!","Accepted!"),IF(I78="denied","Denied",IF(K78=1,"Waitlist",IF(L78=1,"Deferred",IF(G78="pending","Pending",IF(OR(G78="initial materials submitted",G78="mid-year submitted",G78="final submitted"),"Submitted",IF(H78="interest","Interest","?")))))))</f>
        <v>0</v>
      </c>
      <c r="AM78">
        <f>IF(OR(AK78=ReachLabel,AK78=LongshotLabel,AK78=HailMaryLabel),1,0)</f>
        <v>0</v>
      </c>
      <c r="AN78">
        <f>IF(OR(AM78=1,AK78=MatchLabel),1,0)</f>
        <v>0</v>
      </c>
      <c r="AO78">
        <f>IF(OR(AK78=MatchLabel,AK78=SafetyLabel,AK78=SecureLabel,AK78=SureThingLabel),1,0)</f>
        <v>0</v>
      </c>
      <c r="AP78">
        <f>IF(OR(T78="H",T78="B"),IF(ISNUMBER(Y78),ROUND(Y78,2),0),IF(ISNUMBER(X78),ROUND(X78,2),0))</f>
        <v>0</v>
      </c>
      <c r="AQ78">
        <f>IF(AP78&gt;=U78,1,0)</f>
        <v>0</v>
      </c>
      <c r="AR78">
        <f>IF(AP78&gt;=V78,1,0)</f>
        <v>0</v>
      </c>
      <c r="AS78">
        <f>IF(AP78&lt;(U78-0.10),1,0)</f>
        <v>0</v>
      </c>
      <c r="AT78">
        <f>1-AJ78/100</f>
        <v>0</v>
      </c>
      <c r="AU78">
        <f>IF(AN78=1,AT78,1)</f>
        <v>0</v>
      </c>
      <c r="AV78">
        <f>IF(AM78=1,AT78,1)</f>
        <v>0</v>
      </c>
      <c r="AW78">
        <f>IF(AND(AQ78=1,ISNUMBER(AT78)),$AT78,1)</f>
        <v>0</v>
      </c>
      <c r="AX78">
        <f>IF(AND(AR78=1,ISNUMBER(AT78)),$AT78,1)</f>
        <v>0</v>
      </c>
      <c r="AY78">
        <f>IF(ISNUMBER(Y78),INDEX(AllCollegeMoney, MATCH(N78,AllCollegeNCES,0)),0)</f>
        <v>0</v>
      </c>
      <c r="AZ78">
        <f>IF(AND(AQ78=1,ISNUMBER(AT78),AY78=1),$AT78,1)</f>
        <v>0</v>
      </c>
      <c r="BA78">
        <f>IF(AND(AR78=1,ISNUMBER(AT78),AY78=1),$AT78,1)</f>
        <v>0</v>
      </c>
      <c r="BB78">
        <f>IF(ISNUMBER(Y78),INDEX(AllCollegeILPub, MATCH(N78,AllCollegeNCES,0)),0)</f>
        <v>0</v>
      </c>
      <c r="BC78">
        <f>IF(AK78=ReachLabel,AP78,0)</f>
        <v>0</v>
      </c>
      <c r="BD78">
        <f>IF(AK78=MatchLabel,AP78,0)</f>
        <v>0</v>
      </c>
      <c r="BE78">
        <f>IF(AK78=SafetyLabel,AP78,0)</f>
        <v>0</v>
      </c>
      <c r="BF78">
        <f>IF(AK78=SecureLabel,AP78,0)</f>
        <v>0</v>
      </c>
      <c r="BG78">
        <f>IF(AK78=SureThingLabel,AP78,0)</f>
        <v>0</v>
      </c>
      <c r="BH78">
        <f>MAX(BC78:BG78)</f>
        <v>0</v>
      </c>
      <c r="BI78">
        <f>MAX(BD78:BG78)</f>
        <v>0</v>
      </c>
      <c r="BJ78">
        <f>MAX(BE78:BG78)</f>
        <v>0</v>
      </c>
      <c r="BK78">
        <f>IF(AND(AK78=ReachLabel,AY78=1),AP78,0)</f>
        <v>0</v>
      </c>
      <c r="BL78">
        <f>IF(AND(AK78=MatchLabel,AY78=1),AP78,0)</f>
        <v>0</v>
      </c>
      <c r="BM78">
        <f>IF(AND(AK78=SafetyLabel,AY78=1),AP78,0)</f>
        <v>0</v>
      </c>
      <c r="BN78">
        <f>IF(AND(AK78=SecureLabel,AY78=1),AP78,0)</f>
        <v>0</v>
      </c>
      <c r="BO78">
        <f>IF(AND(AK78=SureThingLabel,AY78=1),AP78,0)</f>
        <v>0</v>
      </c>
      <c r="BP78">
        <f>MAX(BK78:BO78)</f>
        <v>0</v>
      </c>
      <c r="BQ78">
        <f>MAX(BL78:BO78)</f>
        <v>0</v>
      </c>
      <c r="BR78">
        <f>MAX(BM78:BO78)</f>
        <v>0</v>
      </c>
      <c r="BS78">
        <f>IF(ISNUMBER(Y78),INDEX(AllCollegeChicago, MATCH(N78,AllCollegeNCES,0))*AY78,0)</f>
        <v>0</v>
      </c>
      <c r="BT78">
        <f>IF(ISNUMBER(Y78),INDEX(AllCollegeMoneyCode, MATCH(N78,AllCollegeNCES,0)),"?")</f>
        <v>0</v>
      </c>
      <c r="BU78">
        <f>IF(OR(BT78="---",BT78="--",BT78="+/--",BT78="+/---"),1,0)</f>
        <v>0</v>
      </c>
      <c r="BV78">
        <f>AY78*AO78*AQ78</f>
        <v>0</v>
      </c>
    </row>
    <row r="79" spans="1:74">
      <c r="A79" t="s">
        <v>86</v>
      </c>
      <c r="B79">
        <v>22366458</v>
      </c>
      <c r="C79" t="s">
        <v>284</v>
      </c>
      <c r="D79" t="s">
        <v>285</v>
      </c>
      <c r="E79" t="s">
        <v>428</v>
      </c>
      <c r="F79" t="s">
        <v>453</v>
      </c>
      <c r="G79" t="s">
        <v>430</v>
      </c>
      <c r="H79" t="s">
        <v>431</v>
      </c>
      <c r="I79" t="s">
        <v>432</v>
      </c>
      <c r="J79" t="s">
        <v>432</v>
      </c>
      <c r="K79">
        <v>0</v>
      </c>
      <c r="L79" t="s">
        <v>428</v>
      </c>
      <c r="M79" t="s">
        <v>428</v>
      </c>
      <c r="N79">
        <v>212674</v>
      </c>
      <c r="O79">
        <f>INDEX(AllCollegeBarrons,MATCH(N79,AllCollegeNCES,0))</f>
        <v>0</v>
      </c>
      <c r="P79">
        <f>INDEX(KidGPAs,MATCH(B79,KidIDs,0))</f>
        <v>0</v>
      </c>
      <c r="Q79">
        <f>INDEX(KidACTs,MATCH(B79,KidIDs,0))</f>
        <v>0</v>
      </c>
      <c r="R79">
        <f>INDEX(Strats,MATCH(B79,KidIDs,0))</f>
        <v>0</v>
      </c>
      <c r="S79">
        <f>INDEX(KidRace,MATCH(B79,KidIDs,0))</f>
        <v>0</v>
      </c>
      <c r="T79">
        <f>IF(OR(S79="M",S79="I"),"H",S79)</f>
        <v>0</v>
      </c>
      <c r="U79">
        <f>INDEX(StudentTargets,MATCH(B79,KidIDs,0))</f>
        <v>0</v>
      </c>
      <c r="V79">
        <f>INDEX(ReachStudentTargets,MATCH(B79,KidIDs,0))</f>
        <v>0</v>
      </c>
      <c r="W79">
        <f>IF(OR(M79="Posse"),1,0)</f>
        <v>0</v>
      </c>
      <c r="X79">
        <f>IF(ISNUMBER(INDEX(AllCollegeGR, MATCH(N79,AllCollegeNCES,0))),ROUND(INDEX(AllCollegeGR, MATCH(N79,AllCollegeNCES,0))+W79*IF(INDEX(AllCollegeGR, MATCH(N79,AllCollegeNCES,0))&gt;0.7,(1-INDEX(AllCollegeGR, MATCH(N79,AllCollegeNCES,0)))/2,0.15),2),INDEX(AllCollegeGR, MATCH(N79,AllCollegeNCES,0)))</f>
        <v>0</v>
      </c>
      <c r="Y79">
        <f>IF(ISNUMBER(INDEX(AllCollegeAAHGR, MATCH(N79,AllCollegeNCES,0))),ROUND(INDEX(AllCollegeAAHGR, MATCH(N79,AllCollegeNCES,0))+W79*IF(INDEX(AllCollegeAAHGR, MATCH(N79,AllCollegeNCES,0))&gt;0.7,(1-INDEX(AllCollegeAAHGR, MATCH(N79,AllCollegeNCES,0)))/2,0.15),2),INDEX(AllCollegeAAHGR, MATCH(N79,AllCollegeNCES,0)))</f>
        <v>0</v>
      </c>
      <c r="Z79">
        <f>IF(OR(T79="H",T79="B"),INDEX(AllCollegeACT25, MATCH(N79,AllCollegeNCES,0)),INDEX(AllCollegeACT50, MATCH(N79,AllCollegeNCES,0)))</f>
        <v>0</v>
      </c>
      <c r="AA79">
        <f>INDEX(CustomWeightsGPA,MATCH(T79&amp;":"&amp;N79,CustomWeightsIndex,0))</f>
        <v>0</v>
      </c>
      <c r="AB79">
        <f>INDEX(CustomWeightsACT,MATCH(T79&amp;":"&amp;N79,CustomWeightsIndex,0))</f>
        <v>0</v>
      </c>
      <c r="AC79">
        <f>INDEX(CustomWeightsIntercept,MATCH(T79&amp;":"&amp;N79,CustomWeightsIndex,0))</f>
        <v>0</v>
      </c>
      <c r="AD79">
        <f>AA79*P79+AB79*Q79+AC79</f>
        <v>0</v>
      </c>
      <c r="AE79">
        <f>INDEX(CoefficientsGPA,MATCH(T79&amp;":"&amp;O79,CoefficientsIndex,0))</f>
        <v>0</v>
      </c>
      <c r="AF79">
        <f>INDEX(CoefficientsACT,MATCH(T79&amp;":"&amp;O79,CoefficientsIndex,0))</f>
        <v>0</v>
      </c>
      <c r="AG79">
        <f>INDEX(CoefficientsIntercept,MATCH(T79&amp;":"&amp;O79,CoefficientsIndex,0))</f>
        <v>0</v>
      </c>
      <c r="AH79">
        <f>AE79*P79+(Q79-Z79)*AF79+AG79</f>
        <v>0</v>
      </c>
      <c r="AI79">
        <f>IF(ISNUMBER(AD79),AD79,AH79)</f>
        <v>0</v>
      </c>
      <c r="AJ79">
        <f>IF(ISNUMBER(AI79),IF(ISNUMBER(AE79),IF(AND(AE79=1,AF79=1,AG79=1),100,ROUND(100*EXP(AI79)/(1+EXP(AI79)),2)),ROUND(100*EXP(AI79)/(1+EXP(AI79)),2)),IF(ISTEXT(O79),IF(LEFT(O79,1)="2",100,"N/A"),"N/A"))</f>
        <v>0</v>
      </c>
      <c r="AK79">
        <f>IF(ISNUMBER(AJ79),IF(AJ79&gt;=99,IF(OR(R79=10,R79=11),MatchLabel,SureThingLabel),IF(AJ79&gt;=95,SecureLabel,IF(AJ79&gt;=80,SafetyLabel,IF(AJ79&gt;=50,MatchLabel,IF(AJ79&gt;=20,ReachLabel,IF(AJ79&gt;=10,LongshotLabel,HailMaryLabel)))))),"Other")</f>
        <v>0</v>
      </c>
      <c r="AL79">
        <f>IF(OR(I79="accepted",I79="cond. accept",I79="summer admit"),IF(J79="yes","CHOICE!","Accepted!"),IF(I79="denied","Denied",IF(K79=1,"Waitlist",IF(L79=1,"Deferred",IF(G79="pending","Pending",IF(OR(G79="initial materials submitted",G79="mid-year submitted",G79="final submitted"),"Submitted",IF(H79="interest","Interest","?")))))))</f>
        <v>0</v>
      </c>
      <c r="AM79">
        <f>IF(OR(AK79=ReachLabel,AK79=LongshotLabel,AK79=HailMaryLabel),1,0)</f>
        <v>0</v>
      </c>
      <c r="AN79">
        <f>IF(OR(AM79=1,AK79=MatchLabel),1,0)</f>
        <v>0</v>
      </c>
      <c r="AO79">
        <f>IF(OR(AK79=MatchLabel,AK79=SafetyLabel,AK79=SecureLabel,AK79=SureThingLabel),1,0)</f>
        <v>0</v>
      </c>
      <c r="AP79">
        <f>IF(OR(T79="H",T79="B"),IF(ISNUMBER(Y79),ROUND(Y79,2),0),IF(ISNUMBER(X79),ROUND(X79,2),0))</f>
        <v>0</v>
      </c>
      <c r="AQ79">
        <f>IF(AP79&gt;=U79,1,0)</f>
        <v>0</v>
      </c>
      <c r="AR79">
        <f>IF(AP79&gt;=V79,1,0)</f>
        <v>0</v>
      </c>
      <c r="AS79">
        <f>IF(AP79&lt;(U79-0.10),1,0)</f>
        <v>0</v>
      </c>
      <c r="AT79">
        <f>1-AJ79/100</f>
        <v>0</v>
      </c>
      <c r="AU79">
        <f>IF(AN79=1,AT79,1)</f>
        <v>0</v>
      </c>
      <c r="AV79">
        <f>IF(AM79=1,AT79,1)</f>
        <v>0</v>
      </c>
      <c r="AW79">
        <f>IF(AND(AQ79=1,ISNUMBER(AT79)),$AT79,1)</f>
        <v>0</v>
      </c>
      <c r="AX79">
        <f>IF(AND(AR79=1,ISNUMBER(AT79)),$AT79,1)</f>
        <v>0</v>
      </c>
      <c r="AY79">
        <f>IF(ISNUMBER(Y79),INDEX(AllCollegeMoney, MATCH(N79,AllCollegeNCES,0)),0)</f>
        <v>0</v>
      </c>
      <c r="AZ79">
        <f>IF(AND(AQ79=1,ISNUMBER(AT79),AY79=1),$AT79,1)</f>
        <v>0</v>
      </c>
      <c r="BA79">
        <f>IF(AND(AR79=1,ISNUMBER(AT79),AY79=1),$AT79,1)</f>
        <v>0</v>
      </c>
      <c r="BB79">
        <f>IF(ISNUMBER(Y79),INDEX(AllCollegeILPub, MATCH(N79,AllCollegeNCES,0)),0)</f>
        <v>0</v>
      </c>
      <c r="BC79">
        <f>IF(AK79=ReachLabel,AP79,0)</f>
        <v>0</v>
      </c>
      <c r="BD79">
        <f>IF(AK79=MatchLabel,AP79,0)</f>
        <v>0</v>
      </c>
      <c r="BE79">
        <f>IF(AK79=SafetyLabel,AP79,0)</f>
        <v>0</v>
      </c>
      <c r="BF79">
        <f>IF(AK79=SecureLabel,AP79,0)</f>
        <v>0</v>
      </c>
      <c r="BG79">
        <f>IF(AK79=SureThingLabel,AP79,0)</f>
        <v>0</v>
      </c>
      <c r="BH79">
        <f>MAX(BC79:BG79)</f>
        <v>0</v>
      </c>
      <c r="BI79">
        <f>MAX(BD79:BG79)</f>
        <v>0</v>
      </c>
      <c r="BJ79">
        <f>MAX(BE79:BG79)</f>
        <v>0</v>
      </c>
      <c r="BK79">
        <f>IF(AND(AK79=ReachLabel,AY79=1),AP79,0)</f>
        <v>0</v>
      </c>
      <c r="BL79">
        <f>IF(AND(AK79=MatchLabel,AY79=1),AP79,0)</f>
        <v>0</v>
      </c>
      <c r="BM79">
        <f>IF(AND(AK79=SafetyLabel,AY79=1),AP79,0)</f>
        <v>0</v>
      </c>
      <c r="BN79">
        <f>IF(AND(AK79=SecureLabel,AY79=1),AP79,0)</f>
        <v>0</v>
      </c>
      <c r="BO79">
        <f>IF(AND(AK79=SureThingLabel,AY79=1),AP79,0)</f>
        <v>0</v>
      </c>
      <c r="BP79">
        <f>MAX(BK79:BO79)</f>
        <v>0</v>
      </c>
      <c r="BQ79">
        <f>MAX(BL79:BO79)</f>
        <v>0</v>
      </c>
      <c r="BR79">
        <f>MAX(BM79:BO79)</f>
        <v>0</v>
      </c>
      <c r="BS79">
        <f>IF(ISNUMBER(Y79),INDEX(AllCollegeChicago, MATCH(N79,AllCollegeNCES,0))*AY79,0)</f>
        <v>0</v>
      </c>
      <c r="BT79">
        <f>IF(ISNUMBER(Y79),INDEX(AllCollegeMoneyCode, MATCH(N79,AllCollegeNCES,0)),"?")</f>
        <v>0</v>
      </c>
      <c r="BU79">
        <f>IF(OR(BT79="---",BT79="--",BT79="+/--",BT79="+/---"),1,0)</f>
        <v>0</v>
      </c>
      <c r="BV79">
        <f>AY79*AO79*AQ79</f>
        <v>0</v>
      </c>
    </row>
    <row r="80" spans="1:74">
      <c r="A80" t="s">
        <v>86</v>
      </c>
      <c r="B80">
        <v>22366458</v>
      </c>
      <c r="C80" t="s">
        <v>284</v>
      </c>
      <c r="D80" t="s">
        <v>285</v>
      </c>
      <c r="E80" t="s">
        <v>428</v>
      </c>
      <c r="F80" t="s">
        <v>455</v>
      </c>
      <c r="G80" t="s">
        <v>430</v>
      </c>
      <c r="H80" t="s">
        <v>431</v>
      </c>
      <c r="I80" t="s">
        <v>432</v>
      </c>
      <c r="J80" t="s">
        <v>432</v>
      </c>
      <c r="K80">
        <v>0</v>
      </c>
      <c r="L80" t="s">
        <v>428</v>
      </c>
      <c r="M80" t="s">
        <v>428</v>
      </c>
      <c r="N80">
        <v>240444</v>
      </c>
      <c r="O80">
        <f>INDEX(AllCollegeBarrons,MATCH(N80,AllCollegeNCES,0))</f>
        <v>0</v>
      </c>
      <c r="P80">
        <f>INDEX(KidGPAs,MATCH(B80,KidIDs,0))</f>
        <v>0</v>
      </c>
      <c r="Q80">
        <f>INDEX(KidACTs,MATCH(B80,KidIDs,0))</f>
        <v>0</v>
      </c>
      <c r="R80">
        <f>INDEX(Strats,MATCH(B80,KidIDs,0))</f>
        <v>0</v>
      </c>
      <c r="S80">
        <f>INDEX(KidRace,MATCH(B80,KidIDs,0))</f>
        <v>0</v>
      </c>
      <c r="T80">
        <f>IF(OR(S80="M",S80="I"),"H",S80)</f>
        <v>0</v>
      </c>
      <c r="U80">
        <f>INDEX(StudentTargets,MATCH(B80,KidIDs,0))</f>
        <v>0</v>
      </c>
      <c r="V80">
        <f>INDEX(ReachStudentTargets,MATCH(B80,KidIDs,0))</f>
        <v>0</v>
      </c>
      <c r="W80">
        <f>IF(OR(M80="Posse"),1,0)</f>
        <v>0</v>
      </c>
      <c r="X80">
        <f>IF(ISNUMBER(INDEX(AllCollegeGR, MATCH(N80,AllCollegeNCES,0))),ROUND(INDEX(AllCollegeGR, MATCH(N80,AllCollegeNCES,0))+W80*IF(INDEX(AllCollegeGR, MATCH(N80,AllCollegeNCES,0))&gt;0.7,(1-INDEX(AllCollegeGR, MATCH(N80,AllCollegeNCES,0)))/2,0.15),2),INDEX(AllCollegeGR, MATCH(N80,AllCollegeNCES,0)))</f>
        <v>0</v>
      </c>
      <c r="Y80">
        <f>IF(ISNUMBER(INDEX(AllCollegeAAHGR, MATCH(N80,AllCollegeNCES,0))),ROUND(INDEX(AllCollegeAAHGR, MATCH(N80,AllCollegeNCES,0))+W80*IF(INDEX(AllCollegeAAHGR, MATCH(N80,AllCollegeNCES,0))&gt;0.7,(1-INDEX(AllCollegeAAHGR, MATCH(N80,AllCollegeNCES,0)))/2,0.15),2),INDEX(AllCollegeAAHGR, MATCH(N80,AllCollegeNCES,0)))</f>
        <v>0</v>
      </c>
      <c r="Z80">
        <f>IF(OR(T80="H",T80="B"),INDEX(AllCollegeACT25, MATCH(N80,AllCollegeNCES,0)),INDEX(AllCollegeACT50, MATCH(N80,AllCollegeNCES,0)))</f>
        <v>0</v>
      </c>
      <c r="AA80">
        <f>INDEX(CustomWeightsGPA,MATCH(T80&amp;":"&amp;N80,CustomWeightsIndex,0))</f>
        <v>0</v>
      </c>
      <c r="AB80">
        <f>INDEX(CustomWeightsACT,MATCH(T80&amp;":"&amp;N80,CustomWeightsIndex,0))</f>
        <v>0</v>
      </c>
      <c r="AC80">
        <f>INDEX(CustomWeightsIntercept,MATCH(T80&amp;":"&amp;N80,CustomWeightsIndex,0))</f>
        <v>0</v>
      </c>
      <c r="AD80">
        <f>AA80*P80+AB80*Q80+AC80</f>
        <v>0</v>
      </c>
      <c r="AE80">
        <f>INDEX(CoefficientsGPA,MATCH(T80&amp;":"&amp;O80,CoefficientsIndex,0))</f>
        <v>0</v>
      </c>
      <c r="AF80">
        <f>INDEX(CoefficientsACT,MATCH(T80&amp;":"&amp;O80,CoefficientsIndex,0))</f>
        <v>0</v>
      </c>
      <c r="AG80">
        <f>INDEX(CoefficientsIntercept,MATCH(T80&amp;":"&amp;O80,CoefficientsIndex,0))</f>
        <v>0</v>
      </c>
      <c r="AH80">
        <f>AE80*P80+(Q80-Z80)*AF80+AG80</f>
        <v>0</v>
      </c>
      <c r="AI80">
        <f>IF(ISNUMBER(AD80),AD80,AH80)</f>
        <v>0</v>
      </c>
      <c r="AJ80">
        <f>IF(ISNUMBER(AI80),IF(ISNUMBER(AE80),IF(AND(AE80=1,AF80=1,AG80=1),100,ROUND(100*EXP(AI80)/(1+EXP(AI80)),2)),ROUND(100*EXP(AI80)/(1+EXP(AI80)),2)),IF(ISTEXT(O80),IF(LEFT(O80,1)="2",100,"N/A"),"N/A"))</f>
        <v>0</v>
      </c>
      <c r="AK80">
        <f>IF(ISNUMBER(AJ80),IF(AJ80&gt;=99,IF(OR(R80=10,R80=11),MatchLabel,SureThingLabel),IF(AJ80&gt;=95,SecureLabel,IF(AJ80&gt;=80,SafetyLabel,IF(AJ80&gt;=50,MatchLabel,IF(AJ80&gt;=20,ReachLabel,IF(AJ80&gt;=10,LongshotLabel,HailMaryLabel)))))),"Other")</f>
        <v>0</v>
      </c>
      <c r="AL80">
        <f>IF(OR(I80="accepted",I80="cond. accept",I80="summer admit"),IF(J80="yes","CHOICE!","Accepted!"),IF(I80="denied","Denied",IF(K80=1,"Waitlist",IF(L80=1,"Deferred",IF(G80="pending","Pending",IF(OR(G80="initial materials submitted",G80="mid-year submitted",G80="final submitted"),"Submitted",IF(H80="interest","Interest","?")))))))</f>
        <v>0</v>
      </c>
      <c r="AM80">
        <f>IF(OR(AK80=ReachLabel,AK80=LongshotLabel,AK80=HailMaryLabel),1,0)</f>
        <v>0</v>
      </c>
      <c r="AN80">
        <f>IF(OR(AM80=1,AK80=MatchLabel),1,0)</f>
        <v>0</v>
      </c>
      <c r="AO80">
        <f>IF(OR(AK80=MatchLabel,AK80=SafetyLabel,AK80=SecureLabel,AK80=SureThingLabel),1,0)</f>
        <v>0</v>
      </c>
      <c r="AP80">
        <f>IF(OR(T80="H",T80="B"),IF(ISNUMBER(Y80),ROUND(Y80,2),0),IF(ISNUMBER(X80),ROUND(X80,2),0))</f>
        <v>0</v>
      </c>
      <c r="AQ80">
        <f>IF(AP80&gt;=U80,1,0)</f>
        <v>0</v>
      </c>
      <c r="AR80">
        <f>IF(AP80&gt;=V80,1,0)</f>
        <v>0</v>
      </c>
      <c r="AS80">
        <f>IF(AP80&lt;(U80-0.10),1,0)</f>
        <v>0</v>
      </c>
      <c r="AT80">
        <f>1-AJ80/100</f>
        <v>0</v>
      </c>
      <c r="AU80">
        <f>IF(AN80=1,AT80,1)</f>
        <v>0</v>
      </c>
      <c r="AV80">
        <f>IF(AM80=1,AT80,1)</f>
        <v>0</v>
      </c>
      <c r="AW80">
        <f>IF(AND(AQ80=1,ISNUMBER(AT80)),$AT80,1)</f>
        <v>0</v>
      </c>
      <c r="AX80">
        <f>IF(AND(AR80=1,ISNUMBER(AT80)),$AT80,1)</f>
        <v>0</v>
      </c>
      <c r="AY80">
        <f>IF(ISNUMBER(Y80),INDEX(AllCollegeMoney, MATCH(N80,AllCollegeNCES,0)),0)</f>
        <v>0</v>
      </c>
      <c r="AZ80">
        <f>IF(AND(AQ80=1,ISNUMBER(AT80),AY80=1),$AT80,1)</f>
        <v>0</v>
      </c>
      <c r="BA80">
        <f>IF(AND(AR80=1,ISNUMBER(AT80),AY80=1),$AT80,1)</f>
        <v>0</v>
      </c>
      <c r="BB80">
        <f>IF(ISNUMBER(Y80),INDEX(AllCollegeILPub, MATCH(N80,AllCollegeNCES,0)),0)</f>
        <v>0</v>
      </c>
      <c r="BC80">
        <f>IF(AK80=ReachLabel,AP80,0)</f>
        <v>0</v>
      </c>
      <c r="BD80">
        <f>IF(AK80=MatchLabel,AP80,0)</f>
        <v>0</v>
      </c>
      <c r="BE80">
        <f>IF(AK80=SafetyLabel,AP80,0)</f>
        <v>0</v>
      </c>
      <c r="BF80">
        <f>IF(AK80=SecureLabel,AP80,0)</f>
        <v>0</v>
      </c>
      <c r="BG80">
        <f>IF(AK80=SureThingLabel,AP80,0)</f>
        <v>0</v>
      </c>
      <c r="BH80">
        <f>MAX(BC80:BG80)</f>
        <v>0</v>
      </c>
      <c r="BI80">
        <f>MAX(BD80:BG80)</f>
        <v>0</v>
      </c>
      <c r="BJ80">
        <f>MAX(BE80:BG80)</f>
        <v>0</v>
      </c>
      <c r="BK80">
        <f>IF(AND(AK80=ReachLabel,AY80=1),AP80,0)</f>
        <v>0</v>
      </c>
      <c r="BL80">
        <f>IF(AND(AK80=MatchLabel,AY80=1),AP80,0)</f>
        <v>0</v>
      </c>
      <c r="BM80">
        <f>IF(AND(AK80=SafetyLabel,AY80=1),AP80,0)</f>
        <v>0</v>
      </c>
      <c r="BN80">
        <f>IF(AND(AK80=SecureLabel,AY80=1),AP80,0)</f>
        <v>0</v>
      </c>
      <c r="BO80">
        <f>IF(AND(AK80=SureThingLabel,AY80=1),AP80,0)</f>
        <v>0</v>
      </c>
      <c r="BP80">
        <f>MAX(BK80:BO80)</f>
        <v>0</v>
      </c>
      <c r="BQ80">
        <f>MAX(BL80:BO80)</f>
        <v>0</v>
      </c>
      <c r="BR80">
        <f>MAX(BM80:BO80)</f>
        <v>0</v>
      </c>
      <c r="BS80">
        <f>IF(ISNUMBER(Y80),INDEX(AllCollegeChicago, MATCH(N80,AllCollegeNCES,0))*AY80,0)</f>
        <v>0</v>
      </c>
      <c r="BT80">
        <f>IF(ISNUMBER(Y80),INDEX(AllCollegeMoneyCode, MATCH(N80,AllCollegeNCES,0)),"?")</f>
        <v>0</v>
      </c>
      <c r="BU80">
        <f>IF(OR(BT80="---",BT80="--",BT80="+/--",BT80="+/---"),1,0)</f>
        <v>0</v>
      </c>
      <c r="BV80">
        <f>AY80*AO80*AQ80</f>
        <v>0</v>
      </c>
    </row>
    <row r="81" spans="1:74">
      <c r="A81" t="s">
        <v>86</v>
      </c>
      <c r="B81">
        <v>22366458</v>
      </c>
      <c r="C81" t="s">
        <v>284</v>
      </c>
      <c r="D81" t="s">
        <v>285</v>
      </c>
      <c r="E81" t="s">
        <v>428</v>
      </c>
      <c r="F81" t="s">
        <v>469</v>
      </c>
      <c r="G81" t="s">
        <v>430</v>
      </c>
      <c r="H81" t="s">
        <v>431</v>
      </c>
      <c r="I81" t="s">
        <v>432</v>
      </c>
      <c r="J81" t="s">
        <v>432</v>
      </c>
      <c r="K81">
        <v>0</v>
      </c>
      <c r="L81" t="s">
        <v>428</v>
      </c>
      <c r="M81" t="s">
        <v>428</v>
      </c>
      <c r="N81">
        <v>174844</v>
      </c>
      <c r="O81">
        <f>INDEX(AllCollegeBarrons,MATCH(N81,AllCollegeNCES,0))</f>
        <v>0</v>
      </c>
      <c r="P81">
        <f>INDEX(KidGPAs,MATCH(B81,KidIDs,0))</f>
        <v>0</v>
      </c>
      <c r="Q81">
        <f>INDEX(KidACTs,MATCH(B81,KidIDs,0))</f>
        <v>0</v>
      </c>
      <c r="R81">
        <f>INDEX(Strats,MATCH(B81,KidIDs,0))</f>
        <v>0</v>
      </c>
      <c r="S81">
        <f>INDEX(KidRace,MATCH(B81,KidIDs,0))</f>
        <v>0</v>
      </c>
      <c r="T81">
        <f>IF(OR(S81="M",S81="I"),"H",S81)</f>
        <v>0</v>
      </c>
      <c r="U81">
        <f>INDEX(StudentTargets,MATCH(B81,KidIDs,0))</f>
        <v>0</v>
      </c>
      <c r="V81">
        <f>INDEX(ReachStudentTargets,MATCH(B81,KidIDs,0))</f>
        <v>0</v>
      </c>
      <c r="W81">
        <f>IF(OR(M81="Posse"),1,0)</f>
        <v>0</v>
      </c>
      <c r="X81">
        <f>IF(ISNUMBER(INDEX(AllCollegeGR, MATCH(N81,AllCollegeNCES,0))),ROUND(INDEX(AllCollegeGR, MATCH(N81,AllCollegeNCES,0))+W81*IF(INDEX(AllCollegeGR, MATCH(N81,AllCollegeNCES,0))&gt;0.7,(1-INDEX(AllCollegeGR, MATCH(N81,AllCollegeNCES,0)))/2,0.15),2),INDEX(AllCollegeGR, MATCH(N81,AllCollegeNCES,0)))</f>
        <v>0</v>
      </c>
      <c r="Y81">
        <f>IF(ISNUMBER(INDEX(AllCollegeAAHGR, MATCH(N81,AllCollegeNCES,0))),ROUND(INDEX(AllCollegeAAHGR, MATCH(N81,AllCollegeNCES,0))+W81*IF(INDEX(AllCollegeAAHGR, MATCH(N81,AllCollegeNCES,0))&gt;0.7,(1-INDEX(AllCollegeAAHGR, MATCH(N81,AllCollegeNCES,0)))/2,0.15),2),INDEX(AllCollegeAAHGR, MATCH(N81,AllCollegeNCES,0)))</f>
        <v>0</v>
      </c>
      <c r="Z81">
        <f>IF(OR(T81="H",T81="B"),INDEX(AllCollegeACT25, MATCH(N81,AllCollegeNCES,0)),INDEX(AllCollegeACT50, MATCH(N81,AllCollegeNCES,0)))</f>
        <v>0</v>
      </c>
      <c r="AA81">
        <f>INDEX(CustomWeightsGPA,MATCH(T81&amp;":"&amp;N81,CustomWeightsIndex,0))</f>
        <v>0</v>
      </c>
      <c r="AB81">
        <f>INDEX(CustomWeightsACT,MATCH(T81&amp;":"&amp;N81,CustomWeightsIndex,0))</f>
        <v>0</v>
      </c>
      <c r="AC81">
        <f>INDEX(CustomWeightsIntercept,MATCH(T81&amp;":"&amp;N81,CustomWeightsIndex,0))</f>
        <v>0</v>
      </c>
      <c r="AD81">
        <f>AA81*P81+AB81*Q81+AC81</f>
        <v>0</v>
      </c>
      <c r="AE81">
        <f>INDEX(CoefficientsGPA,MATCH(T81&amp;":"&amp;O81,CoefficientsIndex,0))</f>
        <v>0</v>
      </c>
      <c r="AF81">
        <f>INDEX(CoefficientsACT,MATCH(T81&amp;":"&amp;O81,CoefficientsIndex,0))</f>
        <v>0</v>
      </c>
      <c r="AG81">
        <f>INDEX(CoefficientsIntercept,MATCH(T81&amp;":"&amp;O81,CoefficientsIndex,0))</f>
        <v>0</v>
      </c>
      <c r="AH81">
        <f>AE81*P81+(Q81-Z81)*AF81+AG81</f>
        <v>0</v>
      </c>
      <c r="AI81">
        <f>IF(ISNUMBER(AD81),AD81,AH81)</f>
        <v>0</v>
      </c>
      <c r="AJ81">
        <f>IF(ISNUMBER(AI81),IF(ISNUMBER(AE81),IF(AND(AE81=1,AF81=1,AG81=1),100,ROUND(100*EXP(AI81)/(1+EXP(AI81)),2)),ROUND(100*EXP(AI81)/(1+EXP(AI81)),2)),IF(ISTEXT(O81),IF(LEFT(O81,1)="2",100,"N/A"),"N/A"))</f>
        <v>0</v>
      </c>
      <c r="AK81">
        <f>IF(ISNUMBER(AJ81),IF(AJ81&gt;=99,IF(OR(R81=10,R81=11),MatchLabel,SureThingLabel),IF(AJ81&gt;=95,SecureLabel,IF(AJ81&gt;=80,SafetyLabel,IF(AJ81&gt;=50,MatchLabel,IF(AJ81&gt;=20,ReachLabel,IF(AJ81&gt;=10,LongshotLabel,HailMaryLabel)))))),"Other")</f>
        <v>0</v>
      </c>
      <c r="AL81">
        <f>IF(OR(I81="accepted",I81="cond. accept",I81="summer admit"),IF(J81="yes","CHOICE!","Accepted!"),IF(I81="denied","Denied",IF(K81=1,"Waitlist",IF(L81=1,"Deferred",IF(G81="pending","Pending",IF(OR(G81="initial materials submitted",G81="mid-year submitted",G81="final submitted"),"Submitted",IF(H81="interest","Interest","?")))))))</f>
        <v>0</v>
      </c>
      <c r="AM81">
        <f>IF(OR(AK81=ReachLabel,AK81=LongshotLabel,AK81=HailMaryLabel),1,0)</f>
        <v>0</v>
      </c>
      <c r="AN81">
        <f>IF(OR(AM81=1,AK81=MatchLabel),1,0)</f>
        <v>0</v>
      </c>
      <c r="AO81">
        <f>IF(OR(AK81=MatchLabel,AK81=SafetyLabel,AK81=SecureLabel,AK81=SureThingLabel),1,0)</f>
        <v>0</v>
      </c>
      <c r="AP81">
        <f>IF(OR(T81="H",T81="B"),IF(ISNUMBER(Y81),ROUND(Y81,2),0),IF(ISNUMBER(X81),ROUND(X81,2),0))</f>
        <v>0</v>
      </c>
      <c r="AQ81">
        <f>IF(AP81&gt;=U81,1,0)</f>
        <v>0</v>
      </c>
      <c r="AR81">
        <f>IF(AP81&gt;=V81,1,0)</f>
        <v>0</v>
      </c>
      <c r="AS81">
        <f>IF(AP81&lt;(U81-0.10),1,0)</f>
        <v>0</v>
      </c>
      <c r="AT81">
        <f>1-AJ81/100</f>
        <v>0</v>
      </c>
      <c r="AU81">
        <f>IF(AN81=1,AT81,1)</f>
        <v>0</v>
      </c>
      <c r="AV81">
        <f>IF(AM81=1,AT81,1)</f>
        <v>0</v>
      </c>
      <c r="AW81">
        <f>IF(AND(AQ81=1,ISNUMBER(AT81)),$AT81,1)</f>
        <v>0</v>
      </c>
      <c r="AX81">
        <f>IF(AND(AR81=1,ISNUMBER(AT81)),$AT81,1)</f>
        <v>0</v>
      </c>
      <c r="AY81">
        <f>IF(ISNUMBER(Y81),INDEX(AllCollegeMoney, MATCH(N81,AllCollegeNCES,0)),0)</f>
        <v>0</v>
      </c>
      <c r="AZ81">
        <f>IF(AND(AQ81=1,ISNUMBER(AT81),AY81=1),$AT81,1)</f>
        <v>0</v>
      </c>
      <c r="BA81">
        <f>IF(AND(AR81=1,ISNUMBER(AT81),AY81=1),$AT81,1)</f>
        <v>0</v>
      </c>
      <c r="BB81">
        <f>IF(ISNUMBER(Y81),INDEX(AllCollegeILPub, MATCH(N81,AllCollegeNCES,0)),0)</f>
        <v>0</v>
      </c>
      <c r="BC81">
        <f>IF(AK81=ReachLabel,AP81,0)</f>
        <v>0</v>
      </c>
      <c r="BD81">
        <f>IF(AK81=MatchLabel,AP81,0)</f>
        <v>0</v>
      </c>
      <c r="BE81">
        <f>IF(AK81=SafetyLabel,AP81,0)</f>
        <v>0</v>
      </c>
      <c r="BF81">
        <f>IF(AK81=SecureLabel,AP81,0)</f>
        <v>0</v>
      </c>
      <c r="BG81">
        <f>IF(AK81=SureThingLabel,AP81,0)</f>
        <v>0</v>
      </c>
      <c r="BH81">
        <f>MAX(BC81:BG81)</f>
        <v>0</v>
      </c>
      <c r="BI81">
        <f>MAX(BD81:BG81)</f>
        <v>0</v>
      </c>
      <c r="BJ81">
        <f>MAX(BE81:BG81)</f>
        <v>0</v>
      </c>
      <c r="BK81">
        <f>IF(AND(AK81=ReachLabel,AY81=1),AP81,0)</f>
        <v>0</v>
      </c>
      <c r="BL81">
        <f>IF(AND(AK81=MatchLabel,AY81=1),AP81,0)</f>
        <v>0</v>
      </c>
      <c r="BM81">
        <f>IF(AND(AK81=SafetyLabel,AY81=1),AP81,0)</f>
        <v>0</v>
      </c>
      <c r="BN81">
        <f>IF(AND(AK81=SecureLabel,AY81=1),AP81,0)</f>
        <v>0</v>
      </c>
      <c r="BO81">
        <f>IF(AND(AK81=SureThingLabel,AY81=1),AP81,0)</f>
        <v>0</v>
      </c>
      <c r="BP81">
        <f>MAX(BK81:BO81)</f>
        <v>0</v>
      </c>
      <c r="BQ81">
        <f>MAX(BL81:BO81)</f>
        <v>0</v>
      </c>
      <c r="BR81">
        <f>MAX(BM81:BO81)</f>
        <v>0</v>
      </c>
      <c r="BS81">
        <f>IF(ISNUMBER(Y81),INDEX(AllCollegeChicago, MATCH(N81,AllCollegeNCES,0))*AY81,0)</f>
        <v>0</v>
      </c>
      <c r="BT81">
        <f>IF(ISNUMBER(Y81),INDEX(AllCollegeMoneyCode, MATCH(N81,AllCollegeNCES,0)),"?")</f>
        <v>0</v>
      </c>
      <c r="BU81">
        <f>IF(OR(BT81="---",BT81="--",BT81="+/--",BT81="+/---"),1,0)</f>
        <v>0</v>
      </c>
      <c r="BV81">
        <f>AY81*AO81*AQ81</f>
        <v>0</v>
      </c>
    </row>
    <row r="82" spans="1:74">
      <c r="A82" t="s">
        <v>86</v>
      </c>
      <c r="B82">
        <v>22366458</v>
      </c>
      <c r="C82" t="s">
        <v>284</v>
      </c>
      <c r="D82" t="s">
        <v>285</v>
      </c>
      <c r="E82" t="s">
        <v>428</v>
      </c>
      <c r="F82" t="s">
        <v>457</v>
      </c>
      <c r="G82" t="s">
        <v>430</v>
      </c>
      <c r="H82" t="s">
        <v>431</v>
      </c>
      <c r="I82" t="s">
        <v>432</v>
      </c>
      <c r="J82" t="s">
        <v>432</v>
      </c>
      <c r="K82">
        <v>0</v>
      </c>
      <c r="L82" t="s">
        <v>428</v>
      </c>
      <c r="M82" t="s">
        <v>428</v>
      </c>
      <c r="N82">
        <v>145637</v>
      </c>
      <c r="O82">
        <f>INDEX(AllCollegeBarrons,MATCH(N82,AllCollegeNCES,0))</f>
        <v>0</v>
      </c>
      <c r="P82">
        <f>INDEX(KidGPAs,MATCH(B82,KidIDs,0))</f>
        <v>0</v>
      </c>
      <c r="Q82">
        <f>INDEX(KidACTs,MATCH(B82,KidIDs,0))</f>
        <v>0</v>
      </c>
      <c r="R82">
        <f>INDEX(Strats,MATCH(B82,KidIDs,0))</f>
        <v>0</v>
      </c>
      <c r="S82">
        <f>INDEX(KidRace,MATCH(B82,KidIDs,0))</f>
        <v>0</v>
      </c>
      <c r="T82">
        <f>IF(OR(S82="M",S82="I"),"H",S82)</f>
        <v>0</v>
      </c>
      <c r="U82">
        <f>INDEX(StudentTargets,MATCH(B82,KidIDs,0))</f>
        <v>0</v>
      </c>
      <c r="V82">
        <f>INDEX(ReachStudentTargets,MATCH(B82,KidIDs,0))</f>
        <v>0</v>
      </c>
      <c r="W82">
        <f>IF(OR(M82="Posse"),1,0)</f>
        <v>0</v>
      </c>
      <c r="X82">
        <f>IF(ISNUMBER(INDEX(AllCollegeGR, MATCH(N82,AllCollegeNCES,0))),ROUND(INDEX(AllCollegeGR, MATCH(N82,AllCollegeNCES,0))+W82*IF(INDEX(AllCollegeGR, MATCH(N82,AllCollegeNCES,0))&gt;0.7,(1-INDEX(AllCollegeGR, MATCH(N82,AllCollegeNCES,0)))/2,0.15),2),INDEX(AllCollegeGR, MATCH(N82,AllCollegeNCES,0)))</f>
        <v>0</v>
      </c>
      <c r="Y82">
        <f>IF(ISNUMBER(INDEX(AllCollegeAAHGR, MATCH(N82,AllCollegeNCES,0))),ROUND(INDEX(AllCollegeAAHGR, MATCH(N82,AllCollegeNCES,0))+W82*IF(INDEX(AllCollegeAAHGR, MATCH(N82,AllCollegeNCES,0))&gt;0.7,(1-INDEX(AllCollegeAAHGR, MATCH(N82,AllCollegeNCES,0)))/2,0.15),2),INDEX(AllCollegeAAHGR, MATCH(N82,AllCollegeNCES,0)))</f>
        <v>0</v>
      </c>
      <c r="Z82">
        <f>IF(OR(T82="H",T82="B"),INDEX(AllCollegeACT25, MATCH(N82,AllCollegeNCES,0)),INDEX(AllCollegeACT50, MATCH(N82,AllCollegeNCES,0)))</f>
        <v>0</v>
      </c>
      <c r="AA82">
        <f>INDEX(CustomWeightsGPA,MATCH(T82&amp;":"&amp;N82,CustomWeightsIndex,0))</f>
        <v>0</v>
      </c>
      <c r="AB82">
        <f>INDEX(CustomWeightsACT,MATCH(T82&amp;":"&amp;N82,CustomWeightsIndex,0))</f>
        <v>0</v>
      </c>
      <c r="AC82">
        <f>INDEX(CustomWeightsIntercept,MATCH(T82&amp;":"&amp;N82,CustomWeightsIndex,0))</f>
        <v>0</v>
      </c>
      <c r="AD82">
        <f>AA82*P82+AB82*Q82+AC82</f>
        <v>0</v>
      </c>
      <c r="AE82">
        <f>INDEX(CoefficientsGPA,MATCH(T82&amp;":"&amp;O82,CoefficientsIndex,0))</f>
        <v>0</v>
      </c>
      <c r="AF82">
        <f>INDEX(CoefficientsACT,MATCH(T82&amp;":"&amp;O82,CoefficientsIndex,0))</f>
        <v>0</v>
      </c>
      <c r="AG82">
        <f>INDEX(CoefficientsIntercept,MATCH(T82&amp;":"&amp;O82,CoefficientsIndex,0))</f>
        <v>0</v>
      </c>
      <c r="AH82">
        <f>AE82*P82+(Q82-Z82)*AF82+AG82</f>
        <v>0</v>
      </c>
      <c r="AI82">
        <f>IF(ISNUMBER(AD82),AD82,AH82)</f>
        <v>0</v>
      </c>
      <c r="AJ82">
        <f>IF(ISNUMBER(AI82),IF(ISNUMBER(AE82),IF(AND(AE82=1,AF82=1,AG82=1),100,ROUND(100*EXP(AI82)/(1+EXP(AI82)),2)),ROUND(100*EXP(AI82)/(1+EXP(AI82)),2)),IF(ISTEXT(O82),IF(LEFT(O82,1)="2",100,"N/A"),"N/A"))</f>
        <v>0</v>
      </c>
      <c r="AK82">
        <f>IF(ISNUMBER(AJ82),IF(AJ82&gt;=99,IF(OR(R82=10,R82=11),MatchLabel,SureThingLabel),IF(AJ82&gt;=95,SecureLabel,IF(AJ82&gt;=80,SafetyLabel,IF(AJ82&gt;=50,MatchLabel,IF(AJ82&gt;=20,ReachLabel,IF(AJ82&gt;=10,LongshotLabel,HailMaryLabel)))))),"Other")</f>
        <v>0</v>
      </c>
      <c r="AL82">
        <f>IF(OR(I82="accepted",I82="cond. accept",I82="summer admit"),IF(J82="yes","CHOICE!","Accepted!"),IF(I82="denied","Denied",IF(K82=1,"Waitlist",IF(L82=1,"Deferred",IF(G82="pending","Pending",IF(OR(G82="initial materials submitted",G82="mid-year submitted",G82="final submitted"),"Submitted",IF(H82="interest","Interest","?")))))))</f>
        <v>0</v>
      </c>
      <c r="AM82">
        <f>IF(OR(AK82=ReachLabel,AK82=LongshotLabel,AK82=HailMaryLabel),1,0)</f>
        <v>0</v>
      </c>
      <c r="AN82">
        <f>IF(OR(AM82=1,AK82=MatchLabel),1,0)</f>
        <v>0</v>
      </c>
      <c r="AO82">
        <f>IF(OR(AK82=MatchLabel,AK82=SafetyLabel,AK82=SecureLabel,AK82=SureThingLabel),1,0)</f>
        <v>0</v>
      </c>
      <c r="AP82">
        <f>IF(OR(T82="H",T82="B"),IF(ISNUMBER(Y82),ROUND(Y82,2),0),IF(ISNUMBER(X82),ROUND(X82,2),0))</f>
        <v>0</v>
      </c>
      <c r="AQ82">
        <f>IF(AP82&gt;=U82,1,0)</f>
        <v>0</v>
      </c>
      <c r="AR82">
        <f>IF(AP82&gt;=V82,1,0)</f>
        <v>0</v>
      </c>
      <c r="AS82">
        <f>IF(AP82&lt;(U82-0.10),1,0)</f>
        <v>0</v>
      </c>
      <c r="AT82">
        <f>1-AJ82/100</f>
        <v>0</v>
      </c>
      <c r="AU82">
        <f>IF(AN82=1,AT82,1)</f>
        <v>0</v>
      </c>
      <c r="AV82">
        <f>IF(AM82=1,AT82,1)</f>
        <v>0</v>
      </c>
      <c r="AW82">
        <f>IF(AND(AQ82=1,ISNUMBER(AT82)),$AT82,1)</f>
        <v>0</v>
      </c>
      <c r="AX82">
        <f>IF(AND(AR82=1,ISNUMBER(AT82)),$AT82,1)</f>
        <v>0</v>
      </c>
      <c r="AY82">
        <f>IF(ISNUMBER(Y82),INDEX(AllCollegeMoney, MATCH(N82,AllCollegeNCES,0)),0)</f>
        <v>0</v>
      </c>
      <c r="AZ82">
        <f>IF(AND(AQ82=1,ISNUMBER(AT82),AY82=1),$AT82,1)</f>
        <v>0</v>
      </c>
      <c r="BA82">
        <f>IF(AND(AR82=1,ISNUMBER(AT82),AY82=1),$AT82,1)</f>
        <v>0</v>
      </c>
      <c r="BB82">
        <f>IF(ISNUMBER(Y82),INDEX(AllCollegeILPub, MATCH(N82,AllCollegeNCES,0)),0)</f>
        <v>0</v>
      </c>
      <c r="BC82">
        <f>IF(AK82=ReachLabel,AP82,0)</f>
        <v>0</v>
      </c>
      <c r="BD82">
        <f>IF(AK82=MatchLabel,AP82,0)</f>
        <v>0</v>
      </c>
      <c r="BE82">
        <f>IF(AK82=SafetyLabel,AP82,0)</f>
        <v>0</v>
      </c>
      <c r="BF82">
        <f>IF(AK82=SecureLabel,AP82,0)</f>
        <v>0</v>
      </c>
      <c r="BG82">
        <f>IF(AK82=SureThingLabel,AP82,0)</f>
        <v>0</v>
      </c>
      <c r="BH82">
        <f>MAX(BC82:BG82)</f>
        <v>0</v>
      </c>
      <c r="BI82">
        <f>MAX(BD82:BG82)</f>
        <v>0</v>
      </c>
      <c r="BJ82">
        <f>MAX(BE82:BG82)</f>
        <v>0</v>
      </c>
      <c r="BK82">
        <f>IF(AND(AK82=ReachLabel,AY82=1),AP82,0)</f>
        <v>0</v>
      </c>
      <c r="BL82">
        <f>IF(AND(AK82=MatchLabel,AY82=1),AP82,0)</f>
        <v>0</v>
      </c>
      <c r="BM82">
        <f>IF(AND(AK82=SafetyLabel,AY82=1),AP82,0)</f>
        <v>0</v>
      </c>
      <c r="BN82">
        <f>IF(AND(AK82=SecureLabel,AY82=1),AP82,0)</f>
        <v>0</v>
      </c>
      <c r="BO82">
        <f>IF(AND(AK82=SureThingLabel,AY82=1),AP82,0)</f>
        <v>0</v>
      </c>
      <c r="BP82">
        <f>MAX(BK82:BO82)</f>
        <v>0</v>
      </c>
      <c r="BQ82">
        <f>MAX(BL82:BO82)</f>
        <v>0</v>
      </c>
      <c r="BR82">
        <f>MAX(BM82:BO82)</f>
        <v>0</v>
      </c>
      <c r="BS82">
        <f>IF(ISNUMBER(Y82),INDEX(AllCollegeChicago, MATCH(N82,AllCollegeNCES,0))*AY82,0)</f>
        <v>0</v>
      </c>
      <c r="BT82">
        <f>IF(ISNUMBER(Y82),INDEX(AllCollegeMoneyCode, MATCH(N82,AllCollegeNCES,0)),"?")</f>
        <v>0</v>
      </c>
      <c r="BU82">
        <f>IF(OR(BT82="---",BT82="--",BT82="+/--",BT82="+/---"),1,0)</f>
        <v>0</v>
      </c>
      <c r="BV82">
        <f>AY82*AO82*AQ82</f>
        <v>0</v>
      </c>
    </row>
    <row r="83" spans="1:74">
      <c r="A83" t="s">
        <v>86</v>
      </c>
      <c r="B83">
        <v>22366458</v>
      </c>
      <c r="C83" t="s">
        <v>284</v>
      </c>
      <c r="D83" t="s">
        <v>285</v>
      </c>
      <c r="E83" t="s">
        <v>428</v>
      </c>
      <c r="F83" t="s">
        <v>458</v>
      </c>
      <c r="G83" t="s">
        <v>430</v>
      </c>
      <c r="H83" t="s">
        <v>431</v>
      </c>
      <c r="I83" t="s">
        <v>432</v>
      </c>
      <c r="J83" t="s">
        <v>432</v>
      </c>
      <c r="K83">
        <v>0</v>
      </c>
      <c r="L83" t="s">
        <v>428</v>
      </c>
      <c r="M83" t="s">
        <v>428</v>
      </c>
      <c r="N83">
        <v>202523</v>
      </c>
      <c r="O83">
        <f>INDEX(AllCollegeBarrons,MATCH(N83,AllCollegeNCES,0))</f>
        <v>0</v>
      </c>
      <c r="P83">
        <f>INDEX(KidGPAs,MATCH(B83,KidIDs,0))</f>
        <v>0</v>
      </c>
      <c r="Q83">
        <f>INDEX(KidACTs,MATCH(B83,KidIDs,0))</f>
        <v>0</v>
      </c>
      <c r="R83">
        <f>INDEX(Strats,MATCH(B83,KidIDs,0))</f>
        <v>0</v>
      </c>
      <c r="S83">
        <f>INDEX(KidRace,MATCH(B83,KidIDs,0))</f>
        <v>0</v>
      </c>
      <c r="T83">
        <f>IF(OR(S83="M",S83="I"),"H",S83)</f>
        <v>0</v>
      </c>
      <c r="U83">
        <f>INDEX(StudentTargets,MATCH(B83,KidIDs,0))</f>
        <v>0</v>
      </c>
      <c r="V83">
        <f>INDEX(ReachStudentTargets,MATCH(B83,KidIDs,0))</f>
        <v>0</v>
      </c>
      <c r="W83">
        <f>IF(OR(M83="Posse"),1,0)</f>
        <v>0</v>
      </c>
      <c r="X83">
        <f>IF(ISNUMBER(INDEX(AllCollegeGR, MATCH(N83,AllCollegeNCES,0))),ROUND(INDEX(AllCollegeGR, MATCH(N83,AllCollegeNCES,0))+W83*IF(INDEX(AllCollegeGR, MATCH(N83,AllCollegeNCES,0))&gt;0.7,(1-INDEX(AllCollegeGR, MATCH(N83,AllCollegeNCES,0)))/2,0.15),2),INDEX(AllCollegeGR, MATCH(N83,AllCollegeNCES,0)))</f>
        <v>0</v>
      </c>
      <c r="Y83">
        <f>IF(ISNUMBER(INDEX(AllCollegeAAHGR, MATCH(N83,AllCollegeNCES,0))),ROUND(INDEX(AllCollegeAAHGR, MATCH(N83,AllCollegeNCES,0))+W83*IF(INDEX(AllCollegeAAHGR, MATCH(N83,AllCollegeNCES,0))&gt;0.7,(1-INDEX(AllCollegeAAHGR, MATCH(N83,AllCollegeNCES,0)))/2,0.15),2),INDEX(AllCollegeAAHGR, MATCH(N83,AllCollegeNCES,0)))</f>
        <v>0</v>
      </c>
      <c r="Z83">
        <f>IF(OR(T83="H",T83="B"),INDEX(AllCollegeACT25, MATCH(N83,AllCollegeNCES,0)),INDEX(AllCollegeACT50, MATCH(N83,AllCollegeNCES,0)))</f>
        <v>0</v>
      </c>
      <c r="AA83">
        <f>INDEX(CustomWeightsGPA,MATCH(T83&amp;":"&amp;N83,CustomWeightsIndex,0))</f>
        <v>0</v>
      </c>
      <c r="AB83">
        <f>INDEX(CustomWeightsACT,MATCH(T83&amp;":"&amp;N83,CustomWeightsIndex,0))</f>
        <v>0</v>
      </c>
      <c r="AC83">
        <f>INDEX(CustomWeightsIntercept,MATCH(T83&amp;":"&amp;N83,CustomWeightsIndex,0))</f>
        <v>0</v>
      </c>
      <c r="AD83">
        <f>AA83*P83+AB83*Q83+AC83</f>
        <v>0</v>
      </c>
      <c r="AE83">
        <f>INDEX(CoefficientsGPA,MATCH(T83&amp;":"&amp;O83,CoefficientsIndex,0))</f>
        <v>0</v>
      </c>
      <c r="AF83">
        <f>INDEX(CoefficientsACT,MATCH(T83&amp;":"&amp;O83,CoefficientsIndex,0))</f>
        <v>0</v>
      </c>
      <c r="AG83">
        <f>INDEX(CoefficientsIntercept,MATCH(T83&amp;":"&amp;O83,CoefficientsIndex,0))</f>
        <v>0</v>
      </c>
      <c r="AH83">
        <f>AE83*P83+(Q83-Z83)*AF83+AG83</f>
        <v>0</v>
      </c>
      <c r="AI83">
        <f>IF(ISNUMBER(AD83),AD83,AH83)</f>
        <v>0</v>
      </c>
      <c r="AJ83">
        <f>IF(ISNUMBER(AI83),IF(ISNUMBER(AE83),IF(AND(AE83=1,AF83=1,AG83=1),100,ROUND(100*EXP(AI83)/(1+EXP(AI83)),2)),ROUND(100*EXP(AI83)/(1+EXP(AI83)),2)),IF(ISTEXT(O83),IF(LEFT(O83,1)="2",100,"N/A"),"N/A"))</f>
        <v>0</v>
      </c>
      <c r="AK83">
        <f>IF(ISNUMBER(AJ83),IF(AJ83&gt;=99,IF(OR(R83=10,R83=11),MatchLabel,SureThingLabel),IF(AJ83&gt;=95,SecureLabel,IF(AJ83&gt;=80,SafetyLabel,IF(AJ83&gt;=50,MatchLabel,IF(AJ83&gt;=20,ReachLabel,IF(AJ83&gt;=10,LongshotLabel,HailMaryLabel)))))),"Other")</f>
        <v>0</v>
      </c>
      <c r="AL83">
        <f>IF(OR(I83="accepted",I83="cond. accept",I83="summer admit"),IF(J83="yes","CHOICE!","Accepted!"),IF(I83="denied","Denied",IF(K83=1,"Waitlist",IF(L83=1,"Deferred",IF(G83="pending","Pending",IF(OR(G83="initial materials submitted",G83="mid-year submitted",G83="final submitted"),"Submitted",IF(H83="interest","Interest","?")))))))</f>
        <v>0</v>
      </c>
      <c r="AM83">
        <f>IF(OR(AK83=ReachLabel,AK83=LongshotLabel,AK83=HailMaryLabel),1,0)</f>
        <v>0</v>
      </c>
      <c r="AN83">
        <f>IF(OR(AM83=1,AK83=MatchLabel),1,0)</f>
        <v>0</v>
      </c>
      <c r="AO83">
        <f>IF(OR(AK83=MatchLabel,AK83=SafetyLabel,AK83=SecureLabel,AK83=SureThingLabel),1,0)</f>
        <v>0</v>
      </c>
      <c r="AP83">
        <f>IF(OR(T83="H",T83="B"),IF(ISNUMBER(Y83),ROUND(Y83,2),0),IF(ISNUMBER(X83),ROUND(X83,2),0))</f>
        <v>0</v>
      </c>
      <c r="AQ83">
        <f>IF(AP83&gt;=U83,1,0)</f>
        <v>0</v>
      </c>
      <c r="AR83">
        <f>IF(AP83&gt;=V83,1,0)</f>
        <v>0</v>
      </c>
      <c r="AS83">
        <f>IF(AP83&lt;(U83-0.10),1,0)</f>
        <v>0</v>
      </c>
      <c r="AT83">
        <f>1-AJ83/100</f>
        <v>0</v>
      </c>
      <c r="AU83">
        <f>IF(AN83=1,AT83,1)</f>
        <v>0</v>
      </c>
      <c r="AV83">
        <f>IF(AM83=1,AT83,1)</f>
        <v>0</v>
      </c>
      <c r="AW83">
        <f>IF(AND(AQ83=1,ISNUMBER(AT83)),$AT83,1)</f>
        <v>0</v>
      </c>
      <c r="AX83">
        <f>IF(AND(AR83=1,ISNUMBER(AT83)),$AT83,1)</f>
        <v>0</v>
      </c>
      <c r="AY83">
        <f>IF(ISNUMBER(Y83),INDEX(AllCollegeMoney, MATCH(N83,AllCollegeNCES,0)),0)</f>
        <v>0</v>
      </c>
      <c r="AZ83">
        <f>IF(AND(AQ83=1,ISNUMBER(AT83),AY83=1),$AT83,1)</f>
        <v>0</v>
      </c>
      <c r="BA83">
        <f>IF(AND(AR83=1,ISNUMBER(AT83),AY83=1),$AT83,1)</f>
        <v>0</v>
      </c>
      <c r="BB83">
        <f>IF(ISNUMBER(Y83),INDEX(AllCollegeILPub, MATCH(N83,AllCollegeNCES,0)),0)</f>
        <v>0</v>
      </c>
      <c r="BC83">
        <f>IF(AK83=ReachLabel,AP83,0)</f>
        <v>0</v>
      </c>
      <c r="BD83">
        <f>IF(AK83=MatchLabel,AP83,0)</f>
        <v>0</v>
      </c>
      <c r="BE83">
        <f>IF(AK83=SafetyLabel,AP83,0)</f>
        <v>0</v>
      </c>
      <c r="BF83">
        <f>IF(AK83=SecureLabel,AP83,0)</f>
        <v>0</v>
      </c>
      <c r="BG83">
        <f>IF(AK83=SureThingLabel,AP83,0)</f>
        <v>0</v>
      </c>
      <c r="BH83">
        <f>MAX(BC83:BG83)</f>
        <v>0</v>
      </c>
      <c r="BI83">
        <f>MAX(BD83:BG83)</f>
        <v>0</v>
      </c>
      <c r="BJ83">
        <f>MAX(BE83:BG83)</f>
        <v>0</v>
      </c>
      <c r="BK83">
        <f>IF(AND(AK83=ReachLabel,AY83=1),AP83,0)</f>
        <v>0</v>
      </c>
      <c r="BL83">
        <f>IF(AND(AK83=MatchLabel,AY83=1),AP83,0)</f>
        <v>0</v>
      </c>
      <c r="BM83">
        <f>IF(AND(AK83=SafetyLabel,AY83=1),AP83,0)</f>
        <v>0</v>
      </c>
      <c r="BN83">
        <f>IF(AND(AK83=SecureLabel,AY83=1),AP83,0)</f>
        <v>0</v>
      </c>
      <c r="BO83">
        <f>IF(AND(AK83=SureThingLabel,AY83=1),AP83,0)</f>
        <v>0</v>
      </c>
      <c r="BP83">
        <f>MAX(BK83:BO83)</f>
        <v>0</v>
      </c>
      <c r="BQ83">
        <f>MAX(BL83:BO83)</f>
        <v>0</v>
      </c>
      <c r="BR83">
        <f>MAX(BM83:BO83)</f>
        <v>0</v>
      </c>
      <c r="BS83">
        <f>IF(ISNUMBER(Y83),INDEX(AllCollegeChicago, MATCH(N83,AllCollegeNCES,0))*AY83,0)</f>
        <v>0</v>
      </c>
      <c r="BT83">
        <f>IF(ISNUMBER(Y83),INDEX(AllCollegeMoneyCode, MATCH(N83,AllCollegeNCES,0)),"?")</f>
        <v>0</v>
      </c>
      <c r="BU83">
        <f>IF(OR(BT83="---",BT83="--",BT83="+/--",BT83="+/---"),1,0)</f>
        <v>0</v>
      </c>
      <c r="BV83">
        <f>AY83*AO83*AQ83</f>
        <v>0</v>
      </c>
    </row>
    <row r="84" spans="1:74">
      <c r="A84" t="s">
        <v>86</v>
      </c>
      <c r="B84">
        <v>22366458</v>
      </c>
      <c r="C84" t="s">
        <v>284</v>
      </c>
      <c r="D84" t="s">
        <v>285</v>
      </c>
      <c r="E84" t="s">
        <v>428</v>
      </c>
      <c r="F84" t="s">
        <v>459</v>
      </c>
      <c r="G84" t="s">
        <v>430</v>
      </c>
      <c r="H84" t="s">
        <v>431</v>
      </c>
      <c r="I84" t="s">
        <v>432</v>
      </c>
      <c r="J84" t="s">
        <v>432</v>
      </c>
      <c r="K84">
        <v>0</v>
      </c>
      <c r="L84" t="s">
        <v>428</v>
      </c>
      <c r="M84" t="s">
        <v>428</v>
      </c>
      <c r="N84">
        <v>146427</v>
      </c>
      <c r="O84">
        <f>INDEX(AllCollegeBarrons,MATCH(N84,AllCollegeNCES,0))</f>
        <v>0</v>
      </c>
      <c r="P84">
        <f>INDEX(KidGPAs,MATCH(B84,KidIDs,0))</f>
        <v>0</v>
      </c>
      <c r="Q84">
        <f>INDEX(KidACTs,MATCH(B84,KidIDs,0))</f>
        <v>0</v>
      </c>
      <c r="R84">
        <f>INDEX(Strats,MATCH(B84,KidIDs,0))</f>
        <v>0</v>
      </c>
      <c r="S84">
        <f>INDEX(KidRace,MATCH(B84,KidIDs,0))</f>
        <v>0</v>
      </c>
      <c r="T84">
        <f>IF(OR(S84="M",S84="I"),"H",S84)</f>
        <v>0</v>
      </c>
      <c r="U84">
        <f>INDEX(StudentTargets,MATCH(B84,KidIDs,0))</f>
        <v>0</v>
      </c>
      <c r="V84">
        <f>INDEX(ReachStudentTargets,MATCH(B84,KidIDs,0))</f>
        <v>0</v>
      </c>
      <c r="W84">
        <f>IF(OR(M84="Posse"),1,0)</f>
        <v>0</v>
      </c>
      <c r="X84">
        <f>IF(ISNUMBER(INDEX(AllCollegeGR, MATCH(N84,AllCollegeNCES,0))),ROUND(INDEX(AllCollegeGR, MATCH(N84,AllCollegeNCES,0))+W84*IF(INDEX(AllCollegeGR, MATCH(N84,AllCollegeNCES,0))&gt;0.7,(1-INDEX(AllCollegeGR, MATCH(N84,AllCollegeNCES,0)))/2,0.15),2),INDEX(AllCollegeGR, MATCH(N84,AllCollegeNCES,0)))</f>
        <v>0</v>
      </c>
      <c r="Y84">
        <f>IF(ISNUMBER(INDEX(AllCollegeAAHGR, MATCH(N84,AllCollegeNCES,0))),ROUND(INDEX(AllCollegeAAHGR, MATCH(N84,AllCollegeNCES,0))+W84*IF(INDEX(AllCollegeAAHGR, MATCH(N84,AllCollegeNCES,0))&gt;0.7,(1-INDEX(AllCollegeAAHGR, MATCH(N84,AllCollegeNCES,0)))/2,0.15),2),INDEX(AllCollegeAAHGR, MATCH(N84,AllCollegeNCES,0)))</f>
        <v>0</v>
      </c>
      <c r="Z84">
        <f>IF(OR(T84="H",T84="B"),INDEX(AllCollegeACT25, MATCH(N84,AllCollegeNCES,0)),INDEX(AllCollegeACT50, MATCH(N84,AllCollegeNCES,0)))</f>
        <v>0</v>
      </c>
      <c r="AA84">
        <f>INDEX(CustomWeightsGPA,MATCH(T84&amp;":"&amp;N84,CustomWeightsIndex,0))</f>
        <v>0</v>
      </c>
      <c r="AB84">
        <f>INDEX(CustomWeightsACT,MATCH(T84&amp;":"&amp;N84,CustomWeightsIndex,0))</f>
        <v>0</v>
      </c>
      <c r="AC84">
        <f>INDEX(CustomWeightsIntercept,MATCH(T84&amp;":"&amp;N84,CustomWeightsIndex,0))</f>
        <v>0</v>
      </c>
      <c r="AD84">
        <f>AA84*P84+AB84*Q84+AC84</f>
        <v>0</v>
      </c>
      <c r="AE84">
        <f>INDEX(CoefficientsGPA,MATCH(T84&amp;":"&amp;O84,CoefficientsIndex,0))</f>
        <v>0</v>
      </c>
      <c r="AF84">
        <f>INDEX(CoefficientsACT,MATCH(T84&amp;":"&amp;O84,CoefficientsIndex,0))</f>
        <v>0</v>
      </c>
      <c r="AG84">
        <f>INDEX(CoefficientsIntercept,MATCH(T84&amp;":"&amp;O84,CoefficientsIndex,0))</f>
        <v>0</v>
      </c>
      <c r="AH84">
        <f>AE84*P84+(Q84-Z84)*AF84+AG84</f>
        <v>0</v>
      </c>
      <c r="AI84">
        <f>IF(ISNUMBER(AD84),AD84,AH84)</f>
        <v>0</v>
      </c>
      <c r="AJ84">
        <f>IF(ISNUMBER(AI84),IF(ISNUMBER(AE84),IF(AND(AE84=1,AF84=1,AG84=1),100,ROUND(100*EXP(AI84)/(1+EXP(AI84)),2)),ROUND(100*EXP(AI84)/(1+EXP(AI84)),2)),IF(ISTEXT(O84),IF(LEFT(O84,1)="2",100,"N/A"),"N/A"))</f>
        <v>0</v>
      </c>
      <c r="AK84">
        <f>IF(ISNUMBER(AJ84),IF(AJ84&gt;=99,IF(OR(R84=10,R84=11),MatchLabel,SureThingLabel),IF(AJ84&gt;=95,SecureLabel,IF(AJ84&gt;=80,SafetyLabel,IF(AJ84&gt;=50,MatchLabel,IF(AJ84&gt;=20,ReachLabel,IF(AJ84&gt;=10,LongshotLabel,HailMaryLabel)))))),"Other")</f>
        <v>0</v>
      </c>
      <c r="AL84">
        <f>IF(OR(I84="accepted",I84="cond. accept",I84="summer admit"),IF(J84="yes","CHOICE!","Accepted!"),IF(I84="denied","Denied",IF(K84=1,"Waitlist",IF(L84=1,"Deferred",IF(G84="pending","Pending",IF(OR(G84="initial materials submitted",G84="mid-year submitted",G84="final submitted"),"Submitted",IF(H84="interest","Interest","?")))))))</f>
        <v>0</v>
      </c>
      <c r="AM84">
        <f>IF(OR(AK84=ReachLabel,AK84=LongshotLabel,AK84=HailMaryLabel),1,0)</f>
        <v>0</v>
      </c>
      <c r="AN84">
        <f>IF(OR(AM84=1,AK84=MatchLabel),1,0)</f>
        <v>0</v>
      </c>
      <c r="AO84">
        <f>IF(OR(AK84=MatchLabel,AK84=SafetyLabel,AK84=SecureLabel,AK84=SureThingLabel),1,0)</f>
        <v>0</v>
      </c>
      <c r="AP84">
        <f>IF(OR(T84="H",T84="B"),IF(ISNUMBER(Y84),ROUND(Y84,2),0),IF(ISNUMBER(X84),ROUND(X84,2),0))</f>
        <v>0</v>
      </c>
      <c r="AQ84">
        <f>IF(AP84&gt;=U84,1,0)</f>
        <v>0</v>
      </c>
      <c r="AR84">
        <f>IF(AP84&gt;=V84,1,0)</f>
        <v>0</v>
      </c>
      <c r="AS84">
        <f>IF(AP84&lt;(U84-0.10),1,0)</f>
        <v>0</v>
      </c>
      <c r="AT84">
        <f>1-AJ84/100</f>
        <v>0</v>
      </c>
      <c r="AU84">
        <f>IF(AN84=1,AT84,1)</f>
        <v>0</v>
      </c>
      <c r="AV84">
        <f>IF(AM84=1,AT84,1)</f>
        <v>0</v>
      </c>
      <c r="AW84">
        <f>IF(AND(AQ84=1,ISNUMBER(AT84)),$AT84,1)</f>
        <v>0</v>
      </c>
      <c r="AX84">
        <f>IF(AND(AR84=1,ISNUMBER(AT84)),$AT84,1)</f>
        <v>0</v>
      </c>
      <c r="AY84">
        <f>IF(ISNUMBER(Y84),INDEX(AllCollegeMoney, MATCH(N84,AllCollegeNCES,0)),0)</f>
        <v>0</v>
      </c>
      <c r="AZ84">
        <f>IF(AND(AQ84=1,ISNUMBER(AT84),AY84=1),$AT84,1)</f>
        <v>0</v>
      </c>
      <c r="BA84">
        <f>IF(AND(AR84=1,ISNUMBER(AT84),AY84=1),$AT84,1)</f>
        <v>0</v>
      </c>
      <c r="BB84">
        <f>IF(ISNUMBER(Y84),INDEX(AllCollegeILPub, MATCH(N84,AllCollegeNCES,0)),0)</f>
        <v>0</v>
      </c>
      <c r="BC84">
        <f>IF(AK84=ReachLabel,AP84,0)</f>
        <v>0</v>
      </c>
      <c r="BD84">
        <f>IF(AK84=MatchLabel,AP84,0)</f>
        <v>0</v>
      </c>
      <c r="BE84">
        <f>IF(AK84=SafetyLabel,AP84,0)</f>
        <v>0</v>
      </c>
      <c r="BF84">
        <f>IF(AK84=SecureLabel,AP84,0)</f>
        <v>0</v>
      </c>
      <c r="BG84">
        <f>IF(AK84=SureThingLabel,AP84,0)</f>
        <v>0</v>
      </c>
      <c r="BH84">
        <f>MAX(BC84:BG84)</f>
        <v>0</v>
      </c>
      <c r="BI84">
        <f>MAX(BD84:BG84)</f>
        <v>0</v>
      </c>
      <c r="BJ84">
        <f>MAX(BE84:BG84)</f>
        <v>0</v>
      </c>
      <c r="BK84">
        <f>IF(AND(AK84=ReachLabel,AY84=1),AP84,0)</f>
        <v>0</v>
      </c>
      <c r="BL84">
        <f>IF(AND(AK84=MatchLabel,AY84=1),AP84,0)</f>
        <v>0</v>
      </c>
      <c r="BM84">
        <f>IF(AND(AK84=SafetyLabel,AY84=1),AP84,0)</f>
        <v>0</v>
      </c>
      <c r="BN84">
        <f>IF(AND(AK84=SecureLabel,AY84=1),AP84,0)</f>
        <v>0</v>
      </c>
      <c r="BO84">
        <f>IF(AND(AK84=SureThingLabel,AY84=1),AP84,0)</f>
        <v>0</v>
      </c>
      <c r="BP84">
        <f>MAX(BK84:BO84)</f>
        <v>0</v>
      </c>
      <c r="BQ84">
        <f>MAX(BL84:BO84)</f>
        <v>0</v>
      </c>
      <c r="BR84">
        <f>MAX(BM84:BO84)</f>
        <v>0</v>
      </c>
      <c r="BS84">
        <f>IF(ISNUMBER(Y84),INDEX(AllCollegeChicago, MATCH(N84,AllCollegeNCES,0))*AY84,0)</f>
        <v>0</v>
      </c>
      <c r="BT84">
        <f>IF(ISNUMBER(Y84),INDEX(AllCollegeMoneyCode, MATCH(N84,AllCollegeNCES,0)),"?")</f>
        <v>0</v>
      </c>
      <c r="BU84">
        <f>IF(OR(BT84="---",BT84="--",BT84="+/--",BT84="+/---"),1,0)</f>
        <v>0</v>
      </c>
      <c r="BV84">
        <f>AY84*AO84*AQ84</f>
        <v>0</v>
      </c>
    </row>
    <row r="85" spans="1:74">
      <c r="A85" t="s">
        <v>86</v>
      </c>
      <c r="B85">
        <v>22366458</v>
      </c>
      <c r="C85" t="s">
        <v>284</v>
      </c>
      <c r="D85" t="s">
        <v>285</v>
      </c>
      <c r="E85" t="s">
        <v>428</v>
      </c>
      <c r="F85" t="s">
        <v>471</v>
      </c>
      <c r="G85" t="s">
        <v>430</v>
      </c>
      <c r="H85" t="s">
        <v>431</v>
      </c>
      <c r="I85" t="s">
        <v>432</v>
      </c>
      <c r="J85" t="s">
        <v>432</v>
      </c>
      <c r="K85">
        <v>0</v>
      </c>
      <c r="L85" t="s">
        <v>428</v>
      </c>
      <c r="M85" t="s">
        <v>428</v>
      </c>
      <c r="N85">
        <v>170301</v>
      </c>
      <c r="O85">
        <f>INDEX(AllCollegeBarrons,MATCH(N85,AllCollegeNCES,0))</f>
        <v>0</v>
      </c>
      <c r="P85">
        <f>INDEX(KidGPAs,MATCH(B85,KidIDs,0))</f>
        <v>0</v>
      </c>
      <c r="Q85">
        <f>INDEX(KidACTs,MATCH(B85,KidIDs,0))</f>
        <v>0</v>
      </c>
      <c r="R85">
        <f>INDEX(Strats,MATCH(B85,KidIDs,0))</f>
        <v>0</v>
      </c>
      <c r="S85">
        <f>INDEX(KidRace,MATCH(B85,KidIDs,0))</f>
        <v>0</v>
      </c>
      <c r="T85">
        <f>IF(OR(S85="M",S85="I"),"H",S85)</f>
        <v>0</v>
      </c>
      <c r="U85">
        <f>INDEX(StudentTargets,MATCH(B85,KidIDs,0))</f>
        <v>0</v>
      </c>
      <c r="V85">
        <f>INDEX(ReachStudentTargets,MATCH(B85,KidIDs,0))</f>
        <v>0</v>
      </c>
      <c r="W85">
        <f>IF(OR(M85="Posse"),1,0)</f>
        <v>0</v>
      </c>
      <c r="X85">
        <f>IF(ISNUMBER(INDEX(AllCollegeGR, MATCH(N85,AllCollegeNCES,0))),ROUND(INDEX(AllCollegeGR, MATCH(N85,AllCollegeNCES,0))+W85*IF(INDEX(AllCollegeGR, MATCH(N85,AllCollegeNCES,0))&gt;0.7,(1-INDEX(AllCollegeGR, MATCH(N85,AllCollegeNCES,0)))/2,0.15),2),INDEX(AllCollegeGR, MATCH(N85,AllCollegeNCES,0)))</f>
        <v>0</v>
      </c>
      <c r="Y85">
        <f>IF(ISNUMBER(INDEX(AllCollegeAAHGR, MATCH(N85,AllCollegeNCES,0))),ROUND(INDEX(AllCollegeAAHGR, MATCH(N85,AllCollegeNCES,0))+W85*IF(INDEX(AllCollegeAAHGR, MATCH(N85,AllCollegeNCES,0))&gt;0.7,(1-INDEX(AllCollegeAAHGR, MATCH(N85,AllCollegeNCES,0)))/2,0.15),2),INDEX(AllCollegeAAHGR, MATCH(N85,AllCollegeNCES,0)))</f>
        <v>0</v>
      </c>
      <c r="Z85">
        <f>IF(OR(T85="H",T85="B"),INDEX(AllCollegeACT25, MATCH(N85,AllCollegeNCES,0)),INDEX(AllCollegeACT50, MATCH(N85,AllCollegeNCES,0)))</f>
        <v>0</v>
      </c>
      <c r="AA85">
        <f>INDEX(CustomWeightsGPA,MATCH(T85&amp;":"&amp;N85,CustomWeightsIndex,0))</f>
        <v>0</v>
      </c>
      <c r="AB85">
        <f>INDEX(CustomWeightsACT,MATCH(T85&amp;":"&amp;N85,CustomWeightsIndex,0))</f>
        <v>0</v>
      </c>
      <c r="AC85">
        <f>INDEX(CustomWeightsIntercept,MATCH(T85&amp;":"&amp;N85,CustomWeightsIndex,0))</f>
        <v>0</v>
      </c>
      <c r="AD85">
        <f>AA85*P85+AB85*Q85+AC85</f>
        <v>0</v>
      </c>
      <c r="AE85">
        <f>INDEX(CoefficientsGPA,MATCH(T85&amp;":"&amp;O85,CoefficientsIndex,0))</f>
        <v>0</v>
      </c>
      <c r="AF85">
        <f>INDEX(CoefficientsACT,MATCH(T85&amp;":"&amp;O85,CoefficientsIndex,0))</f>
        <v>0</v>
      </c>
      <c r="AG85">
        <f>INDEX(CoefficientsIntercept,MATCH(T85&amp;":"&amp;O85,CoefficientsIndex,0))</f>
        <v>0</v>
      </c>
      <c r="AH85">
        <f>AE85*P85+(Q85-Z85)*AF85+AG85</f>
        <v>0</v>
      </c>
      <c r="AI85">
        <f>IF(ISNUMBER(AD85),AD85,AH85)</f>
        <v>0</v>
      </c>
      <c r="AJ85">
        <f>IF(ISNUMBER(AI85),IF(ISNUMBER(AE85),IF(AND(AE85=1,AF85=1,AG85=1),100,ROUND(100*EXP(AI85)/(1+EXP(AI85)),2)),ROUND(100*EXP(AI85)/(1+EXP(AI85)),2)),IF(ISTEXT(O85),IF(LEFT(O85,1)="2",100,"N/A"),"N/A"))</f>
        <v>0</v>
      </c>
      <c r="AK85">
        <f>IF(ISNUMBER(AJ85),IF(AJ85&gt;=99,IF(OR(R85=10,R85=11),MatchLabel,SureThingLabel),IF(AJ85&gt;=95,SecureLabel,IF(AJ85&gt;=80,SafetyLabel,IF(AJ85&gt;=50,MatchLabel,IF(AJ85&gt;=20,ReachLabel,IF(AJ85&gt;=10,LongshotLabel,HailMaryLabel)))))),"Other")</f>
        <v>0</v>
      </c>
      <c r="AL85">
        <f>IF(OR(I85="accepted",I85="cond. accept",I85="summer admit"),IF(J85="yes","CHOICE!","Accepted!"),IF(I85="denied","Denied",IF(K85=1,"Waitlist",IF(L85=1,"Deferred",IF(G85="pending","Pending",IF(OR(G85="initial materials submitted",G85="mid-year submitted",G85="final submitted"),"Submitted",IF(H85="interest","Interest","?")))))))</f>
        <v>0</v>
      </c>
      <c r="AM85">
        <f>IF(OR(AK85=ReachLabel,AK85=LongshotLabel,AK85=HailMaryLabel),1,0)</f>
        <v>0</v>
      </c>
      <c r="AN85">
        <f>IF(OR(AM85=1,AK85=MatchLabel),1,0)</f>
        <v>0</v>
      </c>
      <c r="AO85">
        <f>IF(OR(AK85=MatchLabel,AK85=SafetyLabel,AK85=SecureLabel,AK85=SureThingLabel),1,0)</f>
        <v>0</v>
      </c>
      <c r="AP85">
        <f>IF(OR(T85="H",T85="B"),IF(ISNUMBER(Y85),ROUND(Y85,2),0),IF(ISNUMBER(X85),ROUND(X85,2),0))</f>
        <v>0</v>
      </c>
      <c r="AQ85">
        <f>IF(AP85&gt;=U85,1,0)</f>
        <v>0</v>
      </c>
      <c r="AR85">
        <f>IF(AP85&gt;=V85,1,0)</f>
        <v>0</v>
      </c>
      <c r="AS85">
        <f>IF(AP85&lt;(U85-0.10),1,0)</f>
        <v>0</v>
      </c>
      <c r="AT85">
        <f>1-AJ85/100</f>
        <v>0</v>
      </c>
      <c r="AU85">
        <f>IF(AN85=1,AT85,1)</f>
        <v>0</v>
      </c>
      <c r="AV85">
        <f>IF(AM85=1,AT85,1)</f>
        <v>0</v>
      </c>
      <c r="AW85">
        <f>IF(AND(AQ85=1,ISNUMBER(AT85)),$AT85,1)</f>
        <v>0</v>
      </c>
      <c r="AX85">
        <f>IF(AND(AR85=1,ISNUMBER(AT85)),$AT85,1)</f>
        <v>0</v>
      </c>
      <c r="AY85">
        <f>IF(ISNUMBER(Y85),INDEX(AllCollegeMoney, MATCH(N85,AllCollegeNCES,0)),0)</f>
        <v>0</v>
      </c>
      <c r="AZ85">
        <f>IF(AND(AQ85=1,ISNUMBER(AT85),AY85=1),$AT85,1)</f>
        <v>0</v>
      </c>
      <c r="BA85">
        <f>IF(AND(AR85=1,ISNUMBER(AT85),AY85=1),$AT85,1)</f>
        <v>0</v>
      </c>
      <c r="BB85">
        <f>IF(ISNUMBER(Y85),INDEX(AllCollegeILPub, MATCH(N85,AllCollegeNCES,0)),0)</f>
        <v>0</v>
      </c>
      <c r="BC85">
        <f>IF(AK85=ReachLabel,AP85,0)</f>
        <v>0</v>
      </c>
      <c r="BD85">
        <f>IF(AK85=MatchLabel,AP85,0)</f>
        <v>0</v>
      </c>
      <c r="BE85">
        <f>IF(AK85=SafetyLabel,AP85,0)</f>
        <v>0</v>
      </c>
      <c r="BF85">
        <f>IF(AK85=SecureLabel,AP85,0)</f>
        <v>0</v>
      </c>
      <c r="BG85">
        <f>IF(AK85=SureThingLabel,AP85,0)</f>
        <v>0</v>
      </c>
      <c r="BH85">
        <f>MAX(BC85:BG85)</f>
        <v>0</v>
      </c>
      <c r="BI85">
        <f>MAX(BD85:BG85)</f>
        <v>0</v>
      </c>
      <c r="BJ85">
        <f>MAX(BE85:BG85)</f>
        <v>0</v>
      </c>
      <c r="BK85">
        <f>IF(AND(AK85=ReachLabel,AY85=1),AP85,0)</f>
        <v>0</v>
      </c>
      <c r="BL85">
        <f>IF(AND(AK85=MatchLabel,AY85=1),AP85,0)</f>
        <v>0</v>
      </c>
      <c r="BM85">
        <f>IF(AND(AK85=SafetyLabel,AY85=1),AP85,0)</f>
        <v>0</v>
      </c>
      <c r="BN85">
        <f>IF(AND(AK85=SecureLabel,AY85=1),AP85,0)</f>
        <v>0</v>
      </c>
      <c r="BO85">
        <f>IF(AND(AK85=SureThingLabel,AY85=1),AP85,0)</f>
        <v>0</v>
      </c>
      <c r="BP85">
        <f>MAX(BK85:BO85)</f>
        <v>0</v>
      </c>
      <c r="BQ85">
        <f>MAX(BL85:BO85)</f>
        <v>0</v>
      </c>
      <c r="BR85">
        <f>MAX(BM85:BO85)</f>
        <v>0</v>
      </c>
      <c r="BS85">
        <f>IF(ISNUMBER(Y85),INDEX(AllCollegeChicago, MATCH(N85,AllCollegeNCES,0))*AY85,0)</f>
        <v>0</v>
      </c>
      <c r="BT85">
        <f>IF(ISNUMBER(Y85),INDEX(AllCollegeMoneyCode, MATCH(N85,AllCollegeNCES,0)),"?")</f>
        <v>0</v>
      </c>
      <c r="BU85">
        <f>IF(OR(BT85="---",BT85="--",BT85="+/--",BT85="+/---"),1,0)</f>
        <v>0</v>
      </c>
      <c r="BV85">
        <f>AY85*AO85*AQ85</f>
        <v>0</v>
      </c>
    </row>
    <row r="86" spans="1:74">
      <c r="A86" t="s">
        <v>86</v>
      </c>
      <c r="B86">
        <v>22366458</v>
      </c>
      <c r="C86" t="s">
        <v>284</v>
      </c>
      <c r="D86" t="s">
        <v>285</v>
      </c>
      <c r="E86" t="s">
        <v>428</v>
      </c>
      <c r="F86" t="s">
        <v>461</v>
      </c>
      <c r="G86" t="s">
        <v>430</v>
      </c>
      <c r="H86" t="s">
        <v>431</v>
      </c>
      <c r="I86" t="s">
        <v>432</v>
      </c>
      <c r="J86" t="s">
        <v>432</v>
      </c>
      <c r="K86">
        <v>0</v>
      </c>
      <c r="L86" t="s">
        <v>428</v>
      </c>
      <c r="M86" t="s">
        <v>428</v>
      </c>
      <c r="N86">
        <v>153834</v>
      </c>
      <c r="O86">
        <f>INDEX(AllCollegeBarrons,MATCH(N86,AllCollegeNCES,0))</f>
        <v>0</v>
      </c>
      <c r="P86">
        <f>INDEX(KidGPAs,MATCH(B86,KidIDs,0))</f>
        <v>0</v>
      </c>
      <c r="Q86">
        <f>INDEX(KidACTs,MATCH(B86,KidIDs,0))</f>
        <v>0</v>
      </c>
      <c r="R86">
        <f>INDEX(Strats,MATCH(B86,KidIDs,0))</f>
        <v>0</v>
      </c>
      <c r="S86">
        <f>INDEX(KidRace,MATCH(B86,KidIDs,0))</f>
        <v>0</v>
      </c>
      <c r="T86">
        <f>IF(OR(S86="M",S86="I"),"H",S86)</f>
        <v>0</v>
      </c>
      <c r="U86">
        <f>INDEX(StudentTargets,MATCH(B86,KidIDs,0))</f>
        <v>0</v>
      </c>
      <c r="V86">
        <f>INDEX(ReachStudentTargets,MATCH(B86,KidIDs,0))</f>
        <v>0</v>
      </c>
      <c r="W86">
        <f>IF(OR(M86="Posse"),1,0)</f>
        <v>0</v>
      </c>
      <c r="X86">
        <f>IF(ISNUMBER(INDEX(AllCollegeGR, MATCH(N86,AllCollegeNCES,0))),ROUND(INDEX(AllCollegeGR, MATCH(N86,AllCollegeNCES,0))+W86*IF(INDEX(AllCollegeGR, MATCH(N86,AllCollegeNCES,0))&gt;0.7,(1-INDEX(AllCollegeGR, MATCH(N86,AllCollegeNCES,0)))/2,0.15),2),INDEX(AllCollegeGR, MATCH(N86,AllCollegeNCES,0)))</f>
        <v>0</v>
      </c>
      <c r="Y86">
        <f>IF(ISNUMBER(INDEX(AllCollegeAAHGR, MATCH(N86,AllCollegeNCES,0))),ROUND(INDEX(AllCollegeAAHGR, MATCH(N86,AllCollegeNCES,0))+W86*IF(INDEX(AllCollegeAAHGR, MATCH(N86,AllCollegeNCES,0))&gt;0.7,(1-INDEX(AllCollegeAAHGR, MATCH(N86,AllCollegeNCES,0)))/2,0.15),2),INDEX(AllCollegeAAHGR, MATCH(N86,AllCollegeNCES,0)))</f>
        <v>0</v>
      </c>
      <c r="Z86">
        <f>IF(OR(T86="H",T86="B"),INDEX(AllCollegeACT25, MATCH(N86,AllCollegeNCES,0)),INDEX(AllCollegeACT50, MATCH(N86,AllCollegeNCES,0)))</f>
        <v>0</v>
      </c>
      <c r="AA86">
        <f>INDEX(CustomWeightsGPA,MATCH(T86&amp;":"&amp;N86,CustomWeightsIndex,0))</f>
        <v>0</v>
      </c>
      <c r="AB86">
        <f>INDEX(CustomWeightsACT,MATCH(T86&amp;":"&amp;N86,CustomWeightsIndex,0))</f>
        <v>0</v>
      </c>
      <c r="AC86">
        <f>INDEX(CustomWeightsIntercept,MATCH(T86&amp;":"&amp;N86,CustomWeightsIndex,0))</f>
        <v>0</v>
      </c>
      <c r="AD86">
        <f>AA86*P86+AB86*Q86+AC86</f>
        <v>0</v>
      </c>
      <c r="AE86">
        <f>INDEX(CoefficientsGPA,MATCH(T86&amp;":"&amp;O86,CoefficientsIndex,0))</f>
        <v>0</v>
      </c>
      <c r="AF86">
        <f>INDEX(CoefficientsACT,MATCH(T86&amp;":"&amp;O86,CoefficientsIndex,0))</f>
        <v>0</v>
      </c>
      <c r="AG86">
        <f>INDEX(CoefficientsIntercept,MATCH(T86&amp;":"&amp;O86,CoefficientsIndex,0))</f>
        <v>0</v>
      </c>
      <c r="AH86">
        <f>AE86*P86+(Q86-Z86)*AF86+AG86</f>
        <v>0</v>
      </c>
      <c r="AI86">
        <f>IF(ISNUMBER(AD86),AD86,AH86)</f>
        <v>0</v>
      </c>
      <c r="AJ86">
        <f>IF(ISNUMBER(AI86),IF(ISNUMBER(AE86),IF(AND(AE86=1,AF86=1,AG86=1),100,ROUND(100*EXP(AI86)/(1+EXP(AI86)),2)),ROUND(100*EXP(AI86)/(1+EXP(AI86)),2)),IF(ISTEXT(O86),IF(LEFT(O86,1)="2",100,"N/A"),"N/A"))</f>
        <v>0</v>
      </c>
      <c r="AK86">
        <f>IF(ISNUMBER(AJ86),IF(AJ86&gt;=99,IF(OR(R86=10,R86=11),MatchLabel,SureThingLabel),IF(AJ86&gt;=95,SecureLabel,IF(AJ86&gt;=80,SafetyLabel,IF(AJ86&gt;=50,MatchLabel,IF(AJ86&gt;=20,ReachLabel,IF(AJ86&gt;=10,LongshotLabel,HailMaryLabel)))))),"Other")</f>
        <v>0</v>
      </c>
      <c r="AL86">
        <f>IF(OR(I86="accepted",I86="cond. accept",I86="summer admit"),IF(J86="yes","CHOICE!","Accepted!"),IF(I86="denied","Denied",IF(K86=1,"Waitlist",IF(L86=1,"Deferred",IF(G86="pending","Pending",IF(OR(G86="initial materials submitted",G86="mid-year submitted",G86="final submitted"),"Submitted",IF(H86="interest","Interest","?")))))))</f>
        <v>0</v>
      </c>
      <c r="AM86">
        <f>IF(OR(AK86=ReachLabel,AK86=LongshotLabel,AK86=HailMaryLabel),1,0)</f>
        <v>0</v>
      </c>
      <c r="AN86">
        <f>IF(OR(AM86=1,AK86=MatchLabel),1,0)</f>
        <v>0</v>
      </c>
      <c r="AO86">
        <f>IF(OR(AK86=MatchLabel,AK86=SafetyLabel,AK86=SecureLabel,AK86=SureThingLabel),1,0)</f>
        <v>0</v>
      </c>
      <c r="AP86">
        <f>IF(OR(T86="H",T86="B"),IF(ISNUMBER(Y86),ROUND(Y86,2),0),IF(ISNUMBER(X86),ROUND(X86,2),0))</f>
        <v>0</v>
      </c>
      <c r="AQ86">
        <f>IF(AP86&gt;=U86,1,0)</f>
        <v>0</v>
      </c>
      <c r="AR86">
        <f>IF(AP86&gt;=V86,1,0)</f>
        <v>0</v>
      </c>
      <c r="AS86">
        <f>IF(AP86&lt;(U86-0.10),1,0)</f>
        <v>0</v>
      </c>
      <c r="AT86">
        <f>1-AJ86/100</f>
        <v>0</v>
      </c>
      <c r="AU86">
        <f>IF(AN86=1,AT86,1)</f>
        <v>0</v>
      </c>
      <c r="AV86">
        <f>IF(AM86=1,AT86,1)</f>
        <v>0</v>
      </c>
      <c r="AW86">
        <f>IF(AND(AQ86=1,ISNUMBER(AT86)),$AT86,1)</f>
        <v>0</v>
      </c>
      <c r="AX86">
        <f>IF(AND(AR86=1,ISNUMBER(AT86)),$AT86,1)</f>
        <v>0</v>
      </c>
      <c r="AY86">
        <f>IF(ISNUMBER(Y86),INDEX(AllCollegeMoney, MATCH(N86,AllCollegeNCES,0)),0)</f>
        <v>0</v>
      </c>
      <c r="AZ86">
        <f>IF(AND(AQ86=1,ISNUMBER(AT86),AY86=1),$AT86,1)</f>
        <v>0</v>
      </c>
      <c r="BA86">
        <f>IF(AND(AR86=1,ISNUMBER(AT86),AY86=1),$AT86,1)</f>
        <v>0</v>
      </c>
      <c r="BB86">
        <f>IF(ISNUMBER(Y86),INDEX(AllCollegeILPub, MATCH(N86,AllCollegeNCES,0)),0)</f>
        <v>0</v>
      </c>
      <c r="BC86">
        <f>IF(AK86=ReachLabel,AP86,0)</f>
        <v>0</v>
      </c>
      <c r="BD86">
        <f>IF(AK86=MatchLabel,AP86,0)</f>
        <v>0</v>
      </c>
      <c r="BE86">
        <f>IF(AK86=SafetyLabel,AP86,0)</f>
        <v>0</v>
      </c>
      <c r="BF86">
        <f>IF(AK86=SecureLabel,AP86,0)</f>
        <v>0</v>
      </c>
      <c r="BG86">
        <f>IF(AK86=SureThingLabel,AP86,0)</f>
        <v>0</v>
      </c>
      <c r="BH86">
        <f>MAX(BC86:BG86)</f>
        <v>0</v>
      </c>
      <c r="BI86">
        <f>MAX(BD86:BG86)</f>
        <v>0</v>
      </c>
      <c r="BJ86">
        <f>MAX(BE86:BG86)</f>
        <v>0</v>
      </c>
      <c r="BK86">
        <f>IF(AND(AK86=ReachLabel,AY86=1),AP86,0)</f>
        <v>0</v>
      </c>
      <c r="BL86">
        <f>IF(AND(AK86=MatchLabel,AY86=1),AP86,0)</f>
        <v>0</v>
      </c>
      <c r="BM86">
        <f>IF(AND(AK86=SafetyLabel,AY86=1),AP86,0)</f>
        <v>0</v>
      </c>
      <c r="BN86">
        <f>IF(AND(AK86=SecureLabel,AY86=1),AP86,0)</f>
        <v>0</v>
      </c>
      <c r="BO86">
        <f>IF(AND(AK86=SureThingLabel,AY86=1),AP86,0)</f>
        <v>0</v>
      </c>
      <c r="BP86">
        <f>MAX(BK86:BO86)</f>
        <v>0</v>
      </c>
      <c r="BQ86">
        <f>MAX(BL86:BO86)</f>
        <v>0</v>
      </c>
      <c r="BR86">
        <f>MAX(BM86:BO86)</f>
        <v>0</v>
      </c>
      <c r="BS86">
        <f>IF(ISNUMBER(Y86),INDEX(AllCollegeChicago, MATCH(N86,AllCollegeNCES,0))*AY86,0)</f>
        <v>0</v>
      </c>
      <c r="BT86">
        <f>IF(ISNUMBER(Y86),INDEX(AllCollegeMoneyCode, MATCH(N86,AllCollegeNCES,0)),"?")</f>
        <v>0</v>
      </c>
      <c r="BU86">
        <f>IF(OR(BT86="---",BT86="--",BT86="+/--",BT86="+/---"),1,0)</f>
        <v>0</v>
      </c>
      <c r="BV86">
        <f>AY86*AO86*AQ86</f>
        <v>0</v>
      </c>
    </row>
    <row r="87" spans="1:74">
      <c r="A87" t="s">
        <v>86</v>
      </c>
      <c r="B87">
        <v>22366458</v>
      </c>
      <c r="C87" t="s">
        <v>284</v>
      </c>
      <c r="D87" t="s">
        <v>285</v>
      </c>
      <c r="E87" t="s">
        <v>428</v>
      </c>
      <c r="F87" t="s">
        <v>438</v>
      </c>
      <c r="G87" t="s">
        <v>430</v>
      </c>
      <c r="H87" t="s">
        <v>431</v>
      </c>
      <c r="I87" t="s">
        <v>432</v>
      </c>
      <c r="J87" t="s">
        <v>432</v>
      </c>
      <c r="K87">
        <v>0</v>
      </c>
      <c r="L87" t="s">
        <v>428</v>
      </c>
      <c r="M87" t="s">
        <v>439</v>
      </c>
      <c r="N87">
        <v>150774</v>
      </c>
      <c r="O87">
        <f>INDEX(AllCollegeBarrons,MATCH(N87,AllCollegeNCES,0))</f>
        <v>0</v>
      </c>
      <c r="P87">
        <f>INDEX(KidGPAs,MATCH(B87,KidIDs,0))</f>
        <v>0</v>
      </c>
      <c r="Q87">
        <f>INDEX(KidACTs,MATCH(B87,KidIDs,0))</f>
        <v>0</v>
      </c>
      <c r="R87">
        <f>INDEX(Strats,MATCH(B87,KidIDs,0))</f>
        <v>0</v>
      </c>
      <c r="S87">
        <f>INDEX(KidRace,MATCH(B87,KidIDs,0))</f>
        <v>0</v>
      </c>
      <c r="T87">
        <f>IF(OR(S87="M",S87="I"),"H",S87)</f>
        <v>0</v>
      </c>
      <c r="U87">
        <f>INDEX(StudentTargets,MATCH(B87,KidIDs,0))</f>
        <v>0</v>
      </c>
      <c r="V87">
        <f>INDEX(ReachStudentTargets,MATCH(B87,KidIDs,0))</f>
        <v>0</v>
      </c>
      <c r="W87">
        <f>IF(OR(M87="Posse"),1,0)</f>
        <v>0</v>
      </c>
      <c r="X87">
        <f>IF(ISNUMBER(INDEX(AllCollegeGR, MATCH(N87,AllCollegeNCES,0))),ROUND(INDEX(AllCollegeGR, MATCH(N87,AllCollegeNCES,0))+W87*IF(INDEX(AllCollegeGR, MATCH(N87,AllCollegeNCES,0))&gt;0.7,(1-INDEX(AllCollegeGR, MATCH(N87,AllCollegeNCES,0)))/2,0.15),2),INDEX(AllCollegeGR, MATCH(N87,AllCollegeNCES,0)))</f>
        <v>0</v>
      </c>
      <c r="Y87">
        <f>IF(ISNUMBER(INDEX(AllCollegeAAHGR, MATCH(N87,AllCollegeNCES,0))),ROUND(INDEX(AllCollegeAAHGR, MATCH(N87,AllCollegeNCES,0))+W87*IF(INDEX(AllCollegeAAHGR, MATCH(N87,AllCollegeNCES,0))&gt;0.7,(1-INDEX(AllCollegeAAHGR, MATCH(N87,AllCollegeNCES,0)))/2,0.15),2),INDEX(AllCollegeAAHGR, MATCH(N87,AllCollegeNCES,0)))</f>
        <v>0</v>
      </c>
      <c r="Z87">
        <f>IF(OR(T87="H",T87="B"),INDEX(AllCollegeACT25, MATCH(N87,AllCollegeNCES,0)),INDEX(AllCollegeACT50, MATCH(N87,AllCollegeNCES,0)))</f>
        <v>0</v>
      </c>
      <c r="AA87">
        <f>INDEX(CustomWeightsGPA,MATCH(T87&amp;":"&amp;N87,CustomWeightsIndex,0))</f>
        <v>0</v>
      </c>
      <c r="AB87">
        <f>INDEX(CustomWeightsACT,MATCH(T87&amp;":"&amp;N87,CustomWeightsIndex,0))</f>
        <v>0</v>
      </c>
      <c r="AC87">
        <f>INDEX(CustomWeightsIntercept,MATCH(T87&amp;":"&amp;N87,CustomWeightsIndex,0))</f>
        <v>0</v>
      </c>
      <c r="AD87">
        <f>AA87*P87+AB87*Q87+AC87</f>
        <v>0</v>
      </c>
      <c r="AE87">
        <f>INDEX(CoefficientsGPA,MATCH(T87&amp;":"&amp;O87,CoefficientsIndex,0))</f>
        <v>0</v>
      </c>
      <c r="AF87">
        <f>INDEX(CoefficientsACT,MATCH(T87&amp;":"&amp;O87,CoefficientsIndex,0))</f>
        <v>0</v>
      </c>
      <c r="AG87">
        <f>INDEX(CoefficientsIntercept,MATCH(T87&amp;":"&amp;O87,CoefficientsIndex,0))</f>
        <v>0</v>
      </c>
      <c r="AH87">
        <f>AE87*P87+(Q87-Z87)*AF87+AG87</f>
        <v>0</v>
      </c>
      <c r="AI87">
        <f>IF(ISNUMBER(AD87),AD87,AH87)</f>
        <v>0</v>
      </c>
      <c r="AJ87">
        <f>IF(ISNUMBER(AI87),IF(ISNUMBER(AE87),IF(AND(AE87=1,AF87=1,AG87=1),100,ROUND(100*EXP(AI87)/(1+EXP(AI87)),2)),ROUND(100*EXP(AI87)/(1+EXP(AI87)),2)),IF(ISTEXT(O87),IF(LEFT(O87,1)="2",100,"N/A"),"N/A"))</f>
        <v>0</v>
      </c>
      <c r="AK87">
        <f>IF(ISNUMBER(AJ87),IF(AJ87&gt;=99,IF(OR(R87=10,R87=11),MatchLabel,SureThingLabel),IF(AJ87&gt;=95,SecureLabel,IF(AJ87&gt;=80,SafetyLabel,IF(AJ87&gt;=50,MatchLabel,IF(AJ87&gt;=20,ReachLabel,IF(AJ87&gt;=10,LongshotLabel,HailMaryLabel)))))),"Other")</f>
        <v>0</v>
      </c>
      <c r="AL87">
        <f>IF(OR(I87="accepted",I87="cond. accept",I87="summer admit"),IF(J87="yes","CHOICE!","Accepted!"),IF(I87="denied","Denied",IF(K87=1,"Waitlist",IF(L87=1,"Deferred",IF(G87="pending","Pending",IF(OR(G87="initial materials submitted",G87="mid-year submitted",G87="final submitted"),"Submitted",IF(H87="interest","Interest","?")))))))</f>
        <v>0</v>
      </c>
      <c r="AM87">
        <f>IF(OR(AK87=ReachLabel,AK87=LongshotLabel,AK87=HailMaryLabel),1,0)</f>
        <v>0</v>
      </c>
      <c r="AN87">
        <f>IF(OR(AM87=1,AK87=MatchLabel),1,0)</f>
        <v>0</v>
      </c>
      <c r="AO87">
        <f>IF(OR(AK87=MatchLabel,AK87=SafetyLabel,AK87=SecureLabel,AK87=SureThingLabel),1,0)</f>
        <v>0</v>
      </c>
      <c r="AP87">
        <f>IF(OR(T87="H",T87="B"),IF(ISNUMBER(Y87),ROUND(Y87,2),0),IF(ISNUMBER(X87),ROUND(X87,2),0))</f>
        <v>0</v>
      </c>
      <c r="AQ87">
        <f>IF(AP87&gt;=U87,1,0)</f>
        <v>0</v>
      </c>
      <c r="AR87">
        <f>IF(AP87&gt;=V87,1,0)</f>
        <v>0</v>
      </c>
      <c r="AS87">
        <f>IF(AP87&lt;(U87-0.10),1,0)</f>
        <v>0</v>
      </c>
      <c r="AT87">
        <f>1-AJ87/100</f>
        <v>0</v>
      </c>
      <c r="AU87">
        <f>IF(AN87=1,AT87,1)</f>
        <v>0</v>
      </c>
      <c r="AV87">
        <f>IF(AM87=1,AT87,1)</f>
        <v>0</v>
      </c>
      <c r="AW87">
        <f>IF(AND(AQ87=1,ISNUMBER(AT87)),$AT87,1)</f>
        <v>0</v>
      </c>
      <c r="AX87">
        <f>IF(AND(AR87=1,ISNUMBER(AT87)),$AT87,1)</f>
        <v>0</v>
      </c>
      <c r="AY87">
        <f>IF(ISNUMBER(Y87),INDEX(AllCollegeMoney, MATCH(N87,AllCollegeNCES,0)),0)</f>
        <v>0</v>
      </c>
      <c r="AZ87">
        <f>IF(AND(AQ87=1,ISNUMBER(AT87),AY87=1),$AT87,1)</f>
        <v>0</v>
      </c>
      <c r="BA87">
        <f>IF(AND(AR87=1,ISNUMBER(AT87),AY87=1),$AT87,1)</f>
        <v>0</v>
      </c>
      <c r="BB87">
        <f>IF(ISNUMBER(Y87),INDEX(AllCollegeILPub, MATCH(N87,AllCollegeNCES,0)),0)</f>
        <v>0</v>
      </c>
      <c r="BC87">
        <f>IF(AK87=ReachLabel,AP87,0)</f>
        <v>0</v>
      </c>
      <c r="BD87">
        <f>IF(AK87=MatchLabel,AP87,0)</f>
        <v>0</v>
      </c>
      <c r="BE87">
        <f>IF(AK87=SafetyLabel,AP87,0)</f>
        <v>0</v>
      </c>
      <c r="BF87">
        <f>IF(AK87=SecureLabel,AP87,0)</f>
        <v>0</v>
      </c>
      <c r="BG87">
        <f>IF(AK87=SureThingLabel,AP87,0)</f>
        <v>0</v>
      </c>
      <c r="BH87">
        <f>MAX(BC87:BG87)</f>
        <v>0</v>
      </c>
      <c r="BI87">
        <f>MAX(BD87:BG87)</f>
        <v>0</v>
      </c>
      <c r="BJ87">
        <f>MAX(BE87:BG87)</f>
        <v>0</v>
      </c>
      <c r="BK87">
        <f>IF(AND(AK87=ReachLabel,AY87=1),AP87,0)</f>
        <v>0</v>
      </c>
      <c r="BL87">
        <f>IF(AND(AK87=MatchLabel,AY87=1),AP87,0)</f>
        <v>0</v>
      </c>
      <c r="BM87">
        <f>IF(AND(AK87=SafetyLabel,AY87=1),AP87,0)</f>
        <v>0</v>
      </c>
      <c r="BN87">
        <f>IF(AND(AK87=SecureLabel,AY87=1),AP87,0)</f>
        <v>0</v>
      </c>
      <c r="BO87">
        <f>IF(AND(AK87=SureThingLabel,AY87=1),AP87,0)</f>
        <v>0</v>
      </c>
      <c r="BP87">
        <f>MAX(BK87:BO87)</f>
        <v>0</v>
      </c>
      <c r="BQ87">
        <f>MAX(BL87:BO87)</f>
        <v>0</v>
      </c>
      <c r="BR87">
        <f>MAX(BM87:BO87)</f>
        <v>0</v>
      </c>
      <c r="BS87">
        <f>IF(ISNUMBER(Y87),INDEX(AllCollegeChicago, MATCH(N87,AllCollegeNCES,0))*AY87,0)</f>
        <v>0</v>
      </c>
      <c r="BT87">
        <f>IF(ISNUMBER(Y87),INDEX(AllCollegeMoneyCode, MATCH(N87,AllCollegeNCES,0)),"?")</f>
        <v>0</v>
      </c>
      <c r="BU87">
        <f>IF(OR(BT87="---",BT87="--",BT87="+/--",BT87="+/---"),1,0)</f>
        <v>0</v>
      </c>
      <c r="BV87">
        <f>AY87*AO87*AQ87</f>
        <v>0</v>
      </c>
    </row>
    <row r="88" spans="1:74">
      <c r="A88" t="s">
        <v>86</v>
      </c>
      <c r="B88">
        <v>22372458</v>
      </c>
      <c r="C88" t="s">
        <v>266</v>
      </c>
      <c r="D88" t="s">
        <v>267</v>
      </c>
      <c r="E88" t="s">
        <v>428</v>
      </c>
      <c r="F88" t="s">
        <v>448</v>
      </c>
      <c r="G88" t="s">
        <v>430</v>
      </c>
      <c r="H88" t="s">
        <v>431</v>
      </c>
      <c r="I88" t="s">
        <v>432</v>
      </c>
      <c r="J88" t="s">
        <v>432</v>
      </c>
      <c r="K88">
        <v>0</v>
      </c>
      <c r="L88" t="s">
        <v>428</v>
      </c>
      <c r="M88" t="s">
        <v>428</v>
      </c>
      <c r="N88" t="s">
        <v>449</v>
      </c>
      <c r="O88">
        <f>INDEX(AllCollegeBarrons,MATCH(N88,AllCollegeNCES,0))</f>
        <v>0</v>
      </c>
      <c r="P88">
        <f>INDEX(KidGPAs,MATCH(B88,KidIDs,0))</f>
        <v>0</v>
      </c>
      <c r="Q88">
        <f>INDEX(KidACTs,MATCH(B88,KidIDs,0))</f>
        <v>0</v>
      </c>
      <c r="R88">
        <f>INDEX(Strats,MATCH(B88,KidIDs,0))</f>
        <v>0</v>
      </c>
      <c r="S88">
        <f>INDEX(KidRace,MATCH(B88,KidIDs,0))</f>
        <v>0</v>
      </c>
      <c r="T88">
        <f>IF(OR(S88="M",S88="I"),"H",S88)</f>
        <v>0</v>
      </c>
      <c r="U88">
        <f>INDEX(StudentTargets,MATCH(B88,KidIDs,0))</f>
        <v>0</v>
      </c>
      <c r="V88">
        <f>INDEX(ReachStudentTargets,MATCH(B88,KidIDs,0))</f>
        <v>0</v>
      </c>
      <c r="W88">
        <f>IF(OR(M88="Posse"),1,0)</f>
        <v>0</v>
      </c>
      <c r="X88">
        <f>IF(ISNUMBER(INDEX(AllCollegeGR, MATCH(N88,AllCollegeNCES,0))),ROUND(INDEX(AllCollegeGR, MATCH(N88,AllCollegeNCES,0))+W88*IF(INDEX(AllCollegeGR, MATCH(N88,AllCollegeNCES,0))&gt;0.7,(1-INDEX(AllCollegeGR, MATCH(N88,AllCollegeNCES,0)))/2,0.15),2),INDEX(AllCollegeGR, MATCH(N88,AllCollegeNCES,0)))</f>
        <v>0</v>
      </c>
      <c r="Y88">
        <f>IF(ISNUMBER(INDEX(AllCollegeAAHGR, MATCH(N88,AllCollegeNCES,0))),ROUND(INDEX(AllCollegeAAHGR, MATCH(N88,AllCollegeNCES,0))+W88*IF(INDEX(AllCollegeAAHGR, MATCH(N88,AllCollegeNCES,0))&gt;0.7,(1-INDEX(AllCollegeAAHGR, MATCH(N88,AllCollegeNCES,0)))/2,0.15),2),INDEX(AllCollegeAAHGR, MATCH(N88,AllCollegeNCES,0)))</f>
        <v>0</v>
      </c>
      <c r="Z88">
        <f>IF(OR(T88="H",T88="B"),INDEX(AllCollegeACT25, MATCH(N88,AllCollegeNCES,0)),INDEX(AllCollegeACT50, MATCH(N88,AllCollegeNCES,0)))</f>
        <v>0</v>
      </c>
      <c r="AA88">
        <f>INDEX(CustomWeightsGPA,MATCH(T88&amp;":"&amp;N88,CustomWeightsIndex,0))</f>
        <v>0</v>
      </c>
      <c r="AB88">
        <f>INDEX(CustomWeightsACT,MATCH(T88&amp;":"&amp;N88,CustomWeightsIndex,0))</f>
        <v>0</v>
      </c>
      <c r="AC88">
        <f>INDEX(CustomWeightsIntercept,MATCH(T88&amp;":"&amp;N88,CustomWeightsIndex,0))</f>
        <v>0</v>
      </c>
      <c r="AD88">
        <f>AA88*P88+AB88*Q88+AC88</f>
        <v>0</v>
      </c>
      <c r="AE88">
        <f>INDEX(CoefficientsGPA,MATCH(T88&amp;":"&amp;O88,CoefficientsIndex,0))</f>
        <v>0</v>
      </c>
      <c r="AF88">
        <f>INDEX(CoefficientsACT,MATCH(T88&amp;":"&amp;O88,CoefficientsIndex,0))</f>
        <v>0</v>
      </c>
      <c r="AG88">
        <f>INDEX(CoefficientsIntercept,MATCH(T88&amp;":"&amp;O88,CoefficientsIndex,0))</f>
        <v>0</v>
      </c>
      <c r="AH88">
        <f>AE88*P88+(Q88-Z88)*AF88+AG88</f>
        <v>0</v>
      </c>
      <c r="AI88">
        <f>IF(ISNUMBER(AD88),AD88,AH88)</f>
        <v>0</v>
      </c>
      <c r="AJ88">
        <f>IF(ISNUMBER(AI88),IF(ISNUMBER(AE88),IF(AND(AE88=1,AF88=1,AG88=1),100,ROUND(100*EXP(AI88)/(1+EXP(AI88)),2)),ROUND(100*EXP(AI88)/(1+EXP(AI88)),2)),IF(ISTEXT(O88),IF(LEFT(O88,1)="2",100,"N/A"),"N/A"))</f>
        <v>0</v>
      </c>
      <c r="AK88">
        <f>IF(ISNUMBER(AJ88),IF(AJ88&gt;=99,IF(OR(R88=10,R88=11),MatchLabel,SureThingLabel),IF(AJ88&gt;=95,SecureLabel,IF(AJ88&gt;=80,SafetyLabel,IF(AJ88&gt;=50,MatchLabel,IF(AJ88&gt;=20,ReachLabel,IF(AJ88&gt;=10,LongshotLabel,HailMaryLabel)))))),"Other")</f>
        <v>0</v>
      </c>
      <c r="AL88">
        <f>IF(OR(I88="accepted",I88="cond. accept",I88="summer admit"),IF(J88="yes","CHOICE!","Accepted!"),IF(I88="denied","Denied",IF(K88=1,"Waitlist",IF(L88=1,"Deferred",IF(G88="pending","Pending",IF(OR(G88="initial materials submitted",G88="mid-year submitted",G88="final submitted"),"Submitted",IF(H88="interest","Interest","?")))))))</f>
        <v>0</v>
      </c>
      <c r="AM88">
        <f>IF(OR(AK88=ReachLabel,AK88=LongshotLabel,AK88=HailMaryLabel),1,0)</f>
        <v>0</v>
      </c>
      <c r="AN88">
        <f>IF(OR(AM88=1,AK88=MatchLabel),1,0)</f>
        <v>0</v>
      </c>
      <c r="AO88">
        <f>IF(OR(AK88=MatchLabel,AK88=SafetyLabel,AK88=SecureLabel,AK88=SureThingLabel),1,0)</f>
        <v>0</v>
      </c>
      <c r="AP88">
        <f>IF(OR(T88="H",T88="B"),IF(ISNUMBER(Y88),ROUND(Y88,2),0),IF(ISNUMBER(X88),ROUND(X88,2),0))</f>
        <v>0</v>
      </c>
      <c r="AQ88">
        <f>IF(AP88&gt;=U88,1,0)</f>
        <v>0</v>
      </c>
      <c r="AR88">
        <f>IF(AP88&gt;=V88,1,0)</f>
        <v>0</v>
      </c>
      <c r="AS88">
        <f>IF(AP88&lt;(U88-0.10),1,0)</f>
        <v>0</v>
      </c>
      <c r="AT88">
        <f>1-AJ88/100</f>
        <v>0</v>
      </c>
      <c r="AU88">
        <f>IF(AN88=1,AT88,1)</f>
        <v>0</v>
      </c>
      <c r="AV88">
        <f>IF(AM88=1,AT88,1)</f>
        <v>0</v>
      </c>
      <c r="AW88">
        <f>IF(AND(AQ88=1,ISNUMBER(AT88)),$AT88,1)</f>
        <v>0</v>
      </c>
      <c r="AX88">
        <f>IF(AND(AR88=1,ISNUMBER(AT88)),$AT88,1)</f>
        <v>0</v>
      </c>
      <c r="AY88">
        <f>IF(ISNUMBER(Y88),INDEX(AllCollegeMoney, MATCH(N88,AllCollegeNCES,0)),0)</f>
        <v>0</v>
      </c>
      <c r="AZ88">
        <f>IF(AND(AQ88=1,ISNUMBER(AT88),AY88=1),$AT88,1)</f>
        <v>0</v>
      </c>
      <c r="BA88">
        <f>IF(AND(AR88=1,ISNUMBER(AT88),AY88=1),$AT88,1)</f>
        <v>0</v>
      </c>
      <c r="BB88">
        <f>IF(ISNUMBER(Y88),INDEX(AllCollegeILPub, MATCH(N88,AllCollegeNCES,0)),0)</f>
        <v>0</v>
      </c>
      <c r="BC88">
        <f>IF(AK88=ReachLabel,AP88,0)</f>
        <v>0</v>
      </c>
      <c r="BD88">
        <f>IF(AK88=MatchLabel,AP88,0)</f>
        <v>0</v>
      </c>
      <c r="BE88">
        <f>IF(AK88=SafetyLabel,AP88,0)</f>
        <v>0</v>
      </c>
      <c r="BF88">
        <f>IF(AK88=SecureLabel,AP88,0)</f>
        <v>0</v>
      </c>
      <c r="BG88">
        <f>IF(AK88=SureThingLabel,AP88,0)</f>
        <v>0</v>
      </c>
      <c r="BH88">
        <f>MAX(BC88:BG88)</f>
        <v>0</v>
      </c>
      <c r="BI88">
        <f>MAX(BD88:BG88)</f>
        <v>0</v>
      </c>
      <c r="BJ88">
        <f>MAX(BE88:BG88)</f>
        <v>0</v>
      </c>
      <c r="BK88">
        <f>IF(AND(AK88=ReachLabel,AY88=1),AP88,0)</f>
        <v>0</v>
      </c>
      <c r="BL88">
        <f>IF(AND(AK88=MatchLabel,AY88=1),AP88,0)</f>
        <v>0</v>
      </c>
      <c r="BM88">
        <f>IF(AND(AK88=SafetyLabel,AY88=1),AP88,0)</f>
        <v>0</v>
      </c>
      <c r="BN88">
        <f>IF(AND(AK88=SecureLabel,AY88=1),AP88,0)</f>
        <v>0</v>
      </c>
      <c r="BO88">
        <f>IF(AND(AK88=SureThingLabel,AY88=1),AP88,0)</f>
        <v>0</v>
      </c>
      <c r="BP88">
        <f>MAX(BK88:BO88)</f>
        <v>0</v>
      </c>
      <c r="BQ88">
        <f>MAX(BL88:BO88)</f>
        <v>0</v>
      </c>
      <c r="BR88">
        <f>MAX(BM88:BO88)</f>
        <v>0</v>
      </c>
      <c r="BS88">
        <f>IF(ISNUMBER(Y88),INDEX(AllCollegeChicago, MATCH(N88,AllCollegeNCES,0))*AY88,0)</f>
        <v>0</v>
      </c>
      <c r="BT88">
        <f>IF(ISNUMBER(Y88),INDEX(AllCollegeMoneyCode, MATCH(N88,AllCollegeNCES,0)),"?")</f>
        <v>0</v>
      </c>
      <c r="BU88">
        <f>IF(OR(BT88="---",BT88="--",BT88="+/--",BT88="+/---"),1,0)</f>
        <v>0</v>
      </c>
      <c r="BV88">
        <f>AY88*AO88*AQ88</f>
        <v>0</v>
      </c>
    </row>
    <row r="89" spans="1:74">
      <c r="A89" t="s">
        <v>86</v>
      </c>
      <c r="B89">
        <v>22372458</v>
      </c>
      <c r="C89" t="s">
        <v>266</v>
      </c>
      <c r="D89" t="s">
        <v>267</v>
      </c>
      <c r="E89" t="s">
        <v>428</v>
      </c>
      <c r="F89" t="s">
        <v>436</v>
      </c>
      <c r="G89" t="s">
        <v>430</v>
      </c>
      <c r="H89" t="s">
        <v>431</v>
      </c>
      <c r="I89" t="s">
        <v>432</v>
      </c>
      <c r="J89" t="s">
        <v>432</v>
      </c>
      <c r="K89">
        <v>0</v>
      </c>
      <c r="L89" t="s">
        <v>428</v>
      </c>
      <c r="M89" t="s">
        <v>428</v>
      </c>
      <c r="N89">
        <v>147536</v>
      </c>
      <c r="O89">
        <f>INDEX(AllCollegeBarrons,MATCH(N89,AllCollegeNCES,0))</f>
        <v>0</v>
      </c>
      <c r="P89">
        <f>INDEX(KidGPAs,MATCH(B89,KidIDs,0))</f>
        <v>0</v>
      </c>
      <c r="Q89">
        <f>INDEX(KidACTs,MATCH(B89,KidIDs,0))</f>
        <v>0</v>
      </c>
      <c r="R89">
        <f>INDEX(Strats,MATCH(B89,KidIDs,0))</f>
        <v>0</v>
      </c>
      <c r="S89">
        <f>INDEX(KidRace,MATCH(B89,KidIDs,0))</f>
        <v>0</v>
      </c>
      <c r="T89">
        <f>IF(OR(S89="M",S89="I"),"H",S89)</f>
        <v>0</v>
      </c>
      <c r="U89">
        <f>INDEX(StudentTargets,MATCH(B89,KidIDs,0))</f>
        <v>0</v>
      </c>
      <c r="V89">
        <f>INDEX(ReachStudentTargets,MATCH(B89,KidIDs,0))</f>
        <v>0</v>
      </c>
      <c r="W89">
        <f>IF(OR(M89="Posse"),1,0)</f>
        <v>0</v>
      </c>
      <c r="X89">
        <f>IF(ISNUMBER(INDEX(AllCollegeGR, MATCH(N89,AllCollegeNCES,0))),ROUND(INDEX(AllCollegeGR, MATCH(N89,AllCollegeNCES,0))+W89*IF(INDEX(AllCollegeGR, MATCH(N89,AllCollegeNCES,0))&gt;0.7,(1-INDEX(AllCollegeGR, MATCH(N89,AllCollegeNCES,0)))/2,0.15),2),INDEX(AllCollegeGR, MATCH(N89,AllCollegeNCES,0)))</f>
        <v>0</v>
      </c>
      <c r="Y89">
        <f>IF(ISNUMBER(INDEX(AllCollegeAAHGR, MATCH(N89,AllCollegeNCES,0))),ROUND(INDEX(AllCollegeAAHGR, MATCH(N89,AllCollegeNCES,0))+W89*IF(INDEX(AllCollegeAAHGR, MATCH(N89,AllCollegeNCES,0))&gt;0.7,(1-INDEX(AllCollegeAAHGR, MATCH(N89,AllCollegeNCES,0)))/2,0.15),2),INDEX(AllCollegeAAHGR, MATCH(N89,AllCollegeNCES,0)))</f>
        <v>0</v>
      </c>
      <c r="Z89">
        <f>IF(OR(T89="H",T89="B"),INDEX(AllCollegeACT25, MATCH(N89,AllCollegeNCES,0)),INDEX(AllCollegeACT50, MATCH(N89,AllCollegeNCES,0)))</f>
        <v>0</v>
      </c>
      <c r="AA89">
        <f>INDEX(CustomWeightsGPA,MATCH(T89&amp;":"&amp;N89,CustomWeightsIndex,0))</f>
        <v>0</v>
      </c>
      <c r="AB89">
        <f>INDEX(CustomWeightsACT,MATCH(T89&amp;":"&amp;N89,CustomWeightsIndex,0))</f>
        <v>0</v>
      </c>
      <c r="AC89">
        <f>INDEX(CustomWeightsIntercept,MATCH(T89&amp;":"&amp;N89,CustomWeightsIndex,0))</f>
        <v>0</v>
      </c>
      <c r="AD89">
        <f>AA89*P89+AB89*Q89+AC89</f>
        <v>0</v>
      </c>
      <c r="AE89">
        <f>INDEX(CoefficientsGPA,MATCH(T89&amp;":"&amp;O89,CoefficientsIndex,0))</f>
        <v>0</v>
      </c>
      <c r="AF89">
        <f>INDEX(CoefficientsACT,MATCH(T89&amp;":"&amp;O89,CoefficientsIndex,0))</f>
        <v>0</v>
      </c>
      <c r="AG89">
        <f>INDEX(CoefficientsIntercept,MATCH(T89&amp;":"&amp;O89,CoefficientsIndex,0))</f>
        <v>0</v>
      </c>
      <c r="AH89">
        <f>AE89*P89+(Q89-Z89)*AF89+AG89</f>
        <v>0</v>
      </c>
      <c r="AI89">
        <f>IF(ISNUMBER(AD89),AD89,AH89)</f>
        <v>0</v>
      </c>
      <c r="AJ89">
        <f>IF(ISNUMBER(AI89),IF(ISNUMBER(AE89),IF(AND(AE89=1,AF89=1,AG89=1),100,ROUND(100*EXP(AI89)/(1+EXP(AI89)),2)),ROUND(100*EXP(AI89)/(1+EXP(AI89)),2)),IF(ISTEXT(O89),IF(LEFT(O89,1)="2",100,"N/A"),"N/A"))</f>
        <v>0</v>
      </c>
      <c r="AK89">
        <f>IF(ISNUMBER(AJ89),IF(AJ89&gt;=99,IF(OR(R89=10,R89=11),MatchLabel,SureThingLabel),IF(AJ89&gt;=95,SecureLabel,IF(AJ89&gt;=80,SafetyLabel,IF(AJ89&gt;=50,MatchLabel,IF(AJ89&gt;=20,ReachLabel,IF(AJ89&gt;=10,LongshotLabel,HailMaryLabel)))))),"Other")</f>
        <v>0</v>
      </c>
      <c r="AL89">
        <f>IF(OR(I89="accepted",I89="cond. accept",I89="summer admit"),IF(J89="yes","CHOICE!","Accepted!"),IF(I89="denied","Denied",IF(K89=1,"Waitlist",IF(L89=1,"Deferred",IF(G89="pending","Pending",IF(OR(G89="initial materials submitted",G89="mid-year submitted",G89="final submitted"),"Submitted",IF(H89="interest","Interest","?")))))))</f>
        <v>0</v>
      </c>
      <c r="AM89">
        <f>IF(OR(AK89=ReachLabel,AK89=LongshotLabel,AK89=HailMaryLabel),1,0)</f>
        <v>0</v>
      </c>
      <c r="AN89">
        <f>IF(OR(AM89=1,AK89=MatchLabel),1,0)</f>
        <v>0</v>
      </c>
      <c r="AO89">
        <f>IF(OR(AK89=MatchLabel,AK89=SafetyLabel,AK89=SecureLabel,AK89=SureThingLabel),1,0)</f>
        <v>0</v>
      </c>
      <c r="AP89">
        <f>IF(OR(T89="H",T89="B"),IF(ISNUMBER(Y89),ROUND(Y89,2),0),IF(ISNUMBER(X89),ROUND(X89,2),0))</f>
        <v>0</v>
      </c>
      <c r="AQ89">
        <f>IF(AP89&gt;=U89,1,0)</f>
        <v>0</v>
      </c>
      <c r="AR89">
        <f>IF(AP89&gt;=V89,1,0)</f>
        <v>0</v>
      </c>
      <c r="AS89">
        <f>IF(AP89&lt;(U89-0.10),1,0)</f>
        <v>0</v>
      </c>
      <c r="AT89">
        <f>1-AJ89/100</f>
        <v>0</v>
      </c>
      <c r="AU89">
        <f>IF(AN89=1,AT89,1)</f>
        <v>0</v>
      </c>
      <c r="AV89">
        <f>IF(AM89=1,AT89,1)</f>
        <v>0</v>
      </c>
      <c r="AW89">
        <f>IF(AND(AQ89=1,ISNUMBER(AT89)),$AT89,1)</f>
        <v>0</v>
      </c>
      <c r="AX89">
        <f>IF(AND(AR89=1,ISNUMBER(AT89)),$AT89,1)</f>
        <v>0</v>
      </c>
      <c r="AY89">
        <f>IF(ISNUMBER(Y89),INDEX(AllCollegeMoney, MATCH(N89,AllCollegeNCES,0)),0)</f>
        <v>0</v>
      </c>
      <c r="AZ89">
        <f>IF(AND(AQ89=1,ISNUMBER(AT89),AY89=1),$AT89,1)</f>
        <v>0</v>
      </c>
      <c r="BA89">
        <f>IF(AND(AR89=1,ISNUMBER(AT89),AY89=1),$AT89,1)</f>
        <v>0</v>
      </c>
      <c r="BB89">
        <f>IF(ISNUMBER(Y89),INDEX(AllCollegeILPub, MATCH(N89,AllCollegeNCES,0)),0)</f>
        <v>0</v>
      </c>
      <c r="BC89">
        <f>IF(AK89=ReachLabel,AP89,0)</f>
        <v>0</v>
      </c>
      <c r="BD89">
        <f>IF(AK89=MatchLabel,AP89,0)</f>
        <v>0</v>
      </c>
      <c r="BE89">
        <f>IF(AK89=SafetyLabel,AP89,0)</f>
        <v>0</v>
      </c>
      <c r="BF89">
        <f>IF(AK89=SecureLabel,AP89,0)</f>
        <v>0</v>
      </c>
      <c r="BG89">
        <f>IF(AK89=SureThingLabel,AP89,0)</f>
        <v>0</v>
      </c>
      <c r="BH89">
        <f>MAX(BC89:BG89)</f>
        <v>0</v>
      </c>
      <c r="BI89">
        <f>MAX(BD89:BG89)</f>
        <v>0</v>
      </c>
      <c r="BJ89">
        <f>MAX(BE89:BG89)</f>
        <v>0</v>
      </c>
      <c r="BK89">
        <f>IF(AND(AK89=ReachLabel,AY89=1),AP89,0)</f>
        <v>0</v>
      </c>
      <c r="BL89">
        <f>IF(AND(AK89=MatchLabel,AY89=1),AP89,0)</f>
        <v>0</v>
      </c>
      <c r="BM89">
        <f>IF(AND(AK89=SafetyLabel,AY89=1),AP89,0)</f>
        <v>0</v>
      </c>
      <c r="BN89">
        <f>IF(AND(AK89=SecureLabel,AY89=1),AP89,0)</f>
        <v>0</v>
      </c>
      <c r="BO89">
        <f>IF(AND(AK89=SureThingLabel,AY89=1),AP89,0)</f>
        <v>0</v>
      </c>
      <c r="BP89">
        <f>MAX(BK89:BO89)</f>
        <v>0</v>
      </c>
      <c r="BQ89">
        <f>MAX(BL89:BO89)</f>
        <v>0</v>
      </c>
      <c r="BR89">
        <f>MAX(BM89:BO89)</f>
        <v>0</v>
      </c>
      <c r="BS89">
        <f>IF(ISNUMBER(Y89),INDEX(AllCollegeChicago, MATCH(N89,AllCollegeNCES,0))*AY89,0)</f>
        <v>0</v>
      </c>
      <c r="BT89">
        <f>IF(ISNUMBER(Y89),INDEX(AllCollegeMoneyCode, MATCH(N89,AllCollegeNCES,0)),"?")</f>
        <v>0</v>
      </c>
      <c r="BU89">
        <f>IF(OR(BT89="---",BT89="--",BT89="+/--",BT89="+/---"),1,0)</f>
        <v>0</v>
      </c>
      <c r="BV89">
        <f>AY89*AO89*AQ89</f>
        <v>0</v>
      </c>
    </row>
    <row r="90" spans="1:74">
      <c r="A90" t="s">
        <v>86</v>
      </c>
      <c r="B90">
        <v>22372458</v>
      </c>
      <c r="C90" t="s">
        <v>266</v>
      </c>
      <c r="D90" t="s">
        <v>267</v>
      </c>
      <c r="E90" t="s">
        <v>428</v>
      </c>
      <c r="F90" t="s">
        <v>442</v>
      </c>
      <c r="G90" t="s">
        <v>430</v>
      </c>
      <c r="H90" t="s">
        <v>431</v>
      </c>
      <c r="I90" t="s">
        <v>432</v>
      </c>
      <c r="J90" t="s">
        <v>432</v>
      </c>
      <c r="K90">
        <v>0</v>
      </c>
      <c r="L90" t="s">
        <v>428</v>
      </c>
      <c r="M90" t="s">
        <v>428</v>
      </c>
      <c r="N90">
        <v>149222</v>
      </c>
      <c r="O90">
        <f>INDEX(AllCollegeBarrons,MATCH(N90,AllCollegeNCES,0))</f>
        <v>0</v>
      </c>
      <c r="P90">
        <f>INDEX(KidGPAs,MATCH(B90,KidIDs,0))</f>
        <v>0</v>
      </c>
      <c r="Q90">
        <f>INDEX(KidACTs,MATCH(B90,KidIDs,0))</f>
        <v>0</v>
      </c>
      <c r="R90">
        <f>INDEX(Strats,MATCH(B90,KidIDs,0))</f>
        <v>0</v>
      </c>
      <c r="S90">
        <f>INDEX(KidRace,MATCH(B90,KidIDs,0))</f>
        <v>0</v>
      </c>
      <c r="T90">
        <f>IF(OR(S90="M",S90="I"),"H",S90)</f>
        <v>0</v>
      </c>
      <c r="U90">
        <f>INDEX(StudentTargets,MATCH(B90,KidIDs,0))</f>
        <v>0</v>
      </c>
      <c r="V90">
        <f>INDEX(ReachStudentTargets,MATCH(B90,KidIDs,0))</f>
        <v>0</v>
      </c>
      <c r="W90">
        <f>IF(OR(M90="Posse"),1,0)</f>
        <v>0</v>
      </c>
      <c r="X90">
        <f>IF(ISNUMBER(INDEX(AllCollegeGR, MATCH(N90,AllCollegeNCES,0))),ROUND(INDEX(AllCollegeGR, MATCH(N90,AllCollegeNCES,0))+W90*IF(INDEX(AllCollegeGR, MATCH(N90,AllCollegeNCES,0))&gt;0.7,(1-INDEX(AllCollegeGR, MATCH(N90,AllCollegeNCES,0)))/2,0.15),2),INDEX(AllCollegeGR, MATCH(N90,AllCollegeNCES,0)))</f>
        <v>0</v>
      </c>
      <c r="Y90">
        <f>IF(ISNUMBER(INDEX(AllCollegeAAHGR, MATCH(N90,AllCollegeNCES,0))),ROUND(INDEX(AllCollegeAAHGR, MATCH(N90,AllCollegeNCES,0))+W90*IF(INDEX(AllCollegeAAHGR, MATCH(N90,AllCollegeNCES,0))&gt;0.7,(1-INDEX(AllCollegeAAHGR, MATCH(N90,AllCollegeNCES,0)))/2,0.15),2),INDEX(AllCollegeAAHGR, MATCH(N90,AllCollegeNCES,0)))</f>
        <v>0</v>
      </c>
      <c r="Z90">
        <f>IF(OR(T90="H",T90="B"),INDEX(AllCollegeACT25, MATCH(N90,AllCollegeNCES,0)),INDEX(AllCollegeACT50, MATCH(N90,AllCollegeNCES,0)))</f>
        <v>0</v>
      </c>
      <c r="AA90">
        <f>INDEX(CustomWeightsGPA,MATCH(T90&amp;":"&amp;N90,CustomWeightsIndex,0))</f>
        <v>0</v>
      </c>
      <c r="AB90">
        <f>INDEX(CustomWeightsACT,MATCH(T90&amp;":"&amp;N90,CustomWeightsIndex,0))</f>
        <v>0</v>
      </c>
      <c r="AC90">
        <f>INDEX(CustomWeightsIntercept,MATCH(T90&amp;":"&amp;N90,CustomWeightsIndex,0))</f>
        <v>0</v>
      </c>
      <c r="AD90">
        <f>AA90*P90+AB90*Q90+AC90</f>
        <v>0</v>
      </c>
      <c r="AE90">
        <f>INDEX(CoefficientsGPA,MATCH(T90&amp;":"&amp;O90,CoefficientsIndex,0))</f>
        <v>0</v>
      </c>
      <c r="AF90">
        <f>INDEX(CoefficientsACT,MATCH(T90&amp;":"&amp;O90,CoefficientsIndex,0))</f>
        <v>0</v>
      </c>
      <c r="AG90">
        <f>INDEX(CoefficientsIntercept,MATCH(T90&amp;":"&amp;O90,CoefficientsIndex,0))</f>
        <v>0</v>
      </c>
      <c r="AH90">
        <f>AE90*P90+(Q90-Z90)*AF90+AG90</f>
        <v>0</v>
      </c>
      <c r="AI90">
        <f>IF(ISNUMBER(AD90),AD90,AH90)</f>
        <v>0</v>
      </c>
      <c r="AJ90">
        <f>IF(ISNUMBER(AI90),IF(ISNUMBER(AE90),IF(AND(AE90=1,AF90=1,AG90=1),100,ROUND(100*EXP(AI90)/(1+EXP(AI90)),2)),ROUND(100*EXP(AI90)/(1+EXP(AI90)),2)),IF(ISTEXT(O90),IF(LEFT(O90,1)="2",100,"N/A"),"N/A"))</f>
        <v>0</v>
      </c>
      <c r="AK90">
        <f>IF(ISNUMBER(AJ90),IF(AJ90&gt;=99,IF(OR(R90=10,R90=11),MatchLabel,SureThingLabel),IF(AJ90&gt;=95,SecureLabel,IF(AJ90&gt;=80,SafetyLabel,IF(AJ90&gt;=50,MatchLabel,IF(AJ90&gt;=20,ReachLabel,IF(AJ90&gt;=10,LongshotLabel,HailMaryLabel)))))),"Other")</f>
        <v>0</v>
      </c>
      <c r="AL90">
        <f>IF(OR(I90="accepted",I90="cond. accept",I90="summer admit"),IF(J90="yes","CHOICE!","Accepted!"),IF(I90="denied","Denied",IF(K90=1,"Waitlist",IF(L90=1,"Deferred",IF(G90="pending","Pending",IF(OR(G90="initial materials submitted",G90="mid-year submitted",G90="final submitted"),"Submitted",IF(H90="interest","Interest","?")))))))</f>
        <v>0</v>
      </c>
      <c r="AM90">
        <f>IF(OR(AK90=ReachLabel,AK90=LongshotLabel,AK90=HailMaryLabel),1,0)</f>
        <v>0</v>
      </c>
      <c r="AN90">
        <f>IF(OR(AM90=1,AK90=MatchLabel),1,0)</f>
        <v>0</v>
      </c>
      <c r="AO90">
        <f>IF(OR(AK90=MatchLabel,AK90=SafetyLabel,AK90=SecureLabel,AK90=SureThingLabel),1,0)</f>
        <v>0</v>
      </c>
      <c r="AP90">
        <f>IF(OR(T90="H",T90="B"),IF(ISNUMBER(Y90),ROUND(Y90,2),0),IF(ISNUMBER(X90),ROUND(X90,2),0))</f>
        <v>0</v>
      </c>
      <c r="AQ90">
        <f>IF(AP90&gt;=U90,1,0)</f>
        <v>0</v>
      </c>
      <c r="AR90">
        <f>IF(AP90&gt;=V90,1,0)</f>
        <v>0</v>
      </c>
      <c r="AS90">
        <f>IF(AP90&lt;(U90-0.10),1,0)</f>
        <v>0</v>
      </c>
      <c r="AT90">
        <f>1-AJ90/100</f>
        <v>0</v>
      </c>
      <c r="AU90">
        <f>IF(AN90=1,AT90,1)</f>
        <v>0</v>
      </c>
      <c r="AV90">
        <f>IF(AM90=1,AT90,1)</f>
        <v>0</v>
      </c>
      <c r="AW90">
        <f>IF(AND(AQ90=1,ISNUMBER(AT90)),$AT90,1)</f>
        <v>0</v>
      </c>
      <c r="AX90">
        <f>IF(AND(AR90=1,ISNUMBER(AT90)),$AT90,1)</f>
        <v>0</v>
      </c>
      <c r="AY90">
        <f>IF(ISNUMBER(Y90),INDEX(AllCollegeMoney, MATCH(N90,AllCollegeNCES,0)),0)</f>
        <v>0</v>
      </c>
      <c r="AZ90">
        <f>IF(AND(AQ90=1,ISNUMBER(AT90),AY90=1),$AT90,1)</f>
        <v>0</v>
      </c>
      <c r="BA90">
        <f>IF(AND(AR90=1,ISNUMBER(AT90),AY90=1),$AT90,1)</f>
        <v>0</v>
      </c>
      <c r="BB90">
        <f>IF(ISNUMBER(Y90),INDEX(AllCollegeILPub, MATCH(N90,AllCollegeNCES,0)),0)</f>
        <v>0</v>
      </c>
      <c r="BC90">
        <f>IF(AK90=ReachLabel,AP90,0)</f>
        <v>0</v>
      </c>
      <c r="BD90">
        <f>IF(AK90=MatchLabel,AP90,0)</f>
        <v>0</v>
      </c>
      <c r="BE90">
        <f>IF(AK90=SafetyLabel,AP90,0)</f>
        <v>0</v>
      </c>
      <c r="BF90">
        <f>IF(AK90=SecureLabel,AP90,0)</f>
        <v>0</v>
      </c>
      <c r="BG90">
        <f>IF(AK90=SureThingLabel,AP90,0)</f>
        <v>0</v>
      </c>
      <c r="BH90">
        <f>MAX(BC90:BG90)</f>
        <v>0</v>
      </c>
      <c r="BI90">
        <f>MAX(BD90:BG90)</f>
        <v>0</v>
      </c>
      <c r="BJ90">
        <f>MAX(BE90:BG90)</f>
        <v>0</v>
      </c>
      <c r="BK90">
        <f>IF(AND(AK90=ReachLabel,AY90=1),AP90,0)</f>
        <v>0</v>
      </c>
      <c r="BL90">
        <f>IF(AND(AK90=MatchLabel,AY90=1),AP90,0)</f>
        <v>0</v>
      </c>
      <c r="BM90">
        <f>IF(AND(AK90=SafetyLabel,AY90=1),AP90,0)</f>
        <v>0</v>
      </c>
      <c r="BN90">
        <f>IF(AND(AK90=SecureLabel,AY90=1),AP90,0)</f>
        <v>0</v>
      </c>
      <c r="BO90">
        <f>IF(AND(AK90=SureThingLabel,AY90=1),AP90,0)</f>
        <v>0</v>
      </c>
      <c r="BP90">
        <f>MAX(BK90:BO90)</f>
        <v>0</v>
      </c>
      <c r="BQ90">
        <f>MAX(BL90:BO90)</f>
        <v>0</v>
      </c>
      <c r="BR90">
        <f>MAX(BM90:BO90)</f>
        <v>0</v>
      </c>
      <c r="BS90">
        <f>IF(ISNUMBER(Y90),INDEX(AllCollegeChicago, MATCH(N90,AllCollegeNCES,0))*AY90,0)</f>
        <v>0</v>
      </c>
      <c r="BT90">
        <f>IF(ISNUMBER(Y90),INDEX(AllCollegeMoneyCode, MATCH(N90,AllCollegeNCES,0)),"?")</f>
        <v>0</v>
      </c>
      <c r="BU90">
        <f>IF(OR(BT90="---",BT90="--",BT90="+/--",BT90="+/---"),1,0)</f>
        <v>0</v>
      </c>
      <c r="BV90">
        <f>AY90*AO90*AQ90</f>
        <v>0</v>
      </c>
    </row>
    <row r="91" spans="1:74">
      <c r="A91" t="s">
        <v>86</v>
      </c>
      <c r="B91">
        <v>22372458</v>
      </c>
      <c r="C91" t="s">
        <v>266</v>
      </c>
      <c r="D91" t="s">
        <v>267</v>
      </c>
      <c r="E91" t="s">
        <v>428</v>
      </c>
      <c r="F91" t="s">
        <v>487</v>
      </c>
      <c r="G91" t="s">
        <v>430</v>
      </c>
      <c r="H91" t="s">
        <v>431</v>
      </c>
      <c r="I91" t="s">
        <v>432</v>
      </c>
      <c r="J91" t="s">
        <v>432</v>
      </c>
      <c r="K91">
        <v>0</v>
      </c>
      <c r="L91" t="s">
        <v>428</v>
      </c>
      <c r="M91" t="s">
        <v>428</v>
      </c>
      <c r="N91">
        <v>144351</v>
      </c>
      <c r="O91">
        <f>INDEX(AllCollegeBarrons,MATCH(N91,AllCollegeNCES,0))</f>
        <v>0</v>
      </c>
      <c r="P91">
        <f>INDEX(KidGPAs,MATCH(B91,KidIDs,0))</f>
        <v>0</v>
      </c>
      <c r="Q91">
        <f>INDEX(KidACTs,MATCH(B91,KidIDs,0))</f>
        <v>0</v>
      </c>
      <c r="R91">
        <f>INDEX(Strats,MATCH(B91,KidIDs,0))</f>
        <v>0</v>
      </c>
      <c r="S91">
        <f>INDEX(KidRace,MATCH(B91,KidIDs,0))</f>
        <v>0</v>
      </c>
      <c r="T91">
        <f>IF(OR(S91="M",S91="I"),"H",S91)</f>
        <v>0</v>
      </c>
      <c r="U91">
        <f>INDEX(StudentTargets,MATCH(B91,KidIDs,0))</f>
        <v>0</v>
      </c>
      <c r="V91">
        <f>INDEX(ReachStudentTargets,MATCH(B91,KidIDs,0))</f>
        <v>0</v>
      </c>
      <c r="W91">
        <f>IF(OR(M91="Posse"),1,0)</f>
        <v>0</v>
      </c>
      <c r="X91">
        <f>IF(ISNUMBER(INDEX(AllCollegeGR, MATCH(N91,AllCollegeNCES,0))),ROUND(INDEX(AllCollegeGR, MATCH(N91,AllCollegeNCES,0))+W91*IF(INDEX(AllCollegeGR, MATCH(N91,AllCollegeNCES,0))&gt;0.7,(1-INDEX(AllCollegeGR, MATCH(N91,AllCollegeNCES,0)))/2,0.15),2),INDEX(AllCollegeGR, MATCH(N91,AllCollegeNCES,0)))</f>
        <v>0</v>
      </c>
      <c r="Y91">
        <f>IF(ISNUMBER(INDEX(AllCollegeAAHGR, MATCH(N91,AllCollegeNCES,0))),ROUND(INDEX(AllCollegeAAHGR, MATCH(N91,AllCollegeNCES,0))+W91*IF(INDEX(AllCollegeAAHGR, MATCH(N91,AllCollegeNCES,0))&gt;0.7,(1-INDEX(AllCollegeAAHGR, MATCH(N91,AllCollegeNCES,0)))/2,0.15),2),INDEX(AllCollegeAAHGR, MATCH(N91,AllCollegeNCES,0)))</f>
        <v>0</v>
      </c>
      <c r="Z91">
        <f>IF(OR(T91="H",T91="B"),INDEX(AllCollegeACT25, MATCH(N91,AllCollegeNCES,0)),INDEX(AllCollegeACT50, MATCH(N91,AllCollegeNCES,0)))</f>
        <v>0</v>
      </c>
      <c r="AA91">
        <f>INDEX(CustomWeightsGPA,MATCH(T91&amp;":"&amp;N91,CustomWeightsIndex,0))</f>
        <v>0</v>
      </c>
      <c r="AB91">
        <f>INDEX(CustomWeightsACT,MATCH(T91&amp;":"&amp;N91,CustomWeightsIndex,0))</f>
        <v>0</v>
      </c>
      <c r="AC91">
        <f>INDEX(CustomWeightsIntercept,MATCH(T91&amp;":"&amp;N91,CustomWeightsIndex,0))</f>
        <v>0</v>
      </c>
      <c r="AD91">
        <f>AA91*P91+AB91*Q91+AC91</f>
        <v>0</v>
      </c>
      <c r="AE91">
        <f>INDEX(CoefficientsGPA,MATCH(T91&amp;":"&amp;O91,CoefficientsIndex,0))</f>
        <v>0</v>
      </c>
      <c r="AF91">
        <f>INDEX(CoefficientsACT,MATCH(T91&amp;":"&amp;O91,CoefficientsIndex,0))</f>
        <v>0</v>
      </c>
      <c r="AG91">
        <f>INDEX(CoefficientsIntercept,MATCH(T91&amp;":"&amp;O91,CoefficientsIndex,0))</f>
        <v>0</v>
      </c>
      <c r="AH91">
        <f>AE91*P91+(Q91-Z91)*AF91+AG91</f>
        <v>0</v>
      </c>
      <c r="AI91">
        <f>IF(ISNUMBER(AD91),AD91,AH91)</f>
        <v>0</v>
      </c>
      <c r="AJ91">
        <f>IF(ISNUMBER(AI91),IF(ISNUMBER(AE91),IF(AND(AE91=1,AF91=1,AG91=1),100,ROUND(100*EXP(AI91)/(1+EXP(AI91)),2)),ROUND(100*EXP(AI91)/(1+EXP(AI91)),2)),IF(ISTEXT(O91),IF(LEFT(O91,1)="2",100,"N/A"),"N/A"))</f>
        <v>0</v>
      </c>
      <c r="AK91">
        <f>IF(ISNUMBER(AJ91),IF(AJ91&gt;=99,IF(OR(R91=10,R91=11),MatchLabel,SureThingLabel),IF(AJ91&gt;=95,SecureLabel,IF(AJ91&gt;=80,SafetyLabel,IF(AJ91&gt;=50,MatchLabel,IF(AJ91&gt;=20,ReachLabel,IF(AJ91&gt;=10,LongshotLabel,HailMaryLabel)))))),"Other")</f>
        <v>0</v>
      </c>
      <c r="AL91">
        <f>IF(OR(I91="accepted",I91="cond. accept",I91="summer admit"),IF(J91="yes","CHOICE!","Accepted!"),IF(I91="denied","Denied",IF(K91=1,"Waitlist",IF(L91=1,"Deferred",IF(G91="pending","Pending",IF(OR(G91="initial materials submitted",G91="mid-year submitted",G91="final submitted"),"Submitted",IF(H91="interest","Interest","?")))))))</f>
        <v>0</v>
      </c>
      <c r="AM91">
        <f>IF(OR(AK91=ReachLabel,AK91=LongshotLabel,AK91=HailMaryLabel),1,0)</f>
        <v>0</v>
      </c>
      <c r="AN91">
        <f>IF(OR(AM91=1,AK91=MatchLabel),1,0)</f>
        <v>0</v>
      </c>
      <c r="AO91">
        <f>IF(OR(AK91=MatchLabel,AK91=SafetyLabel,AK91=SecureLabel,AK91=SureThingLabel),1,0)</f>
        <v>0</v>
      </c>
      <c r="AP91">
        <f>IF(OR(T91="H",T91="B"),IF(ISNUMBER(Y91),ROUND(Y91,2),0),IF(ISNUMBER(X91),ROUND(X91,2),0))</f>
        <v>0</v>
      </c>
      <c r="AQ91">
        <f>IF(AP91&gt;=U91,1,0)</f>
        <v>0</v>
      </c>
      <c r="AR91">
        <f>IF(AP91&gt;=V91,1,0)</f>
        <v>0</v>
      </c>
      <c r="AS91">
        <f>IF(AP91&lt;(U91-0.10),1,0)</f>
        <v>0</v>
      </c>
      <c r="AT91">
        <f>1-AJ91/100</f>
        <v>0</v>
      </c>
      <c r="AU91">
        <f>IF(AN91=1,AT91,1)</f>
        <v>0</v>
      </c>
      <c r="AV91">
        <f>IF(AM91=1,AT91,1)</f>
        <v>0</v>
      </c>
      <c r="AW91">
        <f>IF(AND(AQ91=1,ISNUMBER(AT91)),$AT91,1)</f>
        <v>0</v>
      </c>
      <c r="AX91">
        <f>IF(AND(AR91=1,ISNUMBER(AT91)),$AT91,1)</f>
        <v>0</v>
      </c>
      <c r="AY91">
        <f>IF(ISNUMBER(Y91),INDEX(AllCollegeMoney, MATCH(N91,AllCollegeNCES,0)),0)</f>
        <v>0</v>
      </c>
      <c r="AZ91">
        <f>IF(AND(AQ91=1,ISNUMBER(AT91),AY91=1),$AT91,1)</f>
        <v>0</v>
      </c>
      <c r="BA91">
        <f>IF(AND(AR91=1,ISNUMBER(AT91),AY91=1),$AT91,1)</f>
        <v>0</v>
      </c>
      <c r="BB91">
        <f>IF(ISNUMBER(Y91),INDEX(AllCollegeILPub, MATCH(N91,AllCollegeNCES,0)),0)</f>
        <v>0</v>
      </c>
      <c r="BC91">
        <f>IF(AK91=ReachLabel,AP91,0)</f>
        <v>0</v>
      </c>
      <c r="BD91">
        <f>IF(AK91=MatchLabel,AP91,0)</f>
        <v>0</v>
      </c>
      <c r="BE91">
        <f>IF(AK91=SafetyLabel,AP91,0)</f>
        <v>0</v>
      </c>
      <c r="BF91">
        <f>IF(AK91=SecureLabel,AP91,0)</f>
        <v>0</v>
      </c>
      <c r="BG91">
        <f>IF(AK91=SureThingLabel,AP91,0)</f>
        <v>0</v>
      </c>
      <c r="BH91">
        <f>MAX(BC91:BG91)</f>
        <v>0</v>
      </c>
      <c r="BI91">
        <f>MAX(BD91:BG91)</f>
        <v>0</v>
      </c>
      <c r="BJ91">
        <f>MAX(BE91:BG91)</f>
        <v>0</v>
      </c>
      <c r="BK91">
        <f>IF(AND(AK91=ReachLabel,AY91=1),AP91,0)</f>
        <v>0</v>
      </c>
      <c r="BL91">
        <f>IF(AND(AK91=MatchLabel,AY91=1),AP91,0)</f>
        <v>0</v>
      </c>
      <c r="BM91">
        <f>IF(AND(AK91=SafetyLabel,AY91=1),AP91,0)</f>
        <v>0</v>
      </c>
      <c r="BN91">
        <f>IF(AND(AK91=SecureLabel,AY91=1),AP91,0)</f>
        <v>0</v>
      </c>
      <c r="BO91">
        <f>IF(AND(AK91=SureThingLabel,AY91=1),AP91,0)</f>
        <v>0</v>
      </c>
      <c r="BP91">
        <f>MAX(BK91:BO91)</f>
        <v>0</v>
      </c>
      <c r="BQ91">
        <f>MAX(BL91:BO91)</f>
        <v>0</v>
      </c>
      <c r="BR91">
        <f>MAX(BM91:BO91)</f>
        <v>0</v>
      </c>
      <c r="BS91">
        <f>IF(ISNUMBER(Y91),INDEX(AllCollegeChicago, MATCH(N91,AllCollegeNCES,0))*AY91,0)</f>
        <v>0</v>
      </c>
      <c r="BT91">
        <f>IF(ISNUMBER(Y91),INDEX(AllCollegeMoneyCode, MATCH(N91,AllCollegeNCES,0)),"?")</f>
        <v>0</v>
      </c>
      <c r="BU91">
        <f>IF(OR(BT91="---",BT91="--",BT91="+/--",BT91="+/---"),1,0)</f>
        <v>0</v>
      </c>
      <c r="BV91">
        <f>AY91*AO91*AQ91</f>
        <v>0</v>
      </c>
    </row>
    <row r="92" spans="1:74">
      <c r="A92" t="s">
        <v>86</v>
      </c>
      <c r="B92">
        <v>22372458</v>
      </c>
      <c r="C92" t="s">
        <v>266</v>
      </c>
      <c r="D92" t="s">
        <v>267</v>
      </c>
      <c r="E92" t="s">
        <v>428</v>
      </c>
      <c r="F92" t="s">
        <v>488</v>
      </c>
      <c r="G92" t="s">
        <v>430</v>
      </c>
      <c r="H92" t="s">
        <v>431</v>
      </c>
      <c r="I92" t="s">
        <v>432</v>
      </c>
      <c r="J92" t="s">
        <v>432</v>
      </c>
      <c r="K92">
        <v>0</v>
      </c>
      <c r="L92" t="s">
        <v>428</v>
      </c>
      <c r="M92" t="s">
        <v>428</v>
      </c>
      <c r="N92">
        <v>149231</v>
      </c>
      <c r="O92">
        <f>INDEX(AllCollegeBarrons,MATCH(N92,AllCollegeNCES,0))</f>
        <v>0</v>
      </c>
      <c r="P92">
        <f>INDEX(KidGPAs,MATCH(B92,KidIDs,0))</f>
        <v>0</v>
      </c>
      <c r="Q92">
        <f>INDEX(KidACTs,MATCH(B92,KidIDs,0))</f>
        <v>0</v>
      </c>
      <c r="R92">
        <f>INDEX(Strats,MATCH(B92,KidIDs,0))</f>
        <v>0</v>
      </c>
      <c r="S92">
        <f>INDEX(KidRace,MATCH(B92,KidIDs,0))</f>
        <v>0</v>
      </c>
      <c r="T92">
        <f>IF(OR(S92="M",S92="I"),"H",S92)</f>
        <v>0</v>
      </c>
      <c r="U92">
        <f>INDEX(StudentTargets,MATCH(B92,KidIDs,0))</f>
        <v>0</v>
      </c>
      <c r="V92">
        <f>INDEX(ReachStudentTargets,MATCH(B92,KidIDs,0))</f>
        <v>0</v>
      </c>
      <c r="W92">
        <f>IF(OR(M92="Posse"),1,0)</f>
        <v>0</v>
      </c>
      <c r="X92">
        <f>IF(ISNUMBER(INDEX(AllCollegeGR, MATCH(N92,AllCollegeNCES,0))),ROUND(INDEX(AllCollegeGR, MATCH(N92,AllCollegeNCES,0))+W92*IF(INDEX(AllCollegeGR, MATCH(N92,AllCollegeNCES,0))&gt;0.7,(1-INDEX(AllCollegeGR, MATCH(N92,AllCollegeNCES,0)))/2,0.15),2),INDEX(AllCollegeGR, MATCH(N92,AllCollegeNCES,0)))</f>
        <v>0</v>
      </c>
      <c r="Y92">
        <f>IF(ISNUMBER(INDEX(AllCollegeAAHGR, MATCH(N92,AllCollegeNCES,0))),ROUND(INDEX(AllCollegeAAHGR, MATCH(N92,AllCollegeNCES,0))+W92*IF(INDEX(AllCollegeAAHGR, MATCH(N92,AllCollegeNCES,0))&gt;0.7,(1-INDEX(AllCollegeAAHGR, MATCH(N92,AllCollegeNCES,0)))/2,0.15),2),INDEX(AllCollegeAAHGR, MATCH(N92,AllCollegeNCES,0)))</f>
        <v>0</v>
      </c>
      <c r="Z92">
        <f>IF(OR(T92="H",T92="B"),INDEX(AllCollegeACT25, MATCH(N92,AllCollegeNCES,0)),INDEX(AllCollegeACT50, MATCH(N92,AllCollegeNCES,0)))</f>
        <v>0</v>
      </c>
      <c r="AA92">
        <f>INDEX(CustomWeightsGPA,MATCH(T92&amp;":"&amp;N92,CustomWeightsIndex,0))</f>
        <v>0</v>
      </c>
      <c r="AB92">
        <f>INDEX(CustomWeightsACT,MATCH(T92&amp;":"&amp;N92,CustomWeightsIndex,0))</f>
        <v>0</v>
      </c>
      <c r="AC92">
        <f>INDEX(CustomWeightsIntercept,MATCH(T92&amp;":"&amp;N92,CustomWeightsIndex,0))</f>
        <v>0</v>
      </c>
      <c r="AD92">
        <f>AA92*P92+AB92*Q92+AC92</f>
        <v>0</v>
      </c>
      <c r="AE92">
        <f>INDEX(CoefficientsGPA,MATCH(T92&amp;":"&amp;O92,CoefficientsIndex,0))</f>
        <v>0</v>
      </c>
      <c r="AF92">
        <f>INDEX(CoefficientsACT,MATCH(T92&amp;":"&amp;O92,CoefficientsIndex,0))</f>
        <v>0</v>
      </c>
      <c r="AG92">
        <f>INDEX(CoefficientsIntercept,MATCH(T92&amp;":"&amp;O92,CoefficientsIndex,0))</f>
        <v>0</v>
      </c>
      <c r="AH92">
        <f>AE92*P92+(Q92-Z92)*AF92+AG92</f>
        <v>0</v>
      </c>
      <c r="AI92">
        <f>IF(ISNUMBER(AD92),AD92,AH92)</f>
        <v>0</v>
      </c>
      <c r="AJ92">
        <f>IF(ISNUMBER(AI92),IF(ISNUMBER(AE92),IF(AND(AE92=1,AF92=1,AG92=1),100,ROUND(100*EXP(AI92)/(1+EXP(AI92)),2)),ROUND(100*EXP(AI92)/(1+EXP(AI92)),2)),IF(ISTEXT(O92),IF(LEFT(O92,1)="2",100,"N/A"),"N/A"))</f>
        <v>0</v>
      </c>
      <c r="AK92">
        <f>IF(ISNUMBER(AJ92),IF(AJ92&gt;=99,IF(OR(R92=10,R92=11),MatchLabel,SureThingLabel),IF(AJ92&gt;=95,SecureLabel,IF(AJ92&gt;=80,SafetyLabel,IF(AJ92&gt;=50,MatchLabel,IF(AJ92&gt;=20,ReachLabel,IF(AJ92&gt;=10,LongshotLabel,HailMaryLabel)))))),"Other")</f>
        <v>0</v>
      </c>
      <c r="AL92">
        <f>IF(OR(I92="accepted",I92="cond. accept",I92="summer admit"),IF(J92="yes","CHOICE!","Accepted!"),IF(I92="denied","Denied",IF(K92=1,"Waitlist",IF(L92=1,"Deferred",IF(G92="pending","Pending",IF(OR(G92="initial materials submitted",G92="mid-year submitted",G92="final submitted"),"Submitted",IF(H92="interest","Interest","?")))))))</f>
        <v>0</v>
      </c>
      <c r="AM92">
        <f>IF(OR(AK92=ReachLabel,AK92=LongshotLabel,AK92=HailMaryLabel),1,0)</f>
        <v>0</v>
      </c>
      <c r="AN92">
        <f>IF(OR(AM92=1,AK92=MatchLabel),1,0)</f>
        <v>0</v>
      </c>
      <c r="AO92">
        <f>IF(OR(AK92=MatchLabel,AK92=SafetyLabel,AK92=SecureLabel,AK92=SureThingLabel),1,0)</f>
        <v>0</v>
      </c>
      <c r="AP92">
        <f>IF(OR(T92="H",T92="B"),IF(ISNUMBER(Y92),ROUND(Y92,2),0),IF(ISNUMBER(X92),ROUND(X92,2),0))</f>
        <v>0</v>
      </c>
      <c r="AQ92">
        <f>IF(AP92&gt;=U92,1,0)</f>
        <v>0</v>
      </c>
      <c r="AR92">
        <f>IF(AP92&gt;=V92,1,0)</f>
        <v>0</v>
      </c>
      <c r="AS92">
        <f>IF(AP92&lt;(U92-0.10),1,0)</f>
        <v>0</v>
      </c>
      <c r="AT92">
        <f>1-AJ92/100</f>
        <v>0</v>
      </c>
      <c r="AU92">
        <f>IF(AN92=1,AT92,1)</f>
        <v>0</v>
      </c>
      <c r="AV92">
        <f>IF(AM92=1,AT92,1)</f>
        <v>0</v>
      </c>
      <c r="AW92">
        <f>IF(AND(AQ92=1,ISNUMBER(AT92)),$AT92,1)</f>
        <v>0</v>
      </c>
      <c r="AX92">
        <f>IF(AND(AR92=1,ISNUMBER(AT92)),$AT92,1)</f>
        <v>0</v>
      </c>
      <c r="AY92">
        <f>IF(ISNUMBER(Y92),INDEX(AllCollegeMoney, MATCH(N92,AllCollegeNCES,0)),0)</f>
        <v>0</v>
      </c>
      <c r="AZ92">
        <f>IF(AND(AQ92=1,ISNUMBER(AT92),AY92=1),$AT92,1)</f>
        <v>0</v>
      </c>
      <c r="BA92">
        <f>IF(AND(AR92=1,ISNUMBER(AT92),AY92=1),$AT92,1)</f>
        <v>0</v>
      </c>
      <c r="BB92">
        <f>IF(ISNUMBER(Y92),INDEX(AllCollegeILPub, MATCH(N92,AllCollegeNCES,0)),0)</f>
        <v>0</v>
      </c>
      <c r="BC92">
        <f>IF(AK92=ReachLabel,AP92,0)</f>
        <v>0</v>
      </c>
      <c r="BD92">
        <f>IF(AK92=MatchLabel,AP92,0)</f>
        <v>0</v>
      </c>
      <c r="BE92">
        <f>IF(AK92=SafetyLabel,AP92,0)</f>
        <v>0</v>
      </c>
      <c r="BF92">
        <f>IF(AK92=SecureLabel,AP92,0)</f>
        <v>0</v>
      </c>
      <c r="BG92">
        <f>IF(AK92=SureThingLabel,AP92,0)</f>
        <v>0</v>
      </c>
      <c r="BH92">
        <f>MAX(BC92:BG92)</f>
        <v>0</v>
      </c>
      <c r="BI92">
        <f>MAX(BD92:BG92)</f>
        <v>0</v>
      </c>
      <c r="BJ92">
        <f>MAX(BE92:BG92)</f>
        <v>0</v>
      </c>
      <c r="BK92">
        <f>IF(AND(AK92=ReachLabel,AY92=1),AP92,0)</f>
        <v>0</v>
      </c>
      <c r="BL92">
        <f>IF(AND(AK92=MatchLabel,AY92=1),AP92,0)</f>
        <v>0</v>
      </c>
      <c r="BM92">
        <f>IF(AND(AK92=SafetyLabel,AY92=1),AP92,0)</f>
        <v>0</v>
      </c>
      <c r="BN92">
        <f>IF(AND(AK92=SecureLabel,AY92=1),AP92,0)</f>
        <v>0</v>
      </c>
      <c r="BO92">
        <f>IF(AND(AK92=SureThingLabel,AY92=1),AP92,0)</f>
        <v>0</v>
      </c>
      <c r="BP92">
        <f>MAX(BK92:BO92)</f>
        <v>0</v>
      </c>
      <c r="BQ92">
        <f>MAX(BL92:BO92)</f>
        <v>0</v>
      </c>
      <c r="BR92">
        <f>MAX(BM92:BO92)</f>
        <v>0</v>
      </c>
      <c r="BS92">
        <f>IF(ISNUMBER(Y92),INDEX(AllCollegeChicago, MATCH(N92,AllCollegeNCES,0))*AY92,0)</f>
        <v>0</v>
      </c>
      <c r="BT92">
        <f>IF(ISNUMBER(Y92),INDEX(AllCollegeMoneyCode, MATCH(N92,AllCollegeNCES,0)),"?")</f>
        <v>0</v>
      </c>
      <c r="BU92">
        <f>IF(OR(BT92="---",BT92="--",BT92="+/--",BT92="+/---"),1,0)</f>
        <v>0</v>
      </c>
      <c r="BV92">
        <f>AY92*AO92*AQ92</f>
        <v>0</v>
      </c>
    </row>
    <row r="93" spans="1:74">
      <c r="A93" t="s">
        <v>86</v>
      </c>
      <c r="B93">
        <v>22372458</v>
      </c>
      <c r="C93" t="s">
        <v>266</v>
      </c>
      <c r="D93" t="s">
        <v>267</v>
      </c>
      <c r="E93" t="s">
        <v>428</v>
      </c>
      <c r="F93" t="s">
        <v>443</v>
      </c>
      <c r="G93" t="s">
        <v>430</v>
      </c>
      <c r="H93" t="s">
        <v>431</v>
      </c>
      <c r="I93" t="s">
        <v>432</v>
      </c>
      <c r="J93" t="s">
        <v>432</v>
      </c>
      <c r="K93">
        <v>0</v>
      </c>
      <c r="L93" t="s">
        <v>428</v>
      </c>
      <c r="M93" t="s">
        <v>428</v>
      </c>
      <c r="N93">
        <v>144209</v>
      </c>
      <c r="O93">
        <f>INDEX(AllCollegeBarrons,MATCH(N93,AllCollegeNCES,0))</f>
        <v>0</v>
      </c>
      <c r="P93">
        <f>INDEX(KidGPAs,MATCH(B93,KidIDs,0))</f>
        <v>0</v>
      </c>
      <c r="Q93">
        <f>INDEX(KidACTs,MATCH(B93,KidIDs,0))</f>
        <v>0</v>
      </c>
      <c r="R93">
        <f>INDEX(Strats,MATCH(B93,KidIDs,0))</f>
        <v>0</v>
      </c>
      <c r="S93">
        <f>INDEX(KidRace,MATCH(B93,KidIDs,0))</f>
        <v>0</v>
      </c>
      <c r="T93">
        <f>IF(OR(S93="M",S93="I"),"H",S93)</f>
        <v>0</v>
      </c>
      <c r="U93">
        <f>INDEX(StudentTargets,MATCH(B93,KidIDs,0))</f>
        <v>0</v>
      </c>
      <c r="V93">
        <f>INDEX(ReachStudentTargets,MATCH(B93,KidIDs,0))</f>
        <v>0</v>
      </c>
      <c r="W93">
        <f>IF(OR(M93="Posse"),1,0)</f>
        <v>0</v>
      </c>
      <c r="X93">
        <f>IF(ISNUMBER(INDEX(AllCollegeGR, MATCH(N93,AllCollegeNCES,0))),ROUND(INDEX(AllCollegeGR, MATCH(N93,AllCollegeNCES,0))+W93*IF(INDEX(AllCollegeGR, MATCH(N93,AllCollegeNCES,0))&gt;0.7,(1-INDEX(AllCollegeGR, MATCH(N93,AllCollegeNCES,0)))/2,0.15),2),INDEX(AllCollegeGR, MATCH(N93,AllCollegeNCES,0)))</f>
        <v>0</v>
      </c>
      <c r="Y93">
        <f>IF(ISNUMBER(INDEX(AllCollegeAAHGR, MATCH(N93,AllCollegeNCES,0))),ROUND(INDEX(AllCollegeAAHGR, MATCH(N93,AllCollegeNCES,0))+W93*IF(INDEX(AllCollegeAAHGR, MATCH(N93,AllCollegeNCES,0))&gt;0.7,(1-INDEX(AllCollegeAAHGR, MATCH(N93,AllCollegeNCES,0)))/2,0.15),2),INDEX(AllCollegeAAHGR, MATCH(N93,AllCollegeNCES,0)))</f>
        <v>0</v>
      </c>
      <c r="Z93">
        <f>IF(OR(T93="H",T93="B"),INDEX(AllCollegeACT25, MATCH(N93,AllCollegeNCES,0)),INDEX(AllCollegeACT50, MATCH(N93,AllCollegeNCES,0)))</f>
        <v>0</v>
      </c>
      <c r="AA93">
        <f>INDEX(CustomWeightsGPA,MATCH(T93&amp;":"&amp;N93,CustomWeightsIndex,0))</f>
        <v>0</v>
      </c>
      <c r="AB93">
        <f>INDEX(CustomWeightsACT,MATCH(T93&amp;":"&amp;N93,CustomWeightsIndex,0))</f>
        <v>0</v>
      </c>
      <c r="AC93">
        <f>INDEX(CustomWeightsIntercept,MATCH(T93&amp;":"&amp;N93,CustomWeightsIndex,0))</f>
        <v>0</v>
      </c>
      <c r="AD93">
        <f>AA93*P93+AB93*Q93+AC93</f>
        <v>0</v>
      </c>
      <c r="AE93">
        <f>INDEX(CoefficientsGPA,MATCH(T93&amp;":"&amp;O93,CoefficientsIndex,0))</f>
        <v>0</v>
      </c>
      <c r="AF93">
        <f>INDEX(CoefficientsACT,MATCH(T93&amp;":"&amp;O93,CoefficientsIndex,0))</f>
        <v>0</v>
      </c>
      <c r="AG93">
        <f>INDEX(CoefficientsIntercept,MATCH(T93&amp;":"&amp;O93,CoefficientsIndex,0))</f>
        <v>0</v>
      </c>
      <c r="AH93">
        <f>AE93*P93+(Q93-Z93)*AF93+AG93</f>
        <v>0</v>
      </c>
      <c r="AI93">
        <f>IF(ISNUMBER(AD93),AD93,AH93)</f>
        <v>0</v>
      </c>
      <c r="AJ93">
        <f>IF(ISNUMBER(AI93),IF(ISNUMBER(AE93),IF(AND(AE93=1,AF93=1,AG93=1),100,ROUND(100*EXP(AI93)/(1+EXP(AI93)),2)),ROUND(100*EXP(AI93)/(1+EXP(AI93)),2)),IF(ISTEXT(O93),IF(LEFT(O93,1)="2",100,"N/A"),"N/A"))</f>
        <v>0</v>
      </c>
      <c r="AK93">
        <f>IF(ISNUMBER(AJ93),IF(AJ93&gt;=99,IF(OR(R93=10,R93=11),MatchLabel,SureThingLabel),IF(AJ93&gt;=95,SecureLabel,IF(AJ93&gt;=80,SafetyLabel,IF(AJ93&gt;=50,MatchLabel,IF(AJ93&gt;=20,ReachLabel,IF(AJ93&gt;=10,LongshotLabel,HailMaryLabel)))))),"Other")</f>
        <v>0</v>
      </c>
      <c r="AL93">
        <f>IF(OR(I93="accepted",I93="cond. accept",I93="summer admit"),IF(J93="yes","CHOICE!","Accepted!"),IF(I93="denied","Denied",IF(K93=1,"Waitlist",IF(L93=1,"Deferred",IF(G93="pending","Pending",IF(OR(G93="initial materials submitted",G93="mid-year submitted",G93="final submitted"),"Submitted",IF(H93="interest","Interest","?")))))))</f>
        <v>0</v>
      </c>
      <c r="AM93">
        <f>IF(OR(AK93=ReachLabel,AK93=LongshotLabel,AK93=HailMaryLabel),1,0)</f>
        <v>0</v>
      </c>
      <c r="AN93">
        <f>IF(OR(AM93=1,AK93=MatchLabel),1,0)</f>
        <v>0</v>
      </c>
      <c r="AO93">
        <f>IF(OR(AK93=MatchLabel,AK93=SafetyLabel,AK93=SecureLabel,AK93=SureThingLabel),1,0)</f>
        <v>0</v>
      </c>
      <c r="AP93">
        <f>IF(OR(T93="H",T93="B"),IF(ISNUMBER(Y93),ROUND(Y93,2),0),IF(ISNUMBER(X93),ROUND(X93,2),0))</f>
        <v>0</v>
      </c>
      <c r="AQ93">
        <f>IF(AP93&gt;=U93,1,0)</f>
        <v>0</v>
      </c>
      <c r="AR93">
        <f>IF(AP93&gt;=V93,1,0)</f>
        <v>0</v>
      </c>
      <c r="AS93">
        <f>IF(AP93&lt;(U93-0.10),1,0)</f>
        <v>0</v>
      </c>
      <c r="AT93">
        <f>1-AJ93/100</f>
        <v>0</v>
      </c>
      <c r="AU93">
        <f>IF(AN93=1,AT93,1)</f>
        <v>0</v>
      </c>
      <c r="AV93">
        <f>IF(AM93=1,AT93,1)</f>
        <v>0</v>
      </c>
      <c r="AW93">
        <f>IF(AND(AQ93=1,ISNUMBER(AT93)),$AT93,1)</f>
        <v>0</v>
      </c>
      <c r="AX93">
        <f>IF(AND(AR93=1,ISNUMBER(AT93)),$AT93,1)</f>
        <v>0</v>
      </c>
      <c r="AY93">
        <f>IF(ISNUMBER(Y93),INDEX(AllCollegeMoney, MATCH(N93,AllCollegeNCES,0)),0)</f>
        <v>0</v>
      </c>
      <c r="AZ93">
        <f>IF(AND(AQ93=1,ISNUMBER(AT93),AY93=1),$AT93,1)</f>
        <v>0</v>
      </c>
      <c r="BA93">
        <f>IF(AND(AR93=1,ISNUMBER(AT93),AY93=1),$AT93,1)</f>
        <v>0</v>
      </c>
      <c r="BB93">
        <f>IF(ISNUMBER(Y93),INDEX(AllCollegeILPub, MATCH(N93,AllCollegeNCES,0)),0)</f>
        <v>0</v>
      </c>
      <c r="BC93">
        <f>IF(AK93=ReachLabel,AP93,0)</f>
        <v>0</v>
      </c>
      <c r="BD93">
        <f>IF(AK93=MatchLabel,AP93,0)</f>
        <v>0</v>
      </c>
      <c r="BE93">
        <f>IF(AK93=SafetyLabel,AP93,0)</f>
        <v>0</v>
      </c>
      <c r="BF93">
        <f>IF(AK93=SecureLabel,AP93,0)</f>
        <v>0</v>
      </c>
      <c r="BG93">
        <f>IF(AK93=SureThingLabel,AP93,0)</f>
        <v>0</v>
      </c>
      <c r="BH93">
        <f>MAX(BC93:BG93)</f>
        <v>0</v>
      </c>
      <c r="BI93">
        <f>MAX(BD93:BG93)</f>
        <v>0</v>
      </c>
      <c r="BJ93">
        <f>MAX(BE93:BG93)</f>
        <v>0</v>
      </c>
      <c r="BK93">
        <f>IF(AND(AK93=ReachLabel,AY93=1),AP93,0)</f>
        <v>0</v>
      </c>
      <c r="BL93">
        <f>IF(AND(AK93=MatchLabel,AY93=1),AP93,0)</f>
        <v>0</v>
      </c>
      <c r="BM93">
        <f>IF(AND(AK93=SafetyLabel,AY93=1),AP93,0)</f>
        <v>0</v>
      </c>
      <c r="BN93">
        <f>IF(AND(AK93=SecureLabel,AY93=1),AP93,0)</f>
        <v>0</v>
      </c>
      <c r="BO93">
        <f>IF(AND(AK93=SureThingLabel,AY93=1),AP93,0)</f>
        <v>0</v>
      </c>
      <c r="BP93">
        <f>MAX(BK93:BO93)</f>
        <v>0</v>
      </c>
      <c r="BQ93">
        <f>MAX(BL93:BO93)</f>
        <v>0</v>
      </c>
      <c r="BR93">
        <f>MAX(BM93:BO93)</f>
        <v>0</v>
      </c>
      <c r="BS93">
        <f>IF(ISNUMBER(Y93),INDEX(AllCollegeChicago, MATCH(N93,AllCollegeNCES,0))*AY93,0)</f>
        <v>0</v>
      </c>
      <c r="BT93">
        <f>IF(ISNUMBER(Y93),INDEX(AllCollegeMoneyCode, MATCH(N93,AllCollegeNCES,0)),"?")</f>
        <v>0</v>
      </c>
      <c r="BU93">
        <f>IF(OR(BT93="---",BT93="--",BT93="+/--",BT93="+/---"),1,0)</f>
        <v>0</v>
      </c>
      <c r="BV93">
        <f>AY93*AO93*AQ93</f>
        <v>0</v>
      </c>
    </row>
    <row r="94" spans="1:74">
      <c r="A94" t="s">
        <v>86</v>
      </c>
      <c r="B94">
        <v>22372458</v>
      </c>
      <c r="C94" t="s">
        <v>266</v>
      </c>
      <c r="D94" t="s">
        <v>267</v>
      </c>
      <c r="E94" t="s">
        <v>428</v>
      </c>
      <c r="F94" t="s">
        <v>445</v>
      </c>
      <c r="G94" t="s">
        <v>463</v>
      </c>
      <c r="H94" t="s">
        <v>431</v>
      </c>
      <c r="I94" t="s">
        <v>432</v>
      </c>
      <c r="J94" t="s">
        <v>432</v>
      </c>
      <c r="K94">
        <v>0</v>
      </c>
      <c r="L94" t="s">
        <v>428</v>
      </c>
      <c r="M94" t="s">
        <v>428</v>
      </c>
      <c r="N94">
        <v>147776</v>
      </c>
      <c r="O94">
        <f>INDEX(AllCollegeBarrons,MATCH(N94,AllCollegeNCES,0))</f>
        <v>0</v>
      </c>
      <c r="P94">
        <f>INDEX(KidGPAs,MATCH(B94,KidIDs,0))</f>
        <v>0</v>
      </c>
      <c r="Q94">
        <f>INDEX(KidACTs,MATCH(B94,KidIDs,0))</f>
        <v>0</v>
      </c>
      <c r="R94">
        <f>INDEX(Strats,MATCH(B94,KidIDs,0))</f>
        <v>0</v>
      </c>
      <c r="S94">
        <f>INDEX(KidRace,MATCH(B94,KidIDs,0))</f>
        <v>0</v>
      </c>
      <c r="T94">
        <f>IF(OR(S94="M",S94="I"),"H",S94)</f>
        <v>0</v>
      </c>
      <c r="U94">
        <f>INDEX(StudentTargets,MATCH(B94,KidIDs,0))</f>
        <v>0</v>
      </c>
      <c r="V94">
        <f>INDEX(ReachStudentTargets,MATCH(B94,KidIDs,0))</f>
        <v>0</v>
      </c>
      <c r="W94">
        <f>IF(OR(M94="Posse"),1,0)</f>
        <v>0</v>
      </c>
      <c r="X94">
        <f>IF(ISNUMBER(INDEX(AllCollegeGR, MATCH(N94,AllCollegeNCES,0))),ROUND(INDEX(AllCollegeGR, MATCH(N94,AllCollegeNCES,0))+W94*IF(INDEX(AllCollegeGR, MATCH(N94,AllCollegeNCES,0))&gt;0.7,(1-INDEX(AllCollegeGR, MATCH(N94,AllCollegeNCES,0)))/2,0.15),2),INDEX(AllCollegeGR, MATCH(N94,AllCollegeNCES,0)))</f>
        <v>0</v>
      </c>
      <c r="Y94">
        <f>IF(ISNUMBER(INDEX(AllCollegeAAHGR, MATCH(N94,AllCollegeNCES,0))),ROUND(INDEX(AllCollegeAAHGR, MATCH(N94,AllCollegeNCES,0))+W94*IF(INDEX(AllCollegeAAHGR, MATCH(N94,AllCollegeNCES,0))&gt;0.7,(1-INDEX(AllCollegeAAHGR, MATCH(N94,AllCollegeNCES,0)))/2,0.15),2),INDEX(AllCollegeAAHGR, MATCH(N94,AllCollegeNCES,0)))</f>
        <v>0</v>
      </c>
      <c r="Z94">
        <f>IF(OR(T94="H",T94="B"),INDEX(AllCollegeACT25, MATCH(N94,AllCollegeNCES,0)),INDEX(AllCollegeACT50, MATCH(N94,AllCollegeNCES,0)))</f>
        <v>0</v>
      </c>
      <c r="AA94">
        <f>INDEX(CustomWeightsGPA,MATCH(T94&amp;":"&amp;N94,CustomWeightsIndex,0))</f>
        <v>0</v>
      </c>
      <c r="AB94">
        <f>INDEX(CustomWeightsACT,MATCH(T94&amp;":"&amp;N94,CustomWeightsIndex,0))</f>
        <v>0</v>
      </c>
      <c r="AC94">
        <f>INDEX(CustomWeightsIntercept,MATCH(T94&amp;":"&amp;N94,CustomWeightsIndex,0))</f>
        <v>0</v>
      </c>
      <c r="AD94">
        <f>AA94*P94+AB94*Q94+AC94</f>
        <v>0</v>
      </c>
      <c r="AE94">
        <f>INDEX(CoefficientsGPA,MATCH(T94&amp;":"&amp;O94,CoefficientsIndex,0))</f>
        <v>0</v>
      </c>
      <c r="AF94">
        <f>INDEX(CoefficientsACT,MATCH(T94&amp;":"&amp;O94,CoefficientsIndex,0))</f>
        <v>0</v>
      </c>
      <c r="AG94">
        <f>INDEX(CoefficientsIntercept,MATCH(T94&amp;":"&amp;O94,CoefficientsIndex,0))</f>
        <v>0</v>
      </c>
      <c r="AH94">
        <f>AE94*P94+(Q94-Z94)*AF94+AG94</f>
        <v>0</v>
      </c>
      <c r="AI94">
        <f>IF(ISNUMBER(AD94),AD94,AH94)</f>
        <v>0</v>
      </c>
      <c r="AJ94">
        <f>IF(ISNUMBER(AI94),IF(ISNUMBER(AE94),IF(AND(AE94=1,AF94=1,AG94=1),100,ROUND(100*EXP(AI94)/(1+EXP(AI94)),2)),ROUND(100*EXP(AI94)/(1+EXP(AI94)),2)),IF(ISTEXT(O94),IF(LEFT(O94,1)="2",100,"N/A"),"N/A"))</f>
        <v>0</v>
      </c>
      <c r="AK94">
        <f>IF(ISNUMBER(AJ94),IF(AJ94&gt;=99,IF(OR(R94=10,R94=11),MatchLabel,SureThingLabel),IF(AJ94&gt;=95,SecureLabel,IF(AJ94&gt;=80,SafetyLabel,IF(AJ94&gt;=50,MatchLabel,IF(AJ94&gt;=20,ReachLabel,IF(AJ94&gt;=10,LongshotLabel,HailMaryLabel)))))),"Other")</f>
        <v>0</v>
      </c>
      <c r="AL94">
        <f>IF(OR(I94="accepted",I94="cond. accept",I94="summer admit"),IF(J94="yes","CHOICE!","Accepted!"),IF(I94="denied","Denied",IF(K94=1,"Waitlist",IF(L94=1,"Deferred",IF(G94="pending","Pending",IF(OR(G94="initial materials submitted",G94="mid-year submitted",G94="final submitted"),"Submitted",IF(H94="interest","Interest","?")))))))</f>
        <v>0</v>
      </c>
      <c r="AM94">
        <f>IF(OR(AK94=ReachLabel,AK94=LongshotLabel,AK94=HailMaryLabel),1,0)</f>
        <v>0</v>
      </c>
      <c r="AN94">
        <f>IF(OR(AM94=1,AK94=MatchLabel),1,0)</f>
        <v>0</v>
      </c>
      <c r="AO94">
        <f>IF(OR(AK94=MatchLabel,AK94=SafetyLabel,AK94=SecureLabel,AK94=SureThingLabel),1,0)</f>
        <v>0</v>
      </c>
      <c r="AP94">
        <f>IF(OR(T94="H",T94="B"),IF(ISNUMBER(Y94),ROUND(Y94,2),0),IF(ISNUMBER(X94),ROUND(X94,2),0))</f>
        <v>0</v>
      </c>
      <c r="AQ94">
        <f>IF(AP94&gt;=U94,1,0)</f>
        <v>0</v>
      </c>
      <c r="AR94">
        <f>IF(AP94&gt;=V94,1,0)</f>
        <v>0</v>
      </c>
      <c r="AS94">
        <f>IF(AP94&lt;(U94-0.10),1,0)</f>
        <v>0</v>
      </c>
      <c r="AT94">
        <f>1-AJ94/100</f>
        <v>0</v>
      </c>
      <c r="AU94">
        <f>IF(AN94=1,AT94,1)</f>
        <v>0</v>
      </c>
      <c r="AV94">
        <f>IF(AM94=1,AT94,1)</f>
        <v>0</v>
      </c>
      <c r="AW94">
        <f>IF(AND(AQ94=1,ISNUMBER(AT94)),$AT94,1)</f>
        <v>0</v>
      </c>
      <c r="AX94">
        <f>IF(AND(AR94=1,ISNUMBER(AT94)),$AT94,1)</f>
        <v>0</v>
      </c>
      <c r="AY94">
        <f>IF(ISNUMBER(Y94),INDEX(AllCollegeMoney, MATCH(N94,AllCollegeNCES,0)),0)</f>
        <v>0</v>
      </c>
      <c r="AZ94">
        <f>IF(AND(AQ94=1,ISNUMBER(AT94),AY94=1),$AT94,1)</f>
        <v>0</v>
      </c>
      <c r="BA94">
        <f>IF(AND(AR94=1,ISNUMBER(AT94),AY94=1),$AT94,1)</f>
        <v>0</v>
      </c>
      <c r="BB94">
        <f>IF(ISNUMBER(Y94),INDEX(AllCollegeILPub, MATCH(N94,AllCollegeNCES,0)),0)</f>
        <v>0</v>
      </c>
      <c r="BC94">
        <f>IF(AK94=ReachLabel,AP94,0)</f>
        <v>0</v>
      </c>
      <c r="BD94">
        <f>IF(AK94=MatchLabel,AP94,0)</f>
        <v>0</v>
      </c>
      <c r="BE94">
        <f>IF(AK94=SafetyLabel,AP94,0)</f>
        <v>0</v>
      </c>
      <c r="BF94">
        <f>IF(AK94=SecureLabel,AP94,0)</f>
        <v>0</v>
      </c>
      <c r="BG94">
        <f>IF(AK94=SureThingLabel,AP94,0)</f>
        <v>0</v>
      </c>
      <c r="BH94">
        <f>MAX(BC94:BG94)</f>
        <v>0</v>
      </c>
      <c r="BI94">
        <f>MAX(BD94:BG94)</f>
        <v>0</v>
      </c>
      <c r="BJ94">
        <f>MAX(BE94:BG94)</f>
        <v>0</v>
      </c>
      <c r="BK94">
        <f>IF(AND(AK94=ReachLabel,AY94=1),AP94,0)</f>
        <v>0</v>
      </c>
      <c r="BL94">
        <f>IF(AND(AK94=MatchLabel,AY94=1),AP94,0)</f>
        <v>0</v>
      </c>
      <c r="BM94">
        <f>IF(AND(AK94=SafetyLabel,AY94=1),AP94,0)</f>
        <v>0</v>
      </c>
      <c r="BN94">
        <f>IF(AND(AK94=SecureLabel,AY94=1),AP94,0)</f>
        <v>0</v>
      </c>
      <c r="BO94">
        <f>IF(AND(AK94=SureThingLabel,AY94=1),AP94,0)</f>
        <v>0</v>
      </c>
      <c r="BP94">
        <f>MAX(BK94:BO94)</f>
        <v>0</v>
      </c>
      <c r="BQ94">
        <f>MAX(BL94:BO94)</f>
        <v>0</v>
      </c>
      <c r="BR94">
        <f>MAX(BM94:BO94)</f>
        <v>0</v>
      </c>
      <c r="BS94">
        <f>IF(ISNUMBER(Y94),INDEX(AllCollegeChicago, MATCH(N94,AllCollegeNCES,0))*AY94,0)</f>
        <v>0</v>
      </c>
      <c r="BT94">
        <f>IF(ISNUMBER(Y94),INDEX(AllCollegeMoneyCode, MATCH(N94,AllCollegeNCES,0)),"?")</f>
        <v>0</v>
      </c>
      <c r="BU94">
        <f>IF(OR(BT94="---",BT94="--",BT94="+/--",BT94="+/---"),1,0)</f>
        <v>0</v>
      </c>
      <c r="BV94">
        <f>AY94*AO94*AQ94</f>
        <v>0</v>
      </c>
    </row>
    <row r="95" spans="1:74">
      <c r="A95" t="s">
        <v>86</v>
      </c>
      <c r="B95">
        <v>22410481</v>
      </c>
      <c r="C95" t="s">
        <v>179</v>
      </c>
      <c r="D95" t="s">
        <v>180</v>
      </c>
      <c r="E95" t="s">
        <v>428</v>
      </c>
      <c r="F95" t="s">
        <v>448</v>
      </c>
      <c r="G95" t="s">
        <v>430</v>
      </c>
      <c r="H95" t="s">
        <v>431</v>
      </c>
      <c r="I95" t="s">
        <v>432</v>
      </c>
      <c r="J95" t="s">
        <v>432</v>
      </c>
      <c r="K95">
        <v>0</v>
      </c>
      <c r="L95" t="s">
        <v>428</v>
      </c>
      <c r="M95" t="s">
        <v>428</v>
      </c>
      <c r="N95" t="s">
        <v>449</v>
      </c>
      <c r="O95">
        <f>INDEX(AllCollegeBarrons,MATCH(N95,AllCollegeNCES,0))</f>
        <v>0</v>
      </c>
      <c r="P95">
        <f>INDEX(KidGPAs,MATCH(B95,KidIDs,0))</f>
        <v>0</v>
      </c>
      <c r="Q95">
        <f>INDEX(KidACTs,MATCH(B95,KidIDs,0))</f>
        <v>0</v>
      </c>
      <c r="R95">
        <f>INDEX(Strats,MATCH(B95,KidIDs,0))</f>
        <v>0</v>
      </c>
      <c r="S95">
        <f>INDEX(KidRace,MATCH(B95,KidIDs,0))</f>
        <v>0</v>
      </c>
      <c r="T95">
        <f>IF(OR(S95="M",S95="I"),"H",S95)</f>
        <v>0</v>
      </c>
      <c r="U95">
        <f>INDEX(StudentTargets,MATCH(B95,KidIDs,0))</f>
        <v>0</v>
      </c>
      <c r="V95">
        <f>INDEX(ReachStudentTargets,MATCH(B95,KidIDs,0))</f>
        <v>0</v>
      </c>
      <c r="W95">
        <f>IF(OR(M95="Posse"),1,0)</f>
        <v>0</v>
      </c>
      <c r="X95">
        <f>IF(ISNUMBER(INDEX(AllCollegeGR, MATCH(N95,AllCollegeNCES,0))),ROUND(INDEX(AllCollegeGR, MATCH(N95,AllCollegeNCES,0))+W95*IF(INDEX(AllCollegeGR, MATCH(N95,AllCollegeNCES,0))&gt;0.7,(1-INDEX(AllCollegeGR, MATCH(N95,AllCollegeNCES,0)))/2,0.15),2),INDEX(AllCollegeGR, MATCH(N95,AllCollegeNCES,0)))</f>
        <v>0</v>
      </c>
      <c r="Y95">
        <f>IF(ISNUMBER(INDEX(AllCollegeAAHGR, MATCH(N95,AllCollegeNCES,0))),ROUND(INDEX(AllCollegeAAHGR, MATCH(N95,AllCollegeNCES,0))+W95*IF(INDEX(AllCollegeAAHGR, MATCH(N95,AllCollegeNCES,0))&gt;0.7,(1-INDEX(AllCollegeAAHGR, MATCH(N95,AllCollegeNCES,0)))/2,0.15),2),INDEX(AllCollegeAAHGR, MATCH(N95,AllCollegeNCES,0)))</f>
        <v>0</v>
      </c>
      <c r="Z95">
        <f>IF(OR(T95="H",T95="B"),INDEX(AllCollegeACT25, MATCH(N95,AllCollegeNCES,0)),INDEX(AllCollegeACT50, MATCH(N95,AllCollegeNCES,0)))</f>
        <v>0</v>
      </c>
      <c r="AA95">
        <f>INDEX(CustomWeightsGPA,MATCH(T95&amp;":"&amp;N95,CustomWeightsIndex,0))</f>
        <v>0</v>
      </c>
      <c r="AB95">
        <f>INDEX(CustomWeightsACT,MATCH(T95&amp;":"&amp;N95,CustomWeightsIndex,0))</f>
        <v>0</v>
      </c>
      <c r="AC95">
        <f>INDEX(CustomWeightsIntercept,MATCH(T95&amp;":"&amp;N95,CustomWeightsIndex,0))</f>
        <v>0</v>
      </c>
      <c r="AD95">
        <f>AA95*P95+AB95*Q95+AC95</f>
        <v>0</v>
      </c>
      <c r="AE95">
        <f>INDEX(CoefficientsGPA,MATCH(T95&amp;":"&amp;O95,CoefficientsIndex,0))</f>
        <v>0</v>
      </c>
      <c r="AF95">
        <f>INDEX(CoefficientsACT,MATCH(T95&amp;":"&amp;O95,CoefficientsIndex,0))</f>
        <v>0</v>
      </c>
      <c r="AG95">
        <f>INDEX(CoefficientsIntercept,MATCH(T95&amp;":"&amp;O95,CoefficientsIndex,0))</f>
        <v>0</v>
      </c>
      <c r="AH95">
        <f>AE95*P95+(Q95-Z95)*AF95+AG95</f>
        <v>0</v>
      </c>
      <c r="AI95">
        <f>IF(ISNUMBER(AD95),AD95,AH95)</f>
        <v>0</v>
      </c>
      <c r="AJ95">
        <f>IF(ISNUMBER(AI95),IF(ISNUMBER(AE95),IF(AND(AE95=1,AF95=1,AG95=1),100,ROUND(100*EXP(AI95)/(1+EXP(AI95)),2)),ROUND(100*EXP(AI95)/(1+EXP(AI95)),2)),IF(ISTEXT(O95),IF(LEFT(O95,1)="2",100,"N/A"),"N/A"))</f>
        <v>0</v>
      </c>
      <c r="AK95">
        <f>IF(ISNUMBER(AJ95),IF(AJ95&gt;=99,IF(OR(R95=10,R95=11),MatchLabel,SureThingLabel),IF(AJ95&gt;=95,SecureLabel,IF(AJ95&gt;=80,SafetyLabel,IF(AJ95&gt;=50,MatchLabel,IF(AJ95&gt;=20,ReachLabel,IF(AJ95&gt;=10,LongshotLabel,HailMaryLabel)))))),"Other")</f>
        <v>0</v>
      </c>
      <c r="AL95">
        <f>IF(OR(I95="accepted",I95="cond. accept",I95="summer admit"),IF(J95="yes","CHOICE!","Accepted!"),IF(I95="denied","Denied",IF(K95=1,"Waitlist",IF(L95=1,"Deferred",IF(G95="pending","Pending",IF(OR(G95="initial materials submitted",G95="mid-year submitted",G95="final submitted"),"Submitted",IF(H95="interest","Interest","?")))))))</f>
        <v>0</v>
      </c>
      <c r="AM95">
        <f>IF(OR(AK95=ReachLabel,AK95=LongshotLabel,AK95=HailMaryLabel),1,0)</f>
        <v>0</v>
      </c>
      <c r="AN95">
        <f>IF(OR(AM95=1,AK95=MatchLabel),1,0)</f>
        <v>0</v>
      </c>
      <c r="AO95">
        <f>IF(OR(AK95=MatchLabel,AK95=SafetyLabel,AK95=SecureLabel,AK95=SureThingLabel),1,0)</f>
        <v>0</v>
      </c>
      <c r="AP95">
        <f>IF(OR(T95="H",T95="B"),IF(ISNUMBER(Y95),ROUND(Y95,2),0),IF(ISNUMBER(X95),ROUND(X95,2),0))</f>
        <v>0</v>
      </c>
      <c r="AQ95">
        <f>IF(AP95&gt;=U95,1,0)</f>
        <v>0</v>
      </c>
      <c r="AR95">
        <f>IF(AP95&gt;=V95,1,0)</f>
        <v>0</v>
      </c>
      <c r="AS95">
        <f>IF(AP95&lt;(U95-0.10),1,0)</f>
        <v>0</v>
      </c>
      <c r="AT95">
        <f>1-AJ95/100</f>
        <v>0</v>
      </c>
      <c r="AU95">
        <f>IF(AN95=1,AT95,1)</f>
        <v>0</v>
      </c>
      <c r="AV95">
        <f>IF(AM95=1,AT95,1)</f>
        <v>0</v>
      </c>
      <c r="AW95">
        <f>IF(AND(AQ95=1,ISNUMBER(AT95)),$AT95,1)</f>
        <v>0</v>
      </c>
      <c r="AX95">
        <f>IF(AND(AR95=1,ISNUMBER(AT95)),$AT95,1)</f>
        <v>0</v>
      </c>
      <c r="AY95">
        <f>IF(ISNUMBER(Y95),INDEX(AllCollegeMoney, MATCH(N95,AllCollegeNCES,0)),0)</f>
        <v>0</v>
      </c>
      <c r="AZ95">
        <f>IF(AND(AQ95=1,ISNUMBER(AT95),AY95=1),$AT95,1)</f>
        <v>0</v>
      </c>
      <c r="BA95">
        <f>IF(AND(AR95=1,ISNUMBER(AT95),AY95=1),$AT95,1)</f>
        <v>0</v>
      </c>
      <c r="BB95">
        <f>IF(ISNUMBER(Y95),INDEX(AllCollegeILPub, MATCH(N95,AllCollegeNCES,0)),0)</f>
        <v>0</v>
      </c>
      <c r="BC95">
        <f>IF(AK95=ReachLabel,AP95,0)</f>
        <v>0</v>
      </c>
      <c r="BD95">
        <f>IF(AK95=MatchLabel,AP95,0)</f>
        <v>0</v>
      </c>
      <c r="BE95">
        <f>IF(AK95=SafetyLabel,AP95,0)</f>
        <v>0</v>
      </c>
      <c r="BF95">
        <f>IF(AK95=SecureLabel,AP95,0)</f>
        <v>0</v>
      </c>
      <c r="BG95">
        <f>IF(AK95=SureThingLabel,AP95,0)</f>
        <v>0</v>
      </c>
      <c r="BH95">
        <f>MAX(BC95:BG95)</f>
        <v>0</v>
      </c>
      <c r="BI95">
        <f>MAX(BD95:BG95)</f>
        <v>0</v>
      </c>
      <c r="BJ95">
        <f>MAX(BE95:BG95)</f>
        <v>0</v>
      </c>
      <c r="BK95">
        <f>IF(AND(AK95=ReachLabel,AY95=1),AP95,0)</f>
        <v>0</v>
      </c>
      <c r="BL95">
        <f>IF(AND(AK95=MatchLabel,AY95=1),AP95,0)</f>
        <v>0</v>
      </c>
      <c r="BM95">
        <f>IF(AND(AK95=SafetyLabel,AY95=1),AP95,0)</f>
        <v>0</v>
      </c>
      <c r="BN95">
        <f>IF(AND(AK95=SecureLabel,AY95=1),AP95,0)</f>
        <v>0</v>
      </c>
      <c r="BO95">
        <f>IF(AND(AK95=SureThingLabel,AY95=1),AP95,0)</f>
        <v>0</v>
      </c>
      <c r="BP95">
        <f>MAX(BK95:BO95)</f>
        <v>0</v>
      </c>
      <c r="BQ95">
        <f>MAX(BL95:BO95)</f>
        <v>0</v>
      </c>
      <c r="BR95">
        <f>MAX(BM95:BO95)</f>
        <v>0</v>
      </c>
      <c r="BS95">
        <f>IF(ISNUMBER(Y95),INDEX(AllCollegeChicago, MATCH(N95,AllCollegeNCES,0))*AY95,0)</f>
        <v>0</v>
      </c>
      <c r="BT95">
        <f>IF(ISNUMBER(Y95),INDEX(AllCollegeMoneyCode, MATCH(N95,AllCollegeNCES,0)),"?")</f>
        <v>0</v>
      </c>
      <c r="BU95">
        <f>IF(OR(BT95="---",BT95="--",BT95="+/--",BT95="+/---"),1,0)</f>
        <v>0</v>
      </c>
      <c r="BV95">
        <f>AY95*AO95*AQ95</f>
        <v>0</v>
      </c>
    </row>
    <row r="96" spans="1:74">
      <c r="A96" t="s">
        <v>86</v>
      </c>
      <c r="B96">
        <v>22410481</v>
      </c>
      <c r="C96" t="s">
        <v>179</v>
      </c>
      <c r="D96" t="s">
        <v>180</v>
      </c>
      <c r="E96" t="s">
        <v>428</v>
      </c>
      <c r="F96" t="s">
        <v>436</v>
      </c>
      <c r="G96" t="s">
        <v>430</v>
      </c>
      <c r="H96" t="s">
        <v>431</v>
      </c>
      <c r="I96" t="s">
        <v>432</v>
      </c>
      <c r="J96" t="s">
        <v>432</v>
      </c>
      <c r="K96">
        <v>0</v>
      </c>
      <c r="L96" t="s">
        <v>428</v>
      </c>
      <c r="M96" t="s">
        <v>428</v>
      </c>
      <c r="N96">
        <v>147536</v>
      </c>
      <c r="O96">
        <f>INDEX(AllCollegeBarrons,MATCH(N96,AllCollegeNCES,0))</f>
        <v>0</v>
      </c>
      <c r="P96">
        <f>INDEX(KidGPAs,MATCH(B96,KidIDs,0))</f>
        <v>0</v>
      </c>
      <c r="Q96">
        <f>INDEX(KidACTs,MATCH(B96,KidIDs,0))</f>
        <v>0</v>
      </c>
      <c r="R96">
        <f>INDEX(Strats,MATCH(B96,KidIDs,0))</f>
        <v>0</v>
      </c>
      <c r="S96">
        <f>INDEX(KidRace,MATCH(B96,KidIDs,0))</f>
        <v>0</v>
      </c>
      <c r="T96">
        <f>IF(OR(S96="M",S96="I"),"H",S96)</f>
        <v>0</v>
      </c>
      <c r="U96">
        <f>INDEX(StudentTargets,MATCH(B96,KidIDs,0))</f>
        <v>0</v>
      </c>
      <c r="V96">
        <f>INDEX(ReachStudentTargets,MATCH(B96,KidIDs,0))</f>
        <v>0</v>
      </c>
      <c r="W96">
        <f>IF(OR(M96="Posse"),1,0)</f>
        <v>0</v>
      </c>
      <c r="X96">
        <f>IF(ISNUMBER(INDEX(AllCollegeGR, MATCH(N96,AllCollegeNCES,0))),ROUND(INDEX(AllCollegeGR, MATCH(N96,AllCollegeNCES,0))+W96*IF(INDEX(AllCollegeGR, MATCH(N96,AllCollegeNCES,0))&gt;0.7,(1-INDEX(AllCollegeGR, MATCH(N96,AllCollegeNCES,0)))/2,0.15),2),INDEX(AllCollegeGR, MATCH(N96,AllCollegeNCES,0)))</f>
        <v>0</v>
      </c>
      <c r="Y96">
        <f>IF(ISNUMBER(INDEX(AllCollegeAAHGR, MATCH(N96,AllCollegeNCES,0))),ROUND(INDEX(AllCollegeAAHGR, MATCH(N96,AllCollegeNCES,0))+W96*IF(INDEX(AllCollegeAAHGR, MATCH(N96,AllCollegeNCES,0))&gt;0.7,(1-INDEX(AllCollegeAAHGR, MATCH(N96,AllCollegeNCES,0)))/2,0.15),2),INDEX(AllCollegeAAHGR, MATCH(N96,AllCollegeNCES,0)))</f>
        <v>0</v>
      </c>
      <c r="Z96">
        <f>IF(OR(T96="H",T96="B"),INDEX(AllCollegeACT25, MATCH(N96,AllCollegeNCES,0)),INDEX(AllCollegeACT50, MATCH(N96,AllCollegeNCES,0)))</f>
        <v>0</v>
      </c>
      <c r="AA96">
        <f>INDEX(CustomWeightsGPA,MATCH(T96&amp;":"&amp;N96,CustomWeightsIndex,0))</f>
        <v>0</v>
      </c>
      <c r="AB96">
        <f>INDEX(CustomWeightsACT,MATCH(T96&amp;":"&amp;N96,CustomWeightsIndex,0))</f>
        <v>0</v>
      </c>
      <c r="AC96">
        <f>INDEX(CustomWeightsIntercept,MATCH(T96&amp;":"&amp;N96,CustomWeightsIndex,0))</f>
        <v>0</v>
      </c>
      <c r="AD96">
        <f>AA96*P96+AB96*Q96+AC96</f>
        <v>0</v>
      </c>
      <c r="AE96">
        <f>INDEX(CoefficientsGPA,MATCH(T96&amp;":"&amp;O96,CoefficientsIndex,0))</f>
        <v>0</v>
      </c>
      <c r="AF96">
        <f>INDEX(CoefficientsACT,MATCH(T96&amp;":"&amp;O96,CoefficientsIndex,0))</f>
        <v>0</v>
      </c>
      <c r="AG96">
        <f>INDEX(CoefficientsIntercept,MATCH(T96&amp;":"&amp;O96,CoefficientsIndex,0))</f>
        <v>0</v>
      </c>
      <c r="AH96">
        <f>AE96*P96+(Q96-Z96)*AF96+AG96</f>
        <v>0</v>
      </c>
      <c r="AI96">
        <f>IF(ISNUMBER(AD96),AD96,AH96)</f>
        <v>0</v>
      </c>
      <c r="AJ96">
        <f>IF(ISNUMBER(AI96),IF(ISNUMBER(AE96),IF(AND(AE96=1,AF96=1,AG96=1),100,ROUND(100*EXP(AI96)/(1+EXP(AI96)),2)),ROUND(100*EXP(AI96)/(1+EXP(AI96)),2)),IF(ISTEXT(O96),IF(LEFT(O96,1)="2",100,"N/A"),"N/A"))</f>
        <v>0</v>
      </c>
      <c r="AK96">
        <f>IF(ISNUMBER(AJ96),IF(AJ96&gt;=99,IF(OR(R96=10,R96=11),MatchLabel,SureThingLabel),IF(AJ96&gt;=95,SecureLabel,IF(AJ96&gt;=80,SafetyLabel,IF(AJ96&gt;=50,MatchLabel,IF(AJ96&gt;=20,ReachLabel,IF(AJ96&gt;=10,LongshotLabel,HailMaryLabel)))))),"Other")</f>
        <v>0</v>
      </c>
      <c r="AL96">
        <f>IF(OR(I96="accepted",I96="cond. accept",I96="summer admit"),IF(J96="yes","CHOICE!","Accepted!"),IF(I96="denied","Denied",IF(K96=1,"Waitlist",IF(L96=1,"Deferred",IF(G96="pending","Pending",IF(OR(G96="initial materials submitted",G96="mid-year submitted",G96="final submitted"),"Submitted",IF(H96="interest","Interest","?")))))))</f>
        <v>0</v>
      </c>
      <c r="AM96">
        <f>IF(OR(AK96=ReachLabel,AK96=LongshotLabel,AK96=HailMaryLabel),1,0)</f>
        <v>0</v>
      </c>
      <c r="AN96">
        <f>IF(OR(AM96=1,AK96=MatchLabel),1,0)</f>
        <v>0</v>
      </c>
      <c r="AO96">
        <f>IF(OR(AK96=MatchLabel,AK96=SafetyLabel,AK96=SecureLabel,AK96=SureThingLabel),1,0)</f>
        <v>0</v>
      </c>
      <c r="AP96">
        <f>IF(OR(T96="H",T96="B"),IF(ISNUMBER(Y96),ROUND(Y96,2),0),IF(ISNUMBER(X96),ROUND(X96,2),0))</f>
        <v>0</v>
      </c>
      <c r="AQ96">
        <f>IF(AP96&gt;=U96,1,0)</f>
        <v>0</v>
      </c>
      <c r="AR96">
        <f>IF(AP96&gt;=V96,1,0)</f>
        <v>0</v>
      </c>
      <c r="AS96">
        <f>IF(AP96&lt;(U96-0.10),1,0)</f>
        <v>0</v>
      </c>
      <c r="AT96">
        <f>1-AJ96/100</f>
        <v>0</v>
      </c>
      <c r="AU96">
        <f>IF(AN96=1,AT96,1)</f>
        <v>0</v>
      </c>
      <c r="AV96">
        <f>IF(AM96=1,AT96,1)</f>
        <v>0</v>
      </c>
      <c r="AW96">
        <f>IF(AND(AQ96=1,ISNUMBER(AT96)),$AT96,1)</f>
        <v>0</v>
      </c>
      <c r="AX96">
        <f>IF(AND(AR96=1,ISNUMBER(AT96)),$AT96,1)</f>
        <v>0</v>
      </c>
      <c r="AY96">
        <f>IF(ISNUMBER(Y96),INDEX(AllCollegeMoney, MATCH(N96,AllCollegeNCES,0)),0)</f>
        <v>0</v>
      </c>
      <c r="AZ96">
        <f>IF(AND(AQ96=1,ISNUMBER(AT96),AY96=1),$AT96,1)</f>
        <v>0</v>
      </c>
      <c r="BA96">
        <f>IF(AND(AR96=1,ISNUMBER(AT96),AY96=1),$AT96,1)</f>
        <v>0</v>
      </c>
      <c r="BB96">
        <f>IF(ISNUMBER(Y96),INDEX(AllCollegeILPub, MATCH(N96,AllCollegeNCES,0)),0)</f>
        <v>0</v>
      </c>
      <c r="BC96">
        <f>IF(AK96=ReachLabel,AP96,0)</f>
        <v>0</v>
      </c>
      <c r="BD96">
        <f>IF(AK96=MatchLabel,AP96,0)</f>
        <v>0</v>
      </c>
      <c r="BE96">
        <f>IF(AK96=SafetyLabel,AP96,0)</f>
        <v>0</v>
      </c>
      <c r="BF96">
        <f>IF(AK96=SecureLabel,AP96,0)</f>
        <v>0</v>
      </c>
      <c r="BG96">
        <f>IF(AK96=SureThingLabel,AP96,0)</f>
        <v>0</v>
      </c>
      <c r="BH96">
        <f>MAX(BC96:BG96)</f>
        <v>0</v>
      </c>
      <c r="BI96">
        <f>MAX(BD96:BG96)</f>
        <v>0</v>
      </c>
      <c r="BJ96">
        <f>MAX(BE96:BG96)</f>
        <v>0</v>
      </c>
      <c r="BK96">
        <f>IF(AND(AK96=ReachLabel,AY96=1),AP96,0)</f>
        <v>0</v>
      </c>
      <c r="BL96">
        <f>IF(AND(AK96=MatchLabel,AY96=1),AP96,0)</f>
        <v>0</v>
      </c>
      <c r="BM96">
        <f>IF(AND(AK96=SafetyLabel,AY96=1),AP96,0)</f>
        <v>0</v>
      </c>
      <c r="BN96">
        <f>IF(AND(AK96=SecureLabel,AY96=1),AP96,0)</f>
        <v>0</v>
      </c>
      <c r="BO96">
        <f>IF(AND(AK96=SureThingLabel,AY96=1),AP96,0)</f>
        <v>0</v>
      </c>
      <c r="BP96">
        <f>MAX(BK96:BO96)</f>
        <v>0</v>
      </c>
      <c r="BQ96">
        <f>MAX(BL96:BO96)</f>
        <v>0</v>
      </c>
      <c r="BR96">
        <f>MAX(BM96:BO96)</f>
        <v>0</v>
      </c>
      <c r="BS96">
        <f>IF(ISNUMBER(Y96),INDEX(AllCollegeChicago, MATCH(N96,AllCollegeNCES,0))*AY96,0)</f>
        <v>0</v>
      </c>
      <c r="BT96">
        <f>IF(ISNUMBER(Y96),INDEX(AllCollegeMoneyCode, MATCH(N96,AllCollegeNCES,0)),"?")</f>
        <v>0</v>
      </c>
      <c r="BU96">
        <f>IF(OR(BT96="---",BT96="--",BT96="+/--",BT96="+/---"),1,0)</f>
        <v>0</v>
      </c>
      <c r="BV96">
        <f>AY96*AO96*AQ96</f>
        <v>0</v>
      </c>
    </row>
    <row r="97" spans="1:74">
      <c r="A97" t="s">
        <v>86</v>
      </c>
      <c r="B97">
        <v>22410481</v>
      </c>
      <c r="C97" t="s">
        <v>179</v>
      </c>
      <c r="D97" t="s">
        <v>180</v>
      </c>
      <c r="E97" t="s">
        <v>428</v>
      </c>
      <c r="F97" t="s">
        <v>489</v>
      </c>
      <c r="G97" t="s">
        <v>430</v>
      </c>
      <c r="H97" t="s">
        <v>431</v>
      </c>
      <c r="I97" t="s">
        <v>432</v>
      </c>
      <c r="J97" t="s">
        <v>432</v>
      </c>
      <c r="K97">
        <v>0</v>
      </c>
      <c r="L97" t="s">
        <v>428</v>
      </c>
      <c r="M97" t="s">
        <v>428</v>
      </c>
      <c r="N97">
        <v>147679</v>
      </c>
      <c r="O97">
        <f>INDEX(AllCollegeBarrons,MATCH(N97,AllCollegeNCES,0))</f>
        <v>0</v>
      </c>
      <c r="P97">
        <f>INDEX(KidGPAs,MATCH(B97,KidIDs,0))</f>
        <v>0</v>
      </c>
      <c r="Q97">
        <f>INDEX(KidACTs,MATCH(B97,KidIDs,0))</f>
        <v>0</v>
      </c>
      <c r="R97">
        <f>INDEX(Strats,MATCH(B97,KidIDs,0))</f>
        <v>0</v>
      </c>
      <c r="S97">
        <f>INDEX(KidRace,MATCH(B97,KidIDs,0))</f>
        <v>0</v>
      </c>
      <c r="T97">
        <f>IF(OR(S97="M",S97="I"),"H",S97)</f>
        <v>0</v>
      </c>
      <c r="U97">
        <f>INDEX(StudentTargets,MATCH(B97,KidIDs,0))</f>
        <v>0</v>
      </c>
      <c r="V97">
        <f>INDEX(ReachStudentTargets,MATCH(B97,KidIDs,0))</f>
        <v>0</v>
      </c>
      <c r="W97">
        <f>IF(OR(M97="Posse"),1,0)</f>
        <v>0</v>
      </c>
      <c r="X97">
        <f>IF(ISNUMBER(INDEX(AllCollegeGR, MATCH(N97,AllCollegeNCES,0))),ROUND(INDEX(AllCollegeGR, MATCH(N97,AllCollegeNCES,0))+W97*IF(INDEX(AllCollegeGR, MATCH(N97,AllCollegeNCES,0))&gt;0.7,(1-INDEX(AllCollegeGR, MATCH(N97,AllCollegeNCES,0)))/2,0.15),2),INDEX(AllCollegeGR, MATCH(N97,AllCollegeNCES,0)))</f>
        <v>0</v>
      </c>
      <c r="Y97">
        <f>IF(ISNUMBER(INDEX(AllCollegeAAHGR, MATCH(N97,AllCollegeNCES,0))),ROUND(INDEX(AllCollegeAAHGR, MATCH(N97,AllCollegeNCES,0))+W97*IF(INDEX(AllCollegeAAHGR, MATCH(N97,AllCollegeNCES,0))&gt;0.7,(1-INDEX(AllCollegeAAHGR, MATCH(N97,AllCollegeNCES,0)))/2,0.15),2),INDEX(AllCollegeAAHGR, MATCH(N97,AllCollegeNCES,0)))</f>
        <v>0</v>
      </c>
      <c r="Z97">
        <f>IF(OR(T97="H",T97="B"),INDEX(AllCollegeACT25, MATCH(N97,AllCollegeNCES,0)),INDEX(AllCollegeACT50, MATCH(N97,AllCollegeNCES,0)))</f>
        <v>0</v>
      </c>
      <c r="AA97">
        <f>INDEX(CustomWeightsGPA,MATCH(T97&amp;":"&amp;N97,CustomWeightsIndex,0))</f>
        <v>0</v>
      </c>
      <c r="AB97">
        <f>INDEX(CustomWeightsACT,MATCH(T97&amp;":"&amp;N97,CustomWeightsIndex,0))</f>
        <v>0</v>
      </c>
      <c r="AC97">
        <f>INDEX(CustomWeightsIntercept,MATCH(T97&amp;":"&amp;N97,CustomWeightsIndex,0))</f>
        <v>0</v>
      </c>
      <c r="AD97">
        <f>AA97*P97+AB97*Q97+AC97</f>
        <v>0</v>
      </c>
      <c r="AE97">
        <f>INDEX(CoefficientsGPA,MATCH(T97&amp;":"&amp;O97,CoefficientsIndex,0))</f>
        <v>0</v>
      </c>
      <c r="AF97">
        <f>INDEX(CoefficientsACT,MATCH(T97&amp;":"&amp;O97,CoefficientsIndex,0))</f>
        <v>0</v>
      </c>
      <c r="AG97">
        <f>INDEX(CoefficientsIntercept,MATCH(T97&amp;":"&amp;O97,CoefficientsIndex,0))</f>
        <v>0</v>
      </c>
      <c r="AH97">
        <f>AE97*P97+(Q97-Z97)*AF97+AG97</f>
        <v>0</v>
      </c>
      <c r="AI97">
        <f>IF(ISNUMBER(AD97),AD97,AH97)</f>
        <v>0</v>
      </c>
      <c r="AJ97">
        <f>IF(ISNUMBER(AI97),IF(ISNUMBER(AE97),IF(AND(AE97=1,AF97=1,AG97=1),100,ROUND(100*EXP(AI97)/(1+EXP(AI97)),2)),ROUND(100*EXP(AI97)/(1+EXP(AI97)),2)),IF(ISTEXT(O97),IF(LEFT(O97,1)="2",100,"N/A"),"N/A"))</f>
        <v>0</v>
      </c>
      <c r="AK97">
        <f>IF(ISNUMBER(AJ97),IF(AJ97&gt;=99,IF(OR(R97=10,R97=11),MatchLabel,SureThingLabel),IF(AJ97&gt;=95,SecureLabel,IF(AJ97&gt;=80,SafetyLabel,IF(AJ97&gt;=50,MatchLabel,IF(AJ97&gt;=20,ReachLabel,IF(AJ97&gt;=10,LongshotLabel,HailMaryLabel)))))),"Other")</f>
        <v>0</v>
      </c>
      <c r="AL97">
        <f>IF(OR(I97="accepted",I97="cond. accept",I97="summer admit"),IF(J97="yes","CHOICE!","Accepted!"),IF(I97="denied","Denied",IF(K97=1,"Waitlist",IF(L97=1,"Deferred",IF(G97="pending","Pending",IF(OR(G97="initial materials submitted",G97="mid-year submitted",G97="final submitted"),"Submitted",IF(H97="interest","Interest","?")))))))</f>
        <v>0</v>
      </c>
      <c r="AM97">
        <f>IF(OR(AK97=ReachLabel,AK97=LongshotLabel,AK97=HailMaryLabel),1,0)</f>
        <v>0</v>
      </c>
      <c r="AN97">
        <f>IF(OR(AM97=1,AK97=MatchLabel),1,0)</f>
        <v>0</v>
      </c>
      <c r="AO97">
        <f>IF(OR(AK97=MatchLabel,AK97=SafetyLabel,AK97=SecureLabel,AK97=SureThingLabel),1,0)</f>
        <v>0</v>
      </c>
      <c r="AP97">
        <f>IF(OR(T97="H",T97="B"),IF(ISNUMBER(Y97),ROUND(Y97,2),0),IF(ISNUMBER(X97),ROUND(X97,2),0))</f>
        <v>0</v>
      </c>
      <c r="AQ97">
        <f>IF(AP97&gt;=U97,1,0)</f>
        <v>0</v>
      </c>
      <c r="AR97">
        <f>IF(AP97&gt;=V97,1,0)</f>
        <v>0</v>
      </c>
      <c r="AS97">
        <f>IF(AP97&lt;(U97-0.10),1,0)</f>
        <v>0</v>
      </c>
      <c r="AT97">
        <f>1-AJ97/100</f>
        <v>0</v>
      </c>
      <c r="AU97">
        <f>IF(AN97=1,AT97,1)</f>
        <v>0</v>
      </c>
      <c r="AV97">
        <f>IF(AM97=1,AT97,1)</f>
        <v>0</v>
      </c>
      <c r="AW97">
        <f>IF(AND(AQ97=1,ISNUMBER(AT97)),$AT97,1)</f>
        <v>0</v>
      </c>
      <c r="AX97">
        <f>IF(AND(AR97=1,ISNUMBER(AT97)),$AT97,1)</f>
        <v>0</v>
      </c>
      <c r="AY97">
        <f>IF(ISNUMBER(Y97),INDEX(AllCollegeMoney, MATCH(N97,AllCollegeNCES,0)),0)</f>
        <v>0</v>
      </c>
      <c r="AZ97">
        <f>IF(AND(AQ97=1,ISNUMBER(AT97),AY97=1),$AT97,1)</f>
        <v>0</v>
      </c>
      <c r="BA97">
        <f>IF(AND(AR97=1,ISNUMBER(AT97),AY97=1),$AT97,1)</f>
        <v>0</v>
      </c>
      <c r="BB97">
        <f>IF(ISNUMBER(Y97),INDEX(AllCollegeILPub, MATCH(N97,AllCollegeNCES,0)),0)</f>
        <v>0</v>
      </c>
      <c r="BC97">
        <f>IF(AK97=ReachLabel,AP97,0)</f>
        <v>0</v>
      </c>
      <c r="BD97">
        <f>IF(AK97=MatchLabel,AP97,0)</f>
        <v>0</v>
      </c>
      <c r="BE97">
        <f>IF(AK97=SafetyLabel,AP97,0)</f>
        <v>0</v>
      </c>
      <c r="BF97">
        <f>IF(AK97=SecureLabel,AP97,0)</f>
        <v>0</v>
      </c>
      <c r="BG97">
        <f>IF(AK97=SureThingLabel,AP97,0)</f>
        <v>0</v>
      </c>
      <c r="BH97">
        <f>MAX(BC97:BG97)</f>
        <v>0</v>
      </c>
      <c r="BI97">
        <f>MAX(BD97:BG97)</f>
        <v>0</v>
      </c>
      <c r="BJ97">
        <f>MAX(BE97:BG97)</f>
        <v>0</v>
      </c>
      <c r="BK97">
        <f>IF(AND(AK97=ReachLabel,AY97=1),AP97,0)</f>
        <v>0</v>
      </c>
      <c r="BL97">
        <f>IF(AND(AK97=MatchLabel,AY97=1),AP97,0)</f>
        <v>0</v>
      </c>
      <c r="BM97">
        <f>IF(AND(AK97=SafetyLabel,AY97=1),AP97,0)</f>
        <v>0</v>
      </c>
      <c r="BN97">
        <f>IF(AND(AK97=SecureLabel,AY97=1),AP97,0)</f>
        <v>0</v>
      </c>
      <c r="BO97">
        <f>IF(AND(AK97=SureThingLabel,AY97=1),AP97,0)</f>
        <v>0</v>
      </c>
      <c r="BP97">
        <f>MAX(BK97:BO97)</f>
        <v>0</v>
      </c>
      <c r="BQ97">
        <f>MAX(BL97:BO97)</f>
        <v>0</v>
      </c>
      <c r="BR97">
        <f>MAX(BM97:BO97)</f>
        <v>0</v>
      </c>
      <c r="BS97">
        <f>IF(ISNUMBER(Y97),INDEX(AllCollegeChicago, MATCH(N97,AllCollegeNCES,0))*AY97,0)</f>
        <v>0</v>
      </c>
      <c r="BT97">
        <f>IF(ISNUMBER(Y97),INDEX(AllCollegeMoneyCode, MATCH(N97,AllCollegeNCES,0)),"?")</f>
        <v>0</v>
      </c>
      <c r="BU97">
        <f>IF(OR(BT97="---",BT97="--",BT97="+/--",BT97="+/---"),1,0)</f>
        <v>0</v>
      </c>
      <c r="BV97">
        <f>AY97*AO97*AQ97</f>
        <v>0</v>
      </c>
    </row>
    <row r="98" spans="1:74">
      <c r="A98" t="s">
        <v>86</v>
      </c>
      <c r="B98">
        <v>22410481</v>
      </c>
      <c r="C98" t="s">
        <v>179</v>
      </c>
      <c r="D98" t="s">
        <v>180</v>
      </c>
      <c r="E98" t="s">
        <v>428</v>
      </c>
      <c r="F98" t="s">
        <v>438</v>
      </c>
      <c r="G98" t="s">
        <v>430</v>
      </c>
      <c r="H98" t="s">
        <v>431</v>
      </c>
      <c r="I98" t="s">
        <v>432</v>
      </c>
      <c r="J98" t="s">
        <v>432</v>
      </c>
      <c r="K98">
        <v>0</v>
      </c>
      <c r="L98" t="s">
        <v>428</v>
      </c>
      <c r="M98" t="s">
        <v>439</v>
      </c>
      <c r="N98">
        <v>150774</v>
      </c>
      <c r="O98">
        <f>INDEX(AllCollegeBarrons,MATCH(N98,AllCollegeNCES,0))</f>
        <v>0</v>
      </c>
      <c r="P98">
        <f>INDEX(KidGPAs,MATCH(B98,KidIDs,0))</f>
        <v>0</v>
      </c>
      <c r="Q98">
        <f>INDEX(KidACTs,MATCH(B98,KidIDs,0))</f>
        <v>0</v>
      </c>
      <c r="R98">
        <f>INDEX(Strats,MATCH(B98,KidIDs,0))</f>
        <v>0</v>
      </c>
      <c r="S98">
        <f>INDEX(KidRace,MATCH(B98,KidIDs,0))</f>
        <v>0</v>
      </c>
      <c r="T98">
        <f>IF(OR(S98="M",S98="I"),"H",S98)</f>
        <v>0</v>
      </c>
      <c r="U98">
        <f>INDEX(StudentTargets,MATCH(B98,KidIDs,0))</f>
        <v>0</v>
      </c>
      <c r="V98">
        <f>INDEX(ReachStudentTargets,MATCH(B98,KidIDs,0))</f>
        <v>0</v>
      </c>
      <c r="W98">
        <f>IF(OR(M98="Posse"),1,0)</f>
        <v>0</v>
      </c>
      <c r="X98">
        <f>IF(ISNUMBER(INDEX(AllCollegeGR, MATCH(N98,AllCollegeNCES,0))),ROUND(INDEX(AllCollegeGR, MATCH(N98,AllCollegeNCES,0))+W98*IF(INDEX(AllCollegeGR, MATCH(N98,AllCollegeNCES,0))&gt;0.7,(1-INDEX(AllCollegeGR, MATCH(N98,AllCollegeNCES,0)))/2,0.15),2),INDEX(AllCollegeGR, MATCH(N98,AllCollegeNCES,0)))</f>
        <v>0</v>
      </c>
      <c r="Y98">
        <f>IF(ISNUMBER(INDEX(AllCollegeAAHGR, MATCH(N98,AllCollegeNCES,0))),ROUND(INDEX(AllCollegeAAHGR, MATCH(N98,AllCollegeNCES,0))+W98*IF(INDEX(AllCollegeAAHGR, MATCH(N98,AllCollegeNCES,0))&gt;0.7,(1-INDEX(AllCollegeAAHGR, MATCH(N98,AllCollegeNCES,0)))/2,0.15),2),INDEX(AllCollegeAAHGR, MATCH(N98,AllCollegeNCES,0)))</f>
        <v>0</v>
      </c>
      <c r="Z98">
        <f>IF(OR(T98="H",T98="B"),INDEX(AllCollegeACT25, MATCH(N98,AllCollegeNCES,0)),INDEX(AllCollegeACT50, MATCH(N98,AllCollegeNCES,0)))</f>
        <v>0</v>
      </c>
      <c r="AA98">
        <f>INDEX(CustomWeightsGPA,MATCH(T98&amp;":"&amp;N98,CustomWeightsIndex,0))</f>
        <v>0</v>
      </c>
      <c r="AB98">
        <f>INDEX(CustomWeightsACT,MATCH(T98&amp;":"&amp;N98,CustomWeightsIndex,0))</f>
        <v>0</v>
      </c>
      <c r="AC98">
        <f>INDEX(CustomWeightsIntercept,MATCH(T98&amp;":"&amp;N98,CustomWeightsIndex,0))</f>
        <v>0</v>
      </c>
      <c r="AD98">
        <f>AA98*P98+AB98*Q98+AC98</f>
        <v>0</v>
      </c>
      <c r="AE98">
        <f>INDEX(CoefficientsGPA,MATCH(T98&amp;":"&amp;O98,CoefficientsIndex,0))</f>
        <v>0</v>
      </c>
      <c r="AF98">
        <f>INDEX(CoefficientsACT,MATCH(T98&amp;":"&amp;O98,CoefficientsIndex,0))</f>
        <v>0</v>
      </c>
      <c r="AG98">
        <f>INDEX(CoefficientsIntercept,MATCH(T98&amp;":"&amp;O98,CoefficientsIndex,0))</f>
        <v>0</v>
      </c>
      <c r="AH98">
        <f>AE98*P98+(Q98-Z98)*AF98+AG98</f>
        <v>0</v>
      </c>
      <c r="AI98">
        <f>IF(ISNUMBER(AD98),AD98,AH98)</f>
        <v>0</v>
      </c>
      <c r="AJ98">
        <f>IF(ISNUMBER(AI98),IF(ISNUMBER(AE98),IF(AND(AE98=1,AF98=1,AG98=1),100,ROUND(100*EXP(AI98)/(1+EXP(AI98)),2)),ROUND(100*EXP(AI98)/(1+EXP(AI98)),2)),IF(ISTEXT(O98),IF(LEFT(O98,1)="2",100,"N/A"),"N/A"))</f>
        <v>0</v>
      </c>
      <c r="AK98">
        <f>IF(ISNUMBER(AJ98),IF(AJ98&gt;=99,IF(OR(R98=10,R98=11),MatchLabel,SureThingLabel),IF(AJ98&gt;=95,SecureLabel,IF(AJ98&gt;=80,SafetyLabel,IF(AJ98&gt;=50,MatchLabel,IF(AJ98&gt;=20,ReachLabel,IF(AJ98&gt;=10,LongshotLabel,HailMaryLabel)))))),"Other")</f>
        <v>0</v>
      </c>
      <c r="AL98">
        <f>IF(OR(I98="accepted",I98="cond. accept",I98="summer admit"),IF(J98="yes","CHOICE!","Accepted!"),IF(I98="denied","Denied",IF(K98=1,"Waitlist",IF(L98=1,"Deferred",IF(G98="pending","Pending",IF(OR(G98="initial materials submitted",G98="mid-year submitted",G98="final submitted"),"Submitted",IF(H98="interest","Interest","?")))))))</f>
        <v>0</v>
      </c>
      <c r="AM98">
        <f>IF(OR(AK98=ReachLabel,AK98=LongshotLabel,AK98=HailMaryLabel),1,0)</f>
        <v>0</v>
      </c>
      <c r="AN98">
        <f>IF(OR(AM98=1,AK98=MatchLabel),1,0)</f>
        <v>0</v>
      </c>
      <c r="AO98">
        <f>IF(OR(AK98=MatchLabel,AK98=SafetyLabel,AK98=SecureLabel,AK98=SureThingLabel),1,0)</f>
        <v>0</v>
      </c>
      <c r="AP98">
        <f>IF(OR(T98="H",T98="B"),IF(ISNUMBER(Y98),ROUND(Y98,2),0),IF(ISNUMBER(X98),ROUND(X98,2),0))</f>
        <v>0</v>
      </c>
      <c r="AQ98">
        <f>IF(AP98&gt;=U98,1,0)</f>
        <v>0</v>
      </c>
      <c r="AR98">
        <f>IF(AP98&gt;=V98,1,0)</f>
        <v>0</v>
      </c>
      <c r="AS98">
        <f>IF(AP98&lt;(U98-0.10),1,0)</f>
        <v>0</v>
      </c>
      <c r="AT98">
        <f>1-AJ98/100</f>
        <v>0</v>
      </c>
      <c r="AU98">
        <f>IF(AN98=1,AT98,1)</f>
        <v>0</v>
      </c>
      <c r="AV98">
        <f>IF(AM98=1,AT98,1)</f>
        <v>0</v>
      </c>
      <c r="AW98">
        <f>IF(AND(AQ98=1,ISNUMBER(AT98)),$AT98,1)</f>
        <v>0</v>
      </c>
      <c r="AX98">
        <f>IF(AND(AR98=1,ISNUMBER(AT98)),$AT98,1)</f>
        <v>0</v>
      </c>
      <c r="AY98">
        <f>IF(ISNUMBER(Y98),INDEX(AllCollegeMoney, MATCH(N98,AllCollegeNCES,0)),0)</f>
        <v>0</v>
      </c>
      <c r="AZ98">
        <f>IF(AND(AQ98=1,ISNUMBER(AT98),AY98=1),$AT98,1)</f>
        <v>0</v>
      </c>
      <c r="BA98">
        <f>IF(AND(AR98=1,ISNUMBER(AT98),AY98=1),$AT98,1)</f>
        <v>0</v>
      </c>
      <c r="BB98">
        <f>IF(ISNUMBER(Y98),INDEX(AllCollegeILPub, MATCH(N98,AllCollegeNCES,0)),0)</f>
        <v>0</v>
      </c>
      <c r="BC98">
        <f>IF(AK98=ReachLabel,AP98,0)</f>
        <v>0</v>
      </c>
      <c r="BD98">
        <f>IF(AK98=MatchLabel,AP98,0)</f>
        <v>0</v>
      </c>
      <c r="BE98">
        <f>IF(AK98=SafetyLabel,AP98,0)</f>
        <v>0</v>
      </c>
      <c r="BF98">
        <f>IF(AK98=SecureLabel,AP98,0)</f>
        <v>0</v>
      </c>
      <c r="BG98">
        <f>IF(AK98=SureThingLabel,AP98,0)</f>
        <v>0</v>
      </c>
      <c r="BH98">
        <f>MAX(BC98:BG98)</f>
        <v>0</v>
      </c>
      <c r="BI98">
        <f>MAX(BD98:BG98)</f>
        <v>0</v>
      </c>
      <c r="BJ98">
        <f>MAX(BE98:BG98)</f>
        <v>0</v>
      </c>
      <c r="BK98">
        <f>IF(AND(AK98=ReachLabel,AY98=1),AP98,0)</f>
        <v>0</v>
      </c>
      <c r="BL98">
        <f>IF(AND(AK98=MatchLabel,AY98=1),AP98,0)</f>
        <v>0</v>
      </c>
      <c r="BM98">
        <f>IF(AND(AK98=SafetyLabel,AY98=1),AP98,0)</f>
        <v>0</v>
      </c>
      <c r="BN98">
        <f>IF(AND(AK98=SecureLabel,AY98=1),AP98,0)</f>
        <v>0</v>
      </c>
      <c r="BO98">
        <f>IF(AND(AK98=SureThingLabel,AY98=1),AP98,0)</f>
        <v>0</v>
      </c>
      <c r="BP98">
        <f>MAX(BK98:BO98)</f>
        <v>0</v>
      </c>
      <c r="BQ98">
        <f>MAX(BL98:BO98)</f>
        <v>0</v>
      </c>
      <c r="BR98">
        <f>MAX(BM98:BO98)</f>
        <v>0</v>
      </c>
      <c r="BS98">
        <f>IF(ISNUMBER(Y98),INDEX(AllCollegeChicago, MATCH(N98,AllCollegeNCES,0))*AY98,0)</f>
        <v>0</v>
      </c>
      <c r="BT98">
        <f>IF(ISNUMBER(Y98),INDEX(AllCollegeMoneyCode, MATCH(N98,AllCollegeNCES,0)),"?")</f>
        <v>0</v>
      </c>
      <c r="BU98">
        <f>IF(OR(BT98="---",BT98="--",BT98="+/--",BT98="+/---"),1,0)</f>
        <v>0</v>
      </c>
      <c r="BV98">
        <f>AY98*AO98*AQ98</f>
        <v>0</v>
      </c>
    </row>
    <row r="99" spans="1:74">
      <c r="A99" t="s">
        <v>86</v>
      </c>
      <c r="B99">
        <v>22410481</v>
      </c>
      <c r="C99" t="s">
        <v>179</v>
      </c>
      <c r="D99" t="s">
        <v>180</v>
      </c>
      <c r="E99" t="s">
        <v>428</v>
      </c>
      <c r="F99" t="s">
        <v>452</v>
      </c>
      <c r="G99" t="s">
        <v>430</v>
      </c>
      <c r="H99" t="s">
        <v>431</v>
      </c>
      <c r="I99" t="s">
        <v>432</v>
      </c>
      <c r="J99" t="s">
        <v>432</v>
      </c>
      <c r="K99">
        <v>0</v>
      </c>
      <c r="L99" t="s">
        <v>428</v>
      </c>
      <c r="M99" t="s">
        <v>439</v>
      </c>
      <c r="N99">
        <v>154493</v>
      </c>
      <c r="O99">
        <f>INDEX(AllCollegeBarrons,MATCH(N99,AllCollegeNCES,0))</f>
        <v>0</v>
      </c>
      <c r="P99">
        <f>INDEX(KidGPAs,MATCH(B99,KidIDs,0))</f>
        <v>0</v>
      </c>
      <c r="Q99">
        <f>INDEX(KidACTs,MATCH(B99,KidIDs,0))</f>
        <v>0</v>
      </c>
      <c r="R99">
        <f>INDEX(Strats,MATCH(B99,KidIDs,0))</f>
        <v>0</v>
      </c>
      <c r="S99">
        <f>INDEX(KidRace,MATCH(B99,KidIDs,0))</f>
        <v>0</v>
      </c>
      <c r="T99">
        <f>IF(OR(S99="M",S99="I"),"H",S99)</f>
        <v>0</v>
      </c>
      <c r="U99">
        <f>INDEX(StudentTargets,MATCH(B99,KidIDs,0))</f>
        <v>0</v>
      </c>
      <c r="V99">
        <f>INDEX(ReachStudentTargets,MATCH(B99,KidIDs,0))</f>
        <v>0</v>
      </c>
      <c r="W99">
        <f>IF(OR(M99="Posse"),1,0)</f>
        <v>0</v>
      </c>
      <c r="X99">
        <f>IF(ISNUMBER(INDEX(AllCollegeGR, MATCH(N99,AllCollegeNCES,0))),ROUND(INDEX(AllCollegeGR, MATCH(N99,AllCollegeNCES,0))+W99*IF(INDEX(AllCollegeGR, MATCH(N99,AllCollegeNCES,0))&gt;0.7,(1-INDEX(AllCollegeGR, MATCH(N99,AllCollegeNCES,0)))/2,0.15),2),INDEX(AllCollegeGR, MATCH(N99,AllCollegeNCES,0)))</f>
        <v>0</v>
      </c>
      <c r="Y99">
        <f>IF(ISNUMBER(INDEX(AllCollegeAAHGR, MATCH(N99,AllCollegeNCES,0))),ROUND(INDEX(AllCollegeAAHGR, MATCH(N99,AllCollegeNCES,0))+W99*IF(INDEX(AllCollegeAAHGR, MATCH(N99,AllCollegeNCES,0))&gt;0.7,(1-INDEX(AllCollegeAAHGR, MATCH(N99,AllCollegeNCES,0)))/2,0.15),2),INDEX(AllCollegeAAHGR, MATCH(N99,AllCollegeNCES,0)))</f>
        <v>0</v>
      </c>
      <c r="Z99">
        <f>IF(OR(T99="H",T99="B"),INDEX(AllCollegeACT25, MATCH(N99,AllCollegeNCES,0)),INDEX(AllCollegeACT50, MATCH(N99,AllCollegeNCES,0)))</f>
        <v>0</v>
      </c>
      <c r="AA99">
        <f>INDEX(CustomWeightsGPA,MATCH(T99&amp;":"&amp;N99,CustomWeightsIndex,0))</f>
        <v>0</v>
      </c>
      <c r="AB99">
        <f>INDEX(CustomWeightsACT,MATCH(T99&amp;":"&amp;N99,CustomWeightsIndex,0))</f>
        <v>0</v>
      </c>
      <c r="AC99">
        <f>INDEX(CustomWeightsIntercept,MATCH(T99&amp;":"&amp;N99,CustomWeightsIndex,0))</f>
        <v>0</v>
      </c>
      <c r="AD99">
        <f>AA99*P99+AB99*Q99+AC99</f>
        <v>0</v>
      </c>
      <c r="AE99">
        <f>INDEX(CoefficientsGPA,MATCH(T99&amp;":"&amp;O99,CoefficientsIndex,0))</f>
        <v>0</v>
      </c>
      <c r="AF99">
        <f>INDEX(CoefficientsACT,MATCH(T99&amp;":"&amp;O99,CoefficientsIndex,0))</f>
        <v>0</v>
      </c>
      <c r="AG99">
        <f>INDEX(CoefficientsIntercept,MATCH(T99&amp;":"&amp;O99,CoefficientsIndex,0))</f>
        <v>0</v>
      </c>
      <c r="AH99">
        <f>AE99*P99+(Q99-Z99)*AF99+AG99</f>
        <v>0</v>
      </c>
      <c r="AI99">
        <f>IF(ISNUMBER(AD99),AD99,AH99)</f>
        <v>0</v>
      </c>
      <c r="AJ99">
        <f>IF(ISNUMBER(AI99),IF(ISNUMBER(AE99),IF(AND(AE99=1,AF99=1,AG99=1),100,ROUND(100*EXP(AI99)/(1+EXP(AI99)),2)),ROUND(100*EXP(AI99)/(1+EXP(AI99)),2)),IF(ISTEXT(O99),IF(LEFT(O99,1)="2",100,"N/A"),"N/A"))</f>
        <v>0</v>
      </c>
      <c r="AK99">
        <f>IF(ISNUMBER(AJ99),IF(AJ99&gt;=99,IF(OR(R99=10,R99=11),MatchLabel,SureThingLabel),IF(AJ99&gt;=95,SecureLabel,IF(AJ99&gt;=80,SafetyLabel,IF(AJ99&gt;=50,MatchLabel,IF(AJ99&gt;=20,ReachLabel,IF(AJ99&gt;=10,LongshotLabel,HailMaryLabel)))))),"Other")</f>
        <v>0</v>
      </c>
      <c r="AL99">
        <f>IF(OR(I99="accepted",I99="cond. accept",I99="summer admit"),IF(J99="yes","CHOICE!","Accepted!"),IF(I99="denied","Denied",IF(K99=1,"Waitlist",IF(L99=1,"Deferred",IF(G99="pending","Pending",IF(OR(G99="initial materials submitted",G99="mid-year submitted",G99="final submitted"),"Submitted",IF(H99="interest","Interest","?")))))))</f>
        <v>0</v>
      </c>
      <c r="AM99">
        <f>IF(OR(AK99=ReachLabel,AK99=LongshotLabel,AK99=HailMaryLabel),1,0)</f>
        <v>0</v>
      </c>
      <c r="AN99">
        <f>IF(OR(AM99=1,AK99=MatchLabel),1,0)</f>
        <v>0</v>
      </c>
      <c r="AO99">
        <f>IF(OR(AK99=MatchLabel,AK99=SafetyLabel,AK99=SecureLabel,AK99=SureThingLabel),1,0)</f>
        <v>0</v>
      </c>
      <c r="AP99">
        <f>IF(OR(T99="H",T99="B"),IF(ISNUMBER(Y99),ROUND(Y99,2),0),IF(ISNUMBER(X99),ROUND(X99,2),0))</f>
        <v>0</v>
      </c>
      <c r="AQ99">
        <f>IF(AP99&gt;=U99,1,0)</f>
        <v>0</v>
      </c>
      <c r="AR99">
        <f>IF(AP99&gt;=V99,1,0)</f>
        <v>0</v>
      </c>
      <c r="AS99">
        <f>IF(AP99&lt;(U99-0.10),1,0)</f>
        <v>0</v>
      </c>
      <c r="AT99">
        <f>1-AJ99/100</f>
        <v>0</v>
      </c>
      <c r="AU99">
        <f>IF(AN99=1,AT99,1)</f>
        <v>0</v>
      </c>
      <c r="AV99">
        <f>IF(AM99=1,AT99,1)</f>
        <v>0</v>
      </c>
      <c r="AW99">
        <f>IF(AND(AQ99=1,ISNUMBER(AT99)),$AT99,1)</f>
        <v>0</v>
      </c>
      <c r="AX99">
        <f>IF(AND(AR99=1,ISNUMBER(AT99)),$AT99,1)</f>
        <v>0</v>
      </c>
      <c r="AY99">
        <f>IF(ISNUMBER(Y99),INDEX(AllCollegeMoney, MATCH(N99,AllCollegeNCES,0)),0)</f>
        <v>0</v>
      </c>
      <c r="AZ99">
        <f>IF(AND(AQ99=1,ISNUMBER(AT99),AY99=1),$AT99,1)</f>
        <v>0</v>
      </c>
      <c r="BA99">
        <f>IF(AND(AR99=1,ISNUMBER(AT99),AY99=1),$AT99,1)</f>
        <v>0</v>
      </c>
      <c r="BB99">
        <f>IF(ISNUMBER(Y99),INDEX(AllCollegeILPub, MATCH(N99,AllCollegeNCES,0)),0)</f>
        <v>0</v>
      </c>
      <c r="BC99">
        <f>IF(AK99=ReachLabel,AP99,0)</f>
        <v>0</v>
      </c>
      <c r="BD99">
        <f>IF(AK99=MatchLabel,AP99,0)</f>
        <v>0</v>
      </c>
      <c r="BE99">
        <f>IF(AK99=SafetyLabel,AP99,0)</f>
        <v>0</v>
      </c>
      <c r="BF99">
        <f>IF(AK99=SecureLabel,AP99,0)</f>
        <v>0</v>
      </c>
      <c r="BG99">
        <f>IF(AK99=SureThingLabel,AP99,0)</f>
        <v>0</v>
      </c>
      <c r="BH99">
        <f>MAX(BC99:BG99)</f>
        <v>0</v>
      </c>
      <c r="BI99">
        <f>MAX(BD99:BG99)</f>
        <v>0</v>
      </c>
      <c r="BJ99">
        <f>MAX(BE99:BG99)</f>
        <v>0</v>
      </c>
      <c r="BK99">
        <f>IF(AND(AK99=ReachLabel,AY99=1),AP99,0)</f>
        <v>0</v>
      </c>
      <c r="BL99">
        <f>IF(AND(AK99=MatchLabel,AY99=1),AP99,0)</f>
        <v>0</v>
      </c>
      <c r="BM99">
        <f>IF(AND(AK99=SafetyLabel,AY99=1),AP99,0)</f>
        <v>0</v>
      </c>
      <c r="BN99">
        <f>IF(AND(AK99=SecureLabel,AY99=1),AP99,0)</f>
        <v>0</v>
      </c>
      <c r="BO99">
        <f>IF(AND(AK99=SureThingLabel,AY99=1),AP99,0)</f>
        <v>0</v>
      </c>
      <c r="BP99">
        <f>MAX(BK99:BO99)</f>
        <v>0</v>
      </c>
      <c r="BQ99">
        <f>MAX(BL99:BO99)</f>
        <v>0</v>
      </c>
      <c r="BR99">
        <f>MAX(BM99:BO99)</f>
        <v>0</v>
      </c>
      <c r="BS99">
        <f>IF(ISNUMBER(Y99),INDEX(AllCollegeChicago, MATCH(N99,AllCollegeNCES,0))*AY99,0)</f>
        <v>0</v>
      </c>
      <c r="BT99">
        <f>IF(ISNUMBER(Y99),INDEX(AllCollegeMoneyCode, MATCH(N99,AllCollegeNCES,0)),"?")</f>
        <v>0</v>
      </c>
      <c r="BU99">
        <f>IF(OR(BT99="---",BT99="--",BT99="+/--",BT99="+/---"),1,0)</f>
        <v>0</v>
      </c>
      <c r="BV99">
        <f>AY99*AO99*AQ99</f>
        <v>0</v>
      </c>
    </row>
    <row r="100" spans="1:74">
      <c r="A100" t="s">
        <v>86</v>
      </c>
      <c r="B100">
        <v>22410481</v>
      </c>
      <c r="C100" t="s">
        <v>179</v>
      </c>
      <c r="D100" t="s">
        <v>180</v>
      </c>
      <c r="E100" t="s">
        <v>428</v>
      </c>
      <c r="F100" t="s">
        <v>487</v>
      </c>
      <c r="G100" t="s">
        <v>430</v>
      </c>
      <c r="H100" t="s">
        <v>431</v>
      </c>
      <c r="I100" t="s">
        <v>432</v>
      </c>
      <c r="J100" t="s">
        <v>432</v>
      </c>
      <c r="K100">
        <v>0</v>
      </c>
      <c r="L100" t="s">
        <v>428</v>
      </c>
      <c r="M100" t="s">
        <v>428</v>
      </c>
      <c r="N100">
        <v>144351</v>
      </c>
      <c r="O100">
        <f>INDEX(AllCollegeBarrons,MATCH(N100,AllCollegeNCES,0))</f>
        <v>0</v>
      </c>
      <c r="P100">
        <f>INDEX(KidGPAs,MATCH(B100,KidIDs,0))</f>
        <v>0</v>
      </c>
      <c r="Q100">
        <f>INDEX(KidACTs,MATCH(B100,KidIDs,0))</f>
        <v>0</v>
      </c>
      <c r="R100">
        <f>INDEX(Strats,MATCH(B100,KidIDs,0))</f>
        <v>0</v>
      </c>
      <c r="S100">
        <f>INDEX(KidRace,MATCH(B100,KidIDs,0))</f>
        <v>0</v>
      </c>
      <c r="T100">
        <f>IF(OR(S100="M",S100="I"),"H",S100)</f>
        <v>0</v>
      </c>
      <c r="U100">
        <f>INDEX(StudentTargets,MATCH(B100,KidIDs,0))</f>
        <v>0</v>
      </c>
      <c r="V100">
        <f>INDEX(ReachStudentTargets,MATCH(B100,KidIDs,0))</f>
        <v>0</v>
      </c>
      <c r="W100">
        <f>IF(OR(M100="Posse"),1,0)</f>
        <v>0</v>
      </c>
      <c r="X100">
        <f>IF(ISNUMBER(INDEX(AllCollegeGR, MATCH(N100,AllCollegeNCES,0))),ROUND(INDEX(AllCollegeGR, MATCH(N100,AllCollegeNCES,0))+W100*IF(INDEX(AllCollegeGR, MATCH(N100,AllCollegeNCES,0))&gt;0.7,(1-INDEX(AllCollegeGR, MATCH(N100,AllCollegeNCES,0)))/2,0.15),2),INDEX(AllCollegeGR, MATCH(N100,AllCollegeNCES,0)))</f>
        <v>0</v>
      </c>
      <c r="Y100">
        <f>IF(ISNUMBER(INDEX(AllCollegeAAHGR, MATCH(N100,AllCollegeNCES,0))),ROUND(INDEX(AllCollegeAAHGR, MATCH(N100,AllCollegeNCES,0))+W100*IF(INDEX(AllCollegeAAHGR, MATCH(N100,AllCollegeNCES,0))&gt;0.7,(1-INDEX(AllCollegeAAHGR, MATCH(N100,AllCollegeNCES,0)))/2,0.15),2),INDEX(AllCollegeAAHGR, MATCH(N100,AllCollegeNCES,0)))</f>
        <v>0</v>
      </c>
      <c r="Z100">
        <f>IF(OR(T100="H",T100="B"),INDEX(AllCollegeACT25, MATCH(N100,AllCollegeNCES,0)),INDEX(AllCollegeACT50, MATCH(N100,AllCollegeNCES,0)))</f>
        <v>0</v>
      </c>
      <c r="AA100">
        <f>INDEX(CustomWeightsGPA,MATCH(T100&amp;":"&amp;N100,CustomWeightsIndex,0))</f>
        <v>0</v>
      </c>
      <c r="AB100">
        <f>INDEX(CustomWeightsACT,MATCH(T100&amp;":"&amp;N100,CustomWeightsIndex,0))</f>
        <v>0</v>
      </c>
      <c r="AC100">
        <f>INDEX(CustomWeightsIntercept,MATCH(T100&amp;":"&amp;N100,CustomWeightsIndex,0))</f>
        <v>0</v>
      </c>
      <c r="AD100">
        <f>AA100*P100+AB100*Q100+AC100</f>
        <v>0</v>
      </c>
      <c r="AE100">
        <f>INDEX(CoefficientsGPA,MATCH(T100&amp;":"&amp;O100,CoefficientsIndex,0))</f>
        <v>0</v>
      </c>
      <c r="AF100">
        <f>INDEX(CoefficientsACT,MATCH(T100&amp;":"&amp;O100,CoefficientsIndex,0))</f>
        <v>0</v>
      </c>
      <c r="AG100">
        <f>INDEX(CoefficientsIntercept,MATCH(T100&amp;":"&amp;O100,CoefficientsIndex,0))</f>
        <v>0</v>
      </c>
      <c r="AH100">
        <f>AE100*P100+(Q100-Z100)*AF100+AG100</f>
        <v>0</v>
      </c>
      <c r="AI100">
        <f>IF(ISNUMBER(AD100),AD100,AH100)</f>
        <v>0</v>
      </c>
      <c r="AJ100">
        <f>IF(ISNUMBER(AI100),IF(ISNUMBER(AE100),IF(AND(AE100=1,AF100=1,AG100=1),100,ROUND(100*EXP(AI100)/(1+EXP(AI100)),2)),ROUND(100*EXP(AI100)/(1+EXP(AI100)),2)),IF(ISTEXT(O100),IF(LEFT(O100,1)="2",100,"N/A"),"N/A"))</f>
        <v>0</v>
      </c>
      <c r="AK100">
        <f>IF(ISNUMBER(AJ100),IF(AJ100&gt;=99,IF(OR(R100=10,R100=11),MatchLabel,SureThingLabel),IF(AJ100&gt;=95,SecureLabel,IF(AJ100&gt;=80,SafetyLabel,IF(AJ100&gt;=50,MatchLabel,IF(AJ100&gt;=20,ReachLabel,IF(AJ100&gt;=10,LongshotLabel,HailMaryLabel)))))),"Other")</f>
        <v>0</v>
      </c>
      <c r="AL100">
        <f>IF(OR(I100="accepted",I100="cond. accept",I100="summer admit"),IF(J100="yes","CHOICE!","Accepted!"),IF(I100="denied","Denied",IF(K100=1,"Waitlist",IF(L100=1,"Deferred",IF(G100="pending","Pending",IF(OR(G100="initial materials submitted",G100="mid-year submitted",G100="final submitted"),"Submitted",IF(H100="interest","Interest","?")))))))</f>
        <v>0</v>
      </c>
      <c r="AM100">
        <f>IF(OR(AK100=ReachLabel,AK100=LongshotLabel,AK100=HailMaryLabel),1,0)</f>
        <v>0</v>
      </c>
      <c r="AN100">
        <f>IF(OR(AM100=1,AK100=MatchLabel),1,0)</f>
        <v>0</v>
      </c>
      <c r="AO100">
        <f>IF(OR(AK100=MatchLabel,AK100=SafetyLabel,AK100=SecureLabel,AK100=SureThingLabel),1,0)</f>
        <v>0</v>
      </c>
      <c r="AP100">
        <f>IF(OR(T100="H",T100="B"),IF(ISNUMBER(Y100),ROUND(Y100,2),0),IF(ISNUMBER(X100),ROUND(X100,2),0))</f>
        <v>0</v>
      </c>
      <c r="AQ100">
        <f>IF(AP100&gt;=U100,1,0)</f>
        <v>0</v>
      </c>
      <c r="AR100">
        <f>IF(AP100&gt;=V100,1,0)</f>
        <v>0</v>
      </c>
      <c r="AS100">
        <f>IF(AP100&lt;(U100-0.10),1,0)</f>
        <v>0</v>
      </c>
      <c r="AT100">
        <f>1-AJ100/100</f>
        <v>0</v>
      </c>
      <c r="AU100">
        <f>IF(AN100=1,AT100,1)</f>
        <v>0</v>
      </c>
      <c r="AV100">
        <f>IF(AM100=1,AT100,1)</f>
        <v>0</v>
      </c>
      <c r="AW100">
        <f>IF(AND(AQ100=1,ISNUMBER(AT100)),$AT100,1)</f>
        <v>0</v>
      </c>
      <c r="AX100">
        <f>IF(AND(AR100=1,ISNUMBER(AT100)),$AT100,1)</f>
        <v>0</v>
      </c>
      <c r="AY100">
        <f>IF(ISNUMBER(Y100),INDEX(AllCollegeMoney, MATCH(N100,AllCollegeNCES,0)),0)</f>
        <v>0</v>
      </c>
      <c r="AZ100">
        <f>IF(AND(AQ100=1,ISNUMBER(AT100),AY100=1),$AT100,1)</f>
        <v>0</v>
      </c>
      <c r="BA100">
        <f>IF(AND(AR100=1,ISNUMBER(AT100),AY100=1),$AT100,1)</f>
        <v>0</v>
      </c>
      <c r="BB100">
        <f>IF(ISNUMBER(Y100),INDEX(AllCollegeILPub, MATCH(N100,AllCollegeNCES,0)),0)</f>
        <v>0</v>
      </c>
      <c r="BC100">
        <f>IF(AK100=ReachLabel,AP100,0)</f>
        <v>0</v>
      </c>
      <c r="BD100">
        <f>IF(AK100=MatchLabel,AP100,0)</f>
        <v>0</v>
      </c>
      <c r="BE100">
        <f>IF(AK100=SafetyLabel,AP100,0)</f>
        <v>0</v>
      </c>
      <c r="BF100">
        <f>IF(AK100=SecureLabel,AP100,0)</f>
        <v>0</v>
      </c>
      <c r="BG100">
        <f>IF(AK100=SureThingLabel,AP100,0)</f>
        <v>0</v>
      </c>
      <c r="BH100">
        <f>MAX(BC100:BG100)</f>
        <v>0</v>
      </c>
      <c r="BI100">
        <f>MAX(BD100:BG100)</f>
        <v>0</v>
      </c>
      <c r="BJ100">
        <f>MAX(BE100:BG100)</f>
        <v>0</v>
      </c>
      <c r="BK100">
        <f>IF(AND(AK100=ReachLabel,AY100=1),AP100,0)</f>
        <v>0</v>
      </c>
      <c r="BL100">
        <f>IF(AND(AK100=MatchLabel,AY100=1),AP100,0)</f>
        <v>0</v>
      </c>
      <c r="BM100">
        <f>IF(AND(AK100=SafetyLabel,AY100=1),AP100,0)</f>
        <v>0</v>
      </c>
      <c r="BN100">
        <f>IF(AND(AK100=SecureLabel,AY100=1),AP100,0)</f>
        <v>0</v>
      </c>
      <c r="BO100">
        <f>IF(AND(AK100=SureThingLabel,AY100=1),AP100,0)</f>
        <v>0</v>
      </c>
      <c r="BP100">
        <f>MAX(BK100:BO100)</f>
        <v>0</v>
      </c>
      <c r="BQ100">
        <f>MAX(BL100:BO100)</f>
        <v>0</v>
      </c>
      <c r="BR100">
        <f>MAX(BM100:BO100)</f>
        <v>0</v>
      </c>
      <c r="BS100">
        <f>IF(ISNUMBER(Y100),INDEX(AllCollegeChicago, MATCH(N100,AllCollegeNCES,0))*AY100,0)</f>
        <v>0</v>
      </c>
      <c r="BT100">
        <f>IF(ISNUMBER(Y100),INDEX(AllCollegeMoneyCode, MATCH(N100,AllCollegeNCES,0)),"?")</f>
        <v>0</v>
      </c>
      <c r="BU100">
        <f>IF(OR(BT100="---",BT100="--",BT100="+/--",BT100="+/---"),1,0)</f>
        <v>0</v>
      </c>
      <c r="BV100">
        <f>AY100*AO100*AQ100</f>
        <v>0</v>
      </c>
    </row>
    <row r="101" spans="1:74">
      <c r="A101" t="s">
        <v>86</v>
      </c>
      <c r="B101">
        <v>22410481</v>
      </c>
      <c r="C101" t="s">
        <v>179</v>
      </c>
      <c r="D101" t="s">
        <v>180</v>
      </c>
      <c r="E101" t="s">
        <v>428</v>
      </c>
      <c r="F101" t="s">
        <v>490</v>
      </c>
      <c r="G101" t="s">
        <v>430</v>
      </c>
      <c r="H101" t="s">
        <v>431</v>
      </c>
      <c r="I101" t="s">
        <v>432</v>
      </c>
      <c r="J101" t="s">
        <v>432</v>
      </c>
      <c r="K101">
        <v>0</v>
      </c>
      <c r="L101" t="s">
        <v>428</v>
      </c>
      <c r="M101" t="s">
        <v>428</v>
      </c>
      <c r="N101">
        <v>147411</v>
      </c>
      <c r="O101">
        <f>INDEX(AllCollegeBarrons,MATCH(N101,AllCollegeNCES,0))</f>
        <v>0</v>
      </c>
      <c r="P101">
        <f>INDEX(KidGPAs,MATCH(B101,KidIDs,0))</f>
        <v>0</v>
      </c>
      <c r="Q101">
        <f>INDEX(KidACTs,MATCH(B101,KidIDs,0))</f>
        <v>0</v>
      </c>
      <c r="R101">
        <f>INDEX(Strats,MATCH(B101,KidIDs,0))</f>
        <v>0</v>
      </c>
      <c r="S101">
        <f>INDEX(KidRace,MATCH(B101,KidIDs,0))</f>
        <v>0</v>
      </c>
      <c r="T101">
        <f>IF(OR(S101="M",S101="I"),"H",S101)</f>
        <v>0</v>
      </c>
      <c r="U101">
        <f>INDEX(StudentTargets,MATCH(B101,KidIDs,0))</f>
        <v>0</v>
      </c>
      <c r="V101">
        <f>INDEX(ReachStudentTargets,MATCH(B101,KidIDs,0))</f>
        <v>0</v>
      </c>
      <c r="W101">
        <f>IF(OR(M101="Posse"),1,0)</f>
        <v>0</v>
      </c>
      <c r="X101">
        <f>IF(ISNUMBER(INDEX(AllCollegeGR, MATCH(N101,AllCollegeNCES,0))),ROUND(INDEX(AllCollegeGR, MATCH(N101,AllCollegeNCES,0))+W101*IF(INDEX(AllCollegeGR, MATCH(N101,AllCollegeNCES,0))&gt;0.7,(1-INDEX(AllCollegeGR, MATCH(N101,AllCollegeNCES,0)))/2,0.15),2),INDEX(AllCollegeGR, MATCH(N101,AllCollegeNCES,0)))</f>
        <v>0</v>
      </c>
      <c r="Y101">
        <f>IF(ISNUMBER(INDEX(AllCollegeAAHGR, MATCH(N101,AllCollegeNCES,0))),ROUND(INDEX(AllCollegeAAHGR, MATCH(N101,AllCollegeNCES,0))+W101*IF(INDEX(AllCollegeAAHGR, MATCH(N101,AllCollegeNCES,0))&gt;0.7,(1-INDEX(AllCollegeAAHGR, MATCH(N101,AllCollegeNCES,0)))/2,0.15),2),INDEX(AllCollegeAAHGR, MATCH(N101,AllCollegeNCES,0)))</f>
        <v>0</v>
      </c>
      <c r="Z101">
        <f>IF(OR(T101="H",T101="B"),INDEX(AllCollegeACT25, MATCH(N101,AllCollegeNCES,0)),INDEX(AllCollegeACT50, MATCH(N101,AllCollegeNCES,0)))</f>
        <v>0</v>
      </c>
      <c r="AA101">
        <f>INDEX(CustomWeightsGPA,MATCH(T101&amp;":"&amp;N101,CustomWeightsIndex,0))</f>
        <v>0</v>
      </c>
      <c r="AB101">
        <f>INDEX(CustomWeightsACT,MATCH(T101&amp;":"&amp;N101,CustomWeightsIndex,0))</f>
        <v>0</v>
      </c>
      <c r="AC101">
        <f>INDEX(CustomWeightsIntercept,MATCH(T101&amp;":"&amp;N101,CustomWeightsIndex,0))</f>
        <v>0</v>
      </c>
      <c r="AD101">
        <f>AA101*P101+AB101*Q101+AC101</f>
        <v>0</v>
      </c>
      <c r="AE101">
        <f>INDEX(CoefficientsGPA,MATCH(T101&amp;":"&amp;O101,CoefficientsIndex,0))</f>
        <v>0</v>
      </c>
      <c r="AF101">
        <f>INDEX(CoefficientsACT,MATCH(T101&amp;":"&amp;O101,CoefficientsIndex,0))</f>
        <v>0</v>
      </c>
      <c r="AG101">
        <f>INDEX(CoefficientsIntercept,MATCH(T101&amp;":"&amp;O101,CoefficientsIndex,0))</f>
        <v>0</v>
      </c>
      <c r="AH101">
        <f>AE101*P101+(Q101-Z101)*AF101+AG101</f>
        <v>0</v>
      </c>
      <c r="AI101">
        <f>IF(ISNUMBER(AD101),AD101,AH101)</f>
        <v>0</v>
      </c>
      <c r="AJ101">
        <f>IF(ISNUMBER(AI101),IF(ISNUMBER(AE101),IF(AND(AE101=1,AF101=1,AG101=1),100,ROUND(100*EXP(AI101)/(1+EXP(AI101)),2)),ROUND(100*EXP(AI101)/(1+EXP(AI101)),2)),IF(ISTEXT(O101),IF(LEFT(O101,1)="2",100,"N/A"),"N/A"))</f>
        <v>0</v>
      </c>
      <c r="AK101">
        <f>IF(ISNUMBER(AJ101),IF(AJ101&gt;=99,IF(OR(R101=10,R101=11),MatchLabel,SureThingLabel),IF(AJ101&gt;=95,SecureLabel,IF(AJ101&gt;=80,SafetyLabel,IF(AJ101&gt;=50,MatchLabel,IF(AJ101&gt;=20,ReachLabel,IF(AJ101&gt;=10,LongshotLabel,HailMaryLabel)))))),"Other")</f>
        <v>0</v>
      </c>
      <c r="AL101">
        <f>IF(OR(I101="accepted",I101="cond. accept",I101="summer admit"),IF(J101="yes","CHOICE!","Accepted!"),IF(I101="denied","Denied",IF(K101=1,"Waitlist",IF(L101=1,"Deferred",IF(G101="pending","Pending",IF(OR(G101="initial materials submitted",G101="mid-year submitted",G101="final submitted"),"Submitted",IF(H101="interest","Interest","?")))))))</f>
        <v>0</v>
      </c>
      <c r="AM101">
        <f>IF(OR(AK101=ReachLabel,AK101=LongshotLabel,AK101=HailMaryLabel),1,0)</f>
        <v>0</v>
      </c>
      <c r="AN101">
        <f>IF(OR(AM101=1,AK101=MatchLabel),1,0)</f>
        <v>0</v>
      </c>
      <c r="AO101">
        <f>IF(OR(AK101=MatchLabel,AK101=SafetyLabel,AK101=SecureLabel,AK101=SureThingLabel),1,0)</f>
        <v>0</v>
      </c>
      <c r="AP101">
        <f>IF(OR(T101="H",T101="B"),IF(ISNUMBER(Y101),ROUND(Y101,2),0),IF(ISNUMBER(X101),ROUND(X101,2),0))</f>
        <v>0</v>
      </c>
      <c r="AQ101">
        <f>IF(AP101&gt;=U101,1,0)</f>
        <v>0</v>
      </c>
      <c r="AR101">
        <f>IF(AP101&gt;=V101,1,0)</f>
        <v>0</v>
      </c>
      <c r="AS101">
        <f>IF(AP101&lt;(U101-0.10),1,0)</f>
        <v>0</v>
      </c>
      <c r="AT101">
        <f>1-AJ101/100</f>
        <v>0</v>
      </c>
      <c r="AU101">
        <f>IF(AN101=1,AT101,1)</f>
        <v>0</v>
      </c>
      <c r="AV101">
        <f>IF(AM101=1,AT101,1)</f>
        <v>0</v>
      </c>
      <c r="AW101">
        <f>IF(AND(AQ101=1,ISNUMBER(AT101)),$AT101,1)</f>
        <v>0</v>
      </c>
      <c r="AX101">
        <f>IF(AND(AR101=1,ISNUMBER(AT101)),$AT101,1)</f>
        <v>0</v>
      </c>
      <c r="AY101">
        <f>IF(ISNUMBER(Y101),INDEX(AllCollegeMoney, MATCH(N101,AllCollegeNCES,0)),0)</f>
        <v>0</v>
      </c>
      <c r="AZ101">
        <f>IF(AND(AQ101=1,ISNUMBER(AT101),AY101=1),$AT101,1)</f>
        <v>0</v>
      </c>
      <c r="BA101">
        <f>IF(AND(AR101=1,ISNUMBER(AT101),AY101=1),$AT101,1)</f>
        <v>0</v>
      </c>
      <c r="BB101">
        <f>IF(ISNUMBER(Y101),INDEX(AllCollegeILPub, MATCH(N101,AllCollegeNCES,0)),0)</f>
        <v>0</v>
      </c>
      <c r="BC101">
        <f>IF(AK101=ReachLabel,AP101,0)</f>
        <v>0</v>
      </c>
      <c r="BD101">
        <f>IF(AK101=MatchLabel,AP101,0)</f>
        <v>0</v>
      </c>
      <c r="BE101">
        <f>IF(AK101=SafetyLabel,AP101,0)</f>
        <v>0</v>
      </c>
      <c r="BF101">
        <f>IF(AK101=SecureLabel,AP101,0)</f>
        <v>0</v>
      </c>
      <c r="BG101">
        <f>IF(AK101=SureThingLabel,AP101,0)</f>
        <v>0</v>
      </c>
      <c r="BH101">
        <f>MAX(BC101:BG101)</f>
        <v>0</v>
      </c>
      <c r="BI101">
        <f>MAX(BD101:BG101)</f>
        <v>0</v>
      </c>
      <c r="BJ101">
        <f>MAX(BE101:BG101)</f>
        <v>0</v>
      </c>
      <c r="BK101">
        <f>IF(AND(AK101=ReachLabel,AY101=1),AP101,0)</f>
        <v>0</v>
      </c>
      <c r="BL101">
        <f>IF(AND(AK101=MatchLabel,AY101=1),AP101,0)</f>
        <v>0</v>
      </c>
      <c r="BM101">
        <f>IF(AND(AK101=SafetyLabel,AY101=1),AP101,0)</f>
        <v>0</v>
      </c>
      <c r="BN101">
        <f>IF(AND(AK101=SecureLabel,AY101=1),AP101,0)</f>
        <v>0</v>
      </c>
      <c r="BO101">
        <f>IF(AND(AK101=SureThingLabel,AY101=1),AP101,0)</f>
        <v>0</v>
      </c>
      <c r="BP101">
        <f>MAX(BK101:BO101)</f>
        <v>0</v>
      </c>
      <c r="BQ101">
        <f>MAX(BL101:BO101)</f>
        <v>0</v>
      </c>
      <c r="BR101">
        <f>MAX(BM101:BO101)</f>
        <v>0</v>
      </c>
      <c r="BS101">
        <f>IF(ISNUMBER(Y101),INDEX(AllCollegeChicago, MATCH(N101,AllCollegeNCES,0))*AY101,0)</f>
        <v>0</v>
      </c>
      <c r="BT101">
        <f>IF(ISNUMBER(Y101),INDEX(AllCollegeMoneyCode, MATCH(N101,AllCollegeNCES,0)),"?")</f>
        <v>0</v>
      </c>
      <c r="BU101">
        <f>IF(OR(BT101="---",BT101="--",BT101="+/--",BT101="+/---"),1,0)</f>
        <v>0</v>
      </c>
      <c r="BV101">
        <f>AY101*AO101*AQ101</f>
        <v>0</v>
      </c>
    </row>
    <row r="102" spans="1:74">
      <c r="A102" t="s">
        <v>86</v>
      </c>
      <c r="B102">
        <v>22410481</v>
      </c>
      <c r="C102" t="s">
        <v>179</v>
      </c>
      <c r="D102" t="s">
        <v>180</v>
      </c>
      <c r="E102" t="s">
        <v>428</v>
      </c>
      <c r="F102" t="s">
        <v>491</v>
      </c>
      <c r="G102" t="s">
        <v>430</v>
      </c>
      <c r="H102" t="s">
        <v>431</v>
      </c>
      <c r="I102" t="s">
        <v>432</v>
      </c>
      <c r="J102" t="s">
        <v>432</v>
      </c>
      <c r="K102">
        <v>0</v>
      </c>
      <c r="L102" t="s">
        <v>428</v>
      </c>
      <c r="M102" t="s">
        <v>428</v>
      </c>
      <c r="N102">
        <v>144166</v>
      </c>
      <c r="O102">
        <f>INDEX(AllCollegeBarrons,MATCH(N102,AllCollegeNCES,0))</f>
        <v>0</v>
      </c>
      <c r="P102">
        <f>INDEX(KidGPAs,MATCH(B102,KidIDs,0))</f>
        <v>0</v>
      </c>
      <c r="Q102">
        <f>INDEX(KidACTs,MATCH(B102,KidIDs,0))</f>
        <v>0</v>
      </c>
      <c r="R102">
        <f>INDEX(Strats,MATCH(B102,KidIDs,0))</f>
        <v>0</v>
      </c>
      <c r="S102">
        <f>INDEX(KidRace,MATCH(B102,KidIDs,0))</f>
        <v>0</v>
      </c>
      <c r="T102">
        <f>IF(OR(S102="M",S102="I"),"H",S102)</f>
        <v>0</v>
      </c>
      <c r="U102">
        <f>INDEX(StudentTargets,MATCH(B102,KidIDs,0))</f>
        <v>0</v>
      </c>
      <c r="V102">
        <f>INDEX(ReachStudentTargets,MATCH(B102,KidIDs,0))</f>
        <v>0</v>
      </c>
      <c r="W102">
        <f>IF(OR(M102="Posse"),1,0)</f>
        <v>0</v>
      </c>
      <c r="X102">
        <f>IF(ISNUMBER(INDEX(AllCollegeGR, MATCH(N102,AllCollegeNCES,0))),ROUND(INDEX(AllCollegeGR, MATCH(N102,AllCollegeNCES,0))+W102*IF(INDEX(AllCollegeGR, MATCH(N102,AllCollegeNCES,0))&gt;0.7,(1-INDEX(AllCollegeGR, MATCH(N102,AllCollegeNCES,0)))/2,0.15),2),INDEX(AllCollegeGR, MATCH(N102,AllCollegeNCES,0)))</f>
        <v>0</v>
      </c>
      <c r="Y102">
        <f>IF(ISNUMBER(INDEX(AllCollegeAAHGR, MATCH(N102,AllCollegeNCES,0))),ROUND(INDEX(AllCollegeAAHGR, MATCH(N102,AllCollegeNCES,0))+W102*IF(INDEX(AllCollegeAAHGR, MATCH(N102,AllCollegeNCES,0))&gt;0.7,(1-INDEX(AllCollegeAAHGR, MATCH(N102,AllCollegeNCES,0)))/2,0.15),2),INDEX(AllCollegeAAHGR, MATCH(N102,AllCollegeNCES,0)))</f>
        <v>0</v>
      </c>
      <c r="Z102">
        <f>IF(OR(T102="H",T102="B"),INDEX(AllCollegeACT25, MATCH(N102,AllCollegeNCES,0)),INDEX(AllCollegeACT50, MATCH(N102,AllCollegeNCES,0)))</f>
        <v>0</v>
      </c>
      <c r="AA102">
        <f>INDEX(CustomWeightsGPA,MATCH(T102&amp;":"&amp;N102,CustomWeightsIndex,0))</f>
        <v>0</v>
      </c>
      <c r="AB102">
        <f>INDEX(CustomWeightsACT,MATCH(T102&amp;":"&amp;N102,CustomWeightsIndex,0))</f>
        <v>0</v>
      </c>
      <c r="AC102">
        <f>INDEX(CustomWeightsIntercept,MATCH(T102&amp;":"&amp;N102,CustomWeightsIndex,0))</f>
        <v>0</v>
      </c>
      <c r="AD102">
        <f>AA102*P102+AB102*Q102+AC102</f>
        <v>0</v>
      </c>
      <c r="AE102">
        <f>INDEX(CoefficientsGPA,MATCH(T102&amp;":"&amp;O102,CoefficientsIndex,0))</f>
        <v>0</v>
      </c>
      <c r="AF102">
        <f>INDEX(CoefficientsACT,MATCH(T102&amp;":"&amp;O102,CoefficientsIndex,0))</f>
        <v>0</v>
      </c>
      <c r="AG102">
        <f>INDEX(CoefficientsIntercept,MATCH(T102&amp;":"&amp;O102,CoefficientsIndex,0))</f>
        <v>0</v>
      </c>
      <c r="AH102">
        <f>AE102*P102+(Q102-Z102)*AF102+AG102</f>
        <v>0</v>
      </c>
      <c r="AI102">
        <f>IF(ISNUMBER(AD102),AD102,AH102)</f>
        <v>0</v>
      </c>
      <c r="AJ102">
        <f>IF(ISNUMBER(AI102),IF(ISNUMBER(AE102),IF(AND(AE102=1,AF102=1,AG102=1),100,ROUND(100*EXP(AI102)/(1+EXP(AI102)),2)),ROUND(100*EXP(AI102)/(1+EXP(AI102)),2)),IF(ISTEXT(O102),IF(LEFT(O102,1)="2",100,"N/A"),"N/A"))</f>
        <v>0</v>
      </c>
      <c r="AK102">
        <f>IF(ISNUMBER(AJ102),IF(AJ102&gt;=99,IF(OR(R102=10,R102=11),MatchLabel,SureThingLabel),IF(AJ102&gt;=95,SecureLabel,IF(AJ102&gt;=80,SafetyLabel,IF(AJ102&gt;=50,MatchLabel,IF(AJ102&gt;=20,ReachLabel,IF(AJ102&gt;=10,LongshotLabel,HailMaryLabel)))))),"Other")</f>
        <v>0</v>
      </c>
      <c r="AL102">
        <f>IF(OR(I102="accepted",I102="cond. accept",I102="summer admit"),IF(J102="yes","CHOICE!","Accepted!"),IF(I102="denied","Denied",IF(K102=1,"Waitlist",IF(L102=1,"Deferred",IF(G102="pending","Pending",IF(OR(G102="initial materials submitted",G102="mid-year submitted",G102="final submitted"),"Submitted",IF(H102="interest","Interest","?")))))))</f>
        <v>0</v>
      </c>
      <c r="AM102">
        <f>IF(OR(AK102=ReachLabel,AK102=LongshotLabel,AK102=HailMaryLabel),1,0)</f>
        <v>0</v>
      </c>
      <c r="AN102">
        <f>IF(OR(AM102=1,AK102=MatchLabel),1,0)</f>
        <v>0</v>
      </c>
      <c r="AO102">
        <f>IF(OR(AK102=MatchLabel,AK102=SafetyLabel,AK102=SecureLabel,AK102=SureThingLabel),1,0)</f>
        <v>0</v>
      </c>
      <c r="AP102">
        <f>IF(OR(T102="H",T102="B"),IF(ISNUMBER(Y102),ROUND(Y102,2),0),IF(ISNUMBER(X102),ROUND(X102,2),0))</f>
        <v>0</v>
      </c>
      <c r="AQ102">
        <f>IF(AP102&gt;=U102,1,0)</f>
        <v>0</v>
      </c>
      <c r="AR102">
        <f>IF(AP102&gt;=V102,1,0)</f>
        <v>0</v>
      </c>
      <c r="AS102">
        <f>IF(AP102&lt;(U102-0.10),1,0)</f>
        <v>0</v>
      </c>
      <c r="AT102">
        <f>1-AJ102/100</f>
        <v>0</v>
      </c>
      <c r="AU102">
        <f>IF(AN102=1,AT102,1)</f>
        <v>0</v>
      </c>
      <c r="AV102">
        <f>IF(AM102=1,AT102,1)</f>
        <v>0</v>
      </c>
      <c r="AW102">
        <f>IF(AND(AQ102=1,ISNUMBER(AT102)),$AT102,1)</f>
        <v>0</v>
      </c>
      <c r="AX102">
        <f>IF(AND(AR102=1,ISNUMBER(AT102)),$AT102,1)</f>
        <v>0</v>
      </c>
      <c r="AY102">
        <f>IF(ISNUMBER(Y102),INDEX(AllCollegeMoney, MATCH(N102,AllCollegeNCES,0)),0)</f>
        <v>0</v>
      </c>
      <c r="AZ102">
        <f>IF(AND(AQ102=1,ISNUMBER(AT102),AY102=1),$AT102,1)</f>
        <v>0</v>
      </c>
      <c r="BA102">
        <f>IF(AND(AR102=1,ISNUMBER(AT102),AY102=1),$AT102,1)</f>
        <v>0</v>
      </c>
      <c r="BB102">
        <f>IF(ISNUMBER(Y102),INDEX(AllCollegeILPub, MATCH(N102,AllCollegeNCES,0)),0)</f>
        <v>0</v>
      </c>
      <c r="BC102">
        <f>IF(AK102=ReachLabel,AP102,0)</f>
        <v>0</v>
      </c>
      <c r="BD102">
        <f>IF(AK102=MatchLabel,AP102,0)</f>
        <v>0</v>
      </c>
      <c r="BE102">
        <f>IF(AK102=SafetyLabel,AP102,0)</f>
        <v>0</v>
      </c>
      <c r="BF102">
        <f>IF(AK102=SecureLabel,AP102,0)</f>
        <v>0</v>
      </c>
      <c r="BG102">
        <f>IF(AK102=SureThingLabel,AP102,0)</f>
        <v>0</v>
      </c>
      <c r="BH102">
        <f>MAX(BC102:BG102)</f>
        <v>0</v>
      </c>
      <c r="BI102">
        <f>MAX(BD102:BG102)</f>
        <v>0</v>
      </c>
      <c r="BJ102">
        <f>MAX(BE102:BG102)</f>
        <v>0</v>
      </c>
      <c r="BK102">
        <f>IF(AND(AK102=ReachLabel,AY102=1),AP102,0)</f>
        <v>0</v>
      </c>
      <c r="BL102">
        <f>IF(AND(AK102=MatchLabel,AY102=1),AP102,0)</f>
        <v>0</v>
      </c>
      <c r="BM102">
        <f>IF(AND(AK102=SafetyLabel,AY102=1),AP102,0)</f>
        <v>0</v>
      </c>
      <c r="BN102">
        <f>IF(AND(AK102=SecureLabel,AY102=1),AP102,0)</f>
        <v>0</v>
      </c>
      <c r="BO102">
        <f>IF(AND(AK102=SureThingLabel,AY102=1),AP102,0)</f>
        <v>0</v>
      </c>
      <c r="BP102">
        <f>MAX(BK102:BO102)</f>
        <v>0</v>
      </c>
      <c r="BQ102">
        <f>MAX(BL102:BO102)</f>
        <v>0</v>
      </c>
      <c r="BR102">
        <f>MAX(BM102:BO102)</f>
        <v>0</v>
      </c>
      <c r="BS102">
        <f>IF(ISNUMBER(Y102),INDEX(AllCollegeChicago, MATCH(N102,AllCollegeNCES,0))*AY102,0)</f>
        <v>0</v>
      </c>
      <c r="BT102">
        <f>IF(ISNUMBER(Y102),INDEX(AllCollegeMoneyCode, MATCH(N102,AllCollegeNCES,0)),"?")</f>
        <v>0</v>
      </c>
      <c r="BU102">
        <f>IF(OR(BT102="---",BT102="--",BT102="+/--",BT102="+/---"),1,0)</f>
        <v>0</v>
      </c>
      <c r="BV102">
        <f>AY102*AO102*AQ102</f>
        <v>0</v>
      </c>
    </row>
    <row r="103" spans="1:74">
      <c r="A103" t="s">
        <v>86</v>
      </c>
      <c r="B103">
        <v>22410481</v>
      </c>
      <c r="C103" t="s">
        <v>179</v>
      </c>
      <c r="D103" t="s">
        <v>180</v>
      </c>
      <c r="E103" t="s">
        <v>428</v>
      </c>
      <c r="F103" t="s">
        <v>445</v>
      </c>
      <c r="G103" t="s">
        <v>430</v>
      </c>
      <c r="H103" t="s">
        <v>431</v>
      </c>
      <c r="I103" t="s">
        <v>432</v>
      </c>
      <c r="J103" t="s">
        <v>432</v>
      </c>
      <c r="K103">
        <v>0</v>
      </c>
      <c r="L103" t="s">
        <v>428</v>
      </c>
      <c r="M103" t="s">
        <v>428</v>
      </c>
      <c r="N103">
        <v>147776</v>
      </c>
      <c r="O103">
        <f>INDEX(AllCollegeBarrons,MATCH(N103,AllCollegeNCES,0))</f>
        <v>0</v>
      </c>
      <c r="P103">
        <f>INDEX(KidGPAs,MATCH(B103,KidIDs,0))</f>
        <v>0</v>
      </c>
      <c r="Q103">
        <f>INDEX(KidACTs,MATCH(B103,KidIDs,0))</f>
        <v>0</v>
      </c>
      <c r="R103">
        <f>INDEX(Strats,MATCH(B103,KidIDs,0))</f>
        <v>0</v>
      </c>
      <c r="S103">
        <f>INDEX(KidRace,MATCH(B103,KidIDs,0))</f>
        <v>0</v>
      </c>
      <c r="T103">
        <f>IF(OR(S103="M",S103="I"),"H",S103)</f>
        <v>0</v>
      </c>
      <c r="U103">
        <f>INDEX(StudentTargets,MATCH(B103,KidIDs,0))</f>
        <v>0</v>
      </c>
      <c r="V103">
        <f>INDEX(ReachStudentTargets,MATCH(B103,KidIDs,0))</f>
        <v>0</v>
      </c>
      <c r="W103">
        <f>IF(OR(M103="Posse"),1,0)</f>
        <v>0</v>
      </c>
      <c r="X103">
        <f>IF(ISNUMBER(INDEX(AllCollegeGR, MATCH(N103,AllCollegeNCES,0))),ROUND(INDEX(AllCollegeGR, MATCH(N103,AllCollegeNCES,0))+W103*IF(INDEX(AllCollegeGR, MATCH(N103,AllCollegeNCES,0))&gt;0.7,(1-INDEX(AllCollegeGR, MATCH(N103,AllCollegeNCES,0)))/2,0.15),2),INDEX(AllCollegeGR, MATCH(N103,AllCollegeNCES,0)))</f>
        <v>0</v>
      </c>
      <c r="Y103">
        <f>IF(ISNUMBER(INDEX(AllCollegeAAHGR, MATCH(N103,AllCollegeNCES,0))),ROUND(INDEX(AllCollegeAAHGR, MATCH(N103,AllCollegeNCES,0))+W103*IF(INDEX(AllCollegeAAHGR, MATCH(N103,AllCollegeNCES,0))&gt;0.7,(1-INDEX(AllCollegeAAHGR, MATCH(N103,AllCollegeNCES,0)))/2,0.15),2),INDEX(AllCollegeAAHGR, MATCH(N103,AllCollegeNCES,0)))</f>
        <v>0</v>
      </c>
      <c r="Z103">
        <f>IF(OR(T103="H",T103="B"),INDEX(AllCollegeACT25, MATCH(N103,AllCollegeNCES,0)),INDEX(AllCollegeACT50, MATCH(N103,AllCollegeNCES,0)))</f>
        <v>0</v>
      </c>
      <c r="AA103">
        <f>INDEX(CustomWeightsGPA,MATCH(T103&amp;":"&amp;N103,CustomWeightsIndex,0))</f>
        <v>0</v>
      </c>
      <c r="AB103">
        <f>INDEX(CustomWeightsACT,MATCH(T103&amp;":"&amp;N103,CustomWeightsIndex,0))</f>
        <v>0</v>
      </c>
      <c r="AC103">
        <f>INDEX(CustomWeightsIntercept,MATCH(T103&amp;":"&amp;N103,CustomWeightsIndex,0))</f>
        <v>0</v>
      </c>
      <c r="AD103">
        <f>AA103*P103+AB103*Q103+AC103</f>
        <v>0</v>
      </c>
      <c r="AE103">
        <f>INDEX(CoefficientsGPA,MATCH(T103&amp;":"&amp;O103,CoefficientsIndex,0))</f>
        <v>0</v>
      </c>
      <c r="AF103">
        <f>INDEX(CoefficientsACT,MATCH(T103&amp;":"&amp;O103,CoefficientsIndex,0))</f>
        <v>0</v>
      </c>
      <c r="AG103">
        <f>INDEX(CoefficientsIntercept,MATCH(T103&amp;":"&amp;O103,CoefficientsIndex,0))</f>
        <v>0</v>
      </c>
      <c r="AH103">
        <f>AE103*P103+(Q103-Z103)*AF103+AG103</f>
        <v>0</v>
      </c>
      <c r="AI103">
        <f>IF(ISNUMBER(AD103),AD103,AH103)</f>
        <v>0</v>
      </c>
      <c r="AJ103">
        <f>IF(ISNUMBER(AI103),IF(ISNUMBER(AE103),IF(AND(AE103=1,AF103=1,AG103=1),100,ROUND(100*EXP(AI103)/(1+EXP(AI103)),2)),ROUND(100*EXP(AI103)/(1+EXP(AI103)),2)),IF(ISTEXT(O103),IF(LEFT(O103,1)="2",100,"N/A"),"N/A"))</f>
        <v>0</v>
      </c>
      <c r="AK103">
        <f>IF(ISNUMBER(AJ103),IF(AJ103&gt;=99,IF(OR(R103=10,R103=11),MatchLabel,SureThingLabel),IF(AJ103&gt;=95,SecureLabel,IF(AJ103&gt;=80,SafetyLabel,IF(AJ103&gt;=50,MatchLabel,IF(AJ103&gt;=20,ReachLabel,IF(AJ103&gt;=10,LongshotLabel,HailMaryLabel)))))),"Other")</f>
        <v>0</v>
      </c>
      <c r="AL103">
        <f>IF(OR(I103="accepted",I103="cond. accept",I103="summer admit"),IF(J103="yes","CHOICE!","Accepted!"),IF(I103="denied","Denied",IF(K103=1,"Waitlist",IF(L103=1,"Deferred",IF(G103="pending","Pending",IF(OR(G103="initial materials submitted",G103="mid-year submitted",G103="final submitted"),"Submitted",IF(H103="interest","Interest","?")))))))</f>
        <v>0</v>
      </c>
      <c r="AM103">
        <f>IF(OR(AK103=ReachLabel,AK103=LongshotLabel,AK103=HailMaryLabel),1,0)</f>
        <v>0</v>
      </c>
      <c r="AN103">
        <f>IF(OR(AM103=1,AK103=MatchLabel),1,0)</f>
        <v>0</v>
      </c>
      <c r="AO103">
        <f>IF(OR(AK103=MatchLabel,AK103=SafetyLabel,AK103=SecureLabel,AK103=SureThingLabel),1,0)</f>
        <v>0</v>
      </c>
      <c r="AP103">
        <f>IF(OR(T103="H",T103="B"),IF(ISNUMBER(Y103),ROUND(Y103,2),0),IF(ISNUMBER(X103),ROUND(X103,2),0))</f>
        <v>0</v>
      </c>
      <c r="AQ103">
        <f>IF(AP103&gt;=U103,1,0)</f>
        <v>0</v>
      </c>
      <c r="AR103">
        <f>IF(AP103&gt;=V103,1,0)</f>
        <v>0</v>
      </c>
      <c r="AS103">
        <f>IF(AP103&lt;(U103-0.10),1,0)</f>
        <v>0</v>
      </c>
      <c r="AT103">
        <f>1-AJ103/100</f>
        <v>0</v>
      </c>
      <c r="AU103">
        <f>IF(AN103=1,AT103,1)</f>
        <v>0</v>
      </c>
      <c r="AV103">
        <f>IF(AM103=1,AT103,1)</f>
        <v>0</v>
      </c>
      <c r="AW103">
        <f>IF(AND(AQ103=1,ISNUMBER(AT103)),$AT103,1)</f>
        <v>0</v>
      </c>
      <c r="AX103">
        <f>IF(AND(AR103=1,ISNUMBER(AT103)),$AT103,1)</f>
        <v>0</v>
      </c>
      <c r="AY103">
        <f>IF(ISNUMBER(Y103),INDEX(AllCollegeMoney, MATCH(N103,AllCollegeNCES,0)),0)</f>
        <v>0</v>
      </c>
      <c r="AZ103">
        <f>IF(AND(AQ103=1,ISNUMBER(AT103),AY103=1),$AT103,1)</f>
        <v>0</v>
      </c>
      <c r="BA103">
        <f>IF(AND(AR103=1,ISNUMBER(AT103),AY103=1),$AT103,1)</f>
        <v>0</v>
      </c>
      <c r="BB103">
        <f>IF(ISNUMBER(Y103),INDEX(AllCollegeILPub, MATCH(N103,AllCollegeNCES,0)),0)</f>
        <v>0</v>
      </c>
      <c r="BC103">
        <f>IF(AK103=ReachLabel,AP103,0)</f>
        <v>0</v>
      </c>
      <c r="BD103">
        <f>IF(AK103=MatchLabel,AP103,0)</f>
        <v>0</v>
      </c>
      <c r="BE103">
        <f>IF(AK103=SafetyLabel,AP103,0)</f>
        <v>0</v>
      </c>
      <c r="BF103">
        <f>IF(AK103=SecureLabel,AP103,0)</f>
        <v>0</v>
      </c>
      <c r="BG103">
        <f>IF(AK103=SureThingLabel,AP103,0)</f>
        <v>0</v>
      </c>
      <c r="BH103">
        <f>MAX(BC103:BG103)</f>
        <v>0</v>
      </c>
      <c r="BI103">
        <f>MAX(BD103:BG103)</f>
        <v>0</v>
      </c>
      <c r="BJ103">
        <f>MAX(BE103:BG103)</f>
        <v>0</v>
      </c>
      <c r="BK103">
        <f>IF(AND(AK103=ReachLabel,AY103=1),AP103,0)</f>
        <v>0</v>
      </c>
      <c r="BL103">
        <f>IF(AND(AK103=MatchLabel,AY103=1),AP103,0)</f>
        <v>0</v>
      </c>
      <c r="BM103">
        <f>IF(AND(AK103=SafetyLabel,AY103=1),AP103,0)</f>
        <v>0</v>
      </c>
      <c r="BN103">
        <f>IF(AND(AK103=SecureLabel,AY103=1),AP103,0)</f>
        <v>0</v>
      </c>
      <c r="BO103">
        <f>IF(AND(AK103=SureThingLabel,AY103=1),AP103,0)</f>
        <v>0</v>
      </c>
      <c r="BP103">
        <f>MAX(BK103:BO103)</f>
        <v>0</v>
      </c>
      <c r="BQ103">
        <f>MAX(BL103:BO103)</f>
        <v>0</v>
      </c>
      <c r="BR103">
        <f>MAX(BM103:BO103)</f>
        <v>0</v>
      </c>
      <c r="BS103">
        <f>IF(ISNUMBER(Y103),INDEX(AllCollegeChicago, MATCH(N103,AllCollegeNCES,0))*AY103,0)</f>
        <v>0</v>
      </c>
      <c r="BT103">
        <f>IF(ISNUMBER(Y103),INDEX(AllCollegeMoneyCode, MATCH(N103,AllCollegeNCES,0)),"?")</f>
        <v>0</v>
      </c>
      <c r="BU103">
        <f>IF(OR(BT103="---",BT103="--",BT103="+/--",BT103="+/---"),1,0)</f>
        <v>0</v>
      </c>
      <c r="BV103">
        <f>AY103*AO103*AQ103</f>
        <v>0</v>
      </c>
    </row>
    <row r="104" spans="1:74">
      <c r="A104" t="s">
        <v>86</v>
      </c>
      <c r="B104">
        <v>22410481</v>
      </c>
      <c r="C104" t="s">
        <v>179</v>
      </c>
      <c r="D104" t="s">
        <v>180</v>
      </c>
      <c r="E104" t="s">
        <v>428</v>
      </c>
      <c r="F104" t="s">
        <v>492</v>
      </c>
      <c r="G104" t="s">
        <v>430</v>
      </c>
      <c r="H104" t="s">
        <v>431</v>
      </c>
      <c r="I104" t="s">
        <v>432</v>
      </c>
      <c r="J104" t="s">
        <v>432</v>
      </c>
      <c r="K104">
        <v>0</v>
      </c>
      <c r="L104" t="s">
        <v>428</v>
      </c>
      <c r="M104" t="s">
        <v>428</v>
      </c>
      <c r="N104">
        <v>135717</v>
      </c>
      <c r="O104">
        <f>INDEX(AllCollegeBarrons,MATCH(N104,AllCollegeNCES,0))</f>
        <v>0</v>
      </c>
      <c r="P104">
        <f>INDEX(KidGPAs,MATCH(B104,KidIDs,0))</f>
        <v>0</v>
      </c>
      <c r="Q104">
        <f>INDEX(KidACTs,MATCH(B104,KidIDs,0))</f>
        <v>0</v>
      </c>
      <c r="R104">
        <f>INDEX(Strats,MATCH(B104,KidIDs,0))</f>
        <v>0</v>
      </c>
      <c r="S104">
        <f>INDEX(KidRace,MATCH(B104,KidIDs,0))</f>
        <v>0</v>
      </c>
      <c r="T104">
        <f>IF(OR(S104="M",S104="I"),"H",S104)</f>
        <v>0</v>
      </c>
      <c r="U104">
        <f>INDEX(StudentTargets,MATCH(B104,KidIDs,0))</f>
        <v>0</v>
      </c>
      <c r="V104">
        <f>INDEX(ReachStudentTargets,MATCH(B104,KidIDs,0))</f>
        <v>0</v>
      </c>
      <c r="W104">
        <f>IF(OR(M104="Posse"),1,0)</f>
        <v>0</v>
      </c>
      <c r="X104">
        <f>IF(ISNUMBER(INDEX(AllCollegeGR, MATCH(N104,AllCollegeNCES,0))),ROUND(INDEX(AllCollegeGR, MATCH(N104,AllCollegeNCES,0))+W104*IF(INDEX(AllCollegeGR, MATCH(N104,AllCollegeNCES,0))&gt;0.7,(1-INDEX(AllCollegeGR, MATCH(N104,AllCollegeNCES,0)))/2,0.15),2),INDEX(AllCollegeGR, MATCH(N104,AllCollegeNCES,0)))</f>
        <v>0</v>
      </c>
      <c r="Y104">
        <f>IF(ISNUMBER(INDEX(AllCollegeAAHGR, MATCH(N104,AllCollegeNCES,0))),ROUND(INDEX(AllCollegeAAHGR, MATCH(N104,AllCollegeNCES,0))+W104*IF(INDEX(AllCollegeAAHGR, MATCH(N104,AllCollegeNCES,0))&gt;0.7,(1-INDEX(AllCollegeAAHGR, MATCH(N104,AllCollegeNCES,0)))/2,0.15),2),INDEX(AllCollegeAAHGR, MATCH(N104,AllCollegeNCES,0)))</f>
        <v>0</v>
      </c>
      <c r="Z104">
        <f>IF(OR(T104="H",T104="B"),INDEX(AllCollegeACT25, MATCH(N104,AllCollegeNCES,0)),INDEX(AllCollegeACT50, MATCH(N104,AllCollegeNCES,0)))</f>
        <v>0</v>
      </c>
      <c r="AA104">
        <f>INDEX(CustomWeightsGPA,MATCH(T104&amp;":"&amp;N104,CustomWeightsIndex,0))</f>
        <v>0</v>
      </c>
      <c r="AB104">
        <f>INDEX(CustomWeightsACT,MATCH(T104&amp;":"&amp;N104,CustomWeightsIndex,0))</f>
        <v>0</v>
      </c>
      <c r="AC104">
        <f>INDEX(CustomWeightsIntercept,MATCH(T104&amp;":"&amp;N104,CustomWeightsIndex,0))</f>
        <v>0</v>
      </c>
      <c r="AD104">
        <f>AA104*P104+AB104*Q104+AC104</f>
        <v>0</v>
      </c>
      <c r="AE104">
        <f>INDEX(CoefficientsGPA,MATCH(T104&amp;":"&amp;O104,CoefficientsIndex,0))</f>
        <v>0</v>
      </c>
      <c r="AF104">
        <f>INDEX(CoefficientsACT,MATCH(T104&amp;":"&amp;O104,CoefficientsIndex,0))</f>
        <v>0</v>
      </c>
      <c r="AG104">
        <f>INDEX(CoefficientsIntercept,MATCH(T104&amp;":"&amp;O104,CoefficientsIndex,0))</f>
        <v>0</v>
      </c>
      <c r="AH104">
        <f>AE104*P104+(Q104-Z104)*AF104+AG104</f>
        <v>0</v>
      </c>
      <c r="AI104">
        <f>IF(ISNUMBER(AD104),AD104,AH104)</f>
        <v>0</v>
      </c>
      <c r="AJ104">
        <f>IF(ISNUMBER(AI104),IF(ISNUMBER(AE104),IF(AND(AE104=1,AF104=1,AG104=1),100,ROUND(100*EXP(AI104)/(1+EXP(AI104)),2)),ROUND(100*EXP(AI104)/(1+EXP(AI104)),2)),IF(ISTEXT(O104),IF(LEFT(O104,1)="2",100,"N/A"),"N/A"))</f>
        <v>0</v>
      </c>
      <c r="AK104">
        <f>IF(ISNUMBER(AJ104),IF(AJ104&gt;=99,IF(OR(R104=10,R104=11),MatchLabel,SureThingLabel),IF(AJ104&gt;=95,SecureLabel,IF(AJ104&gt;=80,SafetyLabel,IF(AJ104&gt;=50,MatchLabel,IF(AJ104&gt;=20,ReachLabel,IF(AJ104&gt;=10,LongshotLabel,HailMaryLabel)))))),"Other")</f>
        <v>0</v>
      </c>
      <c r="AL104">
        <f>IF(OR(I104="accepted",I104="cond. accept",I104="summer admit"),IF(J104="yes","CHOICE!","Accepted!"),IF(I104="denied","Denied",IF(K104=1,"Waitlist",IF(L104=1,"Deferred",IF(G104="pending","Pending",IF(OR(G104="initial materials submitted",G104="mid-year submitted",G104="final submitted"),"Submitted",IF(H104="interest","Interest","?")))))))</f>
        <v>0</v>
      </c>
      <c r="AM104">
        <f>IF(OR(AK104=ReachLabel,AK104=LongshotLabel,AK104=HailMaryLabel),1,0)</f>
        <v>0</v>
      </c>
      <c r="AN104">
        <f>IF(OR(AM104=1,AK104=MatchLabel),1,0)</f>
        <v>0</v>
      </c>
      <c r="AO104">
        <f>IF(OR(AK104=MatchLabel,AK104=SafetyLabel,AK104=SecureLabel,AK104=SureThingLabel),1,0)</f>
        <v>0</v>
      </c>
      <c r="AP104">
        <f>IF(OR(T104="H",T104="B"),IF(ISNUMBER(Y104),ROUND(Y104,2),0),IF(ISNUMBER(X104),ROUND(X104,2),0))</f>
        <v>0</v>
      </c>
      <c r="AQ104">
        <f>IF(AP104&gt;=U104,1,0)</f>
        <v>0</v>
      </c>
      <c r="AR104">
        <f>IF(AP104&gt;=V104,1,0)</f>
        <v>0</v>
      </c>
      <c r="AS104">
        <f>IF(AP104&lt;(U104-0.10),1,0)</f>
        <v>0</v>
      </c>
      <c r="AT104">
        <f>1-AJ104/100</f>
        <v>0</v>
      </c>
      <c r="AU104">
        <f>IF(AN104=1,AT104,1)</f>
        <v>0</v>
      </c>
      <c r="AV104">
        <f>IF(AM104=1,AT104,1)</f>
        <v>0</v>
      </c>
      <c r="AW104">
        <f>IF(AND(AQ104=1,ISNUMBER(AT104)),$AT104,1)</f>
        <v>0</v>
      </c>
      <c r="AX104">
        <f>IF(AND(AR104=1,ISNUMBER(AT104)),$AT104,1)</f>
        <v>0</v>
      </c>
      <c r="AY104">
        <f>IF(ISNUMBER(Y104),INDEX(AllCollegeMoney, MATCH(N104,AllCollegeNCES,0)),0)</f>
        <v>0</v>
      </c>
      <c r="AZ104">
        <f>IF(AND(AQ104=1,ISNUMBER(AT104),AY104=1),$AT104,1)</f>
        <v>0</v>
      </c>
      <c r="BA104">
        <f>IF(AND(AR104=1,ISNUMBER(AT104),AY104=1),$AT104,1)</f>
        <v>0</v>
      </c>
      <c r="BB104">
        <f>IF(ISNUMBER(Y104),INDEX(AllCollegeILPub, MATCH(N104,AllCollegeNCES,0)),0)</f>
        <v>0</v>
      </c>
      <c r="BC104">
        <f>IF(AK104=ReachLabel,AP104,0)</f>
        <v>0</v>
      </c>
      <c r="BD104">
        <f>IF(AK104=MatchLabel,AP104,0)</f>
        <v>0</v>
      </c>
      <c r="BE104">
        <f>IF(AK104=SafetyLabel,AP104,0)</f>
        <v>0</v>
      </c>
      <c r="BF104">
        <f>IF(AK104=SecureLabel,AP104,0)</f>
        <v>0</v>
      </c>
      <c r="BG104">
        <f>IF(AK104=SureThingLabel,AP104,0)</f>
        <v>0</v>
      </c>
      <c r="BH104">
        <f>MAX(BC104:BG104)</f>
        <v>0</v>
      </c>
      <c r="BI104">
        <f>MAX(BD104:BG104)</f>
        <v>0</v>
      </c>
      <c r="BJ104">
        <f>MAX(BE104:BG104)</f>
        <v>0</v>
      </c>
      <c r="BK104">
        <f>IF(AND(AK104=ReachLabel,AY104=1),AP104,0)</f>
        <v>0</v>
      </c>
      <c r="BL104">
        <f>IF(AND(AK104=MatchLabel,AY104=1),AP104,0)</f>
        <v>0</v>
      </c>
      <c r="BM104">
        <f>IF(AND(AK104=SafetyLabel,AY104=1),AP104,0)</f>
        <v>0</v>
      </c>
      <c r="BN104">
        <f>IF(AND(AK104=SecureLabel,AY104=1),AP104,0)</f>
        <v>0</v>
      </c>
      <c r="BO104">
        <f>IF(AND(AK104=SureThingLabel,AY104=1),AP104,0)</f>
        <v>0</v>
      </c>
      <c r="BP104">
        <f>MAX(BK104:BO104)</f>
        <v>0</v>
      </c>
      <c r="BQ104">
        <f>MAX(BL104:BO104)</f>
        <v>0</v>
      </c>
      <c r="BR104">
        <f>MAX(BM104:BO104)</f>
        <v>0</v>
      </c>
      <c r="BS104">
        <f>IF(ISNUMBER(Y104),INDEX(AllCollegeChicago, MATCH(N104,AllCollegeNCES,0))*AY104,0)</f>
        <v>0</v>
      </c>
      <c r="BT104">
        <f>IF(ISNUMBER(Y104),INDEX(AllCollegeMoneyCode, MATCH(N104,AllCollegeNCES,0)),"?")</f>
        <v>0</v>
      </c>
      <c r="BU104">
        <f>IF(OR(BT104="---",BT104="--",BT104="+/--",BT104="+/---"),1,0)</f>
        <v>0</v>
      </c>
      <c r="BV104">
        <f>AY104*AO104*AQ104</f>
        <v>0</v>
      </c>
    </row>
    <row r="105" spans="1:74">
      <c r="A105" t="s">
        <v>86</v>
      </c>
      <c r="B105">
        <v>22415099</v>
      </c>
      <c r="C105" t="s">
        <v>281</v>
      </c>
      <c r="D105" t="s">
        <v>282</v>
      </c>
      <c r="E105" t="s">
        <v>428</v>
      </c>
      <c r="F105" t="s">
        <v>462</v>
      </c>
      <c r="G105" t="s">
        <v>430</v>
      </c>
      <c r="H105" t="s">
        <v>431</v>
      </c>
      <c r="I105" t="s">
        <v>432</v>
      </c>
      <c r="J105" t="s">
        <v>432</v>
      </c>
      <c r="K105">
        <v>0</v>
      </c>
      <c r="L105" t="s">
        <v>428</v>
      </c>
      <c r="M105" t="s">
        <v>428</v>
      </c>
      <c r="N105">
        <v>168546</v>
      </c>
      <c r="O105">
        <f>INDEX(AllCollegeBarrons,MATCH(N105,AllCollegeNCES,0))</f>
        <v>0</v>
      </c>
      <c r="P105">
        <f>INDEX(KidGPAs,MATCH(B105,KidIDs,0))</f>
        <v>0</v>
      </c>
      <c r="Q105">
        <f>INDEX(KidACTs,MATCH(B105,KidIDs,0))</f>
        <v>0</v>
      </c>
      <c r="R105">
        <f>INDEX(Strats,MATCH(B105,KidIDs,0))</f>
        <v>0</v>
      </c>
      <c r="S105">
        <f>INDEX(KidRace,MATCH(B105,KidIDs,0))</f>
        <v>0</v>
      </c>
      <c r="T105">
        <f>IF(OR(S105="M",S105="I"),"H",S105)</f>
        <v>0</v>
      </c>
      <c r="U105">
        <f>INDEX(StudentTargets,MATCH(B105,KidIDs,0))</f>
        <v>0</v>
      </c>
      <c r="V105">
        <f>INDEX(ReachStudentTargets,MATCH(B105,KidIDs,0))</f>
        <v>0</v>
      </c>
      <c r="W105">
        <f>IF(OR(M105="Posse"),1,0)</f>
        <v>0</v>
      </c>
      <c r="X105">
        <f>IF(ISNUMBER(INDEX(AllCollegeGR, MATCH(N105,AllCollegeNCES,0))),ROUND(INDEX(AllCollegeGR, MATCH(N105,AllCollegeNCES,0))+W105*IF(INDEX(AllCollegeGR, MATCH(N105,AllCollegeNCES,0))&gt;0.7,(1-INDEX(AllCollegeGR, MATCH(N105,AllCollegeNCES,0)))/2,0.15),2),INDEX(AllCollegeGR, MATCH(N105,AllCollegeNCES,0)))</f>
        <v>0</v>
      </c>
      <c r="Y105">
        <f>IF(ISNUMBER(INDEX(AllCollegeAAHGR, MATCH(N105,AllCollegeNCES,0))),ROUND(INDEX(AllCollegeAAHGR, MATCH(N105,AllCollegeNCES,0))+W105*IF(INDEX(AllCollegeAAHGR, MATCH(N105,AllCollegeNCES,0))&gt;0.7,(1-INDEX(AllCollegeAAHGR, MATCH(N105,AllCollegeNCES,0)))/2,0.15),2),INDEX(AllCollegeAAHGR, MATCH(N105,AllCollegeNCES,0)))</f>
        <v>0</v>
      </c>
      <c r="Z105">
        <f>IF(OR(T105="H",T105="B"),INDEX(AllCollegeACT25, MATCH(N105,AllCollegeNCES,0)),INDEX(AllCollegeACT50, MATCH(N105,AllCollegeNCES,0)))</f>
        <v>0</v>
      </c>
      <c r="AA105">
        <f>INDEX(CustomWeightsGPA,MATCH(T105&amp;":"&amp;N105,CustomWeightsIndex,0))</f>
        <v>0</v>
      </c>
      <c r="AB105">
        <f>INDEX(CustomWeightsACT,MATCH(T105&amp;":"&amp;N105,CustomWeightsIndex,0))</f>
        <v>0</v>
      </c>
      <c r="AC105">
        <f>INDEX(CustomWeightsIntercept,MATCH(T105&amp;":"&amp;N105,CustomWeightsIndex,0))</f>
        <v>0</v>
      </c>
      <c r="AD105">
        <f>AA105*P105+AB105*Q105+AC105</f>
        <v>0</v>
      </c>
      <c r="AE105">
        <f>INDEX(CoefficientsGPA,MATCH(T105&amp;":"&amp;O105,CoefficientsIndex,0))</f>
        <v>0</v>
      </c>
      <c r="AF105">
        <f>INDEX(CoefficientsACT,MATCH(T105&amp;":"&amp;O105,CoefficientsIndex,0))</f>
        <v>0</v>
      </c>
      <c r="AG105">
        <f>INDEX(CoefficientsIntercept,MATCH(T105&amp;":"&amp;O105,CoefficientsIndex,0))</f>
        <v>0</v>
      </c>
      <c r="AH105">
        <f>AE105*P105+(Q105-Z105)*AF105+AG105</f>
        <v>0</v>
      </c>
      <c r="AI105">
        <f>IF(ISNUMBER(AD105),AD105,AH105)</f>
        <v>0</v>
      </c>
      <c r="AJ105">
        <f>IF(ISNUMBER(AI105),IF(ISNUMBER(AE105),IF(AND(AE105=1,AF105=1,AG105=1),100,ROUND(100*EXP(AI105)/(1+EXP(AI105)),2)),ROUND(100*EXP(AI105)/(1+EXP(AI105)),2)),IF(ISTEXT(O105),IF(LEFT(O105,1)="2",100,"N/A"),"N/A"))</f>
        <v>0</v>
      </c>
      <c r="AK105">
        <f>IF(ISNUMBER(AJ105),IF(AJ105&gt;=99,IF(OR(R105=10,R105=11),MatchLabel,SureThingLabel),IF(AJ105&gt;=95,SecureLabel,IF(AJ105&gt;=80,SafetyLabel,IF(AJ105&gt;=50,MatchLabel,IF(AJ105&gt;=20,ReachLabel,IF(AJ105&gt;=10,LongshotLabel,HailMaryLabel)))))),"Other")</f>
        <v>0</v>
      </c>
      <c r="AL105">
        <f>IF(OR(I105="accepted",I105="cond. accept",I105="summer admit"),IF(J105="yes","CHOICE!","Accepted!"),IF(I105="denied","Denied",IF(K105=1,"Waitlist",IF(L105=1,"Deferred",IF(G105="pending","Pending",IF(OR(G105="initial materials submitted",G105="mid-year submitted",G105="final submitted"),"Submitted",IF(H105="interest","Interest","?")))))))</f>
        <v>0</v>
      </c>
      <c r="AM105">
        <f>IF(OR(AK105=ReachLabel,AK105=LongshotLabel,AK105=HailMaryLabel),1,0)</f>
        <v>0</v>
      </c>
      <c r="AN105">
        <f>IF(OR(AM105=1,AK105=MatchLabel),1,0)</f>
        <v>0</v>
      </c>
      <c r="AO105">
        <f>IF(OR(AK105=MatchLabel,AK105=SafetyLabel,AK105=SecureLabel,AK105=SureThingLabel),1,0)</f>
        <v>0</v>
      </c>
      <c r="AP105">
        <f>IF(OR(T105="H",T105="B"),IF(ISNUMBER(Y105),ROUND(Y105,2),0),IF(ISNUMBER(X105),ROUND(X105,2),0))</f>
        <v>0</v>
      </c>
      <c r="AQ105">
        <f>IF(AP105&gt;=U105,1,0)</f>
        <v>0</v>
      </c>
      <c r="AR105">
        <f>IF(AP105&gt;=V105,1,0)</f>
        <v>0</v>
      </c>
      <c r="AS105">
        <f>IF(AP105&lt;(U105-0.10),1,0)</f>
        <v>0</v>
      </c>
      <c r="AT105">
        <f>1-AJ105/100</f>
        <v>0</v>
      </c>
      <c r="AU105">
        <f>IF(AN105=1,AT105,1)</f>
        <v>0</v>
      </c>
      <c r="AV105">
        <f>IF(AM105=1,AT105,1)</f>
        <v>0</v>
      </c>
      <c r="AW105">
        <f>IF(AND(AQ105=1,ISNUMBER(AT105)),$AT105,1)</f>
        <v>0</v>
      </c>
      <c r="AX105">
        <f>IF(AND(AR105=1,ISNUMBER(AT105)),$AT105,1)</f>
        <v>0</v>
      </c>
      <c r="AY105">
        <f>IF(ISNUMBER(Y105),INDEX(AllCollegeMoney, MATCH(N105,AllCollegeNCES,0)),0)</f>
        <v>0</v>
      </c>
      <c r="AZ105">
        <f>IF(AND(AQ105=1,ISNUMBER(AT105),AY105=1),$AT105,1)</f>
        <v>0</v>
      </c>
      <c r="BA105">
        <f>IF(AND(AR105=1,ISNUMBER(AT105),AY105=1),$AT105,1)</f>
        <v>0</v>
      </c>
      <c r="BB105">
        <f>IF(ISNUMBER(Y105),INDEX(AllCollegeILPub, MATCH(N105,AllCollegeNCES,0)),0)</f>
        <v>0</v>
      </c>
      <c r="BC105">
        <f>IF(AK105=ReachLabel,AP105,0)</f>
        <v>0</v>
      </c>
      <c r="BD105">
        <f>IF(AK105=MatchLabel,AP105,0)</f>
        <v>0</v>
      </c>
      <c r="BE105">
        <f>IF(AK105=SafetyLabel,AP105,0)</f>
        <v>0</v>
      </c>
      <c r="BF105">
        <f>IF(AK105=SecureLabel,AP105,0)</f>
        <v>0</v>
      </c>
      <c r="BG105">
        <f>IF(AK105=SureThingLabel,AP105,0)</f>
        <v>0</v>
      </c>
      <c r="BH105">
        <f>MAX(BC105:BG105)</f>
        <v>0</v>
      </c>
      <c r="BI105">
        <f>MAX(BD105:BG105)</f>
        <v>0</v>
      </c>
      <c r="BJ105">
        <f>MAX(BE105:BG105)</f>
        <v>0</v>
      </c>
      <c r="BK105">
        <f>IF(AND(AK105=ReachLabel,AY105=1),AP105,0)</f>
        <v>0</v>
      </c>
      <c r="BL105">
        <f>IF(AND(AK105=MatchLabel,AY105=1),AP105,0)</f>
        <v>0</v>
      </c>
      <c r="BM105">
        <f>IF(AND(AK105=SafetyLabel,AY105=1),AP105,0)</f>
        <v>0</v>
      </c>
      <c r="BN105">
        <f>IF(AND(AK105=SecureLabel,AY105=1),AP105,0)</f>
        <v>0</v>
      </c>
      <c r="BO105">
        <f>IF(AND(AK105=SureThingLabel,AY105=1),AP105,0)</f>
        <v>0</v>
      </c>
      <c r="BP105">
        <f>MAX(BK105:BO105)</f>
        <v>0</v>
      </c>
      <c r="BQ105">
        <f>MAX(BL105:BO105)</f>
        <v>0</v>
      </c>
      <c r="BR105">
        <f>MAX(BM105:BO105)</f>
        <v>0</v>
      </c>
      <c r="BS105">
        <f>IF(ISNUMBER(Y105),INDEX(AllCollegeChicago, MATCH(N105,AllCollegeNCES,0))*AY105,0)</f>
        <v>0</v>
      </c>
      <c r="BT105">
        <f>IF(ISNUMBER(Y105),INDEX(AllCollegeMoneyCode, MATCH(N105,AllCollegeNCES,0)),"?")</f>
        <v>0</v>
      </c>
      <c r="BU105">
        <f>IF(OR(BT105="---",BT105="--",BT105="+/--",BT105="+/---"),1,0)</f>
        <v>0</v>
      </c>
      <c r="BV105">
        <f>AY105*AO105*AQ105</f>
        <v>0</v>
      </c>
    </row>
    <row r="106" spans="1:74">
      <c r="A106" t="s">
        <v>86</v>
      </c>
      <c r="B106">
        <v>22415099</v>
      </c>
      <c r="C106" t="s">
        <v>281</v>
      </c>
      <c r="D106" t="s">
        <v>282</v>
      </c>
      <c r="E106" t="s">
        <v>428</v>
      </c>
      <c r="F106" t="s">
        <v>429</v>
      </c>
      <c r="G106" t="s">
        <v>430</v>
      </c>
      <c r="H106" t="s">
        <v>431</v>
      </c>
      <c r="I106" t="s">
        <v>432</v>
      </c>
      <c r="J106" t="s">
        <v>432</v>
      </c>
      <c r="K106">
        <v>0</v>
      </c>
      <c r="L106" t="s">
        <v>428</v>
      </c>
      <c r="M106" t="s">
        <v>428</v>
      </c>
      <c r="N106">
        <v>144962</v>
      </c>
      <c r="O106">
        <f>INDEX(AllCollegeBarrons,MATCH(N106,AllCollegeNCES,0))</f>
        <v>0</v>
      </c>
      <c r="P106">
        <f>INDEX(KidGPAs,MATCH(B106,KidIDs,0))</f>
        <v>0</v>
      </c>
      <c r="Q106">
        <f>INDEX(KidACTs,MATCH(B106,KidIDs,0))</f>
        <v>0</v>
      </c>
      <c r="R106">
        <f>INDEX(Strats,MATCH(B106,KidIDs,0))</f>
        <v>0</v>
      </c>
      <c r="S106">
        <f>INDEX(KidRace,MATCH(B106,KidIDs,0))</f>
        <v>0</v>
      </c>
      <c r="T106">
        <f>IF(OR(S106="M",S106="I"),"H",S106)</f>
        <v>0</v>
      </c>
      <c r="U106">
        <f>INDEX(StudentTargets,MATCH(B106,KidIDs,0))</f>
        <v>0</v>
      </c>
      <c r="V106">
        <f>INDEX(ReachStudentTargets,MATCH(B106,KidIDs,0))</f>
        <v>0</v>
      </c>
      <c r="W106">
        <f>IF(OR(M106="Posse"),1,0)</f>
        <v>0</v>
      </c>
      <c r="X106">
        <f>IF(ISNUMBER(INDEX(AllCollegeGR, MATCH(N106,AllCollegeNCES,0))),ROUND(INDEX(AllCollegeGR, MATCH(N106,AllCollegeNCES,0))+W106*IF(INDEX(AllCollegeGR, MATCH(N106,AllCollegeNCES,0))&gt;0.7,(1-INDEX(AllCollegeGR, MATCH(N106,AllCollegeNCES,0)))/2,0.15),2),INDEX(AllCollegeGR, MATCH(N106,AllCollegeNCES,0)))</f>
        <v>0</v>
      </c>
      <c r="Y106">
        <f>IF(ISNUMBER(INDEX(AllCollegeAAHGR, MATCH(N106,AllCollegeNCES,0))),ROUND(INDEX(AllCollegeAAHGR, MATCH(N106,AllCollegeNCES,0))+W106*IF(INDEX(AllCollegeAAHGR, MATCH(N106,AllCollegeNCES,0))&gt;0.7,(1-INDEX(AllCollegeAAHGR, MATCH(N106,AllCollegeNCES,0)))/2,0.15),2),INDEX(AllCollegeAAHGR, MATCH(N106,AllCollegeNCES,0)))</f>
        <v>0</v>
      </c>
      <c r="Z106">
        <f>IF(OR(T106="H",T106="B"),INDEX(AllCollegeACT25, MATCH(N106,AllCollegeNCES,0)),INDEX(AllCollegeACT50, MATCH(N106,AllCollegeNCES,0)))</f>
        <v>0</v>
      </c>
      <c r="AA106">
        <f>INDEX(CustomWeightsGPA,MATCH(T106&amp;":"&amp;N106,CustomWeightsIndex,0))</f>
        <v>0</v>
      </c>
      <c r="AB106">
        <f>INDEX(CustomWeightsACT,MATCH(T106&amp;":"&amp;N106,CustomWeightsIndex,0))</f>
        <v>0</v>
      </c>
      <c r="AC106">
        <f>INDEX(CustomWeightsIntercept,MATCH(T106&amp;":"&amp;N106,CustomWeightsIndex,0))</f>
        <v>0</v>
      </c>
      <c r="AD106">
        <f>AA106*P106+AB106*Q106+AC106</f>
        <v>0</v>
      </c>
      <c r="AE106">
        <f>INDEX(CoefficientsGPA,MATCH(T106&amp;":"&amp;O106,CoefficientsIndex,0))</f>
        <v>0</v>
      </c>
      <c r="AF106">
        <f>INDEX(CoefficientsACT,MATCH(T106&amp;":"&amp;O106,CoefficientsIndex,0))</f>
        <v>0</v>
      </c>
      <c r="AG106">
        <f>INDEX(CoefficientsIntercept,MATCH(T106&amp;":"&amp;O106,CoefficientsIndex,0))</f>
        <v>0</v>
      </c>
      <c r="AH106">
        <f>AE106*P106+(Q106-Z106)*AF106+AG106</f>
        <v>0</v>
      </c>
      <c r="AI106">
        <f>IF(ISNUMBER(AD106),AD106,AH106)</f>
        <v>0</v>
      </c>
      <c r="AJ106">
        <f>IF(ISNUMBER(AI106),IF(ISNUMBER(AE106),IF(AND(AE106=1,AF106=1,AG106=1),100,ROUND(100*EXP(AI106)/(1+EXP(AI106)),2)),ROUND(100*EXP(AI106)/(1+EXP(AI106)),2)),IF(ISTEXT(O106),IF(LEFT(O106,1)="2",100,"N/A"),"N/A"))</f>
        <v>0</v>
      </c>
      <c r="AK106">
        <f>IF(ISNUMBER(AJ106),IF(AJ106&gt;=99,IF(OR(R106=10,R106=11),MatchLabel,SureThingLabel),IF(AJ106&gt;=95,SecureLabel,IF(AJ106&gt;=80,SafetyLabel,IF(AJ106&gt;=50,MatchLabel,IF(AJ106&gt;=20,ReachLabel,IF(AJ106&gt;=10,LongshotLabel,HailMaryLabel)))))),"Other")</f>
        <v>0</v>
      </c>
      <c r="AL106">
        <f>IF(OR(I106="accepted",I106="cond. accept",I106="summer admit"),IF(J106="yes","CHOICE!","Accepted!"),IF(I106="denied","Denied",IF(K106=1,"Waitlist",IF(L106=1,"Deferred",IF(G106="pending","Pending",IF(OR(G106="initial materials submitted",G106="mid-year submitted",G106="final submitted"),"Submitted",IF(H106="interest","Interest","?")))))))</f>
        <v>0</v>
      </c>
      <c r="AM106">
        <f>IF(OR(AK106=ReachLabel,AK106=LongshotLabel,AK106=HailMaryLabel),1,0)</f>
        <v>0</v>
      </c>
      <c r="AN106">
        <f>IF(OR(AM106=1,AK106=MatchLabel),1,0)</f>
        <v>0</v>
      </c>
      <c r="AO106">
        <f>IF(OR(AK106=MatchLabel,AK106=SafetyLabel,AK106=SecureLabel,AK106=SureThingLabel),1,0)</f>
        <v>0</v>
      </c>
      <c r="AP106">
        <f>IF(OR(T106="H",T106="B"),IF(ISNUMBER(Y106),ROUND(Y106,2),0),IF(ISNUMBER(X106),ROUND(X106,2),0))</f>
        <v>0</v>
      </c>
      <c r="AQ106">
        <f>IF(AP106&gt;=U106,1,0)</f>
        <v>0</v>
      </c>
      <c r="AR106">
        <f>IF(AP106&gt;=V106,1,0)</f>
        <v>0</v>
      </c>
      <c r="AS106">
        <f>IF(AP106&lt;(U106-0.10),1,0)</f>
        <v>0</v>
      </c>
      <c r="AT106">
        <f>1-AJ106/100</f>
        <v>0</v>
      </c>
      <c r="AU106">
        <f>IF(AN106=1,AT106,1)</f>
        <v>0</v>
      </c>
      <c r="AV106">
        <f>IF(AM106=1,AT106,1)</f>
        <v>0</v>
      </c>
      <c r="AW106">
        <f>IF(AND(AQ106=1,ISNUMBER(AT106)),$AT106,1)</f>
        <v>0</v>
      </c>
      <c r="AX106">
        <f>IF(AND(AR106=1,ISNUMBER(AT106)),$AT106,1)</f>
        <v>0</v>
      </c>
      <c r="AY106">
        <f>IF(ISNUMBER(Y106),INDEX(AllCollegeMoney, MATCH(N106,AllCollegeNCES,0)),0)</f>
        <v>0</v>
      </c>
      <c r="AZ106">
        <f>IF(AND(AQ106=1,ISNUMBER(AT106),AY106=1),$AT106,1)</f>
        <v>0</v>
      </c>
      <c r="BA106">
        <f>IF(AND(AR106=1,ISNUMBER(AT106),AY106=1),$AT106,1)</f>
        <v>0</v>
      </c>
      <c r="BB106">
        <f>IF(ISNUMBER(Y106),INDEX(AllCollegeILPub, MATCH(N106,AllCollegeNCES,0)),0)</f>
        <v>0</v>
      </c>
      <c r="BC106">
        <f>IF(AK106=ReachLabel,AP106,0)</f>
        <v>0</v>
      </c>
      <c r="BD106">
        <f>IF(AK106=MatchLabel,AP106,0)</f>
        <v>0</v>
      </c>
      <c r="BE106">
        <f>IF(AK106=SafetyLabel,AP106,0)</f>
        <v>0</v>
      </c>
      <c r="BF106">
        <f>IF(AK106=SecureLabel,AP106,0)</f>
        <v>0</v>
      </c>
      <c r="BG106">
        <f>IF(AK106=SureThingLabel,AP106,0)</f>
        <v>0</v>
      </c>
      <c r="BH106">
        <f>MAX(BC106:BG106)</f>
        <v>0</v>
      </c>
      <c r="BI106">
        <f>MAX(BD106:BG106)</f>
        <v>0</v>
      </c>
      <c r="BJ106">
        <f>MAX(BE106:BG106)</f>
        <v>0</v>
      </c>
      <c r="BK106">
        <f>IF(AND(AK106=ReachLabel,AY106=1),AP106,0)</f>
        <v>0</v>
      </c>
      <c r="BL106">
        <f>IF(AND(AK106=MatchLabel,AY106=1),AP106,0)</f>
        <v>0</v>
      </c>
      <c r="BM106">
        <f>IF(AND(AK106=SafetyLabel,AY106=1),AP106,0)</f>
        <v>0</v>
      </c>
      <c r="BN106">
        <f>IF(AND(AK106=SecureLabel,AY106=1),AP106,0)</f>
        <v>0</v>
      </c>
      <c r="BO106">
        <f>IF(AND(AK106=SureThingLabel,AY106=1),AP106,0)</f>
        <v>0</v>
      </c>
      <c r="BP106">
        <f>MAX(BK106:BO106)</f>
        <v>0</v>
      </c>
      <c r="BQ106">
        <f>MAX(BL106:BO106)</f>
        <v>0</v>
      </c>
      <c r="BR106">
        <f>MAX(BM106:BO106)</f>
        <v>0</v>
      </c>
      <c r="BS106">
        <f>IF(ISNUMBER(Y106),INDEX(AllCollegeChicago, MATCH(N106,AllCollegeNCES,0))*AY106,0)</f>
        <v>0</v>
      </c>
      <c r="BT106">
        <f>IF(ISNUMBER(Y106),INDEX(AllCollegeMoneyCode, MATCH(N106,AllCollegeNCES,0)),"?")</f>
        <v>0</v>
      </c>
      <c r="BU106">
        <f>IF(OR(BT106="---",BT106="--",BT106="+/--",BT106="+/---"),1,0)</f>
        <v>0</v>
      </c>
      <c r="BV106">
        <f>AY106*AO106*AQ106</f>
        <v>0</v>
      </c>
    </row>
    <row r="107" spans="1:74">
      <c r="A107" t="s">
        <v>86</v>
      </c>
      <c r="B107">
        <v>22415099</v>
      </c>
      <c r="C107" t="s">
        <v>281</v>
      </c>
      <c r="D107" t="s">
        <v>282</v>
      </c>
      <c r="E107" t="s">
        <v>428</v>
      </c>
      <c r="F107" t="s">
        <v>433</v>
      </c>
      <c r="G107" t="s">
        <v>430</v>
      </c>
      <c r="H107" t="s">
        <v>431</v>
      </c>
      <c r="I107" t="s">
        <v>432</v>
      </c>
      <c r="J107" t="s">
        <v>432</v>
      </c>
      <c r="K107">
        <v>0</v>
      </c>
      <c r="L107" t="s">
        <v>428</v>
      </c>
      <c r="M107" t="s">
        <v>428</v>
      </c>
      <c r="N107">
        <v>148496</v>
      </c>
      <c r="O107">
        <f>INDEX(AllCollegeBarrons,MATCH(N107,AllCollegeNCES,0))</f>
        <v>0</v>
      </c>
      <c r="P107">
        <f>INDEX(KidGPAs,MATCH(B107,KidIDs,0))</f>
        <v>0</v>
      </c>
      <c r="Q107">
        <f>INDEX(KidACTs,MATCH(B107,KidIDs,0))</f>
        <v>0</v>
      </c>
      <c r="R107">
        <f>INDEX(Strats,MATCH(B107,KidIDs,0))</f>
        <v>0</v>
      </c>
      <c r="S107">
        <f>INDEX(KidRace,MATCH(B107,KidIDs,0))</f>
        <v>0</v>
      </c>
      <c r="T107">
        <f>IF(OR(S107="M",S107="I"),"H",S107)</f>
        <v>0</v>
      </c>
      <c r="U107">
        <f>INDEX(StudentTargets,MATCH(B107,KidIDs,0))</f>
        <v>0</v>
      </c>
      <c r="V107">
        <f>INDEX(ReachStudentTargets,MATCH(B107,KidIDs,0))</f>
        <v>0</v>
      </c>
      <c r="W107">
        <f>IF(OR(M107="Posse"),1,0)</f>
        <v>0</v>
      </c>
      <c r="X107">
        <f>IF(ISNUMBER(INDEX(AllCollegeGR, MATCH(N107,AllCollegeNCES,0))),ROUND(INDEX(AllCollegeGR, MATCH(N107,AllCollegeNCES,0))+W107*IF(INDEX(AllCollegeGR, MATCH(N107,AllCollegeNCES,0))&gt;0.7,(1-INDEX(AllCollegeGR, MATCH(N107,AllCollegeNCES,0)))/2,0.15),2),INDEX(AllCollegeGR, MATCH(N107,AllCollegeNCES,0)))</f>
        <v>0</v>
      </c>
      <c r="Y107">
        <f>IF(ISNUMBER(INDEX(AllCollegeAAHGR, MATCH(N107,AllCollegeNCES,0))),ROUND(INDEX(AllCollegeAAHGR, MATCH(N107,AllCollegeNCES,0))+W107*IF(INDEX(AllCollegeAAHGR, MATCH(N107,AllCollegeNCES,0))&gt;0.7,(1-INDEX(AllCollegeAAHGR, MATCH(N107,AllCollegeNCES,0)))/2,0.15),2),INDEX(AllCollegeAAHGR, MATCH(N107,AllCollegeNCES,0)))</f>
        <v>0</v>
      </c>
      <c r="Z107">
        <f>IF(OR(T107="H",T107="B"),INDEX(AllCollegeACT25, MATCH(N107,AllCollegeNCES,0)),INDEX(AllCollegeACT50, MATCH(N107,AllCollegeNCES,0)))</f>
        <v>0</v>
      </c>
      <c r="AA107">
        <f>INDEX(CustomWeightsGPA,MATCH(T107&amp;":"&amp;N107,CustomWeightsIndex,0))</f>
        <v>0</v>
      </c>
      <c r="AB107">
        <f>INDEX(CustomWeightsACT,MATCH(T107&amp;":"&amp;N107,CustomWeightsIndex,0))</f>
        <v>0</v>
      </c>
      <c r="AC107">
        <f>INDEX(CustomWeightsIntercept,MATCH(T107&amp;":"&amp;N107,CustomWeightsIndex,0))</f>
        <v>0</v>
      </c>
      <c r="AD107">
        <f>AA107*P107+AB107*Q107+AC107</f>
        <v>0</v>
      </c>
      <c r="AE107">
        <f>INDEX(CoefficientsGPA,MATCH(T107&amp;":"&amp;O107,CoefficientsIndex,0))</f>
        <v>0</v>
      </c>
      <c r="AF107">
        <f>INDEX(CoefficientsACT,MATCH(T107&amp;":"&amp;O107,CoefficientsIndex,0))</f>
        <v>0</v>
      </c>
      <c r="AG107">
        <f>INDEX(CoefficientsIntercept,MATCH(T107&amp;":"&amp;O107,CoefficientsIndex,0))</f>
        <v>0</v>
      </c>
      <c r="AH107">
        <f>AE107*P107+(Q107-Z107)*AF107+AG107</f>
        <v>0</v>
      </c>
      <c r="AI107">
        <f>IF(ISNUMBER(AD107),AD107,AH107)</f>
        <v>0</v>
      </c>
      <c r="AJ107">
        <f>IF(ISNUMBER(AI107),IF(ISNUMBER(AE107),IF(AND(AE107=1,AF107=1,AG107=1),100,ROUND(100*EXP(AI107)/(1+EXP(AI107)),2)),ROUND(100*EXP(AI107)/(1+EXP(AI107)),2)),IF(ISTEXT(O107),IF(LEFT(O107,1)="2",100,"N/A"),"N/A"))</f>
        <v>0</v>
      </c>
      <c r="AK107">
        <f>IF(ISNUMBER(AJ107),IF(AJ107&gt;=99,IF(OR(R107=10,R107=11),MatchLabel,SureThingLabel),IF(AJ107&gt;=95,SecureLabel,IF(AJ107&gt;=80,SafetyLabel,IF(AJ107&gt;=50,MatchLabel,IF(AJ107&gt;=20,ReachLabel,IF(AJ107&gt;=10,LongshotLabel,HailMaryLabel)))))),"Other")</f>
        <v>0</v>
      </c>
      <c r="AL107">
        <f>IF(OR(I107="accepted",I107="cond. accept",I107="summer admit"),IF(J107="yes","CHOICE!","Accepted!"),IF(I107="denied","Denied",IF(K107=1,"Waitlist",IF(L107=1,"Deferred",IF(G107="pending","Pending",IF(OR(G107="initial materials submitted",G107="mid-year submitted",G107="final submitted"),"Submitted",IF(H107="interest","Interest","?")))))))</f>
        <v>0</v>
      </c>
      <c r="AM107">
        <f>IF(OR(AK107=ReachLabel,AK107=LongshotLabel,AK107=HailMaryLabel),1,0)</f>
        <v>0</v>
      </c>
      <c r="AN107">
        <f>IF(OR(AM107=1,AK107=MatchLabel),1,0)</f>
        <v>0</v>
      </c>
      <c r="AO107">
        <f>IF(OR(AK107=MatchLabel,AK107=SafetyLabel,AK107=SecureLabel,AK107=SureThingLabel),1,0)</f>
        <v>0</v>
      </c>
      <c r="AP107">
        <f>IF(OR(T107="H",T107="B"),IF(ISNUMBER(Y107),ROUND(Y107,2),0),IF(ISNUMBER(X107),ROUND(X107,2),0))</f>
        <v>0</v>
      </c>
      <c r="AQ107">
        <f>IF(AP107&gt;=U107,1,0)</f>
        <v>0</v>
      </c>
      <c r="AR107">
        <f>IF(AP107&gt;=V107,1,0)</f>
        <v>0</v>
      </c>
      <c r="AS107">
        <f>IF(AP107&lt;(U107-0.10),1,0)</f>
        <v>0</v>
      </c>
      <c r="AT107">
        <f>1-AJ107/100</f>
        <v>0</v>
      </c>
      <c r="AU107">
        <f>IF(AN107=1,AT107,1)</f>
        <v>0</v>
      </c>
      <c r="AV107">
        <f>IF(AM107=1,AT107,1)</f>
        <v>0</v>
      </c>
      <c r="AW107">
        <f>IF(AND(AQ107=1,ISNUMBER(AT107)),$AT107,1)</f>
        <v>0</v>
      </c>
      <c r="AX107">
        <f>IF(AND(AR107=1,ISNUMBER(AT107)),$AT107,1)</f>
        <v>0</v>
      </c>
      <c r="AY107">
        <f>IF(ISNUMBER(Y107),INDEX(AllCollegeMoney, MATCH(N107,AllCollegeNCES,0)),0)</f>
        <v>0</v>
      </c>
      <c r="AZ107">
        <f>IF(AND(AQ107=1,ISNUMBER(AT107),AY107=1),$AT107,1)</f>
        <v>0</v>
      </c>
      <c r="BA107">
        <f>IF(AND(AR107=1,ISNUMBER(AT107),AY107=1),$AT107,1)</f>
        <v>0</v>
      </c>
      <c r="BB107">
        <f>IF(ISNUMBER(Y107),INDEX(AllCollegeILPub, MATCH(N107,AllCollegeNCES,0)),0)</f>
        <v>0</v>
      </c>
      <c r="BC107">
        <f>IF(AK107=ReachLabel,AP107,0)</f>
        <v>0</v>
      </c>
      <c r="BD107">
        <f>IF(AK107=MatchLabel,AP107,0)</f>
        <v>0</v>
      </c>
      <c r="BE107">
        <f>IF(AK107=SafetyLabel,AP107,0)</f>
        <v>0</v>
      </c>
      <c r="BF107">
        <f>IF(AK107=SecureLabel,AP107,0)</f>
        <v>0</v>
      </c>
      <c r="BG107">
        <f>IF(AK107=SureThingLabel,AP107,0)</f>
        <v>0</v>
      </c>
      <c r="BH107">
        <f>MAX(BC107:BG107)</f>
        <v>0</v>
      </c>
      <c r="BI107">
        <f>MAX(BD107:BG107)</f>
        <v>0</v>
      </c>
      <c r="BJ107">
        <f>MAX(BE107:BG107)</f>
        <v>0</v>
      </c>
      <c r="BK107">
        <f>IF(AND(AK107=ReachLabel,AY107=1),AP107,0)</f>
        <v>0</v>
      </c>
      <c r="BL107">
        <f>IF(AND(AK107=MatchLabel,AY107=1),AP107,0)</f>
        <v>0</v>
      </c>
      <c r="BM107">
        <f>IF(AND(AK107=SafetyLabel,AY107=1),AP107,0)</f>
        <v>0</v>
      </c>
      <c r="BN107">
        <f>IF(AND(AK107=SecureLabel,AY107=1),AP107,0)</f>
        <v>0</v>
      </c>
      <c r="BO107">
        <f>IF(AND(AK107=SureThingLabel,AY107=1),AP107,0)</f>
        <v>0</v>
      </c>
      <c r="BP107">
        <f>MAX(BK107:BO107)</f>
        <v>0</v>
      </c>
      <c r="BQ107">
        <f>MAX(BL107:BO107)</f>
        <v>0</v>
      </c>
      <c r="BR107">
        <f>MAX(BM107:BO107)</f>
        <v>0</v>
      </c>
      <c r="BS107">
        <f>IF(ISNUMBER(Y107),INDEX(AllCollegeChicago, MATCH(N107,AllCollegeNCES,0))*AY107,0)</f>
        <v>0</v>
      </c>
      <c r="BT107">
        <f>IF(ISNUMBER(Y107),INDEX(AllCollegeMoneyCode, MATCH(N107,AllCollegeNCES,0)),"?")</f>
        <v>0</v>
      </c>
      <c r="BU107">
        <f>IF(OR(BT107="---",BT107="--",BT107="+/--",BT107="+/---"),1,0)</f>
        <v>0</v>
      </c>
      <c r="BV107">
        <f>AY107*AO107*AQ107</f>
        <v>0</v>
      </c>
    </row>
    <row r="108" spans="1:74">
      <c r="A108" t="s">
        <v>86</v>
      </c>
      <c r="B108">
        <v>22415099</v>
      </c>
      <c r="C108" t="s">
        <v>281</v>
      </c>
      <c r="D108" t="s">
        <v>282</v>
      </c>
      <c r="E108" t="s">
        <v>428</v>
      </c>
      <c r="F108" t="s">
        <v>447</v>
      </c>
      <c r="G108" t="s">
        <v>430</v>
      </c>
      <c r="H108" t="s">
        <v>431</v>
      </c>
      <c r="I108" t="s">
        <v>432</v>
      </c>
      <c r="J108" t="s">
        <v>432</v>
      </c>
      <c r="K108">
        <v>0</v>
      </c>
      <c r="L108" t="s">
        <v>428</v>
      </c>
      <c r="M108" t="s">
        <v>428</v>
      </c>
      <c r="N108">
        <v>145600</v>
      </c>
      <c r="O108">
        <f>INDEX(AllCollegeBarrons,MATCH(N108,AllCollegeNCES,0))</f>
        <v>0</v>
      </c>
      <c r="P108">
        <f>INDEX(KidGPAs,MATCH(B108,KidIDs,0))</f>
        <v>0</v>
      </c>
      <c r="Q108">
        <f>INDEX(KidACTs,MATCH(B108,KidIDs,0))</f>
        <v>0</v>
      </c>
      <c r="R108">
        <f>INDEX(Strats,MATCH(B108,KidIDs,0))</f>
        <v>0</v>
      </c>
      <c r="S108">
        <f>INDEX(KidRace,MATCH(B108,KidIDs,0))</f>
        <v>0</v>
      </c>
      <c r="T108">
        <f>IF(OR(S108="M",S108="I"),"H",S108)</f>
        <v>0</v>
      </c>
      <c r="U108">
        <f>INDEX(StudentTargets,MATCH(B108,KidIDs,0))</f>
        <v>0</v>
      </c>
      <c r="V108">
        <f>INDEX(ReachStudentTargets,MATCH(B108,KidIDs,0))</f>
        <v>0</v>
      </c>
      <c r="W108">
        <f>IF(OR(M108="Posse"),1,0)</f>
        <v>0</v>
      </c>
      <c r="X108">
        <f>IF(ISNUMBER(INDEX(AllCollegeGR, MATCH(N108,AllCollegeNCES,0))),ROUND(INDEX(AllCollegeGR, MATCH(N108,AllCollegeNCES,0))+W108*IF(INDEX(AllCollegeGR, MATCH(N108,AllCollegeNCES,0))&gt;0.7,(1-INDEX(AllCollegeGR, MATCH(N108,AllCollegeNCES,0)))/2,0.15),2),INDEX(AllCollegeGR, MATCH(N108,AllCollegeNCES,0)))</f>
        <v>0</v>
      </c>
      <c r="Y108">
        <f>IF(ISNUMBER(INDEX(AllCollegeAAHGR, MATCH(N108,AllCollegeNCES,0))),ROUND(INDEX(AllCollegeAAHGR, MATCH(N108,AllCollegeNCES,0))+W108*IF(INDEX(AllCollegeAAHGR, MATCH(N108,AllCollegeNCES,0))&gt;0.7,(1-INDEX(AllCollegeAAHGR, MATCH(N108,AllCollegeNCES,0)))/2,0.15),2),INDEX(AllCollegeAAHGR, MATCH(N108,AllCollegeNCES,0)))</f>
        <v>0</v>
      </c>
      <c r="Z108">
        <f>IF(OR(T108="H",T108="B"),INDEX(AllCollegeACT25, MATCH(N108,AllCollegeNCES,0)),INDEX(AllCollegeACT50, MATCH(N108,AllCollegeNCES,0)))</f>
        <v>0</v>
      </c>
      <c r="AA108">
        <f>INDEX(CustomWeightsGPA,MATCH(T108&amp;":"&amp;N108,CustomWeightsIndex,0))</f>
        <v>0</v>
      </c>
      <c r="AB108">
        <f>INDEX(CustomWeightsACT,MATCH(T108&amp;":"&amp;N108,CustomWeightsIndex,0))</f>
        <v>0</v>
      </c>
      <c r="AC108">
        <f>INDEX(CustomWeightsIntercept,MATCH(T108&amp;":"&amp;N108,CustomWeightsIndex,0))</f>
        <v>0</v>
      </c>
      <c r="AD108">
        <f>AA108*P108+AB108*Q108+AC108</f>
        <v>0</v>
      </c>
      <c r="AE108">
        <f>INDEX(CoefficientsGPA,MATCH(T108&amp;":"&amp;O108,CoefficientsIndex,0))</f>
        <v>0</v>
      </c>
      <c r="AF108">
        <f>INDEX(CoefficientsACT,MATCH(T108&amp;":"&amp;O108,CoefficientsIndex,0))</f>
        <v>0</v>
      </c>
      <c r="AG108">
        <f>INDEX(CoefficientsIntercept,MATCH(T108&amp;":"&amp;O108,CoefficientsIndex,0))</f>
        <v>0</v>
      </c>
      <c r="AH108">
        <f>AE108*P108+(Q108-Z108)*AF108+AG108</f>
        <v>0</v>
      </c>
      <c r="AI108">
        <f>IF(ISNUMBER(AD108),AD108,AH108)</f>
        <v>0</v>
      </c>
      <c r="AJ108">
        <f>IF(ISNUMBER(AI108),IF(ISNUMBER(AE108),IF(AND(AE108=1,AF108=1,AG108=1),100,ROUND(100*EXP(AI108)/(1+EXP(AI108)),2)),ROUND(100*EXP(AI108)/(1+EXP(AI108)),2)),IF(ISTEXT(O108),IF(LEFT(O108,1)="2",100,"N/A"),"N/A"))</f>
        <v>0</v>
      </c>
      <c r="AK108">
        <f>IF(ISNUMBER(AJ108),IF(AJ108&gt;=99,IF(OR(R108=10,R108=11),MatchLabel,SureThingLabel),IF(AJ108&gt;=95,SecureLabel,IF(AJ108&gt;=80,SafetyLabel,IF(AJ108&gt;=50,MatchLabel,IF(AJ108&gt;=20,ReachLabel,IF(AJ108&gt;=10,LongshotLabel,HailMaryLabel)))))),"Other")</f>
        <v>0</v>
      </c>
      <c r="AL108">
        <f>IF(OR(I108="accepted",I108="cond. accept",I108="summer admit"),IF(J108="yes","CHOICE!","Accepted!"),IF(I108="denied","Denied",IF(K108=1,"Waitlist",IF(L108=1,"Deferred",IF(G108="pending","Pending",IF(OR(G108="initial materials submitted",G108="mid-year submitted",G108="final submitted"),"Submitted",IF(H108="interest","Interest","?")))))))</f>
        <v>0</v>
      </c>
      <c r="AM108">
        <f>IF(OR(AK108=ReachLabel,AK108=LongshotLabel,AK108=HailMaryLabel),1,0)</f>
        <v>0</v>
      </c>
      <c r="AN108">
        <f>IF(OR(AM108=1,AK108=MatchLabel),1,0)</f>
        <v>0</v>
      </c>
      <c r="AO108">
        <f>IF(OR(AK108=MatchLabel,AK108=SafetyLabel,AK108=SecureLabel,AK108=SureThingLabel),1,0)</f>
        <v>0</v>
      </c>
      <c r="AP108">
        <f>IF(OR(T108="H",T108="B"),IF(ISNUMBER(Y108),ROUND(Y108,2),0),IF(ISNUMBER(X108),ROUND(X108,2),0))</f>
        <v>0</v>
      </c>
      <c r="AQ108">
        <f>IF(AP108&gt;=U108,1,0)</f>
        <v>0</v>
      </c>
      <c r="AR108">
        <f>IF(AP108&gt;=V108,1,0)</f>
        <v>0</v>
      </c>
      <c r="AS108">
        <f>IF(AP108&lt;(U108-0.10),1,0)</f>
        <v>0</v>
      </c>
      <c r="AT108">
        <f>1-AJ108/100</f>
        <v>0</v>
      </c>
      <c r="AU108">
        <f>IF(AN108=1,AT108,1)</f>
        <v>0</v>
      </c>
      <c r="AV108">
        <f>IF(AM108=1,AT108,1)</f>
        <v>0</v>
      </c>
      <c r="AW108">
        <f>IF(AND(AQ108=1,ISNUMBER(AT108)),$AT108,1)</f>
        <v>0</v>
      </c>
      <c r="AX108">
        <f>IF(AND(AR108=1,ISNUMBER(AT108)),$AT108,1)</f>
        <v>0</v>
      </c>
      <c r="AY108">
        <f>IF(ISNUMBER(Y108),INDEX(AllCollegeMoney, MATCH(N108,AllCollegeNCES,0)),0)</f>
        <v>0</v>
      </c>
      <c r="AZ108">
        <f>IF(AND(AQ108=1,ISNUMBER(AT108),AY108=1),$AT108,1)</f>
        <v>0</v>
      </c>
      <c r="BA108">
        <f>IF(AND(AR108=1,ISNUMBER(AT108),AY108=1),$AT108,1)</f>
        <v>0</v>
      </c>
      <c r="BB108">
        <f>IF(ISNUMBER(Y108),INDEX(AllCollegeILPub, MATCH(N108,AllCollegeNCES,0)),0)</f>
        <v>0</v>
      </c>
      <c r="BC108">
        <f>IF(AK108=ReachLabel,AP108,0)</f>
        <v>0</v>
      </c>
      <c r="BD108">
        <f>IF(AK108=MatchLabel,AP108,0)</f>
        <v>0</v>
      </c>
      <c r="BE108">
        <f>IF(AK108=SafetyLabel,AP108,0)</f>
        <v>0</v>
      </c>
      <c r="BF108">
        <f>IF(AK108=SecureLabel,AP108,0)</f>
        <v>0</v>
      </c>
      <c r="BG108">
        <f>IF(AK108=SureThingLabel,AP108,0)</f>
        <v>0</v>
      </c>
      <c r="BH108">
        <f>MAX(BC108:BG108)</f>
        <v>0</v>
      </c>
      <c r="BI108">
        <f>MAX(BD108:BG108)</f>
        <v>0</v>
      </c>
      <c r="BJ108">
        <f>MAX(BE108:BG108)</f>
        <v>0</v>
      </c>
      <c r="BK108">
        <f>IF(AND(AK108=ReachLabel,AY108=1),AP108,0)</f>
        <v>0</v>
      </c>
      <c r="BL108">
        <f>IF(AND(AK108=MatchLabel,AY108=1),AP108,0)</f>
        <v>0</v>
      </c>
      <c r="BM108">
        <f>IF(AND(AK108=SafetyLabel,AY108=1),AP108,0)</f>
        <v>0</v>
      </c>
      <c r="BN108">
        <f>IF(AND(AK108=SecureLabel,AY108=1),AP108,0)</f>
        <v>0</v>
      </c>
      <c r="BO108">
        <f>IF(AND(AK108=SureThingLabel,AY108=1),AP108,0)</f>
        <v>0</v>
      </c>
      <c r="BP108">
        <f>MAX(BK108:BO108)</f>
        <v>0</v>
      </c>
      <c r="BQ108">
        <f>MAX(BL108:BO108)</f>
        <v>0</v>
      </c>
      <c r="BR108">
        <f>MAX(BM108:BO108)</f>
        <v>0</v>
      </c>
      <c r="BS108">
        <f>IF(ISNUMBER(Y108),INDEX(AllCollegeChicago, MATCH(N108,AllCollegeNCES,0))*AY108,0)</f>
        <v>0</v>
      </c>
      <c r="BT108">
        <f>IF(ISNUMBER(Y108),INDEX(AllCollegeMoneyCode, MATCH(N108,AllCollegeNCES,0)),"?")</f>
        <v>0</v>
      </c>
      <c r="BU108">
        <f>IF(OR(BT108="---",BT108="--",BT108="+/--",BT108="+/---"),1,0)</f>
        <v>0</v>
      </c>
      <c r="BV108">
        <f>AY108*AO108*AQ108</f>
        <v>0</v>
      </c>
    </row>
    <row r="109" spans="1:74">
      <c r="A109" t="s">
        <v>86</v>
      </c>
      <c r="B109">
        <v>22415099</v>
      </c>
      <c r="C109" t="s">
        <v>281</v>
      </c>
      <c r="D109" t="s">
        <v>282</v>
      </c>
      <c r="E109" t="s">
        <v>428</v>
      </c>
      <c r="F109" t="s">
        <v>435</v>
      </c>
      <c r="G109" t="s">
        <v>430</v>
      </c>
      <c r="H109" t="s">
        <v>431</v>
      </c>
      <c r="I109" t="s">
        <v>432</v>
      </c>
      <c r="J109" t="s">
        <v>432</v>
      </c>
      <c r="K109">
        <v>0</v>
      </c>
      <c r="L109" t="s">
        <v>428</v>
      </c>
      <c r="M109" t="s">
        <v>428</v>
      </c>
      <c r="N109">
        <v>144892</v>
      </c>
      <c r="O109">
        <f>INDEX(AllCollegeBarrons,MATCH(N109,AllCollegeNCES,0))</f>
        <v>0</v>
      </c>
      <c r="P109">
        <f>INDEX(KidGPAs,MATCH(B109,KidIDs,0))</f>
        <v>0</v>
      </c>
      <c r="Q109">
        <f>INDEX(KidACTs,MATCH(B109,KidIDs,0))</f>
        <v>0</v>
      </c>
      <c r="R109">
        <f>INDEX(Strats,MATCH(B109,KidIDs,0))</f>
        <v>0</v>
      </c>
      <c r="S109">
        <f>INDEX(KidRace,MATCH(B109,KidIDs,0))</f>
        <v>0</v>
      </c>
      <c r="T109">
        <f>IF(OR(S109="M",S109="I"),"H",S109)</f>
        <v>0</v>
      </c>
      <c r="U109">
        <f>INDEX(StudentTargets,MATCH(B109,KidIDs,0))</f>
        <v>0</v>
      </c>
      <c r="V109">
        <f>INDEX(ReachStudentTargets,MATCH(B109,KidIDs,0))</f>
        <v>0</v>
      </c>
      <c r="W109">
        <f>IF(OR(M109="Posse"),1,0)</f>
        <v>0</v>
      </c>
      <c r="X109">
        <f>IF(ISNUMBER(INDEX(AllCollegeGR, MATCH(N109,AllCollegeNCES,0))),ROUND(INDEX(AllCollegeGR, MATCH(N109,AllCollegeNCES,0))+W109*IF(INDEX(AllCollegeGR, MATCH(N109,AllCollegeNCES,0))&gt;0.7,(1-INDEX(AllCollegeGR, MATCH(N109,AllCollegeNCES,0)))/2,0.15),2),INDEX(AllCollegeGR, MATCH(N109,AllCollegeNCES,0)))</f>
        <v>0</v>
      </c>
      <c r="Y109">
        <f>IF(ISNUMBER(INDEX(AllCollegeAAHGR, MATCH(N109,AllCollegeNCES,0))),ROUND(INDEX(AllCollegeAAHGR, MATCH(N109,AllCollegeNCES,0))+W109*IF(INDEX(AllCollegeAAHGR, MATCH(N109,AllCollegeNCES,0))&gt;0.7,(1-INDEX(AllCollegeAAHGR, MATCH(N109,AllCollegeNCES,0)))/2,0.15),2),INDEX(AllCollegeAAHGR, MATCH(N109,AllCollegeNCES,0)))</f>
        <v>0</v>
      </c>
      <c r="Z109">
        <f>IF(OR(T109="H",T109="B"),INDEX(AllCollegeACT25, MATCH(N109,AllCollegeNCES,0)),INDEX(AllCollegeACT50, MATCH(N109,AllCollegeNCES,0)))</f>
        <v>0</v>
      </c>
      <c r="AA109">
        <f>INDEX(CustomWeightsGPA,MATCH(T109&amp;":"&amp;N109,CustomWeightsIndex,0))</f>
        <v>0</v>
      </c>
      <c r="AB109">
        <f>INDEX(CustomWeightsACT,MATCH(T109&amp;":"&amp;N109,CustomWeightsIndex,0))</f>
        <v>0</v>
      </c>
      <c r="AC109">
        <f>INDEX(CustomWeightsIntercept,MATCH(T109&amp;":"&amp;N109,CustomWeightsIndex,0))</f>
        <v>0</v>
      </c>
      <c r="AD109">
        <f>AA109*P109+AB109*Q109+AC109</f>
        <v>0</v>
      </c>
      <c r="AE109">
        <f>INDEX(CoefficientsGPA,MATCH(T109&amp;":"&amp;O109,CoefficientsIndex,0))</f>
        <v>0</v>
      </c>
      <c r="AF109">
        <f>INDEX(CoefficientsACT,MATCH(T109&amp;":"&amp;O109,CoefficientsIndex,0))</f>
        <v>0</v>
      </c>
      <c r="AG109">
        <f>INDEX(CoefficientsIntercept,MATCH(T109&amp;":"&amp;O109,CoefficientsIndex,0))</f>
        <v>0</v>
      </c>
      <c r="AH109">
        <f>AE109*P109+(Q109-Z109)*AF109+AG109</f>
        <v>0</v>
      </c>
      <c r="AI109">
        <f>IF(ISNUMBER(AD109),AD109,AH109)</f>
        <v>0</v>
      </c>
      <c r="AJ109">
        <f>IF(ISNUMBER(AI109),IF(ISNUMBER(AE109),IF(AND(AE109=1,AF109=1,AG109=1),100,ROUND(100*EXP(AI109)/(1+EXP(AI109)),2)),ROUND(100*EXP(AI109)/(1+EXP(AI109)),2)),IF(ISTEXT(O109),IF(LEFT(O109,1)="2",100,"N/A"),"N/A"))</f>
        <v>0</v>
      </c>
      <c r="AK109">
        <f>IF(ISNUMBER(AJ109),IF(AJ109&gt;=99,IF(OR(R109=10,R109=11),MatchLabel,SureThingLabel),IF(AJ109&gt;=95,SecureLabel,IF(AJ109&gt;=80,SafetyLabel,IF(AJ109&gt;=50,MatchLabel,IF(AJ109&gt;=20,ReachLabel,IF(AJ109&gt;=10,LongshotLabel,HailMaryLabel)))))),"Other")</f>
        <v>0</v>
      </c>
      <c r="AL109">
        <f>IF(OR(I109="accepted",I109="cond. accept",I109="summer admit"),IF(J109="yes","CHOICE!","Accepted!"),IF(I109="denied","Denied",IF(K109=1,"Waitlist",IF(L109=1,"Deferred",IF(G109="pending","Pending",IF(OR(G109="initial materials submitted",G109="mid-year submitted",G109="final submitted"),"Submitted",IF(H109="interest","Interest","?")))))))</f>
        <v>0</v>
      </c>
      <c r="AM109">
        <f>IF(OR(AK109=ReachLabel,AK109=LongshotLabel,AK109=HailMaryLabel),1,0)</f>
        <v>0</v>
      </c>
      <c r="AN109">
        <f>IF(OR(AM109=1,AK109=MatchLabel),1,0)</f>
        <v>0</v>
      </c>
      <c r="AO109">
        <f>IF(OR(AK109=MatchLabel,AK109=SafetyLabel,AK109=SecureLabel,AK109=SureThingLabel),1,0)</f>
        <v>0</v>
      </c>
      <c r="AP109">
        <f>IF(OR(T109="H",T109="B"),IF(ISNUMBER(Y109),ROUND(Y109,2),0),IF(ISNUMBER(X109),ROUND(X109,2),0))</f>
        <v>0</v>
      </c>
      <c r="AQ109">
        <f>IF(AP109&gt;=U109,1,0)</f>
        <v>0</v>
      </c>
      <c r="AR109">
        <f>IF(AP109&gt;=V109,1,0)</f>
        <v>0</v>
      </c>
      <c r="AS109">
        <f>IF(AP109&lt;(U109-0.10),1,0)</f>
        <v>0</v>
      </c>
      <c r="AT109">
        <f>1-AJ109/100</f>
        <v>0</v>
      </c>
      <c r="AU109">
        <f>IF(AN109=1,AT109,1)</f>
        <v>0</v>
      </c>
      <c r="AV109">
        <f>IF(AM109=1,AT109,1)</f>
        <v>0</v>
      </c>
      <c r="AW109">
        <f>IF(AND(AQ109=1,ISNUMBER(AT109)),$AT109,1)</f>
        <v>0</v>
      </c>
      <c r="AX109">
        <f>IF(AND(AR109=1,ISNUMBER(AT109)),$AT109,1)</f>
        <v>0</v>
      </c>
      <c r="AY109">
        <f>IF(ISNUMBER(Y109),INDEX(AllCollegeMoney, MATCH(N109,AllCollegeNCES,0)),0)</f>
        <v>0</v>
      </c>
      <c r="AZ109">
        <f>IF(AND(AQ109=1,ISNUMBER(AT109),AY109=1),$AT109,1)</f>
        <v>0</v>
      </c>
      <c r="BA109">
        <f>IF(AND(AR109=1,ISNUMBER(AT109),AY109=1),$AT109,1)</f>
        <v>0</v>
      </c>
      <c r="BB109">
        <f>IF(ISNUMBER(Y109),INDEX(AllCollegeILPub, MATCH(N109,AllCollegeNCES,0)),0)</f>
        <v>0</v>
      </c>
      <c r="BC109">
        <f>IF(AK109=ReachLabel,AP109,0)</f>
        <v>0</v>
      </c>
      <c r="BD109">
        <f>IF(AK109=MatchLabel,AP109,0)</f>
        <v>0</v>
      </c>
      <c r="BE109">
        <f>IF(AK109=SafetyLabel,AP109,0)</f>
        <v>0</v>
      </c>
      <c r="BF109">
        <f>IF(AK109=SecureLabel,AP109,0)</f>
        <v>0</v>
      </c>
      <c r="BG109">
        <f>IF(AK109=SureThingLabel,AP109,0)</f>
        <v>0</v>
      </c>
      <c r="BH109">
        <f>MAX(BC109:BG109)</f>
        <v>0</v>
      </c>
      <c r="BI109">
        <f>MAX(BD109:BG109)</f>
        <v>0</v>
      </c>
      <c r="BJ109">
        <f>MAX(BE109:BG109)</f>
        <v>0</v>
      </c>
      <c r="BK109">
        <f>IF(AND(AK109=ReachLabel,AY109=1),AP109,0)</f>
        <v>0</v>
      </c>
      <c r="BL109">
        <f>IF(AND(AK109=MatchLabel,AY109=1),AP109,0)</f>
        <v>0</v>
      </c>
      <c r="BM109">
        <f>IF(AND(AK109=SafetyLabel,AY109=1),AP109,0)</f>
        <v>0</v>
      </c>
      <c r="BN109">
        <f>IF(AND(AK109=SecureLabel,AY109=1),AP109,0)</f>
        <v>0</v>
      </c>
      <c r="BO109">
        <f>IF(AND(AK109=SureThingLabel,AY109=1),AP109,0)</f>
        <v>0</v>
      </c>
      <c r="BP109">
        <f>MAX(BK109:BO109)</f>
        <v>0</v>
      </c>
      <c r="BQ109">
        <f>MAX(BL109:BO109)</f>
        <v>0</v>
      </c>
      <c r="BR109">
        <f>MAX(BM109:BO109)</f>
        <v>0</v>
      </c>
      <c r="BS109">
        <f>IF(ISNUMBER(Y109),INDEX(AllCollegeChicago, MATCH(N109,AllCollegeNCES,0))*AY109,0)</f>
        <v>0</v>
      </c>
      <c r="BT109">
        <f>IF(ISNUMBER(Y109),INDEX(AllCollegeMoneyCode, MATCH(N109,AllCollegeNCES,0)),"?")</f>
        <v>0</v>
      </c>
      <c r="BU109">
        <f>IF(OR(BT109="---",BT109="--",BT109="+/--",BT109="+/---"),1,0)</f>
        <v>0</v>
      </c>
      <c r="BV109">
        <f>AY109*AO109*AQ109</f>
        <v>0</v>
      </c>
    </row>
    <row r="110" spans="1:74">
      <c r="A110" t="s">
        <v>86</v>
      </c>
      <c r="B110">
        <v>22415099</v>
      </c>
      <c r="C110" t="s">
        <v>281</v>
      </c>
      <c r="D110" t="s">
        <v>282</v>
      </c>
      <c r="E110" t="s">
        <v>428</v>
      </c>
      <c r="F110" t="s">
        <v>436</v>
      </c>
      <c r="G110" t="s">
        <v>430</v>
      </c>
      <c r="H110" t="s">
        <v>431</v>
      </c>
      <c r="I110" t="s">
        <v>432</v>
      </c>
      <c r="J110" t="s">
        <v>432</v>
      </c>
      <c r="K110">
        <v>0</v>
      </c>
      <c r="L110" t="s">
        <v>428</v>
      </c>
      <c r="M110" t="s">
        <v>428</v>
      </c>
      <c r="N110">
        <v>147536</v>
      </c>
      <c r="O110">
        <f>INDEX(AllCollegeBarrons,MATCH(N110,AllCollegeNCES,0))</f>
        <v>0</v>
      </c>
      <c r="P110">
        <f>INDEX(KidGPAs,MATCH(B110,KidIDs,0))</f>
        <v>0</v>
      </c>
      <c r="Q110">
        <f>INDEX(KidACTs,MATCH(B110,KidIDs,0))</f>
        <v>0</v>
      </c>
      <c r="R110">
        <f>INDEX(Strats,MATCH(B110,KidIDs,0))</f>
        <v>0</v>
      </c>
      <c r="S110">
        <f>INDEX(KidRace,MATCH(B110,KidIDs,0))</f>
        <v>0</v>
      </c>
      <c r="T110">
        <f>IF(OR(S110="M",S110="I"),"H",S110)</f>
        <v>0</v>
      </c>
      <c r="U110">
        <f>INDEX(StudentTargets,MATCH(B110,KidIDs,0))</f>
        <v>0</v>
      </c>
      <c r="V110">
        <f>INDEX(ReachStudentTargets,MATCH(B110,KidIDs,0))</f>
        <v>0</v>
      </c>
      <c r="W110">
        <f>IF(OR(M110="Posse"),1,0)</f>
        <v>0</v>
      </c>
      <c r="X110">
        <f>IF(ISNUMBER(INDEX(AllCollegeGR, MATCH(N110,AllCollegeNCES,0))),ROUND(INDEX(AllCollegeGR, MATCH(N110,AllCollegeNCES,0))+W110*IF(INDEX(AllCollegeGR, MATCH(N110,AllCollegeNCES,0))&gt;0.7,(1-INDEX(AllCollegeGR, MATCH(N110,AllCollegeNCES,0)))/2,0.15),2),INDEX(AllCollegeGR, MATCH(N110,AllCollegeNCES,0)))</f>
        <v>0</v>
      </c>
      <c r="Y110">
        <f>IF(ISNUMBER(INDEX(AllCollegeAAHGR, MATCH(N110,AllCollegeNCES,0))),ROUND(INDEX(AllCollegeAAHGR, MATCH(N110,AllCollegeNCES,0))+W110*IF(INDEX(AllCollegeAAHGR, MATCH(N110,AllCollegeNCES,0))&gt;0.7,(1-INDEX(AllCollegeAAHGR, MATCH(N110,AllCollegeNCES,0)))/2,0.15),2),INDEX(AllCollegeAAHGR, MATCH(N110,AllCollegeNCES,0)))</f>
        <v>0</v>
      </c>
      <c r="Z110">
        <f>IF(OR(T110="H",T110="B"),INDEX(AllCollegeACT25, MATCH(N110,AllCollegeNCES,0)),INDEX(AllCollegeACT50, MATCH(N110,AllCollegeNCES,0)))</f>
        <v>0</v>
      </c>
      <c r="AA110">
        <f>INDEX(CustomWeightsGPA,MATCH(T110&amp;":"&amp;N110,CustomWeightsIndex,0))</f>
        <v>0</v>
      </c>
      <c r="AB110">
        <f>INDEX(CustomWeightsACT,MATCH(T110&amp;":"&amp;N110,CustomWeightsIndex,0))</f>
        <v>0</v>
      </c>
      <c r="AC110">
        <f>INDEX(CustomWeightsIntercept,MATCH(T110&amp;":"&amp;N110,CustomWeightsIndex,0))</f>
        <v>0</v>
      </c>
      <c r="AD110">
        <f>AA110*P110+AB110*Q110+AC110</f>
        <v>0</v>
      </c>
      <c r="AE110">
        <f>INDEX(CoefficientsGPA,MATCH(T110&amp;":"&amp;O110,CoefficientsIndex,0))</f>
        <v>0</v>
      </c>
      <c r="AF110">
        <f>INDEX(CoefficientsACT,MATCH(T110&amp;":"&amp;O110,CoefficientsIndex,0))</f>
        <v>0</v>
      </c>
      <c r="AG110">
        <f>INDEX(CoefficientsIntercept,MATCH(T110&amp;":"&amp;O110,CoefficientsIndex,0))</f>
        <v>0</v>
      </c>
      <c r="AH110">
        <f>AE110*P110+(Q110-Z110)*AF110+AG110</f>
        <v>0</v>
      </c>
      <c r="AI110">
        <f>IF(ISNUMBER(AD110),AD110,AH110)</f>
        <v>0</v>
      </c>
      <c r="AJ110">
        <f>IF(ISNUMBER(AI110),IF(ISNUMBER(AE110),IF(AND(AE110=1,AF110=1,AG110=1),100,ROUND(100*EXP(AI110)/(1+EXP(AI110)),2)),ROUND(100*EXP(AI110)/(1+EXP(AI110)),2)),IF(ISTEXT(O110),IF(LEFT(O110,1)="2",100,"N/A"),"N/A"))</f>
        <v>0</v>
      </c>
      <c r="AK110">
        <f>IF(ISNUMBER(AJ110),IF(AJ110&gt;=99,IF(OR(R110=10,R110=11),MatchLabel,SureThingLabel),IF(AJ110&gt;=95,SecureLabel,IF(AJ110&gt;=80,SafetyLabel,IF(AJ110&gt;=50,MatchLabel,IF(AJ110&gt;=20,ReachLabel,IF(AJ110&gt;=10,LongshotLabel,HailMaryLabel)))))),"Other")</f>
        <v>0</v>
      </c>
      <c r="AL110">
        <f>IF(OR(I110="accepted",I110="cond. accept",I110="summer admit"),IF(J110="yes","CHOICE!","Accepted!"),IF(I110="denied","Denied",IF(K110=1,"Waitlist",IF(L110=1,"Deferred",IF(G110="pending","Pending",IF(OR(G110="initial materials submitted",G110="mid-year submitted",G110="final submitted"),"Submitted",IF(H110="interest","Interest","?")))))))</f>
        <v>0</v>
      </c>
      <c r="AM110">
        <f>IF(OR(AK110=ReachLabel,AK110=LongshotLabel,AK110=HailMaryLabel),1,0)</f>
        <v>0</v>
      </c>
      <c r="AN110">
        <f>IF(OR(AM110=1,AK110=MatchLabel),1,0)</f>
        <v>0</v>
      </c>
      <c r="AO110">
        <f>IF(OR(AK110=MatchLabel,AK110=SafetyLabel,AK110=SecureLabel,AK110=SureThingLabel),1,0)</f>
        <v>0</v>
      </c>
      <c r="AP110">
        <f>IF(OR(T110="H",T110="B"),IF(ISNUMBER(Y110),ROUND(Y110,2),0),IF(ISNUMBER(X110),ROUND(X110,2),0))</f>
        <v>0</v>
      </c>
      <c r="AQ110">
        <f>IF(AP110&gt;=U110,1,0)</f>
        <v>0</v>
      </c>
      <c r="AR110">
        <f>IF(AP110&gt;=V110,1,0)</f>
        <v>0</v>
      </c>
      <c r="AS110">
        <f>IF(AP110&lt;(U110-0.10),1,0)</f>
        <v>0</v>
      </c>
      <c r="AT110">
        <f>1-AJ110/100</f>
        <v>0</v>
      </c>
      <c r="AU110">
        <f>IF(AN110=1,AT110,1)</f>
        <v>0</v>
      </c>
      <c r="AV110">
        <f>IF(AM110=1,AT110,1)</f>
        <v>0</v>
      </c>
      <c r="AW110">
        <f>IF(AND(AQ110=1,ISNUMBER(AT110)),$AT110,1)</f>
        <v>0</v>
      </c>
      <c r="AX110">
        <f>IF(AND(AR110=1,ISNUMBER(AT110)),$AT110,1)</f>
        <v>0</v>
      </c>
      <c r="AY110">
        <f>IF(ISNUMBER(Y110),INDEX(AllCollegeMoney, MATCH(N110,AllCollegeNCES,0)),0)</f>
        <v>0</v>
      </c>
      <c r="AZ110">
        <f>IF(AND(AQ110=1,ISNUMBER(AT110),AY110=1),$AT110,1)</f>
        <v>0</v>
      </c>
      <c r="BA110">
        <f>IF(AND(AR110=1,ISNUMBER(AT110),AY110=1),$AT110,1)</f>
        <v>0</v>
      </c>
      <c r="BB110">
        <f>IF(ISNUMBER(Y110),INDEX(AllCollegeILPub, MATCH(N110,AllCollegeNCES,0)),0)</f>
        <v>0</v>
      </c>
      <c r="BC110">
        <f>IF(AK110=ReachLabel,AP110,0)</f>
        <v>0</v>
      </c>
      <c r="BD110">
        <f>IF(AK110=MatchLabel,AP110,0)</f>
        <v>0</v>
      </c>
      <c r="BE110">
        <f>IF(AK110=SafetyLabel,AP110,0)</f>
        <v>0</v>
      </c>
      <c r="BF110">
        <f>IF(AK110=SecureLabel,AP110,0)</f>
        <v>0</v>
      </c>
      <c r="BG110">
        <f>IF(AK110=SureThingLabel,AP110,0)</f>
        <v>0</v>
      </c>
      <c r="BH110">
        <f>MAX(BC110:BG110)</f>
        <v>0</v>
      </c>
      <c r="BI110">
        <f>MAX(BD110:BG110)</f>
        <v>0</v>
      </c>
      <c r="BJ110">
        <f>MAX(BE110:BG110)</f>
        <v>0</v>
      </c>
      <c r="BK110">
        <f>IF(AND(AK110=ReachLabel,AY110=1),AP110,0)</f>
        <v>0</v>
      </c>
      <c r="BL110">
        <f>IF(AND(AK110=MatchLabel,AY110=1),AP110,0)</f>
        <v>0</v>
      </c>
      <c r="BM110">
        <f>IF(AND(AK110=SafetyLabel,AY110=1),AP110,0)</f>
        <v>0</v>
      </c>
      <c r="BN110">
        <f>IF(AND(AK110=SecureLabel,AY110=1),AP110,0)</f>
        <v>0</v>
      </c>
      <c r="BO110">
        <f>IF(AND(AK110=SureThingLabel,AY110=1),AP110,0)</f>
        <v>0</v>
      </c>
      <c r="BP110">
        <f>MAX(BK110:BO110)</f>
        <v>0</v>
      </c>
      <c r="BQ110">
        <f>MAX(BL110:BO110)</f>
        <v>0</v>
      </c>
      <c r="BR110">
        <f>MAX(BM110:BO110)</f>
        <v>0</v>
      </c>
      <c r="BS110">
        <f>IF(ISNUMBER(Y110),INDEX(AllCollegeChicago, MATCH(N110,AllCollegeNCES,0))*AY110,0)</f>
        <v>0</v>
      </c>
      <c r="BT110">
        <f>IF(ISNUMBER(Y110),INDEX(AllCollegeMoneyCode, MATCH(N110,AllCollegeNCES,0)),"?")</f>
        <v>0</v>
      </c>
      <c r="BU110">
        <f>IF(OR(BT110="---",BT110="--",BT110="+/--",BT110="+/---"),1,0)</f>
        <v>0</v>
      </c>
      <c r="BV110">
        <f>AY110*AO110*AQ110</f>
        <v>0</v>
      </c>
    </row>
    <row r="111" spans="1:74">
      <c r="A111" t="s">
        <v>86</v>
      </c>
      <c r="B111">
        <v>22415099</v>
      </c>
      <c r="C111" t="s">
        <v>281</v>
      </c>
      <c r="D111" t="s">
        <v>282</v>
      </c>
      <c r="E111" t="s">
        <v>428</v>
      </c>
      <c r="F111" t="s">
        <v>493</v>
      </c>
      <c r="G111" t="s">
        <v>430</v>
      </c>
      <c r="H111" t="s">
        <v>431</v>
      </c>
      <c r="I111" t="s">
        <v>432</v>
      </c>
      <c r="J111" t="s">
        <v>432</v>
      </c>
      <c r="K111">
        <v>0</v>
      </c>
      <c r="L111" t="s">
        <v>428</v>
      </c>
      <c r="M111" t="s">
        <v>428</v>
      </c>
      <c r="N111">
        <v>148654</v>
      </c>
      <c r="O111">
        <f>INDEX(AllCollegeBarrons,MATCH(N111,AllCollegeNCES,0))</f>
        <v>0</v>
      </c>
      <c r="P111">
        <f>INDEX(KidGPAs,MATCH(B111,KidIDs,0))</f>
        <v>0</v>
      </c>
      <c r="Q111">
        <f>INDEX(KidACTs,MATCH(B111,KidIDs,0))</f>
        <v>0</v>
      </c>
      <c r="R111">
        <f>INDEX(Strats,MATCH(B111,KidIDs,0))</f>
        <v>0</v>
      </c>
      <c r="S111">
        <f>INDEX(KidRace,MATCH(B111,KidIDs,0))</f>
        <v>0</v>
      </c>
      <c r="T111">
        <f>IF(OR(S111="M",S111="I"),"H",S111)</f>
        <v>0</v>
      </c>
      <c r="U111">
        <f>INDEX(StudentTargets,MATCH(B111,KidIDs,0))</f>
        <v>0</v>
      </c>
      <c r="V111">
        <f>INDEX(ReachStudentTargets,MATCH(B111,KidIDs,0))</f>
        <v>0</v>
      </c>
      <c r="W111">
        <f>IF(OR(M111="Posse"),1,0)</f>
        <v>0</v>
      </c>
      <c r="X111">
        <f>IF(ISNUMBER(INDEX(AllCollegeGR, MATCH(N111,AllCollegeNCES,0))),ROUND(INDEX(AllCollegeGR, MATCH(N111,AllCollegeNCES,0))+W111*IF(INDEX(AllCollegeGR, MATCH(N111,AllCollegeNCES,0))&gt;0.7,(1-INDEX(AllCollegeGR, MATCH(N111,AllCollegeNCES,0)))/2,0.15),2),INDEX(AllCollegeGR, MATCH(N111,AllCollegeNCES,0)))</f>
        <v>0</v>
      </c>
      <c r="Y111">
        <f>IF(ISNUMBER(INDEX(AllCollegeAAHGR, MATCH(N111,AllCollegeNCES,0))),ROUND(INDEX(AllCollegeAAHGR, MATCH(N111,AllCollegeNCES,0))+W111*IF(INDEX(AllCollegeAAHGR, MATCH(N111,AllCollegeNCES,0))&gt;0.7,(1-INDEX(AllCollegeAAHGR, MATCH(N111,AllCollegeNCES,0)))/2,0.15),2),INDEX(AllCollegeAAHGR, MATCH(N111,AllCollegeNCES,0)))</f>
        <v>0</v>
      </c>
      <c r="Z111">
        <f>IF(OR(T111="H",T111="B"),INDEX(AllCollegeACT25, MATCH(N111,AllCollegeNCES,0)),INDEX(AllCollegeACT50, MATCH(N111,AllCollegeNCES,0)))</f>
        <v>0</v>
      </c>
      <c r="AA111">
        <f>INDEX(CustomWeightsGPA,MATCH(T111&amp;":"&amp;N111,CustomWeightsIndex,0))</f>
        <v>0</v>
      </c>
      <c r="AB111">
        <f>INDEX(CustomWeightsACT,MATCH(T111&amp;":"&amp;N111,CustomWeightsIndex,0))</f>
        <v>0</v>
      </c>
      <c r="AC111">
        <f>INDEX(CustomWeightsIntercept,MATCH(T111&amp;":"&amp;N111,CustomWeightsIndex,0))</f>
        <v>0</v>
      </c>
      <c r="AD111">
        <f>AA111*P111+AB111*Q111+AC111</f>
        <v>0</v>
      </c>
      <c r="AE111">
        <f>INDEX(CoefficientsGPA,MATCH(T111&amp;":"&amp;O111,CoefficientsIndex,0))</f>
        <v>0</v>
      </c>
      <c r="AF111">
        <f>INDEX(CoefficientsACT,MATCH(T111&amp;":"&amp;O111,CoefficientsIndex,0))</f>
        <v>0</v>
      </c>
      <c r="AG111">
        <f>INDEX(CoefficientsIntercept,MATCH(T111&amp;":"&amp;O111,CoefficientsIndex,0))</f>
        <v>0</v>
      </c>
      <c r="AH111">
        <f>AE111*P111+(Q111-Z111)*AF111+AG111</f>
        <v>0</v>
      </c>
      <c r="AI111">
        <f>IF(ISNUMBER(AD111),AD111,AH111)</f>
        <v>0</v>
      </c>
      <c r="AJ111">
        <f>IF(ISNUMBER(AI111),IF(ISNUMBER(AE111),IF(AND(AE111=1,AF111=1,AG111=1),100,ROUND(100*EXP(AI111)/(1+EXP(AI111)),2)),ROUND(100*EXP(AI111)/(1+EXP(AI111)),2)),IF(ISTEXT(O111),IF(LEFT(O111,1)="2",100,"N/A"),"N/A"))</f>
        <v>0</v>
      </c>
      <c r="AK111">
        <f>IF(ISNUMBER(AJ111),IF(AJ111&gt;=99,IF(OR(R111=10,R111=11),MatchLabel,SureThingLabel),IF(AJ111&gt;=95,SecureLabel,IF(AJ111&gt;=80,SafetyLabel,IF(AJ111&gt;=50,MatchLabel,IF(AJ111&gt;=20,ReachLabel,IF(AJ111&gt;=10,LongshotLabel,HailMaryLabel)))))),"Other")</f>
        <v>0</v>
      </c>
      <c r="AL111">
        <f>IF(OR(I111="accepted",I111="cond. accept",I111="summer admit"),IF(J111="yes","CHOICE!","Accepted!"),IF(I111="denied","Denied",IF(K111=1,"Waitlist",IF(L111=1,"Deferred",IF(G111="pending","Pending",IF(OR(G111="initial materials submitted",G111="mid-year submitted",G111="final submitted"),"Submitted",IF(H111="interest","Interest","?")))))))</f>
        <v>0</v>
      </c>
      <c r="AM111">
        <f>IF(OR(AK111=ReachLabel,AK111=LongshotLabel,AK111=HailMaryLabel),1,0)</f>
        <v>0</v>
      </c>
      <c r="AN111">
        <f>IF(OR(AM111=1,AK111=MatchLabel),1,0)</f>
        <v>0</v>
      </c>
      <c r="AO111">
        <f>IF(OR(AK111=MatchLabel,AK111=SafetyLabel,AK111=SecureLabel,AK111=SureThingLabel),1,0)</f>
        <v>0</v>
      </c>
      <c r="AP111">
        <f>IF(OR(T111="H",T111="B"),IF(ISNUMBER(Y111),ROUND(Y111,2),0),IF(ISNUMBER(X111),ROUND(X111,2),0))</f>
        <v>0</v>
      </c>
      <c r="AQ111">
        <f>IF(AP111&gt;=U111,1,0)</f>
        <v>0</v>
      </c>
      <c r="AR111">
        <f>IF(AP111&gt;=V111,1,0)</f>
        <v>0</v>
      </c>
      <c r="AS111">
        <f>IF(AP111&lt;(U111-0.10),1,0)</f>
        <v>0</v>
      </c>
      <c r="AT111">
        <f>1-AJ111/100</f>
        <v>0</v>
      </c>
      <c r="AU111">
        <f>IF(AN111=1,AT111,1)</f>
        <v>0</v>
      </c>
      <c r="AV111">
        <f>IF(AM111=1,AT111,1)</f>
        <v>0</v>
      </c>
      <c r="AW111">
        <f>IF(AND(AQ111=1,ISNUMBER(AT111)),$AT111,1)</f>
        <v>0</v>
      </c>
      <c r="AX111">
        <f>IF(AND(AR111=1,ISNUMBER(AT111)),$AT111,1)</f>
        <v>0</v>
      </c>
      <c r="AY111">
        <f>IF(ISNUMBER(Y111),INDEX(AllCollegeMoney, MATCH(N111,AllCollegeNCES,0)),0)</f>
        <v>0</v>
      </c>
      <c r="AZ111">
        <f>IF(AND(AQ111=1,ISNUMBER(AT111),AY111=1),$AT111,1)</f>
        <v>0</v>
      </c>
      <c r="BA111">
        <f>IF(AND(AR111=1,ISNUMBER(AT111),AY111=1),$AT111,1)</f>
        <v>0</v>
      </c>
      <c r="BB111">
        <f>IF(ISNUMBER(Y111),INDEX(AllCollegeILPub, MATCH(N111,AllCollegeNCES,0)),0)</f>
        <v>0</v>
      </c>
      <c r="BC111">
        <f>IF(AK111=ReachLabel,AP111,0)</f>
        <v>0</v>
      </c>
      <c r="BD111">
        <f>IF(AK111=MatchLabel,AP111,0)</f>
        <v>0</v>
      </c>
      <c r="BE111">
        <f>IF(AK111=SafetyLabel,AP111,0)</f>
        <v>0</v>
      </c>
      <c r="BF111">
        <f>IF(AK111=SecureLabel,AP111,0)</f>
        <v>0</v>
      </c>
      <c r="BG111">
        <f>IF(AK111=SureThingLabel,AP111,0)</f>
        <v>0</v>
      </c>
      <c r="BH111">
        <f>MAX(BC111:BG111)</f>
        <v>0</v>
      </c>
      <c r="BI111">
        <f>MAX(BD111:BG111)</f>
        <v>0</v>
      </c>
      <c r="BJ111">
        <f>MAX(BE111:BG111)</f>
        <v>0</v>
      </c>
      <c r="BK111">
        <f>IF(AND(AK111=ReachLabel,AY111=1),AP111,0)</f>
        <v>0</v>
      </c>
      <c r="BL111">
        <f>IF(AND(AK111=MatchLabel,AY111=1),AP111,0)</f>
        <v>0</v>
      </c>
      <c r="BM111">
        <f>IF(AND(AK111=SafetyLabel,AY111=1),AP111,0)</f>
        <v>0</v>
      </c>
      <c r="BN111">
        <f>IF(AND(AK111=SecureLabel,AY111=1),AP111,0)</f>
        <v>0</v>
      </c>
      <c r="BO111">
        <f>IF(AND(AK111=SureThingLabel,AY111=1),AP111,0)</f>
        <v>0</v>
      </c>
      <c r="BP111">
        <f>MAX(BK111:BO111)</f>
        <v>0</v>
      </c>
      <c r="BQ111">
        <f>MAX(BL111:BO111)</f>
        <v>0</v>
      </c>
      <c r="BR111">
        <f>MAX(BM111:BO111)</f>
        <v>0</v>
      </c>
      <c r="BS111">
        <f>IF(ISNUMBER(Y111),INDEX(AllCollegeChicago, MATCH(N111,AllCollegeNCES,0))*AY111,0)</f>
        <v>0</v>
      </c>
      <c r="BT111">
        <f>IF(ISNUMBER(Y111),INDEX(AllCollegeMoneyCode, MATCH(N111,AllCollegeNCES,0)),"?")</f>
        <v>0</v>
      </c>
      <c r="BU111">
        <f>IF(OR(BT111="---",BT111="--",BT111="+/--",BT111="+/---"),1,0)</f>
        <v>0</v>
      </c>
      <c r="BV111">
        <f>AY111*AO111*AQ111</f>
        <v>0</v>
      </c>
    </row>
    <row r="112" spans="1:74">
      <c r="A112" t="s">
        <v>86</v>
      </c>
      <c r="B112">
        <v>22415099</v>
      </c>
      <c r="C112" t="s">
        <v>281</v>
      </c>
      <c r="D112" t="s">
        <v>282</v>
      </c>
      <c r="E112" t="s">
        <v>428</v>
      </c>
      <c r="F112" t="s">
        <v>489</v>
      </c>
      <c r="G112" t="s">
        <v>430</v>
      </c>
      <c r="H112" t="s">
        <v>431</v>
      </c>
      <c r="I112" t="s">
        <v>432</v>
      </c>
      <c r="J112" t="s">
        <v>432</v>
      </c>
      <c r="K112">
        <v>0</v>
      </c>
      <c r="L112" t="s">
        <v>428</v>
      </c>
      <c r="M112" t="s">
        <v>428</v>
      </c>
      <c r="N112">
        <v>147679</v>
      </c>
      <c r="O112">
        <f>INDEX(AllCollegeBarrons,MATCH(N112,AllCollegeNCES,0))</f>
        <v>0</v>
      </c>
      <c r="P112">
        <f>INDEX(KidGPAs,MATCH(B112,KidIDs,0))</f>
        <v>0</v>
      </c>
      <c r="Q112">
        <f>INDEX(KidACTs,MATCH(B112,KidIDs,0))</f>
        <v>0</v>
      </c>
      <c r="R112">
        <f>INDEX(Strats,MATCH(B112,KidIDs,0))</f>
        <v>0</v>
      </c>
      <c r="S112">
        <f>INDEX(KidRace,MATCH(B112,KidIDs,0))</f>
        <v>0</v>
      </c>
      <c r="T112">
        <f>IF(OR(S112="M",S112="I"),"H",S112)</f>
        <v>0</v>
      </c>
      <c r="U112">
        <f>INDEX(StudentTargets,MATCH(B112,KidIDs,0))</f>
        <v>0</v>
      </c>
      <c r="V112">
        <f>INDEX(ReachStudentTargets,MATCH(B112,KidIDs,0))</f>
        <v>0</v>
      </c>
      <c r="W112">
        <f>IF(OR(M112="Posse"),1,0)</f>
        <v>0</v>
      </c>
      <c r="X112">
        <f>IF(ISNUMBER(INDEX(AllCollegeGR, MATCH(N112,AllCollegeNCES,0))),ROUND(INDEX(AllCollegeGR, MATCH(N112,AllCollegeNCES,0))+W112*IF(INDEX(AllCollegeGR, MATCH(N112,AllCollegeNCES,0))&gt;0.7,(1-INDEX(AllCollegeGR, MATCH(N112,AllCollegeNCES,0)))/2,0.15),2),INDEX(AllCollegeGR, MATCH(N112,AllCollegeNCES,0)))</f>
        <v>0</v>
      </c>
      <c r="Y112">
        <f>IF(ISNUMBER(INDEX(AllCollegeAAHGR, MATCH(N112,AllCollegeNCES,0))),ROUND(INDEX(AllCollegeAAHGR, MATCH(N112,AllCollegeNCES,0))+W112*IF(INDEX(AllCollegeAAHGR, MATCH(N112,AllCollegeNCES,0))&gt;0.7,(1-INDEX(AllCollegeAAHGR, MATCH(N112,AllCollegeNCES,0)))/2,0.15),2),INDEX(AllCollegeAAHGR, MATCH(N112,AllCollegeNCES,0)))</f>
        <v>0</v>
      </c>
      <c r="Z112">
        <f>IF(OR(T112="H",T112="B"),INDEX(AllCollegeACT25, MATCH(N112,AllCollegeNCES,0)),INDEX(AllCollegeACT50, MATCH(N112,AllCollegeNCES,0)))</f>
        <v>0</v>
      </c>
      <c r="AA112">
        <f>INDEX(CustomWeightsGPA,MATCH(T112&amp;":"&amp;N112,CustomWeightsIndex,0))</f>
        <v>0</v>
      </c>
      <c r="AB112">
        <f>INDEX(CustomWeightsACT,MATCH(T112&amp;":"&amp;N112,CustomWeightsIndex,0))</f>
        <v>0</v>
      </c>
      <c r="AC112">
        <f>INDEX(CustomWeightsIntercept,MATCH(T112&amp;":"&amp;N112,CustomWeightsIndex,0))</f>
        <v>0</v>
      </c>
      <c r="AD112">
        <f>AA112*P112+AB112*Q112+AC112</f>
        <v>0</v>
      </c>
      <c r="AE112">
        <f>INDEX(CoefficientsGPA,MATCH(T112&amp;":"&amp;O112,CoefficientsIndex,0))</f>
        <v>0</v>
      </c>
      <c r="AF112">
        <f>INDEX(CoefficientsACT,MATCH(T112&amp;":"&amp;O112,CoefficientsIndex,0))</f>
        <v>0</v>
      </c>
      <c r="AG112">
        <f>INDEX(CoefficientsIntercept,MATCH(T112&amp;":"&amp;O112,CoefficientsIndex,0))</f>
        <v>0</v>
      </c>
      <c r="AH112">
        <f>AE112*P112+(Q112-Z112)*AF112+AG112</f>
        <v>0</v>
      </c>
      <c r="AI112">
        <f>IF(ISNUMBER(AD112),AD112,AH112)</f>
        <v>0</v>
      </c>
      <c r="AJ112">
        <f>IF(ISNUMBER(AI112),IF(ISNUMBER(AE112),IF(AND(AE112=1,AF112=1,AG112=1),100,ROUND(100*EXP(AI112)/(1+EXP(AI112)),2)),ROUND(100*EXP(AI112)/(1+EXP(AI112)),2)),IF(ISTEXT(O112),IF(LEFT(O112,1)="2",100,"N/A"),"N/A"))</f>
        <v>0</v>
      </c>
      <c r="AK112">
        <f>IF(ISNUMBER(AJ112),IF(AJ112&gt;=99,IF(OR(R112=10,R112=11),MatchLabel,SureThingLabel),IF(AJ112&gt;=95,SecureLabel,IF(AJ112&gt;=80,SafetyLabel,IF(AJ112&gt;=50,MatchLabel,IF(AJ112&gt;=20,ReachLabel,IF(AJ112&gt;=10,LongshotLabel,HailMaryLabel)))))),"Other")</f>
        <v>0</v>
      </c>
      <c r="AL112">
        <f>IF(OR(I112="accepted",I112="cond. accept",I112="summer admit"),IF(J112="yes","CHOICE!","Accepted!"),IF(I112="denied","Denied",IF(K112=1,"Waitlist",IF(L112=1,"Deferred",IF(G112="pending","Pending",IF(OR(G112="initial materials submitted",G112="mid-year submitted",G112="final submitted"),"Submitted",IF(H112="interest","Interest","?")))))))</f>
        <v>0</v>
      </c>
      <c r="AM112">
        <f>IF(OR(AK112=ReachLabel,AK112=LongshotLabel,AK112=HailMaryLabel),1,0)</f>
        <v>0</v>
      </c>
      <c r="AN112">
        <f>IF(OR(AM112=1,AK112=MatchLabel),1,0)</f>
        <v>0</v>
      </c>
      <c r="AO112">
        <f>IF(OR(AK112=MatchLabel,AK112=SafetyLabel,AK112=SecureLabel,AK112=SureThingLabel),1,0)</f>
        <v>0</v>
      </c>
      <c r="AP112">
        <f>IF(OR(T112="H",T112="B"),IF(ISNUMBER(Y112),ROUND(Y112,2),0),IF(ISNUMBER(X112),ROUND(X112,2),0))</f>
        <v>0</v>
      </c>
      <c r="AQ112">
        <f>IF(AP112&gt;=U112,1,0)</f>
        <v>0</v>
      </c>
      <c r="AR112">
        <f>IF(AP112&gt;=V112,1,0)</f>
        <v>0</v>
      </c>
      <c r="AS112">
        <f>IF(AP112&lt;(U112-0.10),1,0)</f>
        <v>0</v>
      </c>
      <c r="AT112">
        <f>1-AJ112/100</f>
        <v>0</v>
      </c>
      <c r="AU112">
        <f>IF(AN112=1,AT112,1)</f>
        <v>0</v>
      </c>
      <c r="AV112">
        <f>IF(AM112=1,AT112,1)</f>
        <v>0</v>
      </c>
      <c r="AW112">
        <f>IF(AND(AQ112=1,ISNUMBER(AT112)),$AT112,1)</f>
        <v>0</v>
      </c>
      <c r="AX112">
        <f>IF(AND(AR112=1,ISNUMBER(AT112)),$AT112,1)</f>
        <v>0</v>
      </c>
      <c r="AY112">
        <f>IF(ISNUMBER(Y112),INDEX(AllCollegeMoney, MATCH(N112,AllCollegeNCES,0)),0)</f>
        <v>0</v>
      </c>
      <c r="AZ112">
        <f>IF(AND(AQ112=1,ISNUMBER(AT112),AY112=1),$AT112,1)</f>
        <v>0</v>
      </c>
      <c r="BA112">
        <f>IF(AND(AR112=1,ISNUMBER(AT112),AY112=1),$AT112,1)</f>
        <v>0</v>
      </c>
      <c r="BB112">
        <f>IF(ISNUMBER(Y112),INDEX(AllCollegeILPub, MATCH(N112,AllCollegeNCES,0)),0)</f>
        <v>0</v>
      </c>
      <c r="BC112">
        <f>IF(AK112=ReachLabel,AP112,0)</f>
        <v>0</v>
      </c>
      <c r="BD112">
        <f>IF(AK112=MatchLabel,AP112,0)</f>
        <v>0</v>
      </c>
      <c r="BE112">
        <f>IF(AK112=SafetyLabel,AP112,0)</f>
        <v>0</v>
      </c>
      <c r="BF112">
        <f>IF(AK112=SecureLabel,AP112,0)</f>
        <v>0</v>
      </c>
      <c r="BG112">
        <f>IF(AK112=SureThingLabel,AP112,0)</f>
        <v>0</v>
      </c>
      <c r="BH112">
        <f>MAX(BC112:BG112)</f>
        <v>0</v>
      </c>
      <c r="BI112">
        <f>MAX(BD112:BG112)</f>
        <v>0</v>
      </c>
      <c r="BJ112">
        <f>MAX(BE112:BG112)</f>
        <v>0</v>
      </c>
      <c r="BK112">
        <f>IF(AND(AK112=ReachLabel,AY112=1),AP112,0)</f>
        <v>0</v>
      </c>
      <c r="BL112">
        <f>IF(AND(AK112=MatchLabel,AY112=1),AP112,0)</f>
        <v>0</v>
      </c>
      <c r="BM112">
        <f>IF(AND(AK112=SafetyLabel,AY112=1),AP112,0)</f>
        <v>0</v>
      </c>
      <c r="BN112">
        <f>IF(AND(AK112=SecureLabel,AY112=1),AP112,0)</f>
        <v>0</v>
      </c>
      <c r="BO112">
        <f>IF(AND(AK112=SureThingLabel,AY112=1),AP112,0)</f>
        <v>0</v>
      </c>
      <c r="BP112">
        <f>MAX(BK112:BO112)</f>
        <v>0</v>
      </c>
      <c r="BQ112">
        <f>MAX(BL112:BO112)</f>
        <v>0</v>
      </c>
      <c r="BR112">
        <f>MAX(BM112:BO112)</f>
        <v>0</v>
      </c>
      <c r="BS112">
        <f>IF(ISNUMBER(Y112),INDEX(AllCollegeChicago, MATCH(N112,AllCollegeNCES,0))*AY112,0)</f>
        <v>0</v>
      </c>
      <c r="BT112">
        <f>IF(ISNUMBER(Y112),INDEX(AllCollegeMoneyCode, MATCH(N112,AllCollegeNCES,0)),"?")</f>
        <v>0</v>
      </c>
      <c r="BU112">
        <f>IF(OR(BT112="---",BT112="--",BT112="+/--",BT112="+/---"),1,0)</f>
        <v>0</v>
      </c>
      <c r="BV112">
        <f>AY112*AO112*AQ112</f>
        <v>0</v>
      </c>
    </row>
    <row r="113" spans="1:74">
      <c r="A113" t="s">
        <v>86</v>
      </c>
      <c r="B113">
        <v>22415099</v>
      </c>
      <c r="C113" t="s">
        <v>281</v>
      </c>
      <c r="D113" t="s">
        <v>282</v>
      </c>
      <c r="E113" t="s">
        <v>428</v>
      </c>
      <c r="F113" t="s">
        <v>437</v>
      </c>
      <c r="G113" t="s">
        <v>430</v>
      </c>
      <c r="H113" t="s">
        <v>431</v>
      </c>
      <c r="I113" t="s">
        <v>432</v>
      </c>
      <c r="J113" t="s">
        <v>432</v>
      </c>
      <c r="K113">
        <v>0</v>
      </c>
      <c r="L113" t="s">
        <v>428</v>
      </c>
      <c r="M113" t="s">
        <v>428</v>
      </c>
      <c r="N113">
        <v>149772</v>
      </c>
      <c r="O113">
        <f>INDEX(AllCollegeBarrons,MATCH(N113,AllCollegeNCES,0))</f>
        <v>0</v>
      </c>
      <c r="P113">
        <f>INDEX(KidGPAs,MATCH(B113,KidIDs,0))</f>
        <v>0</v>
      </c>
      <c r="Q113">
        <f>INDEX(KidACTs,MATCH(B113,KidIDs,0))</f>
        <v>0</v>
      </c>
      <c r="R113">
        <f>INDEX(Strats,MATCH(B113,KidIDs,0))</f>
        <v>0</v>
      </c>
      <c r="S113">
        <f>INDEX(KidRace,MATCH(B113,KidIDs,0))</f>
        <v>0</v>
      </c>
      <c r="T113">
        <f>IF(OR(S113="M",S113="I"),"H",S113)</f>
        <v>0</v>
      </c>
      <c r="U113">
        <f>INDEX(StudentTargets,MATCH(B113,KidIDs,0))</f>
        <v>0</v>
      </c>
      <c r="V113">
        <f>INDEX(ReachStudentTargets,MATCH(B113,KidIDs,0))</f>
        <v>0</v>
      </c>
      <c r="W113">
        <f>IF(OR(M113="Posse"),1,0)</f>
        <v>0</v>
      </c>
      <c r="X113">
        <f>IF(ISNUMBER(INDEX(AllCollegeGR, MATCH(N113,AllCollegeNCES,0))),ROUND(INDEX(AllCollegeGR, MATCH(N113,AllCollegeNCES,0))+W113*IF(INDEX(AllCollegeGR, MATCH(N113,AllCollegeNCES,0))&gt;0.7,(1-INDEX(AllCollegeGR, MATCH(N113,AllCollegeNCES,0)))/2,0.15),2),INDEX(AllCollegeGR, MATCH(N113,AllCollegeNCES,0)))</f>
        <v>0</v>
      </c>
      <c r="Y113">
        <f>IF(ISNUMBER(INDEX(AllCollegeAAHGR, MATCH(N113,AllCollegeNCES,0))),ROUND(INDEX(AllCollegeAAHGR, MATCH(N113,AllCollegeNCES,0))+W113*IF(INDEX(AllCollegeAAHGR, MATCH(N113,AllCollegeNCES,0))&gt;0.7,(1-INDEX(AllCollegeAAHGR, MATCH(N113,AllCollegeNCES,0)))/2,0.15),2),INDEX(AllCollegeAAHGR, MATCH(N113,AllCollegeNCES,0)))</f>
        <v>0</v>
      </c>
      <c r="Z113">
        <f>IF(OR(T113="H",T113="B"),INDEX(AllCollegeACT25, MATCH(N113,AllCollegeNCES,0)),INDEX(AllCollegeACT50, MATCH(N113,AllCollegeNCES,0)))</f>
        <v>0</v>
      </c>
      <c r="AA113">
        <f>INDEX(CustomWeightsGPA,MATCH(T113&amp;":"&amp;N113,CustomWeightsIndex,0))</f>
        <v>0</v>
      </c>
      <c r="AB113">
        <f>INDEX(CustomWeightsACT,MATCH(T113&amp;":"&amp;N113,CustomWeightsIndex,0))</f>
        <v>0</v>
      </c>
      <c r="AC113">
        <f>INDEX(CustomWeightsIntercept,MATCH(T113&amp;":"&amp;N113,CustomWeightsIndex,0))</f>
        <v>0</v>
      </c>
      <c r="AD113">
        <f>AA113*P113+AB113*Q113+AC113</f>
        <v>0</v>
      </c>
      <c r="AE113">
        <f>INDEX(CoefficientsGPA,MATCH(T113&amp;":"&amp;O113,CoefficientsIndex,0))</f>
        <v>0</v>
      </c>
      <c r="AF113">
        <f>INDEX(CoefficientsACT,MATCH(T113&amp;":"&amp;O113,CoefficientsIndex,0))</f>
        <v>0</v>
      </c>
      <c r="AG113">
        <f>INDEX(CoefficientsIntercept,MATCH(T113&amp;":"&amp;O113,CoefficientsIndex,0))</f>
        <v>0</v>
      </c>
      <c r="AH113">
        <f>AE113*P113+(Q113-Z113)*AF113+AG113</f>
        <v>0</v>
      </c>
      <c r="AI113">
        <f>IF(ISNUMBER(AD113),AD113,AH113)</f>
        <v>0</v>
      </c>
      <c r="AJ113">
        <f>IF(ISNUMBER(AI113),IF(ISNUMBER(AE113),IF(AND(AE113=1,AF113=1,AG113=1),100,ROUND(100*EXP(AI113)/(1+EXP(AI113)),2)),ROUND(100*EXP(AI113)/(1+EXP(AI113)),2)),IF(ISTEXT(O113),IF(LEFT(O113,1)="2",100,"N/A"),"N/A"))</f>
        <v>0</v>
      </c>
      <c r="AK113">
        <f>IF(ISNUMBER(AJ113),IF(AJ113&gt;=99,IF(OR(R113=10,R113=11),MatchLabel,SureThingLabel),IF(AJ113&gt;=95,SecureLabel,IF(AJ113&gt;=80,SafetyLabel,IF(AJ113&gt;=50,MatchLabel,IF(AJ113&gt;=20,ReachLabel,IF(AJ113&gt;=10,LongshotLabel,HailMaryLabel)))))),"Other")</f>
        <v>0</v>
      </c>
      <c r="AL113">
        <f>IF(OR(I113="accepted",I113="cond. accept",I113="summer admit"),IF(J113="yes","CHOICE!","Accepted!"),IF(I113="denied","Denied",IF(K113=1,"Waitlist",IF(L113=1,"Deferred",IF(G113="pending","Pending",IF(OR(G113="initial materials submitted",G113="mid-year submitted",G113="final submitted"),"Submitted",IF(H113="interest","Interest","?")))))))</f>
        <v>0</v>
      </c>
      <c r="AM113">
        <f>IF(OR(AK113=ReachLabel,AK113=LongshotLabel,AK113=HailMaryLabel),1,0)</f>
        <v>0</v>
      </c>
      <c r="AN113">
        <f>IF(OR(AM113=1,AK113=MatchLabel),1,0)</f>
        <v>0</v>
      </c>
      <c r="AO113">
        <f>IF(OR(AK113=MatchLabel,AK113=SafetyLabel,AK113=SecureLabel,AK113=SureThingLabel),1,0)</f>
        <v>0</v>
      </c>
      <c r="AP113">
        <f>IF(OR(T113="H",T113="B"),IF(ISNUMBER(Y113),ROUND(Y113,2),0),IF(ISNUMBER(X113),ROUND(X113,2),0))</f>
        <v>0</v>
      </c>
      <c r="AQ113">
        <f>IF(AP113&gt;=U113,1,0)</f>
        <v>0</v>
      </c>
      <c r="AR113">
        <f>IF(AP113&gt;=V113,1,0)</f>
        <v>0</v>
      </c>
      <c r="AS113">
        <f>IF(AP113&lt;(U113-0.10),1,0)</f>
        <v>0</v>
      </c>
      <c r="AT113">
        <f>1-AJ113/100</f>
        <v>0</v>
      </c>
      <c r="AU113">
        <f>IF(AN113=1,AT113,1)</f>
        <v>0</v>
      </c>
      <c r="AV113">
        <f>IF(AM113=1,AT113,1)</f>
        <v>0</v>
      </c>
      <c r="AW113">
        <f>IF(AND(AQ113=1,ISNUMBER(AT113)),$AT113,1)</f>
        <v>0</v>
      </c>
      <c r="AX113">
        <f>IF(AND(AR113=1,ISNUMBER(AT113)),$AT113,1)</f>
        <v>0</v>
      </c>
      <c r="AY113">
        <f>IF(ISNUMBER(Y113),INDEX(AllCollegeMoney, MATCH(N113,AllCollegeNCES,0)),0)</f>
        <v>0</v>
      </c>
      <c r="AZ113">
        <f>IF(AND(AQ113=1,ISNUMBER(AT113),AY113=1),$AT113,1)</f>
        <v>0</v>
      </c>
      <c r="BA113">
        <f>IF(AND(AR113=1,ISNUMBER(AT113),AY113=1),$AT113,1)</f>
        <v>0</v>
      </c>
      <c r="BB113">
        <f>IF(ISNUMBER(Y113),INDEX(AllCollegeILPub, MATCH(N113,AllCollegeNCES,0)),0)</f>
        <v>0</v>
      </c>
      <c r="BC113">
        <f>IF(AK113=ReachLabel,AP113,0)</f>
        <v>0</v>
      </c>
      <c r="BD113">
        <f>IF(AK113=MatchLabel,AP113,0)</f>
        <v>0</v>
      </c>
      <c r="BE113">
        <f>IF(AK113=SafetyLabel,AP113,0)</f>
        <v>0</v>
      </c>
      <c r="BF113">
        <f>IF(AK113=SecureLabel,AP113,0)</f>
        <v>0</v>
      </c>
      <c r="BG113">
        <f>IF(AK113=SureThingLabel,AP113,0)</f>
        <v>0</v>
      </c>
      <c r="BH113">
        <f>MAX(BC113:BG113)</f>
        <v>0</v>
      </c>
      <c r="BI113">
        <f>MAX(BD113:BG113)</f>
        <v>0</v>
      </c>
      <c r="BJ113">
        <f>MAX(BE113:BG113)</f>
        <v>0</v>
      </c>
      <c r="BK113">
        <f>IF(AND(AK113=ReachLabel,AY113=1),AP113,0)</f>
        <v>0</v>
      </c>
      <c r="BL113">
        <f>IF(AND(AK113=MatchLabel,AY113=1),AP113,0)</f>
        <v>0</v>
      </c>
      <c r="BM113">
        <f>IF(AND(AK113=SafetyLabel,AY113=1),AP113,0)</f>
        <v>0</v>
      </c>
      <c r="BN113">
        <f>IF(AND(AK113=SecureLabel,AY113=1),AP113,0)</f>
        <v>0</v>
      </c>
      <c r="BO113">
        <f>IF(AND(AK113=SureThingLabel,AY113=1),AP113,0)</f>
        <v>0</v>
      </c>
      <c r="BP113">
        <f>MAX(BK113:BO113)</f>
        <v>0</v>
      </c>
      <c r="BQ113">
        <f>MAX(BL113:BO113)</f>
        <v>0</v>
      </c>
      <c r="BR113">
        <f>MAX(BM113:BO113)</f>
        <v>0</v>
      </c>
      <c r="BS113">
        <f>IF(ISNUMBER(Y113),INDEX(AllCollegeChicago, MATCH(N113,AllCollegeNCES,0))*AY113,0)</f>
        <v>0</v>
      </c>
      <c r="BT113">
        <f>IF(ISNUMBER(Y113),INDEX(AllCollegeMoneyCode, MATCH(N113,AllCollegeNCES,0)),"?")</f>
        <v>0</v>
      </c>
      <c r="BU113">
        <f>IF(OR(BT113="---",BT113="--",BT113="+/--",BT113="+/---"),1,0)</f>
        <v>0</v>
      </c>
      <c r="BV113">
        <f>AY113*AO113*AQ113</f>
        <v>0</v>
      </c>
    </row>
    <row r="114" spans="1:74">
      <c r="A114" t="s">
        <v>86</v>
      </c>
      <c r="B114">
        <v>22415099</v>
      </c>
      <c r="C114" t="s">
        <v>281</v>
      </c>
      <c r="D114" t="s">
        <v>282</v>
      </c>
      <c r="E114" t="s">
        <v>428</v>
      </c>
      <c r="F114" t="s">
        <v>438</v>
      </c>
      <c r="G114" t="s">
        <v>430</v>
      </c>
      <c r="H114" t="s">
        <v>431</v>
      </c>
      <c r="I114" t="s">
        <v>432</v>
      </c>
      <c r="J114" t="s">
        <v>432</v>
      </c>
      <c r="K114">
        <v>0</v>
      </c>
      <c r="L114" t="s">
        <v>428</v>
      </c>
      <c r="M114" t="s">
        <v>439</v>
      </c>
      <c r="N114">
        <v>150774</v>
      </c>
      <c r="O114">
        <f>INDEX(AllCollegeBarrons,MATCH(N114,AllCollegeNCES,0))</f>
        <v>0</v>
      </c>
      <c r="P114">
        <f>INDEX(KidGPAs,MATCH(B114,KidIDs,0))</f>
        <v>0</v>
      </c>
      <c r="Q114">
        <f>INDEX(KidACTs,MATCH(B114,KidIDs,0))</f>
        <v>0</v>
      </c>
      <c r="R114">
        <f>INDEX(Strats,MATCH(B114,KidIDs,0))</f>
        <v>0</v>
      </c>
      <c r="S114">
        <f>INDEX(KidRace,MATCH(B114,KidIDs,0))</f>
        <v>0</v>
      </c>
      <c r="T114">
        <f>IF(OR(S114="M",S114="I"),"H",S114)</f>
        <v>0</v>
      </c>
      <c r="U114">
        <f>INDEX(StudentTargets,MATCH(B114,KidIDs,0))</f>
        <v>0</v>
      </c>
      <c r="V114">
        <f>INDEX(ReachStudentTargets,MATCH(B114,KidIDs,0))</f>
        <v>0</v>
      </c>
      <c r="W114">
        <f>IF(OR(M114="Posse"),1,0)</f>
        <v>0</v>
      </c>
      <c r="X114">
        <f>IF(ISNUMBER(INDEX(AllCollegeGR, MATCH(N114,AllCollegeNCES,0))),ROUND(INDEX(AllCollegeGR, MATCH(N114,AllCollegeNCES,0))+W114*IF(INDEX(AllCollegeGR, MATCH(N114,AllCollegeNCES,0))&gt;0.7,(1-INDEX(AllCollegeGR, MATCH(N114,AllCollegeNCES,0)))/2,0.15),2),INDEX(AllCollegeGR, MATCH(N114,AllCollegeNCES,0)))</f>
        <v>0</v>
      </c>
      <c r="Y114">
        <f>IF(ISNUMBER(INDEX(AllCollegeAAHGR, MATCH(N114,AllCollegeNCES,0))),ROUND(INDEX(AllCollegeAAHGR, MATCH(N114,AllCollegeNCES,0))+W114*IF(INDEX(AllCollegeAAHGR, MATCH(N114,AllCollegeNCES,0))&gt;0.7,(1-INDEX(AllCollegeAAHGR, MATCH(N114,AllCollegeNCES,0)))/2,0.15),2),INDEX(AllCollegeAAHGR, MATCH(N114,AllCollegeNCES,0)))</f>
        <v>0</v>
      </c>
      <c r="Z114">
        <f>IF(OR(T114="H",T114="B"),INDEX(AllCollegeACT25, MATCH(N114,AllCollegeNCES,0)),INDEX(AllCollegeACT50, MATCH(N114,AllCollegeNCES,0)))</f>
        <v>0</v>
      </c>
      <c r="AA114">
        <f>INDEX(CustomWeightsGPA,MATCH(T114&amp;":"&amp;N114,CustomWeightsIndex,0))</f>
        <v>0</v>
      </c>
      <c r="AB114">
        <f>INDEX(CustomWeightsACT,MATCH(T114&amp;":"&amp;N114,CustomWeightsIndex,0))</f>
        <v>0</v>
      </c>
      <c r="AC114">
        <f>INDEX(CustomWeightsIntercept,MATCH(T114&amp;":"&amp;N114,CustomWeightsIndex,0))</f>
        <v>0</v>
      </c>
      <c r="AD114">
        <f>AA114*P114+AB114*Q114+AC114</f>
        <v>0</v>
      </c>
      <c r="AE114">
        <f>INDEX(CoefficientsGPA,MATCH(T114&amp;":"&amp;O114,CoefficientsIndex,0))</f>
        <v>0</v>
      </c>
      <c r="AF114">
        <f>INDEX(CoefficientsACT,MATCH(T114&amp;":"&amp;O114,CoefficientsIndex,0))</f>
        <v>0</v>
      </c>
      <c r="AG114">
        <f>INDEX(CoefficientsIntercept,MATCH(T114&amp;":"&amp;O114,CoefficientsIndex,0))</f>
        <v>0</v>
      </c>
      <c r="AH114">
        <f>AE114*P114+(Q114-Z114)*AF114+AG114</f>
        <v>0</v>
      </c>
      <c r="AI114">
        <f>IF(ISNUMBER(AD114),AD114,AH114)</f>
        <v>0</v>
      </c>
      <c r="AJ114">
        <f>IF(ISNUMBER(AI114),IF(ISNUMBER(AE114),IF(AND(AE114=1,AF114=1,AG114=1),100,ROUND(100*EXP(AI114)/(1+EXP(AI114)),2)),ROUND(100*EXP(AI114)/(1+EXP(AI114)),2)),IF(ISTEXT(O114),IF(LEFT(O114,1)="2",100,"N/A"),"N/A"))</f>
        <v>0</v>
      </c>
      <c r="AK114">
        <f>IF(ISNUMBER(AJ114),IF(AJ114&gt;=99,IF(OR(R114=10,R114=11),MatchLabel,SureThingLabel),IF(AJ114&gt;=95,SecureLabel,IF(AJ114&gt;=80,SafetyLabel,IF(AJ114&gt;=50,MatchLabel,IF(AJ114&gt;=20,ReachLabel,IF(AJ114&gt;=10,LongshotLabel,HailMaryLabel)))))),"Other")</f>
        <v>0</v>
      </c>
      <c r="AL114">
        <f>IF(OR(I114="accepted",I114="cond. accept",I114="summer admit"),IF(J114="yes","CHOICE!","Accepted!"),IF(I114="denied","Denied",IF(K114=1,"Waitlist",IF(L114=1,"Deferred",IF(G114="pending","Pending",IF(OR(G114="initial materials submitted",G114="mid-year submitted",G114="final submitted"),"Submitted",IF(H114="interest","Interest","?")))))))</f>
        <v>0</v>
      </c>
      <c r="AM114">
        <f>IF(OR(AK114=ReachLabel,AK114=LongshotLabel,AK114=HailMaryLabel),1,0)</f>
        <v>0</v>
      </c>
      <c r="AN114">
        <f>IF(OR(AM114=1,AK114=MatchLabel),1,0)</f>
        <v>0</v>
      </c>
      <c r="AO114">
        <f>IF(OR(AK114=MatchLabel,AK114=SafetyLabel,AK114=SecureLabel,AK114=SureThingLabel),1,0)</f>
        <v>0</v>
      </c>
      <c r="AP114">
        <f>IF(OR(T114="H",T114="B"),IF(ISNUMBER(Y114),ROUND(Y114,2),0),IF(ISNUMBER(X114),ROUND(X114,2),0))</f>
        <v>0</v>
      </c>
      <c r="AQ114">
        <f>IF(AP114&gt;=U114,1,0)</f>
        <v>0</v>
      </c>
      <c r="AR114">
        <f>IF(AP114&gt;=V114,1,0)</f>
        <v>0</v>
      </c>
      <c r="AS114">
        <f>IF(AP114&lt;(U114-0.10),1,0)</f>
        <v>0</v>
      </c>
      <c r="AT114">
        <f>1-AJ114/100</f>
        <v>0</v>
      </c>
      <c r="AU114">
        <f>IF(AN114=1,AT114,1)</f>
        <v>0</v>
      </c>
      <c r="AV114">
        <f>IF(AM114=1,AT114,1)</f>
        <v>0</v>
      </c>
      <c r="AW114">
        <f>IF(AND(AQ114=1,ISNUMBER(AT114)),$AT114,1)</f>
        <v>0</v>
      </c>
      <c r="AX114">
        <f>IF(AND(AR114=1,ISNUMBER(AT114)),$AT114,1)</f>
        <v>0</v>
      </c>
      <c r="AY114">
        <f>IF(ISNUMBER(Y114),INDEX(AllCollegeMoney, MATCH(N114,AllCollegeNCES,0)),0)</f>
        <v>0</v>
      </c>
      <c r="AZ114">
        <f>IF(AND(AQ114=1,ISNUMBER(AT114),AY114=1),$AT114,1)</f>
        <v>0</v>
      </c>
      <c r="BA114">
        <f>IF(AND(AR114=1,ISNUMBER(AT114),AY114=1),$AT114,1)</f>
        <v>0</v>
      </c>
      <c r="BB114">
        <f>IF(ISNUMBER(Y114),INDEX(AllCollegeILPub, MATCH(N114,AllCollegeNCES,0)),0)</f>
        <v>0</v>
      </c>
      <c r="BC114">
        <f>IF(AK114=ReachLabel,AP114,0)</f>
        <v>0</v>
      </c>
      <c r="BD114">
        <f>IF(AK114=MatchLabel,AP114,0)</f>
        <v>0</v>
      </c>
      <c r="BE114">
        <f>IF(AK114=SafetyLabel,AP114,0)</f>
        <v>0</v>
      </c>
      <c r="BF114">
        <f>IF(AK114=SecureLabel,AP114,0)</f>
        <v>0</v>
      </c>
      <c r="BG114">
        <f>IF(AK114=SureThingLabel,AP114,0)</f>
        <v>0</v>
      </c>
      <c r="BH114">
        <f>MAX(BC114:BG114)</f>
        <v>0</v>
      </c>
      <c r="BI114">
        <f>MAX(BD114:BG114)</f>
        <v>0</v>
      </c>
      <c r="BJ114">
        <f>MAX(BE114:BG114)</f>
        <v>0</v>
      </c>
      <c r="BK114">
        <f>IF(AND(AK114=ReachLabel,AY114=1),AP114,0)</f>
        <v>0</v>
      </c>
      <c r="BL114">
        <f>IF(AND(AK114=MatchLabel,AY114=1),AP114,0)</f>
        <v>0</v>
      </c>
      <c r="BM114">
        <f>IF(AND(AK114=SafetyLabel,AY114=1),AP114,0)</f>
        <v>0</v>
      </c>
      <c r="BN114">
        <f>IF(AND(AK114=SecureLabel,AY114=1),AP114,0)</f>
        <v>0</v>
      </c>
      <c r="BO114">
        <f>IF(AND(AK114=SureThingLabel,AY114=1),AP114,0)</f>
        <v>0</v>
      </c>
      <c r="BP114">
        <f>MAX(BK114:BO114)</f>
        <v>0</v>
      </c>
      <c r="BQ114">
        <f>MAX(BL114:BO114)</f>
        <v>0</v>
      </c>
      <c r="BR114">
        <f>MAX(BM114:BO114)</f>
        <v>0</v>
      </c>
      <c r="BS114">
        <f>IF(ISNUMBER(Y114),INDEX(AllCollegeChicago, MATCH(N114,AllCollegeNCES,0))*AY114,0)</f>
        <v>0</v>
      </c>
      <c r="BT114">
        <f>IF(ISNUMBER(Y114),INDEX(AllCollegeMoneyCode, MATCH(N114,AllCollegeNCES,0)),"?")</f>
        <v>0</v>
      </c>
      <c r="BU114">
        <f>IF(OR(BT114="---",BT114="--",BT114="+/--",BT114="+/---"),1,0)</f>
        <v>0</v>
      </c>
      <c r="BV114">
        <f>AY114*AO114*AQ114</f>
        <v>0</v>
      </c>
    </row>
    <row r="115" spans="1:74">
      <c r="A115" t="s">
        <v>86</v>
      </c>
      <c r="B115">
        <v>22415099</v>
      </c>
      <c r="C115" t="s">
        <v>281</v>
      </c>
      <c r="D115" t="s">
        <v>282</v>
      </c>
      <c r="E115" t="s">
        <v>428</v>
      </c>
      <c r="F115" t="s">
        <v>488</v>
      </c>
      <c r="G115" t="s">
        <v>430</v>
      </c>
      <c r="H115" t="s">
        <v>431</v>
      </c>
      <c r="I115" t="s">
        <v>432</v>
      </c>
      <c r="J115" t="s">
        <v>432</v>
      </c>
      <c r="K115">
        <v>0</v>
      </c>
      <c r="L115" t="s">
        <v>428</v>
      </c>
      <c r="M115" t="s">
        <v>428</v>
      </c>
      <c r="N115">
        <v>149231</v>
      </c>
      <c r="O115">
        <f>INDEX(AllCollegeBarrons,MATCH(N115,AllCollegeNCES,0))</f>
        <v>0</v>
      </c>
      <c r="P115">
        <f>INDEX(KidGPAs,MATCH(B115,KidIDs,0))</f>
        <v>0</v>
      </c>
      <c r="Q115">
        <f>INDEX(KidACTs,MATCH(B115,KidIDs,0))</f>
        <v>0</v>
      </c>
      <c r="R115">
        <f>INDEX(Strats,MATCH(B115,KidIDs,0))</f>
        <v>0</v>
      </c>
      <c r="S115">
        <f>INDEX(KidRace,MATCH(B115,KidIDs,0))</f>
        <v>0</v>
      </c>
      <c r="T115">
        <f>IF(OR(S115="M",S115="I"),"H",S115)</f>
        <v>0</v>
      </c>
      <c r="U115">
        <f>INDEX(StudentTargets,MATCH(B115,KidIDs,0))</f>
        <v>0</v>
      </c>
      <c r="V115">
        <f>INDEX(ReachStudentTargets,MATCH(B115,KidIDs,0))</f>
        <v>0</v>
      </c>
      <c r="W115">
        <f>IF(OR(M115="Posse"),1,0)</f>
        <v>0</v>
      </c>
      <c r="X115">
        <f>IF(ISNUMBER(INDEX(AllCollegeGR, MATCH(N115,AllCollegeNCES,0))),ROUND(INDEX(AllCollegeGR, MATCH(N115,AllCollegeNCES,0))+W115*IF(INDEX(AllCollegeGR, MATCH(N115,AllCollegeNCES,0))&gt;0.7,(1-INDEX(AllCollegeGR, MATCH(N115,AllCollegeNCES,0)))/2,0.15),2),INDEX(AllCollegeGR, MATCH(N115,AllCollegeNCES,0)))</f>
        <v>0</v>
      </c>
      <c r="Y115">
        <f>IF(ISNUMBER(INDEX(AllCollegeAAHGR, MATCH(N115,AllCollegeNCES,0))),ROUND(INDEX(AllCollegeAAHGR, MATCH(N115,AllCollegeNCES,0))+W115*IF(INDEX(AllCollegeAAHGR, MATCH(N115,AllCollegeNCES,0))&gt;0.7,(1-INDEX(AllCollegeAAHGR, MATCH(N115,AllCollegeNCES,0)))/2,0.15),2),INDEX(AllCollegeAAHGR, MATCH(N115,AllCollegeNCES,0)))</f>
        <v>0</v>
      </c>
      <c r="Z115">
        <f>IF(OR(T115="H",T115="B"),INDEX(AllCollegeACT25, MATCH(N115,AllCollegeNCES,0)),INDEX(AllCollegeACT50, MATCH(N115,AllCollegeNCES,0)))</f>
        <v>0</v>
      </c>
      <c r="AA115">
        <f>INDEX(CustomWeightsGPA,MATCH(T115&amp;":"&amp;N115,CustomWeightsIndex,0))</f>
        <v>0</v>
      </c>
      <c r="AB115">
        <f>INDEX(CustomWeightsACT,MATCH(T115&amp;":"&amp;N115,CustomWeightsIndex,0))</f>
        <v>0</v>
      </c>
      <c r="AC115">
        <f>INDEX(CustomWeightsIntercept,MATCH(T115&amp;":"&amp;N115,CustomWeightsIndex,0))</f>
        <v>0</v>
      </c>
      <c r="AD115">
        <f>AA115*P115+AB115*Q115+AC115</f>
        <v>0</v>
      </c>
      <c r="AE115">
        <f>INDEX(CoefficientsGPA,MATCH(T115&amp;":"&amp;O115,CoefficientsIndex,0))</f>
        <v>0</v>
      </c>
      <c r="AF115">
        <f>INDEX(CoefficientsACT,MATCH(T115&amp;":"&amp;O115,CoefficientsIndex,0))</f>
        <v>0</v>
      </c>
      <c r="AG115">
        <f>INDEX(CoefficientsIntercept,MATCH(T115&amp;":"&amp;O115,CoefficientsIndex,0))</f>
        <v>0</v>
      </c>
      <c r="AH115">
        <f>AE115*P115+(Q115-Z115)*AF115+AG115</f>
        <v>0</v>
      </c>
      <c r="AI115">
        <f>IF(ISNUMBER(AD115),AD115,AH115)</f>
        <v>0</v>
      </c>
      <c r="AJ115">
        <f>IF(ISNUMBER(AI115),IF(ISNUMBER(AE115),IF(AND(AE115=1,AF115=1,AG115=1),100,ROUND(100*EXP(AI115)/(1+EXP(AI115)),2)),ROUND(100*EXP(AI115)/(1+EXP(AI115)),2)),IF(ISTEXT(O115),IF(LEFT(O115,1)="2",100,"N/A"),"N/A"))</f>
        <v>0</v>
      </c>
      <c r="AK115">
        <f>IF(ISNUMBER(AJ115),IF(AJ115&gt;=99,IF(OR(R115=10,R115=11),MatchLabel,SureThingLabel),IF(AJ115&gt;=95,SecureLabel,IF(AJ115&gt;=80,SafetyLabel,IF(AJ115&gt;=50,MatchLabel,IF(AJ115&gt;=20,ReachLabel,IF(AJ115&gt;=10,LongshotLabel,HailMaryLabel)))))),"Other")</f>
        <v>0</v>
      </c>
      <c r="AL115">
        <f>IF(OR(I115="accepted",I115="cond. accept",I115="summer admit"),IF(J115="yes","CHOICE!","Accepted!"),IF(I115="denied","Denied",IF(K115=1,"Waitlist",IF(L115=1,"Deferred",IF(G115="pending","Pending",IF(OR(G115="initial materials submitted",G115="mid-year submitted",G115="final submitted"),"Submitted",IF(H115="interest","Interest","?")))))))</f>
        <v>0</v>
      </c>
      <c r="AM115">
        <f>IF(OR(AK115=ReachLabel,AK115=LongshotLabel,AK115=HailMaryLabel),1,0)</f>
        <v>0</v>
      </c>
      <c r="AN115">
        <f>IF(OR(AM115=1,AK115=MatchLabel),1,0)</f>
        <v>0</v>
      </c>
      <c r="AO115">
        <f>IF(OR(AK115=MatchLabel,AK115=SafetyLabel,AK115=SecureLabel,AK115=SureThingLabel),1,0)</f>
        <v>0</v>
      </c>
      <c r="AP115">
        <f>IF(OR(T115="H",T115="B"),IF(ISNUMBER(Y115),ROUND(Y115,2),0),IF(ISNUMBER(X115),ROUND(X115,2),0))</f>
        <v>0</v>
      </c>
      <c r="AQ115">
        <f>IF(AP115&gt;=U115,1,0)</f>
        <v>0</v>
      </c>
      <c r="AR115">
        <f>IF(AP115&gt;=V115,1,0)</f>
        <v>0</v>
      </c>
      <c r="AS115">
        <f>IF(AP115&lt;(U115-0.10),1,0)</f>
        <v>0</v>
      </c>
      <c r="AT115">
        <f>1-AJ115/100</f>
        <v>0</v>
      </c>
      <c r="AU115">
        <f>IF(AN115=1,AT115,1)</f>
        <v>0</v>
      </c>
      <c r="AV115">
        <f>IF(AM115=1,AT115,1)</f>
        <v>0</v>
      </c>
      <c r="AW115">
        <f>IF(AND(AQ115=1,ISNUMBER(AT115)),$AT115,1)</f>
        <v>0</v>
      </c>
      <c r="AX115">
        <f>IF(AND(AR115=1,ISNUMBER(AT115)),$AT115,1)</f>
        <v>0</v>
      </c>
      <c r="AY115">
        <f>IF(ISNUMBER(Y115),INDEX(AllCollegeMoney, MATCH(N115,AllCollegeNCES,0)),0)</f>
        <v>0</v>
      </c>
      <c r="AZ115">
        <f>IF(AND(AQ115=1,ISNUMBER(AT115),AY115=1),$AT115,1)</f>
        <v>0</v>
      </c>
      <c r="BA115">
        <f>IF(AND(AR115=1,ISNUMBER(AT115),AY115=1),$AT115,1)</f>
        <v>0</v>
      </c>
      <c r="BB115">
        <f>IF(ISNUMBER(Y115),INDEX(AllCollegeILPub, MATCH(N115,AllCollegeNCES,0)),0)</f>
        <v>0</v>
      </c>
      <c r="BC115">
        <f>IF(AK115=ReachLabel,AP115,0)</f>
        <v>0</v>
      </c>
      <c r="BD115">
        <f>IF(AK115=MatchLabel,AP115,0)</f>
        <v>0</v>
      </c>
      <c r="BE115">
        <f>IF(AK115=SafetyLabel,AP115,0)</f>
        <v>0</v>
      </c>
      <c r="BF115">
        <f>IF(AK115=SecureLabel,AP115,0)</f>
        <v>0</v>
      </c>
      <c r="BG115">
        <f>IF(AK115=SureThingLabel,AP115,0)</f>
        <v>0</v>
      </c>
      <c r="BH115">
        <f>MAX(BC115:BG115)</f>
        <v>0</v>
      </c>
      <c r="BI115">
        <f>MAX(BD115:BG115)</f>
        <v>0</v>
      </c>
      <c r="BJ115">
        <f>MAX(BE115:BG115)</f>
        <v>0</v>
      </c>
      <c r="BK115">
        <f>IF(AND(AK115=ReachLabel,AY115=1),AP115,0)</f>
        <v>0</v>
      </c>
      <c r="BL115">
        <f>IF(AND(AK115=MatchLabel,AY115=1),AP115,0)</f>
        <v>0</v>
      </c>
      <c r="BM115">
        <f>IF(AND(AK115=SafetyLabel,AY115=1),AP115,0)</f>
        <v>0</v>
      </c>
      <c r="BN115">
        <f>IF(AND(AK115=SecureLabel,AY115=1),AP115,0)</f>
        <v>0</v>
      </c>
      <c r="BO115">
        <f>IF(AND(AK115=SureThingLabel,AY115=1),AP115,0)</f>
        <v>0</v>
      </c>
      <c r="BP115">
        <f>MAX(BK115:BO115)</f>
        <v>0</v>
      </c>
      <c r="BQ115">
        <f>MAX(BL115:BO115)</f>
        <v>0</v>
      </c>
      <c r="BR115">
        <f>MAX(BM115:BO115)</f>
        <v>0</v>
      </c>
      <c r="BS115">
        <f>IF(ISNUMBER(Y115),INDEX(AllCollegeChicago, MATCH(N115,AllCollegeNCES,0))*AY115,0)</f>
        <v>0</v>
      </c>
      <c r="BT115">
        <f>IF(ISNUMBER(Y115),INDEX(AllCollegeMoneyCode, MATCH(N115,AllCollegeNCES,0)),"?")</f>
        <v>0</v>
      </c>
      <c r="BU115">
        <f>IF(OR(BT115="---",BT115="--",BT115="+/--",BT115="+/---"),1,0)</f>
        <v>0</v>
      </c>
      <c r="BV115">
        <f>AY115*AO115*AQ115</f>
        <v>0</v>
      </c>
    </row>
    <row r="116" spans="1:74">
      <c r="A116" t="s">
        <v>86</v>
      </c>
      <c r="B116">
        <v>22489025</v>
      </c>
      <c r="C116" t="s">
        <v>221</v>
      </c>
      <c r="D116" t="s">
        <v>222</v>
      </c>
      <c r="E116" t="s">
        <v>428</v>
      </c>
      <c r="F116" t="s">
        <v>494</v>
      </c>
      <c r="G116" t="s">
        <v>463</v>
      </c>
      <c r="H116" t="s">
        <v>431</v>
      </c>
      <c r="I116" t="s">
        <v>432</v>
      </c>
      <c r="J116" t="s">
        <v>432</v>
      </c>
      <c r="K116">
        <v>0</v>
      </c>
      <c r="L116" t="s">
        <v>428</v>
      </c>
      <c r="M116" t="s">
        <v>428</v>
      </c>
      <c r="N116">
        <v>216597</v>
      </c>
      <c r="O116">
        <f>INDEX(AllCollegeBarrons,MATCH(N116,AllCollegeNCES,0))</f>
        <v>0</v>
      </c>
      <c r="P116">
        <f>INDEX(KidGPAs,MATCH(B116,KidIDs,0))</f>
        <v>0</v>
      </c>
      <c r="Q116">
        <f>INDEX(KidACTs,MATCH(B116,KidIDs,0))</f>
        <v>0</v>
      </c>
      <c r="R116">
        <f>INDEX(Strats,MATCH(B116,KidIDs,0))</f>
        <v>0</v>
      </c>
      <c r="S116">
        <f>INDEX(KidRace,MATCH(B116,KidIDs,0))</f>
        <v>0</v>
      </c>
      <c r="T116">
        <f>IF(OR(S116="M",S116="I"),"H",S116)</f>
        <v>0</v>
      </c>
      <c r="U116">
        <f>INDEX(StudentTargets,MATCH(B116,KidIDs,0))</f>
        <v>0</v>
      </c>
      <c r="V116">
        <f>INDEX(ReachStudentTargets,MATCH(B116,KidIDs,0))</f>
        <v>0</v>
      </c>
      <c r="W116">
        <f>IF(OR(M116="Posse"),1,0)</f>
        <v>0</v>
      </c>
      <c r="X116">
        <f>IF(ISNUMBER(INDEX(AllCollegeGR, MATCH(N116,AllCollegeNCES,0))),ROUND(INDEX(AllCollegeGR, MATCH(N116,AllCollegeNCES,0))+W116*IF(INDEX(AllCollegeGR, MATCH(N116,AllCollegeNCES,0))&gt;0.7,(1-INDEX(AllCollegeGR, MATCH(N116,AllCollegeNCES,0)))/2,0.15),2),INDEX(AllCollegeGR, MATCH(N116,AllCollegeNCES,0)))</f>
        <v>0</v>
      </c>
      <c r="Y116">
        <f>IF(ISNUMBER(INDEX(AllCollegeAAHGR, MATCH(N116,AllCollegeNCES,0))),ROUND(INDEX(AllCollegeAAHGR, MATCH(N116,AllCollegeNCES,0))+W116*IF(INDEX(AllCollegeAAHGR, MATCH(N116,AllCollegeNCES,0))&gt;0.7,(1-INDEX(AllCollegeAAHGR, MATCH(N116,AllCollegeNCES,0)))/2,0.15),2),INDEX(AllCollegeAAHGR, MATCH(N116,AllCollegeNCES,0)))</f>
        <v>0</v>
      </c>
      <c r="Z116">
        <f>IF(OR(T116="H",T116="B"),INDEX(AllCollegeACT25, MATCH(N116,AllCollegeNCES,0)),INDEX(AllCollegeACT50, MATCH(N116,AllCollegeNCES,0)))</f>
        <v>0</v>
      </c>
      <c r="AA116">
        <f>INDEX(CustomWeightsGPA,MATCH(T116&amp;":"&amp;N116,CustomWeightsIndex,0))</f>
        <v>0</v>
      </c>
      <c r="AB116">
        <f>INDEX(CustomWeightsACT,MATCH(T116&amp;":"&amp;N116,CustomWeightsIndex,0))</f>
        <v>0</v>
      </c>
      <c r="AC116">
        <f>INDEX(CustomWeightsIntercept,MATCH(T116&amp;":"&amp;N116,CustomWeightsIndex,0))</f>
        <v>0</v>
      </c>
      <c r="AD116">
        <f>AA116*P116+AB116*Q116+AC116</f>
        <v>0</v>
      </c>
      <c r="AE116">
        <f>INDEX(CoefficientsGPA,MATCH(T116&amp;":"&amp;O116,CoefficientsIndex,0))</f>
        <v>0</v>
      </c>
      <c r="AF116">
        <f>INDEX(CoefficientsACT,MATCH(T116&amp;":"&amp;O116,CoefficientsIndex,0))</f>
        <v>0</v>
      </c>
      <c r="AG116">
        <f>INDEX(CoefficientsIntercept,MATCH(T116&amp;":"&amp;O116,CoefficientsIndex,0))</f>
        <v>0</v>
      </c>
      <c r="AH116">
        <f>AE116*P116+(Q116-Z116)*AF116+AG116</f>
        <v>0</v>
      </c>
      <c r="AI116">
        <f>IF(ISNUMBER(AD116),AD116,AH116)</f>
        <v>0</v>
      </c>
      <c r="AJ116">
        <f>IF(ISNUMBER(AI116),IF(ISNUMBER(AE116),IF(AND(AE116=1,AF116=1,AG116=1),100,ROUND(100*EXP(AI116)/(1+EXP(AI116)),2)),ROUND(100*EXP(AI116)/(1+EXP(AI116)),2)),IF(ISTEXT(O116),IF(LEFT(O116,1)="2",100,"N/A"),"N/A"))</f>
        <v>0</v>
      </c>
      <c r="AK116">
        <f>IF(ISNUMBER(AJ116),IF(AJ116&gt;=99,IF(OR(R116=10,R116=11),MatchLabel,SureThingLabel),IF(AJ116&gt;=95,SecureLabel,IF(AJ116&gt;=80,SafetyLabel,IF(AJ116&gt;=50,MatchLabel,IF(AJ116&gt;=20,ReachLabel,IF(AJ116&gt;=10,LongshotLabel,HailMaryLabel)))))),"Other")</f>
        <v>0</v>
      </c>
      <c r="AL116">
        <f>IF(OR(I116="accepted",I116="cond. accept",I116="summer admit"),IF(J116="yes","CHOICE!","Accepted!"),IF(I116="denied","Denied",IF(K116=1,"Waitlist",IF(L116=1,"Deferred",IF(G116="pending","Pending",IF(OR(G116="initial materials submitted",G116="mid-year submitted",G116="final submitted"),"Submitted",IF(H116="interest","Interest","?")))))))</f>
        <v>0</v>
      </c>
      <c r="AM116">
        <f>IF(OR(AK116=ReachLabel,AK116=LongshotLabel,AK116=HailMaryLabel),1,0)</f>
        <v>0</v>
      </c>
      <c r="AN116">
        <f>IF(OR(AM116=1,AK116=MatchLabel),1,0)</f>
        <v>0</v>
      </c>
      <c r="AO116">
        <f>IF(OR(AK116=MatchLabel,AK116=SafetyLabel,AK116=SecureLabel,AK116=SureThingLabel),1,0)</f>
        <v>0</v>
      </c>
      <c r="AP116">
        <f>IF(OR(T116="H",T116="B"),IF(ISNUMBER(Y116),ROUND(Y116,2),0),IF(ISNUMBER(X116),ROUND(X116,2),0))</f>
        <v>0</v>
      </c>
      <c r="AQ116">
        <f>IF(AP116&gt;=U116,1,0)</f>
        <v>0</v>
      </c>
      <c r="AR116">
        <f>IF(AP116&gt;=V116,1,0)</f>
        <v>0</v>
      </c>
      <c r="AS116">
        <f>IF(AP116&lt;(U116-0.10),1,0)</f>
        <v>0</v>
      </c>
      <c r="AT116">
        <f>1-AJ116/100</f>
        <v>0</v>
      </c>
      <c r="AU116">
        <f>IF(AN116=1,AT116,1)</f>
        <v>0</v>
      </c>
      <c r="AV116">
        <f>IF(AM116=1,AT116,1)</f>
        <v>0</v>
      </c>
      <c r="AW116">
        <f>IF(AND(AQ116=1,ISNUMBER(AT116)),$AT116,1)</f>
        <v>0</v>
      </c>
      <c r="AX116">
        <f>IF(AND(AR116=1,ISNUMBER(AT116)),$AT116,1)</f>
        <v>0</v>
      </c>
      <c r="AY116">
        <f>IF(ISNUMBER(Y116),INDEX(AllCollegeMoney, MATCH(N116,AllCollegeNCES,0)),0)</f>
        <v>0</v>
      </c>
      <c r="AZ116">
        <f>IF(AND(AQ116=1,ISNUMBER(AT116),AY116=1),$AT116,1)</f>
        <v>0</v>
      </c>
      <c r="BA116">
        <f>IF(AND(AR116=1,ISNUMBER(AT116),AY116=1),$AT116,1)</f>
        <v>0</v>
      </c>
      <c r="BB116">
        <f>IF(ISNUMBER(Y116),INDEX(AllCollegeILPub, MATCH(N116,AllCollegeNCES,0)),0)</f>
        <v>0</v>
      </c>
      <c r="BC116">
        <f>IF(AK116=ReachLabel,AP116,0)</f>
        <v>0</v>
      </c>
      <c r="BD116">
        <f>IF(AK116=MatchLabel,AP116,0)</f>
        <v>0</v>
      </c>
      <c r="BE116">
        <f>IF(AK116=SafetyLabel,AP116,0)</f>
        <v>0</v>
      </c>
      <c r="BF116">
        <f>IF(AK116=SecureLabel,AP116,0)</f>
        <v>0</v>
      </c>
      <c r="BG116">
        <f>IF(AK116=SureThingLabel,AP116,0)</f>
        <v>0</v>
      </c>
      <c r="BH116">
        <f>MAX(BC116:BG116)</f>
        <v>0</v>
      </c>
      <c r="BI116">
        <f>MAX(BD116:BG116)</f>
        <v>0</v>
      </c>
      <c r="BJ116">
        <f>MAX(BE116:BG116)</f>
        <v>0</v>
      </c>
      <c r="BK116">
        <f>IF(AND(AK116=ReachLabel,AY116=1),AP116,0)</f>
        <v>0</v>
      </c>
      <c r="BL116">
        <f>IF(AND(AK116=MatchLabel,AY116=1),AP116,0)</f>
        <v>0</v>
      </c>
      <c r="BM116">
        <f>IF(AND(AK116=SafetyLabel,AY116=1),AP116,0)</f>
        <v>0</v>
      </c>
      <c r="BN116">
        <f>IF(AND(AK116=SecureLabel,AY116=1),AP116,0)</f>
        <v>0</v>
      </c>
      <c r="BO116">
        <f>IF(AND(AK116=SureThingLabel,AY116=1),AP116,0)</f>
        <v>0</v>
      </c>
      <c r="BP116">
        <f>MAX(BK116:BO116)</f>
        <v>0</v>
      </c>
      <c r="BQ116">
        <f>MAX(BL116:BO116)</f>
        <v>0</v>
      </c>
      <c r="BR116">
        <f>MAX(BM116:BO116)</f>
        <v>0</v>
      </c>
      <c r="BS116">
        <f>IF(ISNUMBER(Y116),INDEX(AllCollegeChicago, MATCH(N116,AllCollegeNCES,0))*AY116,0)</f>
        <v>0</v>
      </c>
      <c r="BT116">
        <f>IF(ISNUMBER(Y116),INDEX(AllCollegeMoneyCode, MATCH(N116,AllCollegeNCES,0)),"?")</f>
        <v>0</v>
      </c>
      <c r="BU116">
        <f>IF(OR(BT116="---",BT116="--",BT116="+/--",BT116="+/---"),1,0)</f>
        <v>0</v>
      </c>
      <c r="BV116">
        <f>AY116*AO116*AQ116</f>
        <v>0</v>
      </c>
    </row>
    <row r="117" spans="1:74">
      <c r="A117" t="s">
        <v>86</v>
      </c>
      <c r="B117">
        <v>22489025</v>
      </c>
      <c r="C117" t="s">
        <v>221</v>
      </c>
      <c r="D117" t="s">
        <v>222</v>
      </c>
      <c r="E117" t="s">
        <v>428</v>
      </c>
      <c r="F117" t="s">
        <v>495</v>
      </c>
      <c r="G117" t="s">
        <v>430</v>
      </c>
      <c r="H117" t="s">
        <v>431</v>
      </c>
      <c r="I117" t="s">
        <v>432</v>
      </c>
      <c r="J117" t="s">
        <v>432</v>
      </c>
      <c r="K117">
        <v>0</v>
      </c>
      <c r="L117" t="s">
        <v>428</v>
      </c>
      <c r="M117" t="s">
        <v>428</v>
      </c>
      <c r="N117">
        <v>195526</v>
      </c>
      <c r="O117">
        <f>INDEX(AllCollegeBarrons,MATCH(N117,AllCollegeNCES,0))</f>
        <v>0</v>
      </c>
      <c r="P117">
        <f>INDEX(KidGPAs,MATCH(B117,KidIDs,0))</f>
        <v>0</v>
      </c>
      <c r="Q117">
        <f>INDEX(KidACTs,MATCH(B117,KidIDs,0))</f>
        <v>0</v>
      </c>
      <c r="R117">
        <f>INDEX(Strats,MATCH(B117,KidIDs,0))</f>
        <v>0</v>
      </c>
      <c r="S117">
        <f>INDEX(KidRace,MATCH(B117,KidIDs,0))</f>
        <v>0</v>
      </c>
      <c r="T117">
        <f>IF(OR(S117="M",S117="I"),"H",S117)</f>
        <v>0</v>
      </c>
      <c r="U117">
        <f>INDEX(StudentTargets,MATCH(B117,KidIDs,0))</f>
        <v>0</v>
      </c>
      <c r="V117">
        <f>INDEX(ReachStudentTargets,MATCH(B117,KidIDs,0))</f>
        <v>0</v>
      </c>
      <c r="W117">
        <f>IF(OR(M117="Posse"),1,0)</f>
        <v>0</v>
      </c>
      <c r="X117">
        <f>IF(ISNUMBER(INDEX(AllCollegeGR, MATCH(N117,AllCollegeNCES,0))),ROUND(INDEX(AllCollegeGR, MATCH(N117,AllCollegeNCES,0))+W117*IF(INDEX(AllCollegeGR, MATCH(N117,AllCollegeNCES,0))&gt;0.7,(1-INDEX(AllCollegeGR, MATCH(N117,AllCollegeNCES,0)))/2,0.15),2),INDEX(AllCollegeGR, MATCH(N117,AllCollegeNCES,0)))</f>
        <v>0</v>
      </c>
      <c r="Y117">
        <f>IF(ISNUMBER(INDEX(AllCollegeAAHGR, MATCH(N117,AllCollegeNCES,0))),ROUND(INDEX(AllCollegeAAHGR, MATCH(N117,AllCollegeNCES,0))+W117*IF(INDEX(AllCollegeAAHGR, MATCH(N117,AllCollegeNCES,0))&gt;0.7,(1-INDEX(AllCollegeAAHGR, MATCH(N117,AllCollegeNCES,0)))/2,0.15),2),INDEX(AllCollegeAAHGR, MATCH(N117,AllCollegeNCES,0)))</f>
        <v>0</v>
      </c>
      <c r="Z117">
        <f>IF(OR(T117="H",T117="B"),INDEX(AllCollegeACT25, MATCH(N117,AllCollegeNCES,0)),INDEX(AllCollegeACT50, MATCH(N117,AllCollegeNCES,0)))</f>
        <v>0</v>
      </c>
      <c r="AA117">
        <f>INDEX(CustomWeightsGPA,MATCH(T117&amp;":"&amp;N117,CustomWeightsIndex,0))</f>
        <v>0</v>
      </c>
      <c r="AB117">
        <f>INDEX(CustomWeightsACT,MATCH(T117&amp;":"&amp;N117,CustomWeightsIndex,0))</f>
        <v>0</v>
      </c>
      <c r="AC117">
        <f>INDEX(CustomWeightsIntercept,MATCH(T117&amp;":"&amp;N117,CustomWeightsIndex,0))</f>
        <v>0</v>
      </c>
      <c r="AD117">
        <f>AA117*P117+AB117*Q117+AC117</f>
        <v>0</v>
      </c>
      <c r="AE117">
        <f>INDEX(CoefficientsGPA,MATCH(T117&amp;":"&amp;O117,CoefficientsIndex,0))</f>
        <v>0</v>
      </c>
      <c r="AF117">
        <f>INDEX(CoefficientsACT,MATCH(T117&amp;":"&amp;O117,CoefficientsIndex,0))</f>
        <v>0</v>
      </c>
      <c r="AG117">
        <f>INDEX(CoefficientsIntercept,MATCH(T117&amp;":"&amp;O117,CoefficientsIndex,0))</f>
        <v>0</v>
      </c>
      <c r="AH117">
        <f>AE117*P117+(Q117-Z117)*AF117+AG117</f>
        <v>0</v>
      </c>
      <c r="AI117">
        <f>IF(ISNUMBER(AD117),AD117,AH117)</f>
        <v>0</v>
      </c>
      <c r="AJ117">
        <f>IF(ISNUMBER(AI117),IF(ISNUMBER(AE117),IF(AND(AE117=1,AF117=1,AG117=1),100,ROUND(100*EXP(AI117)/(1+EXP(AI117)),2)),ROUND(100*EXP(AI117)/(1+EXP(AI117)),2)),IF(ISTEXT(O117),IF(LEFT(O117,1)="2",100,"N/A"),"N/A"))</f>
        <v>0</v>
      </c>
      <c r="AK117">
        <f>IF(ISNUMBER(AJ117),IF(AJ117&gt;=99,IF(OR(R117=10,R117=11),MatchLabel,SureThingLabel),IF(AJ117&gt;=95,SecureLabel,IF(AJ117&gt;=80,SafetyLabel,IF(AJ117&gt;=50,MatchLabel,IF(AJ117&gt;=20,ReachLabel,IF(AJ117&gt;=10,LongshotLabel,HailMaryLabel)))))),"Other")</f>
        <v>0</v>
      </c>
      <c r="AL117">
        <f>IF(OR(I117="accepted",I117="cond. accept",I117="summer admit"),IF(J117="yes","CHOICE!","Accepted!"),IF(I117="denied","Denied",IF(K117=1,"Waitlist",IF(L117=1,"Deferred",IF(G117="pending","Pending",IF(OR(G117="initial materials submitted",G117="mid-year submitted",G117="final submitted"),"Submitted",IF(H117="interest","Interest","?")))))))</f>
        <v>0</v>
      </c>
      <c r="AM117">
        <f>IF(OR(AK117=ReachLabel,AK117=LongshotLabel,AK117=HailMaryLabel),1,0)</f>
        <v>0</v>
      </c>
      <c r="AN117">
        <f>IF(OR(AM117=1,AK117=MatchLabel),1,0)</f>
        <v>0</v>
      </c>
      <c r="AO117">
        <f>IF(OR(AK117=MatchLabel,AK117=SafetyLabel,AK117=SecureLabel,AK117=SureThingLabel),1,0)</f>
        <v>0</v>
      </c>
      <c r="AP117">
        <f>IF(OR(T117="H",T117="B"),IF(ISNUMBER(Y117),ROUND(Y117,2),0),IF(ISNUMBER(X117),ROUND(X117,2),0))</f>
        <v>0</v>
      </c>
      <c r="AQ117">
        <f>IF(AP117&gt;=U117,1,0)</f>
        <v>0</v>
      </c>
      <c r="AR117">
        <f>IF(AP117&gt;=V117,1,0)</f>
        <v>0</v>
      </c>
      <c r="AS117">
        <f>IF(AP117&lt;(U117-0.10),1,0)</f>
        <v>0</v>
      </c>
      <c r="AT117">
        <f>1-AJ117/100</f>
        <v>0</v>
      </c>
      <c r="AU117">
        <f>IF(AN117=1,AT117,1)</f>
        <v>0</v>
      </c>
      <c r="AV117">
        <f>IF(AM117=1,AT117,1)</f>
        <v>0</v>
      </c>
      <c r="AW117">
        <f>IF(AND(AQ117=1,ISNUMBER(AT117)),$AT117,1)</f>
        <v>0</v>
      </c>
      <c r="AX117">
        <f>IF(AND(AR117=1,ISNUMBER(AT117)),$AT117,1)</f>
        <v>0</v>
      </c>
      <c r="AY117">
        <f>IF(ISNUMBER(Y117),INDEX(AllCollegeMoney, MATCH(N117,AllCollegeNCES,0)),0)</f>
        <v>0</v>
      </c>
      <c r="AZ117">
        <f>IF(AND(AQ117=1,ISNUMBER(AT117),AY117=1),$AT117,1)</f>
        <v>0</v>
      </c>
      <c r="BA117">
        <f>IF(AND(AR117=1,ISNUMBER(AT117),AY117=1),$AT117,1)</f>
        <v>0</v>
      </c>
      <c r="BB117">
        <f>IF(ISNUMBER(Y117),INDEX(AllCollegeILPub, MATCH(N117,AllCollegeNCES,0)),0)</f>
        <v>0</v>
      </c>
      <c r="BC117">
        <f>IF(AK117=ReachLabel,AP117,0)</f>
        <v>0</v>
      </c>
      <c r="BD117">
        <f>IF(AK117=MatchLabel,AP117,0)</f>
        <v>0</v>
      </c>
      <c r="BE117">
        <f>IF(AK117=SafetyLabel,AP117,0)</f>
        <v>0</v>
      </c>
      <c r="BF117">
        <f>IF(AK117=SecureLabel,AP117,0)</f>
        <v>0</v>
      </c>
      <c r="BG117">
        <f>IF(AK117=SureThingLabel,AP117,0)</f>
        <v>0</v>
      </c>
      <c r="BH117">
        <f>MAX(BC117:BG117)</f>
        <v>0</v>
      </c>
      <c r="BI117">
        <f>MAX(BD117:BG117)</f>
        <v>0</v>
      </c>
      <c r="BJ117">
        <f>MAX(BE117:BG117)</f>
        <v>0</v>
      </c>
      <c r="BK117">
        <f>IF(AND(AK117=ReachLabel,AY117=1),AP117,0)</f>
        <v>0</v>
      </c>
      <c r="BL117">
        <f>IF(AND(AK117=MatchLabel,AY117=1),AP117,0)</f>
        <v>0</v>
      </c>
      <c r="BM117">
        <f>IF(AND(AK117=SafetyLabel,AY117=1),AP117,0)</f>
        <v>0</v>
      </c>
      <c r="BN117">
        <f>IF(AND(AK117=SecureLabel,AY117=1),AP117,0)</f>
        <v>0</v>
      </c>
      <c r="BO117">
        <f>IF(AND(AK117=SureThingLabel,AY117=1),AP117,0)</f>
        <v>0</v>
      </c>
      <c r="BP117">
        <f>MAX(BK117:BO117)</f>
        <v>0</v>
      </c>
      <c r="BQ117">
        <f>MAX(BL117:BO117)</f>
        <v>0</v>
      </c>
      <c r="BR117">
        <f>MAX(BM117:BO117)</f>
        <v>0</v>
      </c>
      <c r="BS117">
        <f>IF(ISNUMBER(Y117),INDEX(AllCollegeChicago, MATCH(N117,AllCollegeNCES,0))*AY117,0)</f>
        <v>0</v>
      </c>
      <c r="BT117">
        <f>IF(ISNUMBER(Y117),INDEX(AllCollegeMoneyCode, MATCH(N117,AllCollegeNCES,0)),"?")</f>
        <v>0</v>
      </c>
      <c r="BU117">
        <f>IF(OR(BT117="---",BT117="--",BT117="+/--",BT117="+/---"),1,0)</f>
        <v>0</v>
      </c>
      <c r="BV117">
        <f>AY117*AO117*AQ117</f>
        <v>0</v>
      </c>
    </row>
    <row r="118" spans="1:74">
      <c r="A118" t="s">
        <v>86</v>
      </c>
      <c r="B118">
        <v>22489025</v>
      </c>
      <c r="C118" t="s">
        <v>221</v>
      </c>
      <c r="D118" t="s">
        <v>222</v>
      </c>
      <c r="E118" t="s">
        <v>428</v>
      </c>
      <c r="F118" t="s">
        <v>496</v>
      </c>
      <c r="G118" t="s">
        <v>430</v>
      </c>
      <c r="H118" t="s">
        <v>431</v>
      </c>
      <c r="I118" t="s">
        <v>432</v>
      </c>
      <c r="J118" t="s">
        <v>432</v>
      </c>
      <c r="K118">
        <v>0</v>
      </c>
      <c r="L118" t="s">
        <v>428</v>
      </c>
      <c r="M118" t="s">
        <v>428</v>
      </c>
      <c r="N118">
        <v>150400</v>
      </c>
      <c r="O118">
        <f>INDEX(AllCollegeBarrons,MATCH(N118,AllCollegeNCES,0))</f>
        <v>0</v>
      </c>
      <c r="P118">
        <f>INDEX(KidGPAs,MATCH(B118,KidIDs,0))</f>
        <v>0</v>
      </c>
      <c r="Q118">
        <f>INDEX(KidACTs,MATCH(B118,KidIDs,0))</f>
        <v>0</v>
      </c>
      <c r="R118">
        <f>INDEX(Strats,MATCH(B118,KidIDs,0))</f>
        <v>0</v>
      </c>
      <c r="S118">
        <f>INDEX(KidRace,MATCH(B118,KidIDs,0))</f>
        <v>0</v>
      </c>
      <c r="T118">
        <f>IF(OR(S118="M",S118="I"),"H",S118)</f>
        <v>0</v>
      </c>
      <c r="U118">
        <f>INDEX(StudentTargets,MATCH(B118,KidIDs,0))</f>
        <v>0</v>
      </c>
      <c r="V118">
        <f>INDEX(ReachStudentTargets,MATCH(B118,KidIDs,0))</f>
        <v>0</v>
      </c>
      <c r="W118">
        <f>IF(OR(M118="Posse"),1,0)</f>
        <v>0</v>
      </c>
      <c r="X118">
        <f>IF(ISNUMBER(INDEX(AllCollegeGR, MATCH(N118,AllCollegeNCES,0))),ROUND(INDEX(AllCollegeGR, MATCH(N118,AllCollegeNCES,0))+W118*IF(INDEX(AllCollegeGR, MATCH(N118,AllCollegeNCES,0))&gt;0.7,(1-INDEX(AllCollegeGR, MATCH(N118,AllCollegeNCES,0)))/2,0.15),2),INDEX(AllCollegeGR, MATCH(N118,AllCollegeNCES,0)))</f>
        <v>0</v>
      </c>
      <c r="Y118">
        <f>IF(ISNUMBER(INDEX(AllCollegeAAHGR, MATCH(N118,AllCollegeNCES,0))),ROUND(INDEX(AllCollegeAAHGR, MATCH(N118,AllCollegeNCES,0))+W118*IF(INDEX(AllCollegeAAHGR, MATCH(N118,AllCollegeNCES,0))&gt;0.7,(1-INDEX(AllCollegeAAHGR, MATCH(N118,AllCollegeNCES,0)))/2,0.15),2),INDEX(AllCollegeAAHGR, MATCH(N118,AllCollegeNCES,0)))</f>
        <v>0</v>
      </c>
      <c r="Z118">
        <f>IF(OR(T118="H",T118="B"),INDEX(AllCollegeACT25, MATCH(N118,AllCollegeNCES,0)),INDEX(AllCollegeACT50, MATCH(N118,AllCollegeNCES,0)))</f>
        <v>0</v>
      </c>
      <c r="AA118">
        <f>INDEX(CustomWeightsGPA,MATCH(T118&amp;":"&amp;N118,CustomWeightsIndex,0))</f>
        <v>0</v>
      </c>
      <c r="AB118">
        <f>INDEX(CustomWeightsACT,MATCH(T118&amp;":"&amp;N118,CustomWeightsIndex,0))</f>
        <v>0</v>
      </c>
      <c r="AC118">
        <f>INDEX(CustomWeightsIntercept,MATCH(T118&amp;":"&amp;N118,CustomWeightsIndex,0))</f>
        <v>0</v>
      </c>
      <c r="AD118">
        <f>AA118*P118+AB118*Q118+AC118</f>
        <v>0</v>
      </c>
      <c r="AE118">
        <f>INDEX(CoefficientsGPA,MATCH(T118&amp;":"&amp;O118,CoefficientsIndex,0))</f>
        <v>0</v>
      </c>
      <c r="AF118">
        <f>INDEX(CoefficientsACT,MATCH(T118&amp;":"&amp;O118,CoefficientsIndex,0))</f>
        <v>0</v>
      </c>
      <c r="AG118">
        <f>INDEX(CoefficientsIntercept,MATCH(T118&amp;":"&amp;O118,CoefficientsIndex,0))</f>
        <v>0</v>
      </c>
      <c r="AH118">
        <f>AE118*P118+(Q118-Z118)*AF118+AG118</f>
        <v>0</v>
      </c>
      <c r="AI118">
        <f>IF(ISNUMBER(AD118),AD118,AH118)</f>
        <v>0</v>
      </c>
      <c r="AJ118">
        <f>IF(ISNUMBER(AI118),IF(ISNUMBER(AE118),IF(AND(AE118=1,AF118=1,AG118=1),100,ROUND(100*EXP(AI118)/(1+EXP(AI118)),2)),ROUND(100*EXP(AI118)/(1+EXP(AI118)),2)),IF(ISTEXT(O118),IF(LEFT(O118,1)="2",100,"N/A"),"N/A"))</f>
        <v>0</v>
      </c>
      <c r="AK118">
        <f>IF(ISNUMBER(AJ118),IF(AJ118&gt;=99,IF(OR(R118=10,R118=11),MatchLabel,SureThingLabel),IF(AJ118&gt;=95,SecureLabel,IF(AJ118&gt;=80,SafetyLabel,IF(AJ118&gt;=50,MatchLabel,IF(AJ118&gt;=20,ReachLabel,IF(AJ118&gt;=10,LongshotLabel,HailMaryLabel)))))),"Other")</f>
        <v>0</v>
      </c>
      <c r="AL118">
        <f>IF(OR(I118="accepted",I118="cond. accept",I118="summer admit"),IF(J118="yes","CHOICE!","Accepted!"),IF(I118="denied","Denied",IF(K118=1,"Waitlist",IF(L118=1,"Deferred",IF(G118="pending","Pending",IF(OR(G118="initial materials submitted",G118="mid-year submitted",G118="final submitted"),"Submitted",IF(H118="interest","Interest","?")))))))</f>
        <v>0</v>
      </c>
      <c r="AM118">
        <f>IF(OR(AK118=ReachLabel,AK118=LongshotLabel,AK118=HailMaryLabel),1,0)</f>
        <v>0</v>
      </c>
      <c r="AN118">
        <f>IF(OR(AM118=1,AK118=MatchLabel),1,0)</f>
        <v>0</v>
      </c>
      <c r="AO118">
        <f>IF(OR(AK118=MatchLabel,AK118=SafetyLabel,AK118=SecureLabel,AK118=SureThingLabel),1,0)</f>
        <v>0</v>
      </c>
      <c r="AP118">
        <f>IF(OR(T118="H",T118="B"),IF(ISNUMBER(Y118),ROUND(Y118,2),0),IF(ISNUMBER(X118),ROUND(X118,2),0))</f>
        <v>0</v>
      </c>
      <c r="AQ118">
        <f>IF(AP118&gt;=U118,1,0)</f>
        <v>0</v>
      </c>
      <c r="AR118">
        <f>IF(AP118&gt;=V118,1,0)</f>
        <v>0</v>
      </c>
      <c r="AS118">
        <f>IF(AP118&lt;(U118-0.10),1,0)</f>
        <v>0</v>
      </c>
      <c r="AT118">
        <f>1-AJ118/100</f>
        <v>0</v>
      </c>
      <c r="AU118">
        <f>IF(AN118=1,AT118,1)</f>
        <v>0</v>
      </c>
      <c r="AV118">
        <f>IF(AM118=1,AT118,1)</f>
        <v>0</v>
      </c>
      <c r="AW118">
        <f>IF(AND(AQ118=1,ISNUMBER(AT118)),$AT118,1)</f>
        <v>0</v>
      </c>
      <c r="AX118">
        <f>IF(AND(AR118=1,ISNUMBER(AT118)),$AT118,1)</f>
        <v>0</v>
      </c>
      <c r="AY118">
        <f>IF(ISNUMBER(Y118),INDEX(AllCollegeMoney, MATCH(N118,AllCollegeNCES,0)),0)</f>
        <v>0</v>
      </c>
      <c r="AZ118">
        <f>IF(AND(AQ118=1,ISNUMBER(AT118),AY118=1),$AT118,1)</f>
        <v>0</v>
      </c>
      <c r="BA118">
        <f>IF(AND(AR118=1,ISNUMBER(AT118),AY118=1),$AT118,1)</f>
        <v>0</v>
      </c>
      <c r="BB118">
        <f>IF(ISNUMBER(Y118),INDEX(AllCollegeILPub, MATCH(N118,AllCollegeNCES,0)),0)</f>
        <v>0</v>
      </c>
      <c r="BC118">
        <f>IF(AK118=ReachLabel,AP118,0)</f>
        <v>0</v>
      </c>
      <c r="BD118">
        <f>IF(AK118=MatchLabel,AP118,0)</f>
        <v>0</v>
      </c>
      <c r="BE118">
        <f>IF(AK118=SafetyLabel,AP118,0)</f>
        <v>0</v>
      </c>
      <c r="BF118">
        <f>IF(AK118=SecureLabel,AP118,0)</f>
        <v>0</v>
      </c>
      <c r="BG118">
        <f>IF(AK118=SureThingLabel,AP118,0)</f>
        <v>0</v>
      </c>
      <c r="BH118">
        <f>MAX(BC118:BG118)</f>
        <v>0</v>
      </c>
      <c r="BI118">
        <f>MAX(BD118:BG118)</f>
        <v>0</v>
      </c>
      <c r="BJ118">
        <f>MAX(BE118:BG118)</f>
        <v>0</v>
      </c>
      <c r="BK118">
        <f>IF(AND(AK118=ReachLabel,AY118=1),AP118,0)</f>
        <v>0</v>
      </c>
      <c r="BL118">
        <f>IF(AND(AK118=MatchLabel,AY118=1),AP118,0)</f>
        <v>0</v>
      </c>
      <c r="BM118">
        <f>IF(AND(AK118=SafetyLabel,AY118=1),AP118,0)</f>
        <v>0</v>
      </c>
      <c r="BN118">
        <f>IF(AND(AK118=SecureLabel,AY118=1),AP118,0)</f>
        <v>0</v>
      </c>
      <c r="BO118">
        <f>IF(AND(AK118=SureThingLabel,AY118=1),AP118,0)</f>
        <v>0</v>
      </c>
      <c r="BP118">
        <f>MAX(BK118:BO118)</f>
        <v>0</v>
      </c>
      <c r="BQ118">
        <f>MAX(BL118:BO118)</f>
        <v>0</v>
      </c>
      <c r="BR118">
        <f>MAX(BM118:BO118)</f>
        <v>0</v>
      </c>
      <c r="BS118">
        <f>IF(ISNUMBER(Y118),INDEX(AllCollegeChicago, MATCH(N118,AllCollegeNCES,0))*AY118,0)</f>
        <v>0</v>
      </c>
      <c r="BT118">
        <f>IF(ISNUMBER(Y118),INDEX(AllCollegeMoneyCode, MATCH(N118,AllCollegeNCES,0)),"?")</f>
        <v>0</v>
      </c>
      <c r="BU118">
        <f>IF(OR(BT118="---",BT118="--",BT118="+/--",BT118="+/---"),1,0)</f>
        <v>0</v>
      </c>
      <c r="BV118">
        <f>AY118*AO118*AQ118</f>
        <v>0</v>
      </c>
    </row>
    <row r="119" spans="1:74">
      <c r="A119" t="s">
        <v>86</v>
      </c>
      <c r="B119">
        <v>22489025</v>
      </c>
      <c r="C119" t="s">
        <v>221</v>
      </c>
      <c r="D119" t="s">
        <v>222</v>
      </c>
      <c r="E119" t="s">
        <v>428</v>
      </c>
      <c r="F119" t="s">
        <v>455</v>
      </c>
      <c r="G119" t="s">
        <v>430</v>
      </c>
      <c r="H119" t="s">
        <v>431</v>
      </c>
      <c r="I119" t="s">
        <v>432</v>
      </c>
      <c r="J119" t="s">
        <v>432</v>
      </c>
      <c r="K119">
        <v>0</v>
      </c>
      <c r="L119" t="s">
        <v>428</v>
      </c>
      <c r="M119" t="s">
        <v>428</v>
      </c>
      <c r="N119">
        <v>240444</v>
      </c>
      <c r="O119">
        <f>INDEX(AllCollegeBarrons,MATCH(N119,AllCollegeNCES,0))</f>
        <v>0</v>
      </c>
      <c r="P119">
        <f>INDEX(KidGPAs,MATCH(B119,KidIDs,0))</f>
        <v>0</v>
      </c>
      <c r="Q119">
        <f>INDEX(KidACTs,MATCH(B119,KidIDs,0))</f>
        <v>0</v>
      </c>
      <c r="R119">
        <f>INDEX(Strats,MATCH(B119,KidIDs,0))</f>
        <v>0</v>
      </c>
      <c r="S119">
        <f>INDEX(KidRace,MATCH(B119,KidIDs,0))</f>
        <v>0</v>
      </c>
      <c r="T119">
        <f>IF(OR(S119="M",S119="I"),"H",S119)</f>
        <v>0</v>
      </c>
      <c r="U119">
        <f>INDEX(StudentTargets,MATCH(B119,KidIDs,0))</f>
        <v>0</v>
      </c>
      <c r="V119">
        <f>INDEX(ReachStudentTargets,MATCH(B119,KidIDs,0))</f>
        <v>0</v>
      </c>
      <c r="W119">
        <f>IF(OR(M119="Posse"),1,0)</f>
        <v>0</v>
      </c>
      <c r="X119">
        <f>IF(ISNUMBER(INDEX(AllCollegeGR, MATCH(N119,AllCollegeNCES,0))),ROUND(INDEX(AllCollegeGR, MATCH(N119,AllCollegeNCES,0))+W119*IF(INDEX(AllCollegeGR, MATCH(N119,AllCollegeNCES,0))&gt;0.7,(1-INDEX(AllCollegeGR, MATCH(N119,AllCollegeNCES,0)))/2,0.15),2),INDEX(AllCollegeGR, MATCH(N119,AllCollegeNCES,0)))</f>
        <v>0</v>
      </c>
      <c r="Y119">
        <f>IF(ISNUMBER(INDEX(AllCollegeAAHGR, MATCH(N119,AllCollegeNCES,0))),ROUND(INDEX(AllCollegeAAHGR, MATCH(N119,AllCollegeNCES,0))+W119*IF(INDEX(AllCollegeAAHGR, MATCH(N119,AllCollegeNCES,0))&gt;0.7,(1-INDEX(AllCollegeAAHGR, MATCH(N119,AllCollegeNCES,0)))/2,0.15),2),INDEX(AllCollegeAAHGR, MATCH(N119,AllCollegeNCES,0)))</f>
        <v>0</v>
      </c>
      <c r="Z119">
        <f>IF(OR(T119="H",T119="B"),INDEX(AllCollegeACT25, MATCH(N119,AllCollegeNCES,0)),INDEX(AllCollegeACT50, MATCH(N119,AllCollegeNCES,0)))</f>
        <v>0</v>
      </c>
      <c r="AA119">
        <f>INDEX(CustomWeightsGPA,MATCH(T119&amp;":"&amp;N119,CustomWeightsIndex,0))</f>
        <v>0</v>
      </c>
      <c r="AB119">
        <f>INDEX(CustomWeightsACT,MATCH(T119&amp;":"&amp;N119,CustomWeightsIndex,0))</f>
        <v>0</v>
      </c>
      <c r="AC119">
        <f>INDEX(CustomWeightsIntercept,MATCH(T119&amp;":"&amp;N119,CustomWeightsIndex,0))</f>
        <v>0</v>
      </c>
      <c r="AD119">
        <f>AA119*P119+AB119*Q119+AC119</f>
        <v>0</v>
      </c>
      <c r="AE119">
        <f>INDEX(CoefficientsGPA,MATCH(T119&amp;":"&amp;O119,CoefficientsIndex,0))</f>
        <v>0</v>
      </c>
      <c r="AF119">
        <f>INDEX(CoefficientsACT,MATCH(T119&amp;":"&amp;O119,CoefficientsIndex,0))</f>
        <v>0</v>
      </c>
      <c r="AG119">
        <f>INDEX(CoefficientsIntercept,MATCH(T119&amp;":"&amp;O119,CoefficientsIndex,0))</f>
        <v>0</v>
      </c>
      <c r="AH119">
        <f>AE119*P119+(Q119-Z119)*AF119+AG119</f>
        <v>0</v>
      </c>
      <c r="AI119">
        <f>IF(ISNUMBER(AD119),AD119,AH119)</f>
        <v>0</v>
      </c>
      <c r="AJ119">
        <f>IF(ISNUMBER(AI119),IF(ISNUMBER(AE119),IF(AND(AE119=1,AF119=1,AG119=1),100,ROUND(100*EXP(AI119)/(1+EXP(AI119)),2)),ROUND(100*EXP(AI119)/(1+EXP(AI119)),2)),IF(ISTEXT(O119),IF(LEFT(O119,1)="2",100,"N/A"),"N/A"))</f>
        <v>0</v>
      </c>
      <c r="AK119">
        <f>IF(ISNUMBER(AJ119),IF(AJ119&gt;=99,IF(OR(R119=10,R119=11),MatchLabel,SureThingLabel),IF(AJ119&gt;=95,SecureLabel,IF(AJ119&gt;=80,SafetyLabel,IF(AJ119&gt;=50,MatchLabel,IF(AJ119&gt;=20,ReachLabel,IF(AJ119&gt;=10,LongshotLabel,HailMaryLabel)))))),"Other")</f>
        <v>0</v>
      </c>
      <c r="AL119">
        <f>IF(OR(I119="accepted",I119="cond. accept",I119="summer admit"),IF(J119="yes","CHOICE!","Accepted!"),IF(I119="denied","Denied",IF(K119=1,"Waitlist",IF(L119=1,"Deferred",IF(G119="pending","Pending",IF(OR(G119="initial materials submitted",G119="mid-year submitted",G119="final submitted"),"Submitted",IF(H119="interest","Interest","?")))))))</f>
        <v>0</v>
      </c>
      <c r="AM119">
        <f>IF(OR(AK119=ReachLabel,AK119=LongshotLabel,AK119=HailMaryLabel),1,0)</f>
        <v>0</v>
      </c>
      <c r="AN119">
        <f>IF(OR(AM119=1,AK119=MatchLabel),1,0)</f>
        <v>0</v>
      </c>
      <c r="AO119">
        <f>IF(OR(AK119=MatchLabel,AK119=SafetyLabel,AK119=SecureLabel,AK119=SureThingLabel),1,0)</f>
        <v>0</v>
      </c>
      <c r="AP119">
        <f>IF(OR(T119="H",T119="B"),IF(ISNUMBER(Y119),ROUND(Y119,2),0),IF(ISNUMBER(X119),ROUND(X119,2),0))</f>
        <v>0</v>
      </c>
      <c r="AQ119">
        <f>IF(AP119&gt;=U119,1,0)</f>
        <v>0</v>
      </c>
      <c r="AR119">
        <f>IF(AP119&gt;=V119,1,0)</f>
        <v>0</v>
      </c>
      <c r="AS119">
        <f>IF(AP119&lt;(U119-0.10),1,0)</f>
        <v>0</v>
      </c>
      <c r="AT119">
        <f>1-AJ119/100</f>
        <v>0</v>
      </c>
      <c r="AU119">
        <f>IF(AN119=1,AT119,1)</f>
        <v>0</v>
      </c>
      <c r="AV119">
        <f>IF(AM119=1,AT119,1)</f>
        <v>0</v>
      </c>
      <c r="AW119">
        <f>IF(AND(AQ119=1,ISNUMBER(AT119)),$AT119,1)</f>
        <v>0</v>
      </c>
      <c r="AX119">
        <f>IF(AND(AR119=1,ISNUMBER(AT119)),$AT119,1)</f>
        <v>0</v>
      </c>
      <c r="AY119">
        <f>IF(ISNUMBER(Y119),INDEX(AllCollegeMoney, MATCH(N119,AllCollegeNCES,0)),0)</f>
        <v>0</v>
      </c>
      <c r="AZ119">
        <f>IF(AND(AQ119=1,ISNUMBER(AT119),AY119=1),$AT119,1)</f>
        <v>0</v>
      </c>
      <c r="BA119">
        <f>IF(AND(AR119=1,ISNUMBER(AT119),AY119=1),$AT119,1)</f>
        <v>0</v>
      </c>
      <c r="BB119">
        <f>IF(ISNUMBER(Y119),INDEX(AllCollegeILPub, MATCH(N119,AllCollegeNCES,0)),0)</f>
        <v>0</v>
      </c>
      <c r="BC119">
        <f>IF(AK119=ReachLabel,AP119,0)</f>
        <v>0</v>
      </c>
      <c r="BD119">
        <f>IF(AK119=MatchLabel,AP119,0)</f>
        <v>0</v>
      </c>
      <c r="BE119">
        <f>IF(AK119=SafetyLabel,AP119,0)</f>
        <v>0</v>
      </c>
      <c r="BF119">
        <f>IF(AK119=SecureLabel,AP119,0)</f>
        <v>0</v>
      </c>
      <c r="BG119">
        <f>IF(AK119=SureThingLabel,AP119,0)</f>
        <v>0</v>
      </c>
      <c r="BH119">
        <f>MAX(BC119:BG119)</f>
        <v>0</v>
      </c>
      <c r="BI119">
        <f>MAX(BD119:BG119)</f>
        <v>0</v>
      </c>
      <c r="BJ119">
        <f>MAX(BE119:BG119)</f>
        <v>0</v>
      </c>
      <c r="BK119">
        <f>IF(AND(AK119=ReachLabel,AY119=1),AP119,0)</f>
        <v>0</v>
      </c>
      <c r="BL119">
        <f>IF(AND(AK119=MatchLabel,AY119=1),AP119,0)</f>
        <v>0</v>
      </c>
      <c r="BM119">
        <f>IF(AND(AK119=SafetyLabel,AY119=1),AP119,0)</f>
        <v>0</v>
      </c>
      <c r="BN119">
        <f>IF(AND(AK119=SecureLabel,AY119=1),AP119,0)</f>
        <v>0</v>
      </c>
      <c r="BO119">
        <f>IF(AND(AK119=SureThingLabel,AY119=1),AP119,0)</f>
        <v>0</v>
      </c>
      <c r="BP119">
        <f>MAX(BK119:BO119)</f>
        <v>0</v>
      </c>
      <c r="BQ119">
        <f>MAX(BL119:BO119)</f>
        <v>0</v>
      </c>
      <c r="BR119">
        <f>MAX(BM119:BO119)</f>
        <v>0</v>
      </c>
      <c r="BS119">
        <f>IF(ISNUMBER(Y119),INDEX(AllCollegeChicago, MATCH(N119,AllCollegeNCES,0))*AY119,0)</f>
        <v>0</v>
      </c>
      <c r="BT119">
        <f>IF(ISNUMBER(Y119),INDEX(AllCollegeMoneyCode, MATCH(N119,AllCollegeNCES,0)),"?")</f>
        <v>0</v>
      </c>
      <c r="BU119">
        <f>IF(OR(BT119="---",BT119="--",BT119="+/--",BT119="+/---"),1,0)</f>
        <v>0</v>
      </c>
      <c r="BV119">
        <f>AY119*AO119*AQ119</f>
        <v>0</v>
      </c>
    </row>
    <row r="120" spans="1:74">
      <c r="A120" t="s">
        <v>86</v>
      </c>
      <c r="B120">
        <v>22489025</v>
      </c>
      <c r="C120" t="s">
        <v>221</v>
      </c>
      <c r="D120" t="s">
        <v>222</v>
      </c>
      <c r="E120" t="s">
        <v>428</v>
      </c>
      <c r="F120" t="s">
        <v>456</v>
      </c>
      <c r="G120" t="s">
        <v>430</v>
      </c>
      <c r="H120" t="s">
        <v>431</v>
      </c>
      <c r="I120" t="s">
        <v>432</v>
      </c>
      <c r="J120" t="s">
        <v>432</v>
      </c>
      <c r="K120">
        <v>0</v>
      </c>
      <c r="L120" t="s">
        <v>428</v>
      </c>
      <c r="M120" t="s">
        <v>428</v>
      </c>
      <c r="N120">
        <v>213668</v>
      </c>
      <c r="O120">
        <f>INDEX(AllCollegeBarrons,MATCH(N120,AllCollegeNCES,0))</f>
        <v>0</v>
      </c>
      <c r="P120">
        <f>INDEX(KidGPAs,MATCH(B120,KidIDs,0))</f>
        <v>0</v>
      </c>
      <c r="Q120">
        <f>INDEX(KidACTs,MATCH(B120,KidIDs,0))</f>
        <v>0</v>
      </c>
      <c r="R120">
        <f>INDEX(Strats,MATCH(B120,KidIDs,0))</f>
        <v>0</v>
      </c>
      <c r="S120">
        <f>INDEX(KidRace,MATCH(B120,KidIDs,0))</f>
        <v>0</v>
      </c>
      <c r="T120">
        <f>IF(OR(S120="M",S120="I"),"H",S120)</f>
        <v>0</v>
      </c>
      <c r="U120">
        <f>INDEX(StudentTargets,MATCH(B120,KidIDs,0))</f>
        <v>0</v>
      </c>
      <c r="V120">
        <f>INDEX(ReachStudentTargets,MATCH(B120,KidIDs,0))</f>
        <v>0</v>
      </c>
      <c r="W120">
        <f>IF(OR(M120="Posse"),1,0)</f>
        <v>0</v>
      </c>
      <c r="X120">
        <f>IF(ISNUMBER(INDEX(AllCollegeGR, MATCH(N120,AllCollegeNCES,0))),ROUND(INDEX(AllCollegeGR, MATCH(N120,AllCollegeNCES,0))+W120*IF(INDEX(AllCollegeGR, MATCH(N120,AllCollegeNCES,0))&gt;0.7,(1-INDEX(AllCollegeGR, MATCH(N120,AllCollegeNCES,0)))/2,0.15),2),INDEX(AllCollegeGR, MATCH(N120,AllCollegeNCES,0)))</f>
        <v>0</v>
      </c>
      <c r="Y120">
        <f>IF(ISNUMBER(INDEX(AllCollegeAAHGR, MATCH(N120,AllCollegeNCES,0))),ROUND(INDEX(AllCollegeAAHGR, MATCH(N120,AllCollegeNCES,0))+W120*IF(INDEX(AllCollegeAAHGR, MATCH(N120,AllCollegeNCES,0))&gt;0.7,(1-INDEX(AllCollegeAAHGR, MATCH(N120,AllCollegeNCES,0)))/2,0.15),2),INDEX(AllCollegeAAHGR, MATCH(N120,AllCollegeNCES,0)))</f>
        <v>0</v>
      </c>
      <c r="Z120">
        <f>IF(OR(T120="H",T120="B"),INDEX(AllCollegeACT25, MATCH(N120,AllCollegeNCES,0)),INDEX(AllCollegeACT50, MATCH(N120,AllCollegeNCES,0)))</f>
        <v>0</v>
      </c>
      <c r="AA120">
        <f>INDEX(CustomWeightsGPA,MATCH(T120&amp;":"&amp;N120,CustomWeightsIndex,0))</f>
        <v>0</v>
      </c>
      <c r="AB120">
        <f>INDEX(CustomWeightsACT,MATCH(T120&amp;":"&amp;N120,CustomWeightsIndex,0))</f>
        <v>0</v>
      </c>
      <c r="AC120">
        <f>INDEX(CustomWeightsIntercept,MATCH(T120&amp;":"&amp;N120,CustomWeightsIndex,0))</f>
        <v>0</v>
      </c>
      <c r="AD120">
        <f>AA120*P120+AB120*Q120+AC120</f>
        <v>0</v>
      </c>
      <c r="AE120">
        <f>INDEX(CoefficientsGPA,MATCH(T120&amp;":"&amp;O120,CoefficientsIndex,0))</f>
        <v>0</v>
      </c>
      <c r="AF120">
        <f>INDEX(CoefficientsACT,MATCH(T120&amp;":"&amp;O120,CoefficientsIndex,0))</f>
        <v>0</v>
      </c>
      <c r="AG120">
        <f>INDEX(CoefficientsIntercept,MATCH(T120&amp;":"&amp;O120,CoefficientsIndex,0))</f>
        <v>0</v>
      </c>
      <c r="AH120">
        <f>AE120*P120+(Q120-Z120)*AF120+AG120</f>
        <v>0</v>
      </c>
      <c r="AI120">
        <f>IF(ISNUMBER(AD120),AD120,AH120)</f>
        <v>0</v>
      </c>
      <c r="AJ120">
        <f>IF(ISNUMBER(AI120),IF(ISNUMBER(AE120),IF(AND(AE120=1,AF120=1,AG120=1),100,ROUND(100*EXP(AI120)/(1+EXP(AI120)),2)),ROUND(100*EXP(AI120)/(1+EXP(AI120)),2)),IF(ISTEXT(O120),IF(LEFT(O120,1)="2",100,"N/A"),"N/A"))</f>
        <v>0</v>
      </c>
      <c r="AK120">
        <f>IF(ISNUMBER(AJ120),IF(AJ120&gt;=99,IF(OR(R120=10,R120=11),MatchLabel,SureThingLabel),IF(AJ120&gt;=95,SecureLabel,IF(AJ120&gt;=80,SafetyLabel,IF(AJ120&gt;=50,MatchLabel,IF(AJ120&gt;=20,ReachLabel,IF(AJ120&gt;=10,LongshotLabel,HailMaryLabel)))))),"Other")</f>
        <v>0</v>
      </c>
      <c r="AL120">
        <f>IF(OR(I120="accepted",I120="cond. accept",I120="summer admit"),IF(J120="yes","CHOICE!","Accepted!"),IF(I120="denied","Denied",IF(K120=1,"Waitlist",IF(L120=1,"Deferred",IF(G120="pending","Pending",IF(OR(G120="initial materials submitted",G120="mid-year submitted",G120="final submitted"),"Submitted",IF(H120="interest","Interest","?")))))))</f>
        <v>0</v>
      </c>
      <c r="AM120">
        <f>IF(OR(AK120=ReachLabel,AK120=LongshotLabel,AK120=HailMaryLabel),1,0)</f>
        <v>0</v>
      </c>
      <c r="AN120">
        <f>IF(OR(AM120=1,AK120=MatchLabel),1,0)</f>
        <v>0</v>
      </c>
      <c r="AO120">
        <f>IF(OR(AK120=MatchLabel,AK120=SafetyLabel,AK120=SecureLabel,AK120=SureThingLabel),1,0)</f>
        <v>0</v>
      </c>
      <c r="AP120">
        <f>IF(OR(T120="H",T120="B"),IF(ISNUMBER(Y120),ROUND(Y120,2),0),IF(ISNUMBER(X120),ROUND(X120,2),0))</f>
        <v>0</v>
      </c>
      <c r="AQ120">
        <f>IF(AP120&gt;=U120,1,0)</f>
        <v>0</v>
      </c>
      <c r="AR120">
        <f>IF(AP120&gt;=V120,1,0)</f>
        <v>0</v>
      </c>
      <c r="AS120">
        <f>IF(AP120&lt;(U120-0.10),1,0)</f>
        <v>0</v>
      </c>
      <c r="AT120">
        <f>1-AJ120/100</f>
        <v>0</v>
      </c>
      <c r="AU120">
        <f>IF(AN120=1,AT120,1)</f>
        <v>0</v>
      </c>
      <c r="AV120">
        <f>IF(AM120=1,AT120,1)</f>
        <v>0</v>
      </c>
      <c r="AW120">
        <f>IF(AND(AQ120=1,ISNUMBER(AT120)),$AT120,1)</f>
        <v>0</v>
      </c>
      <c r="AX120">
        <f>IF(AND(AR120=1,ISNUMBER(AT120)),$AT120,1)</f>
        <v>0</v>
      </c>
      <c r="AY120">
        <f>IF(ISNUMBER(Y120),INDEX(AllCollegeMoney, MATCH(N120,AllCollegeNCES,0)),0)</f>
        <v>0</v>
      </c>
      <c r="AZ120">
        <f>IF(AND(AQ120=1,ISNUMBER(AT120),AY120=1),$AT120,1)</f>
        <v>0</v>
      </c>
      <c r="BA120">
        <f>IF(AND(AR120=1,ISNUMBER(AT120),AY120=1),$AT120,1)</f>
        <v>0</v>
      </c>
      <c r="BB120">
        <f>IF(ISNUMBER(Y120),INDEX(AllCollegeILPub, MATCH(N120,AllCollegeNCES,0)),0)</f>
        <v>0</v>
      </c>
      <c r="BC120">
        <f>IF(AK120=ReachLabel,AP120,0)</f>
        <v>0</v>
      </c>
      <c r="BD120">
        <f>IF(AK120=MatchLabel,AP120,0)</f>
        <v>0</v>
      </c>
      <c r="BE120">
        <f>IF(AK120=SafetyLabel,AP120,0)</f>
        <v>0</v>
      </c>
      <c r="BF120">
        <f>IF(AK120=SecureLabel,AP120,0)</f>
        <v>0</v>
      </c>
      <c r="BG120">
        <f>IF(AK120=SureThingLabel,AP120,0)</f>
        <v>0</v>
      </c>
      <c r="BH120">
        <f>MAX(BC120:BG120)</f>
        <v>0</v>
      </c>
      <c r="BI120">
        <f>MAX(BD120:BG120)</f>
        <v>0</v>
      </c>
      <c r="BJ120">
        <f>MAX(BE120:BG120)</f>
        <v>0</v>
      </c>
      <c r="BK120">
        <f>IF(AND(AK120=ReachLabel,AY120=1),AP120,0)</f>
        <v>0</v>
      </c>
      <c r="BL120">
        <f>IF(AND(AK120=MatchLabel,AY120=1),AP120,0)</f>
        <v>0</v>
      </c>
      <c r="BM120">
        <f>IF(AND(AK120=SafetyLabel,AY120=1),AP120,0)</f>
        <v>0</v>
      </c>
      <c r="BN120">
        <f>IF(AND(AK120=SecureLabel,AY120=1),AP120,0)</f>
        <v>0</v>
      </c>
      <c r="BO120">
        <f>IF(AND(AK120=SureThingLabel,AY120=1),AP120,0)</f>
        <v>0</v>
      </c>
      <c r="BP120">
        <f>MAX(BK120:BO120)</f>
        <v>0</v>
      </c>
      <c r="BQ120">
        <f>MAX(BL120:BO120)</f>
        <v>0</v>
      </c>
      <c r="BR120">
        <f>MAX(BM120:BO120)</f>
        <v>0</v>
      </c>
      <c r="BS120">
        <f>IF(ISNUMBER(Y120),INDEX(AllCollegeChicago, MATCH(N120,AllCollegeNCES,0))*AY120,0)</f>
        <v>0</v>
      </c>
      <c r="BT120">
        <f>IF(ISNUMBER(Y120),INDEX(AllCollegeMoneyCode, MATCH(N120,AllCollegeNCES,0)),"?")</f>
        <v>0</v>
      </c>
      <c r="BU120">
        <f>IF(OR(BT120="---",BT120="--",BT120="+/--",BT120="+/---"),1,0)</f>
        <v>0</v>
      </c>
      <c r="BV120">
        <f>AY120*AO120*AQ120</f>
        <v>0</v>
      </c>
    </row>
    <row r="121" spans="1:74">
      <c r="A121" t="s">
        <v>86</v>
      </c>
      <c r="B121">
        <v>22489025</v>
      </c>
      <c r="C121" t="s">
        <v>221</v>
      </c>
      <c r="D121" t="s">
        <v>222</v>
      </c>
      <c r="E121" t="s">
        <v>428</v>
      </c>
      <c r="F121" t="s">
        <v>497</v>
      </c>
      <c r="G121" t="s">
        <v>430</v>
      </c>
      <c r="H121" t="s">
        <v>431</v>
      </c>
      <c r="I121" t="s">
        <v>432</v>
      </c>
      <c r="J121" t="s">
        <v>432</v>
      </c>
      <c r="K121">
        <v>0</v>
      </c>
      <c r="L121" t="s">
        <v>428</v>
      </c>
      <c r="M121" t="s">
        <v>428</v>
      </c>
      <c r="N121">
        <v>131520</v>
      </c>
      <c r="O121">
        <f>INDEX(AllCollegeBarrons,MATCH(N121,AllCollegeNCES,0))</f>
        <v>0</v>
      </c>
      <c r="P121">
        <f>INDEX(KidGPAs,MATCH(B121,KidIDs,0))</f>
        <v>0</v>
      </c>
      <c r="Q121">
        <f>INDEX(KidACTs,MATCH(B121,KidIDs,0))</f>
        <v>0</v>
      </c>
      <c r="R121">
        <f>INDEX(Strats,MATCH(B121,KidIDs,0))</f>
        <v>0</v>
      </c>
      <c r="S121">
        <f>INDEX(KidRace,MATCH(B121,KidIDs,0))</f>
        <v>0</v>
      </c>
      <c r="T121">
        <f>IF(OR(S121="M",S121="I"),"H",S121)</f>
        <v>0</v>
      </c>
      <c r="U121">
        <f>INDEX(StudentTargets,MATCH(B121,KidIDs,0))</f>
        <v>0</v>
      </c>
      <c r="V121">
        <f>INDEX(ReachStudentTargets,MATCH(B121,KidIDs,0))</f>
        <v>0</v>
      </c>
      <c r="W121">
        <f>IF(OR(M121="Posse"),1,0)</f>
        <v>0</v>
      </c>
      <c r="X121">
        <f>IF(ISNUMBER(INDEX(AllCollegeGR, MATCH(N121,AllCollegeNCES,0))),ROUND(INDEX(AllCollegeGR, MATCH(N121,AllCollegeNCES,0))+W121*IF(INDEX(AllCollegeGR, MATCH(N121,AllCollegeNCES,0))&gt;0.7,(1-INDEX(AllCollegeGR, MATCH(N121,AllCollegeNCES,0)))/2,0.15),2),INDEX(AllCollegeGR, MATCH(N121,AllCollegeNCES,0)))</f>
        <v>0</v>
      </c>
      <c r="Y121">
        <f>IF(ISNUMBER(INDEX(AllCollegeAAHGR, MATCH(N121,AllCollegeNCES,0))),ROUND(INDEX(AllCollegeAAHGR, MATCH(N121,AllCollegeNCES,0))+W121*IF(INDEX(AllCollegeAAHGR, MATCH(N121,AllCollegeNCES,0))&gt;0.7,(1-INDEX(AllCollegeAAHGR, MATCH(N121,AllCollegeNCES,0)))/2,0.15),2),INDEX(AllCollegeAAHGR, MATCH(N121,AllCollegeNCES,0)))</f>
        <v>0</v>
      </c>
      <c r="Z121">
        <f>IF(OR(T121="H",T121="B"),INDEX(AllCollegeACT25, MATCH(N121,AllCollegeNCES,0)),INDEX(AllCollegeACT50, MATCH(N121,AllCollegeNCES,0)))</f>
        <v>0</v>
      </c>
      <c r="AA121">
        <f>INDEX(CustomWeightsGPA,MATCH(T121&amp;":"&amp;N121,CustomWeightsIndex,0))</f>
        <v>0</v>
      </c>
      <c r="AB121">
        <f>INDEX(CustomWeightsACT,MATCH(T121&amp;":"&amp;N121,CustomWeightsIndex,0))</f>
        <v>0</v>
      </c>
      <c r="AC121">
        <f>INDEX(CustomWeightsIntercept,MATCH(T121&amp;":"&amp;N121,CustomWeightsIndex,0))</f>
        <v>0</v>
      </c>
      <c r="AD121">
        <f>AA121*P121+AB121*Q121+AC121</f>
        <v>0</v>
      </c>
      <c r="AE121">
        <f>INDEX(CoefficientsGPA,MATCH(T121&amp;":"&amp;O121,CoefficientsIndex,0))</f>
        <v>0</v>
      </c>
      <c r="AF121">
        <f>INDEX(CoefficientsACT,MATCH(T121&amp;":"&amp;O121,CoefficientsIndex,0))</f>
        <v>0</v>
      </c>
      <c r="AG121">
        <f>INDEX(CoefficientsIntercept,MATCH(T121&amp;":"&amp;O121,CoefficientsIndex,0))</f>
        <v>0</v>
      </c>
      <c r="AH121">
        <f>AE121*P121+(Q121-Z121)*AF121+AG121</f>
        <v>0</v>
      </c>
      <c r="AI121">
        <f>IF(ISNUMBER(AD121),AD121,AH121)</f>
        <v>0</v>
      </c>
      <c r="AJ121">
        <f>IF(ISNUMBER(AI121),IF(ISNUMBER(AE121),IF(AND(AE121=1,AF121=1,AG121=1),100,ROUND(100*EXP(AI121)/(1+EXP(AI121)),2)),ROUND(100*EXP(AI121)/(1+EXP(AI121)),2)),IF(ISTEXT(O121),IF(LEFT(O121,1)="2",100,"N/A"),"N/A"))</f>
        <v>0</v>
      </c>
      <c r="AK121">
        <f>IF(ISNUMBER(AJ121),IF(AJ121&gt;=99,IF(OR(R121=10,R121=11),MatchLabel,SureThingLabel),IF(AJ121&gt;=95,SecureLabel,IF(AJ121&gt;=80,SafetyLabel,IF(AJ121&gt;=50,MatchLabel,IF(AJ121&gt;=20,ReachLabel,IF(AJ121&gt;=10,LongshotLabel,HailMaryLabel)))))),"Other")</f>
        <v>0</v>
      </c>
      <c r="AL121">
        <f>IF(OR(I121="accepted",I121="cond. accept",I121="summer admit"),IF(J121="yes","CHOICE!","Accepted!"),IF(I121="denied","Denied",IF(K121=1,"Waitlist",IF(L121=1,"Deferred",IF(G121="pending","Pending",IF(OR(G121="initial materials submitted",G121="mid-year submitted",G121="final submitted"),"Submitted",IF(H121="interest","Interest","?")))))))</f>
        <v>0</v>
      </c>
      <c r="AM121">
        <f>IF(OR(AK121=ReachLabel,AK121=LongshotLabel,AK121=HailMaryLabel),1,0)</f>
        <v>0</v>
      </c>
      <c r="AN121">
        <f>IF(OR(AM121=1,AK121=MatchLabel),1,0)</f>
        <v>0</v>
      </c>
      <c r="AO121">
        <f>IF(OR(AK121=MatchLabel,AK121=SafetyLabel,AK121=SecureLabel,AK121=SureThingLabel),1,0)</f>
        <v>0</v>
      </c>
      <c r="AP121">
        <f>IF(OR(T121="H",T121="B"),IF(ISNUMBER(Y121),ROUND(Y121,2),0),IF(ISNUMBER(X121),ROUND(X121,2),0))</f>
        <v>0</v>
      </c>
      <c r="AQ121">
        <f>IF(AP121&gt;=U121,1,0)</f>
        <v>0</v>
      </c>
      <c r="AR121">
        <f>IF(AP121&gt;=V121,1,0)</f>
        <v>0</v>
      </c>
      <c r="AS121">
        <f>IF(AP121&lt;(U121-0.10),1,0)</f>
        <v>0</v>
      </c>
      <c r="AT121">
        <f>1-AJ121/100</f>
        <v>0</v>
      </c>
      <c r="AU121">
        <f>IF(AN121=1,AT121,1)</f>
        <v>0</v>
      </c>
      <c r="AV121">
        <f>IF(AM121=1,AT121,1)</f>
        <v>0</v>
      </c>
      <c r="AW121">
        <f>IF(AND(AQ121=1,ISNUMBER(AT121)),$AT121,1)</f>
        <v>0</v>
      </c>
      <c r="AX121">
        <f>IF(AND(AR121=1,ISNUMBER(AT121)),$AT121,1)</f>
        <v>0</v>
      </c>
      <c r="AY121">
        <f>IF(ISNUMBER(Y121),INDEX(AllCollegeMoney, MATCH(N121,AllCollegeNCES,0)),0)</f>
        <v>0</v>
      </c>
      <c r="AZ121">
        <f>IF(AND(AQ121=1,ISNUMBER(AT121),AY121=1),$AT121,1)</f>
        <v>0</v>
      </c>
      <c r="BA121">
        <f>IF(AND(AR121=1,ISNUMBER(AT121),AY121=1),$AT121,1)</f>
        <v>0</v>
      </c>
      <c r="BB121">
        <f>IF(ISNUMBER(Y121),INDEX(AllCollegeILPub, MATCH(N121,AllCollegeNCES,0)),0)</f>
        <v>0</v>
      </c>
      <c r="BC121">
        <f>IF(AK121=ReachLabel,AP121,0)</f>
        <v>0</v>
      </c>
      <c r="BD121">
        <f>IF(AK121=MatchLabel,AP121,0)</f>
        <v>0</v>
      </c>
      <c r="BE121">
        <f>IF(AK121=SafetyLabel,AP121,0)</f>
        <v>0</v>
      </c>
      <c r="BF121">
        <f>IF(AK121=SecureLabel,AP121,0)</f>
        <v>0</v>
      </c>
      <c r="BG121">
        <f>IF(AK121=SureThingLabel,AP121,0)</f>
        <v>0</v>
      </c>
      <c r="BH121">
        <f>MAX(BC121:BG121)</f>
        <v>0</v>
      </c>
      <c r="BI121">
        <f>MAX(BD121:BG121)</f>
        <v>0</v>
      </c>
      <c r="BJ121">
        <f>MAX(BE121:BG121)</f>
        <v>0</v>
      </c>
      <c r="BK121">
        <f>IF(AND(AK121=ReachLabel,AY121=1),AP121,0)</f>
        <v>0</v>
      </c>
      <c r="BL121">
        <f>IF(AND(AK121=MatchLabel,AY121=1),AP121,0)</f>
        <v>0</v>
      </c>
      <c r="BM121">
        <f>IF(AND(AK121=SafetyLabel,AY121=1),AP121,0)</f>
        <v>0</v>
      </c>
      <c r="BN121">
        <f>IF(AND(AK121=SecureLabel,AY121=1),AP121,0)</f>
        <v>0</v>
      </c>
      <c r="BO121">
        <f>IF(AND(AK121=SureThingLabel,AY121=1),AP121,0)</f>
        <v>0</v>
      </c>
      <c r="BP121">
        <f>MAX(BK121:BO121)</f>
        <v>0</v>
      </c>
      <c r="BQ121">
        <f>MAX(BL121:BO121)</f>
        <v>0</v>
      </c>
      <c r="BR121">
        <f>MAX(BM121:BO121)</f>
        <v>0</v>
      </c>
      <c r="BS121">
        <f>IF(ISNUMBER(Y121),INDEX(AllCollegeChicago, MATCH(N121,AllCollegeNCES,0))*AY121,0)</f>
        <v>0</v>
      </c>
      <c r="BT121">
        <f>IF(ISNUMBER(Y121),INDEX(AllCollegeMoneyCode, MATCH(N121,AllCollegeNCES,0)),"?")</f>
        <v>0</v>
      </c>
      <c r="BU121">
        <f>IF(OR(BT121="---",BT121="--",BT121="+/--",BT121="+/---"),1,0)</f>
        <v>0</v>
      </c>
      <c r="BV121">
        <f>AY121*AO121*AQ121</f>
        <v>0</v>
      </c>
    </row>
    <row r="122" spans="1:74">
      <c r="A122" t="s">
        <v>86</v>
      </c>
      <c r="B122">
        <v>22489025</v>
      </c>
      <c r="C122" t="s">
        <v>221</v>
      </c>
      <c r="D122" t="s">
        <v>222</v>
      </c>
      <c r="E122" t="s">
        <v>428</v>
      </c>
      <c r="F122" t="s">
        <v>469</v>
      </c>
      <c r="G122" t="s">
        <v>430</v>
      </c>
      <c r="H122" t="s">
        <v>431</v>
      </c>
      <c r="I122" t="s">
        <v>432</v>
      </c>
      <c r="J122" t="s">
        <v>432</v>
      </c>
      <c r="K122">
        <v>0</v>
      </c>
      <c r="L122" t="s">
        <v>428</v>
      </c>
      <c r="M122" t="s">
        <v>428</v>
      </c>
      <c r="N122">
        <v>174844</v>
      </c>
      <c r="O122">
        <f>INDEX(AllCollegeBarrons,MATCH(N122,AllCollegeNCES,0))</f>
        <v>0</v>
      </c>
      <c r="P122">
        <f>INDEX(KidGPAs,MATCH(B122,KidIDs,0))</f>
        <v>0</v>
      </c>
      <c r="Q122">
        <f>INDEX(KidACTs,MATCH(B122,KidIDs,0))</f>
        <v>0</v>
      </c>
      <c r="R122">
        <f>INDEX(Strats,MATCH(B122,KidIDs,0))</f>
        <v>0</v>
      </c>
      <c r="S122">
        <f>INDEX(KidRace,MATCH(B122,KidIDs,0))</f>
        <v>0</v>
      </c>
      <c r="T122">
        <f>IF(OR(S122="M",S122="I"),"H",S122)</f>
        <v>0</v>
      </c>
      <c r="U122">
        <f>INDEX(StudentTargets,MATCH(B122,KidIDs,0))</f>
        <v>0</v>
      </c>
      <c r="V122">
        <f>INDEX(ReachStudentTargets,MATCH(B122,KidIDs,0))</f>
        <v>0</v>
      </c>
      <c r="W122">
        <f>IF(OR(M122="Posse"),1,0)</f>
        <v>0</v>
      </c>
      <c r="X122">
        <f>IF(ISNUMBER(INDEX(AllCollegeGR, MATCH(N122,AllCollegeNCES,0))),ROUND(INDEX(AllCollegeGR, MATCH(N122,AllCollegeNCES,0))+W122*IF(INDEX(AllCollegeGR, MATCH(N122,AllCollegeNCES,0))&gt;0.7,(1-INDEX(AllCollegeGR, MATCH(N122,AllCollegeNCES,0)))/2,0.15),2),INDEX(AllCollegeGR, MATCH(N122,AllCollegeNCES,0)))</f>
        <v>0</v>
      </c>
      <c r="Y122">
        <f>IF(ISNUMBER(INDEX(AllCollegeAAHGR, MATCH(N122,AllCollegeNCES,0))),ROUND(INDEX(AllCollegeAAHGR, MATCH(N122,AllCollegeNCES,0))+W122*IF(INDEX(AllCollegeAAHGR, MATCH(N122,AllCollegeNCES,0))&gt;0.7,(1-INDEX(AllCollegeAAHGR, MATCH(N122,AllCollegeNCES,0)))/2,0.15),2),INDEX(AllCollegeAAHGR, MATCH(N122,AllCollegeNCES,0)))</f>
        <v>0</v>
      </c>
      <c r="Z122">
        <f>IF(OR(T122="H",T122="B"),INDEX(AllCollegeACT25, MATCH(N122,AllCollegeNCES,0)),INDEX(AllCollegeACT50, MATCH(N122,AllCollegeNCES,0)))</f>
        <v>0</v>
      </c>
      <c r="AA122">
        <f>INDEX(CustomWeightsGPA,MATCH(T122&amp;":"&amp;N122,CustomWeightsIndex,0))</f>
        <v>0</v>
      </c>
      <c r="AB122">
        <f>INDEX(CustomWeightsACT,MATCH(T122&amp;":"&amp;N122,CustomWeightsIndex,0))</f>
        <v>0</v>
      </c>
      <c r="AC122">
        <f>INDEX(CustomWeightsIntercept,MATCH(T122&amp;":"&amp;N122,CustomWeightsIndex,0))</f>
        <v>0</v>
      </c>
      <c r="AD122">
        <f>AA122*P122+AB122*Q122+AC122</f>
        <v>0</v>
      </c>
      <c r="AE122">
        <f>INDEX(CoefficientsGPA,MATCH(T122&amp;":"&amp;O122,CoefficientsIndex,0))</f>
        <v>0</v>
      </c>
      <c r="AF122">
        <f>INDEX(CoefficientsACT,MATCH(T122&amp;":"&amp;O122,CoefficientsIndex,0))</f>
        <v>0</v>
      </c>
      <c r="AG122">
        <f>INDEX(CoefficientsIntercept,MATCH(T122&amp;":"&amp;O122,CoefficientsIndex,0))</f>
        <v>0</v>
      </c>
      <c r="AH122">
        <f>AE122*P122+(Q122-Z122)*AF122+AG122</f>
        <v>0</v>
      </c>
      <c r="AI122">
        <f>IF(ISNUMBER(AD122),AD122,AH122)</f>
        <v>0</v>
      </c>
      <c r="AJ122">
        <f>IF(ISNUMBER(AI122),IF(ISNUMBER(AE122),IF(AND(AE122=1,AF122=1,AG122=1),100,ROUND(100*EXP(AI122)/(1+EXP(AI122)),2)),ROUND(100*EXP(AI122)/(1+EXP(AI122)),2)),IF(ISTEXT(O122),IF(LEFT(O122,1)="2",100,"N/A"),"N/A"))</f>
        <v>0</v>
      </c>
      <c r="AK122">
        <f>IF(ISNUMBER(AJ122),IF(AJ122&gt;=99,IF(OR(R122=10,R122=11),MatchLabel,SureThingLabel),IF(AJ122&gt;=95,SecureLabel,IF(AJ122&gt;=80,SafetyLabel,IF(AJ122&gt;=50,MatchLabel,IF(AJ122&gt;=20,ReachLabel,IF(AJ122&gt;=10,LongshotLabel,HailMaryLabel)))))),"Other")</f>
        <v>0</v>
      </c>
      <c r="AL122">
        <f>IF(OR(I122="accepted",I122="cond. accept",I122="summer admit"),IF(J122="yes","CHOICE!","Accepted!"),IF(I122="denied","Denied",IF(K122=1,"Waitlist",IF(L122=1,"Deferred",IF(G122="pending","Pending",IF(OR(G122="initial materials submitted",G122="mid-year submitted",G122="final submitted"),"Submitted",IF(H122="interest","Interest","?")))))))</f>
        <v>0</v>
      </c>
      <c r="AM122">
        <f>IF(OR(AK122=ReachLabel,AK122=LongshotLabel,AK122=HailMaryLabel),1,0)</f>
        <v>0</v>
      </c>
      <c r="AN122">
        <f>IF(OR(AM122=1,AK122=MatchLabel),1,0)</f>
        <v>0</v>
      </c>
      <c r="AO122">
        <f>IF(OR(AK122=MatchLabel,AK122=SafetyLabel,AK122=SecureLabel,AK122=SureThingLabel),1,0)</f>
        <v>0</v>
      </c>
      <c r="AP122">
        <f>IF(OR(T122="H",T122="B"),IF(ISNUMBER(Y122),ROUND(Y122,2),0),IF(ISNUMBER(X122),ROUND(X122,2),0))</f>
        <v>0</v>
      </c>
      <c r="AQ122">
        <f>IF(AP122&gt;=U122,1,0)</f>
        <v>0</v>
      </c>
      <c r="AR122">
        <f>IF(AP122&gt;=V122,1,0)</f>
        <v>0</v>
      </c>
      <c r="AS122">
        <f>IF(AP122&lt;(U122-0.10),1,0)</f>
        <v>0</v>
      </c>
      <c r="AT122">
        <f>1-AJ122/100</f>
        <v>0</v>
      </c>
      <c r="AU122">
        <f>IF(AN122=1,AT122,1)</f>
        <v>0</v>
      </c>
      <c r="AV122">
        <f>IF(AM122=1,AT122,1)</f>
        <v>0</v>
      </c>
      <c r="AW122">
        <f>IF(AND(AQ122=1,ISNUMBER(AT122)),$AT122,1)</f>
        <v>0</v>
      </c>
      <c r="AX122">
        <f>IF(AND(AR122=1,ISNUMBER(AT122)),$AT122,1)</f>
        <v>0</v>
      </c>
      <c r="AY122">
        <f>IF(ISNUMBER(Y122),INDEX(AllCollegeMoney, MATCH(N122,AllCollegeNCES,0)),0)</f>
        <v>0</v>
      </c>
      <c r="AZ122">
        <f>IF(AND(AQ122=1,ISNUMBER(AT122),AY122=1),$AT122,1)</f>
        <v>0</v>
      </c>
      <c r="BA122">
        <f>IF(AND(AR122=1,ISNUMBER(AT122),AY122=1),$AT122,1)</f>
        <v>0</v>
      </c>
      <c r="BB122">
        <f>IF(ISNUMBER(Y122),INDEX(AllCollegeILPub, MATCH(N122,AllCollegeNCES,0)),0)</f>
        <v>0</v>
      </c>
      <c r="BC122">
        <f>IF(AK122=ReachLabel,AP122,0)</f>
        <v>0</v>
      </c>
      <c r="BD122">
        <f>IF(AK122=MatchLabel,AP122,0)</f>
        <v>0</v>
      </c>
      <c r="BE122">
        <f>IF(AK122=SafetyLabel,AP122,0)</f>
        <v>0</v>
      </c>
      <c r="BF122">
        <f>IF(AK122=SecureLabel,AP122,0)</f>
        <v>0</v>
      </c>
      <c r="BG122">
        <f>IF(AK122=SureThingLabel,AP122,0)</f>
        <v>0</v>
      </c>
      <c r="BH122">
        <f>MAX(BC122:BG122)</f>
        <v>0</v>
      </c>
      <c r="BI122">
        <f>MAX(BD122:BG122)</f>
        <v>0</v>
      </c>
      <c r="BJ122">
        <f>MAX(BE122:BG122)</f>
        <v>0</v>
      </c>
      <c r="BK122">
        <f>IF(AND(AK122=ReachLabel,AY122=1),AP122,0)</f>
        <v>0</v>
      </c>
      <c r="BL122">
        <f>IF(AND(AK122=MatchLabel,AY122=1),AP122,0)</f>
        <v>0</v>
      </c>
      <c r="BM122">
        <f>IF(AND(AK122=SafetyLabel,AY122=1),AP122,0)</f>
        <v>0</v>
      </c>
      <c r="BN122">
        <f>IF(AND(AK122=SecureLabel,AY122=1),AP122,0)</f>
        <v>0</v>
      </c>
      <c r="BO122">
        <f>IF(AND(AK122=SureThingLabel,AY122=1),AP122,0)</f>
        <v>0</v>
      </c>
      <c r="BP122">
        <f>MAX(BK122:BO122)</f>
        <v>0</v>
      </c>
      <c r="BQ122">
        <f>MAX(BL122:BO122)</f>
        <v>0</v>
      </c>
      <c r="BR122">
        <f>MAX(BM122:BO122)</f>
        <v>0</v>
      </c>
      <c r="BS122">
        <f>IF(ISNUMBER(Y122),INDEX(AllCollegeChicago, MATCH(N122,AllCollegeNCES,0))*AY122,0)</f>
        <v>0</v>
      </c>
      <c r="BT122">
        <f>IF(ISNUMBER(Y122),INDEX(AllCollegeMoneyCode, MATCH(N122,AllCollegeNCES,0)),"?")</f>
        <v>0</v>
      </c>
      <c r="BU122">
        <f>IF(OR(BT122="---",BT122="--",BT122="+/--",BT122="+/---"),1,0)</f>
        <v>0</v>
      </c>
      <c r="BV122">
        <f>AY122*AO122*AQ122</f>
        <v>0</v>
      </c>
    </row>
    <row r="123" spans="1:74">
      <c r="A123" t="s">
        <v>86</v>
      </c>
      <c r="B123">
        <v>22489025</v>
      </c>
      <c r="C123" t="s">
        <v>221</v>
      </c>
      <c r="D123" t="s">
        <v>222</v>
      </c>
      <c r="E123" t="s">
        <v>428</v>
      </c>
      <c r="F123" t="s">
        <v>457</v>
      </c>
      <c r="G123" t="s">
        <v>463</v>
      </c>
      <c r="H123" t="s">
        <v>431</v>
      </c>
      <c r="I123" t="s">
        <v>432</v>
      </c>
      <c r="J123" t="s">
        <v>432</v>
      </c>
      <c r="K123">
        <v>0</v>
      </c>
      <c r="L123" t="s">
        <v>428</v>
      </c>
      <c r="M123" t="s">
        <v>428</v>
      </c>
      <c r="N123">
        <v>145637</v>
      </c>
      <c r="O123">
        <f>INDEX(AllCollegeBarrons,MATCH(N123,AllCollegeNCES,0))</f>
        <v>0</v>
      </c>
      <c r="P123">
        <f>INDEX(KidGPAs,MATCH(B123,KidIDs,0))</f>
        <v>0</v>
      </c>
      <c r="Q123">
        <f>INDEX(KidACTs,MATCH(B123,KidIDs,0))</f>
        <v>0</v>
      </c>
      <c r="R123">
        <f>INDEX(Strats,MATCH(B123,KidIDs,0))</f>
        <v>0</v>
      </c>
      <c r="S123">
        <f>INDEX(KidRace,MATCH(B123,KidIDs,0))</f>
        <v>0</v>
      </c>
      <c r="T123">
        <f>IF(OR(S123="M",S123="I"),"H",S123)</f>
        <v>0</v>
      </c>
      <c r="U123">
        <f>INDEX(StudentTargets,MATCH(B123,KidIDs,0))</f>
        <v>0</v>
      </c>
      <c r="V123">
        <f>INDEX(ReachStudentTargets,MATCH(B123,KidIDs,0))</f>
        <v>0</v>
      </c>
      <c r="W123">
        <f>IF(OR(M123="Posse"),1,0)</f>
        <v>0</v>
      </c>
      <c r="X123">
        <f>IF(ISNUMBER(INDEX(AllCollegeGR, MATCH(N123,AllCollegeNCES,0))),ROUND(INDEX(AllCollegeGR, MATCH(N123,AllCollegeNCES,0))+W123*IF(INDEX(AllCollegeGR, MATCH(N123,AllCollegeNCES,0))&gt;0.7,(1-INDEX(AllCollegeGR, MATCH(N123,AllCollegeNCES,0)))/2,0.15),2),INDEX(AllCollegeGR, MATCH(N123,AllCollegeNCES,0)))</f>
        <v>0</v>
      </c>
      <c r="Y123">
        <f>IF(ISNUMBER(INDEX(AllCollegeAAHGR, MATCH(N123,AllCollegeNCES,0))),ROUND(INDEX(AllCollegeAAHGR, MATCH(N123,AllCollegeNCES,0))+W123*IF(INDEX(AllCollegeAAHGR, MATCH(N123,AllCollegeNCES,0))&gt;0.7,(1-INDEX(AllCollegeAAHGR, MATCH(N123,AllCollegeNCES,0)))/2,0.15),2),INDEX(AllCollegeAAHGR, MATCH(N123,AllCollegeNCES,0)))</f>
        <v>0</v>
      </c>
      <c r="Z123">
        <f>IF(OR(T123="H",T123="B"),INDEX(AllCollegeACT25, MATCH(N123,AllCollegeNCES,0)),INDEX(AllCollegeACT50, MATCH(N123,AllCollegeNCES,0)))</f>
        <v>0</v>
      </c>
      <c r="AA123">
        <f>INDEX(CustomWeightsGPA,MATCH(T123&amp;":"&amp;N123,CustomWeightsIndex,0))</f>
        <v>0</v>
      </c>
      <c r="AB123">
        <f>INDEX(CustomWeightsACT,MATCH(T123&amp;":"&amp;N123,CustomWeightsIndex,0))</f>
        <v>0</v>
      </c>
      <c r="AC123">
        <f>INDEX(CustomWeightsIntercept,MATCH(T123&amp;":"&amp;N123,CustomWeightsIndex,0))</f>
        <v>0</v>
      </c>
      <c r="AD123">
        <f>AA123*P123+AB123*Q123+AC123</f>
        <v>0</v>
      </c>
      <c r="AE123">
        <f>INDEX(CoefficientsGPA,MATCH(T123&amp;":"&amp;O123,CoefficientsIndex,0))</f>
        <v>0</v>
      </c>
      <c r="AF123">
        <f>INDEX(CoefficientsACT,MATCH(T123&amp;":"&amp;O123,CoefficientsIndex,0))</f>
        <v>0</v>
      </c>
      <c r="AG123">
        <f>INDEX(CoefficientsIntercept,MATCH(T123&amp;":"&amp;O123,CoefficientsIndex,0))</f>
        <v>0</v>
      </c>
      <c r="AH123">
        <f>AE123*P123+(Q123-Z123)*AF123+AG123</f>
        <v>0</v>
      </c>
      <c r="AI123">
        <f>IF(ISNUMBER(AD123),AD123,AH123)</f>
        <v>0</v>
      </c>
      <c r="AJ123">
        <f>IF(ISNUMBER(AI123),IF(ISNUMBER(AE123),IF(AND(AE123=1,AF123=1,AG123=1),100,ROUND(100*EXP(AI123)/(1+EXP(AI123)),2)),ROUND(100*EXP(AI123)/(1+EXP(AI123)),2)),IF(ISTEXT(O123),IF(LEFT(O123,1)="2",100,"N/A"),"N/A"))</f>
        <v>0</v>
      </c>
      <c r="AK123">
        <f>IF(ISNUMBER(AJ123),IF(AJ123&gt;=99,IF(OR(R123=10,R123=11),MatchLabel,SureThingLabel),IF(AJ123&gt;=95,SecureLabel,IF(AJ123&gt;=80,SafetyLabel,IF(AJ123&gt;=50,MatchLabel,IF(AJ123&gt;=20,ReachLabel,IF(AJ123&gt;=10,LongshotLabel,HailMaryLabel)))))),"Other")</f>
        <v>0</v>
      </c>
      <c r="AL123">
        <f>IF(OR(I123="accepted",I123="cond. accept",I123="summer admit"),IF(J123="yes","CHOICE!","Accepted!"),IF(I123="denied","Denied",IF(K123=1,"Waitlist",IF(L123=1,"Deferred",IF(G123="pending","Pending",IF(OR(G123="initial materials submitted",G123="mid-year submitted",G123="final submitted"),"Submitted",IF(H123="interest","Interest","?")))))))</f>
        <v>0</v>
      </c>
      <c r="AM123">
        <f>IF(OR(AK123=ReachLabel,AK123=LongshotLabel,AK123=HailMaryLabel),1,0)</f>
        <v>0</v>
      </c>
      <c r="AN123">
        <f>IF(OR(AM123=1,AK123=MatchLabel),1,0)</f>
        <v>0</v>
      </c>
      <c r="AO123">
        <f>IF(OR(AK123=MatchLabel,AK123=SafetyLabel,AK123=SecureLabel,AK123=SureThingLabel),1,0)</f>
        <v>0</v>
      </c>
      <c r="AP123">
        <f>IF(OR(T123="H",T123="B"),IF(ISNUMBER(Y123),ROUND(Y123,2),0),IF(ISNUMBER(X123),ROUND(X123,2),0))</f>
        <v>0</v>
      </c>
      <c r="AQ123">
        <f>IF(AP123&gt;=U123,1,0)</f>
        <v>0</v>
      </c>
      <c r="AR123">
        <f>IF(AP123&gt;=V123,1,0)</f>
        <v>0</v>
      </c>
      <c r="AS123">
        <f>IF(AP123&lt;(U123-0.10),1,0)</f>
        <v>0</v>
      </c>
      <c r="AT123">
        <f>1-AJ123/100</f>
        <v>0</v>
      </c>
      <c r="AU123">
        <f>IF(AN123=1,AT123,1)</f>
        <v>0</v>
      </c>
      <c r="AV123">
        <f>IF(AM123=1,AT123,1)</f>
        <v>0</v>
      </c>
      <c r="AW123">
        <f>IF(AND(AQ123=1,ISNUMBER(AT123)),$AT123,1)</f>
        <v>0</v>
      </c>
      <c r="AX123">
        <f>IF(AND(AR123=1,ISNUMBER(AT123)),$AT123,1)</f>
        <v>0</v>
      </c>
      <c r="AY123">
        <f>IF(ISNUMBER(Y123),INDEX(AllCollegeMoney, MATCH(N123,AllCollegeNCES,0)),0)</f>
        <v>0</v>
      </c>
      <c r="AZ123">
        <f>IF(AND(AQ123=1,ISNUMBER(AT123),AY123=1),$AT123,1)</f>
        <v>0</v>
      </c>
      <c r="BA123">
        <f>IF(AND(AR123=1,ISNUMBER(AT123),AY123=1),$AT123,1)</f>
        <v>0</v>
      </c>
      <c r="BB123">
        <f>IF(ISNUMBER(Y123),INDEX(AllCollegeILPub, MATCH(N123,AllCollegeNCES,0)),0)</f>
        <v>0</v>
      </c>
      <c r="BC123">
        <f>IF(AK123=ReachLabel,AP123,0)</f>
        <v>0</v>
      </c>
      <c r="BD123">
        <f>IF(AK123=MatchLabel,AP123,0)</f>
        <v>0</v>
      </c>
      <c r="BE123">
        <f>IF(AK123=SafetyLabel,AP123,0)</f>
        <v>0</v>
      </c>
      <c r="BF123">
        <f>IF(AK123=SecureLabel,AP123,0)</f>
        <v>0</v>
      </c>
      <c r="BG123">
        <f>IF(AK123=SureThingLabel,AP123,0)</f>
        <v>0</v>
      </c>
      <c r="BH123">
        <f>MAX(BC123:BG123)</f>
        <v>0</v>
      </c>
      <c r="BI123">
        <f>MAX(BD123:BG123)</f>
        <v>0</v>
      </c>
      <c r="BJ123">
        <f>MAX(BE123:BG123)</f>
        <v>0</v>
      </c>
      <c r="BK123">
        <f>IF(AND(AK123=ReachLabel,AY123=1),AP123,0)</f>
        <v>0</v>
      </c>
      <c r="BL123">
        <f>IF(AND(AK123=MatchLabel,AY123=1),AP123,0)</f>
        <v>0</v>
      </c>
      <c r="BM123">
        <f>IF(AND(AK123=SafetyLabel,AY123=1),AP123,0)</f>
        <v>0</v>
      </c>
      <c r="BN123">
        <f>IF(AND(AK123=SecureLabel,AY123=1),AP123,0)</f>
        <v>0</v>
      </c>
      <c r="BO123">
        <f>IF(AND(AK123=SureThingLabel,AY123=1),AP123,0)</f>
        <v>0</v>
      </c>
      <c r="BP123">
        <f>MAX(BK123:BO123)</f>
        <v>0</v>
      </c>
      <c r="BQ123">
        <f>MAX(BL123:BO123)</f>
        <v>0</v>
      </c>
      <c r="BR123">
        <f>MAX(BM123:BO123)</f>
        <v>0</v>
      </c>
      <c r="BS123">
        <f>IF(ISNUMBER(Y123),INDEX(AllCollegeChicago, MATCH(N123,AllCollegeNCES,0))*AY123,0)</f>
        <v>0</v>
      </c>
      <c r="BT123">
        <f>IF(ISNUMBER(Y123),INDEX(AllCollegeMoneyCode, MATCH(N123,AllCollegeNCES,0)),"?")</f>
        <v>0</v>
      </c>
      <c r="BU123">
        <f>IF(OR(BT123="---",BT123="--",BT123="+/--",BT123="+/---"),1,0)</f>
        <v>0</v>
      </c>
      <c r="BV123">
        <f>AY123*AO123*AQ123</f>
        <v>0</v>
      </c>
    </row>
    <row r="124" spans="1:74">
      <c r="A124" t="s">
        <v>86</v>
      </c>
      <c r="B124">
        <v>22489025</v>
      </c>
      <c r="C124" t="s">
        <v>221</v>
      </c>
      <c r="D124" t="s">
        <v>222</v>
      </c>
      <c r="E124" t="s">
        <v>428</v>
      </c>
      <c r="F124" t="s">
        <v>458</v>
      </c>
      <c r="G124" t="s">
        <v>430</v>
      </c>
      <c r="H124" t="s">
        <v>431</v>
      </c>
      <c r="I124" t="s">
        <v>432</v>
      </c>
      <c r="J124" t="s">
        <v>432</v>
      </c>
      <c r="K124">
        <v>0</v>
      </c>
      <c r="L124" t="s">
        <v>428</v>
      </c>
      <c r="M124" t="s">
        <v>428</v>
      </c>
      <c r="N124">
        <v>202523</v>
      </c>
      <c r="O124">
        <f>INDEX(AllCollegeBarrons,MATCH(N124,AllCollegeNCES,0))</f>
        <v>0</v>
      </c>
      <c r="P124">
        <f>INDEX(KidGPAs,MATCH(B124,KidIDs,0))</f>
        <v>0</v>
      </c>
      <c r="Q124">
        <f>INDEX(KidACTs,MATCH(B124,KidIDs,0))</f>
        <v>0</v>
      </c>
      <c r="R124">
        <f>INDEX(Strats,MATCH(B124,KidIDs,0))</f>
        <v>0</v>
      </c>
      <c r="S124">
        <f>INDEX(KidRace,MATCH(B124,KidIDs,0))</f>
        <v>0</v>
      </c>
      <c r="T124">
        <f>IF(OR(S124="M",S124="I"),"H",S124)</f>
        <v>0</v>
      </c>
      <c r="U124">
        <f>INDEX(StudentTargets,MATCH(B124,KidIDs,0))</f>
        <v>0</v>
      </c>
      <c r="V124">
        <f>INDEX(ReachStudentTargets,MATCH(B124,KidIDs,0))</f>
        <v>0</v>
      </c>
      <c r="W124">
        <f>IF(OR(M124="Posse"),1,0)</f>
        <v>0</v>
      </c>
      <c r="X124">
        <f>IF(ISNUMBER(INDEX(AllCollegeGR, MATCH(N124,AllCollegeNCES,0))),ROUND(INDEX(AllCollegeGR, MATCH(N124,AllCollegeNCES,0))+W124*IF(INDEX(AllCollegeGR, MATCH(N124,AllCollegeNCES,0))&gt;0.7,(1-INDEX(AllCollegeGR, MATCH(N124,AllCollegeNCES,0)))/2,0.15),2),INDEX(AllCollegeGR, MATCH(N124,AllCollegeNCES,0)))</f>
        <v>0</v>
      </c>
      <c r="Y124">
        <f>IF(ISNUMBER(INDEX(AllCollegeAAHGR, MATCH(N124,AllCollegeNCES,0))),ROUND(INDEX(AllCollegeAAHGR, MATCH(N124,AllCollegeNCES,0))+W124*IF(INDEX(AllCollegeAAHGR, MATCH(N124,AllCollegeNCES,0))&gt;0.7,(1-INDEX(AllCollegeAAHGR, MATCH(N124,AllCollegeNCES,0)))/2,0.15),2),INDEX(AllCollegeAAHGR, MATCH(N124,AllCollegeNCES,0)))</f>
        <v>0</v>
      </c>
      <c r="Z124">
        <f>IF(OR(T124="H",T124="B"),INDEX(AllCollegeACT25, MATCH(N124,AllCollegeNCES,0)),INDEX(AllCollegeACT50, MATCH(N124,AllCollegeNCES,0)))</f>
        <v>0</v>
      </c>
      <c r="AA124">
        <f>INDEX(CustomWeightsGPA,MATCH(T124&amp;":"&amp;N124,CustomWeightsIndex,0))</f>
        <v>0</v>
      </c>
      <c r="AB124">
        <f>INDEX(CustomWeightsACT,MATCH(T124&amp;":"&amp;N124,CustomWeightsIndex,0))</f>
        <v>0</v>
      </c>
      <c r="AC124">
        <f>INDEX(CustomWeightsIntercept,MATCH(T124&amp;":"&amp;N124,CustomWeightsIndex,0))</f>
        <v>0</v>
      </c>
      <c r="AD124">
        <f>AA124*P124+AB124*Q124+AC124</f>
        <v>0</v>
      </c>
      <c r="AE124">
        <f>INDEX(CoefficientsGPA,MATCH(T124&amp;":"&amp;O124,CoefficientsIndex,0))</f>
        <v>0</v>
      </c>
      <c r="AF124">
        <f>INDEX(CoefficientsACT,MATCH(T124&amp;":"&amp;O124,CoefficientsIndex,0))</f>
        <v>0</v>
      </c>
      <c r="AG124">
        <f>INDEX(CoefficientsIntercept,MATCH(T124&amp;":"&amp;O124,CoefficientsIndex,0))</f>
        <v>0</v>
      </c>
      <c r="AH124">
        <f>AE124*P124+(Q124-Z124)*AF124+AG124</f>
        <v>0</v>
      </c>
      <c r="AI124">
        <f>IF(ISNUMBER(AD124),AD124,AH124)</f>
        <v>0</v>
      </c>
      <c r="AJ124">
        <f>IF(ISNUMBER(AI124),IF(ISNUMBER(AE124),IF(AND(AE124=1,AF124=1,AG124=1),100,ROUND(100*EXP(AI124)/(1+EXP(AI124)),2)),ROUND(100*EXP(AI124)/(1+EXP(AI124)),2)),IF(ISTEXT(O124),IF(LEFT(O124,1)="2",100,"N/A"),"N/A"))</f>
        <v>0</v>
      </c>
      <c r="AK124">
        <f>IF(ISNUMBER(AJ124),IF(AJ124&gt;=99,IF(OR(R124=10,R124=11),MatchLabel,SureThingLabel),IF(AJ124&gt;=95,SecureLabel,IF(AJ124&gt;=80,SafetyLabel,IF(AJ124&gt;=50,MatchLabel,IF(AJ124&gt;=20,ReachLabel,IF(AJ124&gt;=10,LongshotLabel,HailMaryLabel)))))),"Other")</f>
        <v>0</v>
      </c>
      <c r="AL124">
        <f>IF(OR(I124="accepted",I124="cond. accept",I124="summer admit"),IF(J124="yes","CHOICE!","Accepted!"),IF(I124="denied","Denied",IF(K124=1,"Waitlist",IF(L124=1,"Deferred",IF(G124="pending","Pending",IF(OR(G124="initial materials submitted",G124="mid-year submitted",G124="final submitted"),"Submitted",IF(H124="interest","Interest","?")))))))</f>
        <v>0</v>
      </c>
      <c r="AM124">
        <f>IF(OR(AK124=ReachLabel,AK124=LongshotLabel,AK124=HailMaryLabel),1,0)</f>
        <v>0</v>
      </c>
      <c r="AN124">
        <f>IF(OR(AM124=1,AK124=MatchLabel),1,0)</f>
        <v>0</v>
      </c>
      <c r="AO124">
        <f>IF(OR(AK124=MatchLabel,AK124=SafetyLabel,AK124=SecureLabel,AK124=SureThingLabel),1,0)</f>
        <v>0</v>
      </c>
      <c r="AP124">
        <f>IF(OR(T124="H",T124="B"),IF(ISNUMBER(Y124),ROUND(Y124,2),0),IF(ISNUMBER(X124),ROUND(X124,2),0))</f>
        <v>0</v>
      </c>
      <c r="AQ124">
        <f>IF(AP124&gt;=U124,1,0)</f>
        <v>0</v>
      </c>
      <c r="AR124">
        <f>IF(AP124&gt;=V124,1,0)</f>
        <v>0</v>
      </c>
      <c r="AS124">
        <f>IF(AP124&lt;(U124-0.10),1,0)</f>
        <v>0</v>
      </c>
      <c r="AT124">
        <f>1-AJ124/100</f>
        <v>0</v>
      </c>
      <c r="AU124">
        <f>IF(AN124=1,AT124,1)</f>
        <v>0</v>
      </c>
      <c r="AV124">
        <f>IF(AM124=1,AT124,1)</f>
        <v>0</v>
      </c>
      <c r="AW124">
        <f>IF(AND(AQ124=1,ISNUMBER(AT124)),$AT124,1)</f>
        <v>0</v>
      </c>
      <c r="AX124">
        <f>IF(AND(AR124=1,ISNUMBER(AT124)),$AT124,1)</f>
        <v>0</v>
      </c>
      <c r="AY124">
        <f>IF(ISNUMBER(Y124),INDEX(AllCollegeMoney, MATCH(N124,AllCollegeNCES,0)),0)</f>
        <v>0</v>
      </c>
      <c r="AZ124">
        <f>IF(AND(AQ124=1,ISNUMBER(AT124),AY124=1),$AT124,1)</f>
        <v>0</v>
      </c>
      <c r="BA124">
        <f>IF(AND(AR124=1,ISNUMBER(AT124),AY124=1),$AT124,1)</f>
        <v>0</v>
      </c>
      <c r="BB124">
        <f>IF(ISNUMBER(Y124),INDEX(AllCollegeILPub, MATCH(N124,AllCollegeNCES,0)),0)</f>
        <v>0</v>
      </c>
      <c r="BC124">
        <f>IF(AK124=ReachLabel,AP124,0)</f>
        <v>0</v>
      </c>
      <c r="BD124">
        <f>IF(AK124=MatchLabel,AP124,0)</f>
        <v>0</v>
      </c>
      <c r="BE124">
        <f>IF(AK124=SafetyLabel,AP124,0)</f>
        <v>0</v>
      </c>
      <c r="BF124">
        <f>IF(AK124=SecureLabel,AP124,0)</f>
        <v>0</v>
      </c>
      <c r="BG124">
        <f>IF(AK124=SureThingLabel,AP124,0)</f>
        <v>0</v>
      </c>
      <c r="BH124">
        <f>MAX(BC124:BG124)</f>
        <v>0</v>
      </c>
      <c r="BI124">
        <f>MAX(BD124:BG124)</f>
        <v>0</v>
      </c>
      <c r="BJ124">
        <f>MAX(BE124:BG124)</f>
        <v>0</v>
      </c>
      <c r="BK124">
        <f>IF(AND(AK124=ReachLabel,AY124=1),AP124,0)</f>
        <v>0</v>
      </c>
      <c r="BL124">
        <f>IF(AND(AK124=MatchLabel,AY124=1),AP124,0)</f>
        <v>0</v>
      </c>
      <c r="BM124">
        <f>IF(AND(AK124=SafetyLabel,AY124=1),AP124,0)</f>
        <v>0</v>
      </c>
      <c r="BN124">
        <f>IF(AND(AK124=SecureLabel,AY124=1),AP124,0)</f>
        <v>0</v>
      </c>
      <c r="BO124">
        <f>IF(AND(AK124=SureThingLabel,AY124=1),AP124,0)</f>
        <v>0</v>
      </c>
      <c r="BP124">
        <f>MAX(BK124:BO124)</f>
        <v>0</v>
      </c>
      <c r="BQ124">
        <f>MAX(BL124:BO124)</f>
        <v>0</v>
      </c>
      <c r="BR124">
        <f>MAX(BM124:BO124)</f>
        <v>0</v>
      </c>
      <c r="BS124">
        <f>IF(ISNUMBER(Y124),INDEX(AllCollegeChicago, MATCH(N124,AllCollegeNCES,0))*AY124,0)</f>
        <v>0</v>
      </c>
      <c r="BT124">
        <f>IF(ISNUMBER(Y124),INDEX(AllCollegeMoneyCode, MATCH(N124,AllCollegeNCES,0)),"?")</f>
        <v>0</v>
      </c>
      <c r="BU124">
        <f>IF(OR(BT124="---",BT124="--",BT124="+/--",BT124="+/---"),1,0)</f>
        <v>0</v>
      </c>
      <c r="BV124">
        <f>AY124*AO124*AQ124</f>
        <v>0</v>
      </c>
    </row>
    <row r="125" spans="1:74">
      <c r="A125" t="s">
        <v>86</v>
      </c>
      <c r="B125">
        <v>22489025</v>
      </c>
      <c r="C125" t="s">
        <v>221</v>
      </c>
      <c r="D125" t="s">
        <v>222</v>
      </c>
      <c r="E125" t="s">
        <v>428</v>
      </c>
      <c r="F125" t="s">
        <v>470</v>
      </c>
      <c r="G125" t="s">
        <v>430</v>
      </c>
      <c r="H125" t="s">
        <v>431</v>
      </c>
      <c r="I125" t="s">
        <v>432</v>
      </c>
      <c r="J125" t="s">
        <v>432</v>
      </c>
      <c r="K125">
        <v>0</v>
      </c>
      <c r="L125" t="s">
        <v>428</v>
      </c>
      <c r="M125" t="s">
        <v>428</v>
      </c>
      <c r="N125">
        <v>206589</v>
      </c>
      <c r="O125">
        <f>INDEX(AllCollegeBarrons,MATCH(N125,AllCollegeNCES,0))</f>
        <v>0</v>
      </c>
      <c r="P125">
        <f>INDEX(KidGPAs,MATCH(B125,KidIDs,0))</f>
        <v>0</v>
      </c>
      <c r="Q125">
        <f>INDEX(KidACTs,MATCH(B125,KidIDs,0))</f>
        <v>0</v>
      </c>
      <c r="R125">
        <f>INDEX(Strats,MATCH(B125,KidIDs,0))</f>
        <v>0</v>
      </c>
      <c r="S125">
        <f>INDEX(KidRace,MATCH(B125,KidIDs,0))</f>
        <v>0</v>
      </c>
      <c r="T125">
        <f>IF(OR(S125="M",S125="I"),"H",S125)</f>
        <v>0</v>
      </c>
      <c r="U125">
        <f>INDEX(StudentTargets,MATCH(B125,KidIDs,0))</f>
        <v>0</v>
      </c>
      <c r="V125">
        <f>INDEX(ReachStudentTargets,MATCH(B125,KidIDs,0))</f>
        <v>0</v>
      </c>
      <c r="W125">
        <f>IF(OR(M125="Posse"),1,0)</f>
        <v>0</v>
      </c>
      <c r="X125">
        <f>IF(ISNUMBER(INDEX(AllCollegeGR, MATCH(N125,AllCollegeNCES,0))),ROUND(INDEX(AllCollegeGR, MATCH(N125,AllCollegeNCES,0))+W125*IF(INDEX(AllCollegeGR, MATCH(N125,AllCollegeNCES,0))&gt;0.7,(1-INDEX(AllCollegeGR, MATCH(N125,AllCollegeNCES,0)))/2,0.15),2),INDEX(AllCollegeGR, MATCH(N125,AllCollegeNCES,0)))</f>
        <v>0</v>
      </c>
      <c r="Y125">
        <f>IF(ISNUMBER(INDEX(AllCollegeAAHGR, MATCH(N125,AllCollegeNCES,0))),ROUND(INDEX(AllCollegeAAHGR, MATCH(N125,AllCollegeNCES,0))+W125*IF(INDEX(AllCollegeAAHGR, MATCH(N125,AllCollegeNCES,0))&gt;0.7,(1-INDEX(AllCollegeAAHGR, MATCH(N125,AllCollegeNCES,0)))/2,0.15),2),INDEX(AllCollegeAAHGR, MATCH(N125,AllCollegeNCES,0)))</f>
        <v>0</v>
      </c>
      <c r="Z125">
        <f>IF(OR(T125="H",T125="B"),INDEX(AllCollegeACT25, MATCH(N125,AllCollegeNCES,0)),INDEX(AllCollegeACT50, MATCH(N125,AllCollegeNCES,0)))</f>
        <v>0</v>
      </c>
      <c r="AA125">
        <f>INDEX(CustomWeightsGPA,MATCH(T125&amp;":"&amp;N125,CustomWeightsIndex,0))</f>
        <v>0</v>
      </c>
      <c r="AB125">
        <f>INDEX(CustomWeightsACT,MATCH(T125&amp;":"&amp;N125,CustomWeightsIndex,0))</f>
        <v>0</v>
      </c>
      <c r="AC125">
        <f>INDEX(CustomWeightsIntercept,MATCH(T125&amp;":"&amp;N125,CustomWeightsIndex,0))</f>
        <v>0</v>
      </c>
      <c r="AD125">
        <f>AA125*P125+AB125*Q125+AC125</f>
        <v>0</v>
      </c>
      <c r="AE125">
        <f>INDEX(CoefficientsGPA,MATCH(T125&amp;":"&amp;O125,CoefficientsIndex,0))</f>
        <v>0</v>
      </c>
      <c r="AF125">
        <f>INDEX(CoefficientsACT,MATCH(T125&amp;":"&amp;O125,CoefficientsIndex,0))</f>
        <v>0</v>
      </c>
      <c r="AG125">
        <f>INDEX(CoefficientsIntercept,MATCH(T125&amp;":"&amp;O125,CoefficientsIndex,0))</f>
        <v>0</v>
      </c>
      <c r="AH125">
        <f>AE125*P125+(Q125-Z125)*AF125+AG125</f>
        <v>0</v>
      </c>
      <c r="AI125">
        <f>IF(ISNUMBER(AD125),AD125,AH125)</f>
        <v>0</v>
      </c>
      <c r="AJ125">
        <f>IF(ISNUMBER(AI125),IF(ISNUMBER(AE125),IF(AND(AE125=1,AF125=1,AG125=1),100,ROUND(100*EXP(AI125)/(1+EXP(AI125)),2)),ROUND(100*EXP(AI125)/(1+EXP(AI125)),2)),IF(ISTEXT(O125),IF(LEFT(O125,1)="2",100,"N/A"),"N/A"))</f>
        <v>0</v>
      </c>
      <c r="AK125">
        <f>IF(ISNUMBER(AJ125),IF(AJ125&gt;=99,IF(OR(R125=10,R125=11),MatchLabel,SureThingLabel),IF(AJ125&gt;=95,SecureLabel,IF(AJ125&gt;=80,SafetyLabel,IF(AJ125&gt;=50,MatchLabel,IF(AJ125&gt;=20,ReachLabel,IF(AJ125&gt;=10,LongshotLabel,HailMaryLabel)))))),"Other")</f>
        <v>0</v>
      </c>
      <c r="AL125">
        <f>IF(OR(I125="accepted",I125="cond. accept",I125="summer admit"),IF(J125="yes","CHOICE!","Accepted!"),IF(I125="denied","Denied",IF(K125=1,"Waitlist",IF(L125=1,"Deferred",IF(G125="pending","Pending",IF(OR(G125="initial materials submitted",G125="mid-year submitted",G125="final submitted"),"Submitted",IF(H125="interest","Interest","?")))))))</f>
        <v>0</v>
      </c>
      <c r="AM125">
        <f>IF(OR(AK125=ReachLabel,AK125=LongshotLabel,AK125=HailMaryLabel),1,0)</f>
        <v>0</v>
      </c>
      <c r="AN125">
        <f>IF(OR(AM125=1,AK125=MatchLabel),1,0)</f>
        <v>0</v>
      </c>
      <c r="AO125">
        <f>IF(OR(AK125=MatchLabel,AK125=SafetyLabel,AK125=SecureLabel,AK125=SureThingLabel),1,0)</f>
        <v>0</v>
      </c>
      <c r="AP125">
        <f>IF(OR(T125="H",T125="B"),IF(ISNUMBER(Y125),ROUND(Y125,2),0),IF(ISNUMBER(X125),ROUND(X125,2),0))</f>
        <v>0</v>
      </c>
      <c r="AQ125">
        <f>IF(AP125&gt;=U125,1,0)</f>
        <v>0</v>
      </c>
      <c r="AR125">
        <f>IF(AP125&gt;=V125,1,0)</f>
        <v>0</v>
      </c>
      <c r="AS125">
        <f>IF(AP125&lt;(U125-0.10),1,0)</f>
        <v>0</v>
      </c>
      <c r="AT125">
        <f>1-AJ125/100</f>
        <v>0</v>
      </c>
      <c r="AU125">
        <f>IF(AN125=1,AT125,1)</f>
        <v>0</v>
      </c>
      <c r="AV125">
        <f>IF(AM125=1,AT125,1)</f>
        <v>0</v>
      </c>
      <c r="AW125">
        <f>IF(AND(AQ125=1,ISNUMBER(AT125)),$AT125,1)</f>
        <v>0</v>
      </c>
      <c r="AX125">
        <f>IF(AND(AR125=1,ISNUMBER(AT125)),$AT125,1)</f>
        <v>0</v>
      </c>
      <c r="AY125">
        <f>IF(ISNUMBER(Y125),INDEX(AllCollegeMoney, MATCH(N125,AllCollegeNCES,0)),0)</f>
        <v>0</v>
      </c>
      <c r="AZ125">
        <f>IF(AND(AQ125=1,ISNUMBER(AT125),AY125=1),$AT125,1)</f>
        <v>0</v>
      </c>
      <c r="BA125">
        <f>IF(AND(AR125=1,ISNUMBER(AT125),AY125=1),$AT125,1)</f>
        <v>0</v>
      </c>
      <c r="BB125">
        <f>IF(ISNUMBER(Y125),INDEX(AllCollegeILPub, MATCH(N125,AllCollegeNCES,0)),0)</f>
        <v>0</v>
      </c>
      <c r="BC125">
        <f>IF(AK125=ReachLabel,AP125,0)</f>
        <v>0</v>
      </c>
      <c r="BD125">
        <f>IF(AK125=MatchLabel,AP125,0)</f>
        <v>0</v>
      </c>
      <c r="BE125">
        <f>IF(AK125=SafetyLabel,AP125,0)</f>
        <v>0</v>
      </c>
      <c r="BF125">
        <f>IF(AK125=SecureLabel,AP125,0)</f>
        <v>0</v>
      </c>
      <c r="BG125">
        <f>IF(AK125=SureThingLabel,AP125,0)</f>
        <v>0</v>
      </c>
      <c r="BH125">
        <f>MAX(BC125:BG125)</f>
        <v>0</v>
      </c>
      <c r="BI125">
        <f>MAX(BD125:BG125)</f>
        <v>0</v>
      </c>
      <c r="BJ125">
        <f>MAX(BE125:BG125)</f>
        <v>0</v>
      </c>
      <c r="BK125">
        <f>IF(AND(AK125=ReachLabel,AY125=1),AP125,0)</f>
        <v>0</v>
      </c>
      <c r="BL125">
        <f>IF(AND(AK125=MatchLabel,AY125=1),AP125,0)</f>
        <v>0</v>
      </c>
      <c r="BM125">
        <f>IF(AND(AK125=SafetyLabel,AY125=1),AP125,0)</f>
        <v>0</v>
      </c>
      <c r="BN125">
        <f>IF(AND(AK125=SecureLabel,AY125=1),AP125,0)</f>
        <v>0</v>
      </c>
      <c r="BO125">
        <f>IF(AND(AK125=SureThingLabel,AY125=1),AP125,0)</f>
        <v>0</v>
      </c>
      <c r="BP125">
        <f>MAX(BK125:BO125)</f>
        <v>0</v>
      </c>
      <c r="BQ125">
        <f>MAX(BL125:BO125)</f>
        <v>0</v>
      </c>
      <c r="BR125">
        <f>MAX(BM125:BO125)</f>
        <v>0</v>
      </c>
      <c r="BS125">
        <f>IF(ISNUMBER(Y125),INDEX(AllCollegeChicago, MATCH(N125,AllCollegeNCES,0))*AY125,0)</f>
        <v>0</v>
      </c>
      <c r="BT125">
        <f>IF(ISNUMBER(Y125),INDEX(AllCollegeMoneyCode, MATCH(N125,AllCollegeNCES,0)),"?")</f>
        <v>0</v>
      </c>
      <c r="BU125">
        <f>IF(OR(BT125="---",BT125="--",BT125="+/--",BT125="+/---"),1,0)</f>
        <v>0</v>
      </c>
      <c r="BV125">
        <f>AY125*AO125*AQ125</f>
        <v>0</v>
      </c>
    </row>
    <row r="126" spans="1:74">
      <c r="A126" t="s">
        <v>86</v>
      </c>
      <c r="B126">
        <v>22489025</v>
      </c>
      <c r="C126" t="s">
        <v>221</v>
      </c>
      <c r="D126" t="s">
        <v>222</v>
      </c>
      <c r="E126" t="s">
        <v>428</v>
      </c>
      <c r="F126" t="s">
        <v>498</v>
      </c>
      <c r="G126" t="s">
        <v>463</v>
      </c>
      <c r="H126" t="s">
        <v>431</v>
      </c>
      <c r="I126" t="s">
        <v>432</v>
      </c>
      <c r="J126" t="s">
        <v>432</v>
      </c>
      <c r="K126">
        <v>0</v>
      </c>
      <c r="L126" t="s">
        <v>428</v>
      </c>
      <c r="M126" t="s">
        <v>428</v>
      </c>
      <c r="N126">
        <v>215293</v>
      </c>
      <c r="O126">
        <f>INDEX(AllCollegeBarrons,MATCH(N126,AllCollegeNCES,0))</f>
        <v>0</v>
      </c>
      <c r="P126">
        <f>INDEX(KidGPAs,MATCH(B126,KidIDs,0))</f>
        <v>0</v>
      </c>
      <c r="Q126">
        <f>INDEX(KidACTs,MATCH(B126,KidIDs,0))</f>
        <v>0</v>
      </c>
      <c r="R126">
        <f>INDEX(Strats,MATCH(B126,KidIDs,0))</f>
        <v>0</v>
      </c>
      <c r="S126">
        <f>INDEX(KidRace,MATCH(B126,KidIDs,0))</f>
        <v>0</v>
      </c>
      <c r="T126">
        <f>IF(OR(S126="M",S126="I"),"H",S126)</f>
        <v>0</v>
      </c>
      <c r="U126">
        <f>INDEX(StudentTargets,MATCH(B126,KidIDs,0))</f>
        <v>0</v>
      </c>
      <c r="V126">
        <f>INDEX(ReachStudentTargets,MATCH(B126,KidIDs,0))</f>
        <v>0</v>
      </c>
      <c r="W126">
        <f>IF(OR(M126="Posse"),1,0)</f>
        <v>0</v>
      </c>
      <c r="X126">
        <f>IF(ISNUMBER(INDEX(AllCollegeGR, MATCH(N126,AllCollegeNCES,0))),ROUND(INDEX(AllCollegeGR, MATCH(N126,AllCollegeNCES,0))+W126*IF(INDEX(AllCollegeGR, MATCH(N126,AllCollegeNCES,0))&gt;0.7,(1-INDEX(AllCollegeGR, MATCH(N126,AllCollegeNCES,0)))/2,0.15),2),INDEX(AllCollegeGR, MATCH(N126,AllCollegeNCES,0)))</f>
        <v>0</v>
      </c>
      <c r="Y126">
        <f>IF(ISNUMBER(INDEX(AllCollegeAAHGR, MATCH(N126,AllCollegeNCES,0))),ROUND(INDEX(AllCollegeAAHGR, MATCH(N126,AllCollegeNCES,0))+W126*IF(INDEX(AllCollegeAAHGR, MATCH(N126,AllCollegeNCES,0))&gt;0.7,(1-INDEX(AllCollegeAAHGR, MATCH(N126,AllCollegeNCES,0)))/2,0.15),2),INDEX(AllCollegeAAHGR, MATCH(N126,AllCollegeNCES,0)))</f>
        <v>0</v>
      </c>
      <c r="Z126">
        <f>IF(OR(T126="H",T126="B"),INDEX(AllCollegeACT25, MATCH(N126,AllCollegeNCES,0)),INDEX(AllCollegeACT50, MATCH(N126,AllCollegeNCES,0)))</f>
        <v>0</v>
      </c>
      <c r="AA126">
        <f>INDEX(CustomWeightsGPA,MATCH(T126&amp;":"&amp;N126,CustomWeightsIndex,0))</f>
        <v>0</v>
      </c>
      <c r="AB126">
        <f>INDEX(CustomWeightsACT,MATCH(T126&amp;":"&amp;N126,CustomWeightsIndex,0))</f>
        <v>0</v>
      </c>
      <c r="AC126">
        <f>INDEX(CustomWeightsIntercept,MATCH(T126&amp;":"&amp;N126,CustomWeightsIndex,0))</f>
        <v>0</v>
      </c>
      <c r="AD126">
        <f>AA126*P126+AB126*Q126+AC126</f>
        <v>0</v>
      </c>
      <c r="AE126">
        <f>INDEX(CoefficientsGPA,MATCH(T126&amp;":"&amp;O126,CoefficientsIndex,0))</f>
        <v>0</v>
      </c>
      <c r="AF126">
        <f>INDEX(CoefficientsACT,MATCH(T126&amp;":"&amp;O126,CoefficientsIndex,0))</f>
        <v>0</v>
      </c>
      <c r="AG126">
        <f>INDEX(CoefficientsIntercept,MATCH(T126&amp;":"&amp;O126,CoefficientsIndex,0))</f>
        <v>0</v>
      </c>
      <c r="AH126">
        <f>AE126*P126+(Q126-Z126)*AF126+AG126</f>
        <v>0</v>
      </c>
      <c r="AI126">
        <f>IF(ISNUMBER(AD126),AD126,AH126)</f>
        <v>0</v>
      </c>
      <c r="AJ126">
        <f>IF(ISNUMBER(AI126),IF(ISNUMBER(AE126),IF(AND(AE126=1,AF126=1,AG126=1),100,ROUND(100*EXP(AI126)/(1+EXP(AI126)),2)),ROUND(100*EXP(AI126)/(1+EXP(AI126)),2)),IF(ISTEXT(O126),IF(LEFT(O126,1)="2",100,"N/A"),"N/A"))</f>
        <v>0</v>
      </c>
      <c r="AK126">
        <f>IF(ISNUMBER(AJ126),IF(AJ126&gt;=99,IF(OR(R126=10,R126=11),MatchLabel,SureThingLabel),IF(AJ126&gt;=95,SecureLabel,IF(AJ126&gt;=80,SafetyLabel,IF(AJ126&gt;=50,MatchLabel,IF(AJ126&gt;=20,ReachLabel,IF(AJ126&gt;=10,LongshotLabel,HailMaryLabel)))))),"Other")</f>
        <v>0</v>
      </c>
      <c r="AL126">
        <f>IF(OR(I126="accepted",I126="cond. accept",I126="summer admit"),IF(J126="yes","CHOICE!","Accepted!"),IF(I126="denied","Denied",IF(K126=1,"Waitlist",IF(L126=1,"Deferred",IF(G126="pending","Pending",IF(OR(G126="initial materials submitted",G126="mid-year submitted",G126="final submitted"),"Submitted",IF(H126="interest","Interest","?")))))))</f>
        <v>0</v>
      </c>
      <c r="AM126">
        <f>IF(OR(AK126=ReachLabel,AK126=LongshotLabel,AK126=HailMaryLabel),1,0)</f>
        <v>0</v>
      </c>
      <c r="AN126">
        <f>IF(OR(AM126=1,AK126=MatchLabel),1,0)</f>
        <v>0</v>
      </c>
      <c r="AO126">
        <f>IF(OR(AK126=MatchLabel,AK126=SafetyLabel,AK126=SecureLabel,AK126=SureThingLabel),1,0)</f>
        <v>0</v>
      </c>
      <c r="AP126">
        <f>IF(OR(T126="H",T126="B"),IF(ISNUMBER(Y126),ROUND(Y126,2),0),IF(ISNUMBER(X126),ROUND(X126,2),0))</f>
        <v>0</v>
      </c>
      <c r="AQ126">
        <f>IF(AP126&gt;=U126,1,0)</f>
        <v>0</v>
      </c>
      <c r="AR126">
        <f>IF(AP126&gt;=V126,1,0)</f>
        <v>0</v>
      </c>
      <c r="AS126">
        <f>IF(AP126&lt;(U126-0.10),1,0)</f>
        <v>0</v>
      </c>
      <c r="AT126">
        <f>1-AJ126/100</f>
        <v>0</v>
      </c>
      <c r="AU126">
        <f>IF(AN126=1,AT126,1)</f>
        <v>0</v>
      </c>
      <c r="AV126">
        <f>IF(AM126=1,AT126,1)</f>
        <v>0</v>
      </c>
      <c r="AW126">
        <f>IF(AND(AQ126=1,ISNUMBER(AT126)),$AT126,1)</f>
        <v>0</v>
      </c>
      <c r="AX126">
        <f>IF(AND(AR126=1,ISNUMBER(AT126)),$AT126,1)</f>
        <v>0</v>
      </c>
      <c r="AY126">
        <f>IF(ISNUMBER(Y126),INDEX(AllCollegeMoney, MATCH(N126,AllCollegeNCES,0)),0)</f>
        <v>0</v>
      </c>
      <c r="AZ126">
        <f>IF(AND(AQ126=1,ISNUMBER(AT126),AY126=1),$AT126,1)</f>
        <v>0</v>
      </c>
      <c r="BA126">
        <f>IF(AND(AR126=1,ISNUMBER(AT126),AY126=1),$AT126,1)</f>
        <v>0</v>
      </c>
      <c r="BB126">
        <f>IF(ISNUMBER(Y126),INDEX(AllCollegeILPub, MATCH(N126,AllCollegeNCES,0)),0)</f>
        <v>0</v>
      </c>
      <c r="BC126">
        <f>IF(AK126=ReachLabel,AP126,0)</f>
        <v>0</v>
      </c>
      <c r="BD126">
        <f>IF(AK126=MatchLabel,AP126,0)</f>
        <v>0</v>
      </c>
      <c r="BE126">
        <f>IF(AK126=SafetyLabel,AP126,0)</f>
        <v>0</v>
      </c>
      <c r="BF126">
        <f>IF(AK126=SecureLabel,AP126,0)</f>
        <v>0</v>
      </c>
      <c r="BG126">
        <f>IF(AK126=SureThingLabel,AP126,0)</f>
        <v>0</v>
      </c>
      <c r="BH126">
        <f>MAX(BC126:BG126)</f>
        <v>0</v>
      </c>
      <c r="BI126">
        <f>MAX(BD126:BG126)</f>
        <v>0</v>
      </c>
      <c r="BJ126">
        <f>MAX(BE126:BG126)</f>
        <v>0</v>
      </c>
      <c r="BK126">
        <f>IF(AND(AK126=ReachLabel,AY126=1),AP126,0)</f>
        <v>0</v>
      </c>
      <c r="BL126">
        <f>IF(AND(AK126=MatchLabel,AY126=1),AP126,0)</f>
        <v>0</v>
      </c>
      <c r="BM126">
        <f>IF(AND(AK126=SafetyLabel,AY126=1),AP126,0)</f>
        <v>0</v>
      </c>
      <c r="BN126">
        <f>IF(AND(AK126=SecureLabel,AY126=1),AP126,0)</f>
        <v>0</v>
      </c>
      <c r="BO126">
        <f>IF(AND(AK126=SureThingLabel,AY126=1),AP126,0)</f>
        <v>0</v>
      </c>
      <c r="BP126">
        <f>MAX(BK126:BO126)</f>
        <v>0</v>
      </c>
      <c r="BQ126">
        <f>MAX(BL126:BO126)</f>
        <v>0</v>
      </c>
      <c r="BR126">
        <f>MAX(BM126:BO126)</f>
        <v>0</v>
      </c>
      <c r="BS126">
        <f>IF(ISNUMBER(Y126),INDEX(AllCollegeChicago, MATCH(N126,AllCollegeNCES,0))*AY126,0)</f>
        <v>0</v>
      </c>
      <c r="BT126">
        <f>IF(ISNUMBER(Y126),INDEX(AllCollegeMoneyCode, MATCH(N126,AllCollegeNCES,0)),"?")</f>
        <v>0</v>
      </c>
      <c r="BU126">
        <f>IF(OR(BT126="---",BT126="--",BT126="+/--",BT126="+/---"),1,0)</f>
        <v>0</v>
      </c>
      <c r="BV126">
        <f>AY126*AO126*AQ126</f>
        <v>0</v>
      </c>
    </row>
    <row r="127" spans="1:74">
      <c r="A127" t="s">
        <v>86</v>
      </c>
      <c r="B127">
        <v>22489025</v>
      </c>
      <c r="C127" t="s">
        <v>221</v>
      </c>
      <c r="D127" t="s">
        <v>222</v>
      </c>
      <c r="E127" t="s">
        <v>428</v>
      </c>
      <c r="F127" t="s">
        <v>471</v>
      </c>
      <c r="G127" t="s">
        <v>430</v>
      </c>
      <c r="H127" t="s">
        <v>431</v>
      </c>
      <c r="I127" t="s">
        <v>432</v>
      </c>
      <c r="J127" t="s">
        <v>432</v>
      </c>
      <c r="K127">
        <v>0</v>
      </c>
      <c r="L127" t="s">
        <v>428</v>
      </c>
      <c r="M127" t="s">
        <v>428</v>
      </c>
      <c r="N127">
        <v>170301</v>
      </c>
      <c r="O127">
        <f>INDEX(AllCollegeBarrons,MATCH(N127,AllCollegeNCES,0))</f>
        <v>0</v>
      </c>
      <c r="P127">
        <f>INDEX(KidGPAs,MATCH(B127,KidIDs,0))</f>
        <v>0</v>
      </c>
      <c r="Q127">
        <f>INDEX(KidACTs,MATCH(B127,KidIDs,0))</f>
        <v>0</v>
      </c>
      <c r="R127">
        <f>INDEX(Strats,MATCH(B127,KidIDs,0))</f>
        <v>0</v>
      </c>
      <c r="S127">
        <f>INDEX(KidRace,MATCH(B127,KidIDs,0))</f>
        <v>0</v>
      </c>
      <c r="T127">
        <f>IF(OR(S127="M",S127="I"),"H",S127)</f>
        <v>0</v>
      </c>
      <c r="U127">
        <f>INDEX(StudentTargets,MATCH(B127,KidIDs,0))</f>
        <v>0</v>
      </c>
      <c r="V127">
        <f>INDEX(ReachStudentTargets,MATCH(B127,KidIDs,0))</f>
        <v>0</v>
      </c>
      <c r="W127">
        <f>IF(OR(M127="Posse"),1,0)</f>
        <v>0</v>
      </c>
      <c r="X127">
        <f>IF(ISNUMBER(INDEX(AllCollegeGR, MATCH(N127,AllCollegeNCES,0))),ROUND(INDEX(AllCollegeGR, MATCH(N127,AllCollegeNCES,0))+W127*IF(INDEX(AllCollegeGR, MATCH(N127,AllCollegeNCES,0))&gt;0.7,(1-INDEX(AllCollegeGR, MATCH(N127,AllCollegeNCES,0)))/2,0.15),2),INDEX(AllCollegeGR, MATCH(N127,AllCollegeNCES,0)))</f>
        <v>0</v>
      </c>
      <c r="Y127">
        <f>IF(ISNUMBER(INDEX(AllCollegeAAHGR, MATCH(N127,AllCollegeNCES,0))),ROUND(INDEX(AllCollegeAAHGR, MATCH(N127,AllCollegeNCES,0))+W127*IF(INDEX(AllCollegeAAHGR, MATCH(N127,AllCollegeNCES,0))&gt;0.7,(1-INDEX(AllCollegeAAHGR, MATCH(N127,AllCollegeNCES,0)))/2,0.15),2),INDEX(AllCollegeAAHGR, MATCH(N127,AllCollegeNCES,0)))</f>
        <v>0</v>
      </c>
      <c r="Z127">
        <f>IF(OR(T127="H",T127="B"),INDEX(AllCollegeACT25, MATCH(N127,AllCollegeNCES,0)),INDEX(AllCollegeACT50, MATCH(N127,AllCollegeNCES,0)))</f>
        <v>0</v>
      </c>
      <c r="AA127">
        <f>INDEX(CustomWeightsGPA,MATCH(T127&amp;":"&amp;N127,CustomWeightsIndex,0))</f>
        <v>0</v>
      </c>
      <c r="AB127">
        <f>INDEX(CustomWeightsACT,MATCH(T127&amp;":"&amp;N127,CustomWeightsIndex,0))</f>
        <v>0</v>
      </c>
      <c r="AC127">
        <f>INDEX(CustomWeightsIntercept,MATCH(T127&amp;":"&amp;N127,CustomWeightsIndex,0))</f>
        <v>0</v>
      </c>
      <c r="AD127">
        <f>AA127*P127+AB127*Q127+AC127</f>
        <v>0</v>
      </c>
      <c r="AE127">
        <f>INDEX(CoefficientsGPA,MATCH(T127&amp;":"&amp;O127,CoefficientsIndex,0))</f>
        <v>0</v>
      </c>
      <c r="AF127">
        <f>INDEX(CoefficientsACT,MATCH(T127&amp;":"&amp;O127,CoefficientsIndex,0))</f>
        <v>0</v>
      </c>
      <c r="AG127">
        <f>INDEX(CoefficientsIntercept,MATCH(T127&amp;":"&amp;O127,CoefficientsIndex,0))</f>
        <v>0</v>
      </c>
      <c r="AH127">
        <f>AE127*P127+(Q127-Z127)*AF127+AG127</f>
        <v>0</v>
      </c>
      <c r="AI127">
        <f>IF(ISNUMBER(AD127),AD127,AH127)</f>
        <v>0</v>
      </c>
      <c r="AJ127">
        <f>IF(ISNUMBER(AI127),IF(ISNUMBER(AE127),IF(AND(AE127=1,AF127=1,AG127=1),100,ROUND(100*EXP(AI127)/(1+EXP(AI127)),2)),ROUND(100*EXP(AI127)/(1+EXP(AI127)),2)),IF(ISTEXT(O127),IF(LEFT(O127,1)="2",100,"N/A"),"N/A"))</f>
        <v>0</v>
      </c>
      <c r="AK127">
        <f>IF(ISNUMBER(AJ127),IF(AJ127&gt;=99,IF(OR(R127=10,R127=11),MatchLabel,SureThingLabel),IF(AJ127&gt;=95,SecureLabel,IF(AJ127&gt;=80,SafetyLabel,IF(AJ127&gt;=50,MatchLabel,IF(AJ127&gt;=20,ReachLabel,IF(AJ127&gt;=10,LongshotLabel,HailMaryLabel)))))),"Other")</f>
        <v>0</v>
      </c>
      <c r="AL127">
        <f>IF(OR(I127="accepted",I127="cond. accept",I127="summer admit"),IF(J127="yes","CHOICE!","Accepted!"),IF(I127="denied","Denied",IF(K127=1,"Waitlist",IF(L127=1,"Deferred",IF(G127="pending","Pending",IF(OR(G127="initial materials submitted",G127="mid-year submitted",G127="final submitted"),"Submitted",IF(H127="interest","Interest","?")))))))</f>
        <v>0</v>
      </c>
      <c r="AM127">
        <f>IF(OR(AK127=ReachLabel,AK127=LongshotLabel,AK127=HailMaryLabel),1,0)</f>
        <v>0</v>
      </c>
      <c r="AN127">
        <f>IF(OR(AM127=1,AK127=MatchLabel),1,0)</f>
        <v>0</v>
      </c>
      <c r="AO127">
        <f>IF(OR(AK127=MatchLabel,AK127=SafetyLabel,AK127=SecureLabel,AK127=SureThingLabel),1,0)</f>
        <v>0</v>
      </c>
      <c r="AP127">
        <f>IF(OR(T127="H",T127="B"),IF(ISNUMBER(Y127),ROUND(Y127,2),0),IF(ISNUMBER(X127),ROUND(X127,2),0))</f>
        <v>0</v>
      </c>
      <c r="AQ127">
        <f>IF(AP127&gt;=U127,1,0)</f>
        <v>0</v>
      </c>
      <c r="AR127">
        <f>IF(AP127&gt;=V127,1,0)</f>
        <v>0</v>
      </c>
      <c r="AS127">
        <f>IF(AP127&lt;(U127-0.10),1,0)</f>
        <v>0</v>
      </c>
      <c r="AT127">
        <f>1-AJ127/100</f>
        <v>0</v>
      </c>
      <c r="AU127">
        <f>IF(AN127=1,AT127,1)</f>
        <v>0</v>
      </c>
      <c r="AV127">
        <f>IF(AM127=1,AT127,1)</f>
        <v>0</v>
      </c>
      <c r="AW127">
        <f>IF(AND(AQ127=1,ISNUMBER(AT127)),$AT127,1)</f>
        <v>0</v>
      </c>
      <c r="AX127">
        <f>IF(AND(AR127=1,ISNUMBER(AT127)),$AT127,1)</f>
        <v>0</v>
      </c>
      <c r="AY127">
        <f>IF(ISNUMBER(Y127),INDEX(AllCollegeMoney, MATCH(N127,AllCollegeNCES,0)),0)</f>
        <v>0</v>
      </c>
      <c r="AZ127">
        <f>IF(AND(AQ127=1,ISNUMBER(AT127),AY127=1),$AT127,1)</f>
        <v>0</v>
      </c>
      <c r="BA127">
        <f>IF(AND(AR127=1,ISNUMBER(AT127),AY127=1),$AT127,1)</f>
        <v>0</v>
      </c>
      <c r="BB127">
        <f>IF(ISNUMBER(Y127),INDEX(AllCollegeILPub, MATCH(N127,AllCollegeNCES,0)),0)</f>
        <v>0</v>
      </c>
      <c r="BC127">
        <f>IF(AK127=ReachLabel,AP127,0)</f>
        <v>0</v>
      </c>
      <c r="BD127">
        <f>IF(AK127=MatchLabel,AP127,0)</f>
        <v>0</v>
      </c>
      <c r="BE127">
        <f>IF(AK127=SafetyLabel,AP127,0)</f>
        <v>0</v>
      </c>
      <c r="BF127">
        <f>IF(AK127=SecureLabel,AP127,0)</f>
        <v>0</v>
      </c>
      <c r="BG127">
        <f>IF(AK127=SureThingLabel,AP127,0)</f>
        <v>0</v>
      </c>
      <c r="BH127">
        <f>MAX(BC127:BG127)</f>
        <v>0</v>
      </c>
      <c r="BI127">
        <f>MAX(BD127:BG127)</f>
        <v>0</v>
      </c>
      <c r="BJ127">
        <f>MAX(BE127:BG127)</f>
        <v>0</v>
      </c>
      <c r="BK127">
        <f>IF(AND(AK127=ReachLabel,AY127=1),AP127,0)</f>
        <v>0</v>
      </c>
      <c r="BL127">
        <f>IF(AND(AK127=MatchLabel,AY127=1),AP127,0)</f>
        <v>0</v>
      </c>
      <c r="BM127">
        <f>IF(AND(AK127=SafetyLabel,AY127=1),AP127,0)</f>
        <v>0</v>
      </c>
      <c r="BN127">
        <f>IF(AND(AK127=SecureLabel,AY127=1),AP127,0)</f>
        <v>0</v>
      </c>
      <c r="BO127">
        <f>IF(AND(AK127=SureThingLabel,AY127=1),AP127,0)</f>
        <v>0</v>
      </c>
      <c r="BP127">
        <f>MAX(BK127:BO127)</f>
        <v>0</v>
      </c>
      <c r="BQ127">
        <f>MAX(BL127:BO127)</f>
        <v>0</v>
      </c>
      <c r="BR127">
        <f>MAX(BM127:BO127)</f>
        <v>0</v>
      </c>
      <c r="BS127">
        <f>IF(ISNUMBER(Y127),INDEX(AllCollegeChicago, MATCH(N127,AllCollegeNCES,0))*AY127,0)</f>
        <v>0</v>
      </c>
      <c r="BT127">
        <f>IF(ISNUMBER(Y127),INDEX(AllCollegeMoneyCode, MATCH(N127,AllCollegeNCES,0)),"?")</f>
        <v>0</v>
      </c>
      <c r="BU127">
        <f>IF(OR(BT127="---",BT127="--",BT127="+/--",BT127="+/---"),1,0)</f>
        <v>0</v>
      </c>
      <c r="BV127">
        <f>AY127*AO127*AQ127</f>
        <v>0</v>
      </c>
    </row>
    <row r="128" spans="1:74">
      <c r="A128" t="s">
        <v>86</v>
      </c>
      <c r="B128">
        <v>22489025</v>
      </c>
      <c r="C128" t="s">
        <v>221</v>
      </c>
      <c r="D128" t="s">
        <v>222</v>
      </c>
      <c r="E128" t="s">
        <v>428</v>
      </c>
      <c r="F128" t="s">
        <v>461</v>
      </c>
      <c r="G128" t="s">
        <v>430</v>
      </c>
      <c r="H128" t="s">
        <v>431</v>
      </c>
      <c r="I128" t="s">
        <v>432</v>
      </c>
      <c r="J128" t="s">
        <v>432</v>
      </c>
      <c r="K128">
        <v>0</v>
      </c>
      <c r="L128" t="s">
        <v>428</v>
      </c>
      <c r="M128" t="s">
        <v>428</v>
      </c>
      <c r="N128">
        <v>153834</v>
      </c>
      <c r="O128">
        <f>INDEX(AllCollegeBarrons,MATCH(N128,AllCollegeNCES,0))</f>
        <v>0</v>
      </c>
      <c r="P128">
        <f>INDEX(KidGPAs,MATCH(B128,KidIDs,0))</f>
        <v>0</v>
      </c>
      <c r="Q128">
        <f>INDEX(KidACTs,MATCH(B128,KidIDs,0))</f>
        <v>0</v>
      </c>
      <c r="R128">
        <f>INDEX(Strats,MATCH(B128,KidIDs,0))</f>
        <v>0</v>
      </c>
      <c r="S128">
        <f>INDEX(KidRace,MATCH(B128,KidIDs,0))</f>
        <v>0</v>
      </c>
      <c r="T128">
        <f>IF(OR(S128="M",S128="I"),"H",S128)</f>
        <v>0</v>
      </c>
      <c r="U128">
        <f>INDEX(StudentTargets,MATCH(B128,KidIDs,0))</f>
        <v>0</v>
      </c>
      <c r="V128">
        <f>INDEX(ReachStudentTargets,MATCH(B128,KidIDs,0))</f>
        <v>0</v>
      </c>
      <c r="W128">
        <f>IF(OR(M128="Posse"),1,0)</f>
        <v>0</v>
      </c>
      <c r="X128">
        <f>IF(ISNUMBER(INDEX(AllCollegeGR, MATCH(N128,AllCollegeNCES,0))),ROUND(INDEX(AllCollegeGR, MATCH(N128,AllCollegeNCES,0))+W128*IF(INDEX(AllCollegeGR, MATCH(N128,AllCollegeNCES,0))&gt;0.7,(1-INDEX(AllCollegeGR, MATCH(N128,AllCollegeNCES,0)))/2,0.15),2),INDEX(AllCollegeGR, MATCH(N128,AllCollegeNCES,0)))</f>
        <v>0</v>
      </c>
      <c r="Y128">
        <f>IF(ISNUMBER(INDEX(AllCollegeAAHGR, MATCH(N128,AllCollegeNCES,0))),ROUND(INDEX(AllCollegeAAHGR, MATCH(N128,AllCollegeNCES,0))+W128*IF(INDEX(AllCollegeAAHGR, MATCH(N128,AllCollegeNCES,0))&gt;0.7,(1-INDEX(AllCollegeAAHGR, MATCH(N128,AllCollegeNCES,0)))/2,0.15),2),INDEX(AllCollegeAAHGR, MATCH(N128,AllCollegeNCES,0)))</f>
        <v>0</v>
      </c>
      <c r="Z128">
        <f>IF(OR(T128="H",T128="B"),INDEX(AllCollegeACT25, MATCH(N128,AllCollegeNCES,0)),INDEX(AllCollegeACT50, MATCH(N128,AllCollegeNCES,0)))</f>
        <v>0</v>
      </c>
      <c r="AA128">
        <f>INDEX(CustomWeightsGPA,MATCH(T128&amp;":"&amp;N128,CustomWeightsIndex,0))</f>
        <v>0</v>
      </c>
      <c r="AB128">
        <f>INDEX(CustomWeightsACT,MATCH(T128&amp;":"&amp;N128,CustomWeightsIndex,0))</f>
        <v>0</v>
      </c>
      <c r="AC128">
        <f>INDEX(CustomWeightsIntercept,MATCH(T128&amp;":"&amp;N128,CustomWeightsIndex,0))</f>
        <v>0</v>
      </c>
      <c r="AD128">
        <f>AA128*P128+AB128*Q128+AC128</f>
        <v>0</v>
      </c>
      <c r="AE128">
        <f>INDEX(CoefficientsGPA,MATCH(T128&amp;":"&amp;O128,CoefficientsIndex,0))</f>
        <v>0</v>
      </c>
      <c r="AF128">
        <f>INDEX(CoefficientsACT,MATCH(T128&amp;":"&amp;O128,CoefficientsIndex,0))</f>
        <v>0</v>
      </c>
      <c r="AG128">
        <f>INDEX(CoefficientsIntercept,MATCH(T128&amp;":"&amp;O128,CoefficientsIndex,0))</f>
        <v>0</v>
      </c>
      <c r="AH128">
        <f>AE128*P128+(Q128-Z128)*AF128+AG128</f>
        <v>0</v>
      </c>
      <c r="AI128">
        <f>IF(ISNUMBER(AD128),AD128,AH128)</f>
        <v>0</v>
      </c>
      <c r="AJ128">
        <f>IF(ISNUMBER(AI128),IF(ISNUMBER(AE128),IF(AND(AE128=1,AF128=1,AG128=1),100,ROUND(100*EXP(AI128)/(1+EXP(AI128)),2)),ROUND(100*EXP(AI128)/(1+EXP(AI128)),2)),IF(ISTEXT(O128),IF(LEFT(O128,1)="2",100,"N/A"),"N/A"))</f>
        <v>0</v>
      </c>
      <c r="AK128">
        <f>IF(ISNUMBER(AJ128),IF(AJ128&gt;=99,IF(OR(R128=10,R128=11),MatchLabel,SureThingLabel),IF(AJ128&gt;=95,SecureLabel,IF(AJ128&gt;=80,SafetyLabel,IF(AJ128&gt;=50,MatchLabel,IF(AJ128&gt;=20,ReachLabel,IF(AJ128&gt;=10,LongshotLabel,HailMaryLabel)))))),"Other")</f>
        <v>0</v>
      </c>
      <c r="AL128">
        <f>IF(OR(I128="accepted",I128="cond. accept",I128="summer admit"),IF(J128="yes","CHOICE!","Accepted!"),IF(I128="denied","Denied",IF(K128=1,"Waitlist",IF(L128=1,"Deferred",IF(G128="pending","Pending",IF(OR(G128="initial materials submitted",G128="mid-year submitted",G128="final submitted"),"Submitted",IF(H128="interest","Interest","?")))))))</f>
        <v>0</v>
      </c>
      <c r="AM128">
        <f>IF(OR(AK128=ReachLabel,AK128=LongshotLabel,AK128=HailMaryLabel),1,0)</f>
        <v>0</v>
      </c>
      <c r="AN128">
        <f>IF(OR(AM128=1,AK128=MatchLabel),1,0)</f>
        <v>0</v>
      </c>
      <c r="AO128">
        <f>IF(OR(AK128=MatchLabel,AK128=SafetyLabel,AK128=SecureLabel,AK128=SureThingLabel),1,0)</f>
        <v>0</v>
      </c>
      <c r="AP128">
        <f>IF(OR(T128="H",T128="B"),IF(ISNUMBER(Y128),ROUND(Y128,2),0),IF(ISNUMBER(X128),ROUND(X128,2),0))</f>
        <v>0</v>
      </c>
      <c r="AQ128">
        <f>IF(AP128&gt;=U128,1,0)</f>
        <v>0</v>
      </c>
      <c r="AR128">
        <f>IF(AP128&gt;=V128,1,0)</f>
        <v>0</v>
      </c>
      <c r="AS128">
        <f>IF(AP128&lt;(U128-0.10),1,0)</f>
        <v>0</v>
      </c>
      <c r="AT128">
        <f>1-AJ128/100</f>
        <v>0</v>
      </c>
      <c r="AU128">
        <f>IF(AN128=1,AT128,1)</f>
        <v>0</v>
      </c>
      <c r="AV128">
        <f>IF(AM128=1,AT128,1)</f>
        <v>0</v>
      </c>
      <c r="AW128">
        <f>IF(AND(AQ128=1,ISNUMBER(AT128)),$AT128,1)</f>
        <v>0</v>
      </c>
      <c r="AX128">
        <f>IF(AND(AR128=1,ISNUMBER(AT128)),$AT128,1)</f>
        <v>0</v>
      </c>
      <c r="AY128">
        <f>IF(ISNUMBER(Y128),INDEX(AllCollegeMoney, MATCH(N128,AllCollegeNCES,0)),0)</f>
        <v>0</v>
      </c>
      <c r="AZ128">
        <f>IF(AND(AQ128=1,ISNUMBER(AT128),AY128=1),$AT128,1)</f>
        <v>0</v>
      </c>
      <c r="BA128">
        <f>IF(AND(AR128=1,ISNUMBER(AT128),AY128=1),$AT128,1)</f>
        <v>0</v>
      </c>
      <c r="BB128">
        <f>IF(ISNUMBER(Y128),INDEX(AllCollegeILPub, MATCH(N128,AllCollegeNCES,0)),0)</f>
        <v>0</v>
      </c>
      <c r="BC128">
        <f>IF(AK128=ReachLabel,AP128,0)</f>
        <v>0</v>
      </c>
      <c r="BD128">
        <f>IF(AK128=MatchLabel,AP128,0)</f>
        <v>0</v>
      </c>
      <c r="BE128">
        <f>IF(AK128=SafetyLabel,AP128,0)</f>
        <v>0</v>
      </c>
      <c r="BF128">
        <f>IF(AK128=SecureLabel,AP128,0)</f>
        <v>0</v>
      </c>
      <c r="BG128">
        <f>IF(AK128=SureThingLabel,AP128,0)</f>
        <v>0</v>
      </c>
      <c r="BH128">
        <f>MAX(BC128:BG128)</f>
        <v>0</v>
      </c>
      <c r="BI128">
        <f>MAX(BD128:BG128)</f>
        <v>0</v>
      </c>
      <c r="BJ128">
        <f>MAX(BE128:BG128)</f>
        <v>0</v>
      </c>
      <c r="BK128">
        <f>IF(AND(AK128=ReachLabel,AY128=1),AP128,0)</f>
        <v>0</v>
      </c>
      <c r="BL128">
        <f>IF(AND(AK128=MatchLabel,AY128=1),AP128,0)</f>
        <v>0</v>
      </c>
      <c r="BM128">
        <f>IF(AND(AK128=SafetyLabel,AY128=1),AP128,0)</f>
        <v>0</v>
      </c>
      <c r="BN128">
        <f>IF(AND(AK128=SecureLabel,AY128=1),AP128,0)</f>
        <v>0</v>
      </c>
      <c r="BO128">
        <f>IF(AND(AK128=SureThingLabel,AY128=1),AP128,0)</f>
        <v>0</v>
      </c>
      <c r="BP128">
        <f>MAX(BK128:BO128)</f>
        <v>0</v>
      </c>
      <c r="BQ128">
        <f>MAX(BL128:BO128)</f>
        <v>0</v>
      </c>
      <c r="BR128">
        <f>MAX(BM128:BO128)</f>
        <v>0</v>
      </c>
      <c r="BS128">
        <f>IF(ISNUMBER(Y128),INDEX(AllCollegeChicago, MATCH(N128,AllCollegeNCES,0))*AY128,0)</f>
        <v>0</v>
      </c>
      <c r="BT128">
        <f>IF(ISNUMBER(Y128),INDEX(AllCollegeMoneyCode, MATCH(N128,AllCollegeNCES,0)),"?")</f>
        <v>0</v>
      </c>
      <c r="BU128">
        <f>IF(OR(BT128="---",BT128="--",BT128="+/--",BT128="+/---"),1,0)</f>
        <v>0</v>
      </c>
      <c r="BV128">
        <f>AY128*AO128*AQ128</f>
        <v>0</v>
      </c>
    </row>
    <row r="129" spans="1:74">
      <c r="A129" t="s">
        <v>86</v>
      </c>
      <c r="B129">
        <v>22489025</v>
      </c>
      <c r="C129" t="s">
        <v>221</v>
      </c>
      <c r="D129" t="s">
        <v>222</v>
      </c>
      <c r="E129" t="s">
        <v>428</v>
      </c>
      <c r="F129" t="s">
        <v>462</v>
      </c>
      <c r="G129" t="s">
        <v>463</v>
      </c>
      <c r="H129" t="s">
        <v>431</v>
      </c>
      <c r="I129" t="s">
        <v>432</v>
      </c>
      <c r="J129" t="s">
        <v>432</v>
      </c>
      <c r="K129">
        <v>0</v>
      </c>
      <c r="L129" t="s">
        <v>428</v>
      </c>
      <c r="M129" t="s">
        <v>428</v>
      </c>
      <c r="N129">
        <v>168546</v>
      </c>
      <c r="O129">
        <f>INDEX(AllCollegeBarrons,MATCH(N129,AllCollegeNCES,0))</f>
        <v>0</v>
      </c>
      <c r="P129">
        <f>INDEX(KidGPAs,MATCH(B129,KidIDs,0))</f>
        <v>0</v>
      </c>
      <c r="Q129">
        <f>INDEX(KidACTs,MATCH(B129,KidIDs,0))</f>
        <v>0</v>
      </c>
      <c r="R129">
        <f>INDEX(Strats,MATCH(B129,KidIDs,0))</f>
        <v>0</v>
      </c>
      <c r="S129">
        <f>INDEX(KidRace,MATCH(B129,KidIDs,0))</f>
        <v>0</v>
      </c>
      <c r="T129">
        <f>IF(OR(S129="M",S129="I"),"H",S129)</f>
        <v>0</v>
      </c>
      <c r="U129">
        <f>INDEX(StudentTargets,MATCH(B129,KidIDs,0))</f>
        <v>0</v>
      </c>
      <c r="V129">
        <f>INDEX(ReachStudentTargets,MATCH(B129,KidIDs,0))</f>
        <v>0</v>
      </c>
      <c r="W129">
        <f>IF(OR(M129="Posse"),1,0)</f>
        <v>0</v>
      </c>
      <c r="X129">
        <f>IF(ISNUMBER(INDEX(AllCollegeGR, MATCH(N129,AllCollegeNCES,0))),ROUND(INDEX(AllCollegeGR, MATCH(N129,AllCollegeNCES,0))+W129*IF(INDEX(AllCollegeGR, MATCH(N129,AllCollegeNCES,0))&gt;0.7,(1-INDEX(AllCollegeGR, MATCH(N129,AllCollegeNCES,0)))/2,0.15),2),INDEX(AllCollegeGR, MATCH(N129,AllCollegeNCES,0)))</f>
        <v>0</v>
      </c>
      <c r="Y129">
        <f>IF(ISNUMBER(INDEX(AllCollegeAAHGR, MATCH(N129,AllCollegeNCES,0))),ROUND(INDEX(AllCollegeAAHGR, MATCH(N129,AllCollegeNCES,0))+W129*IF(INDEX(AllCollegeAAHGR, MATCH(N129,AllCollegeNCES,0))&gt;0.7,(1-INDEX(AllCollegeAAHGR, MATCH(N129,AllCollegeNCES,0)))/2,0.15),2),INDEX(AllCollegeAAHGR, MATCH(N129,AllCollegeNCES,0)))</f>
        <v>0</v>
      </c>
      <c r="Z129">
        <f>IF(OR(T129="H",T129="B"),INDEX(AllCollegeACT25, MATCH(N129,AllCollegeNCES,0)),INDEX(AllCollegeACT50, MATCH(N129,AllCollegeNCES,0)))</f>
        <v>0</v>
      </c>
      <c r="AA129">
        <f>INDEX(CustomWeightsGPA,MATCH(T129&amp;":"&amp;N129,CustomWeightsIndex,0))</f>
        <v>0</v>
      </c>
      <c r="AB129">
        <f>INDEX(CustomWeightsACT,MATCH(T129&amp;":"&amp;N129,CustomWeightsIndex,0))</f>
        <v>0</v>
      </c>
      <c r="AC129">
        <f>INDEX(CustomWeightsIntercept,MATCH(T129&amp;":"&amp;N129,CustomWeightsIndex,0))</f>
        <v>0</v>
      </c>
      <c r="AD129">
        <f>AA129*P129+AB129*Q129+AC129</f>
        <v>0</v>
      </c>
      <c r="AE129">
        <f>INDEX(CoefficientsGPA,MATCH(T129&amp;":"&amp;O129,CoefficientsIndex,0))</f>
        <v>0</v>
      </c>
      <c r="AF129">
        <f>INDEX(CoefficientsACT,MATCH(T129&amp;":"&amp;O129,CoefficientsIndex,0))</f>
        <v>0</v>
      </c>
      <c r="AG129">
        <f>INDEX(CoefficientsIntercept,MATCH(T129&amp;":"&amp;O129,CoefficientsIndex,0))</f>
        <v>0</v>
      </c>
      <c r="AH129">
        <f>AE129*P129+(Q129-Z129)*AF129+AG129</f>
        <v>0</v>
      </c>
      <c r="AI129">
        <f>IF(ISNUMBER(AD129),AD129,AH129)</f>
        <v>0</v>
      </c>
      <c r="AJ129">
        <f>IF(ISNUMBER(AI129),IF(ISNUMBER(AE129),IF(AND(AE129=1,AF129=1,AG129=1),100,ROUND(100*EXP(AI129)/(1+EXP(AI129)),2)),ROUND(100*EXP(AI129)/(1+EXP(AI129)),2)),IF(ISTEXT(O129),IF(LEFT(O129,1)="2",100,"N/A"),"N/A"))</f>
        <v>0</v>
      </c>
      <c r="AK129">
        <f>IF(ISNUMBER(AJ129),IF(AJ129&gt;=99,IF(OR(R129=10,R129=11),MatchLabel,SureThingLabel),IF(AJ129&gt;=95,SecureLabel,IF(AJ129&gt;=80,SafetyLabel,IF(AJ129&gt;=50,MatchLabel,IF(AJ129&gt;=20,ReachLabel,IF(AJ129&gt;=10,LongshotLabel,HailMaryLabel)))))),"Other")</f>
        <v>0</v>
      </c>
      <c r="AL129">
        <f>IF(OR(I129="accepted",I129="cond. accept",I129="summer admit"),IF(J129="yes","CHOICE!","Accepted!"),IF(I129="denied","Denied",IF(K129=1,"Waitlist",IF(L129=1,"Deferred",IF(G129="pending","Pending",IF(OR(G129="initial materials submitted",G129="mid-year submitted",G129="final submitted"),"Submitted",IF(H129="interest","Interest","?")))))))</f>
        <v>0</v>
      </c>
      <c r="AM129">
        <f>IF(OR(AK129=ReachLabel,AK129=LongshotLabel,AK129=HailMaryLabel),1,0)</f>
        <v>0</v>
      </c>
      <c r="AN129">
        <f>IF(OR(AM129=1,AK129=MatchLabel),1,0)</f>
        <v>0</v>
      </c>
      <c r="AO129">
        <f>IF(OR(AK129=MatchLabel,AK129=SafetyLabel,AK129=SecureLabel,AK129=SureThingLabel),1,0)</f>
        <v>0</v>
      </c>
      <c r="AP129">
        <f>IF(OR(T129="H",T129="B"),IF(ISNUMBER(Y129),ROUND(Y129,2),0),IF(ISNUMBER(X129),ROUND(X129,2),0))</f>
        <v>0</v>
      </c>
      <c r="AQ129">
        <f>IF(AP129&gt;=U129,1,0)</f>
        <v>0</v>
      </c>
      <c r="AR129">
        <f>IF(AP129&gt;=V129,1,0)</f>
        <v>0</v>
      </c>
      <c r="AS129">
        <f>IF(AP129&lt;(U129-0.10),1,0)</f>
        <v>0</v>
      </c>
      <c r="AT129">
        <f>1-AJ129/100</f>
        <v>0</v>
      </c>
      <c r="AU129">
        <f>IF(AN129=1,AT129,1)</f>
        <v>0</v>
      </c>
      <c r="AV129">
        <f>IF(AM129=1,AT129,1)</f>
        <v>0</v>
      </c>
      <c r="AW129">
        <f>IF(AND(AQ129=1,ISNUMBER(AT129)),$AT129,1)</f>
        <v>0</v>
      </c>
      <c r="AX129">
        <f>IF(AND(AR129=1,ISNUMBER(AT129)),$AT129,1)</f>
        <v>0</v>
      </c>
      <c r="AY129">
        <f>IF(ISNUMBER(Y129),INDEX(AllCollegeMoney, MATCH(N129,AllCollegeNCES,0)),0)</f>
        <v>0</v>
      </c>
      <c r="AZ129">
        <f>IF(AND(AQ129=1,ISNUMBER(AT129),AY129=1),$AT129,1)</f>
        <v>0</v>
      </c>
      <c r="BA129">
        <f>IF(AND(AR129=1,ISNUMBER(AT129),AY129=1),$AT129,1)</f>
        <v>0</v>
      </c>
      <c r="BB129">
        <f>IF(ISNUMBER(Y129),INDEX(AllCollegeILPub, MATCH(N129,AllCollegeNCES,0)),0)</f>
        <v>0</v>
      </c>
      <c r="BC129">
        <f>IF(AK129=ReachLabel,AP129,0)</f>
        <v>0</v>
      </c>
      <c r="BD129">
        <f>IF(AK129=MatchLabel,AP129,0)</f>
        <v>0</v>
      </c>
      <c r="BE129">
        <f>IF(AK129=SafetyLabel,AP129,0)</f>
        <v>0</v>
      </c>
      <c r="BF129">
        <f>IF(AK129=SecureLabel,AP129,0)</f>
        <v>0</v>
      </c>
      <c r="BG129">
        <f>IF(AK129=SureThingLabel,AP129,0)</f>
        <v>0</v>
      </c>
      <c r="BH129">
        <f>MAX(BC129:BG129)</f>
        <v>0</v>
      </c>
      <c r="BI129">
        <f>MAX(BD129:BG129)</f>
        <v>0</v>
      </c>
      <c r="BJ129">
        <f>MAX(BE129:BG129)</f>
        <v>0</v>
      </c>
      <c r="BK129">
        <f>IF(AND(AK129=ReachLabel,AY129=1),AP129,0)</f>
        <v>0</v>
      </c>
      <c r="BL129">
        <f>IF(AND(AK129=MatchLabel,AY129=1),AP129,0)</f>
        <v>0</v>
      </c>
      <c r="BM129">
        <f>IF(AND(AK129=SafetyLabel,AY129=1),AP129,0)</f>
        <v>0</v>
      </c>
      <c r="BN129">
        <f>IF(AND(AK129=SecureLabel,AY129=1),AP129,0)</f>
        <v>0</v>
      </c>
      <c r="BO129">
        <f>IF(AND(AK129=SureThingLabel,AY129=1),AP129,0)</f>
        <v>0</v>
      </c>
      <c r="BP129">
        <f>MAX(BK129:BO129)</f>
        <v>0</v>
      </c>
      <c r="BQ129">
        <f>MAX(BL129:BO129)</f>
        <v>0</v>
      </c>
      <c r="BR129">
        <f>MAX(BM129:BO129)</f>
        <v>0</v>
      </c>
      <c r="BS129">
        <f>IF(ISNUMBER(Y129),INDEX(AllCollegeChicago, MATCH(N129,AllCollegeNCES,0))*AY129,0)</f>
        <v>0</v>
      </c>
      <c r="BT129">
        <f>IF(ISNUMBER(Y129),INDEX(AllCollegeMoneyCode, MATCH(N129,AllCollegeNCES,0)),"?")</f>
        <v>0</v>
      </c>
      <c r="BU129">
        <f>IF(OR(BT129="---",BT129="--",BT129="+/--",BT129="+/---"),1,0)</f>
        <v>0</v>
      </c>
      <c r="BV129">
        <f>AY129*AO129*AQ129</f>
        <v>0</v>
      </c>
    </row>
    <row r="130" spans="1:74">
      <c r="A130" t="s">
        <v>86</v>
      </c>
      <c r="B130">
        <v>22489025</v>
      </c>
      <c r="C130" t="s">
        <v>221</v>
      </c>
      <c r="D130" t="s">
        <v>222</v>
      </c>
      <c r="E130" t="s">
        <v>428</v>
      </c>
      <c r="F130" t="s">
        <v>438</v>
      </c>
      <c r="G130" t="s">
        <v>463</v>
      </c>
      <c r="H130" t="s">
        <v>431</v>
      </c>
      <c r="I130" t="s">
        <v>432</v>
      </c>
      <c r="J130" t="s">
        <v>432</v>
      </c>
      <c r="K130">
        <v>0</v>
      </c>
      <c r="L130" t="s">
        <v>428</v>
      </c>
      <c r="M130" t="s">
        <v>439</v>
      </c>
      <c r="N130">
        <v>150774</v>
      </c>
      <c r="O130">
        <f>INDEX(AllCollegeBarrons,MATCH(N130,AllCollegeNCES,0))</f>
        <v>0</v>
      </c>
      <c r="P130">
        <f>INDEX(KidGPAs,MATCH(B130,KidIDs,0))</f>
        <v>0</v>
      </c>
      <c r="Q130">
        <f>INDEX(KidACTs,MATCH(B130,KidIDs,0))</f>
        <v>0</v>
      </c>
      <c r="R130">
        <f>INDEX(Strats,MATCH(B130,KidIDs,0))</f>
        <v>0</v>
      </c>
      <c r="S130">
        <f>INDEX(KidRace,MATCH(B130,KidIDs,0))</f>
        <v>0</v>
      </c>
      <c r="T130">
        <f>IF(OR(S130="M",S130="I"),"H",S130)</f>
        <v>0</v>
      </c>
      <c r="U130">
        <f>INDEX(StudentTargets,MATCH(B130,KidIDs,0))</f>
        <v>0</v>
      </c>
      <c r="V130">
        <f>INDEX(ReachStudentTargets,MATCH(B130,KidIDs,0))</f>
        <v>0</v>
      </c>
      <c r="W130">
        <f>IF(OR(M130="Posse"),1,0)</f>
        <v>0</v>
      </c>
      <c r="X130">
        <f>IF(ISNUMBER(INDEX(AllCollegeGR, MATCH(N130,AllCollegeNCES,0))),ROUND(INDEX(AllCollegeGR, MATCH(N130,AllCollegeNCES,0))+W130*IF(INDEX(AllCollegeGR, MATCH(N130,AllCollegeNCES,0))&gt;0.7,(1-INDEX(AllCollegeGR, MATCH(N130,AllCollegeNCES,0)))/2,0.15),2),INDEX(AllCollegeGR, MATCH(N130,AllCollegeNCES,0)))</f>
        <v>0</v>
      </c>
      <c r="Y130">
        <f>IF(ISNUMBER(INDEX(AllCollegeAAHGR, MATCH(N130,AllCollegeNCES,0))),ROUND(INDEX(AllCollegeAAHGR, MATCH(N130,AllCollegeNCES,0))+W130*IF(INDEX(AllCollegeAAHGR, MATCH(N130,AllCollegeNCES,0))&gt;0.7,(1-INDEX(AllCollegeAAHGR, MATCH(N130,AllCollegeNCES,0)))/2,0.15),2),INDEX(AllCollegeAAHGR, MATCH(N130,AllCollegeNCES,0)))</f>
        <v>0</v>
      </c>
      <c r="Z130">
        <f>IF(OR(T130="H",T130="B"),INDEX(AllCollegeACT25, MATCH(N130,AllCollegeNCES,0)),INDEX(AllCollegeACT50, MATCH(N130,AllCollegeNCES,0)))</f>
        <v>0</v>
      </c>
      <c r="AA130">
        <f>INDEX(CustomWeightsGPA,MATCH(T130&amp;":"&amp;N130,CustomWeightsIndex,0))</f>
        <v>0</v>
      </c>
      <c r="AB130">
        <f>INDEX(CustomWeightsACT,MATCH(T130&amp;":"&amp;N130,CustomWeightsIndex,0))</f>
        <v>0</v>
      </c>
      <c r="AC130">
        <f>INDEX(CustomWeightsIntercept,MATCH(T130&amp;":"&amp;N130,CustomWeightsIndex,0))</f>
        <v>0</v>
      </c>
      <c r="AD130">
        <f>AA130*P130+AB130*Q130+AC130</f>
        <v>0</v>
      </c>
      <c r="AE130">
        <f>INDEX(CoefficientsGPA,MATCH(T130&amp;":"&amp;O130,CoefficientsIndex,0))</f>
        <v>0</v>
      </c>
      <c r="AF130">
        <f>INDEX(CoefficientsACT,MATCH(T130&amp;":"&amp;O130,CoefficientsIndex,0))</f>
        <v>0</v>
      </c>
      <c r="AG130">
        <f>INDEX(CoefficientsIntercept,MATCH(T130&amp;":"&amp;O130,CoefficientsIndex,0))</f>
        <v>0</v>
      </c>
      <c r="AH130">
        <f>AE130*P130+(Q130-Z130)*AF130+AG130</f>
        <v>0</v>
      </c>
      <c r="AI130">
        <f>IF(ISNUMBER(AD130),AD130,AH130)</f>
        <v>0</v>
      </c>
      <c r="AJ130">
        <f>IF(ISNUMBER(AI130),IF(ISNUMBER(AE130),IF(AND(AE130=1,AF130=1,AG130=1),100,ROUND(100*EXP(AI130)/(1+EXP(AI130)),2)),ROUND(100*EXP(AI130)/(1+EXP(AI130)),2)),IF(ISTEXT(O130),IF(LEFT(O130,1)="2",100,"N/A"),"N/A"))</f>
        <v>0</v>
      </c>
      <c r="AK130">
        <f>IF(ISNUMBER(AJ130),IF(AJ130&gt;=99,IF(OR(R130=10,R130=11),MatchLabel,SureThingLabel),IF(AJ130&gt;=95,SecureLabel,IF(AJ130&gt;=80,SafetyLabel,IF(AJ130&gt;=50,MatchLabel,IF(AJ130&gt;=20,ReachLabel,IF(AJ130&gt;=10,LongshotLabel,HailMaryLabel)))))),"Other")</f>
        <v>0</v>
      </c>
      <c r="AL130">
        <f>IF(OR(I130="accepted",I130="cond. accept",I130="summer admit"),IF(J130="yes","CHOICE!","Accepted!"),IF(I130="denied","Denied",IF(K130=1,"Waitlist",IF(L130=1,"Deferred",IF(G130="pending","Pending",IF(OR(G130="initial materials submitted",G130="mid-year submitted",G130="final submitted"),"Submitted",IF(H130="interest","Interest","?")))))))</f>
        <v>0</v>
      </c>
      <c r="AM130">
        <f>IF(OR(AK130=ReachLabel,AK130=LongshotLabel,AK130=HailMaryLabel),1,0)</f>
        <v>0</v>
      </c>
      <c r="AN130">
        <f>IF(OR(AM130=1,AK130=MatchLabel),1,0)</f>
        <v>0</v>
      </c>
      <c r="AO130">
        <f>IF(OR(AK130=MatchLabel,AK130=SafetyLabel,AK130=SecureLabel,AK130=SureThingLabel),1,0)</f>
        <v>0</v>
      </c>
      <c r="AP130">
        <f>IF(OR(T130="H",T130="B"),IF(ISNUMBER(Y130),ROUND(Y130,2),0),IF(ISNUMBER(X130),ROUND(X130,2),0))</f>
        <v>0</v>
      </c>
      <c r="AQ130">
        <f>IF(AP130&gt;=U130,1,0)</f>
        <v>0</v>
      </c>
      <c r="AR130">
        <f>IF(AP130&gt;=V130,1,0)</f>
        <v>0</v>
      </c>
      <c r="AS130">
        <f>IF(AP130&lt;(U130-0.10),1,0)</f>
        <v>0</v>
      </c>
      <c r="AT130">
        <f>1-AJ130/100</f>
        <v>0</v>
      </c>
      <c r="AU130">
        <f>IF(AN130=1,AT130,1)</f>
        <v>0</v>
      </c>
      <c r="AV130">
        <f>IF(AM130=1,AT130,1)</f>
        <v>0</v>
      </c>
      <c r="AW130">
        <f>IF(AND(AQ130=1,ISNUMBER(AT130)),$AT130,1)</f>
        <v>0</v>
      </c>
      <c r="AX130">
        <f>IF(AND(AR130=1,ISNUMBER(AT130)),$AT130,1)</f>
        <v>0</v>
      </c>
      <c r="AY130">
        <f>IF(ISNUMBER(Y130),INDEX(AllCollegeMoney, MATCH(N130,AllCollegeNCES,0)),0)</f>
        <v>0</v>
      </c>
      <c r="AZ130">
        <f>IF(AND(AQ130=1,ISNUMBER(AT130),AY130=1),$AT130,1)</f>
        <v>0</v>
      </c>
      <c r="BA130">
        <f>IF(AND(AR130=1,ISNUMBER(AT130),AY130=1),$AT130,1)</f>
        <v>0</v>
      </c>
      <c r="BB130">
        <f>IF(ISNUMBER(Y130),INDEX(AllCollegeILPub, MATCH(N130,AllCollegeNCES,0)),0)</f>
        <v>0</v>
      </c>
      <c r="BC130">
        <f>IF(AK130=ReachLabel,AP130,0)</f>
        <v>0</v>
      </c>
      <c r="BD130">
        <f>IF(AK130=MatchLabel,AP130,0)</f>
        <v>0</v>
      </c>
      <c r="BE130">
        <f>IF(AK130=SafetyLabel,AP130,0)</f>
        <v>0</v>
      </c>
      <c r="BF130">
        <f>IF(AK130=SecureLabel,AP130,0)</f>
        <v>0</v>
      </c>
      <c r="BG130">
        <f>IF(AK130=SureThingLabel,AP130,0)</f>
        <v>0</v>
      </c>
      <c r="BH130">
        <f>MAX(BC130:BG130)</f>
        <v>0</v>
      </c>
      <c r="BI130">
        <f>MAX(BD130:BG130)</f>
        <v>0</v>
      </c>
      <c r="BJ130">
        <f>MAX(BE130:BG130)</f>
        <v>0</v>
      </c>
      <c r="BK130">
        <f>IF(AND(AK130=ReachLabel,AY130=1),AP130,0)</f>
        <v>0</v>
      </c>
      <c r="BL130">
        <f>IF(AND(AK130=MatchLabel,AY130=1),AP130,0)</f>
        <v>0</v>
      </c>
      <c r="BM130">
        <f>IF(AND(AK130=SafetyLabel,AY130=1),AP130,0)</f>
        <v>0</v>
      </c>
      <c r="BN130">
        <f>IF(AND(AK130=SecureLabel,AY130=1),AP130,0)</f>
        <v>0</v>
      </c>
      <c r="BO130">
        <f>IF(AND(AK130=SureThingLabel,AY130=1),AP130,0)</f>
        <v>0</v>
      </c>
      <c r="BP130">
        <f>MAX(BK130:BO130)</f>
        <v>0</v>
      </c>
      <c r="BQ130">
        <f>MAX(BL130:BO130)</f>
        <v>0</v>
      </c>
      <c r="BR130">
        <f>MAX(BM130:BO130)</f>
        <v>0</v>
      </c>
      <c r="BS130">
        <f>IF(ISNUMBER(Y130),INDEX(AllCollegeChicago, MATCH(N130,AllCollegeNCES,0))*AY130,0)</f>
        <v>0</v>
      </c>
      <c r="BT130">
        <f>IF(ISNUMBER(Y130),INDEX(AllCollegeMoneyCode, MATCH(N130,AllCollegeNCES,0)),"?")</f>
        <v>0</v>
      </c>
      <c r="BU130">
        <f>IF(OR(BT130="---",BT130="--",BT130="+/--",BT130="+/---"),1,0)</f>
        <v>0</v>
      </c>
      <c r="BV130">
        <f>AY130*AO130*AQ130</f>
        <v>0</v>
      </c>
    </row>
    <row r="131" spans="1:74">
      <c r="A131" t="s">
        <v>86</v>
      </c>
      <c r="B131">
        <v>22511393</v>
      </c>
      <c r="C131" t="s">
        <v>200</v>
      </c>
      <c r="D131" t="s">
        <v>201</v>
      </c>
      <c r="E131" t="s">
        <v>428</v>
      </c>
      <c r="F131" t="s">
        <v>467</v>
      </c>
      <c r="G131" t="s">
        <v>430</v>
      </c>
      <c r="H131" t="s">
        <v>431</v>
      </c>
      <c r="I131" t="s">
        <v>432</v>
      </c>
      <c r="J131" t="s">
        <v>432</v>
      </c>
      <c r="K131">
        <v>0</v>
      </c>
      <c r="L131" t="s">
        <v>428</v>
      </c>
      <c r="M131" t="s">
        <v>428</v>
      </c>
      <c r="N131">
        <v>170976</v>
      </c>
      <c r="O131">
        <f>INDEX(AllCollegeBarrons,MATCH(N131,AllCollegeNCES,0))</f>
        <v>0</v>
      </c>
      <c r="P131">
        <f>INDEX(KidGPAs,MATCH(B131,KidIDs,0))</f>
        <v>0</v>
      </c>
      <c r="Q131">
        <f>INDEX(KidACTs,MATCH(B131,KidIDs,0))</f>
        <v>0</v>
      </c>
      <c r="R131">
        <f>INDEX(Strats,MATCH(B131,KidIDs,0))</f>
        <v>0</v>
      </c>
      <c r="S131">
        <f>INDEX(KidRace,MATCH(B131,KidIDs,0))</f>
        <v>0</v>
      </c>
      <c r="T131">
        <f>IF(OR(S131="M",S131="I"),"H",S131)</f>
        <v>0</v>
      </c>
      <c r="U131">
        <f>INDEX(StudentTargets,MATCH(B131,KidIDs,0))</f>
        <v>0</v>
      </c>
      <c r="V131">
        <f>INDEX(ReachStudentTargets,MATCH(B131,KidIDs,0))</f>
        <v>0</v>
      </c>
      <c r="W131">
        <f>IF(OR(M131="Posse"),1,0)</f>
        <v>0</v>
      </c>
      <c r="X131">
        <f>IF(ISNUMBER(INDEX(AllCollegeGR, MATCH(N131,AllCollegeNCES,0))),ROUND(INDEX(AllCollegeGR, MATCH(N131,AllCollegeNCES,0))+W131*IF(INDEX(AllCollegeGR, MATCH(N131,AllCollegeNCES,0))&gt;0.7,(1-INDEX(AllCollegeGR, MATCH(N131,AllCollegeNCES,0)))/2,0.15),2),INDEX(AllCollegeGR, MATCH(N131,AllCollegeNCES,0)))</f>
        <v>0</v>
      </c>
      <c r="Y131">
        <f>IF(ISNUMBER(INDEX(AllCollegeAAHGR, MATCH(N131,AllCollegeNCES,0))),ROUND(INDEX(AllCollegeAAHGR, MATCH(N131,AllCollegeNCES,0))+W131*IF(INDEX(AllCollegeAAHGR, MATCH(N131,AllCollegeNCES,0))&gt;0.7,(1-INDEX(AllCollegeAAHGR, MATCH(N131,AllCollegeNCES,0)))/2,0.15),2),INDEX(AllCollegeAAHGR, MATCH(N131,AllCollegeNCES,0)))</f>
        <v>0</v>
      </c>
      <c r="Z131">
        <f>IF(OR(T131="H",T131="B"),INDEX(AllCollegeACT25, MATCH(N131,AllCollegeNCES,0)),INDEX(AllCollegeACT50, MATCH(N131,AllCollegeNCES,0)))</f>
        <v>0</v>
      </c>
      <c r="AA131">
        <f>INDEX(CustomWeightsGPA,MATCH(T131&amp;":"&amp;N131,CustomWeightsIndex,0))</f>
        <v>0</v>
      </c>
      <c r="AB131">
        <f>INDEX(CustomWeightsACT,MATCH(T131&amp;":"&amp;N131,CustomWeightsIndex,0))</f>
        <v>0</v>
      </c>
      <c r="AC131">
        <f>INDEX(CustomWeightsIntercept,MATCH(T131&amp;":"&amp;N131,CustomWeightsIndex,0))</f>
        <v>0</v>
      </c>
      <c r="AD131">
        <f>AA131*P131+AB131*Q131+AC131</f>
        <v>0</v>
      </c>
      <c r="AE131">
        <f>INDEX(CoefficientsGPA,MATCH(T131&amp;":"&amp;O131,CoefficientsIndex,0))</f>
        <v>0</v>
      </c>
      <c r="AF131">
        <f>INDEX(CoefficientsACT,MATCH(T131&amp;":"&amp;O131,CoefficientsIndex,0))</f>
        <v>0</v>
      </c>
      <c r="AG131">
        <f>INDEX(CoefficientsIntercept,MATCH(T131&amp;":"&amp;O131,CoefficientsIndex,0))</f>
        <v>0</v>
      </c>
      <c r="AH131">
        <f>AE131*P131+(Q131-Z131)*AF131+AG131</f>
        <v>0</v>
      </c>
      <c r="AI131">
        <f>IF(ISNUMBER(AD131),AD131,AH131)</f>
        <v>0</v>
      </c>
      <c r="AJ131">
        <f>IF(ISNUMBER(AI131),IF(ISNUMBER(AE131),IF(AND(AE131=1,AF131=1,AG131=1),100,ROUND(100*EXP(AI131)/(1+EXP(AI131)),2)),ROUND(100*EXP(AI131)/(1+EXP(AI131)),2)),IF(ISTEXT(O131),IF(LEFT(O131,1)="2",100,"N/A"),"N/A"))</f>
        <v>0</v>
      </c>
      <c r="AK131">
        <f>IF(ISNUMBER(AJ131),IF(AJ131&gt;=99,IF(OR(R131=10,R131=11),MatchLabel,SureThingLabel),IF(AJ131&gt;=95,SecureLabel,IF(AJ131&gt;=80,SafetyLabel,IF(AJ131&gt;=50,MatchLabel,IF(AJ131&gt;=20,ReachLabel,IF(AJ131&gt;=10,LongshotLabel,HailMaryLabel)))))),"Other")</f>
        <v>0</v>
      </c>
      <c r="AL131">
        <f>IF(OR(I131="accepted",I131="cond. accept",I131="summer admit"),IF(J131="yes","CHOICE!","Accepted!"),IF(I131="denied","Denied",IF(K131=1,"Waitlist",IF(L131=1,"Deferred",IF(G131="pending","Pending",IF(OR(G131="initial materials submitted",G131="mid-year submitted",G131="final submitted"),"Submitted",IF(H131="interest","Interest","?")))))))</f>
        <v>0</v>
      </c>
      <c r="AM131">
        <f>IF(OR(AK131=ReachLabel,AK131=LongshotLabel,AK131=HailMaryLabel),1,0)</f>
        <v>0</v>
      </c>
      <c r="AN131">
        <f>IF(OR(AM131=1,AK131=MatchLabel),1,0)</f>
        <v>0</v>
      </c>
      <c r="AO131">
        <f>IF(OR(AK131=MatchLabel,AK131=SafetyLabel,AK131=SecureLabel,AK131=SureThingLabel),1,0)</f>
        <v>0</v>
      </c>
      <c r="AP131">
        <f>IF(OR(T131="H",T131="B"),IF(ISNUMBER(Y131),ROUND(Y131,2),0),IF(ISNUMBER(X131),ROUND(X131,2),0))</f>
        <v>0</v>
      </c>
      <c r="AQ131">
        <f>IF(AP131&gt;=U131,1,0)</f>
        <v>0</v>
      </c>
      <c r="AR131">
        <f>IF(AP131&gt;=V131,1,0)</f>
        <v>0</v>
      </c>
      <c r="AS131">
        <f>IF(AP131&lt;(U131-0.10),1,0)</f>
        <v>0</v>
      </c>
      <c r="AT131">
        <f>1-AJ131/100</f>
        <v>0</v>
      </c>
      <c r="AU131">
        <f>IF(AN131=1,AT131,1)</f>
        <v>0</v>
      </c>
      <c r="AV131">
        <f>IF(AM131=1,AT131,1)</f>
        <v>0</v>
      </c>
      <c r="AW131">
        <f>IF(AND(AQ131=1,ISNUMBER(AT131)),$AT131,1)</f>
        <v>0</v>
      </c>
      <c r="AX131">
        <f>IF(AND(AR131=1,ISNUMBER(AT131)),$AT131,1)</f>
        <v>0</v>
      </c>
      <c r="AY131">
        <f>IF(ISNUMBER(Y131),INDEX(AllCollegeMoney, MATCH(N131,AllCollegeNCES,0)),0)</f>
        <v>0</v>
      </c>
      <c r="AZ131">
        <f>IF(AND(AQ131=1,ISNUMBER(AT131),AY131=1),$AT131,1)</f>
        <v>0</v>
      </c>
      <c r="BA131">
        <f>IF(AND(AR131=1,ISNUMBER(AT131),AY131=1),$AT131,1)</f>
        <v>0</v>
      </c>
      <c r="BB131">
        <f>IF(ISNUMBER(Y131),INDEX(AllCollegeILPub, MATCH(N131,AllCollegeNCES,0)),0)</f>
        <v>0</v>
      </c>
      <c r="BC131">
        <f>IF(AK131=ReachLabel,AP131,0)</f>
        <v>0</v>
      </c>
      <c r="BD131">
        <f>IF(AK131=MatchLabel,AP131,0)</f>
        <v>0</v>
      </c>
      <c r="BE131">
        <f>IF(AK131=SafetyLabel,AP131,0)</f>
        <v>0</v>
      </c>
      <c r="BF131">
        <f>IF(AK131=SecureLabel,AP131,0)</f>
        <v>0</v>
      </c>
      <c r="BG131">
        <f>IF(AK131=SureThingLabel,AP131,0)</f>
        <v>0</v>
      </c>
      <c r="BH131">
        <f>MAX(BC131:BG131)</f>
        <v>0</v>
      </c>
      <c r="BI131">
        <f>MAX(BD131:BG131)</f>
        <v>0</v>
      </c>
      <c r="BJ131">
        <f>MAX(BE131:BG131)</f>
        <v>0</v>
      </c>
      <c r="BK131">
        <f>IF(AND(AK131=ReachLabel,AY131=1),AP131,0)</f>
        <v>0</v>
      </c>
      <c r="BL131">
        <f>IF(AND(AK131=MatchLabel,AY131=1),AP131,0)</f>
        <v>0</v>
      </c>
      <c r="BM131">
        <f>IF(AND(AK131=SafetyLabel,AY131=1),AP131,0)</f>
        <v>0</v>
      </c>
      <c r="BN131">
        <f>IF(AND(AK131=SecureLabel,AY131=1),AP131,0)</f>
        <v>0</v>
      </c>
      <c r="BO131">
        <f>IF(AND(AK131=SureThingLabel,AY131=1),AP131,0)</f>
        <v>0</v>
      </c>
      <c r="BP131">
        <f>MAX(BK131:BO131)</f>
        <v>0</v>
      </c>
      <c r="BQ131">
        <f>MAX(BL131:BO131)</f>
        <v>0</v>
      </c>
      <c r="BR131">
        <f>MAX(BM131:BO131)</f>
        <v>0</v>
      </c>
      <c r="BS131">
        <f>IF(ISNUMBER(Y131),INDEX(AllCollegeChicago, MATCH(N131,AllCollegeNCES,0))*AY131,0)</f>
        <v>0</v>
      </c>
      <c r="BT131">
        <f>IF(ISNUMBER(Y131),INDEX(AllCollegeMoneyCode, MATCH(N131,AllCollegeNCES,0)),"?")</f>
        <v>0</v>
      </c>
      <c r="BU131">
        <f>IF(OR(BT131="---",BT131="--",BT131="+/--",BT131="+/---"),1,0)</f>
        <v>0</v>
      </c>
      <c r="BV131">
        <f>AY131*AO131*AQ131</f>
        <v>0</v>
      </c>
    </row>
    <row r="132" spans="1:74">
      <c r="A132" t="s">
        <v>86</v>
      </c>
      <c r="B132">
        <v>22511393</v>
      </c>
      <c r="C132" t="s">
        <v>200</v>
      </c>
      <c r="D132" t="s">
        <v>201</v>
      </c>
      <c r="E132" t="s">
        <v>428</v>
      </c>
      <c r="F132" t="s">
        <v>453</v>
      </c>
      <c r="G132" t="s">
        <v>463</v>
      </c>
      <c r="H132" t="s">
        <v>431</v>
      </c>
      <c r="I132" t="s">
        <v>432</v>
      </c>
      <c r="J132" t="s">
        <v>432</v>
      </c>
      <c r="K132">
        <v>0</v>
      </c>
      <c r="L132" t="s">
        <v>428</v>
      </c>
      <c r="M132" t="s">
        <v>428</v>
      </c>
      <c r="N132">
        <v>212674</v>
      </c>
      <c r="O132">
        <f>INDEX(AllCollegeBarrons,MATCH(N132,AllCollegeNCES,0))</f>
        <v>0</v>
      </c>
      <c r="P132">
        <f>INDEX(KidGPAs,MATCH(B132,KidIDs,0))</f>
        <v>0</v>
      </c>
      <c r="Q132">
        <f>INDEX(KidACTs,MATCH(B132,KidIDs,0))</f>
        <v>0</v>
      </c>
      <c r="R132">
        <f>INDEX(Strats,MATCH(B132,KidIDs,0))</f>
        <v>0</v>
      </c>
      <c r="S132">
        <f>INDEX(KidRace,MATCH(B132,KidIDs,0))</f>
        <v>0</v>
      </c>
      <c r="T132">
        <f>IF(OR(S132="M",S132="I"),"H",S132)</f>
        <v>0</v>
      </c>
      <c r="U132">
        <f>INDEX(StudentTargets,MATCH(B132,KidIDs,0))</f>
        <v>0</v>
      </c>
      <c r="V132">
        <f>INDEX(ReachStudentTargets,MATCH(B132,KidIDs,0))</f>
        <v>0</v>
      </c>
      <c r="W132">
        <f>IF(OR(M132="Posse"),1,0)</f>
        <v>0</v>
      </c>
      <c r="X132">
        <f>IF(ISNUMBER(INDEX(AllCollegeGR, MATCH(N132,AllCollegeNCES,0))),ROUND(INDEX(AllCollegeGR, MATCH(N132,AllCollegeNCES,0))+W132*IF(INDEX(AllCollegeGR, MATCH(N132,AllCollegeNCES,0))&gt;0.7,(1-INDEX(AllCollegeGR, MATCH(N132,AllCollegeNCES,0)))/2,0.15),2),INDEX(AllCollegeGR, MATCH(N132,AllCollegeNCES,0)))</f>
        <v>0</v>
      </c>
      <c r="Y132">
        <f>IF(ISNUMBER(INDEX(AllCollegeAAHGR, MATCH(N132,AllCollegeNCES,0))),ROUND(INDEX(AllCollegeAAHGR, MATCH(N132,AllCollegeNCES,0))+W132*IF(INDEX(AllCollegeAAHGR, MATCH(N132,AllCollegeNCES,0))&gt;0.7,(1-INDEX(AllCollegeAAHGR, MATCH(N132,AllCollegeNCES,0)))/2,0.15),2),INDEX(AllCollegeAAHGR, MATCH(N132,AllCollegeNCES,0)))</f>
        <v>0</v>
      </c>
      <c r="Z132">
        <f>IF(OR(T132="H",T132="B"),INDEX(AllCollegeACT25, MATCH(N132,AllCollegeNCES,0)),INDEX(AllCollegeACT50, MATCH(N132,AllCollegeNCES,0)))</f>
        <v>0</v>
      </c>
      <c r="AA132">
        <f>INDEX(CustomWeightsGPA,MATCH(T132&amp;":"&amp;N132,CustomWeightsIndex,0))</f>
        <v>0</v>
      </c>
      <c r="AB132">
        <f>INDEX(CustomWeightsACT,MATCH(T132&amp;":"&amp;N132,CustomWeightsIndex,0))</f>
        <v>0</v>
      </c>
      <c r="AC132">
        <f>INDEX(CustomWeightsIntercept,MATCH(T132&amp;":"&amp;N132,CustomWeightsIndex,0))</f>
        <v>0</v>
      </c>
      <c r="AD132">
        <f>AA132*P132+AB132*Q132+AC132</f>
        <v>0</v>
      </c>
      <c r="AE132">
        <f>INDEX(CoefficientsGPA,MATCH(T132&amp;":"&amp;O132,CoefficientsIndex,0))</f>
        <v>0</v>
      </c>
      <c r="AF132">
        <f>INDEX(CoefficientsACT,MATCH(T132&amp;":"&amp;O132,CoefficientsIndex,0))</f>
        <v>0</v>
      </c>
      <c r="AG132">
        <f>INDEX(CoefficientsIntercept,MATCH(T132&amp;":"&amp;O132,CoefficientsIndex,0))</f>
        <v>0</v>
      </c>
      <c r="AH132">
        <f>AE132*P132+(Q132-Z132)*AF132+AG132</f>
        <v>0</v>
      </c>
      <c r="AI132">
        <f>IF(ISNUMBER(AD132),AD132,AH132)</f>
        <v>0</v>
      </c>
      <c r="AJ132">
        <f>IF(ISNUMBER(AI132),IF(ISNUMBER(AE132),IF(AND(AE132=1,AF132=1,AG132=1),100,ROUND(100*EXP(AI132)/(1+EXP(AI132)),2)),ROUND(100*EXP(AI132)/(1+EXP(AI132)),2)),IF(ISTEXT(O132),IF(LEFT(O132,1)="2",100,"N/A"),"N/A"))</f>
        <v>0</v>
      </c>
      <c r="AK132">
        <f>IF(ISNUMBER(AJ132),IF(AJ132&gt;=99,IF(OR(R132=10,R132=11),MatchLabel,SureThingLabel),IF(AJ132&gt;=95,SecureLabel,IF(AJ132&gt;=80,SafetyLabel,IF(AJ132&gt;=50,MatchLabel,IF(AJ132&gt;=20,ReachLabel,IF(AJ132&gt;=10,LongshotLabel,HailMaryLabel)))))),"Other")</f>
        <v>0</v>
      </c>
      <c r="AL132">
        <f>IF(OR(I132="accepted",I132="cond. accept",I132="summer admit"),IF(J132="yes","CHOICE!","Accepted!"),IF(I132="denied","Denied",IF(K132=1,"Waitlist",IF(L132=1,"Deferred",IF(G132="pending","Pending",IF(OR(G132="initial materials submitted",G132="mid-year submitted",G132="final submitted"),"Submitted",IF(H132="interest","Interest","?")))))))</f>
        <v>0</v>
      </c>
      <c r="AM132">
        <f>IF(OR(AK132=ReachLabel,AK132=LongshotLabel,AK132=HailMaryLabel),1,0)</f>
        <v>0</v>
      </c>
      <c r="AN132">
        <f>IF(OR(AM132=1,AK132=MatchLabel),1,0)</f>
        <v>0</v>
      </c>
      <c r="AO132">
        <f>IF(OR(AK132=MatchLabel,AK132=SafetyLabel,AK132=SecureLabel,AK132=SureThingLabel),1,0)</f>
        <v>0</v>
      </c>
      <c r="AP132">
        <f>IF(OR(T132="H",T132="B"),IF(ISNUMBER(Y132),ROUND(Y132,2),0),IF(ISNUMBER(X132),ROUND(X132,2),0))</f>
        <v>0</v>
      </c>
      <c r="AQ132">
        <f>IF(AP132&gt;=U132,1,0)</f>
        <v>0</v>
      </c>
      <c r="AR132">
        <f>IF(AP132&gt;=V132,1,0)</f>
        <v>0</v>
      </c>
      <c r="AS132">
        <f>IF(AP132&lt;(U132-0.10),1,0)</f>
        <v>0</v>
      </c>
      <c r="AT132">
        <f>1-AJ132/100</f>
        <v>0</v>
      </c>
      <c r="AU132">
        <f>IF(AN132=1,AT132,1)</f>
        <v>0</v>
      </c>
      <c r="AV132">
        <f>IF(AM132=1,AT132,1)</f>
        <v>0</v>
      </c>
      <c r="AW132">
        <f>IF(AND(AQ132=1,ISNUMBER(AT132)),$AT132,1)</f>
        <v>0</v>
      </c>
      <c r="AX132">
        <f>IF(AND(AR132=1,ISNUMBER(AT132)),$AT132,1)</f>
        <v>0</v>
      </c>
      <c r="AY132">
        <f>IF(ISNUMBER(Y132),INDEX(AllCollegeMoney, MATCH(N132,AllCollegeNCES,0)),0)</f>
        <v>0</v>
      </c>
      <c r="AZ132">
        <f>IF(AND(AQ132=1,ISNUMBER(AT132),AY132=1),$AT132,1)</f>
        <v>0</v>
      </c>
      <c r="BA132">
        <f>IF(AND(AR132=1,ISNUMBER(AT132),AY132=1),$AT132,1)</f>
        <v>0</v>
      </c>
      <c r="BB132">
        <f>IF(ISNUMBER(Y132),INDEX(AllCollegeILPub, MATCH(N132,AllCollegeNCES,0)),0)</f>
        <v>0</v>
      </c>
      <c r="BC132">
        <f>IF(AK132=ReachLabel,AP132,0)</f>
        <v>0</v>
      </c>
      <c r="BD132">
        <f>IF(AK132=MatchLabel,AP132,0)</f>
        <v>0</v>
      </c>
      <c r="BE132">
        <f>IF(AK132=SafetyLabel,AP132,0)</f>
        <v>0</v>
      </c>
      <c r="BF132">
        <f>IF(AK132=SecureLabel,AP132,0)</f>
        <v>0</v>
      </c>
      <c r="BG132">
        <f>IF(AK132=SureThingLabel,AP132,0)</f>
        <v>0</v>
      </c>
      <c r="BH132">
        <f>MAX(BC132:BG132)</f>
        <v>0</v>
      </c>
      <c r="BI132">
        <f>MAX(BD132:BG132)</f>
        <v>0</v>
      </c>
      <c r="BJ132">
        <f>MAX(BE132:BG132)</f>
        <v>0</v>
      </c>
      <c r="BK132">
        <f>IF(AND(AK132=ReachLabel,AY132=1),AP132,0)</f>
        <v>0</v>
      </c>
      <c r="BL132">
        <f>IF(AND(AK132=MatchLabel,AY132=1),AP132,0)</f>
        <v>0</v>
      </c>
      <c r="BM132">
        <f>IF(AND(AK132=SafetyLabel,AY132=1),AP132,0)</f>
        <v>0</v>
      </c>
      <c r="BN132">
        <f>IF(AND(AK132=SecureLabel,AY132=1),AP132,0)</f>
        <v>0</v>
      </c>
      <c r="BO132">
        <f>IF(AND(AK132=SureThingLabel,AY132=1),AP132,0)</f>
        <v>0</v>
      </c>
      <c r="BP132">
        <f>MAX(BK132:BO132)</f>
        <v>0</v>
      </c>
      <c r="BQ132">
        <f>MAX(BL132:BO132)</f>
        <v>0</v>
      </c>
      <c r="BR132">
        <f>MAX(BM132:BO132)</f>
        <v>0</v>
      </c>
      <c r="BS132">
        <f>IF(ISNUMBER(Y132),INDEX(AllCollegeChicago, MATCH(N132,AllCollegeNCES,0))*AY132,0)</f>
        <v>0</v>
      </c>
      <c r="BT132">
        <f>IF(ISNUMBER(Y132),INDEX(AllCollegeMoneyCode, MATCH(N132,AllCollegeNCES,0)),"?")</f>
        <v>0</v>
      </c>
      <c r="BU132">
        <f>IF(OR(BT132="---",BT132="--",BT132="+/--",BT132="+/---"),1,0)</f>
        <v>0</v>
      </c>
      <c r="BV132">
        <f>AY132*AO132*AQ132</f>
        <v>0</v>
      </c>
    </row>
    <row r="133" spans="1:74">
      <c r="A133" t="s">
        <v>86</v>
      </c>
      <c r="B133">
        <v>22511393</v>
      </c>
      <c r="C133" t="s">
        <v>200</v>
      </c>
      <c r="D133" t="s">
        <v>201</v>
      </c>
      <c r="E133" t="s">
        <v>428</v>
      </c>
      <c r="F133" t="s">
        <v>499</v>
      </c>
      <c r="G133" t="s">
        <v>430</v>
      </c>
      <c r="H133" t="s">
        <v>431</v>
      </c>
      <c r="I133" t="s">
        <v>432</v>
      </c>
      <c r="J133" t="s">
        <v>432</v>
      </c>
      <c r="K133">
        <v>0</v>
      </c>
      <c r="L133" t="s">
        <v>428</v>
      </c>
      <c r="M133" t="s">
        <v>428</v>
      </c>
      <c r="N133">
        <v>117946</v>
      </c>
      <c r="O133">
        <f>INDEX(AllCollegeBarrons,MATCH(N133,AllCollegeNCES,0))</f>
        <v>0</v>
      </c>
      <c r="P133">
        <f>INDEX(KidGPAs,MATCH(B133,KidIDs,0))</f>
        <v>0</v>
      </c>
      <c r="Q133">
        <f>INDEX(KidACTs,MATCH(B133,KidIDs,0))</f>
        <v>0</v>
      </c>
      <c r="R133">
        <f>INDEX(Strats,MATCH(B133,KidIDs,0))</f>
        <v>0</v>
      </c>
      <c r="S133">
        <f>INDEX(KidRace,MATCH(B133,KidIDs,0))</f>
        <v>0</v>
      </c>
      <c r="T133">
        <f>IF(OR(S133="M",S133="I"),"H",S133)</f>
        <v>0</v>
      </c>
      <c r="U133">
        <f>INDEX(StudentTargets,MATCH(B133,KidIDs,0))</f>
        <v>0</v>
      </c>
      <c r="V133">
        <f>INDEX(ReachStudentTargets,MATCH(B133,KidIDs,0))</f>
        <v>0</v>
      </c>
      <c r="W133">
        <f>IF(OR(M133="Posse"),1,0)</f>
        <v>0</v>
      </c>
      <c r="X133">
        <f>IF(ISNUMBER(INDEX(AllCollegeGR, MATCH(N133,AllCollegeNCES,0))),ROUND(INDEX(AllCollegeGR, MATCH(N133,AllCollegeNCES,0))+W133*IF(INDEX(AllCollegeGR, MATCH(N133,AllCollegeNCES,0))&gt;0.7,(1-INDEX(AllCollegeGR, MATCH(N133,AllCollegeNCES,0)))/2,0.15),2),INDEX(AllCollegeGR, MATCH(N133,AllCollegeNCES,0)))</f>
        <v>0</v>
      </c>
      <c r="Y133">
        <f>IF(ISNUMBER(INDEX(AllCollegeAAHGR, MATCH(N133,AllCollegeNCES,0))),ROUND(INDEX(AllCollegeAAHGR, MATCH(N133,AllCollegeNCES,0))+W133*IF(INDEX(AllCollegeAAHGR, MATCH(N133,AllCollegeNCES,0))&gt;0.7,(1-INDEX(AllCollegeAAHGR, MATCH(N133,AllCollegeNCES,0)))/2,0.15),2),INDEX(AllCollegeAAHGR, MATCH(N133,AllCollegeNCES,0)))</f>
        <v>0</v>
      </c>
      <c r="Z133">
        <f>IF(OR(T133="H",T133="B"),INDEX(AllCollegeACT25, MATCH(N133,AllCollegeNCES,0)),INDEX(AllCollegeACT50, MATCH(N133,AllCollegeNCES,0)))</f>
        <v>0</v>
      </c>
      <c r="AA133">
        <f>INDEX(CustomWeightsGPA,MATCH(T133&amp;":"&amp;N133,CustomWeightsIndex,0))</f>
        <v>0</v>
      </c>
      <c r="AB133">
        <f>INDEX(CustomWeightsACT,MATCH(T133&amp;":"&amp;N133,CustomWeightsIndex,0))</f>
        <v>0</v>
      </c>
      <c r="AC133">
        <f>INDEX(CustomWeightsIntercept,MATCH(T133&amp;":"&amp;N133,CustomWeightsIndex,0))</f>
        <v>0</v>
      </c>
      <c r="AD133">
        <f>AA133*P133+AB133*Q133+AC133</f>
        <v>0</v>
      </c>
      <c r="AE133">
        <f>INDEX(CoefficientsGPA,MATCH(T133&amp;":"&amp;O133,CoefficientsIndex,0))</f>
        <v>0</v>
      </c>
      <c r="AF133">
        <f>INDEX(CoefficientsACT,MATCH(T133&amp;":"&amp;O133,CoefficientsIndex,0))</f>
        <v>0</v>
      </c>
      <c r="AG133">
        <f>INDEX(CoefficientsIntercept,MATCH(T133&amp;":"&amp;O133,CoefficientsIndex,0))</f>
        <v>0</v>
      </c>
      <c r="AH133">
        <f>AE133*P133+(Q133-Z133)*AF133+AG133</f>
        <v>0</v>
      </c>
      <c r="AI133">
        <f>IF(ISNUMBER(AD133),AD133,AH133)</f>
        <v>0</v>
      </c>
      <c r="AJ133">
        <f>IF(ISNUMBER(AI133),IF(ISNUMBER(AE133),IF(AND(AE133=1,AF133=1,AG133=1),100,ROUND(100*EXP(AI133)/(1+EXP(AI133)),2)),ROUND(100*EXP(AI133)/(1+EXP(AI133)),2)),IF(ISTEXT(O133),IF(LEFT(O133,1)="2",100,"N/A"),"N/A"))</f>
        <v>0</v>
      </c>
      <c r="AK133">
        <f>IF(ISNUMBER(AJ133),IF(AJ133&gt;=99,IF(OR(R133=10,R133=11),MatchLabel,SureThingLabel),IF(AJ133&gt;=95,SecureLabel,IF(AJ133&gt;=80,SafetyLabel,IF(AJ133&gt;=50,MatchLabel,IF(AJ133&gt;=20,ReachLabel,IF(AJ133&gt;=10,LongshotLabel,HailMaryLabel)))))),"Other")</f>
        <v>0</v>
      </c>
      <c r="AL133">
        <f>IF(OR(I133="accepted",I133="cond. accept",I133="summer admit"),IF(J133="yes","CHOICE!","Accepted!"),IF(I133="denied","Denied",IF(K133=1,"Waitlist",IF(L133=1,"Deferred",IF(G133="pending","Pending",IF(OR(G133="initial materials submitted",G133="mid-year submitted",G133="final submitted"),"Submitted",IF(H133="interest","Interest","?")))))))</f>
        <v>0</v>
      </c>
      <c r="AM133">
        <f>IF(OR(AK133=ReachLabel,AK133=LongshotLabel,AK133=HailMaryLabel),1,0)</f>
        <v>0</v>
      </c>
      <c r="AN133">
        <f>IF(OR(AM133=1,AK133=MatchLabel),1,0)</f>
        <v>0</v>
      </c>
      <c r="AO133">
        <f>IF(OR(AK133=MatchLabel,AK133=SafetyLabel,AK133=SecureLabel,AK133=SureThingLabel),1,0)</f>
        <v>0</v>
      </c>
      <c r="AP133">
        <f>IF(OR(T133="H",T133="B"),IF(ISNUMBER(Y133),ROUND(Y133,2),0),IF(ISNUMBER(X133),ROUND(X133,2),0))</f>
        <v>0</v>
      </c>
      <c r="AQ133">
        <f>IF(AP133&gt;=U133,1,0)</f>
        <v>0</v>
      </c>
      <c r="AR133">
        <f>IF(AP133&gt;=V133,1,0)</f>
        <v>0</v>
      </c>
      <c r="AS133">
        <f>IF(AP133&lt;(U133-0.10),1,0)</f>
        <v>0</v>
      </c>
      <c r="AT133">
        <f>1-AJ133/100</f>
        <v>0</v>
      </c>
      <c r="AU133">
        <f>IF(AN133=1,AT133,1)</f>
        <v>0</v>
      </c>
      <c r="AV133">
        <f>IF(AM133=1,AT133,1)</f>
        <v>0</v>
      </c>
      <c r="AW133">
        <f>IF(AND(AQ133=1,ISNUMBER(AT133)),$AT133,1)</f>
        <v>0</v>
      </c>
      <c r="AX133">
        <f>IF(AND(AR133=1,ISNUMBER(AT133)),$AT133,1)</f>
        <v>0</v>
      </c>
      <c r="AY133">
        <f>IF(ISNUMBER(Y133),INDEX(AllCollegeMoney, MATCH(N133,AllCollegeNCES,0)),0)</f>
        <v>0</v>
      </c>
      <c r="AZ133">
        <f>IF(AND(AQ133=1,ISNUMBER(AT133),AY133=1),$AT133,1)</f>
        <v>0</v>
      </c>
      <c r="BA133">
        <f>IF(AND(AR133=1,ISNUMBER(AT133),AY133=1),$AT133,1)</f>
        <v>0</v>
      </c>
      <c r="BB133">
        <f>IF(ISNUMBER(Y133),INDEX(AllCollegeILPub, MATCH(N133,AllCollegeNCES,0)),0)</f>
        <v>0</v>
      </c>
      <c r="BC133">
        <f>IF(AK133=ReachLabel,AP133,0)</f>
        <v>0</v>
      </c>
      <c r="BD133">
        <f>IF(AK133=MatchLabel,AP133,0)</f>
        <v>0</v>
      </c>
      <c r="BE133">
        <f>IF(AK133=SafetyLabel,AP133,0)</f>
        <v>0</v>
      </c>
      <c r="BF133">
        <f>IF(AK133=SecureLabel,AP133,0)</f>
        <v>0</v>
      </c>
      <c r="BG133">
        <f>IF(AK133=SureThingLabel,AP133,0)</f>
        <v>0</v>
      </c>
      <c r="BH133">
        <f>MAX(BC133:BG133)</f>
        <v>0</v>
      </c>
      <c r="BI133">
        <f>MAX(BD133:BG133)</f>
        <v>0</v>
      </c>
      <c r="BJ133">
        <f>MAX(BE133:BG133)</f>
        <v>0</v>
      </c>
      <c r="BK133">
        <f>IF(AND(AK133=ReachLabel,AY133=1),AP133,0)</f>
        <v>0</v>
      </c>
      <c r="BL133">
        <f>IF(AND(AK133=MatchLabel,AY133=1),AP133,0)</f>
        <v>0</v>
      </c>
      <c r="BM133">
        <f>IF(AND(AK133=SafetyLabel,AY133=1),AP133,0)</f>
        <v>0</v>
      </c>
      <c r="BN133">
        <f>IF(AND(AK133=SecureLabel,AY133=1),AP133,0)</f>
        <v>0</v>
      </c>
      <c r="BO133">
        <f>IF(AND(AK133=SureThingLabel,AY133=1),AP133,0)</f>
        <v>0</v>
      </c>
      <c r="BP133">
        <f>MAX(BK133:BO133)</f>
        <v>0</v>
      </c>
      <c r="BQ133">
        <f>MAX(BL133:BO133)</f>
        <v>0</v>
      </c>
      <c r="BR133">
        <f>MAX(BM133:BO133)</f>
        <v>0</v>
      </c>
      <c r="BS133">
        <f>IF(ISNUMBER(Y133),INDEX(AllCollegeChicago, MATCH(N133,AllCollegeNCES,0))*AY133,0)</f>
        <v>0</v>
      </c>
      <c r="BT133">
        <f>IF(ISNUMBER(Y133),INDEX(AllCollegeMoneyCode, MATCH(N133,AllCollegeNCES,0)),"?")</f>
        <v>0</v>
      </c>
      <c r="BU133">
        <f>IF(OR(BT133="---",BT133="--",BT133="+/--",BT133="+/---"),1,0)</f>
        <v>0</v>
      </c>
      <c r="BV133">
        <f>AY133*AO133*AQ133</f>
        <v>0</v>
      </c>
    </row>
    <row r="134" spans="1:74">
      <c r="A134" t="s">
        <v>86</v>
      </c>
      <c r="B134">
        <v>22511393</v>
      </c>
      <c r="C134" t="s">
        <v>200</v>
      </c>
      <c r="D134" t="s">
        <v>201</v>
      </c>
      <c r="E134" t="s">
        <v>428</v>
      </c>
      <c r="F134" t="s">
        <v>468</v>
      </c>
      <c r="G134" t="s">
        <v>430</v>
      </c>
      <c r="H134" t="s">
        <v>431</v>
      </c>
      <c r="I134" t="s">
        <v>432</v>
      </c>
      <c r="J134" t="s">
        <v>432</v>
      </c>
      <c r="K134">
        <v>0</v>
      </c>
      <c r="L134" t="s">
        <v>428</v>
      </c>
      <c r="M134" t="s">
        <v>428</v>
      </c>
      <c r="N134">
        <v>212009</v>
      </c>
      <c r="O134">
        <f>INDEX(AllCollegeBarrons,MATCH(N134,AllCollegeNCES,0))</f>
        <v>0</v>
      </c>
      <c r="P134">
        <f>INDEX(KidGPAs,MATCH(B134,KidIDs,0))</f>
        <v>0</v>
      </c>
      <c r="Q134">
        <f>INDEX(KidACTs,MATCH(B134,KidIDs,0))</f>
        <v>0</v>
      </c>
      <c r="R134">
        <f>INDEX(Strats,MATCH(B134,KidIDs,0))</f>
        <v>0</v>
      </c>
      <c r="S134">
        <f>INDEX(KidRace,MATCH(B134,KidIDs,0))</f>
        <v>0</v>
      </c>
      <c r="T134">
        <f>IF(OR(S134="M",S134="I"),"H",S134)</f>
        <v>0</v>
      </c>
      <c r="U134">
        <f>INDEX(StudentTargets,MATCH(B134,KidIDs,0))</f>
        <v>0</v>
      </c>
      <c r="V134">
        <f>INDEX(ReachStudentTargets,MATCH(B134,KidIDs,0))</f>
        <v>0</v>
      </c>
      <c r="W134">
        <f>IF(OR(M134="Posse"),1,0)</f>
        <v>0</v>
      </c>
      <c r="X134">
        <f>IF(ISNUMBER(INDEX(AllCollegeGR, MATCH(N134,AllCollegeNCES,0))),ROUND(INDEX(AllCollegeGR, MATCH(N134,AllCollegeNCES,0))+W134*IF(INDEX(AllCollegeGR, MATCH(N134,AllCollegeNCES,0))&gt;0.7,(1-INDEX(AllCollegeGR, MATCH(N134,AllCollegeNCES,0)))/2,0.15),2),INDEX(AllCollegeGR, MATCH(N134,AllCollegeNCES,0)))</f>
        <v>0</v>
      </c>
      <c r="Y134">
        <f>IF(ISNUMBER(INDEX(AllCollegeAAHGR, MATCH(N134,AllCollegeNCES,0))),ROUND(INDEX(AllCollegeAAHGR, MATCH(N134,AllCollegeNCES,0))+W134*IF(INDEX(AllCollegeAAHGR, MATCH(N134,AllCollegeNCES,0))&gt;0.7,(1-INDEX(AllCollegeAAHGR, MATCH(N134,AllCollegeNCES,0)))/2,0.15),2),INDEX(AllCollegeAAHGR, MATCH(N134,AllCollegeNCES,0)))</f>
        <v>0</v>
      </c>
      <c r="Z134">
        <f>IF(OR(T134="H",T134="B"),INDEX(AllCollegeACT25, MATCH(N134,AllCollegeNCES,0)),INDEX(AllCollegeACT50, MATCH(N134,AllCollegeNCES,0)))</f>
        <v>0</v>
      </c>
      <c r="AA134">
        <f>INDEX(CustomWeightsGPA,MATCH(T134&amp;":"&amp;N134,CustomWeightsIndex,0))</f>
        <v>0</v>
      </c>
      <c r="AB134">
        <f>INDEX(CustomWeightsACT,MATCH(T134&amp;":"&amp;N134,CustomWeightsIndex,0))</f>
        <v>0</v>
      </c>
      <c r="AC134">
        <f>INDEX(CustomWeightsIntercept,MATCH(T134&amp;":"&amp;N134,CustomWeightsIndex,0))</f>
        <v>0</v>
      </c>
      <c r="AD134">
        <f>AA134*P134+AB134*Q134+AC134</f>
        <v>0</v>
      </c>
      <c r="AE134">
        <f>INDEX(CoefficientsGPA,MATCH(T134&amp;":"&amp;O134,CoefficientsIndex,0))</f>
        <v>0</v>
      </c>
      <c r="AF134">
        <f>INDEX(CoefficientsACT,MATCH(T134&amp;":"&amp;O134,CoefficientsIndex,0))</f>
        <v>0</v>
      </c>
      <c r="AG134">
        <f>INDEX(CoefficientsIntercept,MATCH(T134&amp;":"&amp;O134,CoefficientsIndex,0))</f>
        <v>0</v>
      </c>
      <c r="AH134">
        <f>AE134*P134+(Q134-Z134)*AF134+AG134</f>
        <v>0</v>
      </c>
      <c r="AI134">
        <f>IF(ISNUMBER(AD134),AD134,AH134)</f>
        <v>0</v>
      </c>
      <c r="AJ134">
        <f>IF(ISNUMBER(AI134),IF(ISNUMBER(AE134),IF(AND(AE134=1,AF134=1,AG134=1),100,ROUND(100*EXP(AI134)/(1+EXP(AI134)),2)),ROUND(100*EXP(AI134)/(1+EXP(AI134)),2)),IF(ISTEXT(O134),IF(LEFT(O134,1)="2",100,"N/A"),"N/A"))</f>
        <v>0</v>
      </c>
      <c r="AK134">
        <f>IF(ISNUMBER(AJ134),IF(AJ134&gt;=99,IF(OR(R134=10,R134=11),MatchLabel,SureThingLabel),IF(AJ134&gt;=95,SecureLabel,IF(AJ134&gt;=80,SafetyLabel,IF(AJ134&gt;=50,MatchLabel,IF(AJ134&gt;=20,ReachLabel,IF(AJ134&gt;=10,LongshotLabel,HailMaryLabel)))))),"Other")</f>
        <v>0</v>
      </c>
      <c r="AL134">
        <f>IF(OR(I134="accepted",I134="cond. accept",I134="summer admit"),IF(J134="yes","CHOICE!","Accepted!"),IF(I134="denied","Denied",IF(K134=1,"Waitlist",IF(L134=1,"Deferred",IF(G134="pending","Pending",IF(OR(G134="initial materials submitted",G134="mid-year submitted",G134="final submitted"),"Submitted",IF(H134="interest","Interest","?")))))))</f>
        <v>0</v>
      </c>
      <c r="AM134">
        <f>IF(OR(AK134=ReachLabel,AK134=LongshotLabel,AK134=HailMaryLabel),1,0)</f>
        <v>0</v>
      </c>
      <c r="AN134">
        <f>IF(OR(AM134=1,AK134=MatchLabel),1,0)</f>
        <v>0</v>
      </c>
      <c r="AO134">
        <f>IF(OR(AK134=MatchLabel,AK134=SafetyLabel,AK134=SecureLabel,AK134=SureThingLabel),1,0)</f>
        <v>0</v>
      </c>
      <c r="AP134">
        <f>IF(OR(T134="H",T134="B"),IF(ISNUMBER(Y134),ROUND(Y134,2),0),IF(ISNUMBER(X134),ROUND(X134,2),0))</f>
        <v>0</v>
      </c>
      <c r="AQ134">
        <f>IF(AP134&gt;=U134,1,0)</f>
        <v>0</v>
      </c>
      <c r="AR134">
        <f>IF(AP134&gt;=V134,1,0)</f>
        <v>0</v>
      </c>
      <c r="AS134">
        <f>IF(AP134&lt;(U134-0.10),1,0)</f>
        <v>0</v>
      </c>
      <c r="AT134">
        <f>1-AJ134/100</f>
        <v>0</v>
      </c>
      <c r="AU134">
        <f>IF(AN134=1,AT134,1)</f>
        <v>0</v>
      </c>
      <c r="AV134">
        <f>IF(AM134=1,AT134,1)</f>
        <v>0</v>
      </c>
      <c r="AW134">
        <f>IF(AND(AQ134=1,ISNUMBER(AT134)),$AT134,1)</f>
        <v>0</v>
      </c>
      <c r="AX134">
        <f>IF(AND(AR134=1,ISNUMBER(AT134)),$AT134,1)</f>
        <v>0</v>
      </c>
      <c r="AY134">
        <f>IF(ISNUMBER(Y134),INDEX(AllCollegeMoney, MATCH(N134,AllCollegeNCES,0)),0)</f>
        <v>0</v>
      </c>
      <c r="AZ134">
        <f>IF(AND(AQ134=1,ISNUMBER(AT134),AY134=1),$AT134,1)</f>
        <v>0</v>
      </c>
      <c r="BA134">
        <f>IF(AND(AR134=1,ISNUMBER(AT134),AY134=1),$AT134,1)</f>
        <v>0</v>
      </c>
      <c r="BB134">
        <f>IF(ISNUMBER(Y134),INDEX(AllCollegeILPub, MATCH(N134,AllCollegeNCES,0)),0)</f>
        <v>0</v>
      </c>
      <c r="BC134">
        <f>IF(AK134=ReachLabel,AP134,0)</f>
        <v>0</v>
      </c>
      <c r="BD134">
        <f>IF(AK134=MatchLabel,AP134,0)</f>
        <v>0</v>
      </c>
      <c r="BE134">
        <f>IF(AK134=SafetyLabel,AP134,0)</f>
        <v>0</v>
      </c>
      <c r="BF134">
        <f>IF(AK134=SecureLabel,AP134,0)</f>
        <v>0</v>
      </c>
      <c r="BG134">
        <f>IF(AK134=SureThingLabel,AP134,0)</f>
        <v>0</v>
      </c>
      <c r="BH134">
        <f>MAX(BC134:BG134)</f>
        <v>0</v>
      </c>
      <c r="BI134">
        <f>MAX(BD134:BG134)</f>
        <v>0</v>
      </c>
      <c r="BJ134">
        <f>MAX(BE134:BG134)</f>
        <v>0</v>
      </c>
      <c r="BK134">
        <f>IF(AND(AK134=ReachLabel,AY134=1),AP134,0)</f>
        <v>0</v>
      </c>
      <c r="BL134">
        <f>IF(AND(AK134=MatchLabel,AY134=1),AP134,0)</f>
        <v>0</v>
      </c>
      <c r="BM134">
        <f>IF(AND(AK134=SafetyLabel,AY134=1),AP134,0)</f>
        <v>0</v>
      </c>
      <c r="BN134">
        <f>IF(AND(AK134=SecureLabel,AY134=1),AP134,0)</f>
        <v>0</v>
      </c>
      <c r="BO134">
        <f>IF(AND(AK134=SureThingLabel,AY134=1),AP134,0)</f>
        <v>0</v>
      </c>
      <c r="BP134">
        <f>MAX(BK134:BO134)</f>
        <v>0</v>
      </c>
      <c r="BQ134">
        <f>MAX(BL134:BO134)</f>
        <v>0</v>
      </c>
      <c r="BR134">
        <f>MAX(BM134:BO134)</f>
        <v>0</v>
      </c>
      <c r="BS134">
        <f>IF(ISNUMBER(Y134),INDEX(AllCollegeChicago, MATCH(N134,AllCollegeNCES,0))*AY134,0)</f>
        <v>0</v>
      </c>
      <c r="BT134">
        <f>IF(ISNUMBER(Y134),INDEX(AllCollegeMoneyCode, MATCH(N134,AllCollegeNCES,0)),"?")</f>
        <v>0</v>
      </c>
      <c r="BU134">
        <f>IF(OR(BT134="---",BT134="--",BT134="+/--",BT134="+/---"),1,0)</f>
        <v>0</v>
      </c>
      <c r="BV134">
        <f>AY134*AO134*AQ134</f>
        <v>0</v>
      </c>
    </row>
    <row r="135" spans="1:74">
      <c r="A135" t="s">
        <v>86</v>
      </c>
      <c r="B135">
        <v>22511393</v>
      </c>
      <c r="C135" t="s">
        <v>200</v>
      </c>
      <c r="D135" t="s">
        <v>201</v>
      </c>
      <c r="E135" t="s">
        <v>428</v>
      </c>
      <c r="F135" t="s">
        <v>455</v>
      </c>
      <c r="G135" t="s">
        <v>430</v>
      </c>
      <c r="H135" t="s">
        <v>431</v>
      </c>
      <c r="I135" t="s">
        <v>432</v>
      </c>
      <c r="J135" t="s">
        <v>432</v>
      </c>
      <c r="K135">
        <v>0</v>
      </c>
      <c r="L135" t="s">
        <v>428</v>
      </c>
      <c r="M135" t="s">
        <v>428</v>
      </c>
      <c r="N135">
        <v>240444</v>
      </c>
      <c r="O135">
        <f>INDEX(AllCollegeBarrons,MATCH(N135,AllCollegeNCES,0))</f>
        <v>0</v>
      </c>
      <c r="P135">
        <f>INDEX(KidGPAs,MATCH(B135,KidIDs,0))</f>
        <v>0</v>
      </c>
      <c r="Q135">
        <f>INDEX(KidACTs,MATCH(B135,KidIDs,0))</f>
        <v>0</v>
      </c>
      <c r="R135">
        <f>INDEX(Strats,MATCH(B135,KidIDs,0))</f>
        <v>0</v>
      </c>
      <c r="S135">
        <f>INDEX(KidRace,MATCH(B135,KidIDs,0))</f>
        <v>0</v>
      </c>
      <c r="T135">
        <f>IF(OR(S135="M",S135="I"),"H",S135)</f>
        <v>0</v>
      </c>
      <c r="U135">
        <f>INDEX(StudentTargets,MATCH(B135,KidIDs,0))</f>
        <v>0</v>
      </c>
      <c r="V135">
        <f>INDEX(ReachStudentTargets,MATCH(B135,KidIDs,0))</f>
        <v>0</v>
      </c>
      <c r="W135">
        <f>IF(OR(M135="Posse"),1,0)</f>
        <v>0</v>
      </c>
      <c r="X135">
        <f>IF(ISNUMBER(INDEX(AllCollegeGR, MATCH(N135,AllCollegeNCES,0))),ROUND(INDEX(AllCollegeGR, MATCH(N135,AllCollegeNCES,0))+W135*IF(INDEX(AllCollegeGR, MATCH(N135,AllCollegeNCES,0))&gt;0.7,(1-INDEX(AllCollegeGR, MATCH(N135,AllCollegeNCES,0)))/2,0.15),2),INDEX(AllCollegeGR, MATCH(N135,AllCollegeNCES,0)))</f>
        <v>0</v>
      </c>
      <c r="Y135">
        <f>IF(ISNUMBER(INDEX(AllCollegeAAHGR, MATCH(N135,AllCollegeNCES,0))),ROUND(INDEX(AllCollegeAAHGR, MATCH(N135,AllCollegeNCES,0))+W135*IF(INDEX(AllCollegeAAHGR, MATCH(N135,AllCollegeNCES,0))&gt;0.7,(1-INDEX(AllCollegeAAHGR, MATCH(N135,AllCollegeNCES,0)))/2,0.15),2),INDEX(AllCollegeAAHGR, MATCH(N135,AllCollegeNCES,0)))</f>
        <v>0</v>
      </c>
      <c r="Z135">
        <f>IF(OR(T135="H",T135="B"),INDEX(AllCollegeACT25, MATCH(N135,AllCollegeNCES,0)),INDEX(AllCollegeACT50, MATCH(N135,AllCollegeNCES,0)))</f>
        <v>0</v>
      </c>
      <c r="AA135">
        <f>INDEX(CustomWeightsGPA,MATCH(T135&amp;":"&amp;N135,CustomWeightsIndex,0))</f>
        <v>0</v>
      </c>
      <c r="AB135">
        <f>INDEX(CustomWeightsACT,MATCH(T135&amp;":"&amp;N135,CustomWeightsIndex,0))</f>
        <v>0</v>
      </c>
      <c r="AC135">
        <f>INDEX(CustomWeightsIntercept,MATCH(T135&amp;":"&amp;N135,CustomWeightsIndex,0))</f>
        <v>0</v>
      </c>
      <c r="AD135">
        <f>AA135*P135+AB135*Q135+AC135</f>
        <v>0</v>
      </c>
      <c r="AE135">
        <f>INDEX(CoefficientsGPA,MATCH(T135&amp;":"&amp;O135,CoefficientsIndex,0))</f>
        <v>0</v>
      </c>
      <c r="AF135">
        <f>INDEX(CoefficientsACT,MATCH(T135&amp;":"&amp;O135,CoefficientsIndex,0))</f>
        <v>0</v>
      </c>
      <c r="AG135">
        <f>INDEX(CoefficientsIntercept,MATCH(T135&amp;":"&amp;O135,CoefficientsIndex,0))</f>
        <v>0</v>
      </c>
      <c r="AH135">
        <f>AE135*P135+(Q135-Z135)*AF135+AG135</f>
        <v>0</v>
      </c>
      <c r="AI135">
        <f>IF(ISNUMBER(AD135),AD135,AH135)</f>
        <v>0</v>
      </c>
      <c r="AJ135">
        <f>IF(ISNUMBER(AI135),IF(ISNUMBER(AE135),IF(AND(AE135=1,AF135=1,AG135=1),100,ROUND(100*EXP(AI135)/(1+EXP(AI135)),2)),ROUND(100*EXP(AI135)/(1+EXP(AI135)),2)),IF(ISTEXT(O135),IF(LEFT(O135,1)="2",100,"N/A"),"N/A"))</f>
        <v>0</v>
      </c>
      <c r="AK135">
        <f>IF(ISNUMBER(AJ135),IF(AJ135&gt;=99,IF(OR(R135=10,R135=11),MatchLabel,SureThingLabel),IF(AJ135&gt;=95,SecureLabel,IF(AJ135&gt;=80,SafetyLabel,IF(AJ135&gt;=50,MatchLabel,IF(AJ135&gt;=20,ReachLabel,IF(AJ135&gt;=10,LongshotLabel,HailMaryLabel)))))),"Other")</f>
        <v>0</v>
      </c>
      <c r="AL135">
        <f>IF(OR(I135="accepted",I135="cond. accept",I135="summer admit"),IF(J135="yes","CHOICE!","Accepted!"),IF(I135="denied","Denied",IF(K135=1,"Waitlist",IF(L135=1,"Deferred",IF(G135="pending","Pending",IF(OR(G135="initial materials submitted",G135="mid-year submitted",G135="final submitted"),"Submitted",IF(H135="interest","Interest","?")))))))</f>
        <v>0</v>
      </c>
      <c r="AM135">
        <f>IF(OR(AK135=ReachLabel,AK135=LongshotLabel,AK135=HailMaryLabel),1,0)</f>
        <v>0</v>
      </c>
      <c r="AN135">
        <f>IF(OR(AM135=1,AK135=MatchLabel),1,0)</f>
        <v>0</v>
      </c>
      <c r="AO135">
        <f>IF(OR(AK135=MatchLabel,AK135=SafetyLabel,AK135=SecureLabel,AK135=SureThingLabel),1,0)</f>
        <v>0</v>
      </c>
      <c r="AP135">
        <f>IF(OR(T135="H",T135="B"),IF(ISNUMBER(Y135),ROUND(Y135,2),0),IF(ISNUMBER(X135),ROUND(X135,2),0))</f>
        <v>0</v>
      </c>
      <c r="AQ135">
        <f>IF(AP135&gt;=U135,1,0)</f>
        <v>0</v>
      </c>
      <c r="AR135">
        <f>IF(AP135&gt;=V135,1,0)</f>
        <v>0</v>
      </c>
      <c r="AS135">
        <f>IF(AP135&lt;(U135-0.10),1,0)</f>
        <v>0</v>
      </c>
      <c r="AT135">
        <f>1-AJ135/100</f>
        <v>0</v>
      </c>
      <c r="AU135">
        <f>IF(AN135=1,AT135,1)</f>
        <v>0</v>
      </c>
      <c r="AV135">
        <f>IF(AM135=1,AT135,1)</f>
        <v>0</v>
      </c>
      <c r="AW135">
        <f>IF(AND(AQ135=1,ISNUMBER(AT135)),$AT135,1)</f>
        <v>0</v>
      </c>
      <c r="AX135">
        <f>IF(AND(AR135=1,ISNUMBER(AT135)),$AT135,1)</f>
        <v>0</v>
      </c>
      <c r="AY135">
        <f>IF(ISNUMBER(Y135),INDEX(AllCollegeMoney, MATCH(N135,AllCollegeNCES,0)),0)</f>
        <v>0</v>
      </c>
      <c r="AZ135">
        <f>IF(AND(AQ135=1,ISNUMBER(AT135),AY135=1),$AT135,1)</f>
        <v>0</v>
      </c>
      <c r="BA135">
        <f>IF(AND(AR135=1,ISNUMBER(AT135),AY135=1),$AT135,1)</f>
        <v>0</v>
      </c>
      <c r="BB135">
        <f>IF(ISNUMBER(Y135),INDEX(AllCollegeILPub, MATCH(N135,AllCollegeNCES,0)),0)</f>
        <v>0</v>
      </c>
      <c r="BC135">
        <f>IF(AK135=ReachLabel,AP135,0)</f>
        <v>0</v>
      </c>
      <c r="BD135">
        <f>IF(AK135=MatchLabel,AP135,0)</f>
        <v>0</v>
      </c>
      <c r="BE135">
        <f>IF(AK135=SafetyLabel,AP135,0)</f>
        <v>0</v>
      </c>
      <c r="BF135">
        <f>IF(AK135=SecureLabel,AP135,0)</f>
        <v>0</v>
      </c>
      <c r="BG135">
        <f>IF(AK135=SureThingLabel,AP135,0)</f>
        <v>0</v>
      </c>
      <c r="BH135">
        <f>MAX(BC135:BG135)</f>
        <v>0</v>
      </c>
      <c r="BI135">
        <f>MAX(BD135:BG135)</f>
        <v>0</v>
      </c>
      <c r="BJ135">
        <f>MAX(BE135:BG135)</f>
        <v>0</v>
      </c>
      <c r="BK135">
        <f>IF(AND(AK135=ReachLabel,AY135=1),AP135,0)</f>
        <v>0</v>
      </c>
      <c r="BL135">
        <f>IF(AND(AK135=MatchLabel,AY135=1),AP135,0)</f>
        <v>0</v>
      </c>
      <c r="BM135">
        <f>IF(AND(AK135=SafetyLabel,AY135=1),AP135,0)</f>
        <v>0</v>
      </c>
      <c r="BN135">
        <f>IF(AND(AK135=SecureLabel,AY135=1),AP135,0)</f>
        <v>0</v>
      </c>
      <c r="BO135">
        <f>IF(AND(AK135=SureThingLabel,AY135=1),AP135,0)</f>
        <v>0</v>
      </c>
      <c r="BP135">
        <f>MAX(BK135:BO135)</f>
        <v>0</v>
      </c>
      <c r="BQ135">
        <f>MAX(BL135:BO135)</f>
        <v>0</v>
      </c>
      <c r="BR135">
        <f>MAX(BM135:BO135)</f>
        <v>0</v>
      </c>
      <c r="BS135">
        <f>IF(ISNUMBER(Y135),INDEX(AllCollegeChicago, MATCH(N135,AllCollegeNCES,0))*AY135,0)</f>
        <v>0</v>
      </c>
      <c r="BT135">
        <f>IF(ISNUMBER(Y135),INDEX(AllCollegeMoneyCode, MATCH(N135,AllCollegeNCES,0)),"?")</f>
        <v>0</v>
      </c>
      <c r="BU135">
        <f>IF(OR(BT135="---",BT135="--",BT135="+/--",BT135="+/---"),1,0)</f>
        <v>0</v>
      </c>
      <c r="BV135">
        <f>AY135*AO135*AQ135</f>
        <v>0</v>
      </c>
    </row>
    <row r="136" spans="1:74">
      <c r="A136" t="s">
        <v>86</v>
      </c>
      <c r="B136">
        <v>22511393</v>
      </c>
      <c r="C136" t="s">
        <v>200</v>
      </c>
      <c r="D136" t="s">
        <v>201</v>
      </c>
      <c r="E136" t="s">
        <v>428</v>
      </c>
      <c r="F136" t="s">
        <v>486</v>
      </c>
      <c r="G136" t="s">
        <v>430</v>
      </c>
      <c r="H136" t="s">
        <v>431</v>
      </c>
      <c r="I136" t="s">
        <v>432</v>
      </c>
      <c r="J136" t="s">
        <v>432</v>
      </c>
      <c r="K136">
        <v>0</v>
      </c>
      <c r="L136" t="s">
        <v>428</v>
      </c>
      <c r="M136" t="s">
        <v>428</v>
      </c>
      <c r="N136">
        <v>238333</v>
      </c>
      <c r="O136">
        <f>INDEX(AllCollegeBarrons,MATCH(N136,AllCollegeNCES,0))</f>
        <v>0</v>
      </c>
      <c r="P136">
        <f>INDEX(KidGPAs,MATCH(B136,KidIDs,0))</f>
        <v>0</v>
      </c>
      <c r="Q136">
        <f>INDEX(KidACTs,MATCH(B136,KidIDs,0))</f>
        <v>0</v>
      </c>
      <c r="R136">
        <f>INDEX(Strats,MATCH(B136,KidIDs,0))</f>
        <v>0</v>
      </c>
      <c r="S136">
        <f>INDEX(KidRace,MATCH(B136,KidIDs,0))</f>
        <v>0</v>
      </c>
      <c r="T136">
        <f>IF(OR(S136="M",S136="I"),"H",S136)</f>
        <v>0</v>
      </c>
      <c r="U136">
        <f>INDEX(StudentTargets,MATCH(B136,KidIDs,0))</f>
        <v>0</v>
      </c>
      <c r="V136">
        <f>INDEX(ReachStudentTargets,MATCH(B136,KidIDs,0))</f>
        <v>0</v>
      </c>
      <c r="W136">
        <f>IF(OR(M136="Posse"),1,0)</f>
        <v>0</v>
      </c>
      <c r="X136">
        <f>IF(ISNUMBER(INDEX(AllCollegeGR, MATCH(N136,AllCollegeNCES,0))),ROUND(INDEX(AllCollegeGR, MATCH(N136,AllCollegeNCES,0))+W136*IF(INDEX(AllCollegeGR, MATCH(N136,AllCollegeNCES,0))&gt;0.7,(1-INDEX(AllCollegeGR, MATCH(N136,AllCollegeNCES,0)))/2,0.15),2),INDEX(AllCollegeGR, MATCH(N136,AllCollegeNCES,0)))</f>
        <v>0</v>
      </c>
      <c r="Y136">
        <f>IF(ISNUMBER(INDEX(AllCollegeAAHGR, MATCH(N136,AllCollegeNCES,0))),ROUND(INDEX(AllCollegeAAHGR, MATCH(N136,AllCollegeNCES,0))+W136*IF(INDEX(AllCollegeAAHGR, MATCH(N136,AllCollegeNCES,0))&gt;0.7,(1-INDEX(AllCollegeAAHGR, MATCH(N136,AllCollegeNCES,0)))/2,0.15),2),INDEX(AllCollegeAAHGR, MATCH(N136,AllCollegeNCES,0)))</f>
        <v>0</v>
      </c>
      <c r="Z136">
        <f>IF(OR(T136="H",T136="B"),INDEX(AllCollegeACT25, MATCH(N136,AllCollegeNCES,0)),INDEX(AllCollegeACT50, MATCH(N136,AllCollegeNCES,0)))</f>
        <v>0</v>
      </c>
      <c r="AA136">
        <f>INDEX(CustomWeightsGPA,MATCH(T136&amp;":"&amp;N136,CustomWeightsIndex,0))</f>
        <v>0</v>
      </c>
      <c r="AB136">
        <f>INDEX(CustomWeightsACT,MATCH(T136&amp;":"&amp;N136,CustomWeightsIndex,0))</f>
        <v>0</v>
      </c>
      <c r="AC136">
        <f>INDEX(CustomWeightsIntercept,MATCH(T136&amp;":"&amp;N136,CustomWeightsIndex,0))</f>
        <v>0</v>
      </c>
      <c r="AD136">
        <f>AA136*P136+AB136*Q136+AC136</f>
        <v>0</v>
      </c>
      <c r="AE136">
        <f>INDEX(CoefficientsGPA,MATCH(T136&amp;":"&amp;O136,CoefficientsIndex,0))</f>
        <v>0</v>
      </c>
      <c r="AF136">
        <f>INDEX(CoefficientsACT,MATCH(T136&amp;":"&amp;O136,CoefficientsIndex,0))</f>
        <v>0</v>
      </c>
      <c r="AG136">
        <f>INDEX(CoefficientsIntercept,MATCH(T136&amp;":"&amp;O136,CoefficientsIndex,0))</f>
        <v>0</v>
      </c>
      <c r="AH136">
        <f>AE136*P136+(Q136-Z136)*AF136+AG136</f>
        <v>0</v>
      </c>
      <c r="AI136">
        <f>IF(ISNUMBER(AD136),AD136,AH136)</f>
        <v>0</v>
      </c>
      <c r="AJ136">
        <f>IF(ISNUMBER(AI136),IF(ISNUMBER(AE136),IF(AND(AE136=1,AF136=1,AG136=1),100,ROUND(100*EXP(AI136)/(1+EXP(AI136)),2)),ROUND(100*EXP(AI136)/(1+EXP(AI136)),2)),IF(ISTEXT(O136),IF(LEFT(O136,1)="2",100,"N/A"),"N/A"))</f>
        <v>0</v>
      </c>
      <c r="AK136">
        <f>IF(ISNUMBER(AJ136),IF(AJ136&gt;=99,IF(OR(R136=10,R136=11),MatchLabel,SureThingLabel),IF(AJ136&gt;=95,SecureLabel,IF(AJ136&gt;=80,SafetyLabel,IF(AJ136&gt;=50,MatchLabel,IF(AJ136&gt;=20,ReachLabel,IF(AJ136&gt;=10,LongshotLabel,HailMaryLabel)))))),"Other")</f>
        <v>0</v>
      </c>
      <c r="AL136">
        <f>IF(OR(I136="accepted",I136="cond. accept",I136="summer admit"),IF(J136="yes","CHOICE!","Accepted!"),IF(I136="denied","Denied",IF(K136=1,"Waitlist",IF(L136=1,"Deferred",IF(G136="pending","Pending",IF(OR(G136="initial materials submitted",G136="mid-year submitted",G136="final submitted"),"Submitted",IF(H136="interest","Interest","?")))))))</f>
        <v>0</v>
      </c>
      <c r="AM136">
        <f>IF(OR(AK136=ReachLabel,AK136=LongshotLabel,AK136=HailMaryLabel),1,0)</f>
        <v>0</v>
      </c>
      <c r="AN136">
        <f>IF(OR(AM136=1,AK136=MatchLabel),1,0)</f>
        <v>0</v>
      </c>
      <c r="AO136">
        <f>IF(OR(AK136=MatchLabel,AK136=SafetyLabel,AK136=SecureLabel,AK136=SureThingLabel),1,0)</f>
        <v>0</v>
      </c>
      <c r="AP136">
        <f>IF(OR(T136="H",T136="B"),IF(ISNUMBER(Y136),ROUND(Y136,2),0),IF(ISNUMBER(X136),ROUND(X136,2),0))</f>
        <v>0</v>
      </c>
      <c r="AQ136">
        <f>IF(AP136&gt;=U136,1,0)</f>
        <v>0</v>
      </c>
      <c r="AR136">
        <f>IF(AP136&gt;=V136,1,0)</f>
        <v>0</v>
      </c>
      <c r="AS136">
        <f>IF(AP136&lt;(U136-0.10),1,0)</f>
        <v>0</v>
      </c>
      <c r="AT136">
        <f>1-AJ136/100</f>
        <v>0</v>
      </c>
      <c r="AU136">
        <f>IF(AN136=1,AT136,1)</f>
        <v>0</v>
      </c>
      <c r="AV136">
        <f>IF(AM136=1,AT136,1)</f>
        <v>0</v>
      </c>
      <c r="AW136">
        <f>IF(AND(AQ136=1,ISNUMBER(AT136)),$AT136,1)</f>
        <v>0</v>
      </c>
      <c r="AX136">
        <f>IF(AND(AR136=1,ISNUMBER(AT136)),$AT136,1)</f>
        <v>0</v>
      </c>
      <c r="AY136">
        <f>IF(ISNUMBER(Y136),INDEX(AllCollegeMoney, MATCH(N136,AllCollegeNCES,0)),0)</f>
        <v>0</v>
      </c>
      <c r="AZ136">
        <f>IF(AND(AQ136=1,ISNUMBER(AT136),AY136=1),$AT136,1)</f>
        <v>0</v>
      </c>
      <c r="BA136">
        <f>IF(AND(AR136=1,ISNUMBER(AT136),AY136=1),$AT136,1)</f>
        <v>0</v>
      </c>
      <c r="BB136">
        <f>IF(ISNUMBER(Y136),INDEX(AllCollegeILPub, MATCH(N136,AllCollegeNCES,0)),0)</f>
        <v>0</v>
      </c>
      <c r="BC136">
        <f>IF(AK136=ReachLabel,AP136,0)</f>
        <v>0</v>
      </c>
      <c r="BD136">
        <f>IF(AK136=MatchLabel,AP136,0)</f>
        <v>0</v>
      </c>
      <c r="BE136">
        <f>IF(AK136=SafetyLabel,AP136,0)</f>
        <v>0</v>
      </c>
      <c r="BF136">
        <f>IF(AK136=SecureLabel,AP136,0)</f>
        <v>0</v>
      </c>
      <c r="BG136">
        <f>IF(AK136=SureThingLabel,AP136,0)</f>
        <v>0</v>
      </c>
      <c r="BH136">
        <f>MAX(BC136:BG136)</f>
        <v>0</v>
      </c>
      <c r="BI136">
        <f>MAX(BD136:BG136)</f>
        <v>0</v>
      </c>
      <c r="BJ136">
        <f>MAX(BE136:BG136)</f>
        <v>0</v>
      </c>
      <c r="BK136">
        <f>IF(AND(AK136=ReachLabel,AY136=1),AP136,0)</f>
        <v>0</v>
      </c>
      <c r="BL136">
        <f>IF(AND(AK136=MatchLabel,AY136=1),AP136,0)</f>
        <v>0</v>
      </c>
      <c r="BM136">
        <f>IF(AND(AK136=SafetyLabel,AY136=1),AP136,0)</f>
        <v>0</v>
      </c>
      <c r="BN136">
        <f>IF(AND(AK136=SecureLabel,AY136=1),AP136,0)</f>
        <v>0</v>
      </c>
      <c r="BO136">
        <f>IF(AND(AK136=SureThingLabel,AY136=1),AP136,0)</f>
        <v>0</v>
      </c>
      <c r="BP136">
        <f>MAX(BK136:BO136)</f>
        <v>0</v>
      </c>
      <c r="BQ136">
        <f>MAX(BL136:BO136)</f>
        <v>0</v>
      </c>
      <c r="BR136">
        <f>MAX(BM136:BO136)</f>
        <v>0</v>
      </c>
      <c r="BS136">
        <f>IF(ISNUMBER(Y136),INDEX(AllCollegeChicago, MATCH(N136,AllCollegeNCES,0))*AY136,0)</f>
        <v>0</v>
      </c>
      <c r="BT136">
        <f>IF(ISNUMBER(Y136),INDEX(AllCollegeMoneyCode, MATCH(N136,AllCollegeNCES,0)),"?")</f>
        <v>0</v>
      </c>
      <c r="BU136">
        <f>IF(OR(BT136="---",BT136="--",BT136="+/--",BT136="+/---"),1,0)</f>
        <v>0</v>
      </c>
      <c r="BV136">
        <f>AY136*AO136*AQ136</f>
        <v>0</v>
      </c>
    </row>
    <row r="137" spans="1:74">
      <c r="A137" t="s">
        <v>86</v>
      </c>
      <c r="B137">
        <v>22511393</v>
      </c>
      <c r="C137" t="s">
        <v>200</v>
      </c>
      <c r="D137" t="s">
        <v>201</v>
      </c>
      <c r="E137" t="s">
        <v>428</v>
      </c>
      <c r="F137" t="s">
        <v>457</v>
      </c>
      <c r="G137" t="s">
        <v>430</v>
      </c>
      <c r="H137" t="s">
        <v>431</v>
      </c>
      <c r="I137" t="s">
        <v>432</v>
      </c>
      <c r="J137" t="s">
        <v>432</v>
      </c>
      <c r="K137">
        <v>0</v>
      </c>
      <c r="L137" t="s">
        <v>428</v>
      </c>
      <c r="M137" t="s">
        <v>428</v>
      </c>
      <c r="N137">
        <v>145637</v>
      </c>
      <c r="O137">
        <f>INDEX(AllCollegeBarrons,MATCH(N137,AllCollegeNCES,0))</f>
        <v>0</v>
      </c>
      <c r="P137">
        <f>INDEX(KidGPAs,MATCH(B137,KidIDs,0))</f>
        <v>0</v>
      </c>
      <c r="Q137">
        <f>INDEX(KidACTs,MATCH(B137,KidIDs,0))</f>
        <v>0</v>
      </c>
      <c r="R137">
        <f>INDEX(Strats,MATCH(B137,KidIDs,0))</f>
        <v>0</v>
      </c>
      <c r="S137">
        <f>INDEX(KidRace,MATCH(B137,KidIDs,0))</f>
        <v>0</v>
      </c>
      <c r="T137">
        <f>IF(OR(S137="M",S137="I"),"H",S137)</f>
        <v>0</v>
      </c>
      <c r="U137">
        <f>INDEX(StudentTargets,MATCH(B137,KidIDs,0))</f>
        <v>0</v>
      </c>
      <c r="V137">
        <f>INDEX(ReachStudentTargets,MATCH(B137,KidIDs,0))</f>
        <v>0</v>
      </c>
      <c r="W137">
        <f>IF(OR(M137="Posse"),1,0)</f>
        <v>0</v>
      </c>
      <c r="X137">
        <f>IF(ISNUMBER(INDEX(AllCollegeGR, MATCH(N137,AllCollegeNCES,0))),ROUND(INDEX(AllCollegeGR, MATCH(N137,AllCollegeNCES,0))+W137*IF(INDEX(AllCollegeGR, MATCH(N137,AllCollegeNCES,0))&gt;0.7,(1-INDEX(AllCollegeGR, MATCH(N137,AllCollegeNCES,0)))/2,0.15),2),INDEX(AllCollegeGR, MATCH(N137,AllCollegeNCES,0)))</f>
        <v>0</v>
      </c>
      <c r="Y137">
        <f>IF(ISNUMBER(INDEX(AllCollegeAAHGR, MATCH(N137,AllCollegeNCES,0))),ROUND(INDEX(AllCollegeAAHGR, MATCH(N137,AllCollegeNCES,0))+W137*IF(INDEX(AllCollegeAAHGR, MATCH(N137,AllCollegeNCES,0))&gt;0.7,(1-INDEX(AllCollegeAAHGR, MATCH(N137,AllCollegeNCES,0)))/2,0.15),2),INDEX(AllCollegeAAHGR, MATCH(N137,AllCollegeNCES,0)))</f>
        <v>0</v>
      </c>
      <c r="Z137">
        <f>IF(OR(T137="H",T137="B"),INDEX(AllCollegeACT25, MATCH(N137,AllCollegeNCES,0)),INDEX(AllCollegeACT50, MATCH(N137,AllCollegeNCES,0)))</f>
        <v>0</v>
      </c>
      <c r="AA137">
        <f>INDEX(CustomWeightsGPA,MATCH(T137&amp;":"&amp;N137,CustomWeightsIndex,0))</f>
        <v>0</v>
      </c>
      <c r="AB137">
        <f>INDEX(CustomWeightsACT,MATCH(T137&amp;":"&amp;N137,CustomWeightsIndex,0))</f>
        <v>0</v>
      </c>
      <c r="AC137">
        <f>INDEX(CustomWeightsIntercept,MATCH(T137&amp;":"&amp;N137,CustomWeightsIndex,0))</f>
        <v>0</v>
      </c>
      <c r="AD137">
        <f>AA137*P137+AB137*Q137+AC137</f>
        <v>0</v>
      </c>
      <c r="AE137">
        <f>INDEX(CoefficientsGPA,MATCH(T137&amp;":"&amp;O137,CoefficientsIndex,0))</f>
        <v>0</v>
      </c>
      <c r="AF137">
        <f>INDEX(CoefficientsACT,MATCH(T137&amp;":"&amp;O137,CoefficientsIndex,0))</f>
        <v>0</v>
      </c>
      <c r="AG137">
        <f>INDEX(CoefficientsIntercept,MATCH(T137&amp;":"&amp;O137,CoefficientsIndex,0))</f>
        <v>0</v>
      </c>
      <c r="AH137">
        <f>AE137*P137+(Q137-Z137)*AF137+AG137</f>
        <v>0</v>
      </c>
      <c r="AI137">
        <f>IF(ISNUMBER(AD137),AD137,AH137)</f>
        <v>0</v>
      </c>
      <c r="AJ137">
        <f>IF(ISNUMBER(AI137),IF(ISNUMBER(AE137),IF(AND(AE137=1,AF137=1,AG137=1),100,ROUND(100*EXP(AI137)/(1+EXP(AI137)),2)),ROUND(100*EXP(AI137)/(1+EXP(AI137)),2)),IF(ISTEXT(O137),IF(LEFT(O137,1)="2",100,"N/A"),"N/A"))</f>
        <v>0</v>
      </c>
      <c r="AK137">
        <f>IF(ISNUMBER(AJ137),IF(AJ137&gt;=99,IF(OR(R137=10,R137=11),MatchLabel,SureThingLabel),IF(AJ137&gt;=95,SecureLabel,IF(AJ137&gt;=80,SafetyLabel,IF(AJ137&gt;=50,MatchLabel,IF(AJ137&gt;=20,ReachLabel,IF(AJ137&gt;=10,LongshotLabel,HailMaryLabel)))))),"Other")</f>
        <v>0</v>
      </c>
      <c r="AL137">
        <f>IF(OR(I137="accepted",I137="cond. accept",I137="summer admit"),IF(J137="yes","CHOICE!","Accepted!"),IF(I137="denied","Denied",IF(K137=1,"Waitlist",IF(L137=1,"Deferred",IF(G137="pending","Pending",IF(OR(G137="initial materials submitted",G137="mid-year submitted",G137="final submitted"),"Submitted",IF(H137="interest","Interest","?")))))))</f>
        <v>0</v>
      </c>
      <c r="AM137">
        <f>IF(OR(AK137=ReachLabel,AK137=LongshotLabel,AK137=HailMaryLabel),1,0)</f>
        <v>0</v>
      </c>
      <c r="AN137">
        <f>IF(OR(AM137=1,AK137=MatchLabel),1,0)</f>
        <v>0</v>
      </c>
      <c r="AO137">
        <f>IF(OR(AK137=MatchLabel,AK137=SafetyLabel,AK137=SecureLabel,AK137=SureThingLabel),1,0)</f>
        <v>0</v>
      </c>
      <c r="AP137">
        <f>IF(OR(T137="H",T137="B"),IF(ISNUMBER(Y137),ROUND(Y137,2),0),IF(ISNUMBER(X137),ROUND(X137,2),0))</f>
        <v>0</v>
      </c>
      <c r="AQ137">
        <f>IF(AP137&gt;=U137,1,0)</f>
        <v>0</v>
      </c>
      <c r="AR137">
        <f>IF(AP137&gt;=V137,1,0)</f>
        <v>0</v>
      </c>
      <c r="AS137">
        <f>IF(AP137&lt;(U137-0.10),1,0)</f>
        <v>0</v>
      </c>
      <c r="AT137">
        <f>1-AJ137/100</f>
        <v>0</v>
      </c>
      <c r="AU137">
        <f>IF(AN137=1,AT137,1)</f>
        <v>0</v>
      </c>
      <c r="AV137">
        <f>IF(AM137=1,AT137,1)</f>
        <v>0</v>
      </c>
      <c r="AW137">
        <f>IF(AND(AQ137=1,ISNUMBER(AT137)),$AT137,1)</f>
        <v>0</v>
      </c>
      <c r="AX137">
        <f>IF(AND(AR137=1,ISNUMBER(AT137)),$AT137,1)</f>
        <v>0</v>
      </c>
      <c r="AY137">
        <f>IF(ISNUMBER(Y137),INDEX(AllCollegeMoney, MATCH(N137,AllCollegeNCES,0)),0)</f>
        <v>0</v>
      </c>
      <c r="AZ137">
        <f>IF(AND(AQ137=1,ISNUMBER(AT137),AY137=1),$AT137,1)</f>
        <v>0</v>
      </c>
      <c r="BA137">
        <f>IF(AND(AR137=1,ISNUMBER(AT137),AY137=1),$AT137,1)</f>
        <v>0</v>
      </c>
      <c r="BB137">
        <f>IF(ISNUMBER(Y137),INDEX(AllCollegeILPub, MATCH(N137,AllCollegeNCES,0)),0)</f>
        <v>0</v>
      </c>
      <c r="BC137">
        <f>IF(AK137=ReachLabel,AP137,0)</f>
        <v>0</v>
      </c>
      <c r="BD137">
        <f>IF(AK137=MatchLabel,AP137,0)</f>
        <v>0</v>
      </c>
      <c r="BE137">
        <f>IF(AK137=SafetyLabel,AP137,0)</f>
        <v>0</v>
      </c>
      <c r="BF137">
        <f>IF(AK137=SecureLabel,AP137,0)</f>
        <v>0</v>
      </c>
      <c r="BG137">
        <f>IF(AK137=SureThingLabel,AP137,0)</f>
        <v>0</v>
      </c>
      <c r="BH137">
        <f>MAX(BC137:BG137)</f>
        <v>0</v>
      </c>
      <c r="BI137">
        <f>MAX(BD137:BG137)</f>
        <v>0</v>
      </c>
      <c r="BJ137">
        <f>MAX(BE137:BG137)</f>
        <v>0</v>
      </c>
      <c r="BK137">
        <f>IF(AND(AK137=ReachLabel,AY137=1),AP137,0)</f>
        <v>0</v>
      </c>
      <c r="BL137">
        <f>IF(AND(AK137=MatchLabel,AY137=1),AP137,0)</f>
        <v>0</v>
      </c>
      <c r="BM137">
        <f>IF(AND(AK137=SafetyLabel,AY137=1),AP137,0)</f>
        <v>0</v>
      </c>
      <c r="BN137">
        <f>IF(AND(AK137=SecureLabel,AY137=1),AP137,0)</f>
        <v>0</v>
      </c>
      <c r="BO137">
        <f>IF(AND(AK137=SureThingLabel,AY137=1),AP137,0)</f>
        <v>0</v>
      </c>
      <c r="BP137">
        <f>MAX(BK137:BO137)</f>
        <v>0</v>
      </c>
      <c r="BQ137">
        <f>MAX(BL137:BO137)</f>
        <v>0</v>
      </c>
      <c r="BR137">
        <f>MAX(BM137:BO137)</f>
        <v>0</v>
      </c>
      <c r="BS137">
        <f>IF(ISNUMBER(Y137),INDEX(AllCollegeChicago, MATCH(N137,AllCollegeNCES,0))*AY137,0)</f>
        <v>0</v>
      </c>
      <c r="BT137">
        <f>IF(ISNUMBER(Y137),INDEX(AllCollegeMoneyCode, MATCH(N137,AllCollegeNCES,0)),"?")</f>
        <v>0</v>
      </c>
      <c r="BU137">
        <f>IF(OR(BT137="---",BT137="--",BT137="+/--",BT137="+/---"),1,0)</f>
        <v>0</v>
      </c>
      <c r="BV137">
        <f>AY137*AO137*AQ137</f>
        <v>0</v>
      </c>
    </row>
    <row r="138" spans="1:74">
      <c r="A138" t="s">
        <v>86</v>
      </c>
      <c r="B138">
        <v>22511393</v>
      </c>
      <c r="C138" t="s">
        <v>200</v>
      </c>
      <c r="D138" t="s">
        <v>201</v>
      </c>
      <c r="E138" t="s">
        <v>428</v>
      </c>
      <c r="F138" t="s">
        <v>458</v>
      </c>
      <c r="G138" t="s">
        <v>463</v>
      </c>
      <c r="H138" t="s">
        <v>431</v>
      </c>
      <c r="I138" t="s">
        <v>432</v>
      </c>
      <c r="J138" t="s">
        <v>432</v>
      </c>
      <c r="K138">
        <v>0</v>
      </c>
      <c r="L138" t="s">
        <v>428</v>
      </c>
      <c r="M138" t="s">
        <v>428</v>
      </c>
      <c r="N138">
        <v>202523</v>
      </c>
      <c r="O138">
        <f>INDEX(AllCollegeBarrons,MATCH(N138,AllCollegeNCES,0))</f>
        <v>0</v>
      </c>
      <c r="P138">
        <f>INDEX(KidGPAs,MATCH(B138,KidIDs,0))</f>
        <v>0</v>
      </c>
      <c r="Q138">
        <f>INDEX(KidACTs,MATCH(B138,KidIDs,0))</f>
        <v>0</v>
      </c>
      <c r="R138">
        <f>INDEX(Strats,MATCH(B138,KidIDs,0))</f>
        <v>0</v>
      </c>
      <c r="S138">
        <f>INDEX(KidRace,MATCH(B138,KidIDs,0))</f>
        <v>0</v>
      </c>
      <c r="T138">
        <f>IF(OR(S138="M",S138="I"),"H",S138)</f>
        <v>0</v>
      </c>
      <c r="U138">
        <f>INDEX(StudentTargets,MATCH(B138,KidIDs,0))</f>
        <v>0</v>
      </c>
      <c r="V138">
        <f>INDEX(ReachStudentTargets,MATCH(B138,KidIDs,0))</f>
        <v>0</v>
      </c>
      <c r="W138">
        <f>IF(OR(M138="Posse"),1,0)</f>
        <v>0</v>
      </c>
      <c r="X138">
        <f>IF(ISNUMBER(INDEX(AllCollegeGR, MATCH(N138,AllCollegeNCES,0))),ROUND(INDEX(AllCollegeGR, MATCH(N138,AllCollegeNCES,0))+W138*IF(INDEX(AllCollegeGR, MATCH(N138,AllCollegeNCES,0))&gt;0.7,(1-INDEX(AllCollegeGR, MATCH(N138,AllCollegeNCES,0)))/2,0.15),2),INDEX(AllCollegeGR, MATCH(N138,AllCollegeNCES,0)))</f>
        <v>0</v>
      </c>
      <c r="Y138">
        <f>IF(ISNUMBER(INDEX(AllCollegeAAHGR, MATCH(N138,AllCollegeNCES,0))),ROUND(INDEX(AllCollegeAAHGR, MATCH(N138,AllCollegeNCES,0))+W138*IF(INDEX(AllCollegeAAHGR, MATCH(N138,AllCollegeNCES,0))&gt;0.7,(1-INDEX(AllCollegeAAHGR, MATCH(N138,AllCollegeNCES,0)))/2,0.15),2),INDEX(AllCollegeAAHGR, MATCH(N138,AllCollegeNCES,0)))</f>
        <v>0</v>
      </c>
      <c r="Z138">
        <f>IF(OR(T138="H",T138="B"),INDEX(AllCollegeACT25, MATCH(N138,AllCollegeNCES,0)),INDEX(AllCollegeACT50, MATCH(N138,AllCollegeNCES,0)))</f>
        <v>0</v>
      </c>
      <c r="AA138">
        <f>INDEX(CustomWeightsGPA,MATCH(T138&amp;":"&amp;N138,CustomWeightsIndex,0))</f>
        <v>0</v>
      </c>
      <c r="AB138">
        <f>INDEX(CustomWeightsACT,MATCH(T138&amp;":"&amp;N138,CustomWeightsIndex,0))</f>
        <v>0</v>
      </c>
      <c r="AC138">
        <f>INDEX(CustomWeightsIntercept,MATCH(T138&amp;":"&amp;N138,CustomWeightsIndex,0))</f>
        <v>0</v>
      </c>
      <c r="AD138">
        <f>AA138*P138+AB138*Q138+AC138</f>
        <v>0</v>
      </c>
      <c r="AE138">
        <f>INDEX(CoefficientsGPA,MATCH(T138&amp;":"&amp;O138,CoefficientsIndex,0))</f>
        <v>0</v>
      </c>
      <c r="AF138">
        <f>INDEX(CoefficientsACT,MATCH(T138&amp;":"&amp;O138,CoefficientsIndex,0))</f>
        <v>0</v>
      </c>
      <c r="AG138">
        <f>INDEX(CoefficientsIntercept,MATCH(T138&amp;":"&amp;O138,CoefficientsIndex,0))</f>
        <v>0</v>
      </c>
      <c r="AH138">
        <f>AE138*P138+(Q138-Z138)*AF138+AG138</f>
        <v>0</v>
      </c>
      <c r="AI138">
        <f>IF(ISNUMBER(AD138),AD138,AH138)</f>
        <v>0</v>
      </c>
      <c r="AJ138">
        <f>IF(ISNUMBER(AI138),IF(ISNUMBER(AE138),IF(AND(AE138=1,AF138=1,AG138=1),100,ROUND(100*EXP(AI138)/(1+EXP(AI138)),2)),ROUND(100*EXP(AI138)/(1+EXP(AI138)),2)),IF(ISTEXT(O138),IF(LEFT(O138,1)="2",100,"N/A"),"N/A"))</f>
        <v>0</v>
      </c>
      <c r="AK138">
        <f>IF(ISNUMBER(AJ138),IF(AJ138&gt;=99,IF(OR(R138=10,R138=11),MatchLabel,SureThingLabel),IF(AJ138&gt;=95,SecureLabel,IF(AJ138&gt;=80,SafetyLabel,IF(AJ138&gt;=50,MatchLabel,IF(AJ138&gt;=20,ReachLabel,IF(AJ138&gt;=10,LongshotLabel,HailMaryLabel)))))),"Other")</f>
        <v>0</v>
      </c>
      <c r="AL138">
        <f>IF(OR(I138="accepted",I138="cond. accept",I138="summer admit"),IF(J138="yes","CHOICE!","Accepted!"),IF(I138="denied","Denied",IF(K138=1,"Waitlist",IF(L138=1,"Deferred",IF(G138="pending","Pending",IF(OR(G138="initial materials submitted",G138="mid-year submitted",G138="final submitted"),"Submitted",IF(H138="interest","Interest","?")))))))</f>
        <v>0</v>
      </c>
      <c r="AM138">
        <f>IF(OR(AK138=ReachLabel,AK138=LongshotLabel,AK138=HailMaryLabel),1,0)</f>
        <v>0</v>
      </c>
      <c r="AN138">
        <f>IF(OR(AM138=1,AK138=MatchLabel),1,0)</f>
        <v>0</v>
      </c>
      <c r="AO138">
        <f>IF(OR(AK138=MatchLabel,AK138=SafetyLabel,AK138=SecureLabel,AK138=SureThingLabel),1,0)</f>
        <v>0</v>
      </c>
      <c r="AP138">
        <f>IF(OR(T138="H",T138="B"),IF(ISNUMBER(Y138),ROUND(Y138,2),0),IF(ISNUMBER(X138),ROUND(X138,2),0))</f>
        <v>0</v>
      </c>
      <c r="AQ138">
        <f>IF(AP138&gt;=U138,1,0)</f>
        <v>0</v>
      </c>
      <c r="AR138">
        <f>IF(AP138&gt;=V138,1,0)</f>
        <v>0</v>
      </c>
      <c r="AS138">
        <f>IF(AP138&lt;(U138-0.10),1,0)</f>
        <v>0</v>
      </c>
      <c r="AT138">
        <f>1-AJ138/100</f>
        <v>0</v>
      </c>
      <c r="AU138">
        <f>IF(AN138=1,AT138,1)</f>
        <v>0</v>
      </c>
      <c r="AV138">
        <f>IF(AM138=1,AT138,1)</f>
        <v>0</v>
      </c>
      <c r="AW138">
        <f>IF(AND(AQ138=1,ISNUMBER(AT138)),$AT138,1)</f>
        <v>0</v>
      </c>
      <c r="AX138">
        <f>IF(AND(AR138=1,ISNUMBER(AT138)),$AT138,1)</f>
        <v>0</v>
      </c>
      <c r="AY138">
        <f>IF(ISNUMBER(Y138),INDEX(AllCollegeMoney, MATCH(N138,AllCollegeNCES,0)),0)</f>
        <v>0</v>
      </c>
      <c r="AZ138">
        <f>IF(AND(AQ138=1,ISNUMBER(AT138),AY138=1),$AT138,1)</f>
        <v>0</v>
      </c>
      <c r="BA138">
        <f>IF(AND(AR138=1,ISNUMBER(AT138),AY138=1),$AT138,1)</f>
        <v>0</v>
      </c>
      <c r="BB138">
        <f>IF(ISNUMBER(Y138),INDEX(AllCollegeILPub, MATCH(N138,AllCollegeNCES,0)),0)</f>
        <v>0</v>
      </c>
      <c r="BC138">
        <f>IF(AK138=ReachLabel,AP138,0)</f>
        <v>0</v>
      </c>
      <c r="BD138">
        <f>IF(AK138=MatchLabel,AP138,0)</f>
        <v>0</v>
      </c>
      <c r="BE138">
        <f>IF(AK138=SafetyLabel,AP138,0)</f>
        <v>0</v>
      </c>
      <c r="BF138">
        <f>IF(AK138=SecureLabel,AP138,0)</f>
        <v>0</v>
      </c>
      <c r="BG138">
        <f>IF(AK138=SureThingLabel,AP138,0)</f>
        <v>0</v>
      </c>
      <c r="BH138">
        <f>MAX(BC138:BG138)</f>
        <v>0</v>
      </c>
      <c r="BI138">
        <f>MAX(BD138:BG138)</f>
        <v>0</v>
      </c>
      <c r="BJ138">
        <f>MAX(BE138:BG138)</f>
        <v>0</v>
      </c>
      <c r="BK138">
        <f>IF(AND(AK138=ReachLabel,AY138=1),AP138,0)</f>
        <v>0</v>
      </c>
      <c r="BL138">
        <f>IF(AND(AK138=MatchLabel,AY138=1),AP138,0)</f>
        <v>0</v>
      </c>
      <c r="BM138">
        <f>IF(AND(AK138=SafetyLabel,AY138=1),AP138,0)</f>
        <v>0</v>
      </c>
      <c r="BN138">
        <f>IF(AND(AK138=SecureLabel,AY138=1),AP138,0)</f>
        <v>0</v>
      </c>
      <c r="BO138">
        <f>IF(AND(AK138=SureThingLabel,AY138=1),AP138,0)</f>
        <v>0</v>
      </c>
      <c r="BP138">
        <f>MAX(BK138:BO138)</f>
        <v>0</v>
      </c>
      <c r="BQ138">
        <f>MAX(BL138:BO138)</f>
        <v>0</v>
      </c>
      <c r="BR138">
        <f>MAX(BM138:BO138)</f>
        <v>0</v>
      </c>
      <c r="BS138">
        <f>IF(ISNUMBER(Y138),INDEX(AllCollegeChicago, MATCH(N138,AllCollegeNCES,0))*AY138,0)</f>
        <v>0</v>
      </c>
      <c r="BT138">
        <f>IF(ISNUMBER(Y138),INDEX(AllCollegeMoneyCode, MATCH(N138,AllCollegeNCES,0)),"?")</f>
        <v>0</v>
      </c>
      <c r="BU138">
        <f>IF(OR(BT138="---",BT138="--",BT138="+/--",BT138="+/---"),1,0)</f>
        <v>0</v>
      </c>
      <c r="BV138">
        <f>AY138*AO138*AQ138</f>
        <v>0</v>
      </c>
    </row>
    <row r="139" spans="1:74">
      <c r="A139" t="s">
        <v>86</v>
      </c>
      <c r="B139">
        <v>22511393</v>
      </c>
      <c r="C139" t="s">
        <v>200</v>
      </c>
      <c r="D139" t="s">
        <v>201</v>
      </c>
      <c r="E139" t="s">
        <v>428</v>
      </c>
      <c r="F139" t="s">
        <v>459</v>
      </c>
      <c r="G139" t="s">
        <v>430</v>
      </c>
      <c r="H139" t="s">
        <v>431</v>
      </c>
      <c r="I139" t="s">
        <v>432</v>
      </c>
      <c r="J139" t="s">
        <v>432</v>
      </c>
      <c r="K139">
        <v>0</v>
      </c>
      <c r="L139" t="s">
        <v>428</v>
      </c>
      <c r="M139" t="s">
        <v>428</v>
      </c>
      <c r="N139">
        <v>146427</v>
      </c>
      <c r="O139">
        <f>INDEX(AllCollegeBarrons,MATCH(N139,AllCollegeNCES,0))</f>
        <v>0</v>
      </c>
      <c r="P139">
        <f>INDEX(KidGPAs,MATCH(B139,KidIDs,0))</f>
        <v>0</v>
      </c>
      <c r="Q139">
        <f>INDEX(KidACTs,MATCH(B139,KidIDs,0))</f>
        <v>0</v>
      </c>
      <c r="R139">
        <f>INDEX(Strats,MATCH(B139,KidIDs,0))</f>
        <v>0</v>
      </c>
      <c r="S139">
        <f>INDEX(KidRace,MATCH(B139,KidIDs,0))</f>
        <v>0</v>
      </c>
      <c r="T139">
        <f>IF(OR(S139="M",S139="I"),"H",S139)</f>
        <v>0</v>
      </c>
      <c r="U139">
        <f>INDEX(StudentTargets,MATCH(B139,KidIDs,0))</f>
        <v>0</v>
      </c>
      <c r="V139">
        <f>INDEX(ReachStudentTargets,MATCH(B139,KidIDs,0))</f>
        <v>0</v>
      </c>
      <c r="W139">
        <f>IF(OR(M139="Posse"),1,0)</f>
        <v>0</v>
      </c>
      <c r="X139">
        <f>IF(ISNUMBER(INDEX(AllCollegeGR, MATCH(N139,AllCollegeNCES,0))),ROUND(INDEX(AllCollegeGR, MATCH(N139,AllCollegeNCES,0))+W139*IF(INDEX(AllCollegeGR, MATCH(N139,AllCollegeNCES,0))&gt;0.7,(1-INDEX(AllCollegeGR, MATCH(N139,AllCollegeNCES,0)))/2,0.15),2),INDEX(AllCollegeGR, MATCH(N139,AllCollegeNCES,0)))</f>
        <v>0</v>
      </c>
      <c r="Y139">
        <f>IF(ISNUMBER(INDEX(AllCollegeAAHGR, MATCH(N139,AllCollegeNCES,0))),ROUND(INDEX(AllCollegeAAHGR, MATCH(N139,AllCollegeNCES,0))+W139*IF(INDEX(AllCollegeAAHGR, MATCH(N139,AllCollegeNCES,0))&gt;0.7,(1-INDEX(AllCollegeAAHGR, MATCH(N139,AllCollegeNCES,0)))/2,0.15),2),INDEX(AllCollegeAAHGR, MATCH(N139,AllCollegeNCES,0)))</f>
        <v>0</v>
      </c>
      <c r="Z139">
        <f>IF(OR(T139="H",T139="B"),INDEX(AllCollegeACT25, MATCH(N139,AllCollegeNCES,0)),INDEX(AllCollegeACT50, MATCH(N139,AllCollegeNCES,0)))</f>
        <v>0</v>
      </c>
      <c r="AA139">
        <f>INDEX(CustomWeightsGPA,MATCH(T139&amp;":"&amp;N139,CustomWeightsIndex,0))</f>
        <v>0</v>
      </c>
      <c r="AB139">
        <f>INDEX(CustomWeightsACT,MATCH(T139&amp;":"&amp;N139,CustomWeightsIndex,0))</f>
        <v>0</v>
      </c>
      <c r="AC139">
        <f>INDEX(CustomWeightsIntercept,MATCH(T139&amp;":"&amp;N139,CustomWeightsIndex,0))</f>
        <v>0</v>
      </c>
      <c r="AD139">
        <f>AA139*P139+AB139*Q139+AC139</f>
        <v>0</v>
      </c>
      <c r="AE139">
        <f>INDEX(CoefficientsGPA,MATCH(T139&amp;":"&amp;O139,CoefficientsIndex,0))</f>
        <v>0</v>
      </c>
      <c r="AF139">
        <f>INDEX(CoefficientsACT,MATCH(T139&amp;":"&amp;O139,CoefficientsIndex,0))</f>
        <v>0</v>
      </c>
      <c r="AG139">
        <f>INDEX(CoefficientsIntercept,MATCH(T139&amp;":"&amp;O139,CoefficientsIndex,0))</f>
        <v>0</v>
      </c>
      <c r="AH139">
        <f>AE139*P139+(Q139-Z139)*AF139+AG139</f>
        <v>0</v>
      </c>
      <c r="AI139">
        <f>IF(ISNUMBER(AD139),AD139,AH139)</f>
        <v>0</v>
      </c>
      <c r="AJ139">
        <f>IF(ISNUMBER(AI139),IF(ISNUMBER(AE139),IF(AND(AE139=1,AF139=1,AG139=1),100,ROUND(100*EXP(AI139)/(1+EXP(AI139)),2)),ROUND(100*EXP(AI139)/(1+EXP(AI139)),2)),IF(ISTEXT(O139),IF(LEFT(O139,1)="2",100,"N/A"),"N/A"))</f>
        <v>0</v>
      </c>
      <c r="AK139">
        <f>IF(ISNUMBER(AJ139),IF(AJ139&gt;=99,IF(OR(R139=10,R139=11),MatchLabel,SureThingLabel),IF(AJ139&gt;=95,SecureLabel,IF(AJ139&gt;=80,SafetyLabel,IF(AJ139&gt;=50,MatchLabel,IF(AJ139&gt;=20,ReachLabel,IF(AJ139&gt;=10,LongshotLabel,HailMaryLabel)))))),"Other")</f>
        <v>0</v>
      </c>
      <c r="AL139">
        <f>IF(OR(I139="accepted",I139="cond. accept",I139="summer admit"),IF(J139="yes","CHOICE!","Accepted!"),IF(I139="denied","Denied",IF(K139=1,"Waitlist",IF(L139=1,"Deferred",IF(G139="pending","Pending",IF(OR(G139="initial materials submitted",G139="mid-year submitted",G139="final submitted"),"Submitted",IF(H139="interest","Interest","?")))))))</f>
        <v>0</v>
      </c>
      <c r="AM139">
        <f>IF(OR(AK139=ReachLabel,AK139=LongshotLabel,AK139=HailMaryLabel),1,0)</f>
        <v>0</v>
      </c>
      <c r="AN139">
        <f>IF(OR(AM139=1,AK139=MatchLabel),1,0)</f>
        <v>0</v>
      </c>
      <c r="AO139">
        <f>IF(OR(AK139=MatchLabel,AK139=SafetyLabel,AK139=SecureLabel,AK139=SureThingLabel),1,0)</f>
        <v>0</v>
      </c>
      <c r="AP139">
        <f>IF(OR(T139="H",T139="B"),IF(ISNUMBER(Y139),ROUND(Y139,2),0),IF(ISNUMBER(X139),ROUND(X139,2),0))</f>
        <v>0</v>
      </c>
      <c r="AQ139">
        <f>IF(AP139&gt;=U139,1,0)</f>
        <v>0</v>
      </c>
      <c r="AR139">
        <f>IF(AP139&gt;=V139,1,0)</f>
        <v>0</v>
      </c>
      <c r="AS139">
        <f>IF(AP139&lt;(U139-0.10),1,0)</f>
        <v>0</v>
      </c>
      <c r="AT139">
        <f>1-AJ139/100</f>
        <v>0</v>
      </c>
      <c r="AU139">
        <f>IF(AN139=1,AT139,1)</f>
        <v>0</v>
      </c>
      <c r="AV139">
        <f>IF(AM139=1,AT139,1)</f>
        <v>0</v>
      </c>
      <c r="AW139">
        <f>IF(AND(AQ139=1,ISNUMBER(AT139)),$AT139,1)</f>
        <v>0</v>
      </c>
      <c r="AX139">
        <f>IF(AND(AR139=1,ISNUMBER(AT139)),$AT139,1)</f>
        <v>0</v>
      </c>
      <c r="AY139">
        <f>IF(ISNUMBER(Y139),INDEX(AllCollegeMoney, MATCH(N139,AllCollegeNCES,0)),0)</f>
        <v>0</v>
      </c>
      <c r="AZ139">
        <f>IF(AND(AQ139=1,ISNUMBER(AT139),AY139=1),$AT139,1)</f>
        <v>0</v>
      </c>
      <c r="BA139">
        <f>IF(AND(AR139=1,ISNUMBER(AT139),AY139=1),$AT139,1)</f>
        <v>0</v>
      </c>
      <c r="BB139">
        <f>IF(ISNUMBER(Y139),INDEX(AllCollegeILPub, MATCH(N139,AllCollegeNCES,0)),0)</f>
        <v>0</v>
      </c>
      <c r="BC139">
        <f>IF(AK139=ReachLabel,AP139,0)</f>
        <v>0</v>
      </c>
      <c r="BD139">
        <f>IF(AK139=MatchLabel,AP139,0)</f>
        <v>0</v>
      </c>
      <c r="BE139">
        <f>IF(AK139=SafetyLabel,AP139,0)</f>
        <v>0</v>
      </c>
      <c r="BF139">
        <f>IF(AK139=SecureLabel,AP139,0)</f>
        <v>0</v>
      </c>
      <c r="BG139">
        <f>IF(AK139=SureThingLabel,AP139,0)</f>
        <v>0</v>
      </c>
      <c r="BH139">
        <f>MAX(BC139:BG139)</f>
        <v>0</v>
      </c>
      <c r="BI139">
        <f>MAX(BD139:BG139)</f>
        <v>0</v>
      </c>
      <c r="BJ139">
        <f>MAX(BE139:BG139)</f>
        <v>0</v>
      </c>
      <c r="BK139">
        <f>IF(AND(AK139=ReachLabel,AY139=1),AP139,0)</f>
        <v>0</v>
      </c>
      <c r="BL139">
        <f>IF(AND(AK139=MatchLabel,AY139=1),AP139,0)</f>
        <v>0</v>
      </c>
      <c r="BM139">
        <f>IF(AND(AK139=SafetyLabel,AY139=1),AP139,0)</f>
        <v>0</v>
      </c>
      <c r="BN139">
        <f>IF(AND(AK139=SecureLabel,AY139=1),AP139,0)</f>
        <v>0</v>
      </c>
      <c r="BO139">
        <f>IF(AND(AK139=SureThingLabel,AY139=1),AP139,0)</f>
        <v>0</v>
      </c>
      <c r="BP139">
        <f>MAX(BK139:BO139)</f>
        <v>0</v>
      </c>
      <c r="BQ139">
        <f>MAX(BL139:BO139)</f>
        <v>0</v>
      </c>
      <c r="BR139">
        <f>MAX(BM139:BO139)</f>
        <v>0</v>
      </c>
      <c r="BS139">
        <f>IF(ISNUMBER(Y139),INDEX(AllCollegeChicago, MATCH(N139,AllCollegeNCES,0))*AY139,0)</f>
        <v>0</v>
      </c>
      <c r="BT139">
        <f>IF(ISNUMBER(Y139),INDEX(AllCollegeMoneyCode, MATCH(N139,AllCollegeNCES,0)),"?")</f>
        <v>0</v>
      </c>
      <c r="BU139">
        <f>IF(OR(BT139="---",BT139="--",BT139="+/--",BT139="+/---"),1,0)</f>
        <v>0</v>
      </c>
      <c r="BV139">
        <f>AY139*AO139*AQ139</f>
        <v>0</v>
      </c>
    </row>
    <row r="140" spans="1:74">
      <c r="A140" t="s">
        <v>86</v>
      </c>
      <c r="B140">
        <v>22511393</v>
      </c>
      <c r="C140" t="s">
        <v>200</v>
      </c>
      <c r="D140" t="s">
        <v>201</v>
      </c>
      <c r="E140" t="s">
        <v>428</v>
      </c>
      <c r="F140" t="s">
        <v>470</v>
      </c>
      <c r="G140" t="s">
        <v>430</v>
      </c>
      <c r="H140" t="s">
        <v>431</v>
      </c>
      <c r="I140" t="s">
        <v>432</v>
      </c>
      <c r="J140" t="s">
        <v>432</v>
      </c>
      <c r="K140">
        <v>0</v>
      </c>
      <c r="L140" t="s">
        <v>428</v>
      </c>
      <c r="M140" t="s">
        <v>428</v>
      </c>
      <c r="N140">
        <v>206589</v>
      </c>
      <c r="O140">
        <f>INDEX(AllCollegeBarrons,MATCH(N140,AllCollegeNCES,0))</f>
        <v>0</v>
      </c>
      <c r="P140">
        <f>INDEX(KidGPAs,MATCH(B140,KidIDs,0))</f>
        <v>0</v>
      </c>
      <c r="Q140">
        <f>INDEX(KidACTs,MATCH(B140,KidIDs,0))</f>
        <v>0</v>
      </c>
      <c r="R140">
        <f>INDEX(Strats,MATCH(B140,KidIDs,0))</f>
        <v>0</v>
      </c>
      <c r="S140">
        <f>INDEX(KidRace,MATCH(B140,KidIDs,0))</f>
        <v>0</v>
      </c>
      <c r="T140">
        <f>IF(OR(S140="M",S140="I"),"H",S140)</f>
        <v>0</v>
      </c>
      <c r="U140">
        <f>INDEX(StudentTargets,MATCH(B140,KidIDs,0))</f>
        <v>0</v>
      </c>
      <c r="V140">
        <f>INDEX(ReachStudentTargets,MATCH(B140,KidIDs,0))</f>
        <v>0</v>
      </c>
      <c r="W140">
        <f>IF(OR(M140="Posse"),1,0)</f>
        <v>0</v>
      </c>
      <c r="X140">
        <f>IF(ISNUMBER(INDEX(AllCollegeGR, MATCH(N140,AllCollegeNCES,0))),ROUND(INDEX(AllCollegeGR, MATCH(N140,AllCollegeNCES,0))+W140*IF(INDEX(AllCollegeGR, MATCH(N140,AllCollegeNCES,0))&gt;0.7,(1-INDEX(AllCollegeGR, MATCH(N140,AllCollegeNCES,0)))/2,0.15),2),INDEX(AllCollegeGR, MATCH(N140,AllCollegeNCES,0)))</f>
        <v>0</v>
      </c>
      <c r="Y140">
        <f>IF(ISNUMBER(INDEX(AllCollegeAAHGR, MATCH(N140,AllCollegeNCES,0))),ROUND(INDEX(AllCollegeAAHGR, MATCH(N140,AllCollegeNCES,0))+W140*IF(INDEX(AllCollegeAAHGR, MATCH(N140,AllCollegeNCES,0))&gt;0.7,(1-INDEX(AllCollegeAAHGR, MATCH(N140,AllCollegeNCES,0)))/2,0.15),2),INDEX(AllCollegeAAHGR, MATCH(N140,AllCollegeNCES,0)))</f>
        <v>0</v>
      </c>
      <c r="Z140">
        <f>IF(OR(T140="H",T140="B"),INDEX(AllCollegeACT25, MATCH(N140,AllCollegeNCES,0)),INDEX(AllCollegeACT50, MATCH(N140,AllCollegeNCES,0)))</f>
        <v>0</v>
      </c>
      <c r="AA140">
        <f>INDEX(CustomWeightsGPA,MATCH(T140&amp;":"&amp;N140,CustomWeightsIndex,0))</f>
        <v>0</v>
      </c>
      <c r="AB140">
        <f>INDEX(CustomWeightsACT,MATCH(T140&amp;":"&amp;N140,CustomWeightsIndex,0))</f>
        <v>0</v>
      </c>
      <c r="AC140">
        <f>INDEX(CustomWeightsIntercept,MATCH(T140&amp;":"&amp;N140,CustomWeightsIndex,0))</f>
        <v>0</v>
      </c>
      <c r="AD140">
        <f>AA140*P140+AB140*Q140+AC140</f>
        <v>0</v>
      </c>
      <c r="AE140">
        <f>INDEX(CoefficientsGPA,MATCH(T140&amp;":"&amp;O140,CoefficientsIndex,0))</f>
        <v>0</v>
      </c>
      <c r="AF140">
        <f>INDEX(CoefficientsACT,MATCH(T140&amp;":"&amp;O140,CoefficientsIndex,0))</f>
        <v>0</v>
      </c>
      <c r="AG140">
        <f>INDEX(CoefficientsIntercept,MATCH(T140&amp;":"&amp;O140,CoefficientsIndex,0))</f>
        <v>0</v>
      </c>
      <c r="AH140">
        <f>AE140*P140+(Q140-Z140)*AF140+AG140</f>
        <v>0</v>
      </c>
      <c r="AI140">
        <f>IF(ISNUMBER(AD140),AD140,AH140)</f>
        <v>0</v>
      </c>
      <c r="AJ140">
        <f>IF(ISNUMBER(AI140),IF(ISNUMBER(AE140),IF(AND(AE140=1,AF140=1,AG140=1),100,ROUND(100*EXP(AI140)/(1+EXP(AI140)),2)),ROUND(100*EXP(AI140)/(1+EXP(AI140)),2)),IF(ISTEXT(O140),IF(LEFT(O140,1)="2",100,"N/A"),"N/A"))</f>
        <v>0</v>
      </c>
      <c r="AK140">
        <f>IF(ISNUMBER(AJ140),IF(AJ140&gt;=99,IF(OR(R140=10,R140=11),MatchLabel,SureThingLabel),IF(AJ140&gt;=95,SecureLabel,IF(AJ140&gt;=80,SafetyLabel,IF(AJ140&gt;=50,MatchLabel,IF(AJ140&gt;=20,ReachLabel,IF(AJ140&gt;=10,LongshotLabel,HailMaryLabel)))))),"Other")</f>
        <v>0</v>
      </c>
      <c r="AL140">
        <f>IF(OR(I140="accepted",I140="cond. accept",I140="summer admit"),IF(J140="yes","CHOICE!","Accepted!"),IF(I140="denied","Denied",IF(K140=1,"Waitlist",IF(L140=1,"Deferred",IF(G140="pending","Pending",IF(OR(G140="initial materials submitted",G140="mid-year submitted",G140="final submitted"),"Submitted",IF(H140="interest","Interest","?")))))))</f>
        <v>0</v>
      </c>
      <c r="AM140">
        <f>IF(OR(AK140=ReachLabel,AK140=LongshotLabel,AK140=HailMaryLabel),1,0)</f>
        <v>0</v>
      </c>
      <c r="AN140">
        <f>IF(OR(AM140=1,AK140=MatchLabel),1,0)</f>
        <v>0</v>
      </c>
      <c r="AO140">
        <f>IF(OR(AK140=MatchLabel,AK140=SafetyLabel,AK140=SecureLabel,AK140=SureThingLabel),1,0)</f>
        <v>0</v>
      </c>
      <c r="AP140">
        <f>IF(OR(T140="H",T140="B"),IF(ISNUMBER(Y140),ROUND(Y140,2),0),IF(ISNUMBER(X140),ROUND(X140,2),0))</f>
        <v>0</v>
      </c>
      <c r="AQ140">
        <f>IF(AP140&gt;=U140,1,0)</f>
        <v>0</v>
      </c>
      <c r="AR140">
        <f>IF(AP140&gt;=V140,1,0)</f>
        <v>0</v>
      </c>
      <c r="AS140">
        <f>IF(AP140&lt;(U140-0.10),1,0)</f>
        <v>0</v>
      </c>
      <c r="AT140">
        <f>1-AJ140/100</f>
        <v>0</v>
      </c>
      <c r="AU140">
        <f>IF(AN140=1,AT140,1)</f>
        <v>0</v>
      </c>
      <c r="AV140">
        <f>IF(AM140=1,AT140,1)</f>
        <v>0</v>
      </c>
      <c r="AW140">
        <f>IF(AND(AQ140=1,ISNUMBER(AT140)),$AT140,1)</f>
        <v>0</v>
      </c>
      <c r="AX140">
        <f>IF(AND(AR140=1,ISNUMBER(AT140)),$AT140,1)</f>
        <v>0</v>
      </c>
      <c r="AY140">
        <f>IF(ISNUMBER(Y140),INDEX(AllCollegeMoney, MATCH(N140,AllCollegeNCES,0)),0)</f>
        <v>0</v>
      </c>
      <c r="AZ140">
        <f>IF(AND(AQ140=1,ISNUMBER(AT140),AY140=1),$AT140,1)</f>
        <v>0</v>
      </c>
      <c r="BA140">
        <f>IF(AND(AR140=1,ISNUMBER(AT140),AY140=1),$AT140,1)</f>
        <v>0</v>
      </c>
      <c r="BB140">
        <f>IF(ISNUMBER(Y140),INDEX(AllCollegeILPub, MATCH(N140,AllCollegeNCES,0)),0)</f>
        <v>0</v>
      </c>
      <c r="BC140">
        <f>IF(AK140=ReachLabel,AP140,0)</f>
        <v>0</v>
      </c>
      <c r="BD140">
        <f>IF(AK140=MatchLabel,AP140,0)</f>
        <v>0</v>
      </c>
      <c r="BE140">
        <f>IF(AK140=SafetyLabel,AP140,0)</f>
        <v>0</v>
      </c>
      <c r="BF140">
        <f>IF(AK140=SecureLabel,AP140,0)</f>
        <v>0</v>
      </c>
      <c r="BG140">
        <f>IF(AK140=SureThingLabel,AP140,0)</f>
        <v>0</v>
      </c>
      <c r="BH140">
        <f>MAX(BC140:BG140)</f>
        <v>0</v>
      </c>
      <c r="BI140">
        <f>MAX(BD140:BG140)</f>
        <v>0</v>
      </c>
      <c r="BJ140">
        <f>MAX(BE140:BG140)</f>
        <v>0</v>
      </c>
      <c r="BK140">
        <f>IF(AND(AK140=ReachLabel,AY140=1),AP140,0)</f>
        <v>0</v>
      </c>
      <c r="BL140">
        <f>IF(AND(AK140=MatchLabel,AY140=1),AP140,0)</f>
        <v>0</v>
      </c>
      <c r="BM140">
        <f>IF(AND(AK140=SafetyLabel,AY140=1),AP140,0)</f>
        <v>0</v>
      </c>
      <c r="BN140">
        <f>IF(AND(AK140=SecureLabel,AY140=1),AP140,0)</f>
        <v>0</v>
      </c>
      <c r="BO140">
        <f>IF(AND(AK140=SureThingLabel,AY140=1),AP140,0)</f>
        <v>0</v>
      </c>
      <c r="BP140">
        <f>MAX(BK140:BO140)</f>
        <v>0</v>
      </c>
      <c r="BQ140">
        <f>MAX(BL140:BO140)</f>
        <v>0</v>
      </c>
      <c r="BR140">
        <f>MAX(BM140:BO140)</f>
        <v>0</v>
      </c>
      <c r="BS140">
        <f>IF(ISNUMBER(Y140),INDEX(AllCollegeChicago, MATCH(N140,AllCollegeNCES,0))*AY140,0)</f>
        <v>0</v>
      </c>
      <c r="BT140">
        <f>IF(ISNUMBER(Y140),INDEX(AllCollegeMoneyCode, MATCH(N140,AllCollegeNCES,0)),"?")</f>
        <v>0</v>
      </c>
      <c r="BU140">
        <f>IF(OR(BT140="---",BT140="--",BT140="+/--",BT140="+/---"),1,0)</f>
        <v>0</v>
      </c>
      <c r="BV140">
        <f>AY140*AO140*AQ140</f>
        <v>0</v>
      </c>
    </row>
    <row r="141" spans="1:74">
      <c r="A141" t="s">
        <v>86</v>
      </c>
      <c r="B141">
        <v>22511393</v>
      </c>
      <c r="C141" t="s">
        <v>200</v>
      </c>
      <c r="D141" t="s">
        <v>201</v>
      </c>
      <c r="E141" t="s">
        <v>428</v>
      </c>
      <c r="F141" t="s">
        <v>471</v>
      </c>
      <c r="G141" t="s">
        <v>463</v>
      </c>
      <c r="H141" t="s">
        <v>431</v>
      </c>
      <c r="I141" t="s">
        <v>432</v>
      </c>
      <c r="J141" t="s">
        <v>432</v>
      </c>
      <c r="K141">
        <v>0</v>
      </c>
      <c r="L141" t="s">
        <v>428</v>
      </c>
      <c r="M141" t="s">
        <v>428</v>
      </c>
      <c r="N141">
        <v>170301</v>
      </c>
      <c r="O141">
        <f>INDEX(AllCollegeBarrons,MATCH(N141,AllCollegeNCES,0))</f>
        <v>0</v>
      </c>
      <c r="P141">
        <f>INDEX(KidGPAs,MATCH(B141,KidIDs,0))</f>
        <v>0</v>
      </c>
      <c r="Q141">
        <f>INDEX(KidACTs,MATCH(B141,KidIDs,0))</f>
        <v>0</v>
      </c>
      <c r="R141">
        <f>INDEX(Strats,MATCH(B141,KidIDs,0))</f>
        <v>0</v>
      </c>
      <c r="S141">
        <f>INDEX(KidRace,MATCH(B141,KidIDs,0))</f>
        <v>0</v>
      </c>
      <c r="T141">
        <f>IF(OR(S141="M",S141="I"),"H",S141)</f>
        <v>0</v>
      </c>
      <c r="U141">
        <f>INDEX(StudentTargets,MATCH(B141,KidIDs,0))</f>
        <v>0</v>
      </c>
      <c r="V141">
        <f>INDEX(ReachStudentTargets,MATCH(B141,KidIDs,0))</f>
        <v>0</v>
      </c>
      <c r="W141">
        <f>IF(OR(M141="Posse"),1,0)</f>
        <v>0</v>
      </c>
      <c r="X141">
        <f>IF(ISNUMBER(INDEX(AllCollegeGR, MATCH(N141,AllCollegeNCES,0))),ROUND(INDEX(AllCollegeGR, MATCH(N141,AllCollegeNCES,0))+W141*IF(INDEX(AllCollegeGR, MATCH(N141,AllCollegeNCES,0))&gt;0.7,(1-INDEX(AllCollegeGR, MATCH(N141,AllCollegeNCES,0)))/2,0.15),2),INDEX(AllCollegeGR, MATCH(N141,AllCollegeNCES,0)))</f>
        <v>0</v>
      </c>
      <c r="Y141">
        <f>IF(ISNUMBER(INDEX(AllCollegeAAHGR, MATCH(N141,AllCollegeNCES,0))),ROUND(INDEX(AllCollegeAAHGR, MATCH(N141,AllCollegeNCES,0))+W141*IF(INDEX(AllCollegeAAHGR, MATCH(N141,AllCollegeNCES,0))&gt;0.7,(1-INDEX(AllCollegeAAHGR, MATCH(N141,AllCollegeNCES,0)))/2,0.15),2),INDEX(AllCollegeAAHGR, MATCH(N141,AllCollegeNCES,0)))</f>
        <v>0</v>
      </c>
      <c r="Z141">
        <f>IF(OR(T141="H",T141="B"),INDEX(AllCollegeACT25, MATCH(N141,AllCollegeNCES,0)),INDEX(AllCollegeACT50, MATCH(N141,AllCollegeNCES,0)))</f>
        <v>0</v>
      </c>
      <c r="AA141">
        <f>INDEX(CustomWeightsGPA,MATCH(T141&amp;":"&amp;N141,CustomWeightsIndex,0))</f>
        <v>0</v>
      </c>
      <c r="AB141">
        <f>INDEX(CustomWeightsACT,MATCH(T141&amp;":"&amp;N141,CustomWeightsIndex,0))</f>
        <v>0</v>
      </c>
      <c r="AC141">
        <f>INDEX(CustomWeightsIntercept,MATCH(T141&amp;":"&amp;N141,CustomWeightsIndex,0))</f>
        <v>0</v>
      </c>
      <c r="AD141">
        <f>AA141*P141+AB141*Q141+AC141</f>
        <v>0</v>
      </c>
      <c r="AE141">
        <f>INDEX(CoefficientsGPA,MATCH(T141&amp;":"&amp;O141,CoefficientsIndex,0))</f>
        <v>0</v>
      </c>
      <c r="AF141">
        <f>INDEX(CoefficientsACT,MATCH(T141&amp;":"&amp;O141,CoefficientsIndex,0))</f>
        <v>0</v>
      </c>
      <c r="AG141">
        <f>INDEX(CoefficientsIntercept,MATCH(T141&amp;":"&amp;O141,CoefficientsIndex,0))</f>
        <v>0</v>
      </c>
      <c r="AH141">
        <f>AE141*P141+(Q141-Z141)*AF141+AG141</f>
        <v>0</v>
      </c>
      <c r="AI141">
        <f>IF(ISNUMBER(AD141),AD141,AH141)</f>
        <v>0</v>
      </c>
      <c r="AJ141">
        <f>IF(ISNUMBER(AI141),IF(ISNUMBER(AE141),IF(AND(AE141=1,AF141=1,AG141=1),100,ROUND(100*EXP(AI141)/(1+EXP(AI141)),2)),ROUND(100*EXP(AI141)/(1+EXP(AI141)),2)),IF(ISTEXT(O141),IF(LEFT(O141,1)="2",100,"N/A"),"N/A"))</f>
        <v>0</v>
      </c>
      <c r="AK141">
        <f>IF(ISNUMBER(AJ141),IF(AJ141&gt;=99,IF(OR(R141=10,R141=11),MatchLabel,SureThingLabel),IF(AJ141&gt;=95,SecureLabel,IF(AJ141&gt;=80,SafetyLabel,IF(AJ141&gt;=50,MatchLabel,IF(AJ141&gt;=20,ReachLabel,IF(AJ141&gt;=10,LongshotLabel,HailMaryLabel)))))),"Other")</f>
        <v>0</v>
      </c>
      <c r="AL141">
        <f>IF(OR(I141="accepted",I141="cond. accept",I141="summer admit"),IF(J141="yes","CHOICE!","Accepted!"),IF(I141="denied","Denied",IF(K141=1,"Waitlist",IF(L141=1,"Deferred",IF(G141="pending","Pending",IF(OR(G141="initial materials submitted",G141="mid-year submitted",G141="final submitted"),"Submitted",IF(H141="interest","Interest","?")))))))</f>
        <v>0</v>
      </c>
      <c r="AM141">
        <f>IF(OR(AK141=ReachLabel,AK141=LongshotLabel,AK141=HailMaryLabel),1,0)</f>
        <v>0</v>
      </c>
      <c r="AN141">
        <f>IF(OR(AM141=1,AK141=MatchLabel),1,0)</f>
        <v>0</v>
      </c>
      <c r="AO141">
        <f>IF(OR(AK141=MatchLabel,AK141=SafetyLabel,AK141=SecureLabel,AK141=SureThingLabel),1,0)</f>
        <v>0</v>
      </c>
      <c r="AP141">
        <f>IF(OR(T141="H",T141="B"),IF(ISNUMBER(Y141),ROUND(Y141,2),0),IF(ISNUMBER(X141),ROUND(X141,2),0))</f>
        <v>0</v>
      </c>
      <c r="AQ141">
        <f>IF(AP141&gt;=U141,1,0)</f>
        <v>0</v>
      </c>
      <c r="AR141">
        <f>IF(AP141&gt;=V141,1,0)</f>
        <v>0</v>
      </c>
      <c r="AS141">
        <f>IF(AP141&lt;(U141-0.10),1,0)</f>
        <v>0</v>
      </c>
      <c r="AT141">
        <f>1-AJ141/100</f>
        <v>0</v>
      </c>
      <c r="AU141">
        <f>IF(AN141=1,AT141,1)</f>
        <v>0</v>
      </c>
      <c r="AV141">
        <f>IF(AM141=1,AT141,1)</f>
        <v>0</v>
      </c>
      <c r="AW141">
        <f>IF(AND(AQ141=1,ISNUMBER(AT141)),$AT141,1)</f>
        <v>0</v>
      </c>
      <c r="AX141">
        <f>IF(AND(AR141=1,ISNUMBER(AT141)),$AT141,1)</f>
        <v>0</v>
      </c>
      <c r="AY141">
        <f>IF(ISNUMBER(Y141),INDEX(AllCollegeMoney, MATCH(N141,AllCollegeNCES,0)),0)</f>
        <v>0</v>
      </c>
      <c r="AZ141">
        <f>IF(AND(AQ141=1,ISNUMBER(AT141),AY141=1),$AT141,1)</f>
        <v>0</v>
      </c>
      <c r="BA141">
        <f>IF(AND(AR141=1,ISNUMBER(AT141),AY141=1),$AT141,1)</f>
        <v>0</v>
      </c>
      <c r="BB141">
        <f>IF(ISNUMBER(Y141),INDEX(AllCollegeILPub, MATCH(N141,AllCollegeNCES,0)),0)</f>
        <v>0</v>
      </c>
      <c r="BC141">
        <f>IF(AK141=ReachLabel,AP141,0)</f>
        <v>0</v>
      </c>
      <c r="BD141">
        <f>IF(AK141=MatchLabel,AP141,0)</f>
        <v>0</v>
      </c>
      <c r="BE141">
        <f>IF(AK141=SafetyLabel,AP141,0)</f>
        <v>0</v>
      </c>
      <c r="BF141">
        <f>IF(AK141=SecureLabel,AP141,0)</f>
        <v>0</v>
      </c>
      <c r="BG141">
        <f>IF(AK141=SureThingLabel,AP141,0)</f>
        <v>0</v>
      </c>
      <c r="BH141">
        <f>MAX(BC141:BG141)</f>
        <v>0</v>
      </c>
      <c r="BI141">
        <f>MAX(BD141:BG141)</f>
        <v>0</v>
      </c>
      <c r="BJ141">
        <f>MAX(BE141:BG141)</f>
        <v>0</v>
      </c>
      <c r="BK141">
        <f>IF(AND(AK141=ReachLabel,AY141=1),AP141,0)</f>
        <v>0</v>
      </c>
      <c r="BL141">
        <f>IF(AND(AK141=MatchLabel,AY141=1),AP141,0)</f>
        <v>0</v>
      </c>
      <c r="BM141">
        <f>IF(AND(AK141=SafetyLabel,AY141=1),AP141,0)</f>
        <v>0</v>
      </c>
      <c r="BN141">
        <f>IF(AND(AK141=SecureLabel,AY141=1),AP141,0)</f>
        <v>0</v>
      </c>
      <c r="BO141">
        <f>IF(AND(AK141=SureThingLabel,AY141=1),AP141,0)</f>
        <v>0</v>
      </c>
      <c r="BP141">
        <f>MAX(BK141:BO141)</f>
        <v>0</v>
      </c>
      <c r="BQ141">
        <f>MAX(BL141:BO141)</f>
        <v>0</v>
      </c>
      <c r="BR141">
        <f>MAX(BM141:BO141)</f>
        <v>0</v>
      </c>
      <c r="BS141">
        <f>IF(ISNUMBER(Y141),INDEX(AllCollegeChicago, MATCH(N141,AllCollegeNCES,0))*AY141,0)</f>
        <v>0</v>
      </c>
      <c r="BT141">
        <f>IF(ISNUMBER(Y141),INDEX(AllCollegeMoneyCode, MATCH(N141,AllCollegeNCES,0)),"?")</f>
        <v>0</v>
      </c>
      <c r="BU141">
        <f>IF(OR(BT141="---",BT141="--",BT141="+/--",BT141="+/---"),1,0)</f>
        <v>0</v>
      </c>
      <c r="BV141">
        <f>AY141*AO141*AQ141</f>
        <v>0</v>
      </c>
    </row>
    <row r="142" spans="1:74">
      <c r="A142" t="s">
        <v>86</v>
      </c>
      <c r="B142">
        <v>22511393</v>
      </c>
      <c r="C142" t="s">
        <v>200</v>
      </c>
      <c r="D142" t="s">
        <v>201</v>
      </c>
      <c r="E142" t="s">
        <v>428</v>
      </c>
      <c r="F142" t="s">
        <v>500</v>
      </c>
      <c r="G142" t="s">
        <v>430</v>
      </c>
      <c r="H142" t="s">
        <v>431</v>
      </c>
      <c r="I142" t="s">
        <v>432</v>
      </c>
      <c r="J142" t="s">
        <v>432</v>
      </c>
      <c r="K142">
        <v>0</v>
      </c>
      <c r="L142" t="s">
        <v>428</v>
      </c>
      <c r="M142" t="s">
        <v>428</v>
      </c>
      <c r="N142">
        <v>143048</v>
      </c>
      <c r="O142">
        <f>INDEX(AllCollegeBarrons,MATCH(N142,AllCollegeNCES,0))</f>
        <v>0</v>
      </c>
      <c r="P142">
        <f>INDEX(KidGPAs,MATCH(B142,KidIDs,0))</f>
        <v>0</v>
      </c>
      <c r="Q142">
        <f>INDEX(KidACTs,MATCH(B142,KidIDs,0))</f>
        <v>0</v>
      </c>
      <c r="R142">
        <f>INDEX(Strats,MATCH(B142,KidIDs,0))</f>
        <v>0</v>
      </c>
      <c r="S142">
        <f>INDEX(KidRace,MATCH(B142,KidIDs,0))</f>
        <v>0</v>
      </c>
      <c r="T142">
        <f>IF(OR(S142="M",S142="I"),"H",S142)</f>
        <v>0</v>
      </c>
      <c r="U142">
        <f>INDEX(StudentTargets,MATCH(B142,KidIDs,0))</f>
        <v>0</v>
      </c>
      <c r="V142">
        <f>INDEX(ReachStudentTargets,MATCH(B142,KidIDs,0))</f>
        <v>0</v>
      </c>
      <c r="W142">
        <f>IF(OR(M142="Posse"),1,0)</f>
        <v>0</v>
      </c>
      <c r="X142">
        <f>IF(ISNUMBER(INDEX(AllCollegeGR, MATCH(N142,AllCollegeNCES,0))),ROUND(INDEX(AllCollegeGR, MATCH(N142,AllCollegeNCES,0))+W142*IF(INDEX(AllCollegeGR, MATCH(N142,AllCollegeNCES,0))&gt;0.7,(1-INDEX(AllCollegeGR, MATCH(N142,AllCollegeNCES,0)))/2,0.15),2),INDEX(AllCollegeGR, MATCH(N142,AllCollegeNCES,0)))</f>
        <v>0</v>
      </c>
      <c r="Y142">
        <f>IF(ISNUMBER(INDEX(AllCollegeAAHGR, MATCH(N142,AllCollegeNCES,0))),ROUND(INDEX(AllCollegeAAHGR, MATCH(N142,AllCollegeNCES,0))+W142*IF(INDEX(AllCollegeAAHGR, MATCH(N142,AllCollegeNCES,0))&gt;0.7,(1-INDEX(AllCollegeAAHGR, MATCH(N142,AllCollegeNCES,0)))/2,0.15),2),INDEX(AllCollegeAAHGR, MATCH(N142,AllCollegeNCES,0)))</f>
        <v>0</v>
      </c>
      <c r="Z142">
        <f>IF(OR(T142="H",T142="B"),INDEX(AllCollegeACT25, MATCH(N142,AllCollegeNCES,0)),INDEX(AllCollegeACT50, MATCH(N142,AllCollegeNCES,0)))</f>
        <v>0</v>
      </c>
      <c r="AA142">
        <f>INDEX(CustomWeightsGPA,MATCH(T142&amp;":"&amp;N142,CustomWeightsIndex,0))</f>
        <v>0</v>
      </c>
      <c r="AB142">
        <f>INDEX(CustomWeightsACT,MATCH(T142&amp;":"&amp;N142,CustomWeightsIndex,0))</f>
        <v>0</v>
      </c>
      <c r="AC142">
        <f>INDEX(CustomWeightsIntercept,MATCH(T142&amp;":"&amp;N142,CustomWeightsIndex,0))</f>
        <v>0</v>
      </c>
      <c r="AD142">
        <f>AA142*P142+AB142*Q142+AC142</f>
        <v>0</v>
      </c>
      <c r="AE142">
        <f>INDEX(CoefficientsGPA,MATCH(T142&amp;":"&amp;O142,CoefficientsIndex,0))</f>
        <v>0</v>
      </c>
      <c r="AF142">
        <f>INDEX(CoefficientsACT,MATCH(T142&amp;":"&amp;O142,CoefficientsIndex,0))</f>
        <v>0</v>
      </c>
      <c r="AG142">
        <f>INDEX(CoefficientsIntercept,MATCH(T142&amp;":"&amp;O142,CoefficientsIndex,0))</f>
        <v>0</v>
      </c>
      <c r="AH142">
        <f>AE142*P142+(Q142-Z142)*AF142+AG142</f>
        <v>0</v>
      </c>
      <c r="AI142">
        <f>IF(ISNUMBER(AD142),AD142,AH142)</f>
        <v>0</v>
      </c>
      <c r="AJ142">
        <f>IF(ISNUMBER(AI142),IF(ISNUMBER(AE142),IF(AND(AE142=1,AF142=1,AG142=1),100,ROUND(100*EXP(AI142)/(1+EXP(AI142)),2)),ROUND(100*EXP(AI142)/(1+EXP(AI142)),2)),IF(ISTEXT(O142),IF(LEFT(O142,1)="2",100,"N/A"),"N/A"))</f>
        <v>0</v>
      </c>
      <c r="AK142">
        <f>IF(ISNUMBER(AJ142),IF(AJ142&gt;=99,IF(OR(R142=10,R142=11),MatchLabel,SureThingLabel),IF(AJ142&gt;=95,SecureLabel,IF(AJ142&gt;=80,SafetyLabel,IF(AJ142&gt;=50,MatchLabel,IF(AJ142&gt;=20,ReachLabel,IF(AJ142&gt;=10,LongshotLabel,HailMaryLabel)))))),"Other")</f>
        <v>0</v>
      </c>
      <c r="AL142">
        <f>IF(OR(I142="accepted",I142="cond. accept",I142="summer admit"),IF(J142="yes","CHOICE!","Accepted!"),IF(I142="denied","Denied",IF(K142=1,"Waitlist",IF(L142=1,"Deferred",IF(G142="pending","Pending",IF(OR(G142="initial materials submitted",G142="mid-year submitted",G142="final submitted"),"Submitted",IF(H142="interest","Interest","?")))))))</f>
        <v>0</v>
      </c>
      <c r="AM142">
        <f>IF(OR(AK142=ReachLabel,AK142=LongshotLabel,AK142=HailMaryLabel),1,0)</f>
        <v>0</v>
      </c>
      <c r="AN142">
        <f>IF(OR(AM142=1,AK142=MatchLabel),1,0)</f>
        <v>0</v>
      </c>
      <c r="AO142">
        <f>IF(OR(AK142=MatchLabel,AK142=SafetyLabel,AK142=SecureLabel,AK142=SureThingLabel),1,0)</f>
        <v>0</v>
      </c>
      <c r="AP142">
        <f>IF(OR(T142="H",T142="B"),IF(ISNUMBER(Y142),ROUND(Y142,2),0),IF(ISNUMBER(X142),ROUND(X142,2),0))</f>
        <v>0</v>
      </c>
      <c r="AQ142">
        <f>IF(AP142&gt;=U142,1,0)</f>
        <v>0</v>
      </c>
      <c r="AR142">
        <f>IF(AP142&gt;=V142,1,0)</f>
        <v>0</v>
      </c>
      <c r="AS142">
        <f>IF(AP142&lt;(U142-0.10),1,0)</f>
        <v>0</v>
      </c>
      <c r="AT142">
        <f>1-AJ142/100</f>
        <v>0</v>
      </c>
      <c r="AU142">
        <f>IF(AN142=1,AT142,1)</f>
        <v>0</v>
      </c>
      <c r="AV142">
        <f>IF(AM142=1,AT142,1)</f>
        <v>0</v>
      </c>
      <c r="AW142">
        <f>IF(AND(AQ142=1,ISNUMBER(AT142)),$AT142,1)</f>
        <v>0</v>
      </c>
      <c r="AX142">
        <f>IF(AND(AR142=1,ISNUMBER(AT142)),$AT142,1)</f>
        <v>0</v>
      </c>
      <c r="AY142">
        <f>IF(ISNUMBER(Y142),INDEX(AllCollegeMoney, MATCH(N142,AllCollegeNCES,0)),0)</f>
        <v>0</v>
      </c>
      <c r="AZ142">
        <f>IF(AND(AQ142=1,ISNUMBER(AT142),AY142=1),$AT142,1)</f>
        <v>0</v>
      </c>
      <c r="BA142">
        <f>IF(AND(AR142=1,ISNUMBER(AT142),AY142=1),$AT142,1)</f>
        <v>0</v>
      </c>
      <c r="BB142">
        <f>IF(ISNUMBER(Y142),INDEX(AllCollegeILPub, MATCH(N142,AllCollegeNCES,0)),0)</f>
        <v>0</v>
      </c>
      <c r="BC142">
        <f>IF(AK142=ReachLabel,AP142,0)</f>
        <v>0</v>
      </c>
      <c r="BD142">
        <f>IF(AK142=MatchLabel,AP142,0)</f>
        <v>0</v>
      </c>
      <c r="BE142">
        <f>IF(AK142=SafetyLabel,AP142,0)</f>
        <v>0</v>
      </c>
      <c r="BF142">
        <f>IF(AK142=SecureLabel,AP142,0)</f>
        <v>0</v>
      </c>
      <c r="BG142">
        <f>IF(AK142=SureThingLabel,AP142,0)</f>
        <v>0</v>
      </c>
      <c r="BH142">
        <f>MAX(BC142:BG142)</f>
        <v>0</v>
      </c>
      <c r="BI142">
        <f>MAX(BD142:BG142)</f>
        <v>0</v>
      </c>
      <c r="BJ142">
        <f>MAX(BE142:BG142)</f>
        <v>0</v>
      </c>
      <c r="BK142">
        <f>IF(AND(AK142=ReachLabel,AY142=1),AP142,0)</f>
        <v>0</v>
      </c>
      <c r="BL142">
        <f>IF(AND(AK142=MatchLabel,AY142=1),AP142,0)</f>
        <v>0</v>
      </c>
      <c r="BM142">
        <f>IF(AND(AK142=SafetyLabel,AY142=1),AP142,0)</f>
        <v>0</v>
      </c>
      <c r="BN142">
        <f>IF(AND(AK142=SecureLabel,AY142=1),AP142,0)</f>
        <v>0</v>
      </c>
      <c r="BO142">
        <f>IF(AND(AK142=SureThingLabel,AY142=1),AP142,0)</f>
        <v>0</v>
      </c>
      <c r="BP142">
        <f>MAX(BK142:BO142)</f>
        <v>0</v>
      </c>
      <c r="BQ142">
        <f>MAX(BL142:BO142)</f>
        <v>0</v>
      </c>
      <c r="BR142">
        <f>MAX(BM142:BO142)</f>
        <v>0</v>
      </c>
      <c r="BS142">
        <f>IF(ISNUMBER(Y142),INDEX(AllCollegeChicago, MATCH(N142,AllCollegeNCES,0))*AY142,0)</f>
        <v>0</v>
      </c>
      <c r="BT142">
        <f>IF(ISNUMBER(Y142),INDEX(AllCollegeMoneyCode, MATCH(N142,AllCollegeNCES,0)),"?")</f>
        <v>0</v>
      </c>
      <c r="BU142">
        <f>IF(OR(BT142="---",BT142="--",BT142="+/--",BT142="+/---"),1,0)</f>
        <v>0</v>
      </c>
      <c r="BV142">
        <f>AY142*AO142*AQ142</f>
        <v>0</v>
      </c>
    </row>
    <row r="143" spans="1:74">
      <c r="A143" t="s">
        <v>86</v>
      </c>
      <c r="B143">
        <v>22540938</v>
      </c>
      <c r="C143" t="s">
        <v>317</v>
      </c>
      <c r="D143" t="s">
        <v>318</v>
      </c>
      <c r="E143" t="s">
        <v>428</v>
      </c>
      <c r="F143" t="s">
        <v>453</v>
      </c>
      <c r="G143" t="s">
        <v>430</v>
      </c>
      <c r="H143" t="s">
        <v>431</v>
      </c>
      <c r="I143" t="s">
        <v>432</v>
      </c>
      <c r="J143" t="s">
        <v>432</v>
      </c>
      <c r="K143">
        <v>0</v>
      </c>
      <c r="L143" t="s">
        <v>428</v>
      </c>
      <c r="M143" t="s">
        <v>428</v>
      </c>
      <c r="N143">
        <v>212674</v>
      </c>
      <c r="O143">
        <f>INDEX(AllCollegeBarrons,MATCH(N143,AllCollegeNCES,0))</f>
        <v>0</v>
      </c>
      <c r="P143">
        <f>INDEX(KidGPAs,MATCH(B143,KidIDs,0))</f>
        <v>0</v>
      </c>
      <c r="Q143">
        <f>INDEX(KidACTs,MATCH(B143,KidIDs,0))</f>
        <v>0</v>
      </c>
      <c r="R143">
        <f>INDEX(Strats,MATCH(B143,KidIDs,0))</f>
        <v>0</v>
      </c>
      <c r="S143">
        <f>INDEX(KidRace,MATCH(B143,KidIDs,0))</f>
        <v>0</v>
      </c>
      <c r="T143">
        <f>IF(OR(S143="M",S143="I"),"H",S143)</f>
        <v>0</v>
      </c>
      <c r="U143">
        <f>INDEX(StudentTargets,MATCH(B143,KidIDs,0))</f>
        <v>0</v>
      </c>
      <c r="V143">
        <f>INDEX(ReachStudentTargets,MATCH(B143,KidIDs,0))</f>
        <v>0</v>
      </c>
      <c r="W143">
        <f>IF(OR(M143="Posse"),1,0)</f>
        <v>0</v>
      </c>
      <c r="X143">
        <f>IF(ISNUMBER(INDEX(AllCollegeGR, MATCH(N143,AllCollegeNCES,0))),ROUND(INDEX(AllCollegeGR, MATCH(N143,AllCollegeNCES,0))+W143*IF(INDEX(AllCollegeGR, MATCH(N143,AllCollegeNCES,0))&gt;0.7,(1-INDEX(AllCollegeGR, MATCH(N143,AllCollegeNCES,0)))/2,0.15),2),INDEX(AllCollegeGR, MATCH(N143,AllCollegeNCES,0)))</f>
        <v>0</v>
      </c>
      <c r="Y143">
        <f>IF(ISNUMBER(INDEX(AllCollegeAAHGR, MATCH(N143,AllCollegeNCES,0))),ROUND(INDEX(AllCollegeAAHGR, MATCH(N143,AllCollegeNCES,0))+W143*IF(INDEX(AllCollegeAAHGR, MATCH(N143,AllCollegeNCES,0))&gt;0.7,(1-INDEX(AllCollegeAAHGR, MATCH(N143,AllCollegeNCES,0)))/2,0.15),2),INDEX(AllCollegeAAHGR, MATCH(N143,AllCollegeNCES,0)))</f>
        <v>0</v>
      </c>
      <c r="Z143">
        <f>IF(OR(T143="H",T143="B"),INDEX(AllCollegeACT25, MATCH(N143,AllCollegeNCES,0)),INDEX(AllCollegeACT50, MATCH(N143,AllCollegeNCES,0)))</f>
        <v>0</v>
      </c>
      <c r="AA143">
        <f>INDEX(CustomWeightsGPA,MATCH(T143&amp;":"&amp;N143,CustomWeightsIndex,0))</f>
        <v>0</v>
      </c>
      <c r="AB143">
        <f>INDEX(CustomWeightsACT,MATCH(T143&amp;":"&amp;N143,CustomWeightsIndex,0))</f>
        <v>0</v>
      </c>
      <c r="AC143">
        <f>INDEX(CustomWeightsIntercept,MATCH(T143&amp;":"&amp;N143,CustomWeightsIndex,0))</f>
        <v>0</v>
      </c>
      <c r="AD143">
        <f>AA143*P143+AB143*Q143+AC143</f>
        <v>0</v>
      </c>
      <c r="AE143">
        <f>INDEX(CoefficientsGPA,MATCH(T143&amp;":"&amp;O143,CoefficientsIndex,0))</f>
        <v>0</v>
      </c>
      <c r="AF143">
        <f>INDEX(CoefficientsACT,MATCH(T143&amp;":"&amp;O143,CoefficientsIndex,0))</f>
        <v>0</v>
      </c>
      <c r="AG143">
        <f>INDEX(CoefficientsIntercept,MATCH(T143&amp;":"&amp;O143,CoefficientsIndex,0))</f>
        <v>0</v>
      </c>
      <c r="AH143">
        <f>AE143*P143+(Q143-Z143)*AF143+AG143</f>
        <v>0</v>
      </c>
      <c r="AI143">
        <f>IF(ISNUMBER(AD143),AD143,AH143)</f>
        <v>0</v>
      </c>
      <c r="AJ143">
        <f>IF(ISNUMBER(AI143),IF(ISNUMBER(AE143),IF(AND(AE143=1,AF143=1,AG143=1),100,ROUND(100*EXP(AI143)/(1+EXP(AI143)),2)),ROUND(100*EXP(AI143)/(1+EXP(AI143)),2)),IF(ISTEXT(O143),IF(LEFT(O143,1)="2",100,"N/A"),"N/A"))</f>
        <v>0</v>
      </c>
      <c r="AK143">
        <f>IF(ISNUMBER(AJ143),IF(AJ143&gt;=99,IF(OR(R143=10,R143=11),MatchLabel,SureThingLabel),IF(AJ143&gt;=95,SecureLabel,IF(AJ143&gt;=80,SafetyLabel,IF(AJ143&gt;=50,MatchLabel,IF(AJ143&gt;=20,ReachLabel,IF(AJ143&gt;=10,LongshotLabel,HailMaryLabel)))))),"Other")</f>
        <v>0</v>
      </c>
      <c r="AL143">
        <f>IF(OR(I143="accepted",I143="cond. accept",I143="summer admit"),IF(J143="yes","CHOICE!","Accepted!"),IF(I143="denied","Denied",IF(K143=1,"Waitlist",IF(L143=1,"Deferred",IF(G143="pending","Pending",IF(OR(G143="initial materials submitted",G143="mid-year submitted",G143="final submitted"),"Submitted",IF(H143="interest","Interest","?")))))))</f>
        <v>0</v>
      </c>
      <c r="AM143">
        <f>IF(OR(AK143=ReachLabel,AK143=LongshotLabel,AK143=HailMaryLabel),1,0)</f>
        <v>0</v>
      </c>
      <c r="AN143">
        <f>IF(OR(AM143=1,AK143=MatchLabel),1,0)</f>
        <v>0</v>
      </c>
      <c r="AO143">
        <f>IF(OR(AK143=MatchLabel,AK143=SafetyLabel,AK143=SecureLabel,AK143=SureThingLabel),1,0)</f>
        <v>0</v>
      </c>
      <c r="AP143">
        <f>IF(OR(T143="H",T143="B"),IF(ISNUMBER(Y143),ROUND(Y143,2),0),IF(ISNUMBER(X143),ROUND(X143,2),0))</f>
        <v>0</v>
      </c>
      <c r="AQ143">
        <f>IF(AP143&gt;=U143,1,0)</f>
        <v>0</v>
      </c>
      <c r="AR143">
        <f>IF(AP143&gt;=V143,1,0)</f>
        <v>0</v>
      </c>
      <c r="AS143">
        <f>IF(AP143&lt;(U143-0.10),1,0)</f>
        <v>0</v>
      </c>
      <c r="AT143">
        <f>1-AJ143/100</f>
        <v>0</v>
      </c>
      <c r="AU143">
        <f>IF(AN143=1,AT143,1)</f>
        <v>0</v>
      </c>
      <c r="AV143">
        <f>IF(AM143=1,AT143,1)</f>
        <v>0</v>
      </c>
      <c r="AW143">
        <f>IF(AND(AQ143=1,ISNUMBER(AT143)),$AT143,1)</f>
        <v>0</v>
      </c>
      <c r="AX143">
        <f>IF(AND(AR143=1,ISNUMBER(AT143)),$AT143,1)</f>
        <v>0</v>
      </c>
      <c r="AY143">
        <f>IF(ISNUMBER(Y143),INDEX(AllCollegeMoney, MATCH(N143,AllCollegeNCES,0)),0)</f>
        <v>0</v>
      </c>
      <c r="AZ143">
        <f>IF(AND(AQ143=1,ISNUMBER(AT143),AY143=1),$AT143,1)</f>
        <v>0</v>
      </c>
      <c r="BA143">
        <f>IF(AND(AR143=1,ISNUMBER(AT143),AY143=1),$AT143,1)</f>
        <v>0</v>
      </c>
      <c r="BB143">
        <f>IF(ISNUMBER(Y143),INDEX(AllCollegeILPub, MATCH(N143,AllCollegeNCES,0)),0)</f>
        <v>0</v>
      </c>
      <c r="BC143">
        <f>IF(AK143=ReachLabel,AP143,0)</f>
        <v>0</v>
      </c>
      <c r="BD143">
        <f>IF(AK143=MatchLabel,AP143,0)</f>
        <v>0</v>
      </c>
      <c r="BE143">
        <f>IF(AK143=SafetyLabel,AP143,0)</f>
        <v>0</v>
      </c>
      <c r="BF143">
        <f>IF(AK143=SecureLabel,AP143,0)</f>
        <v>0</v>
      </c>
      <c r="BG143">
        <f>IF(AK143=SureThingLabel,AP143,0)</f>
        <v>0</v>
      </c>
      <c r="BH143">
        <f>MAX(BC143:BG143)</f>
        <v>0</v>
      </c>
      <c r="BI143">
        <f>MAX(BD143:BG143)</f>
        <v>0</v>
      </c>
      <c r="BJ143">
        <f>MAX(BE143:BG143)</f>
        <v>0</v>
      </c>
      <c r="BK143">
        <f>IF(AND(AK143=ReachLabel,AY143=1),AP143,0)</f>
        <v>0</v>
      </c>
      <c r="BL143">
        <f>IF(AND(AK143=MatchLabel,AY143=1),AP143,0)</f>
        <v>0</v>
      </c>
      <c r="BM143">
        <f>IF(AND(AK143=SafetyLabel,AY143=1),AP143,0)</f>
        <v>0</v>
      </c>
      <c r="BN143">
        <f>IF(AND(AK143=SecureLabel,AY143=1),AP143,0)</f>
        <v>0</v>
      </c>
      <c r="BO143">
        <f>IF(AND(AK143=SureThingLabel,AY143=1),AP143,0)</f>
        <v>0</v>
      </c>
      <c r="BP143">
        <f>MAX(BK143:BO143)</f>
        <v>0</v>
      </c>
      <c r="BQ143">
        <f>MAX(BL143:BO143)</f>
        <v>0</v>
      </c>
      <c r="BR143">
        <f>MAX(BM143:BO143)</f>
        <v>0</v>
      </c>
      <c r="BS143">
        <f>IF(ISNUMBER(Y143),INDEX(AllCollegeChicago, MATCH(N143,AllCollegeNCES,0))*AY143,0)</f>
        <v>0</v>
      </c>
      <c r="BT143">
        <f>IF(ISNUMBER(Y143),INDEX(AllCollegeMoneyCode, MATCH(N143,AllCollegeNCES,0)),"?")</f>
        <v>0</v>
      </c>
      <c r="BU143">
        <f>IF(OR(BT143="---",BT143="--",BT143="+/--",BT143="+/---"),1,0)</f>
        <v>0</v>
      </c>
      <c r="BV143">
        <f>AY143*AO143*AQ143</f>
        <v>0</v>
      </c>
    </row>
    <row r="144" spans="1:74">
      <c r="A144" t="s">
        <v>86</v>
      </c>
      <c r="B144">
        <v>22540938</v>
      </c>
      <c r="C144" t="s">
        <v>317</v>
      </c>
      <c r="D144" t="s">
        <v>318</v>
      </c>
      <c r="E144" t="s">
        <v>428</v>
      </c>
      <c r="F144" t="s">
        <v>457</v>
      </c>
      <c r="G144" t="s">
        <v>463</v>
      </c>
      <c r="H144" t="s">
        <v>431</v>
      </c>
      <c r="I144" t="s">
        <v>432</v>
      </c>
      <c r="J144" t="s">
        <v>432</v>
      </c>
      <c r="K144">
        <v>0</v>
      </c>
      <c r="L144" t="s">
        <v>428</v>
      </c>
      <c r="M144" t="s">
        <v>428</v>
      </c>
      <c r="N144">
        <v>145637</v>
      </c>
      <c r="O144">
        <f>INDEX(AllCollegeBarrons,MATCH(N144,AllCollegeNCES,0))</f>
        <v>0</v>
      </c>
      <c r="P144">
        <f>INDEX(KidGPAs,MATCH(B144,KidIDs,0))</f>
        <v>0</v>
      </c>
      <c r="Q144">
        <f>INDEX(KidACTs,MATCH(B144,KidIDs,0))</f>
        <v>0</v>
      </c>
      <c r="R144">
        <f>INDEX(Strats,MATCH(B144,KidIDs,0))</f>
        <v>0</v>
      </c>
      <c r="S144">
        <f>INDEX(KidRace,MATCH(B144,KidIDs,0))</f>
        <v>0</v>
      </c>
      <c r="T144">
        <f>IF(OR(S144="M",S144="I"),"H",S144)</f>
        <v>0</v>
      </c>
      <c r="U144">
        <f>INDEX(StudentTargets,MATCH(B144,KidIDs,0))</f>
        <v>0</v>
      </c>
      <c r="V144">
        <f>INDEX(ReachStudentTargets,MATCH(B144,KidIDs,0))</f>
        <v>0</v>
      </c>
      <c r="W144">
        <f>IF(OR(M144="Posse"),1,0)</f>
        <v>0</v>
      </c>
      <c r="X144">
        <f>IF(ISNUMBER(INDEX(AllCollegeGR, MATCH(N144,AllCollegeNCES,0))),ROUND(INDEX(AllCollegeGR, MATCH(N144,AllCollegeNCES,0))+W144*IF(INDEX(AllCollegeGR, MATCH(N144,AllCollegeNCES,0))&gt;0.7,(1-INDEX(AllCollegeGR, MATCH(N144,AllCollegeNCES,0)))/2,0.15),2),INDEX(AllCollegeGR, MATCH(N144,AllCollegeNCES,0)))</f>
        <v>0</v>
      </c>
      <c r="Y144">
        <f>IF(ISNUMBER(INDEX(AllCollegeAAHGR, MATCH(N144,AllCollegeNCES,0))),ROUND(INDEX(AllCollegeAAHGR, MATCH(N144,AllCollegeNCES,0))+W144*IF(INDEX(AllCollegeAAHGR, MATCH(N144,AllCollegeNCES,0))&gt;0.7,(1-INDEX(AllCollegeAAHGR, MATCH(N144,AllCollegeNCES,0)))/2,0.15),2),INDEX(AllCollegeAAHGR, MATCH(N144,AllCollegeNCES,0)))</f>
        <v>0</v>
      </c>
      <c r="Z144">
        <f>IF(OR(T144="H",T144="B"),INDEX(AllCollegeACT25, MATCH(N144,AllCollegeNCES,0)),INDEX(AllCollegeACT50, MATCH(N144,AllCollegeNCES,0)))</f>
        <v>0</v>
      </c>
      <c r="AA144">
        <f>INDEX(CustomWeightsGPA,MATCH(T144&amp;":"&amp;N144,CustomWeightsIndex,0))</f>
        <v>0</v>
      </c>
      <c r="AB144">
        <f>INDEX(CustomWeightsACT,MATCH(T144&amp;":"&amp;N144,CustomWeightsIndex,0))</f>
        <v>0</v>
      </c>
      <c r="AC144">
        <f>INDEX(CustomWeightsIntercept,MATCH(T144&amp;":"&amp;N144,CustomWeightsIndex,0))</f>
        <v>0</v>
      </c>
      <c r="AD144">
        <f>AA144*P144+AB144*Q144+AC144</f>
        <v>0</v>
      </c>
      <c r="AE144">
        <f>INDEX(CoefficientsGPA,MATCH(T144&amp;":"&amp;O144,CoefficientsIndex,0))</f>
        <v>0</v>
      </c>
      <c r="AF144">
        <f>INDEX(CoefficientsACT,MATCH(T144&amp;":"&amp;O144,CoefficientsIndex,0))</f>
        <v>0</v>
      </c>
      <c r="AG144">
        <f>INDEX(CoefficientsIntercept,MATCH(T144&amp;":"&amp;O144,CoefficientsIndex,0))</f>
        <v>0</v>
      </c>
      <c r="AH144">
        <f>AE144*P144+(Q144-Z144)*AF144+AG144</f>
        <v>0</v>
      </c>
      <c r="AI144">
        <f>IF(ISNUMBER(AD144),AD144,AH144)</f>
        <v>0</v>
      </c>
      <c r="AJ144">
        <f>IF(ISNUMBER(AI144),IF(ISNUMBER(AE144),IF(AND(AE144=1,AF144=1,AG144=1),100,ROUND(100*EXP(AI144)/(1+EXP(AI144)),2)),ROUND(100*EXP(AI144)/(1+EXP(AI144)),2)),IF(ISTEXT(O144),IF(LEFT(O144,1)="2",100,"N/A"),"N/A"))</f>
        <v>0</v>
      </c>
      <c r="AK144">
        <f>IF(ISNUMBER(AJ144),IF(AJ144&gt;=99,IF(OR(R144=10,R144=11),MatchLabel,SureThingLabel),IF(AJ144&gt;=95,SecureLabel,IF(AJ144&gt;=80,SafetyLabel,IF(AJ144&gt;=50,MatchLabel,IF(AJ144&gt;=20,ReachLabel,IF(AJ144&gt;=10,LongshotLabel,HailMaryLabel)))))),"Other")</f>
        <v>0</v>
      </c>
      <c r="AL144">
        <f>IF(OR(I144="accepted",I144="cond. accept",I144="summer admit"),IF(J144="yes","CHOICE!","Accepted!"),IF(I144="denied","Denied",IF(K144=1,"Waitlist",IF(L144=1,"Deferred",IF(G144="pending","Pending",IF(OR(G144="initial materials submitted",G144="mid-year submitted",G144="final submitted"),"Submitted",IF(H144="interest","Interest","?")))))))</f>
        <v>0</v>
      </c>
      <c r="AM144">
        <f>IF(OR(AK144=ReachLabel,AK144=LongshotLabel,AK144=HailMaryLabel),1,0)</f>
        <v>0</v>
      </c>
      <c r="AN144">
        <f>IF(OR(AM144=1,AK144=MatchLabel),1,0)</f>
        <v>0</v>
      </c>
      <c r="AO144">
        <f>IF(OR(AK144=MatchLabel,AK144=SafetyLabel,AK144=SecureLabel,AK144=SureThingLabel),1,0)</f>
        <v>0</v>
      </c>
      <c r="AP144">
        <f>IF(OR(T144="H",T144="B"),IF(ISNUMBER(Y144),ROUND(Y144,2),0),IF(ISNUMBER(X144),ROUND(X144,2),0))</f>
        <v>0</v>
      </c>
      <c r="AQ144">
        <f>IF(AP144&gt;=U144,1,0)</f>
        <v>0</v>
      </c>
      <c r="AR144">
        <f>IF(AP144&gt;=V144,1,0)</f>
        <v>0</v>
      </c>
      <c r="AS144">
        <f>IF(AP144&lt;(U144-0.10),1,0)</f>
        <v>0</v>
      </c>
      <c r="AT144">
        <f>1-AJ144/100</f>
        <v>0</v>
      </c>
      <c r="AU144">
        <f>IF(AN144=1,AT144,1)</f>
        <v>0</v>
      </c>
      <c r="AV144">
        <f>IF(AM144=1,AT144,1)</f>
        <v>0</v>
      </c>
      <c r="AW144">
        <f>IF(AND(AQ144=1,ISNUMBER(AT144)),$AT144,1)</f>
        <v>0</v>
      </c>
      <c r="AX144">
        <f>IF(AND(AR144=1,ISNUMBER(AT144)),$AT144,1)</f>
        <v>0</v>
      </c>
      <c r="AY144">
        <f>IF(ISNUMBER(Y144),INDEX(AllCollegeMoney, MATCH(N144,AllCollegeNCES,0)),0)</f>
        <v>0</v>
      </c>
      <c r="AZ144">
        <f>IF(AND(AQ144=1,ISNUMBER(AT144),AY144=1),$AT144,1)</f>
        <v>0</v>
      </c>
      <c r="BA144">
        <f>IF(AND(AR144=1,ISNUMBER(AT144),AY144=1),$AT144,1)</f>
        <v>0</v>
      </c>
      <c r="BB144">
        <f>IF(ISNUMBER(Y144),INDEX(AllCollegeILPub, MATCH(N144,AllCollegeNCES,0)),0)</f>
        <v>0</v>
      </c>
      <c r="BC144">
        <f>IF(AK144=ReachLabel,AP144,0)</f>
        <v>0</v>
      </c>
      <c r="BD144">
        <f>IF(AK144=MatchLabel,AP144,0)</f>
        <v>0</v>
      </c>
      <c r="BE144">
        <f>IF(AK144=SafetyLabel,AP144,0)</f>
        <v>0</v>
      </c>
      <c r="BF144">
        <f>IF(AK144=SecureLabel,AP144,0)</f>
        <v>0</v>
      </c>
      <c r="BG144">
        <f>IF(AK144=SureThingLabel,AP144,0)</f>
        <v>0</v>
      </c>
      <c r="BH144">
        <f>MAX(BC144:BG144)</f>
        <v>0</v>
      </c>
      <c r="BI144">
        <f>MAX(BD144:BG144)</f>
        <v>0</v>
      </c>
      <c r="BJ144">
        <f>MAX(BE144:BG144)</f>
        <v>0</v>
      </c>
      <c r="BK144">
        <f>IF(AND(AK144=ReachLabel,AY144=1),AP144,0)</f>
        <v>0</v>
      </c>
      <c r="BL144">
        <f>IF(AND(AK144=MatchLabel,AY144=1),AP144,0)</f>
        <v>0</v>
      </c>
      <c r="BM144">
        <f>IF(AND(AK144=SafetyLabel,AY144=1),AP144,0)</f>
        <v>0</v>
      </c>
      <c r="BN144">
        <f>IF(AND(AK144=SecureLabel,AY144=1),AP144,0)</f>
        <v>0</v>
      </c>
      <c r="BO144">
        <f>IF(AND(AK144=SureThingLabel,AY144=1),AP144,0)</f>
        <v>0</v>
      </c>
      <c r="BP144">
        <f>MAX(BK144:BO144)</f>
        <v>0</v>
      </c>
      <c r="BQ144">
        <f>MAX(BL144:BO144)</f>
        <v>0</v>
      </c>
      <c r="BR144">
        <f>MAX(BM144:BO144)</f>
        <v>0</v>
      </c>
      <c r="BS144">
        <f>IF(ISNUMBER(Y144),INDEX(AllCollegeChicago, MATCH(N144,AllCollegeNCES,0))*AY144,0)</f>
        <v>0</v>
      </c>
      <c r="BT144">
        <f>IF(ISNUMBER(Y144),INDEX(AllCollegeMoneyCode, MATCH(N144,AllCollegeNCES,0)),"?")</f>
        <v>0</v>
      </c>
      <c r="BU144">
        <f>IF(OR(BT144="---",BT144="--",BT144="+/--",BT144="+/---"),1,0)</f>
        <v>0</v>
      </c>
      <c r="BV144">
        <f>AY144*AO144*AQ144</f>
        <v>0</v>
      </c>
    </row>
    <row r="145" spans="1:74">
      <c r="A145" t="s">
        <v>86</v>
      </c>
      <c r="B145">
        <v>22540938</v>
      </c>
      <c r="C145" t="s">
        <v>317</v>
      </c>
      <c r="D145" t="s">
        <v>318</v>
      </c>
      <c r="E145" t="s">
        <v>428</v>
      </c>
      <c r="F145" t="s">
        <v>458</v>
      </c>
      <c r="G145" t="s">
        <v>430</v>
      </c>
      <c r="H145" t="s">
        <v>431</v>
      </c>
      <c r="I145" t="s">
        <v>432</v>
      </c>
      <c r="J145" t="s">
        <v>432</v>
      </c>
      <c r="K145">
        <v>0</v>
      </c>
      <c r="L145" t="s">
        <v>428</v>
      </c>
      <c r="M145" t="s">
        <v>428</v>
      </c>
      <c r="N145">
        <v>202523</v>
      </c>
      <c r="O145">
        <f>INDEX(AllCollegeBarrons,MATCH(N145,AllCollegeNCES,0))</f>
        <v>0</v>
      </c>
      <c r="P145">
        <f>INDEX(KidGPAs,MATCH(B145,KidIDs,0))</f>
        <v>0</v>
      </c>
      <c r="Q145">
        <f>INDEX(KidACTs,MATCH(B145,KidIDs,0))</f>
        <v>0</v>
      </c>
      <c r="R145">
        <f>INDEX(Strats,MATCH(B145,KidIDs,0))</f>
        <v>0</v>
      </c>
      <c r="S145">
        <f>INDEX(KidRace,MATCH(B145,KidIDs,0))</f>
        <v>0</v>
      </c>
      <c r="T145">
        <f>IF(OR(S145="M",S145="I"),"H",S145)</f>
        <v>0</v>
      </c>
      <c r="U145">
        <f>INDEX(StudentTargets,MATCH(B145,KidIDs,0))</f>
        <v>0</v>
      </c>
      <c r="V145">
        <f>INDEX(ReachStudentTargets,MATCH(B145,KidIDs,0))</f>
        <v>0</v>
      </c>
      <c r="W145">
        <f>IF(OR(M145="Posse"),1,0)</f>
        <v>0</v>
      </c>
      <c r="X145">
        <f>IF(ISNUMBER(INDEX(AllCollegeGR, MATCH(N145,AllCollegeNCES,0))),ROUND(INDEX(AllCollegeGR, MATCH(N145,AllCollegeNCES,0))+W145*IF(INDEX(AllCollegeGR, MATCH(N145,AllCollegeNCES,0))&gt;0.7,(1-INDEX(AllCollegeGR, MATCH(N145,AllCollegeNCES,0)))/2,0.15),2),INDEX(AllCollegeGR, MATCH(N145,AllCollegeNCES,0)))</f>
        <v>0</v>
      </c>
      <c r="Y145">
        <f>IF(ISNUMBER(INDEX(AllCollegeAAHGR, MATCH(N145,AllCollegeNCES,0))),ROUND(INDEX(AllCollegeAAHGR, MATCH(N145,AllCollegeNCES,0))+W145*IF(INDEX(AllCollegeAAHGR, MATCH(N145,AllCollegeNCES,0))&gt;0.7,(1-INDEX(AllCollegeAAHGR, MATCH(N145,AllCollegeNCES,0)))/2,0.15),2),INDEX(AllCollegeAAHGR, MATCH(N145,AllCollegeNCES,0)))</f>
        <v>0</v>
      </c>
      <c r="Z145">
        <f>IF(OR(T145="H",T145="B"),INDEX(AllCollegeACT25, MATCH(N145,AllCollegeNCES,0)),INDEX(AllCollegeACT50, MATCH(N145,AllCollegeNCES,0)))</f>
        <v>0</v>
      </c>
      <c r="AA145">
        <f>INDEX(CustomWeightsGPA,MATCH(T145&amp;":"&amp;N145,CustomWeightsIndex,0))</f>
        <v>0</v>
      </c>
      <c r="AB145">
        <f>INDEX(CustomWeightsACT,MATCH(T145&amp;":"&amp;N145,CustomWeightsIndex,0))</f>
        <v>0</v>
      </c>
      <c r="AC145">
        <f>INDEX(CustomWeightsIntercept,MATCH(T145&amp;":"&amp;N145,CustomWeightsIndex,0))</f>
        <v>0</v>
      </c>
      <c r="AD145">
        <f>AA145*P145+AB145*Q145+AC145</f>
        <v>0</v>
      </c>
      <c r="AE145">
        <f>INDEX(CoefficientsGPA,MATCH(T145&amp;":"&amp;O145,CoefficientsIndex,0))</f>
        <v>0</v>
      </c>
      <c r="AF145">
        <f>INDEX(CoefficientsACT,MATCH(T145&amp;":"&amp;O145,CoefficientsIndex,0))</f>
        <v>0</v>
      </c>
      <c r="AG145">
        <f>INDEX(CoefficientsIntercept,MATCH(T145&amp;":"&amp;O145,CoefficientsIndex,0))</f>
        <v>0</v>
      </c>
      <c r="AH145">
        <f>AE145*P145+(Q145-Z145)*AF145+AG145</f>
        <v>0</v>
      </c>
      <c r="AI145">
        <f>IF(ISNUMBER(AD145),AD145,AH145)</f>
        <v>0</v>
      </c>
      <c r="AJ145">
        <f>IF(ISNUMBER(AI145),IF(ISNUMBER(AE145),IF(AND(AE145=1,AF145=1,AG145=1),100,ROUND(100*EXP(AI145)/(1+EXP(AI145)),2)),ROUND(100*EXP(AI145)/(1+EXP(AI145)),2)),IF(ISTEXT(O145),IF(LEFT(O145,1)="2",100,"N/A"),"N/A"))</f>
        <v>0</v>
      </c>
      <c r="AK145">
        <f>IF(ISNUMBER(AJ145),IF(AJ145&gt;=99,IF(OR(R145=10,R145=11),MatchLabel,SureThingLabel),IF(AJ145&gt;=95,SecureLabel,IF(AJ145&gt;=80,SafetyLabel,IF(AJ145&gt;=50,MatchLabel,IF(AJ145&gt;=20,ReachLabel,IF(AJ145&gt;=10,LongshotLabel,HailMaryLabel)))))),"Other")</f>
        <v>0</v>
      </c>
      <c r="AL145">
        <f>IF(OR(I145="accepted",I145="cond. accept",I145="summer admit"),IF(J145="yes","CHOICE!","Accepted!"),IF(I145="denied","Denied",IF(K145=1,"Waitlist",IF(L145=1,"Deferred",IF(G145="pending","Pending",IF(OR(G145="initial materials submitted",G145="mid-year submitted",G145="final submitted"),"Submitted",IF(H145="interest","Interest","?")))))))</f>
        <v>0</v>
      </c>
      <c r="AM145">
        <f>IF(OR(AK145=ReachLabel,AK145=LongshotLabel,AK145=HailMaryLabel),1,0)</f>
        <v>0</v>
      </c>
      <c r="AN145">
        <f>IF(OR(AM145=1,AK145=MatchLabel),1,0)</f>
        <v>0</v>
      </c>
      <c r="AO145">
        <f>IF(OR(AK145=MatchLabel,AK145=SafetyLabel,AK145=SecureLabel,AK145=SureThingLabel),1,0)</f>
        <v>0</v>
      </c>
      <c r="AP145">
        <f>IF(OR(T145="H",T145="B"),IF(ISNUMBER(Y145),ROUND(Y145,2),0),IF(ISNUMBER(X145),ROUND(X145,2),0))</f>
        <v>0</v>
      </c>
      <c r="AQ145">
        <f>IF(AP145&gt;=U145,1,0)</f>
        <v>0</v>
      </c>
      <c r="AR145">
        <f>IF(AP145&gt;=V145,1,0)</f>
        <v>0</v>
      </c>
      <c r="AS145">
        <f>IF(AP145&lt;(U145-0.10),1,0)</f>
        <v>0</v>
      </c>
      <c r="AT145">
        <f>1-AJ145/100</f>
        <v>0</v>
      </c>
      <c r="AU145">
        <f>IF(AN145=1,AT145,1)</f>
        <v>0</v>
      </c>
      <c r="AV145">
        <f>IF(AM145=1,AT145,1)</f>
        <v>0</v>
      </c>
      <c r="AW145">
        <f>IF(AND(AQ145=1,ISNUMBER(AT145)),$AT145,1)</f>
        <v>0</v>
      </c>
      <c r="AX145">
        <f>IF(AND(AR145=1,ISNUMBER(AT145)),$AT145,1)</f>
        <v>0</v>
      </c>
      <c r="AY145">
        <f>IF(ISNUMBER(Y145),INDEX(AllCollegeMoney, MATCH(N145,AllCollegeNCES,0)),0)</f>
        <v>0</v>
      </c>
      <c r="AZ145">
        <f>IF(AND(AQ145=1,ISNUMBER(AT145),AY145=1),$AT145,1)</f>
        <v>0</v>
      </c>
      <c r="BA145">
        <f>IF(AND(AR145=1,ISNUMBER(AT145),AY145=1),$AT145,1)</f>
        <v>0</v>
      </c>
      <c r="BB145">
        <f>IF(ISNUMBER(Y145),INDEX(AllCollegeILPub, MATCH(N145,AllCollegeNCES,0)),0)</f>
        <v>0</v>
      </c>
      <c r="BC145">
        <f>IF(AK145=ReachLabel,AP145,0)</f>
        <v>0</v>
      </c>
      <c r="BD145">
        <f>IF(AK145=MatchLabel,AP145,0)</f>
        <v>0</v>
      </c>
      <c r="BE145">
        <f>IF(AK145=SafetyLabel,AP145,0)</f>
        <v>0</v>
      </c>
      <c r="BF145">
        <f>IF(AK145=SecureLabel,AP145,0)</f>
        <v>0</v>
      </c>
      <c r="BG145">
        <f>IF(AK145=SureThingLabel,AP145,0)</f>
        <v>0</v>
      </c>
      <c r="BH145">
        <f>MAX(BC145:BG145)</f>
        <v>0</v>
      </c>
      <c r="BI145">
        <f>MAX(BD145:BG145)</f>
        <v>0</v>
      </c>
      <c r="BJ145">
        <f>MAX(BE145:BG145)</f>
        <v>0</v>
      </c>
      <c r="BK145">
        <f>IF(AND(AK145=ReachLabel,AY145=1),AP145,0)</f>
        <v>0</v>
      </c>
      <c r="BL145">
        <f>IF(AND(AK145=MatchLabel,AY145=1),AP145,0)</f>
        <v>0</v>
      </c>
      <c r="BM145">
        <f>IF(AND(AK145=SafetyLabel,AY145=1),AP145,0)</f>
        <v>0</v>
      </c>
      <c r="BN145">
        <f>IF(AND(AK145=SecureLabel,AY145=1),AP145,0)</f>
        <v>0</v>
      </c>
      <c r="BO145">
        <f>IF(AND(AK145=SureThingLabel,AY145=1),AP145,0)</f>
        <v>0</v>
      </c>
      <c r="BP145">
        <f>MAX(BK145:BO145)</f>
        <v>0</v>
      </c>
      <c r="BQ145">
        <f>MAX(BL145:BO145)</f>
        <v>0</v>
      </c>
      <c r="BR145">
        <f>MAX(BM145:BO145)</f>
        <v>0</v>
      </c>
      <c r="BS145">
        <f>IF(ISNUMBER(Y145),INDEX(AllCollegeChicago, MATCH(N145,AllCollegeNCES,0))*AY145,0)</f>
        <v>0</v>
      </c>
      <c r="BT145">
        <f>IF(ISNUMBER(Y145),INDEX(AllCollegeMoneyCode, MATCH(N145,AllCollegeNCES,0)),"?")</f>
        <v>0</v>
      </c>
      <c r="BU145">
        <f>IF(OR(BT145="---",BT145="--",BT145="+/--",BT145="+/---"),1,0)</f>
        <v>0</v>
      </c>
      <c r="BV145">
        <f>AY145*AO145*AQ145</f>
        <v>0</v>
      </c>
    </row>
    <row r="146" spans="1:74">
      <c r="A146" t="s">
        <v>86</v>
      </c>
      <c r="B146">
        <v>22540938</v>
      </c>
      <c r="C146" t="s">
        <v>317</v>
      </c>
      <c r="D146" t="s">
        <v>318</v>
      </c>
      <c r="E146" t="s">
        <v>428</v>
      </c>
      <c r="F146" t="s">
        <v>459</v>
      </c>
      <c r="G146" t="s">
        <v>430</v>
      </c>
      <c r="H146" t="s">
        <v>431</v>
      </c>
      <c r="I146" t="s">
        <v>432</v>
      </c>
      <c r="J146" t="s">
        <v>432</v>
      </c>
      <c r="K146">
        <v>0</v>
      </c>
      <c r="L146" t="s">
        <v>428</v>
      </c>
      <c r="M146" t="s">
        <v>428</v>
      </c>
      <c r="N146">
        <v>146427</v>
      </c>
      <c r="O146">
        <f>INDEX(AllCollegeBarrons,MATCH(N146,AllCollegeNCES,0))</f>
        <v>0</v>
      </c>
      <c r="P146">
        <f>INDEX(KidGPAs,MATCH(B146,KidIDs,0))</f>
        <v>0</v>
      </c>
      <c r="Q146">
        <f>INDEX(KidACTs,MATCH(B146,KidIDs,0))</f>
        <v>0</v>
      </c>
      <c r="R146">
        <f>INDEX(Strats,MATCH(B146,KidIDs,0))</f>
        <v>0</v>
      </c>
      <c r="S146">
        <f>INDEX(KidRace,MATCH(B146,KidIDs,0))</f>
        <v>0</v>
      </c>
      <c r="T146">
        <f>IF(OR(S146="M",S146="I"),"H",S146)</f>
        <v>0</v>
      </c>
      <c r="U146">
        <f>INDEX(StudentTargets,MATCH(B146,KidIDs,0))</f>
        <v>0</v>
      </c>
      <c r="V146">
        <f>INDEX(ReachStudentTargets,MATCH(B146,KidIDs,0))</f>
        <v>0</v>
      </c>
      <c r="W146">
        <f>IF(OR(M146="Posse"),1,0)</f>
        <v>0</v>
      </c>
      <c r="X146">
        <f>IF(ISNUMBER(INDEX(AllCollegeGR, MATCH(N146,AllCollegeNCES,0))),ROUND(INDEX(AllCollegeGR, MATCH(N146,AllCollegeNCES,0))+W146*IF(INDEX(AllCollegeGR, MATCH(N146,AllCollegeNCES,0))&gt;0.7,(1-INDEX(AllCollegeGR, MATCH(N146,AllCollegeNCES,0)))/2,0.15),2),INDEX(AllCollegeGR, MATCH(N146,AllCollegeNCES,0)))</f>
        <v>0</v>
      </c>
      <c r="Y146">
        <f>IF(ISNUMBER(INDEX(AllCollegeAAHGR, MATCH(N146,AllCollegeNCES,0))),ROUND(INDEX(AllCollegeAAHGR, MATCH(N146,AllCollegeNCES,0))+W146*IF(INDEX(AllCollegeAAHGR, MATCH(N146,AllCollegeNCES,0))&gt;0.7,(1-INDEX(AllCollegeAAHGR, MATCH(N146,AllCollegeNCES,0)))/2,0.15),2),INDEX(AllCollegeAAHGR, MATCH(N146,AllCollegeNCES,0)))</f>
        <v>0</v>
      </c>
      <c r="Z146">
        <f>IF(OR(T146="H",T146="B"),INDEX(AllCollegeACT25, MATCH(N146,AllCollegeNCES,0)),INDEX(AllCollegeACT50, MATCH(N146,AllCollegeNCES,0)))</f>
        <v>0</v>
      </c>
      <c r="AA146">
        <f>INDEX(CustomWeightsGPA,MATCH(T146&amp;":"&amp;N146,CustomWeightsIndex,0))</f>
        <v>0</v>
      </c>
      <c r="AB146">
        <f>INDEX(CustomWeightsACT,MATCH(T146&amp;":"&amp;N146,CustomWeightsIndex,0))</f>
        <v>0</v>
      </c>
      <c r="AC146">
        <f>INDEX(CustomWeightsIntercept,MATCH(T146&amp;":"&amp;N146,CustomWeightsIndex,0))</f>
        <v>0</v>
      </c>
      <c r="AD146">
        <f>AA146*P146+AB146*Q146+AC146</f>
        <v>0</v>
      </c>
      <c r="AE146">
        <f>INDEX(CoefficientsGPA,MATCH(T146&amp;":"&amp;O146,CoefficientsIndex,0))</f>
        <v>0</v>
      </c>
      <c r="AF146">
        <f>INDEX(CoefficientsACT,MATCH(T146&amp;":"&amp;O146,CoefficientsIndex,0))</f>
        <v>0</v>
      </c>
      <c r="AG146">
        <f>INDEX(CoefficientsIntercept,MATCH(T146&amp;":"&amp;O146,CoefficientsIndex,0))</f>
        <v>0</v>
      </c>
      <c r="AH146">
        <f>AE146*P146+(Q146-Z146)*AF146+AG146</f>
        <v>0</v>
      </c>
      <c r="AI146">
        <f>IF(ISNUMBER(AD146),AD146,AH146)</f>
        <v>0</v>
      </c>
      <c r="AJ146">
        <f>IF(ISNUMBER(AI146),IF(ISNUMBER(AE146),IF(AND(AE146=1,AF146=1,AG146=1),100,ROUND(100*EXP(AI146)/(1+EXP(AI146)),2)),ROUND(100*EXP(AI146)/(1+EXP(AI146)),2)),IF(ISTEXT(O146),IF(LEFT(O146,1)="2",100,"N/A"),"N/A"))</f>
        <v>0</v>
      </c>
      <c r="AK146">
        <f>IF(ISNUMBER(AJ146),IF(AJ146&gt;=99,IF(OR(R146=10,R146=11),MatchLabel,SureThingLabel),IF(AJ146&gt;=95,SecureLabel,IF(AJ146&gt;=80,SafetyLabel,IF(AJ146&gt;=50,MatchLabel,IF(AJ146&gt;=20,ReachLabel,IF(AJ146&gt;=10,LongshotLabel,HailMaryLabel)))))),"Other")</f>
        <v>0</v>
      </c>
      <c r="AL146">
        <f>IF(OR(I146="accepted",I146="cond. accept",I146="summer admit"),IF(J146="yes","CHOICE!","Accepted!"),IF(I146="denied","Denied",IF(K146=1,"Waitlist",IF(L146=1,"Deferred",IF(G146="pending","Pending",IF(OR(G146="initial materials submitted",G146="mid-year submitted",G146="final submitted"),"Submitted",IF(H146="interest","Interest","?")))))))</f>
        <v>0</v>
      </c>
      <c r="AM146">
        <f>IF(OR(AK146=ReachLabel,AK146=LongshotLabel,AK146=HailMaryLabel),1,0)</f>
        <v>0</v>
      </c>
      <c r="AN146">
        <f>IF(OR(AM146=1,AK146=MatchLabel),1,0)</f>
        <v>0</v>
      </c>
      <c r="AO146">
        <f>IF(OR(AK146=MatchLabel,AK146=SafetyLabel,AK146=SecureLabel,AK146=SureThingLabel),1,0)</f>
        <v>0</v>
      </c>
      <c r="AP146">
        <f>IF(OR(T146="H",T146="B"),IF(ISNUMBER(Y146),ROUND(Y146,2),0),IF(ISNUMBER(X146),ROUND(X146,2),0))</f>
        <v>0</v>
      </c>
      <c r="AQ146">
        <f>IF(AP146&gt;=U146,1,0)</f>
        <v>0</v>
      </c>
      <c r="AR146">
        <f>IF(AP146&gt;=V146,1,0)</f>
        <v>0</v>
      </c>
      <c r="AS146">
        <f>IF(AP146&lt;(U146-0.10),1,0)</f>
        <v>0</v>
      </c>
      <c r="AT146">
        <f>1-AJ146/100</f>
        <v>0</v>
      </c>
      <c r="AU146">
        <f>IF(AN146=1,AT146,1)</f>
        <v>0</v>
      </c>
      <c r="AV146">
        <f>IF(AM146=1,AT146,1)</f>
        <v>0</v>
      </c>
      <c r="AW146">
        <f>IF(AND(AQ146=1,ISNUMBER(AT146)),$AT146,1)</f>
        <v>0</v>
      </c>
      <c r="AX146">
        <f>IF(AND(AR146=1,ISNUMBER(AT146)),$AT146,1)</f>
        <v>0</v>
      </c>
      <c r="AY146">
        <f>IF(ISNUMBER(Y146),INDEX(AllCollegeMoney, MATCH(N146,AllCollegeNCES,0)),0)</f>
        <v>0</v>
      </c>
      <c r="AZ146">
        <f>IF(AND(AQ146=1,ISNUMBER(AT146),AY146=1),$AT146,1)</f>
        <v>0</v>
      </c>
      <c r="BA146">
        <f>IF(AND(AR146=1,ISNUMBER(AT146),AY146=1),$AT146,1)</f>
        <v>0</v>
      </c>
      <c r="BB146">
        <f>IF(ISNUMBER(Y146),INDEX(AllCollegeILPub, MATCH(N146,AllCollegeNCES,0)),0)</f>
        <v>0</v>
      </c>
      <c r="BC146">
        <f>IF(AK146=ReachLabel,AP146,0)</f>
        <v>0</v>
      </c>
      <c r="BD146">
        <f>IF(AK146=MatchLabel,AP146,0)</f>
        <v>0</v>
      </c>
      <c r="BE146">
        <f>IF(AK146=SafetyLabel,AP146,0)</f>
        <v>0</v>
      </c>
      <c r="BF146">
        <f>IF(AK146=SecureLabel,AP146,0)</f>
        <v>0</v>
      </c>
      <c r="BG146">
        <f>IF(AK146=SureThingLabel,AP146,0)</f>
        <v>0</v>
      </c>
      <c r="BH146">
        <f>MAX(BC146:BG146)</f>
        <v>0</v>
      </c>
      <c r="BI146">
        <f>MAX(BD146:BG146)</f>
        <v>0</v>
      </c>
      <c r="BJ146">
        <f>MAX(BE146:BG146)</f>
        <v>0</v>
      </c>
      <c r="BK146">
        <f>IF(AND(AK146=ReachLabel,AY146=1),AP146,0)</f>
        <v>0</v>
      </c>
      <c r="BL146">
        <f>IF(AND(AK146=MatchLabel,AY146=1),AP146,0)</f>
        <v>0</v>
      </c>
      <c r="BM146">
        <f>IF(AND(AK146=SafetyLabel,AY146=1),AP146,0)</f>
        <v>0</v>
      </c>
      <c r="BN146">
        <f>IF(AND(AK146=SecureLabel,AY146=1),AP146,0)</f>
        <v>0</v>
      </c>
      <c r="BO146">
        <f>IF(AND(AK146=SureThingLabel,AY146=1),AP146,0)</f>
        <v>0</v>
      </c>
      <c r="BP146">
        <f>MAX(BK146:BO146)</f>
        <v>0</v>
      </c>
      <c r="BQ146">
        <f>MAX(BL146:BO146)</f>
        <v>0</v>
      </c>
      <c r="BR146">
        <f>MAX(BM146:BO146)</f>
        <v>0</v>
      </c>
      <c r="BS146">
        <f>IF(ISNUMBER(Y146),INDEX(AllCollegeChicago, MATCH(N146,AllCollegeNCES,0))*AY146,0)</f>
        <v>0</v>
      </c>
      <c r="BT146">
        <f>IF(ISNUMBER(Y146),INDEX(AllCollegeMoneyCode, MATCH(N146,AllCollegeNCES,0)),"?")</f>
        <v>0</v>
      </c>
      <c r="BU146">
        <f>IF(OR(BT146="---",BT146="--",BT146="+/--",BT146="+/---"),1,0)</f>
        <v>0</v>
      </c>
      <c r="BV146">
        <f>AY146*AO146*AQ146</f>
        <v>0</v>
      </c>
    </row>
    <row r="147" spans="1:74">
      <c r="A147" t="s">
        <v>86</v>
      </c>
      <c r="B147">
        <v>22540938</v>
      </c>
      <c r="C147" t="s">
        <v>317</v>
      </c>
      <c r="D147" t="s">
        <v>318</v>
      </c>
      <c r="E147" t="s">
        <v>428</v>
      </c>
      <c r="F147" t="s">
        <v>470</v>
      </c>
      <c r="G147" t="s">
        <v>430</v>
      </c>
      <c r="H147" t="s">
        <v>431</v>
      </c>
      <c r="I147" t="s">
        <v>432</v>
      </c>
      <c r="J147" t="s">
        <v>432</v>
      </c>
      <c r="K147">
        <v>0</v>
      </c>
      <c r="L147" t="s">
        <v>428</v>
      </c>
      <c r="M147" t="s">
        <v>428</v>
      </c>
      <c r="N147">
        <v>206589</v>
      </c>
      <c r="O147">
        <f>INDEX(AllCollegeBarrons,MATCH(N147,AllCollegeNCES,0))</f>
        <v>0</v>
      </c>
      <c r="P147">
        <f>INDEX(KidGPAs,MATCH(B147,KidIDs,0))</f>
        <v>0</v>
      </c>
      <c r="Q147">
        <f>INDEX(KidACTs,MATCH(B147,KidIDs,0))</f>
        <v>0</v>
      </c>
      <c r="R147">
        <f>INDEX(Strats,MATCH(B147,KidIDs,0))</f>
        <v>0</v>
      </c>
      <c r="S147">
        <f>INDEX(KidRace,MATCH(B147,KidIDs,0))</f>
        <v>0</v>
      </c>
      <c r="T147">
        <f>IF(OR(S147="M",S147="I"),"H",S147)</f>
        <v>0</v>
      </c>
      <c r="U147">
        <f>INDEX(StudentTargets,MATCH(B147,KidIDs,0))</f>
        <v>0</v>
      </c>
      <c r="V147">
        <f>INDEX(ReachStudentTargets,MATCH(B147,KidIDs,0))</f>
        <v>0</v>
      </c>
      <c r="W147">
        <f>IF(OR(M147="Posse"),1,0)</f>
        <v>0</v>
      </c>
      <c r="X147">
        <f>IF(ISNUMBER(INDEX(AllCollegeGR, MATCH(N147,AllCollegeNCES,0))),ROUND(INDEX(AllCollegeGR, MATCH(N147,AllCollegeNCES,0))+W147*IF(INDEX(AllCollegeGR, MATCH(N147,AllCollegeNCES,0))&gt;0.7,(1-INDEX(AllCollegeGR, MATCH(N147,AllCollegeNCES,0)))/2,0.15),2),INDEX(AllCollegeGR, MATCH(N147,AllCollegeNCES,0)))</f>
        <v>0</v>
      </c>
      <c r="Y147">
        <f>IF(ISNUMBER(INDEX(AllCollegeAAHGR, MATCH(N147,AllCollegeNCES,0))),ROUND(INDEX(AllCollegeAAHGR, MATCH(N147,AllCollegeNCES,0))+W147*IF(INDEX(AllCollegeAAHGR, MATCH(N147,AllCollegeNCES,0))&gt;0.7,(1-INDEX(AllCollegeAAHGR, MATCH(N147,AllCollegeNCES,0)))/2,0.15),2),INDEX(AllCollegeAAHGR, MATCH(N147,AllCollegeNCES,0)))</f>
        <v>0</v>
      </c>
      <c r="Z147">
        <f>IF(OR(T147="H",T147="B"),INDEX(AllCollegeACT25, MATCH(N147,AllCollegeNCES,0)),INDEX(AllCollegeACT50, MATCH(N147,AllCollegeNCES,0)))</f>
        <v>0</v>
      </c>
      <c r="AA147">
        <f>INDEX(CustomWeightsGPA,MATCH(T147&amp;":"&amp;N147,CustomWeightsIndex,0))</f>
        <v>0</v>
      </c>
      <c r="AB147">
        <f>INDEX(CustomWeightsACT,MATCH(T147&amp;":"&amp;N147,CustomWeightsIndex,0))</f>
        <v>0</v>
      </c>
      <c r="AC147">
        <f>INDEX(CustomWeightsIntercept,MATCH(T147&amp;":"&amp;N147,CustomWeightsIndex,0))</f>
        <v>0</v>
      </c>
      <c r="AD147">
        <f>AA147*P147+AB147*Q147+AC147</f>
        <v>0</v>
      </c>
      <c r="AE147">
        <f>INDEX(CoefficientsGPA,MATCH(T147&amp;":"&amp;O147,CoefficientsIndex,0))</f>
        <v>0</v>
      </c>
      <c r="AF147">
        <f>INDEX(CoefficientsACT,MATCH(T147&amp;":"&amp;O147,CoefficientsIndex,0))</f>
        <v>0</v>
      </c>
      <c r="AG147">
        <f>INDEX(CoefficientsIntercept,MATCH(T147&amp;":"&amp;O147,CoefficientsIndex,0))</f>
        <v>0</v>
      </c>
      <c r="AH147">
        <f>AE147*P147+(Q147-Z147)*AF147+AG147</f>
        <v>0</v>
      </c>
      <c r="AI147">
        <f>IF(ISNUMBER(AD147),AD147,AH147)</f>
        <v>0</v>
      </c>
      <c r="AJ147">
        <f>IF(ISNUMBER(AI147),IF(ISNUMBER(AE147),IF(AND(AE147=1,AF147=1,AG147=1),100,ROUND(100*EXP(AI147)/(1+EXP(AI147)),2)),ROUND(100*EXP(AI147)/(1+EXP(AI147)),2)),IF(ISTEXT(O147),IF(LEFT(O147,1)="2",100,"N/A"),"N/A"))</f>
        <v>0</v>
      </c>
      <c r="AK147">
        <f>IF(ISNUMBER(AJ147),IF(AJ147&gt;=99,IF(OR(R147=10,R147=11),MatchLabel,SureThingLabel),IF(AJ147&gt;=95,SecureLabel,IF(AJ147&gt;=80,SafetyLabel,IF(AJ147&gt;=50,MatchLabel,IF(AJ147&gt;=20,ReachLabel,IF(AJ147&gt;=10,LongshotLabel,HailMaryLabel)))))),"Other")</f>
        <v>0</v>
      </c>
      <c r="AL147">
        <f>IF(OR(I147="accepted",I147="cond. accept",I147="summer admit"),IF(J147="yes","CHOICE!","Accepted!"),IF(I147="denied","Denied",IF(K147=1,"Waitlist",IF(L147=1,"Deferred",IF(G147="pending","Pending",IF(OR(G147="initial materials submitted",G147="mid-year submitted",G147="final submitted"),"Submitted",IF(H147="interest","Interest","?")))))))</f>
        <v>0</v>
      </c>
      <c r="AM147">
        <f>IF(OR(AK147=ReachLabel,AK147=LongshotLabel,AK147=HailMaryLabel),1,0)</f>
        <v>0</v>
      </c>
      <c r="AN147">
        <f>IF(OR(AM147=1,AK147=MatchLabel),1,0)</f>
        <v>0</v>
      </c>
      <c r="AO147">
        <f>IF(OR(AK147=MatchLabel,AK147=SafetyLabel,AK147=SecureLabel,AK147=SureThingLabel),1,0)</f>
        <v>0</v>
      </c>
      <c r="AP147">
        <f>IF(OR(T147="H",T147="B"),IF(ISNUMBER(Y147),ROUND(Y147,2),0),IF(ISNUMBER(X147),ROUND(X147,2),0))</f>
        <v>0</v>
      </c>
      <c r="AQ147">
        <f>IF(AP147&gt;=U147,1,0)</f>
        <v>0</v>
      </c>
      <c r="AR147">
        <f>IF(AP147&gt;=V147,1,0)</f>
        <v>0</v>
      </c>
      <c r="AS147">
        <f>IF(AP147&lt;(U147-0.10),1,0)</f>
        <v>0</v>
      </c>
      <c r="AT147">
        <f>1-AJ147/100</f>
        <v>0</v>
      </c>
      <c r="AU147">
        <f>IF(AN147=1,AT147,1)</f>
        <v>0</v>
      </c>
      <c r="AV147">
        <f>IF(AM147=1,AT147,1)</f>
        <v>0</v>
      </c>
      <c r="AW147">
        <f>IF(AND(AQ147=1,ISNUMBER(AT147)),$AT147,1)</f>
        <v>0</v>
      </c>
      <c r="AX147">
        <f>IF(AND(AR147=1,ISNUMBER(AT147)),$AT147,1)</f>
        <v>0</v>
      </c>
      <c r="AY147">
        <f>IF(ISNUMBER(Y147),INDEX(AllCollegeMoney, MATCH(N147,AllCollegeNCES,0)),0)</f>
        <v>0</v>
      </c>
      <c r="AZ147">
        <f>IF(AND(AQ147=1,ISNUMBER(AT147),AY147=1),$AT147,1)</f>
        <v>0</v>
      </c>
      <c r="BA147">
        <f>IF(AND(AR147=1,ISNUMBER(AT147),AY147=1),$AT147,1)</f>
        <v>0</v>
      </c>
      <c r="BB147">
        <f>IF(ISNUMBER(Y147),INDEX(AllCollegeILPub, MATCH(N147,AllCollegeNCES,0)),0)</f>
        <v>0</v>
      </c>
      <c r="BC147">
        <f>IF(AK147=ReachLabel,AP147,0)</f>
        <v>0</v>
      </c>
      <c r="BD147">
        <f>IF(AK147=MatchLabel,AP147,0)</f>
        <v>0</v>
      </c>
      <c r="BE147">
        <f>IF(AK147=SafetyLabel,AP147,0)</f>
        <v>0</v>
      </c>
      <c r="BF147">
        <f>IF(AK147=SecureLabel,AP147,0)</f>
        <v>0</v>
      </c>
      <c r="BG147">
        <f>IF(AK147=SureThingLabel,AP147,0)</f>
        <v>0</v>
      </c>
      <c r="BH147">
        <f>MAX(BC147:BG147)</f>
        <v>0</v>
      </c>
      <c r="BI147">
        <f>MAX(BD147:BG147)</f>
        <v>0</v>
      </c>
      <c r="BJ147">
        <f>MAX(BE147:BG147)</f>
        <v>0</v>
      </c>
      <c r="BK147">
        <f>IF(AND(AK147=ReachLabel,AY147=1),AP147,0)</f>
        <v>0</v>
      </c>
      <c r="BL147">
        <f>IF(AND(AK147=MatchLabel,AY147=1),AP147,0)</f>
        <v>0</v>
      </c>
      <c r="BM147">
        <f>IF(AND(AK147=SafetyLabel,AY147=1),AP147,0)</f>
        <v>0</v>
      </c>
      <c r="BN147">
        <f>IF(AND(AK147=SecureLabel,AY147=1),AP147,0)</f>
        <v>0</v>
      </c>
      <c r="BO147">
        <f>IF(AND(AK147=SureThingLabel,AY147=1),AP147,0)</f>
        <v>0</v>
      </c>
      <c r="BP147">
        <f>MAX(BK147:BO147)</f>
        <v>0</v>
      </c>
      <c r="BQ147">
        <f>MAX(BL147:BO147)</f>
        <v>0</v>
      </c>
      <c r="BR147">
        <f>MAX(BM147:BO147)</f>
        <v>0</v>
      </c>
      <c r="BS147">
        <f>IF(ISNUMBER(Y147),INDEX(AllCollegeChicago, MATCH(N147,AllCollegeNCES,0))*AY147,0)</f>
        <v>0</v>
      </c>
      <c r="BT147">
        <f>IF(ISNUMBER(Y147),INDEX(AllCollegeMoneyCode, MATCH(N147,AllCollegeNCES,0)),"?")</f>
        <v>0</v>
      </c>
      <c r="BU147">
        <f>IF(OR(BT147="---",BT147="--",BT147="+/--",BT147="+/---"),1,0)</f>
        <v>0</v>
      </c>
      <c r="BV147">
        <f>AY147*AO147*AQ147</f>
        <v>0</v>
      </c>
    </row>
    <row r="148" spans="1:74">
      <c r="A148" t="s">
        <v>86</v>
      </c>
      <c r="B148">
        <v>22540938</v>
      </c>
      <c r="C148" t="s">
        <v>317</v>
      </c>
      <c r="D148" t="s">
        <v>318</v>
      </c>
      <c r="E148" t="s">
        <v>428</v>
      </c>
      <c r="F148" t="s">
        <v>471</v>
      </c>
      <c r="G148" t="s">
        <v>430</v>
      </c>
      <c r="H148" t="s">
        <v>431</v>
      </c>
      <c r="I148" t="s">
        <v>432</v>
      </c>
      <c r="J148" t="s">
        <v>432</v>
      </c>
      <c r="K148">
        <v>0</v>
      </c>
      <c r="L148" t="s">
        <v>428</v>
      </c>
      <c r="M148" t="s">
        <v>428</v>
      </c>
      <c r="N148">
        <v>170301</v>
      </c>
      <c r="O148">
        <f>INDEX(AllCollegeBarrons,MATCH(N148,AllCollegeNCES,0))</f>
        <v>0</v>
      </c>
      <c r="P148">
        <f>INDEX(KidGPAs,MATCH(B148,KidIDs,0))</f>
        <v>0</v>
      </c>
      <c r="Q148">
        <f>INDEX(KidACTs,MATCH(B148,KidIDs,0))</f>
        <v>0</v>
      </c>
      <c r="R148">
        <f>INDEX(Strats,MATCH(B148,KidIDs,0))</f>
        <v>0</v>
      </c>
      <c r="S148">
        <f>INDEX(KidRace,MATCH(B148,KidIDs,0))</f>
        <v>0</v>
      </c>
      <c r="T148">
        <f>IF(OR(S148="M",S148="I"),"H",S148)</f>
        <v>0</v>
      </c>
      <c r="U148">
        <f>INDEX(StudentTargets,MATCH(B148,KidIDs,0))</f>
        <v>0</v>
      </c>
      <c r="V148">
        <f>INDEX(ReachStudentTargets,MATCH(B148,KidIDs,0))</f>
        <v>0</v>
      </c>
      <c r="W148">
        <f>IF(OR(M148="Posse"),1,0)</f>
        <v>0</v>
      </c>
      <c r="X148">
        <f>IF(ISNUMBER(INDEX(AllCollegeGR, MATCH(N148,AllCollegeNCES,0))),ROUND(INDEX(AllCollegeGR, MATCH(N148,AllCollegeNCES,0))+W148*IF(INDEX(AllCollegeGR, MATCH(N148,AllCollegeNCES,0))&gt;0.7,(1-INDEX(AllCollegeGR, MATCH(N148,AllCollegeNCES,0)))/2,0.15),2),INDEX(AllCollegeGR, MATCH(N148,AllCollegeNCES,0)))</f>
        <v>0</v>
      </c>
      <c r="Y148">
        <f>IF(ISNUMBER(INDEX(AllCollegeAAHGR, MATCH(N148,AllCollegeNCES,0))),ROUND(INDEX(AllCollegeAAHGR, MATCH(N148,AllCollegeNCES,0))+W148*IF(INDEX(AllCollegeAAHGR, MATCH(N148,AllCollegeNCES,0))&gt;0.7,(1-INDEX(AllCollegeAAHGR, MATCH(N148,AllCollegeNCES,0)))/2,0.15),2),INDEX(AllCollegeAAHGR, MATCH(N148,AllCollegeNCES,0)))</f>
        <v>0</v>
      </c>
      <c r="Z148">
        <f>IF(OR(T148="H",T148="B"),INDEX(AllCollegeACT25, MATCH(N148,AllCollegeNCES,0)),INDEX(AllCollegeACT50, MATCH(N148,AllCollegeNCES,0)))</f>
        <v>0</v>
      </c>
      <c r="AA148">
        <f>INDEX(CustomWeightsGPA,MATCH(T148&amp;":"&amp;N148,CustomWeightsIndex,0))</f>
        <v>0</v>
      </c>
      <c r="AB148">
        <f>INDEX(CustomWeightsACT,MATCH(T148&amp;":"&amp;N148,CustomWeightsIndex,0))</f>
        <v>0</v>
      </c>
      <c r="AC148">
        <f>INDEX(CustomWeightsIntercept,MATCH(T148&amp;":"&amp;N148,CustomWeightsIndex,0))</f>
        <v>0</v>
      </c>
      <c r="AD148">
        <f>AA148*P148+AB148*Q148+AC148</f>
        <v>0</v>
      </c>
      <c r="AE148">
        <f>INDEX(CoefficientsGPA,MATCH(T148&amp;":"&amp;O148,CoefficientsIndex,0))</f>
        <v>0</v>
      </c>
      <c r="AF148">
        <f>INDEX(CoefficientsACT,MATCH(T148&amp;":"&amp;O148,CoefficientsIndex,0))</f>
        <v>0</v>
      </c>
      <c r="AG148">
        <f>INDEX(CoefficientsIntercept,MATCH(T148&amp;":"&amp;O148,CoefficientsIndex,0))</f>
        <v>0</v>
      </c>
      <c r="AH148">
        <f>AE148*P148+(Q148-Z148)*AF148+AG148</f>
        <v>0</v>
      </c>
      <c r="AI148">
        <f>IF(ISNUMBER(AD148),AD148,AH148)</f>
        <v>0</v>
      </c>
      <c r="AJ148">
        <f>IF(ISNUMBER(AI148),IF(ISNUMBER(AE148),IF(AND(AE148=1,AF148=1,AG148=1),100,ROUND(100*EXP(AI148)/(1+EXP(AI148)),2)),ROUND(100*EXP(AI148)/(1+EXP(AI148)),2)),IF(ISTEXT(O148),IF(LEFT(O148,1)="2",100,"N/A"),"N/A"))</f>
        <v>0</v>
      </c>
      <c r="AK148">
        <f>IF(ISNUMBER(AJ148),IF(AJ148&gt;=99,IF(OR(R148=10,R148=11),MatchLabel,SureThingLabel),IF(AJ148&gt;=95,SecureLabel,IF(AJ148&gt;=80,SafetyLabel,IF(AJ148&gt;=50,MatchLabel,IF(AJ148&gt;=20,ReachLabel,IF(AJ148&gt;=10,LongshotLabel,HailMaryLabel)))))),"Other")</f>
        <v>0</v>
      </c>
      <c r="AL148">
        <f>IF(OR(I148="accepted",I148="cond. accept",I148="summer admit"),IF(J148="yes","CHOICE!","Accepted!"),IF(I148="denied","Denied",IF(K148=1,"Waitlist",IF(L148=1,"Deferred",IF(G148="pending","Pending",IF(OR(G148="initial materials submitted",G148="mid-year submitted",G148="final submitted"),"Submitted",IF(H148="interest","Interest","?")))))))</f>
        <v>0</v>
      </c>
      <c r="AM148">
        <f>IF(OR(AK148=ReachLabel,AK148=LongshotLabel,AK148=HailMaryLabel),1,0)</f>
        <v>0</v>
      </c>
      <c r="AN148">
        <f>IF(OR(AM148=1,AK148=MatchLabel),1,0)</f>
        <v>0</v>
      </c>
      <c r="AO148">
        <f>IF(OR(AK148=MatchLabel,AK148=SafetyLabel,AK148=SecureLabel,AK148=SureThingLabel),1,0)</f>
        <v>0</v>
      </c>
      <c r="AP148">
        <f>IF(OR(T148="H",T148="B"),IF(ISNUMBER(Y148),ROUND(Y148,2),0),IF(ISNUMBER(X148),ROUND(X148,2),0))</f>
        <v>0</v>
      </c>
      <c r="AQ148">
        <f>IF(AP148&gt;=U148,1,0)</f>
        <v>0</v>
      </c>
      <c r="AR148">
        <f>IF(AP148&gt;=V148,1,0)</f>
        <v>0</v>
      </c>
      <c r="AS148">
        <f>IF(AP148&lt;(U148-0.10),1,0)</f>
        <v>0</v>
      </c>
      <c r="AT148">
        <f>1-AJ148/100</f>
        <v>0</v>
      </c>
      <c r="AU148">
        <f>IF(AN148=1,AT148,1)</f>
        <v>0</v>
      </c>
      <c r="AV148">
        <f>IF(AM148=1,AT148,1)</f>
        <v>0</v>
      </c>
      <c r="AW148">
        <f>IF(AND(AQ148=1,ISNUMBER(AT148)),$AT148,1)</f>
        <v>0</v>
      </c>
      <c r="AX148">
        <f>IF(AND(AR148=1,ISNUMBER(AT148)),$AT148,1)</f>
        <v>0</v>
      </c>
      <c r="AY148">
        <f>IF(ISNUMBER(Y148),INDEX(AllCollegeMoney, MATCH(N148,AllCollegeNCES,0)),0)</f>
        <v>0</v>
      </c>
      <c r="AZ148">
        <f>IF(AND(AQ148=1,ISNUMBER(AT148),AY148=1),$AT148,1)</f>
        <v>0</v>
      </c>
      <c r="BA148">
        <f>IF(AND(AR148=1,ISNUMBER(AT148),AY148=1),$AT148,1)</f>
        <v>0</v>
      </c>
      <c r="BB148">
        <f>IF(ISNUMBER(Y148),INDEX(AllCollegeILPub, MATCH(N148,AllCollegeNCES,0)),0)</f>
        <v>0</v>
      </c>
      <c r="BC148">
        <f>IF(AK148=ReachLabel,AP148,0)</f>
        <v>0</v>
      </c>
      <c r="BD148">
        <f>IF(AK148=MatchLabel,AP148,0)</f>
        <v>0</v>
      </c>
      <c r="BE148">
        <f>IF(AK148=SafetyLabel,AP148,0)</f>
        <v>0</v>
      </c>
      <c r="BF148">
        <f>IF(AK148=SecureLabel,AP148,0)</f>
        <v>0</v>
      </c>
      <c r="BG148">
        <f>IF(AK148=SureThingLabel,AP148,0)</f>
        <v>0</v>
      </c>
      <c r="BH148">
        <f>MAX(BC148:BG148)</f>
        <v>0</v>
      </c>
      <c r="BI148">
        <f>MAX(BD148:BG148)</f>
        <v>0</v>
      </c>
      <c r="BJ148">
        <f>MAX(BE148:BG148)</f>
        <v>0</v>
      </c>
      <c r="BK148">
        <f>IF(AND(AK148=ReachLabel,AY148=1),AP148,0)</f>
        <v>0</v>
      </c>
      <c r="BL148">
        <f>IF(AND(AK148=MatchLabel,AY148=1),AP148,0)</f>
        <v>0</v>
      </c>
      <c r="BM148">
        <f>IF(AND(AK148=SafetyLabel,AY148=1),AP148,0)</f>
        <v>0</v>
      </c>
      <c r="BN148">
        <f>IF(AND(AK148=SecureLabel,AY148=1),AP148,0)</f>
        <v>0</v>
      </c>
      <c r="BO148">
        <f>IF(AND(AK148=SureThingLabel,AY148=1),AP148,0)</f>
        <v>0</v>
      </c>
      <c r="BP148">
        <f>MAX(BK148:BO148)</f>
        <v>0</v>
      </c>
      <c r="BQ148">
        <f>MAX(BL148:BO148)</f>
        <v>0</v>
      </c>
      <c r="BR148">
        <f>MAX(BM148:BO148)</f>
        <v>0</v>
      </c>
      <c r="BS148">
        <f>IF(ISNUMBER(Y148),INDEX(AllCollegeChicago, MATCH(N148,AllCollegeNCES,0))*AY148,0)</f>
        <v>0</v>
      </c>
      <c r="BT148">
        <f>IF(ISNUMBER(Y148),INDEX(AllCollegeMoneyCode, MATCH(N148,AllCollegeNCES,0)),"?")</f>
        <v>0</v>
      </c>
      <c r="BU148">
        <f>IF(OR(BT148="---",BT148="--",BT148="+/--",BT148="+/---"),1,0)</f>
        <v>0</v>
      </c>
      <c r="BV148">
        <f>AY148*AO148*AQ148</f>
        <v>0</v>
      </c>
    </row>
    <row r="149" spans="1:74">
      <c r="A149" t="s">
        <v>86</v>
      </c>
      <c r="B149">
        <v>22540938</v>
      </c>
      <c r="C149" t="s">
        <v>317</v>
      </c>
      <c r="D149" t="s">
        <v>318</v>
      </c>
      <c r="E149" t="s">
        <v>428</v>
      </c>
      <c r="F149" t="s">
        <v>460</v>
      </c>
      <c r="G149" t="s">
        <v>430</v>
      </c>
      <c r="H149" t="s">
        <v>431</v>
      </c>
      <c r="I149" t="s">
        <v>432</v>
      </c>
      <c r="J149" t="s">
        <v>432</v>
      </c>
      <c r="K149">
        <v>0</v>
      </c>
      <c r="L149" t="s">
        <v>428</v>
      </c>
      <c r="M149" t="s">
        <v>428</v>
      </c>
      <c r="N149">
        <v>221519</v>
      </c>
      <c r="O149">
        <f>INDEX(AllCollegeBarrons,MATCH(N149,AllCollegeNCES,0))</f>
        <v>0</v>
      </c>
      <c r="P149">
        <f>INDEX(KidGPAs,MATCH(B149,KidIDs,0))</f>
        <v>0</v>
      </c>
      <c r="Q149">
        <f>INDEX(KidACTs,MATCH(B149,KidIDs,0))</f>
        <v>0</v>
      </c>
      <c r="R149">
        <f>INDEX(Strats,MATCH(B149,KidIDs,0))</f>
        <v>0</v>
      </c>
      <c r="S149">
        <f>INDEX(KidRace,MATCH(B149,KidIDs,0))</f>
        <v>0</v>
      </c>
      <c r="T149">
        <f>IF(OR(S149="M",S149="I"),"H",S149)</f>
        <v>0</v>
      </c>
      <c r="U149">
        <f>INDEX(StudentTargets,MATCH(B149,KidIDs,0))</f>
        <v>0</v>
      </c>
      <c r="V149">
        <f>INDEX(ReachStudentTargets,MATCH(B149,KidIDs,0))</f>
        <v>0</v>
      </c>
      <c r="W149">
        <f>IF(OR(M149="Posse"),1,0)</f>
        <v>0</v>
      </c>
      <c r="X149">
        <f>IF(ISNUMBER(INDEX(AllCollegeGR, MATCH(N149,AllCollegeNCES,0))),ROUND(INDEX(AllCollegeGR, MATCH(N149,AllCollegeNCES,0))+W149*IF(INDEX(AllCollegeGR, MATCH(N149,AllCollegeNCES,0))&gt;0.7,(1-INDEX(AllCollegeGR, MATCH(N149,AllCollegeNCES,0)))/2,0.15),2),INDEX(AllCollegeGR, MATCH(N149,AllCollegeNCES,0)))</f>
        <v>0</v>
      </c>
      <c r="Y149">
        <f>IF(ISNUMBER(INDEX(AllCollegeAAHGR, MATCH(N149,AllCollegeNCES,0))),ROUND(INDEX(AllCollegeAAHGR, MATCH(N149,AllCollegeNCES,0))+W149*IF(INDEX(AllCollegeAAHGR, MATCH(N149,AllCollegeNCES,0))&gt;0.7,(1-INDEX(AllCollegeAAHGR, MATCH(N149,AllCollegeNCES,0)))/2,0.15),2),INDEX(AllCollegeAAHGR, MATCH(N149,AllCollegeNCES,0)))</f>
        <v>0</v>
      </c>
      <c r="Z149">
        <f>IF(OR(T149="H",T149="B"),INDEX(AllCollegeACT25, MATCH(N149,AllCollegeNCES,0)),INDEX(AllCollegeACT50, MATCH(N149,AllCollegeNCES,0)))</f>
        <v>0</v>
      </c>
      <c r="AA149">
        <f>INDEX(CustomWeightsGPA,MATCH(T149&amp;":"&amp;N149,CustomWeightsIndex,0))</f>
        <v>0</v>
      </c>
      <c r="AB149">
        <f>INDEX(CustomWeightsACT,MATCH(T149&amp;":"&amp;N149,CustomWeightsIndex,0))</f>
        <v>0</v>
      </c>
      <c r="AC149">
        <f>INDEX(CustomWeightsIntercept,MATCH(T149&amp;":"&amp;N149,CustomWeightsIndex,0))</f>
        <v>0</v>
      </c>
      <c r="AD149">
        <f>AA149*P149+AB149*Q149+AC149</f>
        <v>0</v>
      </c>
      <c r="AE149">
        <f>INDEX(CoefficientsGPA,MATCH(T149&amp;":"&amp;O149,CoefficientsIndex,0))</f>
        <v>0</v>
      </c>
      <c r="AF149">
        <f>INDEX(CoefficientsACT,MATCH(T149&amp;":"&amp;O149,CoefficientsIndex,0))</f>
        <v>0</v>
      </c>
      <c r="AG149">
        <f>INDEX(CoefficientsIntercept,MATCH(T149&amp;":"&amp;O149,CoefficientsIndex,0))</f>
        <v>0</v>
      </c>
      <c r="AH149">
        <f>AE149*P149+(Q149-Z149)*AF149+AG149</f>
        <v>0</v>
      </c>
      <c r="AI149">
        <f>IF(ISNUMBER(AD149),AD149,AH149)</f>
        <v>0</v>
      </c>
      <c r="AJ149">
        <f>IF(ISNUMBER(AI149),IF(ISNUMBER(AE149),IF(AND(AE149=1,AF149=1,AG149=1),100,ROUND(100*EXP(AI149)/(1+EXP(AI149)),2)),ROUND(100*EXP(AI149)/(1+EXP(AI149)),2)),IF(ISTEXT(O149),IF(LEFT(O149,1)="2",100,"N/A"),"N/A"))</f>
        <v>0</v>
      </c>
      <c r="AK149">
        <f>IF(ISNUMBER(AJ149),IF(AJ149&gt;=99,IF(OR(R149=10,R149=11),MatchLabel,SureThingLabel),IF(AJ149&gt;=95,SecureLabel,IF(AJ149&gt;=80,SafetyLabel,IF(AJ149&gt;=50,MatchLabel,IF(AJ149&gt;=20,ReachLabel,IF(AJ149&gt;=10,LongshotLabel,HailMaryLabel)))))),"Other")</f>
        <v>0</v>
      </c>
      <c r="AL149">
        <f>IF(OR(I149="accepted",I149="cond. accept",I149="summer admit"),IF(J149="yes","CHOICE!","Accepted!"),IF(I149="denied","Denied",IF(K149=1,"Waitlist",IF(L149=1,"Deferred",IF(G149="pending","Pending",IF(OR(G149="initial materials submitted",G149="mid-year submitted",G149="final submitted"),"Submitted",IF(H149="interest","Interest","?")))))))</f>
        <v>0</v>
      </c>
      <c r="AM149">
        <f>IF(OR(AK149=ReachLabel,AK149=LongshotLabel,AK149=HailMaryLabel),1,0)</f>
        <v>0</v>
      </c>
      <c r="AN149">
        <f>IF(OR(AM149=1,AK149=MatchLabel),1,0)</f>
        <v>0</v>
      </c>
      <c r="AO149">
        <f>IF(OR(AK149=MatchLabel,AK149=SafetyLabel,AK149=SecureLabel,AK149=SureThingLabel),1,0)</f>
        <v>0</v>
      </c>
      <c r="AP149">
        <f>IF(OR(T149="H",T149="B"),IF(ISNUMBER(Y149),ROUND(Y149,2),0),IF(ISNUMBER(X149),ROUND(X149,2),0))</f>
        <v>0</v>
      </c>
      <c r="AQ149">
        <f>IF(AP149&gt;=U149,1,0)</f>
        <v>0</v>
      </c>
      <c r="AR149">
        <f>IF(AP149&gt;=V149,1,0)</f>
        <v>0</v>
      </c>
      <c r="AS149">
        <f>IF(AP149&lt;(U149-0.10),1,0)</f>
        <v>0</v>
      </c>
      <c r="AT149">
        <f>1-AJ149/100</f>
        <v>0</v>
      </c>
      <c r="AU149">
        <f>IF(AN149=1,AT149,1)</f>
        <v>0</v>
      </c>
      <c r="AV149">
        <f>IF(AM149=1,AT149,1)</f>
        <v>0</v>
      </c>
      <c r="AW149">
        <f>IF(AND(AQ149=1,ISNUMBER(AT149)),$AT149,1)</f>
        <v>0</v>
      </c>
      <c r="AX149">
        <f>IF(AND(AR149=1,ISNUMBER(AT149)),$AT149,1)</f>
        <v>0</v>
      </c>
      <c r="AY149">
        <f>IF(ISNUMBER(Y149),INDEX(AllCollegeMoney, MATCH(N149,AllCollegeNCES,0)),0)</f>
        <v>0</v>
      </c>
      <c r="AZ149">
        <f>IF(AND(AQ149=1,ISNUMBER(AT149),AY149=1),$AT149,1)</f>
        <v>0</v>
      </c>
      <c r="BA149">
        <f>IF(AND(AR149=1,ISNUMBER(AT149),AY149=1),$AT149,1)</f>
        <v>0</v>
      </c>
      <c r="BB149">
        <f>IF(ISNUMBER(Y149),INDEX(AllCollegeILPub, MATCH(N149,AllCollegeNCES,0)),0)</f>
        <v>0</v>
      </c>
      <c r="BC149">
        <f>IF(AK149=ReachLabel,AP149,0)</f>
        <v>0</v>
      </c>
      <c r="BD149">
        <f>IF(AK149=MatchLabel,AP149,0)</f>
        <v>0</v>
      </c>
      <c r="BE149">
        <f>IF(AK149=SafetyLabel,AP149,0)</f>
        <v>0</v>
      </c>
      <c r="BF149">
        <f>IF(AK149=SecureLabel,AP149,0)</f>
        <v>0</v>
      </c>
      <c r="BG149">
        <f>IF(AK149=SureThingLabel,AP149,0)</f>
        <v>0</v>
      </c>
      <c r="BH149">
        <f>MAX(BC149:BG149)</f>
        <v>0</v>
      </c>
      <c r="BI149">
        <f>MAX(BD149:BG149)</f>
        <v>0</v>
      </c>
      <c r="BJ149">
        <f>MAX(BE149:BG149)</f>
        <v>0</v>
      </c>
      <c r="BK149">
        <f>IF(AND(AK149=ReachLabel,AY149=1),AP149,0)</f>
        <v>0</v>
      </c>
      <c r="BL149">
        <f>IF(AND(AK149=MatchLabel,AY149=1),AP149,0)</f>
        <v>0</v>
      </c>
      <c r="BM149">
        <f>IF(AND(AK149=SafetyLabel,AY149=1),AP149,0)</f>
        <v>0</v>
      </c>
      <c r="BN149">
        <f>IF(AND(AK149=SecureLabel,AY149=1),AP149,0)</f>
        <v>0</v>
      </c>
      <c r="BO149">
        <f>IF(AND(AK149=SureThingLabel,AY149=1),AP149,0)</f>
        <v>0</v>
      </c>
      <c r="BP149">
        <f>MAX(BK149:BO149)</f>
        <v>0</v>
      </c>
      <c r="BQ149">
        <f>MAX(BL149:BO149)</f>
        <v>0</v>
      </c>
      <c r="BR149">
        <f>MAX(BM149:BO149)</f>
        <v>0</v>
      </c>
      <c r="BS149">
        <f>IF(ISNUMBER(Y149),INDEX(AllCollegeChicago, MATCH(N149,AllCollegeNCES,0))*AY149,0)</f>
        <v>0</v>
      </c>
      <c r="BT149">
        <f>IF(ISNUMBER(Y149),INDEX(AllCollegeMoneyCode, MATCH(N149,AllCollegeNCES,0)),"?")</f>
        <v>0</v>
      </c>
      <c r="BU149">
        <f>IF(OR(BT149="---",BT149="--",BT149="+/--",BT149="+/---"),1,0)</f>
        <v>0</v>
      </c>
      <c r="BV149">
        <f>AY149*AO149*AQ149</f>
        <v>0</v>
      </c>
    </row>
    <row r="150" spans="1:74">
      <c r="A150" t="s">
        <v>86</v>
      </c>
      <c r="B150">
        <v>22540938</v>
      </c>
      <c r="C150" t="s">
        <v>317</v>
      </c>
      <c r="D150" t="s">
        <v>318</v>
      </c>
      <c r="E150" t="s">
        <v>428</v>
      </c>
      <c r="F150" t="s">
        <v>501</v>
      </c>
      <c r="G150" t="s">
        <v>430</v>
      </c>
      <c r="H150" t="s">
        <v>431</v>
      </c>
      <c r="I150" t="s">
        <v>432</v>
      </c>
      <c r="J150" t="s">
        <v>432</v>
      </c>
      <c r="K150">
        <v>0</v>
      </c>
      <c r="L150" t="s">
        <v>428</v>
      </c>
      <c r="M150" t="s">
        <v>428</v>
      </c>
      <c r="N150">
        <v>145725</v>
      </c>
      <c r="O150">
        <f>INDEX(AllCollegeBarrons,MATCH(N150,AllCollegeNCES,0))</f>
        <v>0</v>
      </c>
      <c r="P150">
        <f>INDEX(KidGPAs,MATCH(B150,KidIDs,0))</f>
        <v>0</v>
      </c>
      <c r="Q150">
        <f>INDEX(KidACTs,MATCH(B150,KidIDs,0))</f>
        <v>0</v>
      </c>
      <c r="R150">
        <f>INDEX(Strats,MATCH(B150,KidIDs,0))</f>
        <v>0</v>
      </c>
      <c r="S150">
        <f>INDEX(KidRace,MATCH(B150,KidIDs,0))</f>
        <v>0</v>
      </c>
      <c r="T150">
        <f>IF(OR(S150="M",S150="I"),"H",S150)</f>
        <v>0</v>
      </c>
      <c r="U150">
        <f>INDEX(StudentTargets,MATCH(B150,KidIDs,0))</f>
        <v>0</v>
      </c>
      <c r="V150">
        <f>INDEX(ReachStudentTargets,MATCH(B150,KidIDs,0))</f>
        <v>0</v>
      </c>
      <c r="W150">
        <f>IF(OR(M150="Posse"),1,0)</f>
        <v>0</v>
      </c>
      <c r="X150">
        <f>IF(ISNUMBER(INDEX(AllCollegeGR, MATCH(N150,AllCollegeNCES,0))),ROUND(INDEX(AllCollegeGR, MATCH(N150,AllCollegeNCES,0))+W150*IF(INDEX(AllCollegeGR, MATCH(N150,AllCollegeNCES,0))&gt;0.7,(1-INDEX(AllCollegeGR, MATCH(N150,AllCollegeNCES,0)))/2,0.15),2),INDEX(AllCollegeGR, MATCH(N150,AllCollegeNCES,0)))</f>
        <v>0</v>
      </c>
      <c r="Y150">
        <f>IF(ISNUMBER(INDEX(AllCollegeAAHGR, MATCH(N150,AllCollegeNCES,0))),ROUND(INDEX(AllCollegeAAHGR, MATCH(N150,AllCollegeNCES,0))+W150*IF(INDEX(AllCollegeAAHGR, MATCH(N150,AllCollegeNCES,0))&gt;0.7,(1-INDEX(AllCollegeAAHGR, MATCH(N150,AllCollegeNCES,0)))/2,0.15),2),INDEX(AllCollegeAAHGR, MATCH(N150,AllCollegeNCES,0)))</f>
        <v>0</v>
      </c>
      <c r="Z150">
        <f>IF(OR(T150="H",T150="B"),INDEX(AllCollegeACT25, MATCH(N150,AllCollegeNCES,0)),INDEX(AllCollegeACT50, MATCH(N150,AllCollegeNCES,0)))</f>
        <v>0</v>
      </c>
      <c r="AA150">
        <f>INDEX(CustomWeightsGPA,MATCH(T150&amp;":"&amp;N150,CustomWeightsIndex,0))</f>
        <v>0</v>
      </c>
      <c r="AB150">
        <f>INDEX(CustomWeightsACT,MATCH(T150&amp;":"&amp;N150,CustomWeightsIndex,0))</f>
        <v>0</v>
      </c>
      <c r="AC150">
        <f>INDEX(CustomWeightsIntercept,MATCH(T150&amp;":"&amp;N150,CustomWeightsIndex,0))</f>
        <v>0</v>
      </c>
      <c r="AD150">
        <f>AA150*P150+AB150*Q150+AC150</f>
        <v>0</v>
      </c>
      <c r="AE150">
        <f>INDEX(CoefficientsGPA,MATCH(T150&amp;":"&amp;O150,CoefficientsIndex,0))</f>
        <v>0</v>
      </c>
      <c r="AF150">
        <f>INDEX(CoefficientsACT,MATCH(T150&amp;":"&amp;O150,CoefficientsIndex,0))</f>
        <v>0</v>
      </c>
      <c r="AG150">
        <f>INDEX(CoefficientsIntercept,MATCH(T150&amp;":"&amp;O150,CoefficientsIndex,0))</f>
        <v>0</v>
      </c>
      <c r="AH150">
        <f>AE150*P150+(Q150-Z150)*AF150+AG150</f>
        <v>0</v>
      </c>
      <c r="AI150">
        <f>IF(ISNUMBER(AD150),AD150,AH150)</f>
        <v>0</v>
      </c>
      <c r="AJ150">
        <f>IF(ISNUMBER(AI150),IF(ISNUMBER(AE150),IF(AND(AE150=1,AF150=1,AG150=1),100,ROUND(100*EXP(AI150)/(1+EXP(AI150)),2)),ROUND(100*EXP(AI150)/(1+EXP(AI150)),2)),IF(ISTEXT(O150),IF(LEFT(O150,1)="2",100,"N/A"),"N/A"))</f>
        <v>0</v>
      </c>
      <c r="AK150">
        <f>IF(ISNUMBER(AJ150),IF(AJ150&gt;=99,IF(OR(R150=10,R150=11),MatchLabel,SureThingLabel),IF(AJ150&gt;=95,SecureLabel,IF(AJ150&gt;=80,SafetyLabel,IF(AJ150&gt;=50,MatchLabel,IF(AJ150&gt;=20,ReachLabel,IF(AJ150&gt;=10,LongshotLabel,HailMaryLabel)))))),"Other")</f>
        <v>0</v>
      </c>
      <c r="AL150">
        <f>IF(OR(I150="accepted",I150="cond. accept",I150="summer admit"),IF(J150="yes","CHOICE!","Accepted!"),IF(I150="denied","Denied",IF(K150=1,"Waitlist",IF(L150=1,"Deferred",IF(G150="pending","Pending",IF(OR(G150="initial materials submitted",G150="mid-year submitted",G150="final submitted"),"Submitted",IF(H150="interest","Interest","?")))))))</f>
        <v>0</v>
      </c>
      <c r="AM150">
        <f>IF(OR(AK150=ReachLabel,AK150=LongshotLabel,AK150=HailMaryLabel),1,0)</f>
        <v>0</v>
      </c>
      <c r="AN150">
        <f>IF(OR(AM150=1,AK150=MatchLabel),1,0)</f>
        <v>0</v>
      </c>
      <c r="AO150">
        <f>IF(OR(AK150=MatchLabel,AK150=SafetyLabel,AK150=SecureLabel,AK150=SureThingLabel),1,0)</f>
        <v>0</v>
      </c>
      <c r="AP150">
        <f>IF(OR(T150="H",T150="B"),IF(ISNUMBER(Y150),ROUND(Y150,2),0),IF(ISNUMBER(X150),ROUND(X150,2),0))</f>
        <v>0</v>
      </c>
      <c r="AQ150">
        <f>IF(AP150&gt;=U150,1,0)</f>
        <v>0</v>
      </c>
      <c r="AR150">
        <f>IF(AP150&gt;=V150,1,0)</f>
        <v>0</v>
      </c>
      <c r="AS150">
        <f>IF(AP150&lt;(U150-0.10),1,0)</f>
        <v>0</v>
      </c>
      <c r="AT150">
        <f>1-AJ150/100</f>
        <v>0</v>
      </c>
      <c r="AU150">
        <f>IF(AN150=1,AT150,1)</f>
        <v>0</v>
      </c>
      <c r="AV150">
        <f>IF(AM150=1,AT150,1)</f>
        <v>0</v>
      </c>
      <c r="AW150">
        <f>IF(AND(AQ150=1,ISNUMBER(AT150)),$AT150,1)</f>
        <v>0</v>
      </c>
      <c r="AX150">
        <f>IF(AND(AR150=1,ISNUMBER(AT150)),$AT150,1)</f>
        <v>0</v>
      </c>
      <c r="AY150">
        <f>IF(ISNUMBER(Y150),INDEX(AllCollegeMoney, MATCH(N150,AllCollegeNCES,0)),0)</f>
        <v>0</v>
      </c>
      <c r="AZ150">
        <f>IF(AND(AQ150=1,ISNUMBER(AT150),AY150=1),$AT150,1)</f>
        <v>0</v>
      </c>
      <c r="BA150">
        <f>IF(AND(AR150=1,ISNUMBER(AT150),AY150=1),$AT150,1)</f>
        <v>0</v>
      </c>
      <c r="BB150">
        <f>IF(ISNUMBER(Y150),INDEX(AllCollegeILPub, MATCH(N150,AllCollegeNCES,0)),0)</f>
        <v>0</v>
      </c>
      <c r="BC150">
        <f>IF(AK150=ReachLabel,AP150,0)</f>
        <v>0</v>
      </c>
      <c r="BD150">
        <f>IF(AK150=MatchLabel,AP150,0)</f>
        <v>0</v>
      </c>
      <c r="BE150">
        <f>IF(AK150=SafetyLabel,AP150,0)</f>
        <v>0</v>
      </c>
      <c r="BF150">
        <f>IF(AK150=SecureLabel,AP150,0)</f>
        <v>0</v>
      </c>
      <c r="BG150">
        <f>IF(AK150=SureThingLabel,AP150,0)</f>
        <v>0</v>
      </c>
      <c r="BH150">
        <f>MAX(BC150:BG150)</f>
        <v>0</v>
      </c>
      <c r="BI150">
        <f>MAX(BD150:BG150)</f>
        <v>0</v>
      </c>
      <c r="BJ150">
        <f>MAX(BE150:BG150)</f>
        <v>0</v>
      </c>
      <c r="BK150">
        <f>IF(AND(AK150=ReachLabel,AY150=1),AP150,0)</f>
        <v>0</v>
      </c>
      <c r="BL150">
        <f>IF(AND(AK150=MatchLabel,AY150=1),AP150,0)</f>
        <v>0</v>
      </c>
      <c r="BM150">
        <f>IF(AND(AK150=SafetyLabel,AY150=1),AP150,0)</f>
        <v>0</v>
      </c>
      <c r="BN150">
        <f>IF(AND(AK150=SecureLabel,AY150=1),AP150,0)</f>
        <v>0</v>
      </c>
      <c r="BO150">
        <f>IF(AND(AK150=SureThingLabel,AY150=1),AP150,0)</f>
        <v>0</v>
      </c>
      <c r="BP150">
        <f>MAX(BK150:BO150)</f>
        <v>0</v>
      </c>
      <c r="BQ150">
        <f>MAX(BL150:BO150)</f>
        <v>0</v>
      </c>
      <c r="BR150">
        <f>MAX(BM150:BO150)</f>
        <v>0</v>
      </c>
      <c r="BS150">
        <f>IF(ISNUMBER(Y150),INDEX(AllCollegeChicago, MATCH(N150,AllCollegeNCES,0))*AY150,0)</f>
        <v>0</v>
      </c>
      <c r="BT150">
        <f>IF(ISNUMBER(Y150),INDEX(AllCollegeMoneyCode, MATCH(N150,AllCollegeNCES,0)),"?")</f>
        <v>0</v>
      </c>
      <c r="BU150">
        <f>IF(OR(BT150="---",BT150="--",BT150="+/--",BT150="+/---"),1,0)</f>
        <v>0</v>
      </c>
      <c r="BV150">
        <f>AY150*AO150*AQ150</f>
        <v>0</v>
      </c>
    </row>
    <row r="151" spans="1:74">
      <c r="A151" t="s">
        <v>86</v>
      </c>
      <c r="B151">
        <v>22540938</v>
      </c>
      <c r="C151" t="s">
        <v>317</v>
      </c>
      <c r="D151" t="s">
        <v>318</v>
      </c>
      <c r="E151" t="s">
        <v>428</v>
      </c>
      <c r="F151" t="s">
        <v>462</v>
      </c>
      <c r="G151" t="s">
        <v>430</v>
      </c>
      <c r="H151" t="s">
        <v>431</v>
      </c>
      <c r="I151" t="s">
        <v>432</v>
      </c>
      <c r="J151" t="s">
        <v>432</v>
      </c>
      <c r="K151">
        <v>0</v>
      </c>
      <c r="L151" t="s">
        <v>428</v>
      </c>
      <c r="M151" t="s">
        <v>428</v>
      </c>
      <c r="N151">
        <v>168546</v>
      </c>
      <c r="O151">
        <f>INDEX(AllCollegeBarrons,MATCH(N151,AllCollegeNCES,0))</f>
        <v>0</v>
      </c>
      <c r="P151">
        <f>INDEX(KidGPAs,MATCH(B151,KidIDs,0))</f>
        <v>0</v>
      </c>
      <c r="Q151">
        <f>INDEX(KidACTs,MATCH(B151,KidIDs,0))</f>
        <v>0</v>
      </c>
      <c r="R151">
        <f>INDEX(Strats,MATCH(B151,KidIDs,0))</f>
        <v>0</v>
      </c>
      <c r="S151">
        <f>INDEX(KidRace,MATCH(B151,KidIDs,0))</f>
        <v>0</v>
      </c>
      <c r="T151">
        <f>IF(OR(S151="M",S151="I"),"H",S151)</f>
        <v>0</v>
      </c>
      <c r="U151">
        <f>INDEX(StudentTargets,MATCH(B151,KidIDs,0))</f>
        <v>0</v>
      </c>
      <c r="V151">
        <f>INDEX(ReachStudentTargets,MATCH(B151,KidIDs,0))</f>
        <v>0</v>
      </c>
      <c r="W151">
        <f>IF(OR(M151="Posse"),1,0)</f>
        <v>0</v>
      </c>
      <c r="X151">
        <f>IF(ISNUMBER(INDEX(AllCollegeGR, MATCH(N151,AllCollegeNCES,0))),ROUND(INDEX(AllCollegeGR, MATCH(N151,AllCollegeNCES,0))+W151*IF(INDEX(AllCollegeGR, MATCH(N151,AllCollegeNCES,0))&gt;0.7,(1-INDEX(AllCollegeGR, MATCH(N151,AllCollegeNCES,0)))/2,0.15),2),INDEX(AllCollegeGR, MATCH(N151,AllCollegeNCES,0)))</f>
        <v>0</v>
      </c>
      <c r="Y151">
        <f>IF(ISNUMBER(INDEX(AllCollegeAAHGR, MATCH(N151,AllCollegeNCES,0))),ROUND(INDEX(AllCollegeAAHGR, MATCH(N151,AllCollegeNCES,0))+W151*IF(INDEX(AllCollegeAAHGR, MATCH(N151,AllCollegeNCES,0))&gt;0.7,(1-INDEX(AllCollegeAAHGR, MATCH(N151,AllCollegeNCES,0)))/2,0.15),2),INDEX(AllCollegeAAHGR, MATCH(N151,AllCollegeNCES,0)))</f>
        <v>0</v>
      </c>
      <c r="Z151">
        <f>IF(OR(T151="H",T151="B"),INDEX(AllCollegeACT25, MATCH(N151,AllCollegeNCES,0)),INDEX(AllCollegeACT50, MATCH(N151,AllCollegeNCES,0)))</f>
        <v>0</v>
      </c>
      <c r="AA151">
        <f>INDEX(CustomWeightsGPA,MATCH(T151&amp;":"&amp;N151,CustomWeightsIndex,0))</f>
        <v>0</v>
      </c>
      <c r="AB151">
        <f>INDEX(CustomWeightsACT,MATCH(T151&amp;":"&amp;N151,CustomWeightsIndex,0))</f>
        <v>0</v>
      </c>
      <c r="AC151">
        <f>INDEX(CustomWeightsIntercept,MATCH(T151&amp;":"&amp;N151,CustomWeightsIndex,0))</f>
        <v>0</v>
      </c>
      <c r="AD151">
        <f>AA151*P151+AB151*Q151+AC151</f>
        <v>0</v>
      </c>
      <c r="AE151">
        <f>INDEX(CoefficientsGPA,MATCH(T151&amp;":"&amp;O151,CoefficientsIndex,0))</f>
        <v>0</v>
      </c>
      <c r="AF151">
        <f>INDEX(CoefficientsACT,MATCH(T151&amp;":"&amp;O151,CoefficientsIndex,0))</f>
        <v>0</v>
      </c>
      <c r="AG151">
        <f>INDEX(CoefficientsIntercept,MATCH(T151&amp;":"&amp;O151,CoefficientsIndex,0))</f>
        <v>0</v>
      </c>
      <c r="AH151">
        <f>AE151*P151+(Q151-Z151)*AF151+AG151</f>
        <v>0</v>
      </c>
      <c r="AI151">
        <f>IF(ISNUMBER(AD151),AD151,AH151)</f>
        <v>0</v>
      </c>
      <c r="AJ151">
        <f>IF(ISNUMBER(AI151),IF(ISNUMBER(AE151),IF(AND(AE151=1,AF151=1,AG151=1),100,ROUND(100*EXP(AI151)/(1+EXP(AI151)),2)),ROUND(100*EXP(AI151)/(1+EXP(AI151)),2)),IF(ISTEXT(O151),IF(LEFT(O151,1)="2",100,"N/A"),"N/A"))</f>
        <v>0</v>
      </c>
      <c r="AK151">
        <f>IF(ISNUMBER(AJ151),IF(AJ151&gt;=99,IF(OR(R151=10,R151=11),MatchLabel,SureThingLabel),IF(AJ151&gt;=95,SecureLabel,IF(AJ151&gt;=80,SafetyLabel,IF(AJ151&gt;=50,MatchLabel,IF(AJ151&gt;=20,ReachLabel,IF(AJ151&gt;=10,LongshotLabel,HailMaryLabel)))))),"Other")</f>
        <v>0</v>
      </c>
      <c r="AL151">
        <f>IF(OR(I151="accepted",I151="cond. accept",I151="summer admit"),IF(J151="yes","CHOICE!","Accepted!"),IF(I151="denied","Denied",IF(K151=1,"Waitlist",IF(L151=1,"Deferred",IF(G151="pending","Pending",IF(OR(G151="initial materials submitted",G151="mid-year submitted",G151="final submitted"),"Submitted",IF(H151="interest","Interest","?")))))))</f>
        <v>0</v>
      </c>
      <c r="AM151">
        <f>IF(OR(AK151=ReachLabel,AK151=LongshotLabel,AK151=HailMaryLabel),1,0)</f>
        <v>0</v>
      </c>
      <c r="AN151">
        <f>IF(OR(AM151=1,AK151=MatchLabel),1,0)</f>
        <v>0</v>
      </c>
      <c r="AO151">
        <f>IF(OR(AK151=MatchLabel,AK151=SafetyLabel,AK151=SecureLabel,AK151=SureThingLabel),1,0)</f>
        <v>0</v>
      </c>
      <c r="AP151">
        <f>IF(OR(T151="H",T151="B"),IF(ISNUMBER(Y151),ROUND(Y151,2),0),IF(ISNUMBER(X151),ROUND(X151,2),0))</f>
        <v>0</v>
      </c>
      <c r="AQ151">
        <f>IF(AP151&gt;=U151,1,0)</f>
        <v>0</v>
      </c>
      <c r="AR151">
        <f>IF(AP151&gt;=V151,1,0)</f>
        <v>0</v>
      </c>
      <c r="AS151">
        <f>IF(AP151&lt;(U151-0.10),1,0)</f>
        <v>0</v>
      </c>
      <c r="AT151">
        <f>1-AJ151/100</f>
        <v>0</v>
      </c>
      <c r="AU151">
        <f>IF(AN151=1,AT151,1)</f>
        <v>0</v>
      </c>
      <c r="AV151">
        <f>IF(AM151=1,AT151,1)</f>
        <v>0</v>
      </c>
      <c r="AW151">
        <f>IF(AND(AQ151=1,ISNUMBER(AT151)),$AT151,1)</f>
        <v>0</v>
      </c>
      <c r="AX151">
        <f>IF(AND(AR151=1,ISNUMBER(AT151)),$AT151,1)</f>
        <v>0</v>
      </c>
      <c r="AY151">
        <f>IF(ISNUMBER(Y151),INDEX(AllCollegeMoney, MATCH(N151,AllCollegeNCES,0)),0)</f>
        <v>0</v>
      </c>
      <c r="AZ151">
        <f>IF(AND(AQ151=1,ISNUMBER(AT151),AY151=1),$AT151,1)</f>
        <v>0</v>
      </c>
      <c r="BA151">
        <f>IF(AND(AR151=1,ISNUMBER(AT151),AY151=1),$AT151,1)</f>
        <v>0</v>
      </c>
      <c r="BB151">
        <f>IF(ISNUMBER(Y151),INDEX(AllCollegeILPub, MATCH(N151,AllCollegeNCES,0)),0)</f>
        <v>0</v>
      </c>
      <c r="BC151">
        <f>IF(AK151=ReachLabel,AP151,0)</f>
        <v>0</v>
      </c>
      <c r="BD151">
        <f>IF(AK151=MatchLabel,AP151,0)</f>
        <v>0</v>
      </c>
      <c r="BE151">
        <f>IF(AK151=SafetyLabel,AP151,0)</f>
        <v>0</v>
      </c>
      <c r="BF151">
        <f>IF(AK151=SecureLabel,AP151,0)</f>
        <v>0</v>
      </c>
      <c r="BG151">
        <f>IF(AK151=SureThingLabel,AP151,0)</f>
        <v>0</v>
      </c>
      <c r="BH151">
        <f>MAX(BC151:BG151)</f>
        <v>0</v>
      </c>
      <c r="BI151">
        <f>MAX(BD151:BG151)</f>
        <v>0</v>
      </c>
      <c r="BJ151">
        <f>MAX(BE151:BG151)</f>
        <v>0</v>
      </c>
      <c r="BK151">
        <f>IF(AND(AK151=ReachLabel,AY151=1),AP151,0)</f>
        <v>0</v>
      </c>
      <c r="BL151">
        <f>IF(AND(AK151=MatchLabel,AY151=1),AP151,0)</f>
        <v>0</v>
      </c>
      <c r="BM151">
        <f>IF(AND(AK151=SafetyLabel,AY151=1),AP151,0)</f>
        <v>0</v>
      </c>
      <c r="BN151">
        <f>IF(AND(AK151=SecureLabel,AY151=1),AP151,0)</f>
        <v>0</v>
      </c>
      <c r="BO151">
        <f>IF(AND(AK151=SureThingLabel,AY151=1),AP151,0)</f>
        <v>0</v>
      </c>
      <c r="BP151">
        <f>MAX(BK151:BO151)</f>
        <v>0</v>
      </c>
      <c r="BQ151">
        <f>MAX(BL151:BO151)</f>
        <v>0</v>
      </c>
      <c r="BR151">
        <f>MAX(BM151:BO151)</f>
        <v>0</v>
      </c>
      <c r="BS151">
        <f>IF(ISNUMBER(Y151),INDEX(AllCollegeChicago, MATCH(N151,AllCollegeNCES,0))*AY151,0)</f>
        <v>0</v>
      </c>
      <c r="BT151">
        <f>IF(ISNUMBER(Y151),INDEX(AllCollegeMoneyCode, MATCH(N151,AllCollegeNCES,0)),"?")</f>
        <v>0</v>
      </c>
      <c r="BU151">
        <f>IF(OR(BT151="---",BT151="--",BT151="+/--",BT151="+/---"),1,0)</f>
        <v>0</v>
      </c>
      <c r="BV151">
        <f>AY151*AO151*AQ151</f>
        <v>0</v>
      </c>
    </row>
    <row r="152" spans="1:74">
      <c r="A152" t="s">
        <v>86</v>
      </c>
      <c r="B152">
        <v>22540938</v>
      </c>
      <c r="C152" t="s">
        <v>317</v>
      </c>
      <c r="D152" t="s">
        <v>318</v>
      </c>
      <c r="E152" t="s">
        <v>428</v>
      </c>
      <c r="F152" t="s">
        <v>433</v>
      </c>
      <c r="G152" t="s">
        <v>463</v>
      </c>
      <c r="H152" t="s">
        <v>431</v>
      </c>
      <c r="I152" t="s">
        <v>432</v>
      </c>
      <c r="J152" t="s">
        <v>432</v>
      </c>
      <c r="K152">
        <v>0</v>
      </c>
      <c r="L152" t="s">
        <v>428</v>
      </c>
      <c r="M152" t="s">
        <v>428</v>
      </c>
      <c r="N152">
        <v>148496</v>
      </c>
      <c r="O152">
        <f>INDEX(AllCollegeBarrons,MATCH(N152,AllCollegeNCES,0))</f>
        <v>0</v>
      </c>
      <c r="P152">
        <f>INDEX(KidGPAs,MATCH(B152,KidIDs,0))</f>
        <v>0</v>
      </c>
      <c r="Q152">
        <f>INDEX(KidACTs,MATCH(B152,KidIDs,0))</f>
        <v>0</v>
      </c>
      <c r="R152">
        <f>INDEX(Strats,MATCH(B152,KidIDs,0))</f>
        <v>0</v>
      </c>
      <c r="S152">
        <f>INDEX(KidRace,MATCH(B152,KidIDs,0))</f>
        <v>0</v>
      </c>
      <c r="T152">
        <f>IF(OR(S152="M",S152="I"),"H",S152)</f>
        <v>0</v>
      </c>
      <c r="U152">
        <f>INDEX(StudentTargets,MATCH(B152,KidIDs,0))</f>
        <v>0</v>
      </c>
      <c r="V152">
        <f>INDEX(ReachStudentTargets,MATCH(B152,KidIDs,0))</f>
        <v>0</v>
      </c>
      <c r="W152">
        <f>IF(OR(M152="Posse"),1,0)</f>
        <v>0</v>
      </c>
      <c r="X152">
        <f>IF(ISNUMBER(INDEX(AllCollegeGR, MATCH(N152,AllCollegeNCES,0))),ROUND(INDEX(AllCollegeGR, MATCH(N152,AllCollegeNCES,0))+W152*IF(INDEX(AllCollegeGR, MATCH(N152,AllCollegeNCES,0))&gt;0.7,(1-INDEX(AllCollegeGR, MATCH(N152,AllCollegeNCES,0)))/2,0.15),2),INDEX(AllCollegeGR, MATCH(N152,AllCollegeNCES,0)))</f>
        <v>0</v>
      </c>
      <c r="Y152">
        <f>IF(ISNUMBER(INDEX(AllCollegeAAHGR, MATCH(N152,AllCollegeNCES,0))),ROUND(INDEX(AllCollegeAAHGR, MATCH(N152,AllCollegeNCES,0))+W152*IF(INDEX(AllCollegeAAHGR, MATCH(N152,AllCollegeNCES,0))&gt;0.7,(1-INDEX(AllCollegeAAHGR, MATCH(N152,AllCollegeNCES,0)))/2,0.15),2),INDEX(AllCollegeAAHGR, MATCH(N152,AllCollegeNCES,0)))</f>
        <v>0</v>
      </c>
      <c r="Z152">
        <f>IF(OR(T152="H",T152="B"),INDEX(AllCollegeACT25, MATCH(N152,AllCollegeNCES,0)),INDEX(AllCollegeACT50, MATCH(N152,AllCollegeNCES,0)))</f>
        <v>0</v>
      </c>
      <c r="AA152">
        <f>INDEX(CustomWeightsGPA,MATCH(T152&amp;":"&amp;N152,CustomWeightsIndex,0))</f>
        <v>0</v>
      </c>
      <c r="AB152">
        <f>INDEX(CustomWeightsACT,MATCH(T152&amp;":"&amp;N152,CustomWeightsIndex,0))</f>
        <v>0</v>
      </c>
      <c r="AC152">
        <f>INDEX(CustomWeightsIntercept,MATCH(T152&amp;":"&amp;N152,CustomWeightsIndex,0))</f>
        <v>0</v>
      </c>
      <c r="AD152">
        <f>AA152*P152+AB152*Q152+AC152</f>
        <v>0</v>
      </c>
      <c r="AE152">
        <f>INDEX(CoefficientsGPA,MATCH(T152&amp;":"&amp;O152,CoefficientsIndex,0))</f>
        <v>0</v>
      </c>
      <c r="AF152">
        <f>INDEX(CoefficientsACT,MATCH(T152&amp;":"&amp;O152,CoefficientsIndex,0))</f>
        <v>0</v>
      </c>
      <c r="AG152">
        <f>INDEX(CoefficientsIntercept,MATCH(T152&amp;":"&amp;O152,CoefficientsIndex,0))</f>
        <v>0</v>
      </c>
      <c r="AH152">
        <f>AE152*P152+(Q152-Z152)*AF152+AG152</f>
        <v>0</v>
      </c>
      <c r="AI152">
        <f>IF(ISNUMBER(AD152),AD152,AH152)</f>
        <v>0</v>
      </c>
      <c r="AJ152">
        <f>IF(ISNUMBER(AI152),IF(ISNUMBER(AE152),IF(AND(AE152=1,AF152=1,AG152=1),100,ROUND(100*EXP(AI152)/(1+EXP(AI152)),2)),ROUND(100*EXP(AI152)/(1+EXP(AI152)),2)),IF(ISTEXT(O152),IF(LEFT(O152,1)="2",100,"N/A"),"N/A"))</f>
        <v>0</v>
      </c>
      <c r="AK152">
        <f>IF(ISNUMBER(AJ152),IF(AJ152&gt;=99,IF(OR(R152=10,R152=11),MatchLabel,SureThingLabel),IF(AJ152&gt;=95,SecureLabel,IF(AJ152&gt;=80,SafetyLabel,IF(AJ152&gt;=50,MatchLabel,IF(AJ152&gt;=20,ReachLabel,IF(AJ152&gt;=10,LongshotLabel,HailMaryLabel)))))),"Other")</f>
        <v>0</v>
      </c>
      <c r="AL152">
        <f>IF(OR(I152="accepted",I152="cond. accept",I152="summer admit"),IF(J152="yes","CHOICE!","Accepted!"),IF(I152="denied","Denied",IF(K152=1,"Waitlist",IF(L152=1,"Deferred",IF(G152="pending","Pending",IF(OR(G152="initial materials submitted",G152="mid-year submitted",G152="final submitted"),"Submitted",IF(H152="interest","Interest","?")))))))</f>
        <v>0</v>
      </c>
      <c r="AM152">
        <f>IF(OR(AK152=ReachLabel,AK152=LongshotLabel,AK152=HailMaryLabel),1,0)</f>
        <v>0</v>
      </c>
      <c r="AN152">
        <f>IF(OR(AM152=1,AK152=MatchLabel),1,0)</f>
        <v>0</v>
      </c>
      <c r="AO152">
        <f>IF(OR(AK152=MatchLabel,AK152=SafetyLabel,AK152=SecureLabel,AK152=SureThingLabel),1,0)</f>
        <v>0</v>
      </c>
      <c r="AP152">
        <f>IF(OR(T152="H",T152="B"),IF(ISNUMBER(Y152),ROUND(Y152,2),0),IF(ISNUMBER(X152),ROUND(X152,2),0))</f>
        <v>0</v>
      </c>
      <c r="AQ152">
        <f>IF(AP152&gt;=U152,1,0)</f>
        <v>0</v>
      </c>
      <c r="AR152">
        <f>IF(AP152&gt;=V152,1,0)</f>
        <v>0</v>
      </c>
      <c r="AS152">
        <f>IF(AP152&lt;(U152-0.10),1,0)</f>
        <v>0</v>
      </c>
      <c r="AT152">
        <f>1-AJ152/100</f>
        <v>0</v>
      </c>
      <c r="AU152">
        <f>IF(AN152=1,AT152,1)</f>
        <v>0</v>
      </c>
      <c r="AV152">
        <f>IF(AM152=1,AT152,1)</f>
        <v>0</v>
      </c>
      <c r="AW152">
        <f>IF(AND(AQ152=1,ISNUMBER(AT152)),$AT152,1)</f>
        <v>0</v>
      </c>
      <c r="AX152">
        <f>IF(AND(AR152=1,ISNUMBER(AT152)),$AT152,1)</f>
        <v>0</v>
      </c>
      <c r="AY152">
        <f>IF(ISNUMBER(Y152),INDEX(AllCollegeMoney, MATCH(N152,AllCollegeNCES,0)),0)</f>
        <v>0</v>
      </c>
      <c r="AZ152">
        <f>IF(AND(AQ152=1,ISNUMBER(AT152),AY152=1),$AT152,1)</f>
        <v>0</v>
      </c>
      <c r="BA152">
        <f>IF(AND(AR152=1,ISNUMBER(AT152),AY152=1),$AT152,1)</f>
        <v>0</v>
      </c>
      <c r="BB152">
        <f>IF(ISNUMBER(Y152),INDEX(AllCollegeILPub, MATCH(N152,AllCollegeNCES,0)),0)</f>
        <v>0</v>
      </c>
      <c r="BC152">
        <f>IF(AK152=ReachLabel,AP152,0)</f>
        <v>0</v>
      </c>
      <c r="BD152">
        <f>IF(AK152=MatchLabel,AP152,0)</f>
        <v>0</v>
      </c>
      <c r="BE152">
        <f>IF(AK152=SafetyLabel,AP152,0)</f>
        <v>0</v>
      </c>
      <c r="BF152">
        <f>IF(AK152=SecureLabel,AP152,0)</f>
        <v>0</v>
      </c>
      <c r="BG152">
        <f>IF(AK152=SureThingLabel,AP152,0)</f>
        <v>0</v>
      </c>
      <c r="BH152">
        <f>MAX(BC152:BG152)</f>
        <v>0</v>
      </c>
      <c r="BI152">
        <f>MAX(BD152:BG152)</f>
        <v>0</v>
      </c>
      <c r="BJ152">
        <f>MAX(BE152:BG152)</f>
        <v>0</v>
      </c>
      <c r="BK152">
        <f>IF(AND(AK152=ReachLabel,AY152=1),AP152,0)</f>
        <v>0</v>
      </c>
      <c r="BL152">
        <f>IF(AND(AK152=MatchLabel,AY152=1),AP152,0)</f>
        <v>0</v>
      </c>
      <c r="BM152">
        <f>IF(AND(AK152=SafetyLabel,AY152=1),AP152,0)</f>
        <v>0</v>
      </c>
      <c r="BN152">
        <f>IF(AND(AK152=SecureLabel,AY152=1),AP152,0)</f>
        <v>0</v>
      </c>
      <c r="BO152">
        <f>IF(AND(AK152=SureThingLabel,AY152=1),AP152,0)</f>
        <v>0</v>
      </c>
      <c r="BP152">
        <f>MAX(BK152:BO152)</f>
        <v>0</v>
      </c>
      <c r="BQ152">
        <f>MAX(BL152:BO152)</f>
        <v>0</v>
      </c>
      <c r="BR152">
        <f>MAX(BM152:BO152)</f>
        <v>0</v>
      </c>
      <c r="BS152">
        <f>IF(ISNUMBER(Y152),INDEX(AllCollegeChicago, MATCH(N152,AllCollegeNCES,0))*AY152,0)</f>
        <v>0</v>
      </c>
      <c r="BT152">
        <f>IF(ISNUMBER(Y152),INDEX(AllCollegeMoneyCode, MATCH(N152,AllCollegeNCES,0)),"?")</f>
        <v>0</v>
      </c>
      <c r="BU152">
        <f>IF(OR(BT152="---",BT152="--",BT152="+/--",BT152="+/---"),1,0)</f>
        <v>0</v>
      </c>
      <c r="BV152">
        <f>AY152*AO152*AQ152</f>
        <v>0</v>
      </c>
    </row>
    <row r="153" spans="1:74">
      <c r="A153" t="s">
        <v>86</v>
      </c>
      <c r="B153">
        <v>22540938</v>
      </c>
      <c r="C153" t="s">
        <v>317</v>
      </c>
      <c r="D153" t="s">
        <v>318</v>
      </c>
      <c r="E153" t="s">
        <v>428</v>
      </c>
      <c r="F153" t="s">
        <v>485</v>
      </c>
      <c r="G153" t="s">
        <v>430</v>
      </c>
      <c r="H153" t="s">
        <v>431</v>
      </c>
      <c r="I153" t="s">
        <v>432</v>
      </c>
      <c r="J153" t="s">
        <v>432</v>
      </c>
      <c r="K153">
        <v>0</v>
      </c>
      <c r="L153" t="s">
        <v>428</v>
      </c>
      <c r="M153" t="s">
        <v>428</v>
      </c>
      <c r="N153">
        <v>170082</v>
      </c>
      <c r="O153">
        <f>INDEX(AllCollegeBarrons,MATCH(N153,AllCollegeNCES,0))</f>
        <v>0</v>
      </c>
      <c r="P153">
        <f>INDEX(KidGPAs,MATCH(B153,KidIDs,0))</f>
        <v>0</v>
      </c>
      <c r="Q153">
        <f>INDEX(KidACTs,MATCH(B153,KidIDs,0))</f>
        <v>0</v>
      </c>
      <c r="R153">
        <f>INDEX(Strats,MATCH(B153,KidIDs,0))</f>
        <v>0</v>
      </c>
      <c r="S153">
        <f>INDEX(KidRace,MATCH(B153,KidIDs,0))</f>
        <v>0</v>
      </c>
      <c r="T153">
        <f>IF(OR(S153="M",S153="I"),"H",S153)</f>
        <v>0</v>
      </c>
      <c r="U153">
        <f>INDEX(StudentTargets,MATCH(B153,KidIDs,0))</f>
        <v>0</v>
      </c>
      <c r="V153">
        <f>INDEX(ReachStudentTargets,MATCH(B153,KidIDs,0))</f>
        <v>0</v>
      </c>
      <c r="W153">
        <f>IF(OR(M153="Posse"),1,0)</f>
        <v>0</v>
      </c>
      <c r="X153">
        <f>IF(ISNUMBER(INDEX(AllCollegeGR, MATCH(N153,AllCollegeNCES,0))),ROUND(INDEX(AllCollegeGR, MATCH(N153,AllCollegeNCES,0))+W153*IF(INDEX(AllCollegeGR, MATCH(N153,AllCollegeNCES,0))&gt;0.7,(1-INDEX(AllCollegeGR, MATCH(N153,AllCollegeNCES,0)))/2,0.15),2),INDEX(AllCollegeGR, MATCH(N153,AllCollegeNCES,0)))</f>
        <v>0</v>
      </c>
      <c r="Y153">
        <f>IF(ISNUMBER(INDEX(AllCollegeAAHGR, MATCH(N153,AllCollegeNCES,0))),ROUND(INDEX(AllCollegeAAHGR, MATCH(N153,AllCollegeNCES,0))+W153*IF(INDEX(AllCollegeAAHGR, MATCH(N153,AllCollegeNCES,0))&gt;0.7,(1-INDEX(AllCollegeAAHGR, MATCH(N153,AllCollegeNCES,0)))/2,0.15),2),INDEX(AllCollegeAAHGR, MATCH(N153,AllCollegeNCES,0)))</f>
        <v>0</v>
      </c>
      <c r="Z153">
        <f>IF(OR(T153="H",T153="B"),INDEX(AllCollegeACT25, MATCH(N153,AllCollegeNCES,0)),INDEX(AllCollegeACT50, MATCH(N153,AllCollegeNCES,0)))</f>
        <v>0</v>
      </c>
      <c r="AA153">
        <f>INDEX(CustomWeightsGPA,MATCH(T153&amp;":"&amp;N153,CustomWeightsIndex,0))</f>
        <v>0</v>
      </c>
      <c r="AB153">
        <f>INDEX(CustomWeightsACT,MATCH(T153&amp;":"&amp;N153,CustomWeightsIndex,0))</f>
        <v>0</v>
      </c>
      <c r="AC153">
        <f>INDEX(CustomWeightsIntercept,MATCH(T153&amp;":"&amp;N153,CustomWeightsIndex,0))</f>
        <v>0</v>
      </c>
      <c r="AD153">
        <f>AA153*P153+AB153*Q153+AC153</f>
        <v>0</v>
      </c>
      <c r="AE153">
        <f>INDEX(CoefficientsGPA,MATCH(T153&amp;":"&amp;O153,CoefficientsIndex,0))</f>
        <v>0</v>
      </c>
      <c r="AF153">
        <f>INDEX(CoefficientsACT,MATCH(T153&amp;":"&amp;O153,CoefficientsIndex,0))</f>
        <v>0</v>
      </c>
      <c r="AG153">
        <f>INDEX(CoefficientsIntercept,MATCH(T153&amp;":"&amp;O153,CoefficientsIndex,0))</f>
        <v>0</v>
      </c>
      <c r="AH153">
        <f>AE153*P153+(Q153-Z153)*AF153+AG153</f>
        <v>0</v>
      </c>
      <c r="AI153">
        <f>IF(ISNUMBER(AD153),AD153,AH153)</f>
        <v>0</v>
      </c>
      <c r="AJ153">
        <f>IF(ISNUMBER(AI153),IF(ISNUMBER(AE153),IF(AND(AE153=1,AF153=1,AG153=1),100,ROUND(100*EXP(AI153)/(1+EXP(AI153)),2)),ROUND(100*EXP(AI153)/(1+EXP(AI153)),2)),IF(ISTEXT(O153),IF(LEFT(O153,1)="2",100,"N/A"),"N/A"))</f>
        <v>0</v>
      </c>
      <c r="AK153">
        <f>IF(ISNUMBER(AJ153),IF(AJ153&gt;=99,IF(OR(R153=10,R153=11),MatchLabel,SureThingLabel),IF(AJ153&gt;=95,SecureLabel,IF(AJ153&gt;=80,SafetyLabel,IF(AJ153&gt;=50,MatchLabel,IF(AJ153&gt;=20,ReachLabel,IF(AJ153&gt;=10,LongshotLabel,HailMaryLabel)))))),"Other")</f>
        <v>0</v>
      </c>
      <c r="AL153">
        <f>IF(OR(I153="accepted",I153="cond. accept",I153="summer admit"),IF(J153="yes","CHOICE!","Accepted!"),IF(I153="denied","Denied",IF(K153=1,"Waitlist",IF(L153=1,"Deferred",IF(G153="pending","Pending",IF(OR(G153="initial materials submitted",G153="mid-year submitted",G153="final submitted"),"Submitted",IF(H153="interest","Interest","?")))))))</f>
        <v>0</v>
      </c>
      <c r="AM153">
        <f>IF(OR(AK153=ReachLabel,AK153=LongshotLabel,AK153=HailMaryLabel),1,0)</f>
        <v>0</v>
      </c>
      <c r="AN153">
        <f>IF(OR(AM153=1,AK153=MatchLabel),1,0)</f>
        <v>0</v>
      </c>
      <c r="AO153">
        <f>IF(OR(AK153=MatchLabel,AK153=SafetyLabel,AK153=SecureLabel,AK153=SureThingLabel),1,0)</f>
        <v>0</v>
      </c>
      <c r="AP153">
        <f>IF(OR(T153="H",T153="B"),IF(ISNUMBER(Y153),ROUND(Y153,2),0),IF(ISNUMBER(X153),ROUND(X153,2),0))</f>
        <v>0</v>
      </c>
      <c r="AQ153">
        <f>IF(AP153&gt;=U153,1,0)</f>
        <v>0</v>
      </c>
      <c r="AR153">
        <f>IF(AP153&gt;=V153,1,0)</f>
        <v>0</v>
      </c>
      <c r="AS153">
        <f>IF(AP153&lt;(U153-0.10),1,0)</f>
        <v>0</v>
      </c>
      <c r="AT153">
        <f>1-AJ153/100</f>
        <v>0</v>
      </c>
      <c r="AU153">
        <f>IF(AN153=1,AT153,1)</f>
        <v>0</v>
      </c>
      <c r="AV153">
        <f>IF(AM153=1,AT153,1)</f>
        <v>0</v>
      </c>
      <c r="AW153">
        <f>IF(AND(AQ153=1,ISNUMBER(AT153)),$AT153,1)</f>
        <v>0</v>
      </c>
      <c r="AX153">
        <f>IF(AND(AR153=1,ISNUMBER(AT153)),$AT153,1)</f>
        <v>0</v>
      </c>
      <c r="AY153">
        <f>IF(ISNUMBER(Y153),INDEX(AllCollegeMoney, MATCH(N153,AllCollegeNCES,0)),0)</f>
        <v>0</v>
      </c>
      <c r="AZ153">
        <f>IF(AND(AQ153=1,ISNUMBER(AT153),AY153=1),$AT153,1)</f>
        <v>0</v>
      </c>
      <c r="BA153">
        <f>IF(AND(AR153=1,ISNUMBER(AT153),AY153=1),$AT153,1)</f>
        <v>0</v>
      </c>
      <c r="BB153">
        <f>IF(ISNUMBER(Y153),INDEX(AllCollegeILPub, MATCH(N153,AllCollegeNCES,0)),0)</f>
        <v>0</v>
      </c>
      <c r="BC153">
        <f>IF(AK153=ReachLabel,AP153,0)</f>
        <v>0</v>
      </c>
      <c r="BD153">
        <f>IF(AK153=MatchLabel,AP153,0)</f>
        <v>0</v>
      </c>
      <c r="BE153">
        <f>IF(AK153=SafetyLabel,AP153,0)</f>
        <v>0</v>
      </c>
      <c r="BF153">
        <f>IF(AK153=SecureLabel,AP153,0)</f>
        <v>0</v>
      </c>
      <c r="BG153">
        <f>IF(AK153=SureThingLabel,AP153,0)</f>
        <v>0</v>
      </c>
      <c r="BH153">
        <f>MAX(BC153:BG153)</f>
        <v>0</v>
      </c>
      <c r="BI153">
        <f>MAX(BD153:BG153)</f>
        <v>0</v>
      </c>
      <c r="BJ153">
        <f>MAX(BE153:BG153)</f>
        <v>0</v>
      </c>
      <c r="BK153">
        <f>IF(AND(AK153=ReachLabel,AY153=1),AP153,0)</f>
        <v>0</v>
      </c>
      <c r="BL153">
        <f>IF(AND(AK153=MatchLabel,AY153=1),AP153,0)</f>
        <v>0</v>
      </c>
      <c r="BM153">
        <f>IF(AND(AK153=SafetyLabel,AY153=1),AP153,0)</f>
        <v>0</v>
      </c>
      <c r="BN153">
        <f>IF(AND(AK153=SecureLabel,AY153=1),AP153,0)</f>
        <v>0</v>
      </c>
      <c r="BO153">
        <f>IF(AND(AK153=SureThingLabel,AY153=1),AP153,0)</f>
        <v>0</v>
      </c>
      <c r="BP153">
        <f>MAX(BK153:BO153)</f>
        <v>0</v>
      </c>
      <c r="BQ153">
        <f>MAX(BL153:BO153)</f>
        <v>0</v>
      </c>
      <c r="BR153">
        <f>MAX(BM153:BO153)</f>
        <v>0</v>
      </c>
      <c r="BS153">
        <f>IF(ISNUMBER(Y153),INDEX(AllCollegeChicago, MATCH(N153,AllCollegeNCES,0))*AY153,0)</f>
        <v>0</v>
      </c>
      <c r="BT153">
        <f>IF(ISNUMBER(Y153),INDEX(AllCollegeMoneyCode, MATCH(N153,AllCollegeNCES,0)),"?")</f>
        <v>0</v>
      </c>
      <c r="BU153">
        <f>IF(OR(BT153="---",BT153="--",BT153="+/--",BT153="+/---"),1,0)</f>
        <v>0</v>
      </c>
      <c r="BV153">
        <f>AY153*AO153*AQ153</f>
        <v>0</v>
      </c>
    </row>
    <row r="154" spans="1:74">
      <c r="A154" t="s">
        <v>86</v>
      </c>
      <c r="B154">
        <v>22540938</v>
      </c>
      <c r="C154" t="s">
        <v>317</v>
      </c>
      <c r="D154" t="s">
        <v>318</v>
      </c>
      <c r="E154" t="s">
        <v>428</v>
      </c>
      <c r="F154" t="s">
        <v>502</v>
      </c>
      <c r="G154" t="s">
        <v>430</v>
      </c>
      <c r="H154" t="s">
        <v>431</v>
      </c>
      <c r="I154" t="s">
        <v>432</v>
      </c>
      <c r="J154" t="s">
        <v>432</v>
      </c>
      <c r="K154">
        <v>0</v>
      </c>
      <c r="L154" t="s">
        <v>428</v>
      </c>
      <c r="M154" t="s">
        <v>428</v>
      </c>
      <c r="N154">
        <v>145813</v>
      </c>
      <c r="O154">
        <f>INDEX(AllCollegeBarrons,MATCH(N154,AllCollegeNCES,0))</f>
        <v>0</v>
      </c>
      <c r="P154">
        <f>INDEX(KidGPAs,MATCH(B154,KidIDs,0))</f>
        <v>0</v>
      </c>
      <c r="Q154">
        <f>INDEX(KidACTs,MATCH(B154,KidIDs,0))</f>
        <v>0</v>
      </c>
      <c r="R154">
        <f>INDEX(Strats,MATCH(B154,KidIDs,0))</f>
        <v>0</v>
      </c>
      <c r="S154">
        <f>INDEX(KidRace,MATCH(B154,KidIDs,0))</f>
        <v>0</v>
      </c>
      <c r="T154">
        <f>IF(OR(S154="M",S154="I"),"H",S154)</f>
        <v>0</v>
      </c>
      <c r="U154">
        <f>INDEX(StudentTargets,MATCH(B154,KidIDs,0))</f>
        <v>0</v>
      </c>
      <c r="V154">
        <f>INDEX(ReachStudentTargets,MATCH(B154,KidIDs,0))</f>
        <v>0</v>
      </c>
      <c r="W154">
        <f>IF(OR(M154="Posse"),1,0)</f>
        <v>0</v>
      </c>
      <c r="X154">
        <f>IF(ISNUMBER(INDEX(AllCollegeGR, MATCH(N154,AllCollegeNCES,0))),ROUND(INDEX(AllCollegeGR, MATCH(N154,AllCollegeNCES,0))+W154*IF(INDEX(AllCollegeGR, MATCH(N154,AllCollegeNCES,0))&gt;0.7,(1-INDEX(AllCollegeGR, MATCH(N154,AllCollegeNCES,0)))/2,0.15),2),INDEX(AllCollegeGR, MATCH(N154,AllCollegeNCES,0)))</f>
        <v>0</v>
      </c>
      <c r="Y154">
        <f>IF(ISNUMBER(INDEX(AllCollegeAAHGR, MATCH(N154,AllCollegeNCES,0))),ROUND(INDEX(AllCollegeAAHGR, MATCH(N154,AllCollegeNCES,0))+W154*IF(INDEX(AllCollegeAAHGR, MATCH(N154,AllCollegeNCES,0))&gt;0.7,(1-INDEX(AllCollegeAAHGR, MATCH(N154,AllCollegeNCES,0)))/2,0.15),2),INDEX(AllCollegeAAHGR, MATCH(N154,AllCollegeNCES,0)))</f>
        <v>0</v>
      </c>
      <c r="Z154">
        <f>IF(OR(T154="H",T154="B"),INDEX(AllCollegeACT25, MATCH(N154,AllCollegeNCES,0)),INDEX(AllCollegeACT50, MATCH(N154,AllCollegeNCES,0)))</f>
        <v>0</v>
      </c>
      <c r="AA154">
        <f>INDEX(CustomWeightsGPA,MATCH(T154&amp;":"&amp;N154,CustomWeightsIndex,0))</f>
        <v>0</v>
      </c>
      <c r="AB154">
        <f>INDEX(CustomWeightsACT,MATCH(T154&amp;":"&amp;N154,CustomWeightsIndex,0))</f>
        <v>0</v>
      </c>
      <c r="AC154">
        <f>INDEX(CustomWeightsIntercept,MATCH(T154&amp;":"&amp;N154,CustomWeightsIndex,0))</f>
        <v>0</v>
      </c>
      <c r="AD154">
        <f>AA154*P154+AB154*Q154+AC154</f>
        <v>0</v>
      </c>
      <c r="AE154">
        <f>INDEX(CoefficientsGPA,MATCH(T154&amp;":"&amp;O154,CoefficientsIndex,0))</f>
        <v>0</v>
      </c>
      <c r="AF154">
        <f>INDEX(CoefficientsACT,MATCH(T154&amp;":"&amp;O154,CoefficientsIndex,0))</f>
        <v>0</v>
      </c>
      <c r="AG154">
        <f>INDEX(CoefficientsIntercept,MATCH(T154&amp;":"&amp;O154,CoefficientsIndex,0))</f>
        <v>0</v>
      </c>
      <c r="AH154">
        <f>AE154*P154+(Q154-Z154)*AF154+AG154</f>
        <v>0</v>
      </c>
      <c r="AI154">
        <f>IF(ISNUMBER(AD154),AD154,AH154)</f>
        <v>0</v>
      </c>
      <c r="AJ154">
        <f>IF(ISNUMBER(AI154),IF(ISNUMBER(AE154),IF(AND(AE154=1,AF154=1,AG154=1),100,ROUND(100*EXP(AI154)/(1+EXP(AI154)),2)),ROUND(100*EXP(AI154)/(1+EXP(AI154)),2)),IF(ISTEXT(O154),IF(LEFT(O154,1)="2",100,"N/A"),"N/A"))</f>
        <v>0</v>
      </c>
      <c r="AK154">
        <f>IF(ISNUMBER(AJ154),IF(AJ154&gt;=99,IF(OR(R154=10,R154=11),MatchLabel,SureThingLabel),IF(AJ154&gt;=95,SecureLabel,IF(AJ154&gt;=80,SafetyLabel,IF(AJ154&gt;=50,MatchLabel,IF(AJ154&gt;=20,ReachLabel,IF(AJ154&gt;=10,LongshotLabel,HailMaryLabel)))))),"Other")</f>
        <v>0</v>
      </c>
      <c r="AL154">
        <f>IF(OR(I154="accepted",I154="cond. accept",I154="summer admit"),IF(J154="yes","CHOICE!","Accepted!"),IF(I154="denied","Denied",IF(K154=1,"Waitlist",IF(L154=1,"Deferred",IF(G154="pending","Pending",IF(OR(G154="initial materials submitted",G154="mid-year submitted",G154="final submitted"),"Submitted",IF(H154="interest","Interest","?")))))))</f>
        <v>0</v>
      </c>
      <c r="AM154">
        <f>IF(OR(AK154=ReachLabel,AK154=LongshotLabel,AK154=HailMaryLabel),1,0)</f>
        <v>0</v>
      </c>
      <c r="AN154">
        <f>IF(OR(AM154=1,AK154=MatchLabel),1,0)</f>
        <v>0</v>
      </c>
      <c r="AO154">
        <f>IF(OR(AK154=MatchLabel,AK154=SafetyLabel,AK154=SecureLabel,AK154=SureThingLabel),1,0)</f>
        <v>0</v>
      </c>
      <c r="AP154">
        <f>IF(OR(T154="H",T154="B"),IF(ISNUMBER(Y154),ROUND(Y154,2),0),IF(ISNUMBER(X154),ROUND(X154,2),0))</f>
        <v>0</v>
      </c>
      <c r="AQ154">
        <f>IF(AP154&gt;=U154,1,0)</f>
        <v>0</v>
      </c>
      <c r="AR154">
        <f>IF(AP154&gt;=V154,1,0)</f>
        <v>0</v>
      </c>
      <c r="AS154">
        <f>IF(AP154&lt;(U154-0.10),1,0)</f>
        <v>0</v>
      </c>
      <c r="AT154">
        <f>1-AJ154/100</f>
        <v>0</v>
      </c>
      <c r="AU154">
        <f>IF(AN154=1,AT154,1)</f>
        <v>0</v>
      </c>
      <c r="AV154">
        <f>IF(AM154=1,AT154,1)</f>
        <v>0</v>
      </c>
      <c r="AW154">
        <f>IF(AND(AQ154=1,ISNUMBER(AT154)),$AT154,1)</f>
        <v>0</v>
      </c>
      <c r="AX154">
        <f>IF(AND(AR154=1,ISNUMBER(AT154)),$AT154,1)</f>
        <v>0</v>
      </c>
      <c r="AY154">
        <f>IF(ISNUMBER(Y154),INDEX(AllCollegeMoney, MATCH(N154,AllCollegeNCES,0)),0)</f>
        <v>0</v>
      </c>
      <c r="AZ154">
        <f>IF(AND(AQ154=1,ISNUMBER(AT154),AY154=1),$AT154,1)</f>
        <v>0</v>
      </c>
      <c r="BA154">
        <f>IF(AND(AR154=1,ISNUMBER(AT154),AY154=1),$AT154,1)</f>
        <v>0</v>
      </c>
      <c r="BB154">
        <f>IF(ISNUMBER(Y154),INDEX(AllCollegeILPub, MATCH(N154,AllCollegeNCES,0)),0)</f>
        <v>0</v>
      </c>
      <c r="BC154">
        <f>IF(AK154=ReachLabel,AP154,0)</f>
        <v>0</v>
      </c>
      <c r="BD154">
        <f>IF(AK154=MatchLabel,AP154,0)</f>
        <v>0</v>
      </c>
      <c r="BE154">
        <f>IF(AK154=SafetyLabel,AP154,0)</f>
        <v>0</v>
      </c>
      <c r="BF154">
        <f>IF(AK154=SecureLabel,AP154,0)</f>
        <v>0</v>
      </c>
      <c r="BG154">
        <f>IF(AK154=SureThingLabel,AP154,0)</f>
        <v>0</v>
      </c>
      <c r="BH154">
        <f>MAX(BC154:BG154)</f>
        <v>0</v>
      </c>
      <c r="BI154">
        <f>MAX(BD154:BG154)</f>
        <v>0</v>
      </c>
      <c r="BJ154">
        <f>MAX(BE154:BG154)</f>
        <v>0</v>
      </c>
      <c r="BK154">
        <f>IF(AND(AK154=ReachLabel,AY154=1),AP154,0)</f>
        <v>0</v>
      </c>
      <c r="BL154">
        <f>IF(AND(AK154=MatchLabel,AY154=1),AP154,0)</f>
        <v>0</v>
      </c>
      <c r="BM154">
        <f>IF(AND(AK154=SafetyLabel,AY154=1),AP154,0)</f>
        <v>0</v>
      </c>
      <c r="BN154">
        <f>IF(AND(AK154=SecureLabel,AY154=1),AP154,0)</f>
        <v>0</v>
      </c>
      <c r="BO154">
        <f>IF(AND(AK154=SureThingLabel,AY154=1),AP154,0)</f>
        <v>0</v>
      </c>
      <c r="BP154">
        <f>MAX(BK154:BO154)</f>
        <v>0</v>
      </c>
      <c r="BQ154">
        <f>MAX(BL154:BO154)</f>
        <v>0</v>
      </c>
      <c r="BR154">
        <f>MAX(BM154:BO154)</f>
        <v>0</v>
      </c>
      <c r="BS154">
        <f>IF(ISNUMBER(Y154),INDEX(AllCollegeChicago, MATCH(N154,AllCollegeNCES,0))*AY154,0)</f>
        <v>0</v>
      </c>
      <c r="BT154">
        <f>IF(ISNUMBER(Y154),INDEX(AllCollegeMoneyCode, MATCH(N154,AllCollegeNCES,0)),"?")</f>
        <v>0</v>
      </c>
      <c r="BU154">
        <f>IF(OR(BT154="---",BT154="--",BT154="+/--",BT154="+/---"),1,0)</f>
        <v>0</v>
      </c>
      <c r="BV154">
        <f>AY154*AO154*AQ154</f>
        <v>0</v>
      </c>
    </row>
    <row r="155" spans="1:74">
      <c r="A155" t="s">
        <v>86</v>
      </c>
      <c r="B155">
        <v>22573216</v>
      </c>
      <c r="C155" t="s">
        <v>89</v>
      </c>
      <c r="D155" t="s">
        <v>90</v>
      </c>
      <c r="E155" t="s">
        <v>428</v>
      </c>
      <c r="F155" t="s">
        <v>503</v>
      </c>
      <c r="G155" t="s">
        <v>430</v>
      </c>
      <c r="H155" t="s">
        <v>431</v>
      </c>
      <c r="I155" t="s">
        <v>432</v>
      </c>
      <c r="J155" t="s">
        <v>432</v>
      </c>
      <c r="K155">
        <v>0</v>
      </c>
      <c r="L155" t="s">
        <v>428</v>
      </c>
      <c r="M155" t="s">
        <v>428</v>
      </c>
      <c r="N155">
        <v>121345</v>
      </c>
      <c r="O155">
        <f>INDEX(AllCollegeBarrons,MATCH(N155,AllCollegeNCES,0))</f>
        <v>0</v>
      </c>
      <c r="P155">
        <f>INDEX(KidGPAs,MATCH(B155,KidIDs,0))</f>
        <v>0</v>
      </c>
      <c r="Q155">
        <f>INDEX(KidACTs,MATCH(B155,KidIDs,0))</f>
        <v>0</v>
      </c>
      <c r="R155">
        <f>INDEX(Strats,MATCH(B155,KidIDs,0))</f>
        <v>0</v>
      </c>
      <c r="S155">
        <f>INDEX(KidRace,MATCH(B155,KidIDs,0))</f>
        <v>0</v>
      </c>
      <c r="T155">
        <f>IF(OR(S155="M",S155="I"),"H",S155)</f>
        <v>0</v>
      </c>
      <c r="U155">
        <f>INDEX(StudentTargets,MATCH(B155,KidIDs,0))</f>
        <v>0</v>
      </c>
      <c r="V155">
        <f>INDEX(ReachStudentTargets,MATCH(B155,KidIDs,0))</f>
        <v>0</v>
      </c>
      <c r="W155">
        <f>IF(OR(M155="Posse"),1,0)</f>
        <v>0</v>
      </c>
      <c r="X155">
        <f>IF(ISNUMBER(INDEX(AllCollegeGR, MATCH(N155,AllCollegeNCES,0))),ROUND(INDEX(AllCollegeGR, MATCH(N155,AllCollegeNCES,0))+W155*IF(INDEX(AllCollegeGR, MATCH(N155,AllCollegeNCES,0))&gt;0.7,(1-INDEX(AllCollegeGR, MATCH(N155,AllCollegeNCES,0)))/2,0.15),2),INDEX(AllCollegeGR, MATCH(N155,AllCollegeNCES,0)))</f>
        <v>0</v>
      </c>
      <c r="Y155">
        <f>IF(ISNUMBER(INDEX(AllCollegeAAHGR, MATCH(N155,AllCollegeNCES,0))),ROUND(INDEX(AllCollegeAAHGR, MATCH(N155,AllCollegeNCES,0))+W155*IF(INDEX(AllCollegeAAHGR, MATCH(N155,AllCollegeNCES,0))&gt;0.7,(1-INDEX(AllCollegeAAHGR, MATCH(N155,AllCollegeNCES,0)))/2,0.15),2),INDEX(AllCollegeAAHGR, MATCH(N155,AllCollegeNCES,0)))</f>
        <v>0</v>
      </c>
      <c r="Z155">
        <f>IF(OR(T155="H",T155="B"),INDEX(AllCollegeACT25, MATCH(N155,AllCollegeNCES,0)),INDEX(AllCollegeACT50, MATCH(N155,AllCollegeNCES,0)))</f>
        <v>0</v>
      </c>
      <c r="AA155">
        <f>INDEX(CustomWeightsGPA,MATCH(T155&amp;":"&amp;N155,CustomWeightsIndex,0))</f>
        <v>0</v>
      </c>
      <c r="AB155">
        <f>INDEX(CustomWeightsACT,MATCH(T155&amp;":"&amp;N155,CustomWeightsIndex,0))</f>
        <v>0</v>
      </c>
      <c r="AC155">
        <f>INDEX(CustomWeightsIntercept,MATCH(T155&amp;":"&amp;N155,CustomWeightsIndex,0))</f>
        <v>0</v>
      </c>
      <c r="AD155">
        <f>AA155*P155+AB155*Q155+AC155</f>
        <v>0</v>
      </c>
      <c r="AE155">
        <f>INDEX(CoefficientsGPA,MATCH(T155&amp;":"&amp;O155,CoefficientsIndex,0))</f>
        <v>0</v>
      </c>
      <c r="AF155">
        <f>INDEX(CoefficientsACT,MATCH(T155&amp;":"&amp;O155,CoefficientsIndex,0))</f>
        <v>0</v>
      </c>
      <c r="AG155">
        <f>INDEX(CoefficientsIntercept,MATCH(T155&amp;":"&amp;O155,CoefficientsIndex,0))</f>
        <v>0</v>
      </c>
      <c r="AH155">
        <f>AE155*P155+(Q155-Z155)*AF155+AG155</f>
        <v>0</v>
      </c>
      <c r="AI155">
        <f>IF(ISNUMBER(AD155),AD155,AH155)</f>
        <v>0</v>
      </c>
      <c r="AJ155">
        <f>IF(ISNUMBER(AI155),IF(ISNUMBER(AE155),IF(AND(AE155=1,AF155=1,AG155=1),100,ROUND(100*EXP(AI155)/(1+EXP(AI155)),2)),ROUND(100*EXP(AI155)/(1+EXP(AI155)),2)),IF(ISTEXT(O155),IF(LEFT(O155,1)="2",100,"N/A"),"N/A"))</f>
        <v>0</v>
      </c>
      <c r="AK155">
        <f>IF(ISNUMBER(AJ155),IF(AJ155&gt;=99,IF(OR(R155=10,R155=11),MatchLabel,SureThingLabel),IF(AJ155&gt;=95,SecureLabel,IF(AJ155&gt;=80,SafetyLabel,IF(AJ155&gt;=50,MatchLabel,IF(AJ155&gt;=20,ReachLabel,IF(AJ155&gt;=10,LongshotLabel,HailMaryLabel)))))),"Other")</f>
        <v>0</v>
      </c>
      <c r="AL155">
        <f>IF(OR(I155="accepted",I155="cond. accept",I155="summer admit"),IF(J155="yes","CHOICE!","Accepted!"),IF(I155="denied","Denied",IF(K155=1,"Waitlist",IF(L155=1,"Deferred",IF(G155="pending","Pending",IF(OR(G155="initial materials submitted",G155="mid-year submitted",G155="final submitted"),"Submitted",IF(H155="interest","Interest","?")))))))</f>
        <v>0</v>
      </c>
      <c r="AM155">
        <f>IF(OR(AK155=ReachLabel,AK155=LongshotLabel,AK155=HailMaryLabel),1,0)</f>
        <v>0</v>
      </c>
      <c r="AN155">
        <f>IF(OR(AM155=1,AK155=MatchLabel),1,0)</f>
        <v>0</v>
      </c>
      <c r="AO155">
        <f>IF(OR(AK155=MatchLabel,AK155=SafetyLabel,AK155=SecureLabel,AK155=SureThingLabel),1,0)</f>
        <v>0</v>
      </c>
      <c r="AP155">
        <f>IF(OR(T155="H",T155="B"),IF(ISNUMBER(Y155),ROUND(Y155,2),0),IF(ISNUMBER(X155),ROUND(X155,2),0))</f>
        <v>0</v>
      </c>
      <c r="AQ155">
        <f>IF(AP155&gt;=U155,1,0)</f>
        <v>0</v>
      </c>
      <c r="AR155">
        <f>IF(AP155&gt;=V155,1,0)</f>
        <v>0</v>
      </c>
      <c r="AS155">
        <f>IF(AP155&lt;(U155-0.10),1,0)</f>
        <v>0</v>
      </c>
      <c r="AT155">
        <f>1-AJ155/100</f>
        <v>0</v>
      </c>
      <c r="AU155">
        <f>IF(AN155=1,AT155,1)</f>
        <v>0</v>
      </c>
      <c r="AV155">
        <f>IF(AM155=1,AT155,1)</f>
        <v>0</v>
      </c>
      <c r="AW155">
        <f>IF(AND(AQ155=1,ISNUMBER(AT155)),$AT155,1)</f>
        <v>0</v>
      </c>
      <c r="AX155">
        <f>IF(AND(AR155=1,ISNUMBER(AT155)),$AT155,1)</f>
        <v>0</v>
      </c>
      <c r="AY155">
        <f>IF(ISNUMBER(Y155),INDEX(AllCollegeMoney, MATCH(N155,AllCollegeNCES,0)),0)</f>
        <v>0</v>
      </c>
      <c r="AZ155">
        <f>IF(AND(AQ155=1,ISNUMBER(AT155),AY155=1),$AT155,1)</f>
        <v>0</v>
      </c>
      <c r="BA155">
        <f>IF(AND(AR155=1,ISNUMBER(AT155),AY155=1),$AT155,1)</f>
        <v>0</v>
      </c>
      <c r="BB155">
        <f>IF(ISNUMBER(Y155),INDEX(AllCollegeILPub, MATCH(N155,AllCollegeNCES,0)),0)</f>
        <v>0</v>
      </c>
      <c r="BC155">
        <f>IF(AK155=ReachLabel,AP155,0)</f>
        <v>0</v>
      </c>
      <c r="BD155">
        <f>IF(AK155=MatchLabel,AP155,0)</f>
        <v>0</v>
      </c>
      <c r="BE155">
        <f>IF(AK155=SafetyLabel,AP155,0)</f>
        <v>0</v>
      </c>
      <c r="BF155">
        <f>IF(AK155=SecureLabel,AP155,0)</f>
        <v>0</v>
      </c>
      <c r="BG155">
        <f>IF(AK155=SureThingLabel,AP155,0)</f>
        <v>0</v>
      </c>
      <c r="BH155">
        <f>MAX(BC155:BG155)</f>
        <v>0</v>
      </c>
      <c r="BI155">
        <f>MAX(BD155:BG155)</f>
        <v>0</v>
      </c>
      <c r="BJ155">
        <f>MAX(BE155:BG155)</f>
        <v>0</v>
      </c>
      <c r="BK155">
        <f>IF(AND(AK155=ReachLabel,AY155=1),AP155,0)</f>
        <v>0</v>
      </c>
      <c r="BL155">
        <f>IF(AND(AK155=MatchLabel,AY155=1),AP155,0)</f>
        <v>0</v>
      </c>
      <c r="BM155">
        <f>IF(AND(AK155=SafetyLabel,AY155=1),AP155,0)</f>
        <v>0</v>
      </c>
      <c r="BN155">
        <f>IF(AND(AK155=SecureLabel,AY155=1),AP155,0)</f>
        <v>0</v>
      </c>
      <c r="BO155">
        <f>IF(AND(AK155=SureThingLabel,AY155=1),AP155,0)</f>
        <v>0</v>
      </c>
      <c r="BP155">
        <f>MAX(BK155:BO155)</f>
        <v>0</v>
      </c>
      <c r="BQ155">
        <f>MAX(BL155:BO155)</f>
        <v>0</v>
      </c>
      <c r="BR155">
        <f>MAX(BM155:BO155)</f>
        <v>0</v>
      </c>
      <c r="BS155">
        <f>IF(ISNUMBER(Y155),INDEX(AllCollegeChicago, MATCH(N155,AllCollegeNCES,0))*AY155,0)</f>
        <v>0</v>
      </c>
      <c r="BT155">
        <f>IF(ISNUMBER(Y155),INDEX(AllCollegeMoneyCode, MATCH(N155,AllCollegeNCES,0)),"?")</f>
        <v>0</v>
      </c>
      <c r="BU155">
        <f>IF(OR(BT155="---",BT155="--",BT155="+/--",BT155="+/---"),1,0)</f>
        <v>0</v>
      </c>
      <c r="BV155">
        <f>AY155*AO155*AQ155</f>
        <v>0</v>
      </c>
    </row>
    <row r="156" spans="1:74">
      <c r="A156" t="s">
        <v>86</v>
      </c>
      <c r="B156">
        <v>22573216</v>
      </c>
      <c r="C156" t="s">
        <v>89</v>
      </c>
      <c r="D156" t="s">
        <v>90</v>
      </c>
      <c r="E156" t="s">
        <v>428</v>
      </c>
      <c r="F156" t="s">
        <v>504</v>
      </c>
      <c r="G156" t="s">
        <v>430</v>
      </c>
      <c r="H156" t="s">
        <v>431</v>
      </c>
      <c r="I156" t="s">
        <v>432</v>
      </c>
      <c r="J156" t="s">
        <v>432</v>
      </c>
      <c r="K156">
        <v>0</v>
      </c>
      <c r="L156" t="s">
        <v>428</v>
      </c>
      <c r="M156" t="s">
        <v>428</v>
      </c>
      <c r="N156">
        <v>243744</v>
      </c>
      <c r="O156">
        <f>INDEX(AllCollegeBarrons,MATCH(N156,AllCollegeNCES,0))</f>
        <v>0</v>
      </c>
      <c r="P156">
        <f>INDEX(KidGPAs,MATCH(B156,KidIDs,0))</f>
        <v>0</v>
      </c>
      <c r="Q156">
        <f>INDEX(KidACTs,MATCH(B156,KidIDs,0))</f>
        <v>0</v>
      </c>
      <c r="R156">
        <f>INDEX(Strats,MATCH(B156,KidIDs,0))</f>
        <v>0</v>
      </c>
      <c r="S156">
        <f>INDEX(KidRace,MATCH(B156,KidIDs,0))</f>
        <v>0</v>
      </c>
      <c r="T156">
        <f>IF(OR(S156="M",S156="I"),"H",S156)</f>
        <v>0</v>
      </c>
      <c r="U156">
        <f>INDEX(StudentTargets,MATCH(B156,KidIDs,0))</f>
        <v>0</v>
      </c>
      <c r="V156">
        <f>INDEX(ReachStudentTargets,MATCH(B156,KidIDs,0))</f>
        <v>0</v>
      </c>
      <c r="W156">
        <f>IF(OR(M156="Posse"),1,0)</f>
        <v>0</v>
      </c>
      <c r="X156">
        <f>IF(ISNUMBER(INDEX(AllCollegeGR, MATCH(N156,AllCollegeNCES,0))),ROUND(INDEX(AllCollegeGR, MATCH(N156,AllCollegeNCES,0))+W156*IF(INDEX(AllCollegeGR, MATCH(N156,AllCollegeNCES,0))&gt;0.7,(1-INDEX(AllCollegeGR, MATCH(N156,AllCollegeNCES,0)))/2,0.15),2),INDEX(AllCollegeGR, MATCH(N156,AllCollegeNCES,0)))</f>
        <v>0</v>
      </c>
      <c r="Y156">
        <f>IF(ISNUMBER(INDEX(AllCollegeAAHGR, MATCH(N156,AllCollegeNCES,0))),ROUND(INDEX(AllCollegeAAHGR, MATCH(N156,AllCollegeNCES,0))+W156*IF(INDEX(AllCollegeAAHGR, MATCH(N156,AllCollegeNCES,0))&gt;0.7,(1-INDEX(AllCollegeAAHGR, MATCH(N156,AllCollegeNCES,0)))/2,0.15),2),INDEX(AllCollegeAAHGR, MATCH(N156,AllCollegeNCES,0)))</f>
        <v>0</v>
      </c>
      <c r="Z156">
        <f>IF(OR(T156="H",T156="B"),INDEX(AllCollegeACT25, MATCH(N156,AllCollegeNCES,0)),INDEX(AllCollegeACT50, MATCH(N156,AllCollegeNCES,0)))</f>
        <v>0</v>
      </c>
      <c r="AA156">
        <f>INDEX(CustomWeightsGPA,MATCH(T156&amp;":"&amp;N156,CustomWeightsIndex,0))</f>
        <v>0</v>
      </c>
      <c r="AB156">
        <f>INDEX(CustomWeightsACT,MATCH(T156&amp;":"&amp;N156,CustomWeightsIndex,0))</f>
        <v>0</v>
      </c>
      <c r="AC156">
        <f>INDEX(CustomWeightsIntercept,MATCH(T156&amp;":"&amp;N156,CustomWeightsIndex,0))</f>
        <v>0</v>
      </c>
      <c r="AD156">
        <f>AA156*P156+AB156*Q156+AC156</f>
        <v>0</v>
      </c>
      <c r="AE156">
        <f>INDEX(CoefficientsGPA,MATCH(T156&amp;":"&amp;O156,CoefficientsIndex,0))</f>
        <v>0</v>
      </c>
      <c r="AF156">
        <f>INDEX(CoefficientsACT,MATCH(T156&amp;":"&amp;O156,CoefficientsIndex,0))</f>
        <v>0</v>
      </c>
      <c r="AG156">
        <f>INDEX(CoefficientsIntercept,MATCH(T156&amp;":"&amp;O156,CoefficientsIndex,0))</f>
        <v>0</v>
      </c>
      <c r="AH156">
        <f>AE156*P156+(Q156-Z156)*AF156+AG156</f>
        <v>0</v>
      </c>
      <c r="AI156">
        <f>IF(ISNUMBER(AD156),AD156,AH156)</f>
        <v>0</v>
      </c>
      <c r="AJ156">
        <f>IF(ISNUMBER(AI156),IF(ISNUMBER(AE156),IF(AND(AE156=1,AF156=1,AG156=1),100,ROUND(100*EXP(AI156)/(1+EXP(AI156)),2)),ROUND(100*EXP(AI156)/(1+EXP(AI156)),2)),IF(ISTEXT(O156),IF(LEFT(O156,1)="2",100,"N/A"),"N/A"))</f>
        <v>0</v>
      </c>
      <c r="AK156">
        <f>IF(ISNUMBER(AJ156),IF(AJ156&gt;=99,IF(OR(R156=10,R156=11),MatchLabel,SureThingLabel),IF(AJ156&gt;=95,SecureLabel,IF(AJ156&gt;=80,SafetyLabel,IF(AJ156&gt;=50,MatchLabel,IF(AJ156&gt;=20,ReachLabel,IF(AJ156&gt;=10,LongshotLabel,HailMaryLabel)))))),"Other")</f>
        <v>0</v>
      </c>
      <c r="AL156">
        <f>IF(OR(I156="accepted",I156="cond. accept",I156="summer admit"),IF(J156="yes","CHOICE!","Accepted!"),IF(I156="denied","Denied",IF(K156=1,"Waitlist",IF(L156=1,"Deferred",IF(G156="pending","Pending",IF(OR(G156="initial materials submitted",G156="mid-year submitted",G156="final submitted"),"Submitted",IF(H156="interest","Interest","?")))))))</f>
        <v>0</v>
      </c>
      <c r="AM156">
        <f>IF(OR(AK156=ReachLabel,AK156=LongshotLabel,AK156=HailMaryLabel),1,0)</f>
        <v>0</v>
      </c>
      <c r="AN156">
        <f>IF(OR(AM156=1,AK156=MatchLabel),1,0)</f>
        <v>0</v>
      </c>
      <c r="AO156">
        <f>IF(OR(AK156=MatchLabel,AK156=SafetyLabel,AK156=SecureLabel,AK156=SureThingLabel),1,0)</f>
        <v>0</v>
      </c>
      <c r="AP156">
        <f>IF(OR(T156="H",T156="B"),IF(ISNUMBER(Y156),ROUND(Y156,2),0),IF(ISNUMBER(X156),ROUND(X156,2),0))</f>
        <v>0</v>
      </c>
      <c r="AQ156">
        <f>IF(AP156&gt;=U156,1,0)</f>
        <v>0</v>
      </c>
      <c r="AR156">
        <f>IF(AP156&gt;=V156,1,0)</f>
        <v>0</v>
      </c>
      <c r="AS156">
        <f>IF(AP156&lt;(U156-0.10),1,0)</f>
        <v>0</v>
      </c>
      <c r="AT156">
        <f>1-AJ156/100</f>
        <v>0</v>
      </c>
      <c r="AU156">
        <f>IF(AN156=1,AT156,1)</f>
        <v>0</v>
      </c>
      <c r="AV156">
        <f>IF(AM156=1,AT156,1)</f>
        <v>0</v>
      </c>
      <c r="AW156">
        <f>IF(AND(AQ156=1,ISNUMBER(AT156)),$AT156,1)</f>
        <v>0</v>
      </c>
      <c r="AX156">
        <f>IF(AND(AR156=1,ISNUMBER(AT156)),$AT156,1)</f>
        <v>0</v>
      </c>
      <c r="AY156">
        <f>IF(ISNUMBER(Y156),INDEX(AllCollegeMoney, MATCH(N156,AllCollegeNCES,0)),0)</f>
        <v>0</v>
      </c>
      <c r="AZ156">
        <f>IF(AND(AQ156=1,ISNUMBER(AT156),AY156=1),$AT156,1)</f>
        <v>0</v>
      </c>
      <c r="BA156">
        <f>IF(AND(AR156=1,ISNUMBER(AT156),AY156=1),$AT156,1)</f>
        <v>0</v>
      </c>
      <c r="BB156">
        <f>IF(ISNUMBER(Y156),INDEX(AllCollegeILPub, MATCH(N156,AllCollegeNCES,0)),0)</f>
        <v>0</v>
      </c>
      <c r="BC156">
        <f>IF(AK156=ReachLabel,AP156,0)</f>
        <v>0</v>
      </c>
      <c r="BD156">
        <f>IF(AK156=MatchLabel,AP156,0)</f>
        <v>0</v>
      </c>
      <c r="BE156">
        <f>IF(AK156=SafetyLabel,AP156,0)</f>
        <v>0</v>
      </c>
      <c r="BF156">
        <f>IF(AK156=SecureLabel,AP156,0)</f>
        <v>0</v>
      </c>
      <c r="BG156">
        <f>IF(AK156=SureThingLabel,AP156,0)</f>
        <v>0</v>
      </c>
      <c r="BH156">
        <f>MAX(BC156:BG156)</f>
        <v>0</v>
      </c>
      <c r="BI156">
        <f>MAX(BD156:BG156)</f>
        <v>0</v>
      </c>
      <c r="BJ156">
        <f>MAX(BE156:BG156)</f>
        <v>0</v>
      </c>
      <c r="BK156">
        <f>IF(AND(AK156=ReachLabel,AY156=1),AP156,0)</f>
        <v>0</v>
      </c>
      <c r="BL156">
        <f>IF(AND(AK156=MatchLabel,AY156=1),AP156,0)</f>
        <v>0</v>
      </c>
      <c r="BM156">
        <f>IF(AND(AK156=SafetyLabel,AY156=1),AP156,0)</f>
        <v>0</v>
      </c>
      <c r="BN156">
        <f>IF(AND(AK156=SecureLabel,AY156=1),AP156,0)</f>
        <v>0</v>
      </c>
      <c r="BO156">
        <f>IF(AND(AK156=SureThingLabel,AY156=1),AP156,0)</f>
        <v>0</v>
      </c>
      <c r="BP156">
        <f>MAX(BK156:BO156)</f>
        <v>0</v>
      </c>
      <c r="BQ156">
        <f>MAX(BL156:BO156)</f>
        <v>0</v>
      </c>
      <c r="BR156">
        <f>MAX(BM156:BO156)</f>
        <v>0</v>
      </c>
      <c r="BS156">
        <f>IF(ISNUMBER(Y156),INDEX(AllCollegeChicago, MATCH(N156,AllCollegeNCES,0))*AY156,0)</f>
        <v>0</v>
      </c>
      <c r="BT156">
        <f>IF(ISNUMBER(Y156),INDEX(AllCollegeMoneyCode, MATCH(N156,AllCollegeNCES,0)),"?")</f>
        <v>0</v>
      </c>
      <c r="BU156">
        <f>IF(OR(BT156="---",BT156="--",BT156="+/--",BT156="+/---"),1,0)</f>
        <v>0</v>
      </c>
      <c r="BV156">
        <f>AY156*AO156*AQ156</f>
        <v>0</v>
      </c>
    </row>
    <row r="157" spans="1:74">
      <c r="A157" t="s">
        <v>86</v>
      </c>
      <c r="B157">
        <v>22573216</v>
      </c>
      <c r="C157" t="s">
        <v>89</v>
      </c>
      <c r="D157" t="s">
        <v>90</v>
      </c>
      <c r="E157" t="s">
        <v>428</v>
      </c>
      <c r="F157" t="s">
        <v>477</v>
      </c>
      <c r="G157" t="s">
        <v>430</v>
      </c>
      <c r="H157" t="s">
        <v>431</v>
      </c>
      <c r="I157" t="s">
        <v>432</v>
      </c>
      <c r="J157" t="s">
        <v>432</v>
      </c>
      <c r="K157">
        <v>0</v>
      </c>
      <c r="L157" t="s">
        <v>428</v>
      </c>
      <c r="M157" t="s">
        <v>428</v>
      </c>
      <c r="N157">
        <v>147767</v>
      </c>
      <c r="O157">
        <f>INDEX(AllCollegeBarrons,MATCH(N157,AllCollegeNCES,0))</f>
        <v>0</v>
      </c>
      <c r="P157">
        <f>INDEX(KidGPAs,MATCH(B157,KidIDs,0))</f>
        <v>0</v>
      </c>
      <c r="Q157">
        <f>INDEX(KidACTs,MATCH(B157,KidIDs,0))</f>
        <v>0</v>
      </c>
      <c r="R157">
        <f>INDEX(Strats,MATCH(B157,KidIDs,0))</f>
        <v>0</v>
      </c>
      <c r="S157">
        <f>INDEX(KidRace,MATCH(B157,KidIDs,0))</f>
        <v>0</v>
      </c>
      <c r="T157">
        <f>IF(OR(S157="M",S157="I"),"H",S157)</f>
        <v>0</v>
      </c>
      <c r="U157">
        <f>INDEX(StudentTargets,MATCH(B157,KidIDs,0))</f>
        <v>0</v>
      </c>
      <c r="V157">
        <f>INDEX(ReachStudentTargets,MATCH(B157,KidIDs,0))</f>
        <v>0</v>
      </c>
      <c r="W157">
        <f>IF(OR(M157="Posse"),1,0)</f>
        <v>0</v>
      </c>
      <c r="X157">
        <f>IF(ISNUMBER(INDEX(AllCollegeGR, MATCH(N157,AllCollegeNCES,0))),ROUND(INDEX(AllCollegeGR, MATCH(N157,AllCollegeNCES,0))+W157*IF(INDEX(AllCollegeGR, MATCH(N157,AllCollegeNCES,0))&gt;0.7,(1-INDEX(AllCollegeGR, MATCH(N157,AllCollegeNCES,0)))/2,0.15),2),INDEX(AllCollegeGR, MATCH(N157,AllCollegeNCES,0)))</f>
        <v>0</v>
      </c>
      <c r="Y157">
        <f>IF(ISNUMBER(INDEX(AllCollegeAAHGR, MATCH(N157,AllCollegeNCES,0))),ROUND(INDEX(AllCollegeAAHGR, MATCH(N157,AllCollegeNCES,0))+W157*IF(INDEX(AllCollegeAAHGR, MATCH(N157,AllCollegeNCES,0))&gt;0.7,(1-INDEX(AllCollegeAAHGR, MATCH(N157,AllCollegeNCES,0)))/2,0.15),2),INDEX(AllCollegeAAHGR, MATCH(N157,AllCollegeNCES,0)))</f>
        <v>0</v>
      </c>
      <c r="Z157">
        <f>IF(OR(T157="H",T157="B"),INDEX(AllCollegeACT25, MATCH(N157,AllCollegeNCES,0)),INDEX(AllCollegeACT50, MATCH(N157,AllCollegeNCES,0)))</f>
        <v>0</v>
      </c>
      <c r="AA157">
        <f>INDEX(CustomWeightsGPA,MATCH(T157&amp;":"&amp;N157,CustomWeightsIndex,0))</f>
        <v>0</v>
      </c>
      <c r="AB157">
        <f>INDEX(CustomWeightsACT,MATCH(T157&amp;":"&amp;N157,CustomWeightsIndex,0))</f>
        <v>0</v>
      </c>
      <c r="AC157">
        <f>INDEX(CustomWeightsIntercept,MATCH(T157&amp;":"&amp;N157,CustomWeightsIndex,0))</f>
        <v>0</v>
      </c>
      <c r="AD157">
        <f>AA157*P157+AB157*Q157+AC157</f>
        <v>0</v>
      </c>
      <c r="AE157">
        <f>INDEX(CoefficientsGPA,MATCH(T157&amp;":"&amp;O157,CoefficientsIndex,0))</f>
        <v>0</v>
      </c>
      <c r="AF157">
        <f>INDEX(CoefficientsACT,MATCH(T157&amp;":"&amp;O157,CoefficientsIndex,0))</f>
        <v>0</v>
      </c>
      <c r="AG157">
        <f>INDEX(CoefficientsIntercept,MATCH(T157&amp;":"&amp;O157,CoefficientsIndex,0))</f>
        <v>0</v>
      </c>
      <c r="AH157">
        <f>AE157*P157+(Q157-Z157)*AF157+AG157</f>
        <v>0</v>
      </c>
      <c r="AI157">
        <f>IF(ISNUMBER(AD157),AD157,AH157)</f>
        <v>0</v>
      </c>
      <c r="AJ157">
        <f>IF(ISNUMBER(AI157),IF(ISNUMBER(AE157),IF(AND(AE157=1,AF157=1,AG157=1),100,ROUND(100*EXP(AI157)/(1+EXP(AI157)),2)),ROUND(100*EXP(AI157)/(1+EXP(AI157)),2)),IF(ISTEXT(O157),IF(LEFT(O157,1)="2",100,"N/A"),"N/A"))</f>
        <v>0</v>
      </c>
      <c r="AK157">
        <f>IF(ISNUMBER(AJ157),IF(AJ157&gt;=99,IF(OR(R157=10,R157=11),MatchLabel,SureThingLabel),IF(AJ157&gt;=95,SecureLabel,IF(AJ157&gt;=80,SafetyLabel,IF(AJ157&gt;=50,MatchLabel,IF(AJ157&gt;=20,ReachLabel,IF(AJ157&gt;=10,LongshotLabel,HailMaryLabel)))))),"Other")</f>
        <v>0</v>
      </c>
      <c r="AL157">
        <f>IF(OR(I157="accepted",I157="cond. accept",I157="summer admit"),IF(J157="yes","CHOICE!","Accepted!"),IF(I157="denied","Denied",IF(K157=1,"Waitlist",IF(L157=1,"Deferred",IF(G157="pending","Pending",IF(OR(G157="initial materials submitted",G157="mid-year submitted",G157="final submitted"),"Submitted",IF(H157="interest","Interest","?")))))))</f>
        <v>0</v>
      </c>
      <c r="AM157">
        <f>IF(OR(AK157=ReachLabel,AK157=LongshotLabel,AK157=HailMaryLabel),1,0)</f>
        <v>0</v>
      </c>
      <c r="AN157">
        <f>IF(OR(AM157=1,AK157=MatchLabel),1,0)</f>
        <v>0</v>
      </c>
      <c r="AO157">
        <f>IF(OR(AK157=MatchLabel,AK157=SafetyLabel,AK157=SecureLabel,AK157=SureThingLabel),1,0)</f>
        <v>0</v>
      </c>
      <c r="AP157">
        <f>IF(OR(T157="H",T157="B"),IF(ISNUMBER(Y157),ROUND(Y157,2),0),IF(ISNUMBER(X157),ROUND(X157,2),0))</f>
        <v>0</v>
      </c>
      <c r="AQ157">
        <f>IF(AP157&gt;=U157,1,0)</f>
        <v>0</v>
      </c>
      <c r="AR157">
        <f>IF(AP157&gt;=V157,1,0)</f>
        <v>0</v>
      </c>
      <c r="AS157">
        <f>IF(AP157&lt;(U157-0.10),1,0)</f>
        <v>0</v>
      </c>
      <c r="AT157">
        <f>1-AJ157/100</f>
        <v>0</v>
      </c>
      <c r="AU157">
        <f>IF(AN157=1,AT157,1)</f>
        <v>0</v>
      </c>
      <c r="AV157">
        <f>IF(AM157=1,AT157,1)</f>
        <v>0</v>
      </c>
      <c r="AW157">
        <f>IF(AND(AQ157=1,ISNUMBER(AT157)),$AT157,1)</f>
        <v>0</v>
      </c>
      <c r="AX157">
        <f>IF(AND(AR157=1,ISNUMBER(AT157)),$AT157,1)</f>
        <v>0</v>
      </c>
      <c r="AY157">
        <f>IF(ISNUMBER(Y157),INDEX(AllCollegeMoney, MATCH(N157,AllCollegeNCES,0)),0)</f>
        <v>0</v>
      </c>
      <c r="AZ157">
        <f>IF(AND(AQ157=1,ISNUMBER(AT157),AY157=1),$AT157,1)</f>
        <v>0</v>
      </c>
      <c r="BA157">
        <f>IF(AND(AR157=1,ISNUMBER(AT157),AY157=1),$AT157,1)</f>
        <v>0</v>
      </c>
      <c r="BB157">
        <f>IF(ISNUMBER(Y157),INDEX(AllCollegeILPub, MATCH(N157,AllCollegeNCES,0)),0)</f>
        <v>0</v>
      </c>
      <c r="BC157">
        <f>IF(AK157=ReachLabel,AP157,0)</f>
        <v>0</v>
      </c>
      <c r="BD157">
        <f>IF(AK157=MatchLabel,AP157,0)</f>
        <v>0</v>
      </c>
      <c r="BE157">
        <f>IF(AK157=SafetyLabel,AP157,0)</f>
        <v>0</v>
      </c>
      <c r="BF157">
        <f>IF(AK157=SecureLabel,AP157,0)</f>
        <v>0</v>
      </c>
      <c r="BG157">
        <f>IF(AK157=SureThingLabel,AP157,0)</f>
        <v>0</v>
      </c>
      <c r="BH157">
        <f>MAX(BC157:BG157)</f>
        <v>0</v>
      </c>
      <c r="BI157">
        <f>MAX(BD157:BG157)</f>
        <v>0</v>
      </c>
      <c r="BJ157">
        <f>MAX(BE157:BG157)</f>
        <v>0</v>
      </c>
      <c r="BK157">
        <f>IF(AND(AK157=ReachLabel,AY157=1),AP157,0)</f>
        <v>0</v>
      </c>
      <c r="BL157">
        <f>IF(AND(AK157=MatchLabel,AY157=1),AP157,0)</f>
        <v>0</v>
      </c>
      <c r="BM157">
        <f>IF(AND(AK157=SafetyLabel,AY157=1),AP157,0)</f>
        <v>0</v>
      </c>
      <c r="BN157">
        <f>IF(AND(AK157=SecureLabel,AY157=1),AP157,0)</f>
        <v>0</v>
      </c>
      <c r="BO157">
        <f>IF(AND(AK157=SureThingLabel,AY157=1),AP157,0)</f>
        <v>0</v>
      </c>
      <c r="BP157">
        <f>MAX(BK157:BO157)</f>
        <v>0</v>
      </c>
      <c r="BQ157">
        <f>MAX(BL157:BO157)</f>
        <v>0</v>
      </c>
      <c r="BR157">
        <f>MAX(BM157:BO157)</f>
        <v>0</v>
      </c>
      <c r="BS157">
        <f>IF(ISNUMBER(Y157),INDEX(AllCollegeChicago, MATCH(N157,AllCollegeNCES,0))*AY157,0)</f>
        <v>0</v>
      </c>
      <c r="BT157">
        <f>IF(ISNUMBER(Y157),INDEX(AllCollegeMoneyCode, MATCH(N157,AllCollegeNCES,0)),"?")</f>
        <v>0</v>
      </c>
      <c r="BU157">
        <f>IF(OR(BT157="---",BT157="--",BT157="+/--",BT157="+/---"),1,0)</f>
        <v>0</v>
      </c>
      <c r="BV157">
        <f>AY157*AO157*AQ157</f>
        <v>0</v>
      </c>
    </row>
    <row r="158" spans="1:74">
      <c r="A158" t="s">
        <v>86</v>
      </c>
      <c r="B158">
        <v>22573216</v>
      </c>
      <c r="C158" t="s">
        <v>89</v>
      </c>
      <c r="D158" t="s">
        <v>90</v>
      </c>
      <c r="E158" t="s">
        <v>428</v>
      </c>
      <c r="F158" t="s">
        <v>505</v>
      </c>
      <c r="G158" t="s">
        <v>430</v>
      </c>
      <c r="H158" t="s">
        <v>431</v>
      </c>
      <c r="I158" t="s">
        <v>432</v>
      </c>
      <c r="J158" t="s">
        <v>432</v>
      </c>
      <c r="K158">
        <v>0</v>
      </c>
      <c r="L158" t="s">
        <v>428</v>
      </c>
      <c r="M158" t="s">
        <v>428</v>
      </c>
      <c r="N158">
        <v>190415</v>
      </c>
      <c r="O158">
        <f>INDEX(AllCollegeBarrons,MATCH(N158,AllCollegeNCES,0))</f>
        <v>0</v>
      </c>
      <c r="P158">
        <f>INDEX(KidGPAs,MATCH(B158,KidIDs,0))</f>
        <v>0</v>
      </c>
      <c r="Q158">
        <f>INDEX(KidACTs,MATCH(B158,KidIDs,0))</f>
        <v>0</v>
      </c>
      <c r="R158">
        <f>INDEX(Strats,MATCH(B158,KidIDs,0))</f>
        <v>0</v>
      </c>
      <c r="S158">
        <f>INDEX(KidRace,MATCH(B158,KidIDs,0))</f>
        <v>0</v>
      </c>
      <c r="T158">
        <f>IF(OR(S158="M",S158="I"),"H",S158)</f>
        <v>0</v>
      </c>
      <c r="U158">
        <f>INDEX(StudentTargets,MATCH(B158,KidIDs,0))</f>
        <v>0</v>
      </c>
      <c r="V158">
        <f>INDEX(ReachStudentTargets,MATCH(B158,KidIDs,0))</f>
        <v>0</v>
      </c>
      <c r="W158">
        <f>IF(OR(M158="Posse"),1,0)</f>
        <v>0</v>
      </c>
      <c r="X158">
        <f>IF(ISNUMBER(INDEX(AllCollegeGR, MATCH(N158,AllCollegeNCES,0))),ROUND(INDEX(AllCollegeGR, MATCH(N158,AllCollegeNCES,0))+W158*IF(INDEX(AllCollegeGR, MATCH(N158,AllCollegeNCES,0))&gt;0.7,(1-INDEX(AllCollegeGR, MATCH(N158,AllCollegeNCES,0)))/2,0.15),2),INDEX(AllCollegeGR, MATCH(N158,AllCollegeNCES,0)))</f>
        <v>0</v>
      </c>
      <c r="Y158">
        <f>IF(ISNUMBER(INDEX(AllCollegeAAHGR, MATCH(N158,AllCollegeNCES,0))),ROUND(INDEX(AllCollegeAAHGR, MATCH(N158,AllCollegeNCES,0))+W158*IF(INDEX(AllCollegeAAHGR, MATCH(N158,AllCollegeNCES,0))&gt;0.7,(1-INDEX(AllCollegeAAHGR, MATCH(N158,AllCollegeNCES,0)))/2,0.15),2),INDEX(AllCollegeAAHGR, MATCH(N158,AllCollegeNCES,0)))</f>
        <v>0</v>
      </c>
      <c r="Z158">
        <f>IF(OR(T158="H",T158="B"),INDEX(AllCollegeACT25, MATCH(N158,AllCollegeNCES,0)),INDEX(AllCollegeACT50, MATCH(N158,AllCollegeNCES,0)))</f>
        <v>0</v>
      </c>
      <c r="AA158">
        <f>INDEX(CustomWeightsGPA,MATCH(T158&amp;":"&amp;N158,CustomWeightsIndex,0))</f>
        <v>0</v>
      </c>
      <c r="AB158">
        <f>INDEX(CustomWeightsACT,MATCH(T158&amp;":"&amp;N158,CustomWeightsIndex,0))</f>
        <v>0</v>
      </c>
      <c r="AC158">
        <f>INDEX(CustomWeightsIntercept,MATCH(T158&amp;":"&amp;N158,CustomWeightsIndex,0))</f>
        <v>0</v>
      </c>
      <c r="AD158">
        <f>AA158*P158+AB158*Q158+AC158</f>
        <v>0</v>
      </c>
      <c r="AE158">
        <f>INDEX(CoefficientsGPA,MATCH(T158&amp;":"&amp;O158,CoefficientsIndex,0))</f>
        <v>0</v>
      </c>
      <c r="AF158">
        <f>INDEX(CoefficientsACT,MATCH(T158&amp;":"&amp;O158,CoefficientsIndex,0))</f>
        <v>0</v>
      </c>
      <c r="AG158">
        <f>INDEX(CoefficientsIntercept,MATCH(T158&amp;":"&amp;O158,CoefficientsIndex,0))</f>
        <v>0</v>
      </c>
      <c r="AH158">
        <f>AE158*P158+(Q158-Z158)*AF158+AG158</f>
        <v>0</v>
      </c>
      <c r="AI158">
        <f>IF(ISNUMBER(AD158),AD158,AH158)</f>
        <v>0</v>
      </c>
      <c r="AJ158">
        <f>IF(ISNUMBER(AI158),IF(ISNUMBER(AE158),IF(AND(AE158=1,AF158=1,AG158=1),100,ROUND(100*EXP(AI158)/(1+EXP(AI158)),2)),ROUND(100*EXP(AI158)/(1+EXP(AI158)),2)),IF(ISTEXT(O158),IF(LEFT(O158,1)="2",100,"N/A"),"N/A"))</f>
        <v>0</v>
      </c>
      <c r="AK158">
        <f>IF(ISNUMBER(AJ158),IF(AJ158&gt;=99,IF(OR(R158=10,R158=11),MatchLabel,SureThingLabel),IF(AJ158&gt;=95,SecureLabel,IF(AJ158&gt;=80,SafetyLabel,IF(AJ158&gt;=50,MatchLabel,IF(AJ158&gt;=20,ReachLabel,IF(AJ158&gt;=10,LongshotLabel,HailMaryLabel)))))),"Other")</f>
        <v>0</v>
      </c>
      <c r="AL158">
        <f>IF(OR(I158="accepted",I158="cond. accept",I158="summer admit"),IF(J158="yes","CHOICE!","Accepted!"),IF(I158="denied","Denied",IF(K158=1,"Waitlist",IF(L158=1,"Deferred",IF(G158="pending","Pending",IF(OR(G158="initial materials submitted",G158="mid-year submitted",G158="final submitted"),"Submitted",IF(H158="interest","Interest","?")))))))</f>
        <v>0</v>
      </c>
      <c r="AM158">
        <f>IF(OR(AK158=ReachLabel,AK158=LongshotLabel,AK158=HailMaryLabel),1,0)</f>
        <v>0</v>
      </c>
      <c r="AN158">
        <f>IF(OR(AM158=1,AK158=MatchLabel),1,0)</f>
        <v>0</v>
      </c>
      <c r="AO158">
        <f>IF(OR(AK158=MatchLabel,AK158=SafetyLabel,AK158=SecureLabel,AK158=SureThingLabel),1,0)</f>
        <v>0</v>
      </c>
      <c r="AP158">
        <f>IF(OR(T158="H",T158="B"),IF(ISNUMBER(Y158),ROUND(Y158,2),0),IF(ISNUMBER(X158),ROUND(X158,2),0))</f>
        <v>0</v>
      </c>
      <c r="AQ158">
        <f>IF(AP158&gt;=U158,1,0)</f>
        <v>0</v>
      </c>
      <c r="AR158">
        <f>IF(AP158&gt;=V158,1,0)</f>
        <v>0</v>
      </c>
      <c r="AS158">
        <f>IF(AP158&lt;(U158-0.10),1,0)</f>
        <v>0</v>
      </c>
      <c r="AT158">
        <f>1-AJ158/100</f>
        <v>0</v>
      </c>
      <c r="AU158">
        <f>IF(AN158=1,AT158,1)</f>
        <v>0</v>
      </c>
      <c r="AV158">
        <f>IF(AM158=1,AT158,1)</f>
        <v>0</v>
      </c>
      <c r="AW158">
        <f>IF(AND(AQ158=1,ISNUMBER(AT158)),$AT158,1)</f>
        <v>0</v>
      </c>
      <c r="AX158">
        <f>IF(AND(AR158=1,ISNUMBER(AT158)),$AT158,1)</f>
        <v>0</v>
      </c>
      <c r="AY158">
        <f>IF(ISNUMBER(Y158),INDEX(AllCollegeMoney, MATCH(N158,AllCollegeNCES,0)),0)</f>
        <v>0</v>
      </c>
      <c r="AZ158">
        <f>IF(AND(AQ158=1,ISNUMBER(AT158),AY158=1),$AT158,1)</f>
        <v>0</v>
      </c>
      <c r="BA158">
        <f>IF(AND(AR158=1,ISNUMBER(AT158),AY158=1),$AT158,1)</f>
        <v>0</v>
      </c>
      <c r="BB158">
        <f>IF(ISNUMBER(Y158),INDEX(AllCollegeILPub, MATCH(N158,AllCollegeNCES,0)),0)</f>
        <v>0</v>
      </c>
      <c r="BC158">
        <f>IF(AK158=ReachLabel,AP158,0)</f>
        <v>0</v>
      </c>
      <c r="BD158">
        <f>IF(AK158=MatchLabel,AP158,0)</f>
        <v>0</v>
      </c>
      <c r="BE158">
        <f>IF(AK158=SafetyLabel,AP158,0)</f>
        <v>0</v>
      </c>
      <c r="BF158">
        <f>IF(AK158=SecureLabel,AP158,0)</f>
        <v>0</v>
      </c>
      <c r="BG158">
        <f>IF(AK158=SureThingLabel,AP158,0)</f>
        <v>0</v>
      </c>
      <c r="BH158">
        <f>MAX(BC158:BG158)</f>
        <v>0</v>
      </c>
      <c r="BI158">
        <f>MAX(BD158:BG158)</f>
        <v>0</v>
      </c>
      <c r="BJ158">
        <f>MAX(BE158:BG158)</f>
        <v>0</v>
      </c>
      <c r="BK158">
        <f>IF(AND(AK158=ReachLabel,AY158=1),AP158,0)</f>
        <v>0</v>
      </c>
      <c r="BL158">
        <f>IF(AND(AK158=MatchLabel,AY158=1),AP158,0)</f>
        <v>0</v>
      </c>
      <c r="BM158">
        <f>IF(AND(AK158=SafetyLabel,AY158=1),AP158,0)</f>
        <v>0</v>
      </c>
      <c r="BN158">
        <f>IF(AND(AK158=SecureLabel,AY158=1),AP158,0)</f>
        <v>0</v>
      </c>
      <c r="BO158">
        <f>IF(AND(AK158=SureThingLabel,AY158=1),AP158,0)</f>
        <v>0</v>
      </c>
      <c r="BP158">
        <f>MAX(BK158:BO158)</f>
        <v>0</v>
      </c>
      <c r="BQ158">
        <f>MAX(BL158:BO158)</f>
        <v>0</v>
      </c>
      <c r="BR158">
        <f>MAX(BM158:BO158)</f>
        <v>0</v>
      </c>
      <c r="BS158">
        <f>IF(ISNUMBER(Y158),INDEX(AllCollegeChicago, MATCH(N158,AllCollegeNCES,0))*AY158,0)</f>
        <v>0</v>
      </c>
      <c r="BT158">
        <f>IF(ISNUMBER(Y158),INDEX(AllCollegeMoneyCode, MATCH(N158,AllCollegeNCES,0)),"?")</f>
        <v>0</v>
      </c>
      <c r="BU158">
        <f>IF(OR(BT158="---",BT158="--",BT158="+/--",BT158="+/---"),1,0)</f>
        <v>0</v>
      </c>
      <c r="BV158">
        <f>AY158*AO158*AQ158</f>
        <v>0</v>
      </c>
    </row>
    <row r="159" spans="1:74">
      <c r="A159" t="s">
        <v>86</v>
      </c>
      <c r="B159">
        <v>22573216</v>
      </c>
      <c r="C159" t="s">
        <v>89</v>
      </c>
      <c r="D159" t="s">
        <v>90</v>
      </c>
      <c r="E159" t="s">
        <v>428</v>
      </c>
      <c r="F159" t="s">
        <v>480</v>
      </c>
      <c r="G159" t="s">
        <v>430</v>
      </c>
      <c r="H159" t="s">
        <v>431</v>
      </c>
      <c r="I159" t="s">
        <v>432</v>
      </c>
      <c r="J159" t="s">
        <v>432</v>
      </c>
      <c r="K159">
        <v>0</v>
      </c>
      <c r="L159" t="s">
        <v>428</v>
      </c>
      <c r="M159" t="s">
        <v>428</v>
      </c>
      <c r="N159">
        <v>144050</v>
      </c>
      <c r="O159">
        <f>INDEX(AllCollegeBarrons,MATCH(N159,AllCollegeNCES,0))</f>
        <v>0</v>
      </c>
      <c r="P159">
        <f>INDEX(KidGPAs,MATCH(B159,KidIDs,0))</f>
        <v>0</v>
      </c>
      <c r="Q159">
        <f>INDEX(KidACTs,MATCH(B159,KidIDs,0))</f>
        <v>0</v>
      </c>
      <c r="R159">
        <f>INDEX(Strats,MATCH(B159,KidIDs,0))</f>
        <v>0</v>
      </c>
      <c r="S159">
        <f>INDEX(KidRace,MATCH(B159,KidIDs,0))</f>
        <v>0</v>
      </c>
      <c r="T159">
        <f>IF(OR(S159="M",S159="I"),"H",S159)</f>
        <v>0</v>
      </c>
      <c r="U159">
        <f>INDEX(StudentTargets,MATCH(B159,KidIDs,0))</f>
        <v>0</v>
      </c>
      <c r="V159">
        <f>INDEX(ReachStudentTargets,MATCH(B159,KidIDs,0))</f>
        <v>0</v>
      </c>
      <c r="W159">
        <f>IF(OR(M159="Posse"),1,0)</f>
        <v>0</v>
      </c>
      <c r="X159">
        <f>IF(ISNUMBER(INDEX(AllCollegeGR, MATCH(N159,AllCollegeNCES,0))),ROUND(INDEX(AllCollegeGR, MATCH(N159,AllCollegeNCES,0))+W159*IF(INDEX(AllCollegeGR, MATCH(N159,AllCollegeNCES,0))&gt;0.7,(1-INDEX(AllCollegeGR, MATCH(N159,AllCollegeNCES,0)))/2,0.15),2),INDEX(AllCollegeGR, MATCH(N159,AllCollegeNCES,0)))</f>
        <v>0</v>
      </c>
      <c r="Y159">
        <f>IF(ISNUMBER(INDEX(AllCollegeAAHGR, MATCH(N159,AllCollegeNCES,0))),ROUND(INDEX(AllCollegeAAHGR, MATCH(N159,AllCollegeNCES,0))+W159*IF(INDEX(AllCollegeAAHGR, MATCH(N159,AllCollegeNCES,0))&gt;0.7,(1-INDEX(AllCollegeAAHGR, MATCH(N159,AllCollegeNCES,0)))/2,0.15),2),INDEX(AllCollegeAAHGR, MATCH(N159,AllCollegeNCES,0)))</f>
        <v>0</v>
      </c>
      <c r="Z159">
        <f>IF(OR(T159="H",T159="B"),INDEX(AllCollegeACT25, MATCH(N159,AllCollegeNCES,0)),INDEX(AllCollegeACT50, MATCH(N159,AllCollegeNCES,0)))</f>
        <v>0</v>
      </c>
      <c r="AA159">
        <f>INDEX(CustomWeightsGPA,MATCH(T159&amp;":"&amp;N159,CustomWeightsIndex,0))</f>
        <v>0</v>
      </c>
      <c r="AB159">
        <f>INDEX(CustomWeightsACT,MATCH(T159&amp;":"&amp;N159,CustomWeightsIndex,0))</f>
        <v>0</v>
      </c>
      <c r="AC159">
        <f>INDEX(CustomWeightsIntercept,MATCH(T159&amp;":"&amp;N159,CustomWeightsIndex,0))</f>
        <v>0</v>
      </c>
      <c r="AD159">
        <f>AA159*P159+AB159*Q159+AC159</f>
        <v>0</v>
      </c>
      <c r="AE159">
        <f>INDEX(CoefficientsGPA,MATCH(T159&amp;":"&amp;O159,CoefficientsIndex,0))</f>
        <v>0</v>
      </c>
      <c r="AF159">
        <f>INDEX(CoefficientsACT,MATCH(T159&amp;":"&amp;O159,CoefficientsIndex,0))</f>
        <v>0</v>
      </c>
      <c r="AG159">
        <f>INDEX(CoefficientsIntercept,MATCH(T159&amp;":"&amp;O159,CoefficientsIndex,0))</f>
        <v>0</v>
      </c>
      <c r="AH159">
        <f>AE159*P159+(Q159-Z159)*AF159+AG159</f>
        <v>0</v>
      </c>
      <c r="AI159">
        <f>IF(ISNUMBER(AD159),AD159,AH159)</f>
        <v>0</v>
      </c>
      <c r="AJ159">
        <f>IF(ISNUMBER(AI159),IF(ISNUMBER(AE159),IF(AND(AE159=1,AF159=1,AG159=1),100,ROUND(100*EXP(AI159)/(1+EXP(AI159)),2)),ROUND(100*EXP(AI159)/(1+EXP(AI159)),2)),IF(ISTEXT(O159),IF(LEFT(O159,1)="2",100,"N/A"),"N/A"))</f>
        <v>0</v>
      </c>
      <c r="AK159">
        <f>IF(ISNUMBER(AJ159),IF(AJ159&gt;=99,IF(OR(R159=10,R159=11),MatchLabel,SureThingLabel),IF(AJ159&gt;=95,SecureLabel,IF(AJ159&gt;=80,SafetyLabel,IF(AJ159&gt;=50,MatchLabel,IF(AJ159&gt;=20,ReachLabel,IF(AJ159&gt;=10,LongshotLabel,HailMaryLabel)))))),"Other")</f>
        <v>0</v>
      </c>
      <c r="AL159">
        <f>IF(OR(I159="accepted",I159="cond. accept",I159="summer admit"),IF(J159="yes","CHOICE!","Accepted!"),IF(I159="denied","Denied",IF(K159=1,"Waitlist",IF(L159=1,"Deferred",IF(G159="pending","Pending",IF(OR(G159="initial materials submitted",G159="mid-year submitted",G159="final submitted"),"Submitted",IF(H159="interest","Interest","?")))))))</f>
        <v>0</v>
      </c>
      <c r="AM159">
        <f>IF(OR(AK159=ReachLabel,AK159=LongshotLabel,AK159=HailMaryLabel),1,0)</f>
        <v>0</v>
      </c>
      <c r="AN159">
        <f>IF(OR(AM159=1,AK159=MatchLabel),1,0)</f>
        <v>0</v>
      </c>
      <c r="AO159">
        <f>IF(OR(AK159=MatchLabel,AK159=SafetyLabel,AK159=SecureLabel,AK159=SureThingLabel),1,0)</f>
        <v>0</v>
      </c>
      <c r="AP159">
        <f>IF(OR(T159="H",T159="B"),IF(ISNUMBER(Y159),ROUND(Y159,2),0),IF(ISNUMBER(X159),ROUND(X159,2),0))</f>
        <v>0</v>
      </c>
      <c r="AQ159">
        <f>IF(AP159&gt;=U159,1,0)</f>
        <v>0</v>
      </c>
      <c r="AR159">
        <f>IF(AP159&gt;=V159,1,0)</f>
        <v>0</v>
      </c>
      <c r="AS159">
        <f>IF(AP159&lt;(U159-0.10),1,0)</f>
        <v>0</v>
      </c>
      <c r="AT159">
        <f>1-AJ159/100</f>
        <v>0</v>
      </c>
      <c r="AU159">
        <f>IF(AN159=1,AT159,1)</f>
        <v>0</v>
      </c>
      <c r="AV159">
        <f>IF(AM159=1,AT159,1)</f>
        <v>0</v>
      </c>
      <c r="AW159">
        <f>IF(AND(AQ159=1,ISNUMBER(AT159)),$AT159,1)</f>
        <v>0</v>
      </c>
      <c r="AX159">
        <f>IF(AND(AR159=1,ISNUMBER(AT159)),$AT159,1)</f>
        <v>0</v>
      </c>
      <c r="AY159">
        <f>IF(ISNUMBER(Y159),INDEX(AllCollegeMoney, MATCH(N159,AllCollegeNCES,0)),0)</f>
        <v>0</v>
      </c>
      <c r="AZ159">
        <f>IF(AND(AQ159=1,ISNUMBER(AT159),AY159=1),$AT159,1)</f>
        <v>0</v>
      </c>
      <c r="BA159">
        <f>IF(AND(AR159=1,ISNUMBER(AT159),AY159=1),$AT159,1)</f>
        <v>0</v>
      </c>
      <c r="BB159">
        <f>IF(ISNUMBER(Y159),INDEX(AllCollegeILPub, MATCH(N159,AllCollegeNCES,0)),0)</f>
        <v>0</v>
      </c>
      <c r="BC159">
        <f>IF(AK159=ReachLabel,AP159,0)</f>
        <v>0</v>
      </c>
      <c r="BD159">
        <f>IF(AK159=MatchLabel,AP159,0)</f>
        <v>0</v>
      </c>
      <c r="BE159">
        <f>IF(AK159=SafetyLabel,AP159,0)</f>
        <v>0</v>
      </c>
      <c r="BF159">
        <f>IF(AK159=SecureLabel,AP159,0)</f>
        <v>0</v>
      </c>
      <c r="BG159">
        <f>IF(AK159=SureThingLabel,AP159,0)</f>
        <v>0</v>
      </c>
      <c r="BH159">
        <f>MAX(BC159:BG159)</f>
        <v>0</v>
      </c>
      <c r="BI159">
        <f>MAX(BD159:BG159)</f>
        <v>0</v>
      </c>
      <c r="BJ159">
        <f>MAX(BE159:BG159)</f>
        <v>0</v>
      </c>
      <c r="BK159">
        <f>IF(AND(AK159=ReachLabel,AY159=1),AP159,0)</f>
        <v>0</v>
      </c>
      <c r="BL159">
        <f>IF(AND(AK159=MatchLabel,AY159=1),AP159,0)</f>
        <v>0</v>
      </c>
      <c r="BM159">
        <f>IF(AND(AK159=SafetyLabel,AY159=1),AP159,0)</f>
        <v>0</v>
      </c>
      <c r="BN159">
        <f>IF(AND(AK159=SecureLabel,AY159=1),AP159,0)</f>
        <v>0</v>
      </c>
      <c r="BO159">
        <f>IF(AND(AK159=SureThingLabel,AY159=1),AP159,0)</f>
        <v>0</v>
      </c>
      <c r="BP159">
        <f>MAX(BK159:BO159)</f>
        <v>0</v>
      </c>
      <c r="BQ159">
        <f>MAX(BL159:BO159)</f>
        <v>0</v>
      </c>
      <c r="BR159">
        <f>MAX(BM159:BO159)</f>
        <v>0</v>
      </c>
      <c r="BS159">
        <f>IF(ISNUMBER(Y159),INDEX(AllCollegeChicago, MATCH(N159,AllCollegeNCES,0))*AY159,0)</f>
        <v>0</v>
      </c>
      <c r="BT159">
        <f>IF(ISNUMBER(Y159),INDEX(AllCollegeMoneyCode, MATCH(N159,AllCollegeNCES,0)),"?")</f>
        <v>0</v>
      </c>
      <c r="BU159">
        <f>IF(OR(BT159="---",BT159="--",BT159="+/--",BT159="+/---"),1,0)</f>
        <v>0</v>
      </c>
      <c r="BV159">
        <f>AY159*AO159*AQ159</f>
        <v>0</v>
      </c>
    </row>
    <row r="160" spans="1:74">
      <c r="A160" t="s">
        <v>86</v>
      </c>
      <c r="B160">
        <v>22573216</v>
      </c>
      <c r="C160" t="s">
        <v>89</v>
      </c>
      <c r="D160" t="s">
        <v>90</v>
      </c>
      <c r="E160" t="s">
        <v>428</v>
      </c>
      <c r="F160" t="s">
        <v>506</v>
      </c>
      <c r="G160" t="s">
        <v>430</v>
      </c>
      <c r="H160" t="s">
        <v>431</v>
      </c>
      <c r="I160" t="s">
        <v>432</v>
      </c>
      <c r="J160" t="s">
        <v>432</v>
      </c>
      <c r="K160">
        <v>0</v>
      </c>
      <c r="L160" t="s">
        <v>428</v>
      </c>
      <c r="M160" t="s">
        <v>428</v>
      </c>
      <c r="N160">
        <v>120254</v>
      </c>
      <c r="O160">
        <f>INDEX(AllCollegeBarrons,MATCH(N160,AllCollegeNCES,0))</f>
        <v>0</v>
      </c>
      <c r="P160">
        <f>INDEX(KidGPAs,MATCH(B160,KidIDs,0))</f>
        <v>0</v>
      </c>
      <c r="Q160">
        <f>INDEX(KidACTs,MATCH(B160,KidIDs,0))</f>
        <v>0</v>
      </c>
      <c r="R160">
        <f>INDEX(Strats,MATCH(B160,KidIDs,0))</f>
        <v>0</v>
      </c>
      <c r="S160">
        <f>INDEX(KidRace,MATCH(B160,KidIDs,0))</f>
        <v>0</v>
      </c>
      <c r="T160">
        <f>IF(OR(S160="M",S160="I"),"H",S160)</f>
        <v>0</v>
      </c>
      <c r="U160">
        <f>INDEX(StudentTargets,MATCH(B160,KidIDs,0))</f>
        <v>0</v>
      </c>
      <c r="V160">
        <f>INDEX(ReachStudentTargets,MATCH(B160,KidIDs,0))</f>
        <v>0</v>
      </c>
      <c r="W160">
        <f>IF(OR(M160="Posse"),1,0)</f>
        <v>0</v>
      </c>
      <c r="X160">
        <f>IF(ISNUMBER(INDEX(AllCollegeGR, MATCH(N160,AllCollegeNCES,0))),ROUND(INDEX(AllCollegeGR, MATCH(N160,AllCollegeNCES,0))+W160*IF(INDEX(AllCollegeGR, MATCH(N160,AllCollegeNCES,0))&gt;0.7,(1-INDEX(AllCollegeGR, MATCH(N160,AllCollegeNCES,0)))/2,0.15),2),INDEX(AllCollegeGR, MATCH(N160,AllCollegeNCES,0)))</f>
        <v>0</v>
      </c>
      <c r="Y160">
        <f>IF(ISNUMBER(INDEX(AllCollegeAAHGR, MATCH(N160,AllCollegeNCES,0))),ROUND(INDEX(AllCollegeAAHGR, MATCH(N160,AllCollegeNCES,0))+W160*IF(INDEX(AllCollegeAAHGR, MATCH(N160,AllCollegeNCES,0))&gt;0.7,(1-INDEX(AllCollegeAAHGR, MATCH(N160,AllCollegeNCES,0)))/2,0.15),2),INDEX(AllCollegeAAHGR, MATCH(N160,AllCollegeNCES,0)))</f>
        <v>0</v>
      </c>
      <c r="Z160">
        <f>IF(OR(T160="H",T160="B"),INDEX(AllCollegeACT25, MATCH(N160,AllCollegeNCES,0)),INDEX(AllCollegeACT50, MATCH(N160,AllCollegeNCES,0)))</f>
        <v>0</v>
      </c>
      <c r="AA160">
        <f>INDEX(CustomWeightsGPA,MATCH(T160&amp;":"&amp;N160,CustomWeightsIndex,0))</f>
        <v>0</v>
      </c>
      <c r="AB160">
        <f>INDEX(CustomWeightsACT,MATCH(T160&amp;":"&amp;N160,CustomWeightsIndex,0))</f>
        <v>0</v>
      </c>
      <c r="AC160">
        <f>INDEX(CustomWeightsIntercept,MATCH(T160&amp;":"&amp;N160,CustomWeightsIndex,0))</f>
        <v>0</v>
      </c>
      <c r="AD160">
        <f>AA160*P160+AB160*Q160+AC160</f>
        <v>0</v>
      </c>
      <c r="AE160">
        <f>INDEX(CoefficientsGPA,MATCH(T160&amp;":"&amp;O160,CoefficientsIndex,0))</f>
        <v>0</v>
      </c>
      <c r="AF160">
        <f>INDEX(CoefficientsACT,MATCH(T160&amp;":"&amp;O160,CoefficientsIndex,0))</f>
        <v>0</v>
      </c>
      <c r="AG160">
        <f>INDEX(CoefficientsIntercept,MATCH(T160&amp;":"&amp;O160,CoefficientsIndex,0))</f>
        <v>0</v>
      </c>
      <c r="AH160">
        <f>AE160*P160+(Q160-Z160)*AF160+AG160</f>
        <v>0</v>
      </c>
      <c r="AI160">
        <f>IF(ISNUMBER(AD160),AD160,AH160)</f>
        <v>0</v>
      </c>
      <c r="AJ160">
        <f>IF(ISNUMBER(AI160),IF(ISNUMBER(AE160),IF(AND(AE160=1,AF160=1,AG160=1),100,ROUND(100*EXP(AI160)/(1+EXP(AI160)),2)),ROUND(100*EXP(AI160)/(1+EXP(AI160)),2)),IF(ISTEXT(O160),IF(LEFT(O160,1)="2",100,"N/A"),"N/A"))</f>
        <v>0</v>
      </c>
      <c r="AK160">
        <f>IF(ISNUMBER(AJ160),IF(AJ160&gt;=99,IF(OR(R160=10,R160=11),MatchLabel,SureThingLabel),IF(AJ160&gt;=95,SecureLabel,IF(AJ160&gt;=80,SafetyLabel,IF(AJ160&gt;=50,MatchLabel,IF(AJ160&gt;=20,ReachLabel,IF(AJ160&gt;=10,LongshotLabel,HailMaryLabel)))))),"Other")</f>
        <v>0</v>
      </c>
      <c r="AL160">
        <f>IF(OR(I160="accepted",I160="cond. accept",I160="summer admit"),IF(J160="yes","CHOICE!","Accepted!"),IF(I160="denied","Denied",IF(K160=1,"Waitlist",IF(L160=1,"Deferred",IF(G160="pending","Pending",IF(OR(G160="initial materials submitted",G160="mid-year submitted",G160="final submitted"),"Submitted",IF(H160="interest","Interest","?")))))))</f>
        <v>0</v>
      </c>
      <c r="AM160">
        <f>IF(OR(AK160=ReachLabel,AK160=LongshotLabel,AK160=HailMaryLabel),1,0)</f>
        <v>0</v>
      </c>
      <c r="AN160">
        <f>IF(OR(AM160=1,AK160=MatchLabel),1,0)</f>
        <v>0</v>
      </c>
      <c r="AO160">
        <f>IF(OR(AK160=MatchLabel,AK160=SafetyLabel,AK160=SecureLabel,AK160=SureThingLabel),1,0)</f>
        <v>0</v>
      </c>
      <c r="AP160">
        <f>IF(OR(T160="H",T160="B"),IF(ISNUMBER(Y160),ROUND(Y160,2),0),IF(ISNUMBER(X160),ROUND(X160,2),0))</f>
        <v>0</v>
      </c>
      <c r="AQ160">
        <f>IF(AP160&gt;=U160,1,0)</f>
        <v>0</v>
      </c>
      <c r="AR160">
        <f>IF(AP160&gt;=V160,1,0)</f>
        <v>0</v>
      </c>
      <c r="AS160">
        <f>IF(AP160&lt;(U160-0.10),1,0)</f>
        <v>0</v>
      </c>
      <c r="AT160">
        <f>1-AJ160/100</f>
        <v>0</v>
      </c>
      <c r="AU160">
        <f>IF(AN160=1,AT160,1)</f>
        <v>0</v>
      </c>
      <c r="AV160">
        <f>IF(AM160=1,AT160,1)</f>
        <v>0</v>
      </c>
      <c r="AW160">
        <f>IF(AND(AQ160=1,ISNUMBER(AT160)),$AT160,1)</f>
        <v>0</v>
      </c>
      <c r="AX160">
        <f>IF(AND(AR160=1,ISNUMBER(AT160)),$AT160,1)</f>
        <v>0</v>
      </c>
      <c r="AY160">
        <f>IF(ISNUMBER(Y160),INDEX(AllCollegeMoney, MATCH(N160,AllCollegeNCES,0)),0)</f>
        <v>0</v>
      </c>
      <c r="AZ160">
        <f>IF(AND(AQ160=1,ISNUMBER(AT160),AY160=1),$AT160,1)</f>
        <v>0</v>
      </c>
      <c r="BA160">
        <f>IF(AND(AR160=1,ISNUMBER(AT160),AY160=1),$AT160,1)</f>
        <v>0</v>
      </c>
      <c r="BB160">
        <f>IF(ISNUMBER(Y160),INDEX(AllCollegeILPub, MATCH(N160,AllCollegeNCES,0)),0)</f>
        <v>0</v>
      </c>
      <c r="BC160">
        <f>IF(AK160=ReachLabel,AP160,0)</f>
        <v>0</v>
      </c>
      <c r="BD160">
        <f>IF(AK160=MatchLabel,AP160,0)</f>
        <v>0</v>
      </c>
      <c r="BE160">
        <f>IF(AK160=SafetyLabel,AP160,0)</f>
        <v>0</v>
      </c>
      <c r="BF160">
        <f>IF(AK160=SecureLabel,AP160,0)</f>
        <v>0</v>
      </c>
      <c r="BG160">
        <f>IF(AK160=SureThingLabel,AP160,0)</f>
        <v>0</v>
      </c>
      <c r="BH160">
        <f>MAX(BC160:BG160)</f>
        <v>0</v>
      </c>
      <c r="BI160">
        <f>MAX(BD160:BG160)</f>
        <v>0</v>
      </c>
      <c r="BJ160">
        <f>MAX(BE160:BG160)</f>
        <v>0</v>
      </c>
      <c r="BK160">
        <f>IF(AND(AK160=ReachLabel,AY160=1),AP160,0)</f>
        <v>0</v>
      </c>
      <c r="BL160">
        <f>IF(AND(AK160=MatchLabel,AY160=1),AP160,0)</f>
        <v>0</v>
      </c>
      <c r="BM160">
        <f>IF(AND(AK160=SafetyLabel,AY160=1),AP160,0)</f>
        <v>0</v>
      </c>
      <c r="BN160">
        <f>IF(AND(AK160=SecureLabel,AY160=1),AP160,0)</f>
        <v>0</v>
      </c>
      <c r="BO160">
        <f>IF(AND(AK160=SureThingLabel,AY160=1),AP160,0)</f>
        <v>0</v>
      </c>
      <c r="BP160">
        <f>MAX(BK160:BO160)</f>
        <v>0</v>
      </c>
      <c r="BQ160">
        <f>MAX(BL160:BO160)</f>
        <v>0</v>
      </c>
      <c r="BR160">
        <f>MAX(BM160:BO160)</f>
        <v>0</v>
      </c>
      <c r="BS160">
        <f>IF(ISNUMBER(Y160),INDEX(AllCollegeChicago, MATCH(N160,AllCollegeNCES,0))*AY160,0)</f>
        <v>0</v>
      </c>
      <c r="BT160">
        <f>IF(ISNUMBER(Y160),INDEX(AllCollegeMoneyCode, MATCH(N160,AllCollegeNCES,0)),"?")</f>
        <v>0</v>
      </c>
      <c r="BU160">
        <f>IF(OR(BT160="---",BT160="--",BT160="+/--",BT160="+/---"),1,0)</f>
        <v>0</v>
      </c>
      <c r="BV160">
        <f>AY160*AO160*AQ160</f>
        <v>0</v>
      </c>
    </row>
    <row r="161" spans="1:74">
      <c r="A161" t="s">
        <v>86</v>
      </c>
      <c r="B161">
        <v>22573216</v>
      </c>
      <c r="C161" t="s">
        <v>89</v>
      </c>
      <c r="D161" t="s">
        <v>90</v>
      </c>
      <c r="E161" t="s">
        <v>428</v>
      </c>
      <c r="F161" t="s">
        <v>467</v>
      </c>
      <c r="G161" t="s">
        <v>463</v>
      </c>
      <c r="H161" t="s">
        <v>431</v>
      </c>
      <c r="I161" t="s">
        <v>432</v>
      </c>
      <c r="J161" t="s">
        <v>432</v>
      </c>
      <c r="K161">
        <v>0</v>
      </c>
      <c r="L161" t="s">
        <v>428</v>
      </c>
      <c r="M161" t="s">
        <v>428</v>
      </c>
      <c r="N161">
        <v>170976</v>
      </c>
      <c r="O161">
        <f>INDEX(AllCollegeBarrons,MATCH(N161,AllCollegeNCES,0))</f>
        <v>0</v>
      </c>
      <c r="P161">
        <f>INDEX(KidGPAs,MATCH(B161,KidIDs,0))</f>
        <v>0</v>
      </c>
      <c r="Q161">
        <f>INDEX(KidACTs,MATCH(B161,KidIDs,0))</f>
        <v>0</v>
      </c>
      <c r="R161">
        <f>INDEX(Strats,MATCH(B161,KidIDs,0))</f>
        <v>0</v>
      </c>
      <c r="S161">
        <f>INDEX(KidRace,MATCH(B161,KidIDs,0))</f>
        <v>0</v>
      </c>
      <c r="T161">
        <f>IF(OR(S161="M",S161="I"),"H",S161)</f>
        <v>0</v>
      </c>
      <c r="U161">
        <f>INDEX(StudentTargets,MATCH(B161,KidIDs,0))</f>
        <v>0</v>
      </c>
      <c r="V161">
        <f>INDEX(ReachStudentTargets,MATCH(B161,KidIDs,0))</f>
        <v>0</v>
      </c>
      <c r="W161">
        <f>IF(OR(M161="Posse"),1,0)</f>
        <v>0</v>
      </c>
      <c r="X161">
        <f>IF(ISNUMBER(INDEX(AllCollegeGR, MATCH(N161,AllCollegeNCES,0))),ROUND(INDEX(AllCollegeGR, MATCH(N161,AllCollegeNCES,0))+W161*IF(INDEX(AllCollegeGR, MATCH(N161,AllCollegeNCES,0))&gt;0.7,(1-INDEX(AllCollegeGR, MATCH(N161,AllCollegeNCES,0)))/2,0.15),2),INDEX(AllCollegeGR, MATCH(N161,AllCollegeNCES,0)))</f>
        <v>0</v>
      </c>
      <c r="Y161">
        <f>IF(ISNUMBER(INDEX(AllCollegeAAHGR, MATCH(N161,AllCollegeNCES,0))),ROUND(INDEX(AllCollegeAAHGR, MATCH(N161,AllCollegeNCES,0))+W161*IF(INDEX(AllCollegeAAHGR, MATCH(N161,AllCollegeNCES,0))&gt;0.7,(1-INDEX(AllCollegeAAHGR, MATCH(N161,AllCollegeNCES,0)))/2,0.15),2),INDEX(AllCollegeAAHGR, MATCH(N161,AllCollegeNCES,0)))</f>
        <v>0</v>
      </c>
      <c r="Z161">
        <f>IF(OR(T161="H",T161="B"),INDEX(AllCollegeACT25, MATCH(N161,AllCollegeNCES,0)),INDEX(AllCollegeACT50, MATCH(N161,AllCollegeNCES,0)))</f>
        <v>0</v>
      </c>
      <c r="AA161">
        <f>INDEX(CustomWeightsGPA,MATCH(T161&amp;":"&amp;N161,CustomWeightsIndex,0))</f>
        <v>0</v>
      </c>
      <c r="AB161">
        <f>INDEX(CustomWeightsACT,MATCH(T161&amp;":"&amp;N161,CustomWeightsIndex,0))</f>
        <v>0</v>
      </c>
      <c r="AC161">
        <f>INDEX(CustomWeightsIntercept,MATCH(T161&amp;":"&amp;N161,CustomWeightsIndex,0))</f>
        <v>0</v>
      </c>
      <c r="AD161">
        <f>AA161*P161+AB161*Q161+AC161</f>
        <v>0</v>
      </c>
      <c r="AE161">
        <f>INDEX(CoefficientsGPA,MATCH(T161&amp;":"&amp;O161,CoefficientsIndex,0))</f>
        <v>0</v>
      </c>
      <c r="AF161">
        <f>INDEX(CoefficientsACT,MATCH(T161&amp;":"&amp;O161,CoefficientsIndex,0))</f>
        <v>0</v>
      </c>
      <c r="AG161">
        <f>INDEX(CoefficientsIntercept,MATCH(T161&amp;":"&amp;O161,CoefficientsIndex,0))</f>
        <v>0</v>
      </c>
      <c r="AH161">
        <f>AE161*P161+(Q161-Z161)*AF161+AG161</f>
        <v>0</v>
      </c>
      <c r="AI161">
        <f>IF(ISNUMBER(AD161),AD161,AH161)</f>
        <v>0</v>
      </c>
      <c r="AJ161">
        <f>IF(ISNUMBER(AI161),IF(ISNUMBER(AE161),IF(AND(AE161=1,AF161=1,AG161=1),100,ROUND(100*EXP(AI161)/(1+EXP(AI161)),2)),ROUND(100*EXP(AI161)/(1+EXP(AI161)),2)),IF(ISTEXT(O161),IF(LEFT(O161,1)="2",100,"N/A"),"N/A"))</f>
        <v>0</v>
      </c>
      <c r="AK161">
        <f>IF(ISNUMBER(AJ161),IF(AJ161&gt;=99,IF(OR(R161=10,R161=11),MatchLabel,SureThingLabel),IF(AJ161&gt;=95,SecureLabel,IF(AJ161&gt;=80,SafetyLabel,IF(AJ161&gt;=50,MatchLabel,IF(AJ161&gt;=20,ReachLabel,IF(AJ161&gt;=10,LongshotLabel,HailMaryLabel)))))),"Other")</f>
        <v>0</v>
      </c>
      <c r="AL161">
        <f>IF(OR(I161="accepted",I161="cond. accept",I161="summer admit"),IF(J161="yes","CHOICE!","Accepted!"),IF(I161="denied","Denied",IF(K161=1,"Waitlist",IF(L161=1,"Deferred",IF(G161="pending","Pending",IF(OR(G161="initial materials submitted",G161="mid-year submitted",G161="final submitted"),"Submitted",IF(H161="interest","Interest","?")))))))</f>
        <v>0</v>
      </c>
      <c r="AM161">
        <f>IF(OR(AK161=ReachLabel,AK161=LongshotLabel,AK161=HailMaryLabel),1,0)</f>
        <v>0</v>
      </c>
      <c r="AN161">
        <f>IF(OR(AM161=1,AK161=MatchLabel),1,0)</f>
        <v>0</v>
      </c>
      <c r="AO161">
        <f>IF(OR(AK161=MatchLabel,AK161=SafetyLabel,AK161=SecureLabel,AK161=SureThingLabel),1,0)</f>
        <v>0</v>
      </c>
      <c r="AP161">
        <f>IF(OR(T161="H",T161="B"),IF(ISNUMBER(Y161),ROUND(Y161,2),0),IF(ISNUMBER(X161),ROUND(X161,2),0))</f>
        <v>0</v>
      </c>
      <c r="AQ161">
        <f>IF(AP161&gt;=U161,1,0)</f>
        <v>0</v>
      </c>
      <c r="AR161">
        <f>IF(AP161&gt;=V161,1,0)</f>
        <v>0</v>
      </c>
      <c r="AS161">
        <f>IF(AP161&lt;(U161-0.10),1,0)</f>
        <v>0</v>
      </c>
      <c r="AT161">
        <f>1-AJ161/100</f>
        <v>0</v>
      </c>
      <c r="AU161">
        <f>IF(AN161=1,AT161,1)</f>
        <v>0</v>
      </c>
      <c r="AV161">
        <f>IF(AM161=1,AT161,1)</f>
        <v>0</v>
      </c>
      <c r="AW161">
        <f>IF(AND(AQ161=1,ISNUMBER(AT161)),$AT161,1)</f>
        <v>0</v>
      </c>
      <c r="AX161">
        <f>IF(AND(AR161=1,ISNUMBER(AT161)),$AT161,1)</f>
        <v>0</v>
      </c>
      <c r="AY161">
        <f>IF(ISNUMBER(Y161),INDEX(AllCollegeMoney, MATCH(N161,AllCollegeNCES,0)),0)</f>
        <v>0</v>
      </c>
      <c r="AZ161">
        <f>IF(AND(AQ161=1,ISNUMBER(AT161),AY161=1),$AT161,1)</f>
        <v>0</v>
      </c>
      <c r="BA161">
        <f>IF(AND(AR161=1,ISNUMBER(AT161),AY161=1),$AT161,1)</f>
        <v>0</v>
      </c>
      <c r="BB161">
        <f>IF(ISNUMBER(Y161),INDEX(AllCollegeILPub, MATCH(N161,AllCollegeNCES,0)),0)</f>
        <v>0</v>
      </c>
      <c r="BC161">
        <f>IF(AK161=ReachLabel,AP161,0)</f>
        <v>0</v>
      </c>
      <c r="BD161">
        <f>IF(AK161=MatchLabel,AP161,0)</f>
        <v>0</v>
      </c>
      <c r="BE161">
        <f>IF(AK161=SafetyLabel,AP161,0)</f>
        <v>0</v>
      </c>
      <c r="BF161">
        <f>IF(AK161=SecureLabel,AP161,0)</f>
        <v>0</v>
      </c>
      <c r="BG161">
        <f>IF(AK161=SureThingLabel,AP161,0)</f>
        <v>0</v>
      </c>
      <c r="BH161">
        <f>MAX(BC161:BG161)</f>
        <v>0</v>
      </c>
      <c r="BI161">
        <f>MAX(BD161:BG161)</f>
        <v>0</v>
      </c>
      <c r="BJ161">
        <f>MAX(BE161:BG161)</f>
        <v>0</v>
      </c>
      <c r="BK161">
        <f>IF(AND(AK161=ReachLabel,AY161=1),AP161,0)</f>
        <v>0</v>
      </c>
      <c r="BL161">
        <f>IF(AND(AK161=MatchLabel,AY161=1),AP161,0)</f>
        <v>0</v>
      </c>
      <c r="BM161">
        <f>IF(AND(AK161=SafetyLabel,AY161=1),AP161,0)</f>
        <v>0</v>
      </c>
      <c r="BN161">
        <f>IF(AND(AK161=SecureLabel,AY161=1),AP161,0)</f>
        <v>0</v>
      </c>
      <c r="BO161">
        <f>IF(AND(AK161=SureThingLabel,AY161=1),AP161,0)</f>
        <v>0</v>
      </c>
      <c r="BP161">
        <f>MAX(BK161:BO161)</f>
        <v>0</v>
      </c>
      <c r="BQ161">
        <f>MAX(BL161:BO161)</f>
        <v>0</v>
      </c>
      <c r="BR161">
        <f>MAX(BM161:BO161)</f>
        <v>0</v>
      </c>
      <c r="BS161">
        <f>IF(ISNUMBER(Y161),INDEX(AllCollegeChicago, MATCH(N161,AllCollegeNCES,0))*AY161,0)</f>
        <v>0</v>
      </c>
      <c r="BT161">
        <f>IF(ISNUMBER(Y161),INDEX(AllCollegeMoneyCode, MATCH(N161,AllCollegeNCES,0)),"?")</f>
        <v>0</v>
      </c>
      <c r="BU161">
        <f>IF(OR(BT161="---",BT161="--",BT161="+/--",BT161="+/---"),1,0)</f>
        <v>0</v>
      </c>
      <c r="BV161">
        <f>AY161*AO161*AQ161</f>
        <v>0</v>
      </c>
    </row>
    <row r="162" spans="1:74">
      <c r="A162" t="s">
        <v>86</v>
      </c>
      <c r="B162">
        <v>22573216</v>
      </c>
      <c r="C162" t="s">
        <v>89</v>
      </c>
      <c r="D162" t="s">
        <v>90</v>
      </c>
      <c r="E162" t="s">
        <v>428</v>
      </c>
      <c r="F162" t="s">
        <v>455</v>
      </c>
      <c r="G162" t="s">
        <v>463</v>
      </c>
      <c r="H162" t="s">
        <v>431</v>
      </c>
      <c r="I162" t="s">
        <v>432</v>
      </c>
      <c r="J162" t="s">
        <v>432</v>
      </c>
      <c r="K162">
        <v>0</v>
      </c>
      <c r="L162" t="s">
        <v>428</v>
      </c>
      <c r="M162" t="s">
        <v>428</v>
      </c>
      <c r="N162">
        <v>240444</v>
      </c>
      <c r="O162">
        <f>INDEX(AllCollegeBarrons,MATCH(N162,AllCollegeNCES,0))</f>
        <v>0</v>
      </c>
      <c r="P162">
        <f>INDEX(KidGPAs,MATCH(B162,KidIDs,0))</f>
        <v>0</v>
      </c>
      <c r="Q162">
        <f>INDEX(KidACTs,MATCH(B162,KidIDs,0))</f>
        <v>0</v>
      </c>
      <c r="R162">
        <f>INDEX(Strats,MATCH(B162,KidIDs,0))</f>
        <v>0</v>
      </c>
      <c r="S162">
        <f>INDEX(KidRace,MATCH(B162,KidIDs,0))</f>
        <v>0</v>
      </c>
      <c r="T162">
        <f>IF(OR(S162="M",S162="I"),"H",S162)</f>
        <v>0</v>
      </c>
      <c r="U162">
        <f>INDEX(StudentTargets,MATCH(B162,KidIDs,0))</f>
        <v>0</v>
      </c>
      <c r="V162">
        <f>INDEX(ReachStudentTargets,MATCH(B162,KidIDs,0))</f>
        <v>0</v>
      </c>
      <c r="W162">
        <f>IF(OR(M162="Posse"),1,0)</f>
        <v>0</v>
      </c>
      <c r="X162">
        <f>IF(ISNUMBER(INDEX(AllCollegeGR, MATCH(N162,AllCollegeNCES,0))),ROUND(INDEX(AllCollegeGR, MATCH(N162,AllCollegeNCES,0))+W162*IF(INDEX(AllCollegeGR, MATCH(N162,AllCollegeNCES,0))&gt;0.7,(1-INDEX(AllCollegeGR, MATCH(N162,AllCollegeNCES,0)))/2,0.15),2),INDEX(AllCollegeGR, MATCH(N162,AllCollegeNCES,0)))</f>
        <v>0</v>
      </c>
      <c r="Y162">
        <f>IF(ISNUMBER(INDEX(AllCollegeAAHGR, MATCH(N162,AllCollegeNCES,0))),ROUND(INDEX(AllCollegeAAHGR, MATCH(N162,AllCollegeNCES,0))+W162*IF(INDEX(AllCollegeAAHGR, MATCH(N162,AllCollegeNCES,0))&gt;0.7,(1-INDEX(AllCollegeAAHGR, MATCH(N162,AllCollegeNCES,0)))/2,0.15),2),INDEX(AllCollegeAAHGR, MATCH(N162,AllCollegeNCES,0)))</f>
        <v>0</v>
      </c>
      <c r="Z162">
        <f>IF(OR(T162="H",T162="B"),INDEX(AllCollegeACT25, MATCH(N162,AllCollegeNCES,0)),INDEX(AllCollegeACT50, MATCH(N162,AllCollegeNCES,0)))</f>
        <v>0</v>
      </c>
      <c r="AA162">
        <f>INDEX(CustomWeightsGPA,MATCH(T162&amp;":"&amp;N162,CustomWeightsIndex,0))</f>
        <v>0</v>
      </c>
      <c r="AB162">
        <f>INDEX(CustomWeightsACT,MATCH(T162&amp;":"&amp;N162,CustomWeightsIndex,0))</f>
        <v>0</v>
      </c>
      <c r="AC162">
        <f>INDEX(CustomWeightsIntercept,MATCH(T162&amp;":"&amp;N162,CustomWeightsIndex,0))</f>
        <v>0</v>
      </c>
      <c r="AD162">
        <f>AA162*P162+AB162*Q162+AC162</f>
        <v>0</v>
      </c>
      <c r="AE162">
        <f>INDEX(CoefficientsGPA,MATCH(T162&amp;":"&amp;O162,CoefficientsIndex,0))</f>
        <v>0</v>
      </c>
      <c r="AF162">
        <f>INDEX(CoefficientsACT,MATCH(T162&amp;":"&amp;O162,CoefficientsIndex,0))</f>
        <v>0</v>
      </c>
      <c r="AG162">
        <f>INDEX(CoefficientsIntercept,MATCH(T162&amp;":"&amp;O162,CoefficientsIndex,0))</f>
        <v>0</v>
      </c>
      <c r="AH162">
        <f>AE162*P162+(Q162-Z162)*AF162+AG162</f>
        <v>0</v>
      </c>
      <c r="AI162">
        <f>IF(ISNUMBER(AD162),AD162,AH162)</f>
        <v>0</v>
      </c>
      <c r="AJ162">
        <f>IF(ISNUMBER(AI162),IF(ISNUMBER(AE162),IF(AND(AE162=1,AF162=1,AG162=1),100,ROUND(100*EXP(AI162)/(1+EXP(AI162)),2)),ROUND(100*EXP(AI162)/(1+EXP(AI162)),2)),IF(ISTEXT(O162),IF(LEFT(O162,1)="2",100,"N/A"),"N/A"))</f>
        <v>0</v>
      </c>
      <c r="AK162">
        <f>IF(ISNUMBER(AJ162),IF(AJ162&gt;=99,IF(OR(R162=10,R162=11),MatchLabel,SureThingLabel),IF(AJ162&gt;=95,SecureLabel,IF(AJ162&gt;=80,SafetyLabel,IF(AJ162&gt;=50,MatchLabel,IF(AJ162&gt;=20,ReachLabel,IF(AJ162&gt;=10,LongshotLabel,HailMaryLabel)))))),"Other")</f>
        <v>0</v>
      </c>
      <c r="AL162">
        <f>IF(OR(I162="accepted",I162="cond. accept",I162="summer admit"),IF(J162="yes","CHOICE!","Accepted!"),IF(I162="denied","Denied",IF(K162=1,"Waitlist",IF(L162=1,"Deferred",IF(G162="pending","Pending",IF(OR(G162="initial materials submitted",G162="mid-year submitted",G162="final submitted"),"Submitted",IF(H162="interest","Interest","?")))))))</f>
        <v>0</v>
      </c>
      <c r="AM162">
        <f>IF(OR(AK162=ReachLabel,AK162=LongshotLabel,AK162=HailMaryLabel),1,0)</f>
        <v>0</v>
      </c>
      <c r="AN162">
        <f>IF(OR(AM162=1,AK162=MatchLabel),1,0)</f>
        <v>0</v>
      </c>
      <c r="AO162">
        <f>IF(OR(AK162=MatchLabel,AK162=SafetyLabel,AK162=SecureLabel,AK162=SureThingLabel),1,0)</f>
        <v>0</v>
      </c>
      <c r="AP162">
        <f>IF(OR(T162="H",T162="B"),IF(ISNUMBER(Y162),ROUND(Y162,2),0),IF(ISNUMBER(X162),ROUND(X162,2),0))</f>
        <v>0</v>
      </c>
      <c r="AQ162">
        <f>IF(AP162&gt;=U162,1,0)</f>
        <v>0</v>
      </c>
      <c r="AR162">
        <f>IF(AP162&gt;=V162,1,0)</f>
        <v>0</v>
      </c>
      <c r="AS162">
        <f>IF(AP162&lt;(U162-0.10),1,0)</f>
        <v>0</v>
      </c>
      <c r="AT162">
        <f>1-AJ162/100</f>
        <v>0</v>
      </c>
      <c r="AU162">
        <f>IF(AN162=1,AT162,1)</f>
        <v>0</v>
      </c>
      <c r="AV162">
        <f>IF(AM162=1,AT162,1)</f>
        <v>0</v>
      </c>
      <c r="AW162">
        <f>IF(AND(AQ162=1,ISNUMBER(AT162)),$AT162,1)</f>
        <v>0</v>
      </c>
      <c r="AX162">
        <f>IF(AND(AR162=1,ISNUMBER(AT162)),$AT162,1)</f>
        <v>0</v>
      </c>
      <c r="AY162">
        <f>IF(ISNUMBER(Y162),INDEX(AllCollegeMoney, MATCH(N162,AllCollegeNCES,0)),0)</f>
        <v>0</v>
      </c>
      <c r="AZ162">
        <f>IF(AND(AQ162=1,ISNUMBER(AT162),AY162=1),$AT162,1)</f>
        <v>0</v>
      </c>
      <c r="BA162">
        <f>IF(AND(AR162=1,ISNUMBER(AT162),AY162=1),$AT162,1)</f>
        <v>0</v>
      </c>
      <c r="BB162">
        <f>IF(ISNUMBER(Y162),INDEX(AllCollegeILPub, MATCH(N162,AllCollegeNCES,0)),0)</f>
        <v>0</v>
      </c>
      <c r="BC162">
        <f>IF(AK162=ReachLabel,AP162,0)</f>
        <v>0</v>
      </c>
      <c r="BD162">
        <f>IF(AK162=MatchLabel,AP162,0)</f>
        <v>0</v>
      </c>
      <c r="BE162">
        <f>IF(AK162=SafetyLabel,AP162,0)</f>
        <v>0</v>
      </c>
      <c r="BF162">
        <f>IF(AK162=SecureLabel,AP162,0)</f>
        <v>0</v>
      </c>
      <c r="BG162">
        <f>IF(AK162=SureThingLabel,AP162,0)</f>
        <v>0</v>
      </c>
      <c r="BH162">
        <f>MAX(BC162:BG162)</f>
        <v>0</v>
      </c>
      <c r="BI162">
        <f>MAX(BD162:BG162)</f>
        <v>0</v>
      </c>
      <c r="BJ162">
        <f>MAX(BE162:BG162)</f>
        <v>0</v>
      </c>
      <c r="BK162">
        <f>IF(AND(AK162=ReachLabel,AY162=1),AP162,0)</f>
        <v>0</v>
      </c>
      <c r="BL162">
        <f>IF(AND(AK162=MatchLabel,AY162=1),AP162,0)</f>
        <v>0</v>
      </c>
      <c r="BM162">
        <f>IF(AND(AK162=SafetyLabel,AY162=1),AP162,0)</f>
        <v>0</v>
      </c>
      <c r="BN162">
        <f>IF(AND(AK162=SecureLabel,AY162=1),AP162,0)</f>
        <v>0</v>
      </c>
      <c r="BO162">
        <f>IF(AND(AK162=SureThingLabel,AY162=1),AP162,0)</f>
        <v>0</v>
      </c>
      <c r="BP162">
        <f>MAX(BK162:BO162)</f>
        <v>0</v>
      </c>
      <c r="BQ162">
        <f>MAX(BL162:BO162)</f>
        <v>0</v>
      </c>
      <c r="BR162">
        <f>MAX(BM162:BO162)</f>
        <v>0</v>
      </c>
      <c r="BS162">
        <f>IF(ISNUMBER(Y162),INDEX(AllCollegeChicago, MATCH(N162,AllCollegeNCES,0))*AY162,0)</f>
        <v>0</v>
      </c>
      <c r="BT162">
        <f>IF(ISNUMBER(Y162),INDEX(AllCollegeMoneyCode, MATCH(N162,AllCollegeNCES,0)),"?")</f>
        <v>0</v>
      </c>
      <c r="BU162">
        <f>IF(OR(BT162="---",BT162="--",BT162="+/--",BT162="+/---"),1,0)</f>
        <v>0</v>
      </c>
      <c r="BV162">
        <f>AY162*AO162*AQ162</f>
        <v>0</v>
      </c>
    </row>
    <row r="163" spans="1:74">
      <c r="A163" t="s">
        <v>86</v>
      </c>
      <c r="B163">
        <v>22573216</v>
      </c>
      <c r="C163" t="s">
        <v>89</v>
      </c>
      <c r="D163" t="s">
        <v>90</v>
      </c>
      <c r="E163" t="s">
        <v>428</v>
      </c>
      <c r="F163" t="s">
        <v>457</v>
      </c>
      <c r="G163" t="s">
        <v>463</v>
      </c>
      <c r="H163" t="s">
        <v>431</v>
      </c>
      <c r="I163" t="s">
        <v>432</v>
      </c>
      <c r="J163" t="s">
        <v>432</v>
      </c>
      <c r="K163">
        <v>0</v>
      </c>
      <c r="L163" t="s">
        <v>428</v>
      </c>
      <c r="M163" t="s">
        <v>428</v>
      </c>
      <c r="N163">
        <v>145637</v>
      </c>
      <c r="O163">
        <f>INDEX(AllCollegeBarrons,MATCH(N163,AllCollegeNCES,0))</f>
        <v>0</v>
      </c>
      <c r="P163">
        <f>INDEX(KidGPAs,MATCH(B163,KidIDs,0))</f>
        <v>0</v>
      </c>
      <c r="Q163">
        <f>INDEX(KidACTs,MATCH(B163,KidIDs,0))</f>
        <v>0</v>
      </c>
      <c r="R163">
        <f>INDEX(Strats,MATCH(B163,KidIDs,0))</f>
        <v>0</v>
      </c>
      <c r="S163">
        <f>INDEX(KidRace,MATCH(B163,KidIDs,0))</f>
        <v>0</v>
      </c>
      <c r="T163">
        <f>IF(OR(S163="M",S163="I"),"H",S163)</f>
        <v>0</v>
      </c>
      <c r="U163">
        <f>INDEX(StudentTargets,MATCH(B163,KidIDs,0))</f>
        <v>0</v>
      </c>
      <c r="V163">
        <f>INDEX(ReachStudentTargets,MATCH(B163,KidIDs,0))</f>
        <v>0</v>
      </c>
      <c r="W163">
        <f>IF(OR(M163="Posse"),1,0)</f>
        <v>0</v>
      </c>
      <c r="X163">
        <f>IF(ISNUMBER(INDEX(AllCollegeGR, MATCH(N163,AllCollegeNCES,0))),ROUND(INDEX(AllCollegeGR, MATCH(N163,AllCollegeNCES,0))+W163*IF(INDEX(AllCollegeGR, MATCH(N163,AllCollegeNCES,0))&gt;0.7,(1-INDEX(AllCollegeGR, MATCH(N163,AllCollegeNCES,0)))/2,0.15),2),INDEX(AllCollegeGR, MATCH(N163,AllCollegeNCES,0)))</f>
        <v>0</v>
      </c>
      <c r="Y163">
        <f>IF(ISNUMBER(INDEX(AllCollegeAAHGR, MATCH(N163,AllCollegeNCES,0))),ROUND(INDEX(AllCollegeAAHGR, MATCH(N163,AllCollegeNCES,0))+W163*IF(INDEX(AllCollegeAAHGR, MATCH(N163,AllCollegeNCES,0))&gt;0.7,(1-INDEX(AllCollegeAAHGR, MATCH(N163,AllCollegeNCES,0)))/2,0.15),2),INDEX(AllCollegeAAHGR, MATCH(N163,AllCollegeNCES,0)))</f>
        <v>0</v>
      </c>
      <c r="Z163">
        <f>IF(OR(T163="H",T163="B"),INDEX(AllCollegeACT25, MATCH(N163,AllCollegeNCES,0)),INDEX(AllCollegeACT50, MATCH(N163,AllCollegeNCES,0)))</f>
        <v>0</v>
      </c>
      <c r="AA163">
        <f>INDEX(CustomWeightsGPA,MATCH(T163&amp;":"&amp;N163,CustomWeightsIndex,0))</f>
        <v>0</v>
      </c>
      <c r="AB163">
        <f>INDEX(CustomWeightsACT,MATCH(T163&amp;":"&amp;N163,CustomWeightsIndex,0))</f>
        <v>0</v>
      </c>
      <c r="AC163">
        <f>INDEX(CustomWeightsIntercept,MATCH(T163&amp;":"&amp;N163,CustomWeightsIndex,0))</f>
        <v>0</v>
      </c>
      <c r="AD163">
        <f>AA163*P163+AB163*Q163+AC163</f>
        <v>0</v>
      </c>
      <c r="AE163">
        <f>INDEX(CoefficientsGPA,MATCH(T163&amp;":"&amp;O163,CoefficientsIndex,0))</f>
        <v>0</v>
      </c>
      <c r="AF163">
        <f>INDEX(CoefficientsACT,MATCH(T163&amp;":"&amp;O163,CoefficientsIndex,0))</f>
        <v>0</v>
      </c>
      <c r="AG163">
        <f>INDEX(CoefficientsIntercept,MATCH(T163&amp;":"&amp;O163,CoefficientsIndex,0))</f>
        <v>0</v>
      </c>
      <c r="AH163">
        <f>AE163*P163+(Q163-Z163)*AF163+AG163</f>
        <v>0</v>
      </c>
      <c r="AI163">
        <f>IF(ISNUMBER(AD163),AD163,AH163)</f>
        <v>0</v>
      </c>
      <c r="AJ163">
        <f>IF(ISNUMBER(AI163),IF(ISNUMBER(AE163),IF(AND(AE163=1,AF163=1,AG163=1),100,ROUND(100*EXP(AI163)/(1+EXP(AI163)),2)),ROUND(100*EXP(AI163)/(1+EXP(AI163)),2)),IF(ISTEXT(O163),IF(LEFT(O163,1)="2",100,"N/A"),"N/A"))</f>
        <v>0</v>
      </c>
      <c r="AK163">
        <f>IF(ISNUMBER(AJ163),IF(AJ163&gt;=99,IF(OR(R163=10,R163=11),MatchLabel,SureThingLabel),IF(AJ163&gt;=95,SecureLabel,IF(AJ163&gt;=80,SafetyLabel,IF(AJ163&gt;=50,MatchLabel,IF(AJ163&gt;=20,ReachLabel,IF(AJ163&gt;=10,LongshotLabel,HailMaryLabel)))))),"Other")</f>
        <v>0</v>
      </c>
      <c r="AL163">
        <f>IF(OR(I163="accepted",I163="cond. accept",I163="summer admit"),IF(J163="yes","CHOICE!","Accepted!"),IF(I163="denied","Denied",IF(K163=1,"Waitlist",IF(L163=1,"Deferred",IF(G163="pending","Pending",IF(OR(G163="initial materials submitted",G163="mid-year submitted",G163="final submitted"),"Submitted",IF(H163="interest","Interest","?")))))))</f>
        <v>0</v>
      </c>
      <c r="AM163">
        <f>IF(OR(AK163=ReachLabel,AK163=LongshotLabel,AK163=HailMaryLabel),1,0)</f>
        <v>0</v>
      </c>
      <c r="AN163">
        <f>IF(OR(AM163=1,AK163=MatchLabel),1,0)</f>
        <v>0</v>
      </c>
      <c r="AO163">
        <f>IF(OR(AK163=MatchLabel,AK163=SafetyLabel,AK163=SecureLabel,AK163=SureThingLabel),1,0)</f>
        <v>0</v>
      </c>
      <c r="AP163">
        <f>IF(OR(T163="H",T163="B"),IF(ISNUMBER(Y163),ROUND(Y163,2),0),IF(ISNUMBER(X163),ROUND(X163,2),0))</f>
        <v>0</v>
      </c>
      <c r="AQ163">
        <f>IF(AP163&gt;=U163,1,0)</f>
        <v>0</v>
      </c>
      <c r="AR163">
        <f>IF(AP163&gt;=V163,1,0)</f>
        <v>0</v>
      </c>
      <c r="AS163">
        <f>IF(AP163&lt;(U163-0.10),1,0)</f>
        <v>0</v>
      </c>
      <c r="AT163">
        <f>1-AJ163/100</f>
        <v>0</v>
      </c>
      <c r="AU163">
        <f>IF(AN163=1,AT163,1)</f>
        <v>0</v>
      </c>
      <c r="AV163">
        <f>IF(AM163=1,AT163,1)</f>
        <v>0</v>
      </c>
      <c r="AW163">
        <f>IF(AND(AQ163=1,ISNUMBER(AT163)),$AT163,1)</f>
        <v>0</v>
      </c>
      <c r="AX163">
        <f>IF(AND(AR163=1,ISNUMBER(AT163)),$AT163,1)</f>
        <v>0</v>
      </c>
      <c r="AY163">
        <f>IF(ISNUMBER(Y163),INDEX(AllCollegeMoney, MATCH(N163,AllCollegeNCES,0)),0)</f>
        <v>0</v>
      </c>
      <c r="AZ163">
        <f>IF(AND(AQ163=1,ISNUMBER(AT163),AY163=1),$AT163,1)</f>
        <v>0</v>
      </c>
      <c r="BA163">
        <f>IF(AND(AR163=1,ISNUMBER(AT163),AY163=1),$AT163,1)</f>
        <v>0</v>
      </c>
      <c r="BB163">
        <f>IF(ISNUMBER(Y163),INDEX(AllCollegeILPub, MATCH(N163,AllCollegeNCES,0)),0)</f>
        <v>0</v>
      </c>
      <c r="BC163">
        <f>IF(AK163=ReachLabel,AP163,0)</f>
        <v>0</v>
      </c>
      <c r="BD163">
        <f>IF(AK163=MatchLabel,AP163,0)</f>
        <v>0</v>
      </c>
      <c r="BE163">
        <f>IF(AK163=SafetyLabel,AP163,0)</f>
        <v>0</v>
      </c>
      <c r="BF163">
        <f>IF(AK163=SecureLabel,AP163,0)</f>
        <v>0</v>
      </c>
      <c r="BG163">
        <f>IF(AK163=SureThingLabel,AP163,0)</f>
        <v>0</v>
      </c>
      <c r="BH163">
        <f>MAX(BC163:BG163)</f>
        <v>0</v>
      </c>
      <c r="BI163">
        <f>MAX(BD163:BG163)</f>
        <v>0</v>
      </c>
      <c r="BJ163">
        <f>MAX(BE163:BG163)</f>
        <v>0</v>
      </c>
      <c r="BK163">
        <f>IF(AND(AK163=ReachLabel,AY163=1),AP163,0)</f>
        <v>0</v>
      </c>
      <c r="BL163">
        <f>IF(AND(AK163=MatchLabel,AY163=1),AP163,0)</f>
        <v>0</v>
      </c>
      <c r="BM163">
        <f>IF(AND(AK163=SafetyLabel,AY163=1),AP163,0)</f>
        <v>0</v>
      </c>
      <c r="BN163">
        <f>IF(AND(AK163=SecureLabel,AY163=1),AP163,0)</f>
        <v>0</v>
      </c>
      <c r="BO163">
        <f>IF(AND(AK163=SureThingLabel,AY163=1),AP163,0)</f>
        <v>0</v>
      </c>
      <c r="BP163">
        <f>MAX(BK163:BO163)</f>
        <v>0</v>
      </c>
      <c r="BQ163">
        <f>MAX(BL163:BO163)</f>
        <v>0</v>
      </c>
      <c r="BR163">
        <f>MAX(BM163:BO163)</f>
        <v>0</v>
      </c>
      <c r="BS163">
        <f>IF(ISNUMBER(Y163),INDEX(AllCollegeChicago, MATCH(N163,AllCollegeNCES,0))*AY163,0)</f>
        <v>0</v>
      </c>
      <c r="BT163">
        <f>IF(ISNUMBER(Y163),INDEX(AllCollegeMoneyCode, MATCH(N163,AllCollegeNCES,0)),"?")</f>
        <v>0</v>
      </c>
      <c r="BU163">
        <f>IF(OR(BT163="---",BT163="--",BT163="+/--",BT163="+/---"),1,0)</f>
        <v>0</v>
      </c>
      <c r="BV163">
        <f>AY163*AO163*AQ163</f>
        <v>0</v>
      </c>
    </row>
    <row r="164" spans="1:74">
      <c r="A164" t="s">
        <v>86</v>
      </c>
      <c r="B164">
        <v>22573216</v>
      </c>
      <c r="C164" t="s">
        <v>89</v>
      </c>
      <c r="D164" t="s">
        <v>90</v>
      </c>
      <c r="E164" t="s">
        <v>428</v>
      </c>
      <c r="F164" t="s">
        <v>458</v>
      </c>
      <c r="G164" t="s">
        <v>463</v>
      </c>
      <c r="H164" t="s">
        <v>431</v>
      </c>
      <c r="I164" t="s">
        <v>432</v>
      </c>
      <c r="J164" t="s">
        <v>432</v>
      </c>
      <c r="K164">
        <v>0</v>
      </c>
      <c r="L164" t="s">
        <v>428</v>
      </c>
      <c r="M164" t="s">
        <v>428</v>
      </c>
      <c r="N164">
        <v>202523</v>
      </c>
      <c r="O164">
        <f>INDEX(AllCollegeBarrons,MATCH(N164,AllCollegeNCES,0))</f>
        <v>0</v>
      </c>
      <c r="P164">
        <f>INDEX(KidGPAs,MATCH(B164,KidIDs,0))</f>
        <v>0</v>
      </c>
      <c r="Q164">
        <f>INDEX(KidACTs,MATCH(B164,KidIDs,0))</f>
        <v>0</v>
      </c>
      <c r="R164">
        <f>INDEX(Strats,MATCH(B164,KidIDs,0))</f>
        <v>0</v>
      </c>
      <c r="S164">
        <f>INDEX(KidRace,MATCH(B164,KidIDs,0))</f>
        <v>0</v>
      </c>
      <c r="T164">
        <f>IF(OR(S164="M",S164="I"),"H",S164)</f>
        <v>0</v>
      </c>
      <c r="U164">
        <f>INDEX(StudentTargets,MATCH(B164,KidIDs,0))</f>
        <v>0</v>
      </c>
      <c r="V164">
        <f>INDEX(ReachStudentTargets,MATCH(B164,KidIDs,0))</f>
        <v>0</v>
      </c>
      <c r="W164">
        <f>IF(OR(M164="Posse"),1,0)</f>
        <v>0</v>
      </c>
      <c r="X164">
        <f>IF(ISNUMBER(INDEX(AllCollegeGR, MATCH(N164,AllCollegeNCES,0))),ROUND(INDEX(AllCollegeGR, MATCH(N164,AllCollegeNCES,0))+W164*IF(INDEX(AllCollegeGR, MATCH(N164,AllCollegeNCES,0))&gt;0.7,(1-INDEX(AllCollegeGR, MATCH(N164,AllCollegeNCES,0)))/2,0.15),2),INDEX(AllCollegeGR, MATCH(N164,AllCollegeNCES,0)))</f>
        <v>0</v>
      </c>
      <c r="Y164">
        <f>IF(ISNUMBER(INDEX(AllCollegeAAHGR, MATCH(N164,AllCollegeNCES,0))),ROUND(INDEX(AllCollegeAAHGR, MATCH(N164,AllCollegeNCES,0))+W164*IF(INDEX(AllCollegeAAHGR, MATCH(N164,AllCollegeNCES,0))&gt;0.7,(1-INDEX(AllCollegeAAHGR, MATCH(N164,AllCollegeNCES,0)))/2,0.15),2),INDEX(AllCollegeAAHGR, MATCH(N164,AllCollegeNCES,0)))</f>
        <v>0</v>
      </c>
      <c r="Z164">
        <f>IF(OR(T164="H",T164="B"),INDEX(AllCollegeACT25, MATCH(N164,AllCollegeNCES,0)),INDEX(AllCollegeACT50, MATCH(N164,AllCollegeNCES,0)))</f>
        <v>0</v>
      </c>
      <c r="AA164">
        <f>INDEX(CustomWeightsGPA,MATCH(T164&amp;":"&amp;N164,CustomWeightsIndex,0))</f>
        <v>0</v>
      </c>
      <c r="AB164">
        <f>INDEX(CustomWeightsACT,MATCH(T164&amp;":"&amp;N164,CustomWeightsIndex,0))</f>
        <v>0</v>
      </c>
      <c r="AC164">
        <f>INDEX(CustomWeightsIntercept,MATCH(T164&amp;":"&amp;N164,CustomWeightsIndex,0))</f>
        <v>0</v>
      </c>
      <c r="AD164">
        <f>AA164*P164+AB164*Q164+AC164</f>
        <v>0</v>
      </c>
      <c r="AE164">
        <f>INDEX(CoefficientsGPA,MATCH(T164&amp;":"&amp;O164,CoefficientsIndex,0))</f>
        <v>0</v>
      </c>
      <c r="AF164">
        <f>INDEX(CoefficientsACT,MATCH(T164&amp;":"&amp;O164,CoefficientsIndex,0))</f>
        <v>0</v>
      </c>
      <c r="AG164">
        <f>INDEX(CoefficientsIntercept,MATCH(T164&amp;":"&amp;O164,CoefficientsIndex,0))</f>
        <v>0</v>
      </c>
      <c r="AH164">
        <f>AE164*P164+(Q164-Z164)*AF164+AG164</f>
        <v>0</v>
      </c>
      <c r="AI164">
        <f>IF(ISNUMBER(AD164),AD164,AH164)</f>
        <v>0</v>
      </c>
      <c r="AJ164">
        <f>IF(ISNUMBER(AI164),IF(ISNUMBER(AE164),IF(AND(AE164=1,AF164=1,AG164=1),100,ROUND(100*EXP(AI164)/(1+EXP(AI164)),2)),ROUND(100*EXP(AI164)/(1+EXP(AI164)),2)),IF(ISTEXT(O164),IF(LEFT(O164,1)="2",100,"N/A"),"N/A"))</f>
        <v>0</v>
      </c>
      <c r="AK164">
        <f>IF(ISNUMBER(AJ164),IF(AJ164&gt;=99,IF(OR(R164=10,R164=11),MatchLabel,SureThingLabel),IF(AJ164&gt;=95,SecureLabel,IF(AJ164&gt;=80,SafetyLabel,IF(AJ164&gt;=50,MatchLabel,IF(AJ164&gt;=20,ReachLabel,IF(AJ164&gt;=10,LongshotLabel,HailMaryLabel)))))),"Other")</f>
        <v>0</v>
      </c>
      <c r="AL164">
        <f>IF(OR(I164="accepted",I164="cond. accept",I164="summer admit"),IF(J164="yes","CHOICE!","Accepted!"),IF(I164="denied","Denied",IF(K164=1,"Waitlist",IF(L164=1,"Deferred",IF(G164="pending","Pending",IF(OR(G164="initial materials submitted",G164="mid-year submitted",G164="final submitted"),"Submitted",IF(H164="interest","Interest","?")))))))</f>
        <v>0</v>
      </c>
      <c r="AM164">
        <f>IF(OR(AK164=ReachLabel,AK164=LongshotLabel,AK164=HailMaryLabel),1,0)</f>
        <v>0</v>
      </c>
      <c r="AN164">
        <f>IF(OR(AM164=1,AK164=MatchLabel),1,0)</f>
        <v>0</v>
      </c>
      <c r="AO164">
        <f>IF(OR(AK164=MatchLabel,AK164=SafetyLabel,AK164=SecureLabel,AK164=SureThingLabel),1,0)</f>
        <v>0</v>
      </c>
      <c r="AP164">
        <f>IF(OR(T164="H",T164="B"),IF(ISNUMBER(Y164),ROUND(Y164,2),0),IF(ISNUMBER(X164),ROUND(X164,2),0))</f>
        <v>0</v>
      </c>
      <c r="AQ164">
        <f>IF(AP164&gt;=U164,1,0)</f>
        <v>0</v>
      </c>
      <c r="AR164">
        <f>IF(AP164&gt;=V164,1,0)</f>
        <v>0</v>
      </c>
      <c r="AS164">
        <f>IF(AP164&lt;(U164-0.10),1,0)</f>
        <v>0</v>
      </c>
      <c r="AT164">
        <f>1-AJ164/100</f>
        <v>0</v>
      </c>
      <c r="AU164">
        <f>IF(AN164=1,AT164,1)</f>
        <v>0</v>
      </c>
      <c r="AV164">
        <f>IF(AM164=1,AT164,1)</f>
        <v>0</v>
      </c>
      <c r="AW164">
        <f>IF(AND(AQ164=1,ISNUMBER(AT164)),$AT164,1)</f>
        <v>0</v>
      </c>
      <c r="AX164">
        <f>IF(AND(AR164=1,ISNUMBER(AT164)),$AT164,1)</f>
        <v>0</v>
      </c>
      <c r="AY164">
        <f>IF(ISNUMBER(Y164),INDEX(AllCollegeMoney, MATCH(N164,AllCollegeNCES,0)),0)</f>
        <v>0</v>
      </c>
      <c r="AZ164">
        <f>IF(AND(AQ164=1,ISNUMBER(AT164),AY164=1),$AT164,1)</f>
        <v>0</v>
      </c>
      <c r="BA164">
        <f>IF(AND(AR164=1,ISNUMBER(AT164),AY164=1),$AT164,1)</f>
        <v>0</v>
      </c>
      <c r="BB164">
        <f>IF(ISNUMBER(Y164),INDEX(AllCollegeILPub, MATCH(N164,AllCollegeNCES,0)),0)</f>
        <v>0</v>
      </c>
      <c r="BC164">
        <f>IF(AK164=ReachLabel,AP164,0)</f>
        <v>0</v>
      </c>
      <c r="BD164">
        <f>IF(AK164=MatchLabel,AP164,0)</f>
        <v>0</v>
      </c>
      <c r="BE164">
        <f>IF(AK164=SafetyLabel,AP164,0)</f>
        <v>0</v>
      </c>
      <c r="BF164">
        <f>IF(AK164=SecureLabel,AP164,0)</f>
        <v>0</v>
      </c>
      <c r="BG164">
        <f>IF(AK164=SureThingLabel,AP164,0)</f>
        <v>0</v>
      </c>
      <c r="BH164">
        <f>MAX(BC164:BG164)</f>
        <v>0</v>
      </c>
      <c r="BI164">
        <f>MAX(BD164:BG164)</f>
        <v>0</v>
      </c>
      <c r="BJ164">
        <f>MAX(BE164:BG164)</f>
        <v>0</v>
      </c>
      <c r="BK164">
        <f>IF(AND(AK164=ReachLabel,AY164=1),AP164,0)</f>
        <v>0</v>
      </c>
      <c r="BL164">
        <f>IF(AND(AK164=MatchLabel,AY164=1),AP164,0)</f>
        <v>0</v>
      </c>
      <c r="BM164">
        <f>IF(AND(AK164=SafetyLabel,AY164=1),AP164,0)</f>
        <v>0</v>
      </c>
      <c r="BN164">
        <f>IF(AND(AK164=SecureLabel,AY164=1),AP164,0)</f>
        <v>0</v>
      </c>
      <c r="BO164">
        <f>IF(AND(AK164=SureThingLabel,AY164=1),AP164,0)</f>
        <v>0</v>
      </c>
      <c r="BP164">
        <f>MAX(BK164:BO164)</f>
        <v>0</v>
      </c>
      <c r="BQ164">
        <f>MAX(BL164:BO164)</f>
        <v>0</v>
      </c>
      <c r="BR164">
        <f>MAX(BM164:BO164)</f>
        <v>0</v>
      </c>
      <c r="BS164">
        <f>IF(ISNUMBER(Y164),INDEX(AllCollegeChicago, MATCH(N164,AllCollegeNCES,0))*AY164,0)</f>
        <v>0</v>
      </c>
      <c r="BT164">
        <f>IF(ISNUMBER(Y164),INDEX(AllCollegeMoneyCode, MATCH(N164,AllCollegeNCES,0)),"?")</f>
        <v>0</v>
      </c>
      <c r="BU164">
        <f>IF(OR(BT164="---",BT164="--",BT164="+/--",BT164="+/---"),1,0)</f>
        <v>0</v>
      </c>
      <c r="BV164">
        <f>AY164*AO164*AQ164</f>
        <v>0</v>
      </c>
    </row>
    <row r="165" spans="1:74">
      <c r="A165" t="s">
        <v>86</v>
      </c>
      <c r="B165">
        <v>22573216</v>
      </c>
      <c r="C165" t="s">
        <v>89</v>
      </c>
      <c r="D165" t="s">
        <v>90</v>
      </c>
      <c r="E165" t="s">
        <v>428</v>
      </c>
      <c r="F165" t="s">
        <v>447</v>
      </c>
      <c r="G165" t="s">
        <v>430</v>
      </c>
      <c r="H165" t="s">
        <v>431</v>
      </c>
      <c r="I165" t="s">
        <v>432</v>
      </c>
      <c r="J165" t="s">
        <v>432</v>
      </c>
      <c r="K165">
        <v>0</v>
      </c>
      <c r="L165" t="s">
        <v>428</v>
      </c>
      <c r="M165" t="s">
        <v>428</v>
      </c>
      <c r="N165">
        <v>145600</v>
      </c>
      <c r="O165">
        <f>INDEX(AllCollegeBarrons,MATCH(N165,AllCollegeNCES,0))</f>
        <v>0</v>
      </c>
      <c r="P165">
        <f>INDEX(KidGPAs,MATCH(B165,KidIDs,0))</f>
        <v>0</v>
      </c>
      <c r="Q165">
        <f>INDEX(KidACTs,MATCH(B165,KidIDs,0))</f>
        <v>0</v>
      </c>
      <c r="R165">
        <f>INDEX(Strats,MATCH(B165,KidIDs,0))</f>
        <v>0</v>
      </c>
      <c r="S165">
        <f>INDEX(KidRace,MATCH(B165,KidIDs,0))</f>
        <v>0</v>
      </c>
      <c r="T165">
        <f>IF(OR(S165="M",S165="I"),"H",S165)</f>
        <v>0</v>
      </c>
      <c r="U165">
        <f>INDEX(StudentTargets,MATCH(B165,KidIDs,0))</f>
        <v>0</v>
      </c>
      <c r="V165">
        <f>INDEX(ReachStudentTargets,MATCH(B165,KidIDs,0))</f>
        <v>0</v>
      </c>
      <c r="W165">
        <f>IF(OR(M165="Posse"),1,0)</f>
        <v>0</v>
      </c>
      <c r="X165">
        <f>IF(ISNUMBER(INDEX(AllCollegeGR, MATCH(N165,AllCollegeNCES,0))),ROUND(INDEX(AllCollegeGR, MATCH(N165,AllCollegeNCES,0))+W165*IF(INDEX(AllCollegeGR, MATCH(N165,AllCollegeNCES,0))&gt;0.7,(1-INDEX(AllCollegeGR, MATCH(N165,AllCollegeNCES,0)))/2,0.15),2),INDEX(AllCollegeGR, MATCH(N165,AllCollegeNCES,0)))</f>
        <v>0</v>
      </c>
      <c r="Y165">
        <f>IF(ISNUMBER(INDEX(AllCollegeAAHGR, MATCH(N165,AllCollegeNCES,0))),ROUND(INDEX(AllCollegeAAHGR, MATCH(N165,AllCollegeNCES,0))+W165*IF(INDEX(AllCollegeAAHGR, MATCH(N165,AllCollegeNCES,0))&gt;0.7,(1-INDEX(AllCollegeAAHGR, MATCH(N165,AllCollegeNCES,0)))/2,0.15),2),INDEX(AllCollegeAAHGR, MATCH(N165,AllCollegeNCES,0)))</f>
        <v>0</v>
      </c>
      <c r="Z165">
        <f>IF(OR(T165="H",T165="B"),INDEX(AllCollegeACT25, MATCH(N165,AllCollegeNCES,0)),INDEX(AllCollegeACT50, MATCH(N165,AllCollegeNCES,0)))</f>
        <v>0</v>
      </c>
      <c r="AA165">
        <f>INDEX(CustomWeightsGPA,MATCH(T165&amp;":"&amp;N165,CustomWeightsIndex,0))</f>
        <v>0</v>
      </c>
      <c r="AB165">
        <f>INDEX(CustomWeightsACT,MATCH(T165&amp;":"&amp;N165,CustomWeightsIndex,0))</f>
        <v>0</v>
      </c>
      <c r="AC165">
        <f>INDEX(CustomWeightsIntercept,MATCH(T165&amp;":"&amp;N165,CustomWeightsIndex,0))</f>
        <v>0</v>
      </c>
      <c r="AD165">
        <f>AA165*P165+AB165*Q165+AC165</f>
        <v>0</v>
      </c>
      <c r="AE165">
        <f>INDEX(CoefficientsGPA,MATCH(T165&amp;":"&amp;O165,CoefficientsIndex,0))</f>
        <v>0</v>
      </c>
      <c r="AF165">
        <f>INDEX(CoefficientsACT,MATCH(T165&amp;":"&amp;O165,CoefficientsIndex,0))</f>
        <v>0</v>
      </c>
      <c r="AG165">
        <f>INDEX(CoefficientsIntercept,MATCH(T165&amp;":"&amp;O165,CoefficientsIndex,0))</f>
        <v>0</v>
      </c>
      <c r="AH165">
        <f>AE165*P165+(Q165-Z165)*AF165+AG165</f>
        <v>0</v>
      </c>
      <c r="AI165">
        <f>IF(ISNUMBER(AD165),AD165,AH165)</f>
        <v>0</v>
      </c>
      <c r="AJ165">
        <f>IF(ISNUMBER(AI165),IF(ISNUMBER(AE165),IF(AND(AE165=1,AF165=1,AG165=1),100,ROUND(100*EXP(AI165)/(1+EXP(AI165)),2)),ROUND(100*EXP(AI165)/(1+EXP(AI165)),2)),IF(ISTEXT(O165),IF(LEFT(O165,1)="2",100,"N/A"),"N/A"))</f>
        <v>0</v>
      </c>
      <c r="AK165">
        <f>IF(ISNUMBER(AJ165),IF(AJ165&gt;=99,IF(OR(R165=10,R165=11),MatchLabel,SureThingLabel),IF(AJ165&gt;=95,SecureLabel,IF(AJ165&gt;=80,SafetyLabel,IF(AJ165&gt;=50,MatchLabel,IF(AJ165&gt;=20,ReachLabel,IF(AJ165&gt;=10,LongshotLabel,HailMaryLabel)))))),"Other")</f>
        <v>0</v>
      </c>
      <c r="AL165">
        <f>IF(OR(I165="accepted",I165="cond. accept",I165="summer admit"),IF(J165="yes","CHOICE!","Accepted!"),IF(I165="denied","Denied",IF(K165=1,"Waitlist",IF(L165=1,"Deferred",IF(G165="pending","Pending",IF(OR(G165="initial materials submitted",G165="mid-year submitted",G165="final submitted"),"Submitted",IF(H165="interest","Interest","?")))))))</f>
        <v>0</v>
      </c>
      <c r="AM165">
        <f>IF(OR(AK165=ReachLabel,AK165=LongshotLabel,AK165=HailMaryLabel),1,0)</f>
        <v>0</v>
      </c>
      <c r="AN165">
        <f>IF(OR(AM165=1,AK165=MatchLabel),1,0)</f>
        <v>0</v>
      </c>
      <c r="AO165">
        <f>IF(OR(AK165=MatchLabel,AK165=SafetyLabel,AK165=SecureLabel,AK165=SureThingLabel),1,0)</f>
        <v>0</v>
      </c>
      <c r="AP165">
        <f>IF(OR(T165="H",T165="B"),IF(ISNUMBER(Y165),ROUND(Y165,2),0),IF(ISNUMBER(X165),ROUND(X165,2),0))</f>
        <v>0</v>
      </c>
      <c r="AQ165">
        <f>IF(AP165&gt;=U165,1,0)</f>
        <v>0</v>
      </c>
      <c r="AR165">
        <f>IF(AP165&gt;=V165,1,0)</f>
        <v>0</v>
      </c>
      <c r="AS165">
        <f>IF(AP165&lt;(U165-0.10),1,0)</f>
        <v>0</v>
      </c>
      <c r="AT165">
        <f>1-AJ165/100</f>
        <v>0</v>
      </c>
      <c r="AU165">
        <f>IF(AN165=1,AT165,1)</f>
        <v>0</v>
      </c>
      <c r="AV165">
        <f>IF(AM165=1,AT165,1)</f>
        <v>0</v>
      </c>
      <c r="AW165">
        <f>IF(AND(AQ165=1,ISNUMBER(AT165)),$AT165,1)</f>
        <v>0</v>
      </c>
      <c r="AX165">
        <f>IF(AND(AR165=1,ISNUMBER(AT165)),$AT165,1)</f>
        <v>0</v>
      </c>
      <c r="AY165">
        <f>IF(ISNUMBER(Y165),INDEX(AllCollegeMoney, MATCH(N165,AllCollegeNCES,0)),0)</f>
        <v>0</v>
      </c>
      <c r="AZ165">
        <f>IF(AND(AQ165=1,ISNUMBER(AT165),AY165=1),$AT165,1)</f>
        <v>0</v>
      </c>
      <c r="BA165">
        <f>IF(AND(AR165=1,ISNUMBER(AT165),AY165=1),$AT165,1)</f>
        <v>0</v>
      </c>
      <c r="BB165">
        <f>IF(ISNUMBER(Y165),INDEX(AllCollegeILPub, MATCH(N165,AllCollegeNCES,0)),0)</f>
        <v>0</v>
      </c>
      <c r="BC165">
        <f>IF(AK165=ReachLabel,AP165,0)</f>
        <v>0</v>
      </c>
      <c r="BD165">
        <f>IF(AK165=MatchLabel,AP165,0)</f>
        <v>0</v>
      </c>
      <c r="BE165">
        <f>IF(AK165=SafetyLabel,AP165,0)</f>
        <v>0</v>
      </c>
      <c r="BF165">
        <f>IF(AK165=SecureLabel,AP165,0)</f>
        <v>0</v>
      </c>
      <c r="BG165">
        <f>IF(AK165=SureThingLabel,AP165,0)</f>
        <v>0</v>
      </c>
      <c r="BH165">
        <f>MAX(BC165:BG165)</f>
        <v>0</v>
      </c>
      <c r="BI165">
        <f>MAX(BD165:BG165)</f>
        <v>0</v>
      </c>
      <c r="BJ165">
        <f>MAX(BE165:BG165)</f>
        <v>0</v>
      </c>
      <c r="BK165">
        <f>IF(AND(AK165=ReachLabel,AY165=1),AP165,0)</f>
        <v>0</v>
      </c>
      <c r="BL165">
        <f>IF(AND(AK165=MatchLabel,AY165=1),AP165,0)</f>
        <v>0</v>
      </c>
      <c r="BM165">
        <f>IF(AND(AK165=SafetyLabel,AY165=1),AP165,0)</f>
        <v>0</v>
      </c>
      <c r="BN165">
        <f>IF(AND(AK165=SecureLabel,AY165=1),AP165,0)</f>
        <v>0</v>
      </c>
      <c r="BO165">
        <f>IF(AND(AK165=SureThingLabel,AY165=1),AP165,0)</f>
        <v>0</v>
      </c>
      <c r="BP165">
        <f>MAX(BK165:BO165)</f>
        <v>0</v>
      </c>
      <c r="BQ165">
        <f>MAX(BL165:BO165)</f>
        <v>0</v>
      </c>
      <c r="BR165">
        <f>MAX(BM165:BO165)</f>
        <v>0</v>
      </c>
      <c r="BS165">
        <f>IF(ISNUMBER(Y165),INDEX(AllCollegeChicago, MATCH(N165,AllCollegeNCES,0))*AY165,0)</f>
        <v>0</v>
      </c>
      <c r="BT165">
        <f>IF(ISNUMBER(Y165),INDEX(AllCollegeMoneyCode, MATCH(N165,AllCollegeNCES,0)),"?")</f>
        <v>0</v>
      </c>
      <c r="BU165">
        <f>IF(OR(BT165="---",BT165="--",BT165="+/--",BT165="+/---"),1,0)</f>
        <v>0</v>
      </c>
      <c r="BV165">
        <f>AY165*AO165*AQ165</f>
        <v>0</v>
      </c>
    </row>
    <row r="166" spans="1:74">
      <c r="A166" t="s">
        <v>86</v>
      </c>
      <c r="B166">
        <v>22587209</v>
      </c>
      <c r="C166" t="s">
        <v>257</v>
      </c>
      <c r="D166" t="s">
        <v>258</v>
      </c>
      <c r="E166" t="s">
        <v>428</v>
      </c>
      <c r="F166" t="s">
        <v>459</v>
      </c>
      <c r="G166" t="s">
        <v>430</v>
      </c>
      <c r="H166" t="s">
        <v>431</v>
      </c>
      <c r="I166" t="s">
        <v>432</v>
      </c>
      <c r="J166" t="s">
        <v>432</v>
      </c>
      <c r="K166">
        <v>0</v>
      </c>
      <c r="L166" t="s">
        <v>428</v>
      </c>
      <c r="M166" t="s">
        <v>428</v>
      </c>
      <c r="N166">
        <v>146427</v>
      </c>
      <c r="O166">
        <f>INDEX(AllCollegeBarrons,MATCH(N166,AllCollegeNCES,0))</f>
        <v>0</v>
      </c>
      <c r="P166">
        <f>INDEX(KidGPAs,MATCH(B166,KidIDs,0))</f>
        <v>0</v>
      </c>
      <c r="Q166">
        <f>INDEX(KidACTs,MATCH(B166,KidIDs,0))</f>
        <v>0</v>
      </c>
      <c r="R166">
        <f>INDEX(Strats,MATCH(B166,KidIDs,0))</f>
        <v>0</v>
      </c>
      <c r="S166">
        <f>INDEX(KidRace,MATCH(B166,KidIDs,0))</f>
        <v>0</v>
      </c>
      <c r="T166">
        <f>IF(OR(S166="M",S166="I"),"H",S166)</f>
        <v>0</v>
      </c>
      <c r="U166">
        <f>INDEX(StudentTargets,MATCH(B166,KidIDs,0))</f>
        <v>0</v>
      </c>
      <c r="V166">
        <f>INDEX(ReachStudentTargets,MATCH(B166,KidIDs,0))</f>
        <v>0</v>
      </c>
      <c r="W166">
        <f>IF(OR(M166="Posse"),1,0)</f>
        <v>0</v>
      </c>
      <c r="X166">
        <f>IF(ISNUMBER(INDEX(AllCollegeGR, MATCH(N166,AllCollegeNCES,0))),ROUND(INDEX(AllCollegeGR, MATCH(N166,AllCollegeNCES,0))+W166*IF(INDEX(AllCollegeGR, MATCH(N166,AllCollegeNCES,0))&gt;0.7,(1-INDEX(AllCollegeGR, MATCH(N166,AllCollegeNCES,0)))/2,0.15),2),INDEX(AllCollegeGR, MATCH(N166,AllCollegeNCES,0)))</f>
        <v>0</v>
      </c>
      <c r="Y166">
        <f>IF(ISNUMBER(INDEX(AllCollegeAAHGR, MATCH(N166,AllCollegeNCES,0))),ROUND(INDEX(AllCollegeAAHGR, MATCH(N166,AllCollegeNCES,0))+W166*IF(INDEX(AllCollegeAAHGR, MATCH(N166,AllCollegeNCES,0))&gt;0.7,(1-INDEX(AllCollegeAAHGR, MATCH(N166,AllCollegeNCES,0)))/2,0.15),2),INDEX(AllCollegeAAHGR, MATCH(N166,AllCollegeNCES,0)))</f>
        <v>0</v>
      </c>
      <c r="Z166">
        <f>IF(OR(T166="H",T166="B"),INDEX(AllCollegeACT25, MATCH(N166,AllCollegeNCES,0)),INDEX(AllCollegeACT50, MATCH(N166,AllCollegeNCES,0)))</f>
        <v>0</v>
      </c>
      <c r="AA166">
        <f>INDEX(CustomWeightsGPA,MATCH(T166&amp;":"&amp;N166,CustomWeightsIndex,0))</f>
        <v>0</v>
      </c>
      <c r="AB166">
        <f>INDEX(CustomWeightsACT,MATCH(T166&amp;":"&amp;N166,CustomWeightsIndex,0))</f>
        <v>0</v>
      </c>
      <c r="AC166">
        <f>INDEX(CustomWeightsIntercept,MATCH(T166&amp;":"&amp;N166,CustomWeightsIndex,0))</f>
        <v>0</v>
      </c>
      <c r="AD166">
        <f>AA166*P166+AB166*Q166+AC166</f>
        <v>0</v>
      </c>
      <c r="AE166">
        <f>INDEX(CoefficientsGPA,MATCH(T166&amp;":"&amp;O166,CoefficientsIndex,0))</f>
        <v>0</v>
      </c>
      <c r="AF166">
        <f>INDEX(CoefficientsACT,MATCH(T166&amp;":"&amp;O166,CoefficientsIndex,0))</f>
        <v>0</v>
      </c>
      <c r="AG166">
        <f>INDEX(CoefficientsIntercept,MATCH(T166&amp;":"&amp;O166,CoefficientsIndex,0))</f>
        <v>0</v>
      </c>
      <c r="AH166">
        <f>AE166*P166+(Q166-Z166)*AF166+AG166</f>
        <v>0</v>
      </c>
      <c r="AI166">
        <f>IF(ISNUMBER(AD166),AD166,AH166)</f>
        <v>0</v>
      </c>
      <c r="AJ166">
        <f>IF(ISNUMBER(AI166),IF(ISNUMBER(AE166),IF(AND(AE166=1,AF166=1,AG166=1),100,ROUND(100*EXP(AI166)/(1+EXP(AI166)),2)),ROUND(100*EXP(AI166)/(1+EXP(AI166)),2)),IF(ISTEXT(O166),IF(LEFT(O166,1)="2",100,"N/A"),"N/A"))</f>
        <v>0</v>
      </c>
      <c r="AK166">
        <f>IF(ISNUMBER(AJ166),IF(AJ166&gt;=99,IF(OR(R166=10,R166=11),MatchLabel,SureThingLabel),IF(AJ166&gt;=95,SecureLabel,IF(AJ166&gt;=80,SafetyLabel,IF(AJ166&gt;=50,MatchLabel,IF(AJ166&gt;=20,ReachLabel,IF(AJ166&gt;=10,LongshotLabel,HailMaryLabel)))))),"Other")</f>
        <v>0</v>
      </c>
      <c r="AL166">
        <f>IF(OR(I166="accepted",I166="cond. accept",I166="summer admit"),IF(J166="yes","CHOICE!","Accepted!"),IF(I166="denied","Denied",IF(K166=1,"Waitlist",IF(L166=1,"Deferred",IF(G166="pending","Pending",IF(OR(G166="initial materials submitted",G166="mid-year submitted",G166="final submitted"),"Submitted",IF(H166="interest","Interest","?")))))))</f>
        <v>0</v>
      </c>
      <c r="AM166">
        <f>IF(OR(AK166=ReachLabel,AK166=LongshotLabel,AK166=HailMaryLabel),1,0)</f>
        <v>0</v>
      </c>
      <c r="AN166">
        <f>IF(OR(AM166=1,AK166=MatchLabel),1,0)</f>
        <v>0</v>
      </c>
      <c r="AO166">
        <f>IF(OR(AK166=MatchLabel,AK166=SafetyLabel,AK166=SecureLabel,AK166=SureThingLabel),1,0)</f>
        <v>0</v>
      </c>
      <c r="AP166">
        <f>IF(OR(T166="H",T166="B"),IF(ISNUMBER(Y166),ROUND(Y166,2),0),IF(ISNUMBER(X166),ROUND(X166,2),0))</f>
        <v>0</v>
      </c>
      <c r="AQ166">
        <f>IF(AP166&gt;=U166,1,0)</f>
        <v>0</v>
      </c>
      <c r="AR166">
        <f>IF(AP166&gt;=V166,1,0)</f>
        <v>0</v>
      </c>
      <c r="AS166">
        <f>IF(AP166&lt;(U166-0.10),1,0)</f>
        <v>0</v>
      </c>
      <c r="AT166">
        <f>1-AJ166/100</f>
        <v>0</v>
      </c>
      <c r="AU166">
        <f>IF(AN166=1,AT166,1)</f>
        <v>0</v>
      </c>
      <c r="AV166">
        <f>IF(AM166=1,AT166,1)</f>
        <v>0</v>
      </c>
      <c r="AW166">
        <f>IF(AND(AQ166=1,ISNUMBER(AT166)),$AT166,1)</f>
        <v>0</v>
      </c>
      <c r="AX166">
        <f>IF(AND(AR166=1,ISNUMBER(AT166)),$AT166,1)</f>
        <v>0</v>
      </c>
      <c r="AY166">
        <f>IF(ISNUMBER(Y166),INDEX(AllCollegeMoney, MATCH(N166,AllCollegeNCES,0)),0)</f>
        <v>0</v>
      </c>
      <c r="AZ166">
        <f>IF(AND(AQ166=1,ISNUMBER(AT166),AY166=1),$AT166,1)</f>
        <v>0</v>
      </c>
      <c r="BA166">
        <f>IF(AND(AR166=1,ISNUMBER(AT166),AY166=1),$AT166,1)</f>
        <v>0</v>
      </c>
      <c r="BB166">
        <f>IF(ISNUMBER(Y166),INDEX(AllCollegeILPub, MATCH(N166,AllCollegeNCES,0)),0)</f>
        <v>0</v>
      </c>
      <c r="BC166">
        <f>IF(AK166=ReachLabel,AP166,0)</f>
        <v>0</v>
      </c>
      <c r="BD166">
        <f>IF(AK166=MatchLabel,AP166,0)</f>
        <v>0</v>
      </c>
      <c r="BE166">
        <f>IF(AK166=SafetyLabel,AP166,0)</f>
        <v>0</v>
      </c>
      <c r="BF166">
        <f>IF(AK166=SecureLabel,AP166,0)</f>
        <v>0</v>
      </c>
      <c r="BG166">
        <f>IF(AK166=SureThingLabel,AP166,0)</f>
        <v>0</v>
      </c>
      <c r="BH166">
        <f>MAX(BC166:BG166)</f>
        <v>0</v>
      </c>
      <c r="BI166">
        <f>MAX(BD166:BG166)</f>
        <v>0</v>
      </c>
      <c r="BJ166">
        <f>MAX(BE166:BG166)</f>
        <v>0</v>
      </c>
      <c r="BK166">
        <f>IF(AND(AK166=ReachLabel,AY166=1),AP166,0)</f>
        <v>0</v>
      </c>
      <c r="BL166">
        <f>IF(AND(AK166=MatchLabel,AY166=1),AP166,0)</f>
        <v>0</v>
      </c>
      <c r="BM166">
        <f>IF(AND(AK166=SafetyLabel,AY166=1),AP166,0)</f>
        <v>0</v>
      </c>
      <c r="BN166">
        <f>IF(AND(AK166=SecureLabel,AY166=1),AP166,0)</f>
        <v>0</v>
      </c>
      <c r="BO166">
        <f>IF(AND(AK166=SureThingLabel,AY166=1),AP166,0)</f>
        <v>0</v>
      </c>
      <c r="BP166">
        <f>MAX(BK166:BO166)</f>
        <v>0</v>
      </c>
      <c r="BQ166">
        <f>MAX(BL166:BO166)</f>
        <v>0</v>
      </c>
      <c r="BR166">
        <f>MAX(BM166:BO166)</f>
        <v>0</v>
      </c>
      <c r="BS166">
        <f>IF(ISNUMBER(Y166),INDEX(AllCollegeChicago, MATCH(N166,AllCollegeNCES,0))*AY166,0)</f>
        <v>0</v>
      </c>
      <c r="BT166">
        <f>IF(ISNUMBER(Y166),INDEX(AllCollegeMoneyCode, MATCH(N166,AllCollegeNCES,0)),"?")</f>
        <v>0</v>
      </c>
      <c r="BU166">
        <f>IF(OR(BT166="---",BT166="--",BT166="+/--",BT166="+/---"),1,0)</f>
        <v>0</v>
      </c>
      <c r="BV166">
        <f>AY166*AO166*AQ166</f>
        <v>0</v>
      </c>
    </row>
    <row r="167" spans="1:74">
      <c r="A167" t="s">
        <v>86</v>
      </c>
      <c r="B167">
        <v>22587209</v>
      </c>
      <c r="C167" t="s">
        <v>257</v>
      </c>
      <c r="D167" t="s">
        <v>258</v>
      </c>
      <c r="E167" t="s">
        <v>428</v>
      </c>
      <c r="F167" t="s">
        <v>484</v>
      </c>
      <c r="G167" t="s">
        <v>430</v>
      </c>
      <c r="H167" t="s">
        <v>431</v>
      </c>
      <c r="I167" t="s">
        <v>432</v>
      </c>
      <c r="J167" t="s">
        <v>432</v>
      </c>
      <c r="K167">
        <v>0</v>
      </c>
      <c r="L167" t="s">
        <v>428</v>
      </c>
      <c r="M167" t="s">
        <v>428</v>
      </c>
      <c r="N167">
        <v>144740</v>
      </c>
      <c r="O167">
        <f>INDEX(AllCollegeBarrons,MATCH(N167,AllCollegeNCES,0))</f>
        <v>0</v>
      </c>
      <c r="P167">
        <f>INDEX(KidGPAs,MATCH(B167,KidIDs,0))</f>
        <v>0</v>
      </c>
      <c r="Q167">
        <f>INDEX(KidACTs,MATCH(B167,KidIDs,0))</f>
        <v>0</v>
      </c>
      <c r="R167">
        <f>INDEX(Strats,MATCH(B167,KidIDs,0))</f>
        <v>0</v>
      </c>
      <c r="S167">
        <f>INDEX(KidRace,MATCH(B167,KidIDs,0))</f>
        <v>0</v>
      </c>
      <c r="T167">
        <f>IF(OR(S167="M",S167="I"),"H",S167)</f>
        <v>0</v>
      </c>
      <c r="U167">
        <f>INDEX(StudentTargets,MATCH(B167,KidIDs,0))</f>
        <v>0</v>
      </c>
      <c r="V167">
        <f>INDEX(ReachStudentTargets,MATCH(B167,KidIDs,0))</f>
        <v>0</v>
      </c>
      <c r="W167">
        <f>IF(OR(M167="Posse"),1,0)</f>
        <v>0</v>
      </c>
      <c r="X167">
        <f>IF(ISNUMBER(INDEX(AllCollegeGR, MATCH(N167,AllCollegeNCES,0))),ROUND(INDEX(AllCollegeGR, MATCH(N167,AllCollegeNCES,0))+W167*IF(INDEX(AllCollegeGR, MATCH(N167,AllCollegeNCES,0))&gt;0.7,(1-INDEX(AllCollegeGR, MATCH(N167,AllCollegeNCES,0)))/2,0.15),2),INDEX(AllCollegeGR, MATCH(N167,AllCollegeNCES,0)))</f>
        <v>0</v>
      </c>
      <c r="Y167">
        <f>IF(ISNUMBER(INDEX(AllCollegeAAHGR, MATCH(N167,AllCollegeNCES,0))),ROUND(INDEX(AllCollegeAAHGR, MATCH(N167,AllCollegeNCES,0))+W167*IF(INDEX(AllCollegeAAHGR, MATCH(N167,AllCollegeNCES,0))&gt;0.7,(1-INDEX(AllCollegeAAHGR, MATCH(N167,AllCollegeNCES,0)))/2,0.15),2),INDEX(AllCollegeAAHGR, MATCH(N167,AllCollegeNCES,0)))</f>
        <v>0</v>
      </c>
      <c r="Z167">
        <f>IF(OR(T167="H",T167="B"),INDEX(AllCollegeACT25, MATCH(N167,AllCollegeNCES,0)),INDEX(AllCollegeACT50, MATCH(N167,AllCollegeNCES,0)))</f>
        <v>0</v>
      </c>
      <c r="AA167">
        <f>INDEX(CustomWeightsGPA,MATCH(T167&amp;":"&amp;N167,CustomWeightsIndex,0))</f>
        <v>0</v>
      </c>
      <c r="AB167">
        <f>INDEX(CustomWeightsACT,MATCH(T167&amp;":"&amp;N167,CustomWeightsIndex,0))</f>
        <v>0</v>
      </c>
      <c r="AC167">
        <f>INDEX(CustomWeightsIntercept,MATCH(T167&amp;":"&amp;N167,CustomWeightsIndex,0))</f>
        <v>0</v>
      </c>
      <c r="AD167">
        <f>AA167*P167+AB167*Q167+AC167</f>
        <v>0</v>
      </c>
      <c r="AE167">
        <f>INDEX(CoefficientsGPA,MATCH(T167&amp;":"&amp;O167,CoefficientsIndex,0))</f>
        <v>0</v>
      </c>
      <c r="AF167">
        <f>INDEX(CoefficientsACT,MATCH(T167&amp;":"&amp;O167,CoefficientsIndex,0))</f>
        <v>0</v>
      </c>
      <c r="AG167">
        <f>INDEX(CoefficientsIntercept,MATCH(T167&amp;":"&amp;O167,CoefficientsIndex,0))</f>
        <v>0</v>
      </c>
      <c r="AH167">
        <f>AE167*P167+(Q167-Z167)*AF167+AG167</f>
        <v>0</v>
      </c>
      <c r="AI167">
        <f>IF(ISNUMBER(AD167),AD167,AH167)</f>
        <v>0</v>
      </c>
      <c r="AJ167">
        <f>IF(ISNUMBER(AI167),IF(ISNUMBER(AE167),IF(AND(AE167=1,AF167=1,AG167=1),100,ROUND(100*EXP(AI167)/(1+EXP(AI167)),2)),ROUND(100*EXP(AI167)/(1+EXP(AI167)),2)),IF(ISTEXT(O167),IF(LEFT(O167,1)="2",100,"N/A"),"N/A"))</f>
        <v>0</v>
      </c>
      <c r="AK167">
        <f>IF(ISNUMBER(AJ167),IF(AJ167&gt;=99,IF(OR(R167=10,R167=11),MatchLabel,SureThingLabel),IF(AJ167&gt;=95,SecureLabel,IF(AJ167&gt;=80,SafetyLabel,IF(AJ167&gt;=50,MatchLabel,IF(AJ167&gt;=20,ReachLabel,IF(AJ167&gt;=10,LongshotLabel,HailMaryLabel)))))),"Other")</f>
        <v>0</v>
      </c>
      <c r="AL167">
        <f>IF(OR(I167="accepted",I167="cond. accept",I167="summer admit"),IF(J167="yes","CHOICE!","Accepted!"),IF(I167="denied","Denied",IF(K167=1,"Waitlist",IF(L167=1,"Deferred",IF(G167="pending","Pending",IF(OR(G167="initial materials submitted",G167="mid-year submitted",G167="final submitted"),"Submitted",IF(H167="interest","Interest","?")))))))</f>
        <v>0</v>
      </c>
      <c r="AM167">
        <f>IF(OR(AK167=ReachLabel,AK167=LongshotLabel,AK167=HailMaryLabel),1,0)</f>
        <v>0</v>
      </c>
      <c r="AN167">
        <f>IF(OR(AM167=1,AK167=MatchLabel),1,0)</f>
        <v>0</v>
      </c>
      <c r="AO167">
        <f>IF(OR(AK167=MatchLabel,AK167=SafetyLabel,AK167=SecureLabel,AK167=SureThingLabel),1,0)</f>
        <v>0</v>
      </c>
      <c r="AP167">
        <f>IF(OR(T167="H",T167="B"),IF(ISNUMBER(Y167),ROUND(Y167,2),0),IF(ISNUMBER(X167),ROUND(X167,2),0))</f>
        <v>0</v>
      </c>
      <c r="AQ167">
        <f>IF(AP167&gt;=U167,1,0)</f>
        <v>0</v>
      </c>
      <c r="AR167">
        <f>IF(AP167&gt;=V167,1,0)</f>
        <v>0</v>
      </c>
      <c r="AS167">
        <f>IF(AP167&lt;(U167-0.10),1,0)</f>
        <v>0</v>
      </c>
      <c r="AT167">
        <f>1-AJ167/100</f>
        <v>0</v>
      </c>
      <c r="AU167">
        <f>IF(AN167=1,AT167,1)</f>
        <v>0</v>
      </c>
      <c r="AV167">
        <f>IF(AM167=1,AT167,1)</f>
        <v>0</v>
      </c>
      <c r="AW167">
        <f>IF(AND(AQ167=1,ISNUMBER(AT167)),$AT167,1)</f>
        <v>0</v>
      </c>
      <c r="AX167">
        <f>IF(AND(AR167=1,ISNUMBER(AT167)),$AT167,1)</f>
        <v>0</v>
      </c>
      <c r="AY167">
        <f>IF(ISNUMBER(Y167),INDEX(AllCollegeMoney, MATCH(N167,AllCollegeNCES,0)),0)</f>
        <v>0</v>
      </c>
      <c r="AZ167">
        <f>IF(AND(AQ167=1,ISNUMBER(AT167),AY167=1),$AT167,1)</f>
        <v>0</v>
      </c>
      <c r="BA167">
        <f>IF(AND(AR167=1,ISNUMBER(AT167),AY167=1),$AT167,1)</f>
        <v>0</v>
      </c>
      <c r="BB167">
        <f>IF(ISNUMBER(Y167),INDEX(AllCollegeILPub, MATCH(N167,AllCollegeNCES,0)),0)</f>
        <v>0</v>
      </c>
      <c r="BC167">
        <f>IF(AK167=ReachLabel,AP167,0)</f>
        <v>0</v>
      </c>
      <c r="BD167">
        <f>IF(AK167=MatchLabel,AP167,0)</f>
        <v>0</v>
      </c>
      <c r="BE167">
        <f>IF(AK167=SafetyLabel,AP167,0)</f>
        <v>0</v>
      </c>
      <c r="BF167">
        <f>IF(AK167=SecureLabel,AP167,0)</f>
        <v>0</v>
      </c>
      <c r="BG167">
        <f>IF(AK167=SureThingLabel,AP167,0)</f>
        <v>0</v>
      </c>
      <c r="BH167">
        <f>MAX(BC167:BG167)</f>
        <v>0</v>
      </c>
      <c r="BI167">
        <f>MAX(BD167:BG167)</f>
        <v>0</v>
      </c>
      <c r="BJ167">
        <f>MAX(BE167:BG167)</f>
        <v>0</v>
      </c>
      <c r="BK167">
        <f>IF(AND(AK167=ReachLabel,AY167=1),AP167,0)</f>
        <v>0</v>
      </c>
      <c r="BL167">
        <f>IF(AND(AK167=MatchLabel,AY167=1),AP167,0)</f>
        <v>0</v>
      </c>
      <c r="BM167">
        <f>IF(AND(AK167=SafetyLabel,AY167=1),AP167,0)</f>
        <v>0</v>
      </c>
      <c r="BN167">
        <f>IF(AND(AK167=SecureLabel,AY167=1),AP167,0)</f>
        <v>0</v>
      </c>
      <c r="BO167">
        <f>IF(AND(AK167=SureThingLabel,AY167=1),AP167,0)</f>
        <v>0</v>
      </c>
      <c r="BP167">
        <f>MAX(BK167:BO167)</f>
        <v>0</v>
      </c>
      <c r="BQ167">
        <f>MAX(BL167:BO167)</f>
        <v>0</v>
      </c>
      <c r="BR167">
        <f>MAX(BM167:BO167)</f>
        <v>0</v>
      </c>
      <c r="BS167">
        <f>IF(ISNUMBER(Y167),INDEX(AllCollegeChicago, MATCH(N167,AllCollegeNCES,0))*AY167,0)</f>
        <v>0</v>
      </c>
      <c r="BT167">
        <f>IF(ISNUMBER(Y167),INDEX(AllCollegeMoneyCode, MATCH(N167,AllCollegeNCES,0)),"?")</f>
        <v>0</v>
      </c>
      <c r="BU167">
        <f>IF(OR(BT167="---",BT167="--",BT167="+/--",BT167="+/---"),1,0)</f>
        <v>0</v>
      </c>
      <c r="BV167">
        <f>AY167*AO167*AQ167</f>
        <v>0</v>
      </c>
    </row>
    <row r="168" spans="1:74">
      <c r="A168" t="s">
        <v>86</v>
      </c>
      <c r="B168">
        <v>22587209</v>
      </c>
      <c r="C168" t="s">
        <v>257</v>
      </c>
      <c r="D168" t="s">
        <v>258</v>
      </c>
      <c r="E168" t="s">
        <v>428</v>
      </c>
      <c r="F168" t="s">
        <v>447</v>
      </c>
      <c r="G168" t="s">
        <v>430</v>
      </c>
      <c r="H168" t="s">
        <v>431</v>
      </c>
      <c r="I168" t="s">
        <v>432</v>
      </c>
      <c r="J168" t="s">
        <v>432</v>
      </c>
      <c r="K168">
        <v>0</v>
      </c>
      <c r="L168" t="s">
        <v>428</v>
      </c>
      <c r="M168" t="s">
        <v>428</v>
      </c>
      <c r="N168">
        <v>145600</v>
      </c>
      <c r="O168">
        <f>INDEX(AllCollegeBarrons,MATCH(N168,AllCollegeNCES,0))</f>
        <v>0</v>
      </c>
      <c r="P168">
        <f>INDEX(KidGPAs,MATCH(B168,KidIDs,0))</f>
        <v>0</v>
      </c>
      <c r="Q168">
        <f>INDEX(KidACTs,MATCH(B168,KidIDs,0))</f>
        <v>0</v>
      </c>
      <c r="R168">
        <f>INDEX(Strats,MATCH(B168,KidIDs,0))</f>
        <v>0</v>
      </c>
      <c r="S168">
        <f>INDEX(KidRace,MATCH(B168,KidIDs,0))</f>
        <v>0</v>
      </c>
      <c r="T168">
        <f>IF(OR(S168="M",S168="I"),"H",S168)</f>
        <v>0</v>
      </c>
      <c r="U168">
        <f>INDEX(StudentTargets,MATCH(B168,KidIDs,0))</f>
        <v>0</v>
      </c>
      <c r="V168">
        <f>INDEX(ReachStudentTargets,MATCH(B168,KidIDs,0))</f>
        <v>0</v>
      </c>
      <c r="W168">
        <f>IF(OR(M168="Posse"),1,0)</f>
        <v>0</v>
      </c>
      <c r="X168">
        <f>IF(ISNUMBER(INDEX(AllCollegeGR, MATCH(N168,AllCollegeNCES,0))),ROUND(INDEX(AllCollegeGR, MATCH(N168,AllCollegeNCES,0))+W168*IF(INDEX(AllCollegeGR, MATCH(N168,AllCollegeNCES,0))&gt;0.7,(1-INDEX(AllCollegeGR, MATCH(N168,AllCollegeNCES,0)))/2,0.15),2),INDEX(AllCollegeGR, MATCH(N168,AllCollegeNCES,0)))</f>
        <v>0</v>
      </c>
      <c r="Y168">
        <f>IF(ISNUMBER(INDEX(AllCollegeAAHGR, MATCH(N168,AllCollegeNCES,0))),ROUND(INDEX(AllCollegeAAHGR, MATCH(N168,AllCollegeNCES,0))+W168*IF(INDEX(AllCollegeAAHGR, MATCH(N168,AllCollegeNCES,0))&gt;0.7,(1-INDEX(AllCollegeAAHGR, MATCH(N168,AllCollegeNCES,0)))/2,0.15),2),INDEX(AllCollegeAAHGR, MATCH(N168,AllCollegeNCES,0)))</f>
        <v>0</v>
      </c>
      <c r="Z168">
        <f>IF(OR(T168="H",T168="B"),INDEX(AllCollegeACT25, MATCH(N168,AllCollegeNCES,0)),INDEX(AllCollegeACT50, MATCH(N168,AllCollegeNCES,0)))</f>
        <v>0</v>
      </c>
      <c r="AA168">
        <f>INDEX(CustomWeightsGPA,MATCH(T168&amp;":"&amp;N168,CustomWeightsIndex,0))</f>
        <v>0</v>
      </c>
      <c r="AB168">
        <f>INDEX(CustomWeightsACT,MATCH(T168&amp;":"&amp;N168,CustomWeightsIndex,0))</f>
        <v>0</v>
      </c>
      <c r="AC168">
        <f>INDEX(CustomWeightsIntercept,MATCH(T168&amp;":"&amp;N168,CustomWeightsIndex,0))</f>
        <v>0</v>
      </c>
      <c r="AD168">
        <f>AA168*P168+AB168*Q168+AC168</f>
        <v>0</v>
      </c>
      <c r="AE168">
        <f>INDEX(CoefficientsGPA,MATCH(T168&amp;":"&amp;O168,CoefficientsIndex,0))</f>
        <v>0</v>
      </c>
      <c r="AF168">
        <f>INDEX(CoefficientsACT,MATCH(T168&amp;":"&amp;O168,CoefficientsIndex,0))</f>
        <v>0</v>
      </c>
      <c r="AG168">
        <f>INDEX(CoefficientsIntercept,MATCH(T168&amp;":"&amp;O168,CoefficientsIndex,0))</f>
        <v>0</v>
      </c>
      <c r="AH168">
        <f>AE168*P168+(Q168-Z168)*AF168+AG168</f>
        <v>0</v>
      </c>
      <c r="AI168">
        <f>IF(ISNUMBER(AD168),AD168,AH168)</f>
        <v>0</v>
      </c>
      <c r="AJ168">
        <f>IF(ISNUMBER(AI168),IF(ISNUMBER(AE168),IF(AND(AE168=1,AF168=1,AG168=1),100,ROUND(100*EXP(AI168)/(1+EXP(AI168)),2)),ROUND(100*EXP(AI168)/(1+EXP(AI168)),2)),IF(ISTEXT(O168),IF(LEFT(O168,1)="2",100,"N/A"),"N/A"))</f>
        <v>0</v>
      </c>
      <c r="AK168">
        <f>IF(ISNUMBER(AJ168),IF(AJ168&gt;=99,IF(OR(R168=10,R168=11),MatchLabel,SureThingLabel),IF(AJ168&gt;=95,SecureLabel,IF(AJ168&gt;=80,SafetyLabel,IF(AJ168&gt;=50,MatchLabel,IF(AJ168&gt;=20,ReachLabel,IF(AJ168&gt;=10,LongshotLabel,HailMaryLabel)))))),"Other")</f>
        <v>0</v>
      </c>
      <c r="AL168">
        <f>IF(OR(I168="accepted",I168="cond. accept",I168="summer admit"),IF(J168="yes","CHOICE!","Accepted!"),IF(I168="denied","Denied",IF(K168=1,"Waitlist",IF(L168=1,"Deferred",IF(G168="pending","Pending",IF(OR(G168="initial materials submitted",G168="mid-year submitted",G168="final submitted"),"Submitted",IF(H168="interest","Interest","?")))))))</f>
        <v>0</v>
      </c>
      <c r="AM168">
        <f>IF(OR(AK168=ReachLabel,AK168=LongshotLabel,AK168=HailMaryLabel),1,0)</f>
        <v>0</v>
      </c>
      <c r="AN168">
        <f>IF(OR(AM168=1,AK168=MatchLabel),1,0)</f>
        <v>0</v>
      </c>
      <c r="AO168">
        <f>IF(OR(AK168=MatchLabel,AK168=SafetyLabel,AK168=SecureLabel,AK168=SureThingLabel),1,0)</f>
        <v>0</v>
      </c>
      <c r="AP168">
        <f>IF(OR(T168="H",T168="B"),IF(ISNUMBER(Y168),ROUND(Y168,2),0),IF(ISNUMBER(X168),ROUND(X168,2),0))</f>
        <v>0</v>
      </c>
      <c r="AQ168">
        <f>IF(AP168&gt;=U168,1,0)</f>
        <v>0</v>
      </c>
      <c r="AR168">
        <f>IF(AP168&gt;=V168,1,0)</f>
        <v>0</v>
      </c>
      <c r="AS168">
        <f>IF(AP168&lt;(U168-0.10),1,0)</f>
        <v>0</v>
      </c>
      <c r="AT168">
        <f>1-AJ168/100</f>
        <v>0</v>
      </c>
      <c r="AU168">
        <f>IF(AN168=1,AT168,1)</f>
        <v>0</v>
      </c>
      <c r="AV168">
        <f>IF(AM168=1,AT168,1)</f>
        <v>0</v>
      </c>
      <c r="AW168">
        <f>IF(AND(AQ168=1,ISNUMBER(AT168)),$AT168,1)</f>
        <v>0</v>
      </c>
      <c r="AX168">
        <f>IF(AND(AR168=1,ISNUMBER(AT168)),$AT168,1)</f>
        <v>0</v>
      </c>
      <c r="AY168">
        <f>IF(ISNUMBER(Y168),INDEX(AllCollegeMoney, MATCH(N168,AllCollegeNCES,0)),0)</f>
        <v>0</v>
      </c>
      <c r="AZ168">
        <f>IF(AND(AQ168=1,ISNUMBER(AT168),AY168=1),$AT168,1)</f>
        <v>0</v>
      </c>
      <c r="BA168">
        <f>IF(AND(AR168=1,ISNUMBER(AT168),AY168=1),$AT168,1)</f>
        <v>0</v>
      </c>
      <c r="BB168">
        <f>IF(ISNUMBER(Y168),INDEX(AllCollegeILPub, MATCH(N168,AllCollegeNCES,0)),0)</f>
        <v>0</v>
      </c>
      <c r="BC168">
        <f>IF(AK168=ReachLabel,AP168,0)</f>
        <v>0</v>
      </c>
      <c r="BD168">
        <f>IF(AK168=MatchLabel,AP168,0)</f>
        <v>0</v>
      </c>
      <c r="BE168">
        <f>IF(AK168=SafetyLabel,AP168,0)</f>
        <v>0</v>
      </c>
      <c r="BF168">
        <f>IF(AK168=SecureLabel,AP168,0)</f>
        <v>0</v>
      </c>
      <c r="BG168">
        <f>IF(AK168=SureThingLabel,AP168,0)</f>
        <v>0</v>
      </c>
      <c r="BH168">
        <f>MAX(BC168:BG168)</f>
        <v>0</v>
      </c>
      <c r="BI168">
        <f>MAX(BD168:BG168)</f>
        <v>0</v>
      </c>
      <c r="BJ168">
        <f>MAX(BE168:BG168)</f>
        <v>0</v>
      </c>
      <c r="BK168">
        <f>IF(AND(AK168=ReachLabel,AY168=1),AP168,0)</f>
        <v>0</v>
      </c>
      <c r="BL168">
        <f>IF(AND(AK168=MatchLabel,AY168=1),AP168,0)</f>
        <v>0</v>
      </c>
      <c r="BM168">
        <f>IF(AND(AK168=SafetyLabel,AY168=1),AP168,0)</f>
        <v>0</v>
      </c>
      <c r="BN168">
        <f>IF(AND(AK168=SecureLabel,AY168=1),AP168,0)</f>
        <v>0</v>
      </c>
      <c r="BO168">
        <f>IF(AND(AK168=SureThingLabel,AY168=1),AP168,0)</f>
        <v>0</v>
      </c>
      <c r="BP168">
        <f>MAX(BK168:BO168)</f>
        <v>0</v>
      </c>
      <c r="BQ168">
        <f>MAX(BL168:BO168)</f>
        <v>0</v>
      </c>
      <c r="BR168">
        <f>MAX(BM168:BO168)</f>
        <v>0</v>
      </c>
      <c r="BS168">
        <f>IF(ISNUMBER(Y168),INDEX(AllCollegeChicago, MATCH(N168,AllCollegeNCES,0))*AY168,0)</f>
        <v>0</v>
      </c>
      <c r="BT168">
        <f>IF(ISNUMBER(Y168),INDEX(AllCollegeMoneyCode, MATCH(N168,AllCollegeNCES,0)),"?")</f>
        <v>0</v>
      </c>
      <c r="BU168">
        <f>IF(OR(BT168="---",BT168="--",BT168="+/--",BT168="+/---"),1,0)</f>
        <v>0</v>
      </c>
      <c r="BV168">
        <f>AY168*AO168*AQ168</f>
        <v>0</v>
      </c>
    </row>
    <row r="169" spans="1:74">
      <c r="A169" t="s">
        <v>86</v>
      </c>
      <c r="B169">
        <v>22587209</v>
      </c>
      <c r="C169" t="s">
        <v>257</v>
      </c>
      <c r="D169" t="s">
        <v>258</v>
      </c>
      <c r="E169" t="s">
        <v>428</v>
      </c>
      <c r="F169" t="s">
        <v>448</v>
      </c>
      <c r="G169" t="s">
        <v>430</v>
      </c>
      <c r="H169" t="s">
        <v>431</v>
      </c>
      <c r="I169" t="s">
        <v>432</v>
      </c>
      <c r="J169" t="s">
        <v>432</v>
      </c>
      <c r="K169">
        <v>0</v>
      </c>
      <c r="L169" t="s">
        <v>428</v>
      </c>
      <c r="M169" t="s">
        <v>428</v>
      </c>
      <c r="N169" t="s">
        <v>449</v>
      </c>
      <c r="O169">
        <f>INDEX(AllCollegeBarrons,MATCH(N169,AllCollegeNCES,0))</f>
        <v>0</v>
      </c>
      <c r="P169">
        <f>INDEX(KidGPAs,MATCH(B169,KidIDs,0))</f>
        <v>0</v>
      </c>
      <c r="Q169">
        <f>INDEX(KidACTs,MATCH(B169,KidIDs,0))</f>
        <v>0</v>
      </c>
      <c r="R169">
        <f>INDEX(Strats,MATCH(B169,KidIDs,0))</f>
        <v>0</v>
      </c>
      <c r="S169">
        <f>INDEX(KidRace,MATCH(B169,KidIDs,0))</f>
        <v>0</v>
      </c>
      <c r="T169">
        <f>IF(OR(S169="M",S169="I"),"H",S169)</f>
        <v>0</v>
      </c>
      <c r="U169">
        <f>INDEX(StudentTargets,MATCH(B169,KidIDs,0))</f>
        <v>0</v>
      </c>
      <c r="V169">
        <f>INDEX(ReachStudentTargets,MATCH(B169,KidIDs,0))</f>
        <v>0</v>
      </c>
      <c r="W169">
        <f>IF(OR(M169="Posse"),1,0)</f>
        <v>0</v>
      </c>
      <c r="X169">
        <f>IF(ISNUMBER(INDEX(AllCollegeGR, MATCH(N169,AllCollegeNCES,0))),ROUND(INDEX(AllCollegeGR, MATCH(N169,AllCollegeNCES,0))+W169*IF(INDEX(AllCollegeGR, MATCH(N169,AllCollegeNCES,0))&gt;0.7,(1-INDEX(AllCollegeGR, MATCH(N169,AllCollegeNCES,0)))/2,0.15),2),INDEX(AllCollegeGR, MATCH(N169,AllCollegeNCES,0)))</f>
        <v>0</v>
      </c>
      <c r="Y169">
        <f>IF(ISNUMBER(INDEX(AllCollegeAAHGR, MATCH(N169,AllCollegeNCES,0))),ROUND(INDEX(AllCollegeAAHGR, MATCH(N169,AllCollegeNCES,0))+W169*IF(INDEX(AllCollegeAAHGR, MATCH(N169,AllCollegeNCES,0))&gt;0.7,(1-INDEX(AllCollegeAAHGR, MATCH(N169,AllCollegeNCES,0)))/2,0.15),2),INDEX(AllCollegeAAHGR, MATCH(N169,AllCollegeNCES,0)))</f>
        <v>0</v>
      </c>
      <c r="Z169">
        <f>IF(OR(T169="H",T169="B"),INDEX(AllCollegeACT25, MATCH(N169,AllCollegeNCES,0)),INDEX(AllCollegeACT50, MATCH(N169,AllCollegeNCES,0)))</f>
        <v>0</v>
      </c>
      <c r="AA169">
        <f>INDEX(CustomWeightsGPA,MATCH(T169&amp;":"&amp;N169,CustomWeightsIndex,0))</f>
        <v>0</v>
      </c>
      <c r="AB169">
        <f>INDEX(CustomWeightsACT,MATCH(T169&amp;":"&amp;N169,CustomWeightsIndex,0))</f>
        <v>0</v>
      </c>
      <c r="AC169">
        <f>INDEX(CustomWeightsIntercept,MATCH(T169&amp;":"&amp;N169,CustomWeightsIndex,0))</f>
        <v>0</v>
      </c>
      <c r="AD169">
        <f>AA169*P169+AB169*Q169+AC169</f>
        <v>0</v>
      </c>
      <c r="AE169">
        <f>INDEX(CoefficientsGPA,MATCH(T169&amp;":"&amp;O169,CoefficientsIndex,0))</f>
        <v>0</v>
      </c>
      <c r="AF169">
        <f>INDEX(CoefficientsACT,MATCH(T169&amp;":"&amp;O169,CoefficientsIndex,0))</f>
        <v>0</v>
      </c>
      <c r="AG169">
        <f>INDEX(CoefficientsIntercept,MATCH(T169&amp;":"&amp;O169,CoefficientsIndex,0))</f>
        <v>0</v>
      </c>
      <c r="AH169">
        <f>AE169*P169+(Q169-Z169)*AF169+AG169</f>
        <v>0</v>
      </c>
      <c r="AI169">
        <f>IF(ISNUMBER(AD169),AD169,AH169)</f>
        <v>0</v>
      </c>
      <c r="AJ169">
        <f>IF(ISNUMBER(AI169),IF(ISNUMBER(AE169),IF(AND(AE169=1,AF169=1,AG169=1),100,ROUND(100*EXP(AI169)/(1+EXP(AI169)),2)),ROUND(100*EXP(AI169)/(1+EXP(AI169)),2)),IF(ISTEXT(O169),IF(LEFT(O169,1)="2",100,"N/A"),"N/A"))</f>
        <v>0</v>
      </c>
      <c r="AK169">
        <f>IF(ISNUMBER(AJ169),IF(AJ169&gt;=99,IF(OR(R169=10,R169=11),MatchLabel,SureThingLabel),IF(AJ169&gt;=95,SecureLabel,IF(AJ169&gt;=80,SafetyLabel,IF(AJ169&gt;=50,MatchLabel,IF(AJ169&gt;=20,ReachLabel,IF(AJ169&gt;=10,LongshotLabel,HailMaryLabel)))))),"Other")</f>
        <v>0</v>
      </c>
      <c r="AL169">
        <f>IF(OR(I169="accepted",I169="cond. accept",I169="summer admit"),IF(J169="yes","CHOICE!","Accepted!"),IF(I169="denied","Denied",IF(K169=1,"Waitlist",IF(L169=1,"Deferred",IF(G169="pending","Pending",IF(OR(G169="initial materials submitted",G169="mid-year submitted",G169="final submitted"),"Submitted",IF(H169="interest","Interest","?")))))))</f>
        <v>0</v>
      </c>
      <c r="AM169">
        <f>IF(OR(AK169=ReachLabel,AK169=LongshotLabel,AK169=HailMaryLabel),1,0)</f>
        <v>0</v>
      </c>
      <c r="AN169">
        <f>IF(OR(AM169=1,AK169=MatchLabel),1,0)</f>
        <v>0</v>
      </c>
      <c r="AO169">
        <f>IF(OR(AK169=MatchLabel,AK169=SafetyLabel,AK169=SecureLabel,AK169=SureThingLabel),1,0)</f>
        <v>0</v>
      </c>
      <c r="AP169">
        <f>IF(OR(T169="H",T169="B"),IF(ISNUMBER(Y169),ROUND(Y169,2),0),IF(ISNUMBER(X169),ROUND(X169,2),0))</f>
        <v>0</v>
      </c>
      <c r="AQ169">
        <f>IF(AP169&gt;=U169,1,0)</f>
        <v>0</v>
      </c>
      <c r="AR169">
        <f>IF(AP169&gt;=V169,1,0)</f>
        <v>0</v>
      </c>
      <c r="AS169">
        <f>IF(AP169&lt;(U169-0.10),1,0)</f>
        <v>0</v>
      </c>
      <c r="AT169">
        <f>1-AJ169/100</f>
        <v>0</v>
      </c>
      <c r="AU169">
        <f>IF(AN169=1,AT169,1)</f>
        <v>0</v>
      </c>
      <c r="AV169">
        <f>IF(AM169=1,AT169,1)</f>
        <v>0</v>
      </c>
      <c r="AW169">
        <f>IF(AND(AQ169=1,ISNUMBER(AT169)),$AT169,1)</f>
        <v>0</v>
      </c>
      <c r="AX169">
        <f>IF(AND(AR169=1,ISNUMBER(AT169)),$AT169,1)</f>
        <v>0</v>
      </c>
      <c r="AY169">
        <f>IF(ISNUMBER(Y169),INDEX(AllCollegeMoney, MATCH(N169,AllCollegeNCES,0)),0)</f>
        <v>0</v>
      </c>
      <c r="AZ169">
        <f>IF(AND(AQ169=1,ISNUMBER(AT169),AY169=1),$AT169,1)</f>
        <v>0</v>
      </c>
      <c r="BA169">
        <f>IF(AND(AR169=1,ISNUMBER(AT169),AY169=1),$AT169,1)</f>
        <v>0</v>
      </c>
      <c r="BB169">
        <f>IF(ISNUMBER(Y169),INDEX(AllCollegeILPub, MATCH(N169,AllCollegeNCES,0)),0)</f>
        <v>0</v>
      </c>
      <c r="BC169">
        <f>IF(AK169=ReachLabel,AP169,0)</f>
        <v>0</v>
      </c>
      <c r="BD169">
        <f>IF(AK169=MatchLabel,AP169,0)</f>
        <v>0</v>
      </c>
      <c r="BE169">
        <f>IF(AK169=SafetyLabel,AP169,0)</f>
        <v>0</v>
      </c>
      <c r="BF169">
        <f>IF(AK169=SecureLabel,AP169,0)</f>
        <v>0</v>
      </c>
      <c r="BG169">
        <f>IF(AK169=SureThingLabel,AP169,0)</f>
        <v>0</v>
      </c>
      <c r="BH169">
        <f>MAX(BC169:BG169)</f>
        <v>0</v>
      </c>
      <c r="BI169">
        <f>MAX(BD169:BG169)</f>
        <v>0</v>
      </c>
      <c r="BJ169">
        <f>MAX(BE169:BG169)</f>
        <v>0</v>
      </c>
      <c r="BK169">
        <f>IF(AND(AK169=ReachLabel,AY169=1),AP169,0)</f>
        <v>0</v>
      </c>
      <c r="BL169">
        <f>IF(AND(AK169=MatchLabel,AY169=1),AP169,0)</f>
        <v>0</v>
      </c>
      <c r="BM169">
        <f>IF(AND(AK169=SafetyLabel,AY169=1),AP169,0)</f>
        <v>0</v>
      </c>
      <c r="BN169">
        <f>IF(AND(AK169=SecureLabel,AY169=1),AP169,0)</f>
        <v>0</v>
      </c>
      <c r="BO169">
        <f>IF(AND(AK169=SureThingLabel,AY169=1),AP169,0)</f>
        <v>0</v>
      </c>
      <c r="BP169">
        <f>MAX(BK169:BO169)</f>
        <v>0</v>
      </c>
      <c r="BQ169">
        <f>MAX(BL169:BO169)</f>
        <v>0</v>
      </c>
      <c r="BR169">
        <f>MAX(BM169:BO169)</f>
        <v>0</v>
      </c>
      <c r="BS169">
        <f>IF(ISNUMBER(Y169),INDEX(AllCollegeChicago, MATCH(N169,AllCollegeNCES,0))*AY169,0)</f>
        <v>0</v>
      </c>
      <c r="BT169">
        <f>IF(ISNUMBER(Y169),INDEX(AllCollegeMoneyCode, MATCH(N169,AllCollegeNCES,0)),"?")</f>
        <v>0</v>
      </c>
      <c r="BU169">
        <f>IF(OR(BT169="---",BT169="--",BT169="+/--",BT169="+/---"),1,0)</f>
        <v>0</v>
      </c>
      <c r="BV169">
        <f>AY169*AO169*AQ169</f>
        <v>0</v>
      </c>
    </row>
    <row r="170" spans="1:74">
      <c r="A170" t="s">
        <v>86</v>
      </c>
      <c r="B170">
        <v>22587209</v>
      </c>
      <c r="C170" t="s">
        <v>257</v>
      </c>
      <c r="D170" t="s">
        <v>258</v>
      </c>
      <c r="E170" t="s">
        <v>428</v>
      </c>
      <c r="F170" t="s">
        <v>436</v>
      </c>
      <c r="G170" t="s">
        <v>430</v>
      </c>
      <c r="H170" t="s">
        <v>431</v>
      </c>
      <c r="I170" t="s">
        <v>432</v>
      </c>
      <c r="J170" t="s">
        <v>432</v>
      </c>
      <c r="K170">
        <v>0</v>
      </c>
      <c r="L170" t="s">
        <v>428</v>
      </c>
      <c r="M170" t="s">
        <v>428</v>
      </c>
      <c r="N170">
        <v>147536</v>
      </c>
      <c r="O170">
        <f>INDEX(AllCollegeBarrons,MATCH(N170,AllCollegeNCES,0))</f>
        <v>0</v>
      </c>
      <c r="P170">
        <f>INDEX(KidGPAs,MATCH(B170,KidIDs,0))</f>
        <v>0</v>
      </c>
      <c r="Q170">
        <f>INDEX(KidACTs,MATCH(B170,KidIDs,0))</f>
        <v>0</v>
      </c>
      <c r="R170">
        <f>INDEX(Strats,MATCH(B170,KidIDs,0))</f>
        <v>0</v>
      </c>
      <c r="S170">
        <f>INDEX(KidRace,MATCH(B170,KidIDs,0))</f>
        <v>0</v>
      </c>
      <c r="T170">
        <f>IF(OR(S170="M",S170="I"),"H",S170)</f>
        <v>0</v>
      </c>
      <c r="U170">
        <f>INDEX(StudentTargets,MATCH(B170,KidIDs,0))</f>
        <v>0</v>
      </c>
      <c r="V170">
        <f>INDEX(ReachStudentTargets,MATCH(B170,KidIDs,0))</f>
        <v>0</v>
      </c>
      <c r="W170">
        <f>IF(OR(M170="Posse"),1,0)</f>
        <v>0</v>
      </c>
      <c r="X170">
        <f>IF(ISNUMBER(INDEX(AllCollegeGR, MATCH(N170,AllCollegeNCES,0))),ROUND(INDEX(AllCollegeGR, MATCH(N170,AllCollegeNCES,0))+W170*IF(INDEX(AllCollegeGR, MATCH(N170,AllCollegeNCES,0))&gt;0.7,(1-INDEX(AllCollegeGR, MATCH(N170,AllCollegeNCES,0)))/2,0.15),2),INDEX(AllCollegeGR, MATCH(N170,AllCollegeNCES,0)))</f>
        <v>0</v>
      </c>
      <c r="Y170">
        <f>IF(ISNUMBER(INDEX(AllCollegeAAHGR, MATCH(N170,AllCollegeNCES,0))),ROUND(INDEX(AllCollegeAAHGR, MATCH(N170,AllCollegeNCES,0))+W170*IF(INDEX(AllCollegeAAHGR, MATCH(N170,AllCollegeNCES,0))&gt;0.7,(1-INDEX(AllCollegeAAHGR, MATCH(N170,AllCollegeNCES,0)))/2,0.15),2),INDEX(AllCollegeAAHGR, MATCH(N170,AllCollegeNCES,0)))</f>
        <v>0</v>
      </c>
      <c r="Z170">
        <f>IF(OR(T170="H",T170="B"),INDEX(AllCollegeACT25, MATCH(N170,AllCollegeNCES,0)),INDEX(AllCollegeACT50, MATCH(N170,AllCollegeNCES,0)))</f>
        <v>0</v>
      </c>
      <c r="AA170">
        <f>INDEX(CustomWeightsGPA,MATCH(T170&amp;":"&amp;N170,CustomWeightsIndex,0))</f>
        <v>0</v>
      </c>
      <c r="AB170">
        <f>INDEX(CustomWeightsACT,MATCH(T170&amp;":"&amp;N170,CustomWeightsIndex,0))</f>
        <v>0</v>
      </c>
      <c r="AC170">
        <f>INDEX(CustomWeightsIntercept,MATCH(T170&amp;":"&amp;N170,CustomWeightsIndex,0))</f>
        <v>0</v>
      </c>
      <c r="AD170">
        <f>AA170*P170+AB170*Q170+AC170</f>
        <v>0</v>
      </c>
      <c r="AE170">
        <f>INDEX(CoefficientsGPA,MATCH(T170&amp;":"&amp;O170,CoefficientsIndex,0))</f>
        <v>0</v>
      </c>
      <c r="AF170">
        <f>INDEX(CoefficientsACT,MATCH(T170&amp;":"&amp;O170,CoefficientsIndex,0))</f>
        <v>0</v>
      </c>
      <c r="AG170">
        <f>INDEX(CoefficientsIntercept,MATCH(T170&amp;":"&amp;O170,CoefficientsIndex,0))</f>
        <v>0</v>
      </c>
      <c r="AH170">
        <f>AE170*P170+(Q170-Z170)*AF170+AG170</f>
        <v>0</v>
      </c>
      <c r="AI170">
        <f>IF(ISNUMBER(AD170),AD170,AH170)</f>
        <v>0</v>
      </c>
      <c r="AJ170">
        <f>IF(ISNUMBER(AI170),IF(ISNUMBER(AE170),IF(AND(AE170=1,AF170=1,AG170=1),100,ROUND(100*EXP(AI170)/(1+EXP(AI170)),2)),ROUND(100*EXP(AI170)/(1+EXP(AI170)),2)),IF(ISTEXT(O170),IF(LEFT(O170,1)="2",100,"N/A"),"N/A"))</f>
        <v>0</v>
      </c>
      <c r="AK170">
        <f>IF(ISNUMBER(AJ170),IF(AJ170&gt;=99,IF(OR(R170=10,R170=11),MatchLabel,SureThingLabel),IF(AJ170&gt;=95,SecureLabel,IF(AJ170&gt;=80,SafetyLabel,IF(AJ170&gt;=50,MatchLabel,IF(AJ170&gt;=20,ReachLabel,IF(AJ170&gt;=10,LongshotLabel,HailMaryLabel)))))),"Other")</f>
        <v>0</v>
      </c>
      <c r="AL170">
        <f>IF(OR(I170="accepted",I170="cond. accept",I170="summer admit"),IF(J170="yes","CHOICE!","Accepted!"),IF(I170="denied","Denied",IF(K170=1,"Waitlist",IF(L170=1,"Deferred",IF(G170="pending","Pending",IF(OR(G170="initial materials submitted",G170="mid-year submitted",G170="final submitted"),"Submitted",IF(H170="interest","Interest","?")))))))</f>
        <v>0</v>
      </c>
      <c r="AM170">
        <f>IF(OR(AK170=ReachLabel,AK170=LongshotLabel,AK170=HailMaryLabel),1,0)</f>
        <v>0</v>
      </c>
      <c r="AN170">
        <f>IF(OR(AM170=1,AK170=MatchLabel),1,0)</f>
        <v>0</v>
      </c>
      <c r="AO170">
        <f>IF(OR(AK170=MatchLabel,AK170=SafetyLabel,AK170=SecureLabel,AK170=SureThingLabel),1,0)</f>
        <v>0</v>
      </c>
      <c r="AP170">
        <f>IF(OR(T170="H",T170="B"),IF(ISNUMBER(Y170),ROUND(Y170,2),0),IF(ISNUMBER(X170),ROUND(X170,2),0))</f>
        <v>0</v>
      </c>
      <c r="AQ170">
        <f>IF(AP170&gt;=U170,1,0)</f>
        <v>0</v>
      </c>
      <c r="AR170">
        <f>IF(AP170&gt;=V170,1,0)</f>
        <v>0</v>
      </c>
      <c r="AS170">
        <f>IF(AP170&lt;(U170-0.10),1,0)</f>
        <v>0</v>
      </c>
      <c r="AT170">
        <f>1-AJ170/100</f>
        <v>0</v>
      </c>
      <c r="AU170">
        <f>IF(AN170=1,AT170,1)</f>
        <v>0</v>
      </c>
      <c r="AV170">
        <f>IF(AM170=1,AT170,1)</f>
        <v>0</v>
      </c>
      <c r="AW170">
        <f>IF(AND(AQ170=1,ISNUMBER(AT170)),$AT170,1)</f>
        <v>0</v>
      </c>
      <c r="AX170">
        <f>IF(AND(AR170=1,ISNUMBER(AT170)),$AT170,1)</f>
        <v>0</v>
      </c>
      <c r="AY170">
        <f>IF(ISNUMBER(Y170),INDEX(AllCollegeMoney, MATCH(N170,AllCollegeNCES,0)),0)</f>
        <v>0</v>
      </c>
      <c r="AZ170">
        <f>IF(AND(AQ170=1,ISNUMBER(AT170),AY170=1),$AT170,1)</f>
        <v>0</v>
      </c>
      <c r="BA170">
        <f>IF(AND(AR170=1,ISNUMBER(AT170),AY170=1),$AT170,1)</f>
        <v>0</v>
      </c>
      <c r="BB170">
        <f>IF(ISNUMBER(Y170),INDEX(AllCollegeILPub, MATCH(N170,AllCollegeNCES,0)),0)</f>
        <v>0</v>
      </c>
      <c r="BC170">
        <f>IF(AK170=ReachLabel,AP170,0)</f>
        <v>0</v>
      </c>
      <c r="BD170">
        <f>IF(AK170=MatchLabel,AP170,0)</f>
        <v>0</v>
      </c>
      <c r="BE170">
        <f>IF(AK170=SafetyLabel,AP170,0)</f>
        <v>0</v>
      </c>
      <c r="BF170">
        <f>IF(AK170=SecureLabel,AP170,0)</f>
        <v>0</v>
      </c>
      <c r="BG170">
        <f>IF(AK170=SureThingLabel,AP170,0)</f>
        <v>0</v>
      </c>
      <c r="BH170">
        <f>MAX(BC170:BG170)</f>
        <v>0</v>
      </c>
      <c r="BI170">
        <f>MAX(BD170:BG170)</f>
        <v>0</v>
      </c>
      <c r="BJ170">
        <f>MAX(BE170:BG170)</f>
        <v>0</v>
      </c>
      <c r="BK170">
        <f>IF(AND(AK170=ReachLabel,AY170=1),AP170,0)</f>
        <v>0</v>
      </c>
      <c r="BL170">
        <f>IF(AND(AK170=MatchLabel,AY170=1),AP170,0)</f>
        <v>0</v>
      </c>
      <c r="BM170">
        <f>IF(AND(AK170=SafetyLabel,AY170=1),AP170,0)</f>
        <v>0</v>
      </c>
      <c r="BN170">
        <f>IF(AND(AK170=SecureLabel,AY170=1),AP170,0)</f>
        <v>0</v>
      </c>
      <c r="BO170">
        <f>IF(AND(AK170=SureThingLabel,AY170=1),AP170,0)</f>
        <v>0</v>
      </c>
      <c r="BP170">
        <f>MAX(BK170:BO170)</f>
        <v>0</v>
      </c>
      <c r="BQ170">
        <f>MAX(BL170:BO170)</f>
        <v>0</v>
      </c>
      <c r="BR170">
        <f>MAX(BM170:BO170)</f>
        <v>0</v>
      </c>
      <c r="BS170">
        <f>IF(ISNUMBER(Y170),INDEX(AllCollegeChicago, MATCH(N170,AllCollegeNCES,0))*AY170,0)</f>
        <v>0</v>
      </c>
      <c r="BT170">
        <f>IF(ISNUMBER(Y170),INDEX(AllCollegeMoneyCode, MATCH(N170,AllCollegeNCES,0)),"?")</f>
        <v>0</v>
      </c>
      <c r="BU170">
        <f>IF(OR(BT170="---",BT170="--",BT170="+/--",BT170="+/---"),1,0)</f>
        <v>0</v>
      </c>
      <c r="BV170">
        <f>AY170*AO170*AQ170</f>
        <v>0</v>
      </c>
    </row>
    <row r="171" spans="1:74">
      <c r="A171" t="s">
        <v>86</v>
      </c>
      <c r="B171">
        <v>22587209</v>
      </c>
      <c r="C171" t="s">
        <v>257</v>
      </c>
      <c r="D171" t="s">
        <v>258</v>
      </c>
      <c r="E171" t="s">
        <v>428</v>
      </c>
      <c r="F171" t="s">
        <v>489</v>
      </c>
      <c r="G171" t="s">
        <v>430</v>
      </c>
      <c r="H171" t="s">
        <v>431</v>
      </c>
      <c r="I171" t="s">
        <v>432</v>
      </c>
      <c r="J171" t="s">
        <v>432</v>
      </c>
      <c r="K171">
        <v>0</v>
      </c>
      <c r="L171" t="s">
        <v>428</v>
      </c>
      <c r="M171" t="s">
        <v>428</v>
      </c>
      <c r="N171">
        <v>147679</v>
      </c>
      <c r="O171">
        <f>INDEX(AllCollegeBarrons,MATCH(N171,AllCollegeNCES,0))</f>
        <v>0</v>
      </c>
      <c r="P171">
        <f>INDEX(KidGPAs,MATCH(B171,KidIDs,0))</f>
        <v>0</v>
      </c>
      <c r="Q171">
        <f>INDEX(KidACTs,MATCH(B171,KidIDs,0))</f>
        <v>0</v>
      </c>
      <c r="R171">
        <f>INDEX(Strats,MATCH(B171,KidIDs,0))</f>
        <v>0</v>
      </c>
      <c r="S171">
        <f>INDEX(KidRace,MATCH(B171,KidIDs,0))</f>
        <v>0</v>
      </c>
      <c r="T171">
        <f>IF(OR(S171="M",S171="I"),"H",S171)</f>
        <v>0</v>
      </c>
      <c r="U171">
        <f>INDEX(StudentTargets,MATCH(B171,KidIDs,0))</f>
        <v>0</v>
      </c>
      <c r="V171">
        <f>INDEX(ReachStudentTargets,MATCH(B171,KidIDs,0))</f>
        <v>0</v>
      </c>
      <c r="W171">
        <f>IF(OR(M171="Posse"),1,0)</f>
        <v>0</v>
      </c>
      <c r="X171">
        <f>IF(ISNUMBER(INDEX(AllCollegeGR, MATCH(N171,AllCollegeNCES,0))),ROUND(INDEX(AllCollegeGR, MATCH(N171,AllCollegeNCES,0))+W171*IF(INDEX(AllCollegeGR, MATCH(N171,AllCollegeNCES,0))&gt;0.7,(1-INDEX(AllCollegeGR, MATCH(N171,AllCollegeNCES,0)))/2,0.15),2),INDEX(AllCollegeGR, MATCH(N171,AllCollegeNCES,0)))</f>
        <v>0</v>
      </c>
      <c r="Y171">
        <f>IF(ISNUMBER(INDEX(AllCollegeAAHGR, MATCH(N171,AllCollegeNCES,0))),ROUND(INDEX(AllCollegeAAHGR, MATCH(N171,AllCollegeNCES,0))+W171*IF(INDEX(AllCollegeAAHGR, MATCH(N171,AllCollegeNCES,0))&gt;0.7,(1-INDEX(AllCollegeAAHGR, MATCH(N171,AllCollegeNCES,0)))/2,0.15),2),INDEX(AllCollegeAAHGR, MATCH(N171,AllCollegeNCES,0)))</f>
        <v>0</v>
      </c>
      <c r="Z171">
        <f>IF(OR(T171="H",T171="B"),INDEX(AllCollegeACT25, MATCH(N171,AllCollegeNCES,0)),INDEX(AllCollegeACT50, MATCH(N171,AllCollegeNCES,0)))</f>
        <v>0</v>
      </c>
      <c r="AA171">
        <f>INDEX(CustomWeightsGPA,MATCH(T171&amp;":"&amp;N171,CustomWeightsIndex,0))</f>
        <v>0</v>
      </c>
      <c r="AB171">
        <f>INDEX(CustomWeightsACT,MATCH(T171&amp;":"&amp;N171,CustomWeightsIndex,0))</f>
        <v>0</v>
      </c>
      <c r="AC171">
        <f>INDEX(CustomWeightsIntercept,MATCH(T171&amp;":"&amp;N171,CustomWeightsIndex,0))</f>
        <v>0</v>
      </c>
      <c r="AD171">
        <f>AA171*P171+AB171*Q171+AC171</f>
        <v>0</v>
      </c>
      <c r="AE171">
        <f>INDEX(CoefficientsGPA,MATCH(T171&amp;":"&amp;O171,CoefficientsIndex,0))</f>
        <v>0</v>
      </c>
      <c r="AF171">
        <f>INDEX(CoefficientsACT,MATCH(T171&amp;":"&amp;O171,CoefficientsIndex,0))</f>
        <v>0</v>
      </c>
      <c r="AG171">
        <f>INDEX(CoefficientsIntercept,MATCH(T171&amp;":"&amp;O171,CoefficientsIndex,0))</f>
        <v>0</v>
      </c>
      <c r="AH171">
        <f>AE171*P171+(Q171-Z171)*AF171+AG171</f>
        <v>0</v>
      </c>
      <c r="AI171">
        <f>IF(ISNUMBER(AD171),AD171,AH171)</f>
        <v>0</v>
      </c>
      <c r="AJ171">
        <f>IF(ISNUMBER(AI171),IF(ISNUMBER(AE171),IF(AND(AE171=1,AF171=1,AG171=1),100,ROUND(100*EXP(AI171)/(1+EXP(AI171)),2)),ROUND(100*EXP(AI171)/(1+EXP(AI171)),2)),IF(ISTEXT(O171),IF(LEFT(O171,1)="2",100,"N/A"),"N/A"))</f>
        <v>0</v>
      </c>
      <c r="AK171">
        <f>IF(ISNUMBER(AJ171),IF(AJ171&gt;=99,IF(OR(R171=10,R171=11),MatchLabel,SureThingLabel),IF(AJ171&gt;=95,SecureLabel,IF(AJ171&gt;=80,SafetyLabel,IF(AJ171&gt;=50,MatchLabel,IF(AJ171&gt;=20,ReachLabel,IF(AJ171&gt;=10,LongshotLabel,HailMaryLabel)))))),"Other")</f>
        <v>0</v>
      </c>
      <c r="AL171">
        <f>IF(OR(I171="accepted",I171="cond. accept",I171="summer admit"),IF(J171="yes","CHOICE!","Accepted!"),IF(I171="denied","Denied",IF(K171=1,"Waitlist",IF(L171=1,"Deferred",IF(G171="pending","Pending",IF(OR(G171="initial materials submitted",G171="mid-year submitted",G171="final submitted"),"Submitted",IF(H171="interest","Interest","?")))))))</f>
        <v>0</v>
      </c>
      <c r="AM171">
        <f>IF(OR(AK171=ReachLabel,AK171=LongshotLabel,AK171=HailMaryLabel),1,0)</f>
        <v>0</v>
      </c>
      <c r="AN171">
        <f>IF(OR(AM171=1,AK171=MatchLabel),1,0)</f>
        <v>0</v>
      </c>
      <c r="AO171">
        <f>IF(OR(AK171=MatchLabel,AK171=SafetyLabel,AK171=SecureLabel,AK171=SureThingLabel),1,0)</f>
        <v>0</v>
      </c>
      <c r="AP171">
        <f>IF(OR(T171="H",T171="B"),IF(ISNUMBER(Y171),ROUND(Y171,2),0),IF(ISNUMBER(X171),ROUND(X171,2),0))</f>
        <v>0</v>
      </c>
      <c r="AQ171">
        <f>IF(AP171&gt;=U171,1,0)</f>
        <v>0</v>
      </c>
      <c r="AR171">
        <f>IF(AP171&gt;=V171,1,0)</f>
        <v>0</v>
      </c>
      <c r="AS171">
        <f>IF(AP171&lt;(U171-0.10),1,0)</f>
        <v>0</v>
      </c>
      <c r="AT171">
        <f>1-AJ171/100</f>
        <v>0</v>
      </c>
      <c r="AU171">
        <f>IF(AN171=1,AT171,1)</f>
        <v>0</v>
      </c>
      <c r="AV171">
        <f>IF(AM171=1,AT171,1)</f>
        <v>0</v>
      </c>
      <c r="AW171">
        <f>IF(AND(AQ171=1,ISNUMBER(AT171)),$AT171,1)</f>
        <v>0</v>
      </c>
      <c r="AX171">
        <f>IF(AND(AR171=1,ISNUMBER(AT171)),$AT171,1)</f>
        <v>0</v>
      </c>
      <c r="AY171">
        <f>IF(ISNUMBER(Y171),INDEX(AllCollegeMoney, MATCH(N171,AllCollegeNCES,0)),0)</f>
        <v>0</v>
      </c>
      <c r="AZ171">
        <f>IF(AND(AQ171=1,ISNUMBER(AT171),AY171=1),$AT171,1)</f>
        <v>0</v>
      </c>
      <c r="BA171">
        <f>IF(AND(AR171=1,ISNUMBER(AT171),AY171=1),$AT171,1)</f>
        <v>0</v>
      </c>
      <c r="BB171">
        <f>IF(ISNUMBER(Y171),INDEX(AllCollegeILPub, MATCH(N171,AllCollegeNCES,0)),0)</f>
        <v>0</v>
      </c>
      <c r="BC171">
        <f>IF(AK171=ReachLabel,AP171,0)</f>
        <v>0</v>
      </c>
      <c r="BD171">
        <f>IF(AK171=MatchLabel,AP171,0)</f>
        <v>0</v>
      </c>
      <c r="BE171">
        <f>IF(AK171=SafetyLabel,AP171,0)</f>
        <v>0</v>
      </c>
      <c r="BF171">
        <f>IF(AK171=SecureLabel,AP171,0)</f>
        <v>0</v>
      </c>
      <c r="BG171">
        <f>IF(AK171=SureThingLabel,AP171,0)</f>
        <v>0</v>
      </c>
      <c r="BH171">
        <f>MAX(BC171:BG171)</f>
        <v>0</v>
      </c>
      <c r="BI171">
        <f>MAX(BD171:BG171)</f>
        <v>0</v>
      </c>
      <c r="BJ171">
        <f>MAX(BE171:BG171)</f>
        <v>0</v>
      </c>
      <c r="BK171">
        <f>IF(AND(AK171=ReachLabel,AY171=1),AP171,0)</f>
        <v>0</v>
      </c>
      <c r="BL171">
        <f>IF(AND(AK171=MatchLabel,AY171=1),AP171,0)</f>
        <v>0</v>
      </c>
      <c r="BM171">
        <f>IF(AND(AK171=SafetyLabel,AY171=1),AP171,0)</f>
        <v>0</v>
      </c>
      <c r="BN171">
        <f>IF(AND(AK171=SecureLabel,AY171=1),AP171,0)</f>
        <v>0</v>
      </c>
      <c r="BO171">
        <f>IF(AND(AK171=SureThingLabel,AY171=1),AP171,0)</f>
        <v>0</v>
      </c>
      <c r="BP171">
        <f>MAX(BK171:BO171)</f>
        <v>0</v>
      </c>
      <c r="BQ171">
        <f>MAX(BL171:BO171)</f>
        <v>0</v>
      </c>
      <c r="BR171">
        <f>MAX(BM171:BO171)</f>
        <v>0</v>
      </c>
      <c r="BS171">
        <f>IF(ISNUMBER(Y171),INDEX(AllCollegeChicago, MATCH(N171,AllCollegeNCES,0))*AY171,0)</f>
        <v>0</v>
      </c>
      <c r="BT171">
        <f>IF(ISNUMBER(Y171),INDEX(AllCollegeMoneyCode, MATCH(N171,AllCollegeNCES,0)),"?")</f>
        <v>0</v>
      </c>
      <c r="BU171">
        <f>IF(OR(BT171="---",BT171="--",BT171="+/--",BT171="+/---"),1,0)</f>
        <v>0</v>
      </c>
      <c r="BV171">
        <f>AY171*AO171*AQ171</f>
        <v>0</v>
      </c>
    </row>
    <row r="172" spans="1:74">
      <c r="A172" t="s">
        <v>86</v>
      </c>
      <c r="B172">
        <v>22587209</v>
      </c>
      <c r="C172" t="s">
        <v>257</v>
      </c>
      <c r="D172" t="s">
        <v>258</v>
      </c>
      <c r="E172" t="s">
        <v>428</v>
      </c>
      <c r="F172" t="s">
        <v>451</v>
      </c>
      <c r="G172" t="s">
        <v>430</v>
      </c>
      <c r="H172" t="s">
        <v>431</v>
      </c>
      <c r="I172" t="s">
        <v>432</v>
      </c>
      <c r="J172" t="s">
        <v>432</v>
      </c>
      <c r="K172">
        <v>0</v>
      </c>
      <c r="L172" t="s">
        <v>428</v>
      </c>
      <c r="M172" t="s">
        <v>428</v>
      </c>
      <c r="N172">
        <v>147378</v>
      </c>
      <c r="O172">
        <f>INDEX(AllCollegeBarrons,MATCH(N172,AllCollegeNCES,0))</f>
        <v>0</v>
      </c>
      <c r="P172">
        <f>INDEX(KidGPAs,MATCH(B172,KidIDs,0))</f>
        <v>0</v>
      </c>
      <c r="Q172">
        <f>INDEX(KidACTs,MATCH(B172,KidIDs,0))</f>
        <v>0</v>
      </c>
      <c r="R172">
        <f>INDEX(Strats,MATCH(B172,KidIDs,0))</f>
        <v>0</v>
      </c>
      <c r="S172">
        <f>INDEX(KidRace,MATCH(B172,KidIDs,0))</f>
        <v>0</v>
      </c>
      <c r="T172">
        <f>IF(OR(S172="M",S172="I"),"H",S172)</f>
        <v>0</v>
      </c>
      <c r="U172">
        <f>INDEX(StudentTargets,MATCH(B172,KidIDs,0))</f>
        <v>0</v>
      </c>
      <c r="V172">
        <f>INDEX(ReachStudentTargets,MATCH(B172,KidIDs,0))</f>
        <v>0</v>
      </c>
      <c r="W172">
        <f>IF(OR(M172="Posse"),1,0)</f>
        <v>0</v>
      </c>
      <c r="X172">
        <f>IF(ISNUMBER(INDEX(AllCollegeGR, MATCH(N172,AllCollegeNCES,0))),ROUND(INDEX(AllCollegeGR, MATCH(N172,AllCollegeNCES,0))+W172*IF(INDEX(AllCollegeGR, MATCH(N172,AllCollegeNCES,0))&gt;0.7,(1-INDEX(AllCollegeGR, MATCH(N172,AllCollegeNCES,0)))/2,0.15),2),INDEX(AllCollegeGR, MATCH(N172,AllCollegeNCES,0)))</f>
        <v>0</v>
      </c>
      <c r="Y172">
        <f>IF(ISNUMBER(INDEX(AllCollegeAAHGR, MATCH(N172,AllCollegeNCES,0))),ROUND(INDEX(AllCollegeAAHGR, MATCH(N172,AllCollegeNCES,0))+W172*IF(INDEX(AllCollegeAAHGR, MATCH(N172,AllCollegeNCES,0))&gt;0.7,(1-INDEX(AllCollegeAAHGR, MATCH(N172,AllCollegeNCES,0)))/2,0.15),2),INDEX(AllCollegeAAHGR, MATCH(N172,AllCollegeNCES,0)))</f>
        <v>0</v>
      </c>
      <c r="Z172">
        <f>IF(OR(T172="H",T172="B"),INDEX(AllCollegeACT25, MATCH(N172,AllCollegeNCES,0)),INDEX(AllCollegeACT50, MATCH(N172,AllCollegeNCES,0)))</f>
        <v>0</v>
      </c>
      <c r="AA172">
        <f>INDEX(CustomWeightsGPA,MATCH(T172&amp;":"&amp;N172,CustomWeightsIndex,0))</f>
        <v>0</v>
      </c>
      <c r="AB172">
        <f>INDEX(CustomWeightsACT,MATCH(T172&amp;":"&amp;N172,CustomWeightsIndex,0))</f>
        <v>0</v>
      </c>
      <c r="AC172">
        <f>INDEX(CustomWeightsIntercept,MATCH(T172&amp;":"&amp;N172,CustomWeightsIndex,0))</f>
        <v>0</v>
      </c>
      <c r="AD172">
        <f>AA172*P172+AB172*Q172+AC172</f>
        <v>0</v>
      </c>
      <c r="AE172">
        <f>INDEX(CoefficientsGPA,MATCH(T172&amp;":"&amp;O172,CoefficientsIndex,0))</f>
        <v>0</v>
      </c>
      <c r="AF172">
        <f>INDEX(CoefficientsACT,MATCH(T172&amp;":"&amp;O172,CoefficientsIndex,0))</f>
        <v>0</v>
      </c>
      <c r="AG172">
        <f>INDEX(CoefficientsIntercept,MATCH(T172&amp;":"&amp;O172,CoefficientsIndex,0))</f>
        <v>0</v>
      </c>
      <c r="AH172">
        <f>AE172*P172+(Q172-Z172)*AF172+AG172</f>
        <v>0</v>
      </c>
      <c r="AI172">
        <f>IF(ISNUMBER(AD172),AD172,AH172)</f>
        <v>0</v>
      </c>
      <c r="AJ172">
        <f>IF(ISNUMBER(AI172),IF(ISNUMBER(AE172),IF(AND(AE172=1,AF172=1,AG172=1),100,ROUND(100*EXP(AI172)/(1+EXP(AI172)),2)),ROUND(100*EXP(AI172)/(1+EXP(AI172)),2)),IF(ISTEXT(O172),IF(LEFT(O172,1)="2",100,"N/A"),"N/A"))</f>
        <v>0</v>
      </c>
      <c r="AK172">
        <f>IF(ISNUMBER(AJ172),IF(AJ172&gt;=99,IF(OR(R172=10,R172=11),MatchLabel,SureThingLabel),IF(AJ172&gt;=95,SecureLabel,IF(AJ172&gt;=80,SafetyLabel,IF(AJ172&gt;=50,MatchLabel,IF(AJ172&gt;=20,ReachLabel,IF(AJ172&gt;=10,LongshotLabel,HailMaryLabel)))))),"Other")</f>
        <v>0</v>
      </c>
      <c r="AL172">
        <f>IF(OR(I172="accepted",I172="cond. accept",I172="summer admit"),IF(J172="yes","CHOICE!","Accepted!"),IF(I172="denied","Denied",IF(K172=1,"Waitlist",IF(L172=1,"Deferred",IF(G172="pending","Pending",IF(OR(G172="initial materials submitted",G172="mid-year submitted",G172="final submitted"),"Submitted",IF(H172="interest","Interest","?")))))))</f>
        <v>0</v>
      </c>
      <c r="AM172">
        <f>IF(OR(AK172=ReachLabel,AK172=LongshotLabel,AK172=HailMaryLabel),1,0)</f>
        <v>0</v>
      </c>
      <c r="AN172">
        <f>IF(OR(AM172=1,AK172=MatchLabel),1,0)</f>
        <v>0</v>
      </c>
      <c r="AO172">
        <f>IF(OR(AK172=MatchLabel,AK172=SafetyLabel,AK172=SecureLabel,AK172=SureThingLabel),1,0)</f>
        <v>0</v>
      </c>
      <c r="AP172">
        <f>IF(OR(T172="H",T172="B"),IF(ISNUMBER(Y172),ROUND(Y172,2),0),IF(ISNUMBER(X172),ROUND(X172,2),0))</f>
        <v>0</v>
      </c>
      <c r="AQ172">
        <f>IF(AP172&gt;=U172,1,0)</f>
        <v>0</v>
      </c>
      <c r="AR172">
        <f>IF(AP172&gt;=V172,1,0)</f>
        <v>0</v>
      </c>
      <c r="AS172">
        <f>IF(AP172&lt;(U172-0.10),1,0)</f>
        <v>0</v>
      </c>
      <c r="AT172">
        <f>1-AJ172/100</f>
        <v>0</v>
      </c>
      <c r="AU172">
        <f>IF(AN172=1,AT172,1)</f>
        <v>0</v>
      </c>
      <c r="AV172">
        <f>IF(AM172=1,AT172,1)</f>
        <v>0</v>
      </c>
      <c r="AW172">
        <f>IF(AND(AQ172=1,ISNUMBER(AT172)),$AT172,1)</f>
        <v>0</v>
      </c>
      <c r="AX172">
        <f>IF(AND(AR172=1,ISNUMBER(AT172)),$AT172,1)</f>
        <v>0</v>
      </c>
      <c r="AY172">
        <f>IF(ISNUMBER(Y172),INDEX(AllCollegeMoney, MATCH(N172,AllCollegeNCES,0)),0)</f>
        <v>0</v>
      </c>
      <c r="AZ172">
        <f>IF(AND(AQ172=1,ISNUMBER(AT172),AY172=1),$AT172,1)</f>
        <v>0</v>
      </c>
      <c r="BA172">
        <f>IF(AND(AR172=1,ISNUMBER(AT172),AY172=1),$AT172,1)</f>
        <v>0</v>
      </c>
      <c r="BB172">
        <f>IF(ISNUMBER(Y172),INDEX(AllCollegeILPub, MATCH(N172,AllCollegeNCES,0)),0)</f>
        <v>0</v>
      </c>
      <c r="BC172">
        <f>IF(AK172=ReachLabel,AP172,0)</f>
        <v>0</v>
      </c>
      <c r="BD172">
        <f>IF(AK172=MatchLabel,AP172,0)</f>
        <v>0</v>
      </c>
      <c r="BE172">
        <f>IF(AK172=SafetyLabel,AP172,0)</f>
        <v>0</v>
      </c>
      <c r="BF172">
        <f>IF(AK172=SecureLabel,AP172,0)</f>
        <v>0</v>
      </c>
      <c r="BG172">
        <f>IF(AK172=SureThingLabel,AP172,0)</f>
        <v>0</v>
      </c>
      <c r="BH172">
        <f>MAX(BC172:BG172)</f>
        <v>0</v>
      </c>
      <c r="BI172">
        <f>MAX(BD172:BG172)</f>
        <v>0</v>
      </c>
      <c r="BJ172">
        <f>MAX(BE172:BG172)</f>
        <v>0</v>
      </c>
      <c r="BK172">
        <f>IF(AND(AK172=ReachLabel,AY172=1),AP172,0)</f>
        <v>0</v>
      </c>
      <c r="BL172">
        <f>IF(AND(AK172=MatchLabel,AY172=1),AP172,0)</f>
        <v>0</v>
      </c>
      <c r="BM172">
        <f>IF(AND(AK172=SafetyLabel,AY172=1),AP172,0)</f>
        <v>0</v>
      </c>
      <c r="BN172">
        <f>IF(AND(AK172=SecureLabel,AY172=1),AP172,0)</f>
        <v>0</v>
      </c>
      <c r="BO172">
        <f>IF(AND(AK172=SureThingLabel,AY172=1),AP172,0)</f>
        <v>0</v>
      </c>
      <c r="BP172">
        <f>MAX(BK172:BO172)</f>
        <v>0</v>
      </c>
      <c r="BQ172">
        <f>MAX(BL172:BO172)</f>
        <v>0</v>
      </c>
      <c r="BR172">
        <f>MAX(BM172:BO172)</f>
        <v>0</v>
      </c>
      <c r="BS172">
        <f>IF(ISNUMBER(Y172),INDEX(AllCollegeChicago, MATCH(N172,AllCollegeNCES,0))*AY172,0)</f>
        <v>0</v>
      </c>
      <c r="BT172">
        <f>IF(ISNUMBER(Y172),INDEX(AllCollegeMoneyCode, MATCH(N172,AllCollegeNCES,0)),"?")</f>
        <v>0</v>
      </c>
      <c r="BU172">
        <f>IF(OR(BT172="---",BT172="--",BT172="+/--",BT172="+/---"),1,0)</f>
        <v>0</v>
      </c>
      <c r="BV172">
        <f>AY172*AO172*AQ172</f>
        <v>0</v>
      </c>
    </row>
    <row r="173" spans="1:74">
      <c r="A173" t="s">
        <v>86</v>
      </c>
      <c r="B173">
        <v>22587209</v>
      </c>
      <c r="C173" t="s">
        <v>257</v>
      </c>
      <c r="D173" t="s">
        <v>258</v>
      </c>
      <c r="E173" t="s">
        <v>428</v>
      </c>
      <c r="F173" t="s">
        <v>452</v>
      </c>
      <c r="G173" t="s">
        <v>430</v>
      </c>
      <c r="H173" t="s">
        <v>431</v>
      </c>
      <c r="I173" t="s">
        <v>432</v>
      </c>
      <c r="J173" t="s">
        <v>432</v>
      </c>
      <c r="K173">
        <v>0</v>
      </c>
      <c r="L173" t="s">
        <v>428</v>
      </c>
      <c r="M173" t="s">
        <v>439</v>
      </c>
      <c r="N173">
        <v>154493</v>
      </c>
      <c r="O173">
        <f>INDEX(AllCollegeBarrons,MATCH(N173,AllCollegeNCES,0))</f>
        <v>0</v>
      </c>
      <c r="P173">
        <f>INDEX(KidGPAs,MATCH(B173,KidIDs,0))</f>
        <v>0</v>
      </c>
      <c r="Q173">
        <f>INDEX(KidACTs,MATCH(B173,KidIDs,0))</f>
        <v>0</v>
      </c>
      <c r="R173">
        <f>INDEX(Strats,MATCH(B173,KidIDs,0))</f>
        <v>0</v>
      </c>
      <c r="S173">
        <f>INDEX(KidRace,MATCH(B173,KidIDs,0))</f>
        <v>0</v>
      </c>
      <c r="T173">
        <f>IF(OR(S173="M",S173="I"),"H",S173)</f>
        <v>0</v>
      </c>
      <c r="U173">
        <f>INDEX(StudentTargets,MATCH(B173,KidIDs,0))</f>
        <v>0</v>
      </c>
      <c r="V173">
        <f>INDEX(ReachStudentTargets,MATCH(B173,KidIDs,0))</f>
        <v>0</v>
      </c>
      <c r="W173">
        <f>IF(OR(M173="Posse"),1,0)</f>
        <v>0</v>
      </c>
      <c r="X173">
        <f>IF(ISNUMBER(INDEX(AllCollegeGR, MATCH(N173,AllCollegeNCES,0))),ROUND(INDEX(AllCollegeGR, MATCH(N173,AllCollegeNCES,0))+W173*IF(INDEX(AllCollegeGR, MATCH(N173,AllCollegeNCES,0))&gt;0.7,(1-INDEX(AllCollegeGR, MATCH(N173,AllCollegeNCES,0)))/2,0.15),2),INDEX(AllCollegeGR, MATCH(N173,AllCollegeNCES,0)))</f>
        <v>0</v>
      </c>
      <c r="Y173">
        <f>IF(ISNUMBER(INDEX(AllCollegeAAHGR, MATCH(N173,AllCollegeNCES,0))),ROUND(INDEX(AllCollegeAAHGR, MATCH(N173,AllCollegeNCES,0))+W173*IF(INDEX(AllCollegeAAHGR, MATCH(N173,AllCollegeNCES,0))&gt;0.7,(1-INDEX(AllCollegeAAHGR, MATCH(N173,AllCollegeNCES,0)))/2,0.15),2),INDEX(AllCollegeAAHGR, MATCH(N173,AllCollegeNCES,0)))</f>
        <v>0</v>
      </c>
      <c r="Z173">
        <f>IF(OR(T173="H",T173="B"),INDEX(AllCollegeACT25, MATCH(N173,AllCollegeNCES,0)),INDEX(AllCollegeACT50, MATCH(N173,AllCollegeNCES,0)))</f>
        <v>0</v>
      </c>
      <c r="AA173">
        <f>INDEX(CustomWeightsGPA,MATCH(T173&amp;":"&amp;N173,CustomWeightsIndex,0))</f>
        <v>0</v>
      </c>
      <c r="AB173">
        <f>INDEX(CustomWeightsACT,MATCH(T173&amp;":"&amp;N173,CustomWeightsIndex,0))</f>
        <v>0</v>
      </c>
      <c r="AC173">
        <f>INDEX(CustomWeightsIntercept,MATCH(T173&amp;":"&amp;N173,CustomWeightsIndex,0))</f>
        <v>0</v>
      </c>
      <c r="AD173">
        <f>AA173*P173+AB173*Q173+AC173</f>
        <v>0</v>
      </c>
      <c r="AE173">
        <f>INDEX(CoefficientsGPA,MATCH(T173&amp;":"&amp;O173,CoefficientsIndex,0))</f>
        <v>0</v>
      </c>
      <c r="AF173">
        <f>INDEX(CoefficientsACT,MATCH(T173&amp;":"&amp;O173,CoefficientsIndex,0))</f>
        <v>0</v>
      </c>
      <c r="AG173">
        <f>INDEX(CoefficientsIntercept,MATCH(T173&amp;":"&amp;O173,CoefficientsIndex,0))</f>
        <v>0</v>
      </c>
      <c r="AH173">
        <f>AE173*P173+(Q173-Z173)*AF173+AG173</f>
        <v>0</v>
      </c>
      <c r="AI173">
        <f>IF(ISNUMBER(AD173),AD173,AH173)</f>
        <v>0</v>
      </c>
      <c r="AJ173">
        <f>IF(ISNUMBER(AI173),IF(ISNUMBER(AE173),IF(AND(AE173=1,AF173=1,AG173=1),100,ROUND(100*EXP(AI173)/(1+EXP(AI173)),2)),ROUND(100*EXP(AI173)/(1+EXP(AI173)),2)),IF(ISTEXT(O173),IF(LEFT(O173,1)="2",100,"N/A"),"N/A"))</f>
        <v>0</v>
      </c>
      <c r="AK173">
        <f>IF(ISNUMBER(AJ173),IF(AJ173&gt;=99,IF(OR(R173=10,R173=11),MatchLabel,SureThingLabel),IF(AJ173&gt;=95,SecureLabel,IF(AJ173&gt;=80,SafetyLabel,IF(AJ173&gt;=50,MatchLabel,IF(AJ173&gt;=20,ReachLabel,IF(AJ173&gt;=10,LongshotLabel,HailMaryLabel)))))),"Other")</f>
        <v>0</v>
      </c>
      <c r="AL173">
        <f>IF(OR(I173="accepted",I173="cond. accept",I173="summer admit"),IF(J173="yes","CHOICE!","Accepted!"),IF(I173="denied","Denied",IF(K173=1,"Waitlist",IF(L173=1,"Deferred",IF(G173="pending","Pending",IF(OR(G173="initial materials submitted",G173="mid-year submitted",G173="final submitted"),"Submitted",IF(H173="interest","Interest","?")))))))</f>
        <v>0</v>
      </c>
      <c r="AM173">
        <f>IF(OR(AK173=ReachLabel,AK173=LongshotLabel,AK173=HailMaryLabel),1,0)</f>
        <v>0</v>
      </c>
      <c r="AN173">
        <f>IF(OR(AM173=1,AK173=MatchLabel),1,0)</f>
        <v>0</v>
      </c>
      <c r="AO173">
        <f>IF(OR(AK173=MatchLabel,AK173=SafetyLabel,AK173=SecureLabel,AK173=SureThingLabel),1,0)</f>
        <v>0</v>
      </c>
      <c r="AP173">
        <f>IF(OR(T173="H",T173="B"),IF(ISNUMBER(Y173),ROUND(Y173,2),0),IF(ISNUMBER(X173),ROUND(X173,2),0))</f>
        <v>0</v>
      </c>
      <c r="AQ173">
        <f>IF(AP173&gt;=U173,1,0)</f>
        <v>0</v>
      </c>
      <c r="AR173">
        <f>IF(AP173&gt;=V173,1,0)</f>
        <v>0</v>
      </c>
      <c r="AS173">
        <f>IF(AP173&lt;(U173-0.10),1,0)</f>
        <v>0</v>
      </c>
      <c r="AT173">
        <f>1-AJ173/100</f>
        <v>0</v>
      </c>
      <c r="AU173">
        <f>IF(AN173=1,AT173,1)</f>
        <v>0</v>
      </c>
      <c r="AV173">
        <f>IF(AM173=1,AT173,1)</f>
        <v>0</v>
      </c>
      <c r="AW173">
        <f>IF(AND(AQ173=1,ISNUMBER(AT173)),$AT173,1)</f>
        <v>0</v>
      </c>
      <c r="AX173">
        <f>IF(AND(AR173=1,ISNUMBER(AT173)),$AT173,1)</f>
        <v>0</v>
      </c>
      <c r="AY173">
        <f>IF(ISNUMBER(Y173),INDEX(AllCollegeMoney, MATCH(N173,AllCollegeNCES,0)),0)</f>
        <v>0</v>
      </c>
      <c r="AZ173">
        <f>IF(AND(AQ173=1,ISNUMBER(AT173),AY173=1),$AT173,1)</f>
        <v>0</v>
      </c>
      <c r="BA173">
        <f>IF(AND(AR173=1,ISNUMBER(AT173),AY173=1),$AT173,1)</f>
        <v>0</v>
      </c>
      <c r="BB173">
        <f>IF(ISNUMBER(Y173),INDEX(AllCollegeILPub, MATCH(N173,AllCollegeNCES,0)),0)</f>
        <v>0</v>
      </c>
      <c r="BC173">
        <f>IF(AK173=ReachLabel,AP173,0)</f>
        <v>0</v>
      </c>
      <c r="BD173">
        <f>IF(AK173=MatchLabel,AP173,0)</f>
        <v>0</v>
      </c>
      <c r="BE173">
        <f>IF(AK173=SafetyLabel,AP173,0)</f>
        <v>0</v>
      </c>
      <c r="BF173">
        <f>IF(AK173=SecureLabel,AP173,0)</f>
        <v>0</v>
      </c>
      <c r="BG173">
        <f>IF(AK173=SureThingLabel,AP173,0)</f>
        <v>0</v>
      </c>
      <c r="BH173">
        <f>MAX(BC173:BG173)</f>
        <v>0</v>
      </c>
      <c r="BI173">
        <f>MAX(BD173:BG173)</f>
        <v>0</v>
      </c>
      <c r="BJ173">
        <f>MAX(BE173:BG173)</f>
        <v>0</v>
      </c>
      <c r="BK173">
        <f>IF(AND(AK173=ReachLabel,AY173=1),AP173,0)</f>
        <v>0</v>
      </c>
      <c r="BL173">
        <f>IF(AND(AK173=MatchLabel,AY173=1),AP173,0)</f>
        <v>0</v>
      </c>
      <c r="BM173">
        <f>IF(AND(AK173=SafetyLabel,AY173=1),AP173,0)</f>
        <v>0</v>
      </c>
      <c r="BN173">
        <f>IF(AND(AK173=SecureLabel,AY173=1),AP173,0)</f>
        <v>0</v>
      </c>
      <c r="BO173">
        <f>IF(AND(AK173=SureThingLabel,AY173=1),AP173,0)</f>
        <v>0</v>
      </c>
      <c r="BP173">
        <f>MAX(BK173:BO173)</f>
        <v>0</v>
      </c>
      <c r="BQ173">
        <f>MAX(BL173:BO173)</f>
        <v>0</v>
      </c>
      <c r="BR173">
        <f>MAX(BM173:BO173)</f>
        <v>0</v>
      </c>
      <c r="BS173">
        <f>IF(ISNUMBER(Y173),INDEX(AllCollegeChicago, MATCH(N173,AllCollegeNCES,0))*AY173,0)</f>
        <v>0</v>
      </c>
      <c r="BT173">
        <f>IF(ISNUMBER(Y173),INDEX(AllCollegeMoneyCode, MATCH(N173,AllCollegeNCES,0)),"?")</f>
        <v>0</v>
      </c>
      <c r="BU173">
        <f>IF(OR(BT173="---",BT173="--",BT173="+/--",BT173="+/---"),1,0)</f>
        <v>0</v>
      </c>
      <c r="BV173">
        <f>AY173*AO173*AQ173</f>
        <v>0</v>
      </c>
    </row>
    <row r="174" spans="1:74">
      <c r="A174" t="s">
        <v>86</v>
      </c>
      <c r="B174">
        <v>22587209</v>
      </c>
      <c r="C174" t="s">
        <v>257</v>
      </c>
      <c r="D174" t="s">
        <v>258</v>
      </c>
      <c r="E174" t="s">
        <v>428</v>
      </c>
      <c r="F174" t="s">
        <v>443</v>
      </c>
      <c r="G174" t="s">
        <v>430</v>
      </c>
      <c r="H174" t="s">
        <v>431</v>
      </c>
      <c r="I174" t="s">
        <v>432</v>
      </c>
      <c r="J174" t="s">
        <v>432</v>
      </c>
      <c r="K174">
        <v>0</v>
      </c>
      <c r="L174" t="s">
        <v>428</v>
      </c>
      <c r="M174" t="s">
        <v>428</v>
      </c>
      <c r="N174">
        <v>144209</v>
      </c>
      <c r="O174">
        <f>INDEX(AllCollegeBarrons,MATCH(N174,AllCollegeNCES,0))</f>
        <v>0</v>
      </c>
      <c r="P174">
        <f>INDEX(KidGPAs,MATCH(B174,KidIDs,0))</f>
        <v>0</v>
      </c>
      <c r="Q174">
        <f>INDEX(KidACTs,MATCH(B174,KidIDs,0))</f>
        <v>0</v>
      </c>
      <c r="R174">
        <f>INDEX(Strats,MATCH(B174,KidIDs,0))</f>
        <v>0</v>
      </c>
      <c r="S174">
        <f>INDEX(KidRace,MATCH(B174,KidIDs,0))</f>
        <v>0</v>
      </c>
      <c r="T174">
        <f>IF(OR(S174="M",S174="I"),"H",S174)</f>
        <v>0</v>
      </c>
      <c r="U174">
        <f>INDEX(StudentTargets,MATCH(B174,KidIDs,0))</f>
        <v>0</v>
      </c>
      <c r="V174">
        <f>INDEX(ReachStudentTargets,MATCH(B174,KidIDs,0))</f>
        <v>0</v>
      </c>
      <c r="W174">
        <f>IF(OR(M174="Posse"),1,0)</f>
        <v>0</v>
      </c>
      <c r="X174">
        <f>IF(ISNUMBER(INDEX(AllCollegeGR, MATCH(N174,AllCollegeNCES,0))),ROUND(INDEX(AllCollegeGR, MATCH(N174,AllCollegeNCES,0))+W174*IF(INDEX(AllCollegeGR, MATCH(N174,AllCollegeNCES,0))&gt;0.7,(1-INDEX(AllCollegeGR, MATCH(N174,AllCollegeNCES,0)))/2,0.15),2),INDEX(AllCollegeGR, MATCH(N174,AllCollegeNCES,0)))</f>
        <v>0</v>
      </c>
      <c r="Y174">
        <f>IF(ISNUMBER(INDEX(AllCollegeAAHGR, MATCH(N174,AllCollegeNCES,0))),ROUND(INDEX(AllCollegeAAHGR, MATCH(N174,AllCollegeNCES,0))+W174*IF(INDEX(AllCollegeAAHGR, MATCH(N174,AllCollegeNCES,0))&gt;0.7,(1-INDEX(AllCollegeAAHGR, MATCH(N174,AllCollegeNCES,0)))/2,0.15),2),INDEX(AllCollegeAAHGR, MATCH(N174,AllCollegeNCES,0)))</f>
        <v>0</v>
      </c>
      <c r="Z174">
        <f>IF(OR(T174="H",T174="B"),INDEX(AllCollegeACT25, MATCH(N174,AllCollegeNCES,0)),INDEX(AllCollegeACT50, MATCH(N174,AllCollegeNCES,0)))</f>
        <v>0</v>
      </c>
      <c r="AA174">
        <f>INDEX(CustomWeightsGPA,MATCH(T174&amp;":"&amp;N174,CustomWeightsIndex,0))</f>
        <v>0</v>
      </c>
      <c r="AB174">
        <f>INDEX(CustomWeightsACT,MATCH(T174&amp;":"&amp;N174,CustomWeightsIndex,0))</f>
        <v>0</v>
      </c>
      <c r="AC174">
        <f>INDEX(CustomWeightsIntercept,MATCH(T174&amp;":"&amp;N174,CustomWeightsIndex,0))</f>
        <v>0</v>
      </c>
      <c r="AD174">
        <f>AA174*P174+AB174*Q174+AC174</f>
        <v>0</v>
      </c>
      <c r="AE174">
        <f>INDEX(CoefficientsGPA,MATCH(T174&amp;":"&amp;O174,CoefficientsIndex,0))</f>
        <v>0</v>
      </c>
      <c r="AF174">
        <f>INDEX(CoefficientsACT,MATCH(T174&amp;":"&amp;O174,CoefficientsIndex,0))</f>
        <v>0</v>
      </c>
      <c r="AG174">
        <f>INDEX(CoefficientsIntercept,MATCH(T174&amp;":"&amp;O174,CoefficientsIndex,0))</f>
        <v>0</v>
      </c>
      <c r="AH174">
        <f>AE174*P174+(Q174-Z174)*AF174+AG174</f>
        <v>0</v>
      </c>
      <c r="AI174">
        <f>IF(ISNUMBER(AD174),AD174,AH174)</f>
        <v>0</v>
      </c>
      <c r="AJ174">
        <f>IF(ISNUMBER(AI174),IF(ISNUMBER(AE174),IF(AND(AE174=1,AF174=1,AG174=1),100,ROUND(100*EXP(AI174)/(1+EXP(AI174)),2)),ROUND(100*EXP(AI174)/(1+EXP(AI174)),2)),IF(ISTEXT(O174),IF(LEFT(O174,1)="2",100,"N/A"),"N/A"))</f>
        <v>0</v>
      </c>
      <c r="AK174">
        <f>IF(ISNUMBER(AJ174),IF(AJ174&gt;=99,IF(OR(R174=10,R174=11),MatchLabel,SureThingLabel),IF(AJ174&gt;=95,SecureLabel,IF(AJ174&gt;=80,SafetyLabel,IF(AJ174&gt;=50,MatchLabel,IF(AJ174&gt;=20,ReachLabel,IF(AJ174&gt;=10,LongshotLabel,HailMaryLabel)))))),"Other")</f>
        <v>0</v>
      </c>
      <c r="AL174">
        <f>IF(OR(I174="accepted",I174="cond. accept",I174="summer admit"),IF(J174="yes","CHOICE!","Accepted!"),IF(I174="denied","Denied",IF(K174=1,"Waitlist",IF(L174=1,"Deferred",IF(G174="pending","Pending",IF(OR(G174="initial materials submitted",G174="mid-year submitted",G174="final submitted"),"Submitted",IF(H174="interest","Interest","?")))))))</f>
        <v>0</v>
      </c>
      <c r="AM174">
        <f>IF(OR(AK174=ReachLabel,AK174=LongshotLabel,AK174=HailMaryLabel),1,0)</f>
        <v>0</v>
      </c>
      <c r="AN174">
        <f>IF(OR(AM174=1,AK174=MatchLabel),1,0)</f>
        <v>0</v>
      </c>
      <c r="AO174">
        <f>IF(OR(AK174=MatchLabel,AK174=SafetyLabel,AK174=SecureLabel,AK174=SureThingLabel),1,0)</f>
        <v>0</v>
      </c>
      <c r="AP174">
        <f>IF(OR(T174="H",T174="B"),IF(ISNUMBER(Y174),ROUND(Y174,2),0),IF(ISNUMBER(X174),ROUND(X174,2),0))</f>
        <v>0</v>
      </c>
      <c r="AQ174">
        <f>IF(AP174&gt;=U174,1,0)</f>
        <v>0</v>
      </c>
      <c r="AR174">
        <f>IF(AP174&gt;=V174,1,0)</f>
        <v>0</v>
      </c>
      <c r="AS174">
        <f>IF(AP174&lt;(U174-0.10),1,0)</f>
        <v>0</v>
      </c>
      <c r="AT174">
        <f>1-AJ174/100</f>
        <v>0</v>
      </c>
      <c r="AU174">
        <f>IF(AN174=1,AT174,1)</f>
        <v>0</v>
      </c>
      <c r="AV174">
        <f>IF(AM174=1,AT174,1)</f>
        <v>0</v>
      </c>
      <c r="AW174">
        <f>IF(AND(AQ174=1,ISNUMBER(AT174)),$AT174,1)</f>
        <v>0</v>
      </c>
      <c r="AX174">
        <f>IF(AND(AR174=1,ISNUMBER(AT174)),$AT174,1)</f>
        <v>0</v>
      </c>
      <c r="AY174">
        <f>IF(ISNUMBER(Y174),INDEX(AllCollegeMoney, MATCH(N174,AllCollegeNCES,0)),0)</f>
        <v>0</v>
      </c>
      <c r="AZ174">
        <f>IF(AND(AQ174=1,ISNUMBER(AT174),AY174=1),$AT174,1)</f>
        <v>0</v>
      </c>
      <c r="BA174">
        <f>IF(AND(AR174=1,ISNUMBER(AT174),AY174=1),$AT174,1)</f>
        <v>0</v>
      </c>
      <c r="BB174">
        <f>IF(ISNUMBER(Y174),INDEX(AllCollegeILPub, MATCH(N174,AllCollegeNCES,0)),0)</f>
        <v>0</v>
      </c>
      <c r="BC174">
        <f>IF(AK174=ReachLabel,AP174,0)</f>
        <v>0</v>
      </c>
      <c r="BD174">
        <f>IF(AK174=MatchLabel,AP174,0)</f>
        <v>0</v>
      </c>
      <c r="BE174">
        <f>IF(AK174=SafetyLabel,AP174,0)</f>
        <v>0</v>
      </c>
      <c r="BF174">
        <f>IF(AK174=SecureLabel,AP174,0)</f>
        <v>0</v>
      </c>
      <c r="BG174">
        <f>IF(AK174=SureThingLabel,AP174,0)</f>
        <v>0</v>
      </c>
      <c r="BH174">
        <f>MAX(BC174:BG174)</f>
        <v>0</v>
      </c>
      <c r="BI174">
        <f>MAX(BD174:BG174)</f>
        <v>0</v>
      </c>
      <c r="BJ174">
        <f>MAX(BE174:BG174)</f>
        <v>0</v>
      </c>
      <c r="BK174">
        <f>IF(AND(AK174=ReachLabel,AY174=1),AP174,0)</f>
        <v>0</v>
      </c>
      <c r="BL174">
        <f>IF(AND(AK174=MatchLabel,AY174=1),AP174,0)</f>
        <v>0</v>
      </c>
      <c r="BM174">
        <f>IF(AND(AK174=SafetyLabel,AY174=1),AP174,0)</f>
        <v>0</v>
      </c>
      <c r="BN174">
        <f>IF(AND(AK174=SecureLabel,AY174=1),AP174,0)</f>
        <v>0</v>
      </c>
      <c r="BO174">
        <f>IF(AND(AK174=SureThingLabel,AY174=1),AP174,0)</f>
        <v>0</v>
      </c>
      <c r="BP174">
        <f>MAX(BK174:BO174)</f>
        <v>0</v>
      </c>
      <c r="BQ174">
        <f>MAX(BL174:BO174)</f>
        <v>0</v>
      </c>
      <c r="BR174">
        <f>MAX(BM174:BO174)</f>
        <v>0</v>
      </c>
      <c r="BS174">
        <f>IF(ISNUMBER(Y174),INDEX(AllCollegeChicago, MATCH(N174,AllCollegeNCES,0))*AY174,0)</f>
        <v>0</v>
      </c>
      <c r="BT174">
        <f>IF(ISNUMBER(Y174),INDEX(AllCollegeMoneyCode, MATCH(N174,AllCollegeNCES,0)),"?")</f>
        <v>0</v>
      </c>
      <c r="BU174">
        <f>IF(OR(BT174="---",BT174="--",BT174="+/--",BT174="+/---"),1,0)</f>
        <v>0</v>
      </c>
      <c r="BV174">
        <f>AY174*AO174*AQ174</f>
        <v>0</v>
      </c>
    </row>
    <row r="175" spans="1:74">
      <c r="A175" t="s">
        <v>86</v>
      </c>
      <c r="B175">
        <v>22587209</v>
      </c>
      <c r="C175" t="s">
        <v>257</v>
      </c>
      <c r="D175" t="s">
        <v>258</v>
      </c>
      <c r="E175" t="s">
        <v>428</v>
      </c>
      <c r="F175" t="s">
        <v>445</v>
      </c>
      <c r="G175" t="s">
        <v>430</v>
      </c>
      <c r="H175" t="s">
        <v>431</v>
      </c>
      <c r="I175" t="s">
        <v>432</v>
      </c>
      <c r="J175" t="s">
        <v>432</v>
      </c>
      <c r="K175">
        <v>0</v>
      </c>
      <c r="L175" t="s">
        <v>428</v>
      </c>
      <c r="M175" t="s">
        <v>428</v>
      </c>
      <c r="N175">
        <v>147776</v>
      </c>
      <c r="O175">
        <f>INDEX(AllCollegeBarrons,MATCH(N175,AllCollegeNCES,0))</f>
        <v>0</v>
      </c>
      <c r="P175">
        <f>INDEX(KidGPAs,MATCH(B175,KidIDs,0))</f>
        <v>0</v>
      </c>
      <c r="Q175">
        <f>INDEX(KidACTs,MATCH(B175,KidIDs,0))</f>
        <v>0</v>
      </c>
      <c r="R175">
        <f>INDEX(Strats,MATCH(B175,KidIDs,0))</f>
        <v>0</v>
      </c>
      <c r="S175">
        <f>INDEX(KidRace,MATCH(B175,KidIDs,0))</f>
        <v>0</v>
      </c>
      <c r="T175">
        <f>IF(OR(S175="M",S175="I"),"H",S175)</f>
        <v>0</v>
      </c>
      <c r="U175">
        <f>INDEX(StudentTargets,MATCH(B175,KidIDs,0))</f>
        <v>0</v>
      </c>
      <c r="V175">
        <f>INDEX(ReachStudentTargets,MATCH(B175,KidIDs,0))</f>
        <v>0</v>
      </c>
      <c r="W175">
        <f>IF(OR(M175="Posse"),1,0)</f>
        <v>0</v>
      </c>
      <c r="X175">
        <f>IF(ISNUMBER(INDEX(AllCollegeGR, MATCH(N175,AllCollegeNCES,0))),ROUND(INDEX(AllCollegeGR, MATCH(N175,AllCollegeNCES,0))+W175*IF(INDEX(AllCollegeGR, MATCH(N175,AllCollegeNCES,0))&gt;0.7,(1-INDEX(AllCollegeGR, MATCH(N175,AllCollegeNCES,0)))/2,0.15),2),INDEX(AllCollegeGR, MATCH(N175,AllCollegeNCES,0)))</f>
        <v>0</v>
      </c>
      <c r="Y175">
        <f>IF(ISNUMBER(INDEX(AllCollegeAAHGR, MATCH(N175,AllCollegeNCES,0))),ROUND(INDEX(AllCollegeAAHGR, MATCH(N175,AllCollegeNCES,0))+W175*IF(INDEX(AllCollegeAAHGR, MATCH(N175,AllCollegeNCES,0))&gt;0.7,(1-INDEX(AllCollegeAAHGR, MATCH(N175,AllCollegeNCES,0)))/2,0.15),2),INDEX(AllCollegeAAHGR, MATCH(N175,AllCollegeNCES,0)))</f>
        <v>0</v>
      </c>
      <c r="Z175">
        <f>IF(OR(T175="H",T175="B"),INDEX(AllCollegeACT25, MATCH(N175,AllCollegeNCES,0)),INDEX(AllCollegeACT50, MATCH(N175,AllCollegeNCES,0)))</f>
        <v>0</v>
      </c>
      <c r="AA175">
        <f>INDEX(CustomWeightsGPA,MATCH(T175&amp;":"&amp;N175,CustomWeightsIndex,0))</f>
        <v>0</v>
      </c>
      <c r="AB175">
        <f>INDEX(CustomWeightsACT,MATCH(T175&amp;":"&amp;N175,CustomWeightsIndex,0))</f>
        <v>0</v>
      </c>
      <c r="AC175">
        <f>INDEX(CustomWeightsIntercept,MATCH(T175&amp;":"&amp;N175,CustomWeightsIndex,0))</f>
        <v>0</v>
      </c>
      <c r="AD175">
        <f>AA175*P175+AB175*Q175+AC175</f>
        <v>0</v>
      </c>
      <c r="AE175">
        <f>INDEX(CoefficientsGPA,MATCH(T175&amp;":"&amp;O175,CoefficientsIndex,0))</f>
        <v>0</v>
      </c>
      <c r="AF175">
        <f>INDEX(CoefficientsACT,MATCH(T175&amp;":"&amp;O175,CoefficientsIndex,0))</f>
        <v>0</v>
      </c>
      <c r="AG175">
        <f>INDEX(CoefficientsIntercept,MATCH(T175&amp;":"&amp;O175,CoefficientsIndex,0))</f>
        <v>0</v>
      </c>
      <c r="AH175">
        <f>AE175*P175+(Q175-Z175)*AF175+AG175</f>
        <v>0</v>
      </c>
      <c r="AI175">
        <f>IF(ISNUMBER(AD175),AD175,AH175)</f>
        <v>0</v>
      </c>
      <c r="AJ175">
        <f>IF(ISNUMBER(AI175),IF(ISNUMBER(AE175),IF(AND(AE175=1,AF175=1,AG175=1),100,ROUND(100*EXP(AI175)/(1+EXP(AI175)),2)),ROUND(100*EXP(AI175)/(1+EXP(AI175)),2)),IF(ISTEXT(O175),IF(LEFT(O175,1)="2",100,"N/A"),"N/A"))</f>
        <v>0</v>
      </c>
      <c r="AK175">
        <f>IF(ISNUMBER(AJ175),IF(AJ175&gt;=99,IF(OR(R175=10,R175=11),MatchLabel,SureThingLabel),IF(AJ175&gt;=95,SecureLabel,IF(AJ175&gt;=80,SafetyLabel,IF(AJ175&gt;=50,MatchLabel,IF(AJ175&gt;=20,ReachLabel,IF(AJ175&gt;=10,LongshotLabel,HailMaryLabel)))))),"Other")</f>
        <v>0</v>
      </c>
      <c r="AL175">
        <f>IF(OR(I175="accepted",I175="cond. accept",I175="summer admit"),IF(J175="yes","CHOICE!","Accepted!"),IF(I175="denied","Denied",IF(K175=1,"Waitlist",IF(L175=1,"Deferred",IF(G175="pending","Pending",IF(OR(G175="initial materials submitted",G175="mid-year submitted",G175="final submitted"),"Submitted",IF(H175="interest","Interest","?")))))))</f>
        <v>0</v>
      </c>
      <c r="AM175">
        <f>IF(OR(AK175=ReachLabel,AK175=LongshotLabel,AK175=HailMaryLabel),1,0)</f>
        <v>0</v>
      </c>
      <c r="AN175">
        <f>IF(OR(AM175=1,AK175=MatchLabel),1,0)</f>
        <v>0</v>
      </c>
      <c r="AO175">
        <f>IF(OR(AK175=MatchLabel,AK175=SafetyLabel,AK175=SecureLabel,AK175=SureThingLabel),1,0)</f>
        <v>0</v>
      </c>
      <c r="AP175">
        <f>IF(OR(T175="H",T175="B"),IF(ISNUMBER(Y175),ROUND(Y175,2),0),IF(ISNUMBER(X175),ROUND(X175,2),0))</f>
        <v>0</v>
      </c>
      <c r="AQ175">
        <f>IF(AP175&gt;=U175,1,0)</f>
        <v>0</v>
      </c>
      <c r="AR175">
        <f>IF(AP175&gt;=V175,1,0)</f>
        <v>0</v>
      </c>
      <c r="AS175">
        <f>IF(AP175&lt;(U175-0.10),1,0)</f>
        <v>0</v>
      </c>
      <c r="AT175">
        <f>1-AJ175/100</f>
        <v>0</v>
      </c>
      <c r="AU175">
        <f>IF(AN175=1,AT175,1)</f>
        <v>0</v>
      </c>
      <c r="AV175">
        <f>IF(AM175=1,AT175,1)</f>
        <v>0</v>
      </c>
      <c r="AW175">
        <f>IF(AND(AQ175=1,ISNUMBER(AT175)),$AT175,1)</f>
        <v>0</v>
      </c>
      <c r="AX175">
        <f>IF(AND(AR175=1,ISNUMBER(AT175)),$AT175,1)</f>
        <v>0</v>
      </c>
      <c r="AY175">
        <f>IF(ISNUMBER(Y175),INDEX(AllCollegeMoney, MATCH(N175,AllCollegeNCES,0)),0)</f>
        <v>0</v>
      </c>
      <c r="AZ175">
        <f>IF(AND(AQ175=1,ISNUMBER(AT175),AY175=1),$AT175,1)</f>
        <v>0</v>
      </c>
      <c r="BA175">
        <f>IF(AND(AR175=1,ISNUMBER(AT175),AY175=1),$AT175,1)</f>
        <v>0</v>
      </c>
      <c r="BB175">
        <f>IF(ISNUMBER(Y175),INDEX(AllCollegeILPub, MATCH(N175,AllCollegeNCES,0)),0)</f>
        <v>0</v>
      </c>
      <c r="BC175">
        <f>IF(AK175=ReachLabel,AP175,0)</f>
        <v>0</v>
      </c>
      <c r="BD175">
        <f>IF(AK175=MatchLabel,AP175,0)</f>
        <v>0</v>
      </c>
      <c r="BE175">
        <f>IF(AK175=SafetyLabel,AP175,0)</f>
        <v>0</v>
      </c>
      <c r="BF175">
        <f>IF(AK175=SecureLabel,AP175,0)</f>
        <v>0</v>
      </c>
      <c r="BG175">
        <f>IF(AK175=SureThingLabel,AP175,0)</f>
        <v>0</v>
      </c>
      <c r="BH175">
        <f>MAX(BC175:BG175)</f>
        <v>0</v>
      </c>
      <c r="BI175">
        <f>MAX(BD175:BG175)</f>
        <v>0</v>
      </c>
      <c r="BJ175">
        <f>MAX(BE175:BG175)</f>
        <v>0</v>
      </c>
      <c r="BK175">
        <f>IF(AND(AK175=ReachLabel,AY175=1),AP175,0)</f>
        <v>0</v>
      </c>
      <c r="BL175">
        <f>IF(AND(AK175=MatchLabel,AY175=1),AP175,0)</f>
        <v>0</v>
      </c>
      <c r="BM175">
        <f>IF(AND(AK175=SafetyLabel,AY175=1),AP175,0)</f>
        <v>0</v>
      </c>
      <c r="BN175">
        <f>IF(AND(AK175=SecureLabel,AY175=1),AP175,0)</f>
        <v>0</v>
      </c>
      <c r="BO175">
        <f>IF(AND(AK175=SureThingLabel,AY175=1),AP175,0)</f>
        <v>0</v>
      </c>
      <c r="BP175">
        <f>MAX(BK175:BO175)</f>
        <v>0</v>
      </c>
      <c r="BQ175">
        <f>MAX(BL175:BO175)</f>
        <v>0</v>
      </c>
      <c r="BR175">
        <f>MAX(BM175:BO175)</f>
        <v>0</v>
      </c>
      <c r="BS175">
        <f>IF(ISNUMBER(Y175),INDEX(AllCollegeChicago, MATCH(N175,AllCollegeNCES,0))*AY175,0)</f>
        <v>0</v>
      </c>
      <c r="BT175">
        <f>IF(ISNUMBER(Y175),INDEX(AllCollegeMoneyCode, MATCH(N175,AllCollegeNCES,0)),"?")</f>
        <v>0</v>
      </c>
      <c r="BU175">
        <f>IF(OR(BT175="---",BT175="--",BT175="+/--",BT175="+/---"),1,0)</f>
        <v>0</v>
      </c>
      <c r="BV175">
        <f>AY175*AO175*AQ175</f>
        <v>0</v>
      </c>
    </row>
    <row r="176" spans="1:74">
      <c r="A176" t="s">
        <v>86</v>
      </c>
      <c r="B176">
        <v>22853391</v>
      </c>
      <c r="C176" t="s">
        <v>230</v>
      </c>
      <c r="D176" t="s">
        <v>231</v>
      </c>
      <c r="E176" t="s">
        <v>428</v>
      </c>
      <c r="F176" t="s">
        <v>456</v>
      </c>
      <c r="G176" t="s">
        <v>430</v>
      </c>
      <c r="H176" t="s">
        <v>431</v>
      </c>
      <c r="I176" t="s">
        <v>432</v>
      </c>
      <c r="J176" t="s">
        <v>432</v>
      </c>
      <c r="K176">
        <v>0</v>
      </c>
      <c r="L176" t="s">
        <v>428</v>
      </c>
      <c r="M176" t="s">
        <v>428</v>
      </c>
      <c r="N176">
        <v>213668</v>
      </c>
      <c r="O176">
        <f>INDEX(AllCollegeBarrons,MATCH(N176,AllCollegeNCES,0))</f>
        <v>0</v>
      </c>
      <c r="P176">
        <f>INDEX(KidGPAs,MATCH(B176,KidIDs,0))</f>
        <v>0</v>
      </c>
      <c r="Q176">
        <f>INDEX(KidACTs,MATCH(B176,KidIDs,0))</f>
        <v>0</v>
      </c>
      <c r="R176">
        <f>INDEX(Strats,MATCH(B176,KidIDs,0))</f>
        <v>0</v>
      </c>
      <c r="S176">
        <f>INDEX(KidRace,MATCH(B176,KidIDs,0))</f>
        <v>0</v>
      </c>
      <c r="T176">
        <f>IF(OR(S176="M",S176="I"),"H",S176)</f>
        <v>0</v>
      </c>
      <c r="U176">
        <f>INDEX(StudentTargets,MATCH(B176,KidIDs,0))</f>
        <v>0</v>
      </c>
      <c r="V176">
        <f>INDEX(ReachStudentTargets,MATCH(B176,KidIDs,0))</f>
        <v>0</v>
      </c>
      <c r="W176">
        <f>IF(OR(M176="Posse"),1,0)</f>
        <v>0</v>
      </c>
      <c r="X176">
        <f>IF(ISNUMBER(INDEX(AllCollegeGR, MATCH(N176,AllCollegeNCES,0))),ROUND(INDEX(AllCollegeGR, MATCH(N176,AllCollegeNCES,0))+W176*IF(INDEX(AllCollegeGR, MATCH(N176,AllCollegeNCES,0))&gt;0.7,(1-INDEX(AllCollegeGR, MATCH(N176,AllCollegeNCES,0)))/2,0.15),2),INDEX(AllCollegeGR, MATCH(N176,AllCollegeNCES,0)))</f>
        <v>0</v>
      </c>
      <c r="Y176">
        <f>IF(ISNUMBER(INDEX(AllCollegeAAHGR, MATCH(N176,AllCollegeNCES,0))),ROUND(INDEX(AllCollegeAAHGR, MATCH(N176,AllCollegeNCES,0))+W176*IF(INDEX(AllCollegeAAHGR, MATCH(N176,AllCollegeNCES,0))&gt;0.7,(1-INDEX(AllCollegeAAHGR, MATCH(N176,AllCollegeNCES,0)))/2,0.15),2),INDEX(AllCollegeAAHGR, MATCH(N176,AllCollegeNCES,0)))</f>
        <v>0</v>
      </c>
      <c r="Z176">
        <f>IF(OR(T176="H",T176="B"),INDEX(AllCollegeACT25, MATCH(N176,AllCollegeNCES,0)),INDEX(AllCollegeACT50, MATCH(N176,AllCollegeNCES,0)))</f>
        <v>0</v>
      </c>
      <c r="AA176">
        <f>INDEX(CustomWeightsGPA,MATCH(T176&amp;":"&amp;N176,CustomWeightsIndex,0))</f>
        <v>0</v>
      </c>
      <c r="AB176">
        <f>INDEX(CustomWeightsACT,MATCH(T176&amp;":"&amp;N176,CustomWeightsIndex,0))</f>
        <v>0</v>
      </c>
      <c r="AC176">
        <f>INDEX(CustomWeightsIntercept,MATCH(T176&amp;":"&amp;N176,CustomWeightsIndex,0))</f>
        <v>0</v>
      </c>
      <c r="AD176">
        <f>AA176*P176+AB176*Q176+AC176</f>
        <v>0</v>
      </c>
      <c r="AE176">
        <f>INDEX(CoefficientsGPA,MATCH(T176&amp;":"&amp;O176,CoefficientsIndex,0))</f>
        <v>0</v>
      </c>
      <c r="AF176">
        <f>INDEX(CoefficientsACT,MATCH(T176&amp;":"&amp;O176,CoefficientsIndex,0))</f>
        <v>0</v>
      </c>
      <c r="AG176">
        <f>INDEX(CoefficientsIntercept,MATCH(T176&amp;":"&amp;O176,CoefficientsIndex,0))</f>
        <v>0</v>
      </c>
      <c r="AH176">
        <f>AE176*P176+(Q176-Z176)*AF176+AG176</f>
        <v>0</v>
      </c>
      <c r="AI176">
        <f>IF(ISNUMBER(AD176),AD176,AH176)</f>
        <v>0</v>
      </c>
      <c r="AJ176">
        <f>IF(ISNUMBER(AI176),IF(ISNUMBER(AE176),IF(AND(AE176=1,AF176=1,AG176=1),100,ROUND(100*EXP(AI176)/(1+EXP(AI176)),2)),ROUND(100*EXP(AI176)/(1+EXP(AI176)),2)),IF(ISTEXT(O176),IF(LEFT(O176,1)="2",100,"N/A"),"N/A"))</f>
        <v>0</v>
      </c>
      <c r="AK176">
        <f>IF(ISNUMBER(AJ176),IF(AJ176&gt;=99,IF(OR(R176=10,R176=11),MatchLabel,SureThingLabel),IF(AJ176&gt;=95,SecureLabel,IF(AJ176&gt;=80,SafetyLabel,IF(AJ176&gt;=50,MatchLabel,IF(AJ176&gt;=20,ReachLabel,IF(AJ176&gt;=10,LongshotLabel,HailMaryLabel)))))),"Other")</f>
        <v>0</v>
      </c>
      <c r="AL176">
        <f>IF(OR(I176="accepted",I176="cond. accept",I176="summer admit"),IF(J176="yes","CHOICE!","Accepted!"),IF(I176="denied","Denied",IF(K176=1,"Waitlist",IF(L176=1,"Deferred",IF(G176="pending","Pending",IF(OR(G176="initial materials submitted",G176="mid-year submitted",G176="final submitted"),"Submitted",IF(H176="interest","Interest","?")))))))</f>
        <v>0</v>
      </c>
      <c r="AM176">
        <f>IF(OR(AK176=ReachLabel,AK176=LongshotLabel,AK176=HailMaryLabel),1,0)</f>
        <v>0</v>
      </c>
      <c r="AN176">
        <f>IF(OR(AM176=1,AK176=MatchLabel),1,0)</f>
        <v>0</v>
      </c>
      <c r="AO176">
        <f>IF(OR(AK176=MatchLabel,AK176=SafetyLabel,AK176=SecureLabel,AK176=SureThingLabel),1,0)</f>
        <v>0</v>
      </c>
      <c r="AP176">
        <f>IF(OR(T176="H",T176="B"),IF(ISNUMBER(Y176),ROUND(Y176,2),0),IF(ISNUMBER(X176),ROUND(X176,2),0))</f>
        <v>0</v>
      </c>
      <c r="AQ176">
        <f>IF(AP176&gt;=U176,1,0)</f>
        <v>0</v>
      </c>
      <c r="AR176">
        <f>IF(AP176&gt;=V176,1,0)</f>
        <v>0</v>
      </c>
      <c r="AS176">
        <f>IF(AP176&lt;(U176-0.10),1,0)</f>
        <v>0</v>
      </c>
      <c r="AT176">
        <f>1-AJ176/100</f>
        <v>0</v>
      </c>
      <c r="AU176">
        <f>IF(AN176=1,AT176,1)</f>
        <v>0</v>
      </c>
      <c r="AV176">
        <f>IF(AM176=1,AT176,1)</f>
        <v>0</v>
      </c>
      <c r="AW176">
        <f>IF(AND(AQ176=1,ISNUMBER(AT176)),$AT176,1)</f>
        <v>0</v>
      </c>
      <c r="AX176">
        <f>IF(AND(AR176=1,ISNUMBER(AT176)),$AT176,1)</f>
        <v>0</v>
      </c>
      <c r="AY176">
        <f>IF(ISNUMBER(Y176),INDEX(AllCollegeMoney, MATCH(N176,AllCollegeNCES,0)),0)</f>
        <v>0</v>
      </c>
      <c r="AZ176">
        <f>IF(AND(AQ176=1,ISNUMBER(AT176),AY176=1),$AT176,1)</f>
        <v>0</v>
      </c>
      <c r="BA176">
        <f>IF(AND(AR176=1,ISNUMBER(AT176),AY176=1),$AT176,1)</f>
        <v>0</v>
      </c>
      <c r="BB176">
        <f>IF(ISNUMBER(Y176),INDEX(AllCollegeILPub, MATCH(N176,AllCollegeNCES,0)),0)</f>
        <v>0</v>
      </c>
      <c r="BC176">
        <f>IF(AK176=ReachLabel,AP176,0)</f>
        <v>0</v>
      </c>
      <c r="BD176">
        <f>IF(AK176=MatchLabel,AP176,0)</f>
        <v>0</v>
      </c>
      <c r="BE176">
        <f>IF(AK176=SafetyLabel,AP176,0)</f>
        <v>0</v>
      </c>
      <c r="BF176">
        <f>IF(AK176=SecureLabel,AP176,0)</f>
        <v>0</v>
      </c>
      <c r="BG176">
        <f>IF(AK176=SureThingLabel,AP176,0)</f>
        <v>0</v>
      </c>
      <c r="BH176">
        <f>MAX(BC176:BG176)</f>
        <v>0</v>
      </c>
      <c r="BI176">
        <f>MAX(BD176:BG176)</f>
        <v>0</v>
      </c>
      <c r="BJ176">
        <f>MAX(BE176:BG176)</f>
        <v>0</v>
      </c>
      <c r="BK176">
        <f>IF(AND(AK176=ReachLabel,AY176=1),AP176,0)</f>
        <v>0</v>
      </c>
      <c r="BL176">
        <f>IF(AND(AK176=MatchLabel,AY176=1),AP176,0)</f>
        <v>0</v>
      </c>
      <c r="BM176">
        <f>IF(AND(AK176=SafetyLabel,AY176=1),AP176,0)</f>
        <v>0</v>
      </c>
      <c r="BN176">
        <f>IF(AND(AK176=SecureLabel,AY176=1),AP176,0)</f>
        <v>0</v>
      </c>
      <c r="BO176">
        <f>IF(AND(AK176=SureThingLabel,AY176=1),AP176,0)</f>
        <v>0</v>
      </c>
      <c r="BP176">
        <f>MAX(BK176:BO176)</f>
        <v>0</v>
      </c>
      <c r="BQ176">
        <f>MAX(BL176:BO176)</f>
        <v>0</v>
      </c>
      <c r="BR176">
        <f>MAX(BM176:BO176)</f>
        <v>0</v>
      </c>
      <c r="BS176">
        <f>IF(ISNUMBER(Y176),INDEX(AllCollegeChicago, MATCH(N176,AllCollegeNCES,0))*AY176,0)</f>
        <v>0</v>
      </c>
      <c r="BT176">
        <f>IF(ISNUMBER(Y176),INDEX(AllCollegeMoneyCode, MATCH(N176,AllCollegeNCES,0)),"?")</f>
        <v>0</v>
      </c>
      <c r="BU176">
        <f>IF(OR(BT176="---",BT176="--",BT176="+/--",BT176="+/---"),1,0)</f>
        <v>0</v>
      </c>
      <c r="BV176">
        <f>AY176*AO176*AQ176</f>
        <v>0</v>
      </c>
    </row>
    <row r="177" spans="1:74">
      <c r="A177" t="s">
        <v>86</v>
      </c>
      <c r="B177">
        <v>22853391</v>
      </c>
      <c r="C177" t="s">
        <v>230</v>
      </c>
      <c r="D177" t="s">
        <v>231</v>
      </c>
      <c r="E177" t="s">
        <v>428</v>
      </c>
      <c r="F177" t="s">
        <v>484</v>
      </c>
      <c r="G177" t="s">
        <v>430</v>
      </c>
      <c r="H177" t="s">
        <v>431</v>
      </c>
      <c r="I177" t="s">
        <v>432</v>
      </c>
      <c r="J177" t="s">
        <v>432</v>
      </c>
      <c r="K177">
        <v>0</v>
      </c>
      <c r="L177" t="s">
        <v>428</v>
      </c>
      <c r="M177" t="s">
        <v>428</v>
      </c>
      <c r="N177">
        <v>144740</v>
      </c>
      <c r="O177">
        <f>INDEX(AllCollegeBarrons,MATCH(N177,AllCollegeNCES,0))</f>
        <v>0</v>
      </c>
      <c r="P177">
        <f>INDEX(KidGPAs,MATCH(B177,KidIDs,0))</f>
        <v>0</v>
      </c>
      <c r="Q177">
        <f>INDEX(KidACTs,MATCH(B177,KidIDs,0))</f>
        <v>0</v>
      </c>
      <c r="R177">
        <f>INDEX(Strats,MATCH(B177,KidIDs,0))</f>
        <v>0</v>
      </c>
      <c r="S177">
        <f>INDEX(KidRace,MATCH(B177,KidIDs,0))</f>
        <v>0</v>
      </c>
      <c r="T177">
        <f>IF(OR(S177="M",S177="I"),"H",S177)</f>
        <v>0</v>
      </c>
      <c r="U177">
        <f>INDEX(StudentTargets,MATCH(B177,KidIDs,0))</f>
        <v>0</v>
      </c>
      <c r="V177">
        <f>INDEX(ReachStudentTargets,MATCH(B177,KidIDs,0))</f>
        <v>0</v>
      </c>
      <c r="W177">
        <f>IF(OR(M177="Posse"),1,0)</f>
        <v>0</v>
      </c>
      <c r="X177">
        <f>IF(ISNUMBER(INDEX(AllCollegeGR, MATCH(N177,AllCollegeNCES,0))),ROUND(INDEX(AllCollegeGR, MATCH(N177,AllCollegeNCES,0))+W177*IF(INDEX(AllCollegeGR, MATCH(N177,AllCollegeNCES,0))&gt;0.7,(1-INDEX(AllCollegeGR, MATCH(N177,AllCollegeNCES,0)))/2,0.15),2),INDEX(AllCollegeGR, MATCH(N177,AllCollegeNCES,0)))</f>
        <v>0</v>
      </c>
      <c r="Y177">
        <f>IF(ISNUMBER(INDEX(AllCollegeAAHGR, MATCH(N177,AllCollegeNCES,0))),ROUND(INDEX(AllCollegeAAHGR, MATCH(N177,AllCollegeNCES,0))+W177*IF(INDEX(AllCollegeAAHGR, MATCH(N177,AllCollegeNCES,0))&gt;0.7,(1-INDEX(AllCollegeAAHGR, MATCH(N177,AllCollegeNCES,0)))/2,0.15),2),INDEX(AllCollegeAAHGR, MATCH(N177,AllCollegeNCES,0)))</f>
        <v>0</v>
      </c>
      <c r="Z177">
        <f>IF(OR(T177="H",T177="B"),INDEX(AllCollegeACT25, MATCH(N177,AllCollegeNCES,0)),INDEX(AllCollegeACT50, MATCH(N177,AllCollegeNCES,0)))</f>
        <v>0</v>
      </c>
      <c r="AA177">
        <f>INDEX(CustomWeightsGPA,MATCH(T177&amp;":"&amp;N177,CustomWeightsIndex,0))</f>
        <v>0</v>
      </c>
      <c r="AB177">
        <f>INDEX(CustomWeightsACT,MATCH(T177&amp;":"&amp;N177,CustomWeightsIndex,0))</f>
        <v>0</v>
      </c>
      <c r="AC177">
        <f>INDEX(CustomWeightsIntercept,MATCH(T177&amp;":"&amp;N177,CustomWeightsIndex,0))</f>
        <v>0</v>
      </c>
      <c r="AD177">
        <f>AA177*P177+AB177*Q177+AC177</f>
        <v>0</v>
      </c>
      <c r="AE177">
        <f>INDEX(CoefficientsGPA,MATCH(T177&amp;":"&amp;O177,CoefficientsIndex,0))</f>
        <v>0</v>
      </c>
      <c r="AF177">
        <f>INDEX(CoefficientsACT,MATCH(T177&amp;":"&amp;O177,CoefficientsIndex,0))</f>
        <v>0</v>
      </c>
      <c r="AG177">
        <f>INDEX(CoefficientsIntercept,MATCH(T177&amp;":"&amp;O177,CoefficientsIndex,0))</f>
        <v>0</v>
      </c>
      <c r="AH177">
        <f>AE177*P177+(Q177-Z177)*AF177+AG177</f>
        <v>0</v>
      </c>
      <c r="AI177">
        <f>IF(ISNUMBER(AD177),AD177,AH177)</f>
        <v>0</v>
      </c>
      <c r="AJ177">
        <f>IF(ISNUMBER(AI177),IF(ISNUMBER(AE177),IF(AND(AE177=1,AF177=1,AG177=1),100,ROUND(100*EXP(AI177)/(1+EXP(AI177)),2)),ROUND(100*EXP(AI177)/(1+EXP(AI177)),2)),IF(ISTEXT(O177),IF(LEFT(O177,1)="2",100,"N/A"),"N/A"))</f>
        <v>0</v>
      </c>
      <c r="AK177">
        <f>IF(ISNUMBER(AJ177),IF(AJ177&gt;=99,IF(OR(R177=10,R177=11),MatchLabel,SureThingLabel),IF(AJ177&gt;=95,SecureLabel,IF(AJ177&gt;=80,SafetyLabel,IF(AJ177&gt;=50,MatchLabel,IF(AJ177&gt;=20,ReachLabel,IF(AJ177&gt;=10,LongshotLabel,HailMaryLabel)))))),"Other")</f>
        <v>0</v>
      </c>
      <c r="AL177">
        <f>IF(OR(I177="accepted",I177="cond. accept",I177="summer admit"),IF(J177="yes","CHOICE!","Accepted!"),IF(I177="denied","Denied",IF(K177=1,"Waitlist",IF(L177=1,"Deferred",IF(G177="pending","Pending",IF(OR(G177="initial materials submitted",G177="mid-year submitted",G177="final submitted"),"Submitted",IF(H177="interest","Interest","?")))))))</f>
        <v>0</v>
      </c>
      <c r="AM177">
        <f>IF(OR(AK177=ReachLabel,AK177=LongshotLabel,AK177=HailMaryLabel),1,0)</f>
        <v>0</v>
      </c>
      <c r="AN177">
        <f>IF(OR(AM177=1,AK177=MatchLabel),1,0)</f>
        <v>0</v>
      </c>
      <c r="AO177">
        <f>IF(OR(AK177=MatchLabel,AK177=SafetyLabel,AK177=SecureLabel,AK177=SureThingLabel),1,0)</f>
        <v>0</v>
      </c>
      <c r="AP177">
        <f>IF(OR(T177="H",T177="B"),IF(ISNUMBER(Y177),ROUND(Y177,2),0),IF(ISNUMBER(X177),ROUND(X177,2),0))</f>
        <v>0</v>
      </c>
      <c r="AQ177">
        <f>IF(AP177&gt;=U177,1,0)</f>
        <v>0</v>
      </c>
      <c r="AR177">
        <f>IF(AP177&gt;=V177,1,0)</f>
        <v>0</v>
      </c>
      <c r="AS177">
        <f>IF(AP177&lt;(U177-0.10),1,0)</f>
        <v>0</v>
      </c>
      <c r="AT177">
        <f>1-AJ177/100</f>
        <v>0</v>
      </c>
      <c r="AU177">
        <f>IF(AN177=1,AT177,1)</f>
        <v>0</v>
      </c>
      <c r="AV177">
        <f>IF(AM177=1,AT177,1)</f>
        <v>0</v>
      </c>
      <c r="AW177">
        <f>IF(AND(AQ177=1,ISNUMBER(AT177)),$AT177,1)</f>
        <v>0</v>
      </c>
      <c r="AX177">
        <f>IF(AND(AR177=1,ISNUMBER(AT177)),$AT177,1)</f>
        <v>0</v>
      </c>
      <c r="AY177">
        <f>IF(ISNUMBER(Y177),INDEX(AllCollegeMoney, MATCH(N177,AllCollegeNCES,0)),0)</f>
        <v>0</v>
      </c>
      <c r="AZ177">
        <f>IF(AND(AQ177=1,ISNUMBER(AT177),AY177=1),$AT177,1)</f>
        <v>0</v>
      </c>
      <c r="BA177">
        <f>IF(AND(AR177=1,ISNUMBER(AT177),AY177=1),$AT177,1)</f>
        <v>0</v>
      </c>
      <c r="BB177">
        <f>IF(ISNUMBER(Y177),INDEX(AllCollegeILPub, MATCH(N177,AllCollegeNCES,0)),0)</f>
        <v>0</v>
      </c>
      <c r="BC177">
        <f>IF(AK177=ReachLabel,AP177,0)</f>
        <v>0</v>
      </c>
      <c r="BD177">
        <f>IF(AK177=MatchLabel,AP177,0)</f>
        <v>0</v>
      </c>
      <c r="BE177">
        <f>IF(AK177=SafetyLabel,AP177,0)</f>
        <v>0</v>
      </c>
      <c r="BF177">
        <f>IF(AK177=SecureLabel,AP177,0)</f>
        <v>0</v>
      </c>
      <c r="BG177">
        <f>IF(AK177=SureThingLabel,AP177,0)</f>
        <v>0</v>
      </c>
      <c r="BH177">
        <f>MAX(BC177:BG177)</f>
        <v>0</v>
      </c>
      <c r="BI177">
        <f>MAX(BD177:BG177)</f>
        <v>0</v>
      </c>
      <c r="BJ177">
        <f>MAX(BE177:BG177)</f>
        <v>0</v>
      </c>
      <c r="BK177">
        <f>IF(AND(AK177=ReachLabel,AY177=1),AP177,0)</f>
        <v>0</v>
      </c>
      <c r="BL177">
        <f>IF(AND(AK177=MatchLabel,AY177=1),AP177,0)</f>
        <v>0</v>
      </c>
      <c r="BM177">
        <f>IF(AND(AK177=SafetyLabel,AY177=1),AP177,0)</f>
        <v>0</v>
      </c>
      <c r="BN177">
        <f>IF(AND(AK177=SecureLabel,AY177=1),AP177,0)</f>
        <v>0</v>
      </c>
      <c r="BO177">
        <f>IF(AND(AK177=SureThingLabel,AY177=1),AP177,0)</f>
        <v>0</v>
      </c>
      <c r="BP177">
        <f>MAX(BK177:BO177)</f>
        <v>0</v>
      </c>
      <c r="BQ177">
        <f>MAX(BL177:BO177)</f>
        <v>0</v>
      </c>
      <c r="BR177">
        <f>MAX(BM177:BO177)</f>
        <v>0</v>
      </c>
      <c r="BS177">
        <f>IF(ISNUMBER(Y177),INDEX(AllCollegeChicago, MATCH(N177,AllCollegeNCES,0))*AY177,0)</f>
        <v>0</v>
      </c>
      <c r="BT177">
        <f>IF(ISNUMBER(Y177),INDEX(AllCollegeMoneyCode, MATCH(N177,AllCollegeNCES,0)),"?")</f>
        <v>0</v>
      </c>
      <c r="BU177">
        <f>IF(OR(BT177="---",BT177="--",BT177="+/--",BT177="+/---"),1,0)</f>
        <v>0</v>
      </c>
      <c r="BV177">
        <f>AY177*AO177*AQ177</f>
        <v>0</v>
      </c>
    </row>
    <row r="178" spans="1:74">
      <c r="A178" t="s">
        <v>86</v>
      </c>
      <c r="B178">
        <v>22853391</v>
      </c>
      <c r="C178" t="s">
        <v>230</v>
      </c>
      <c r="D178" t="s">
        <v>231</v>
      </c>
      <c r="E178" t="s">
        <v>428</v>
      </c>
      <c r="F178" t="s">
        <v>461</v>
      </c>
      <c r="G178" t="s">
        <v>430</v>
      </c>
      <c r="H178" t="s">
        <v>431</v>
      </c>
      <c r="I178" t="s">
        <v>432</v>
      </c>
      <c r="J178" t="s">
        <v>432</v>
      </c>
      <c r="K178">
        <v>0</v>
      </c>
      <c r="L178" t="s">
        <v>428</v>
      </c>
      <c r="M178" t="s">
        <v>428</v>
      </c>
      <c r="N178">
        <v>153834</v>
      </c>
      <c r="O178">
        <f>INDEX(AllCollegeBarrons,MATCH(N178,AllCollegeNCES,0))</f>
        <v>0</v>
      </c>
      <c r="P178">
        <f>INDEX(KidGPAs,MATCH(B178,KidIDs,0))</f>
        <v>0</v>
      </c>
      <c r="Q178">
        <f>INDEX(KidACTs,MATCH(B178,KidIDs,0))</f>
        <v>0</v>
      </c>
      <c r="R178">
        <f>INDEX(Strats,MATCH(B178,KidIDs,0))</f>
        <v>0</v>
      </c>
      <c r="S178">
        <f>INDEX(KidRace,MATCH(B178,KidIDs,0))</f>
        <v>0</v>
      </c>
      <c r="T178">
        <f>IF(OR(S178="M",S178="I"),"H",S178)</f>
        <v>0</v>
      </c>
      <c r="U178">
        <f>INDEX(StudentTargets,MATCH(B178,KidIDs,0))</f>
        <v>0</v>
      </c>
      <c r="V178">
        <f>INDEX(ReachStudentTargets,MATCH(B178,KidIDs,0))</f>
        <v>0</v>
      </c>
      <c r="W178">
        <f>IF(OR(M178="Posse"),1,0)</f>
        <v>0</v>
      </c>
      <c r="X178">
        <f>IF(ISNUMBER(INDEX(AllCollegeGR, MATCH(N178,AllCollegeNCES,0))),ROUND(INDEX(AllCollegeGR, MATCH(N178,AllCollegeNCES,0))+W178*IF(INDEX(AllCollegeGR, MATCH(N178,AllCollegeNCES,0))&gt;0.7,(1-INDEX(AllCollegeGR, MATCH(N178,AllCollegeNCES,0)))/2,0.15),2),INDEX(AllCollegeGR, MATCH(N178,AllCollegeNCES,0)))</f>
        <v>0</v>
      </c>
      <c r="Y178">
        <f>IF(ISNUMBER(INDEX(AllCollegeAAHGR, MATCH(N178,AllCollegeNCES,0))),ROUND(INDEX(AllCollegeAAHGR, MATCH(N178,AllCollegeNCES,0))+W178*IF(INDEX(AllCollegeAAHGR, MATCH(N178,AllCollegeNCES,0))&gt;0.7,(1-INDEX(AllCollegeAAHGR, MATCH(N178,AllCollegeNCES,0)))/2,0.15),2),INDEX(AllCollegeAAHGR, MATCH(N178,AllCollegeNCES,0)))</f>
        <v>0</v>
      </c>
      <c r="Z178">
        <f>IF(OR(T178="H",T178="B"),INDEX(AllCollegeACT25, MATCH(N178,AllCollegeNCES,0)),INDEX(AllCollegeACT50, MATCH(N178,AllCollegeNCES,0)))</f>
        <v>0</v>
      </c>
      <c r="AA178">
        <f>INDEX(CustomWeightsGPA,MATCH(T178&amp;":"&amp;N178,CustomWeightsIndex,0))</f>
        <v>0</v>
      </c>
      <c r="AB178">
        <f>INDEX(CustomWeightsACT,MATCH(T178&amp;":"&amp;N178,CustomWeightsIndex,0))</f>
        <v>0</v>
      </c>
      <c r="AC178">
        <f>INDEX(CustomWeightsIntercept,MATCH(T178&amp;":"&amp;N178,CustomWeightsIndex,0))</f>
        <v>0</v>
      </c>
      <c r="AD178">
        <f>AA178*P178+AB178*Q178+AC178</f>
        <v>0</v>
      </c>
      <c r="AE178">
        <f>INDEX(CoefficientsGPA,MATCH(T178&amp;":"&amp;O178,CoefficientsIndex,0))</f>
        <v>0</v>
      </c>
      <c r="AF178">
        <f>INDEX(CoefficientsACT,MATCH(T178&amp;":"&amp;O178,CoefficientsIndex,0))</f>
        <v>0</v>
      </c>
      <c r="AG178">
        <f>INDEX(CoefficientsIntercept,MATCH(T178&amp;":"&amp;O178,CoefficientsIndex,0))</f>
        <v>0</v>
      </c>
      <c r="AH178">
        <f>AE178*P178+(Q178-Z178)*AF178+AG178</f>
        <v>0</v>
      </c>
      <c r="AI178">
        <f>IF(ISNUMBER(AD178),AD178,AH178)</f>
        <v>0</v>
      </c>
      <c r="AJ178">
        <f>IF(ISNUMBER(AI178),IF(ISNUMBER(AE178),IF(AND(AE178=1,AF178=1,AG178=1),100,ROUND(100*EXP(AI178)/(1+EXP(AI178)),2)),ROUND(100*EXP(AI178)/(1+EXP(AI178)),2)),IF(ISTEXT(O178),IF(LEFT(O178,1)="2",100,"N/A"),"N/A"))</f>
        <v>0</v>
      </c>
      <c r="AK178">
        <f>IF(ISNUMBER(AJ178),IF(AJ178&gt;=99,IF(OR(R178=10,R178=11),MatchLabel,SureThingLabel),IF(AJ178&gt;=95,SecureLabel,IF(AJ178&gt;=80,SafetyLabel,IF(AJ178&gt;=50,MatchLabel,IF(AJ178&gt;=20,ReachLabel,IF(AJ178&gt;=10,LongshotLabel,HailMaryLabel)))))),"Other")</f>
        <v>0</v>
      </c>
      <c r="AL178">
        <f>IF(OR(I178="accepted",I178="cond. accept",I178="summer admit"),IF(J178="yes","CHOICE!","Accepted!"),IF(I178="denied","Denied",IF(K178=1,"Waitlist",IF(L178=1,"Deferred",IF(G178="pending","Pending",IF(OR(G178="initial materials submitted",G178="mid-year submitted",G178="final submitted"),"Submitted",IF(H178="interest","Interest","?")))))))</f>
        <v>0</v>
      </c>
      <c r="AM178">
        <f>IF(OR(AK178=ReachLabel,AK178=LongshotLabel,AK178=HailMaryLabel),1,0)</f>
        <v>0</v>
      </c>
      <c r="AN178">
        <f>IF(OR(AM178=1,AK178=MatchLabel),1,0)</f>
        <v>0</v>
      </c>
      <c r="AO178">
        <f>IF(OR(AK178=MatchLabel,AK178=SafetyLabel,AK178=SecureLabel,AK178=SureThingLabel),1,0)</f>
        <v>0</v>
      </c>
      <c r="AP178">
        <f>IF(OR(T178="H",T178="B"),IF(ISNUMBER(Y178),ROUND(Y178,2),0),IF(ISNUMBER(X178),ROUND(X178,2),0))</f>
        <v>0</v>
      </c>
      <c r="AQ178">
        <f>IF(AP178&gt;=U178,1,0)</f>
        <v>0</v>
      </c>
      <c r="AR178">
        <f>IF(AP178&gt;=V178,1,0)</f>
        <v>0</v>
      </c>
      <c r="AS178">
        <f>IF(AP178&lt;(U178-0.10),1,0)</f>
        <v>0</v>
      </c>
      <c r="AT178">
        <f>1-AJ178/100</f>
        <v>0</v>
      </c>
      <c r="AU178">
        <f>IF(AN178=1,AT178,1)</f>
        <v>0</v>
      </c>
      <c r="AV178">
        <f>IF(AM178=1,AT178,1)</f>
        <v>0</v>
      </c>
      <c r="AW178">
        <f>IF(AND(AQ178=1,ISNUMBER(AT178)),$AT178,1)</f>
        <v>0</v>
      </c>
      <c r="AX178">
        <f>IF(AND(AR178=1,ISNUMBER(AT178)),$AT178,1)</f>
        <v>0</v>
      </c>
      <c r="AY178">
        <f>IF(ISNUMBER(Y178),INDEX(AllCollegeMoney, MATCH(N178,AllCollegeNCES,0)),0)</f>
        <v>0</v>
      </c>
      <c r="AZ178">
        <f>IF(AND(AQ178=1,ISNUMBER(AT178),AY178=1),$AT178,1)</f>
        <v>0</v>
      </c>
      <c r="BA178">
        <f>IF(AND(AR178=1,ISNUMBER(AT178),AY178=1),$AT178,1)</f>
        <v>0</v>
      </c>
      <c r="BB178">
        <f>IF(ISNUMBER(Y178),INDEX(AllCollegeILPub, MATCH(N178,AllCollegeNCES,0)),0)</f>
        <v>0</v>
      </c>
      <c r="BC178">
        <f>IF(AK178=ReachLabel,AP178,0)</f>
        <v>0</v>
      </c>
      <c r="BD178">
        <f>IF(AK178=MatchLabel,AP178,0)</f>
        <v>0</v>
      </c>
      <c r="BE178">
        <f>IF(AK178=SafetyLabel,AP178,0)</f>
        <v>0</v>
      </c>
      <c r="BF178">
        <f>IF(AK178=SecureLabel,AP178,0)</f>
        <v>0</v>
      </c>
      <c r="BG178">
        <f>IF(AK178=SureThingLabel,AP178,0)</f>
        <v>0</v>
      </c>
      <c r="BH178">
        <f>MAX(BC178:BG178)</f>
        <v>0</v>
      </c>
      <c r="BI178">
        <f>MAX(BD178:BG178)</f>
        <v>0</v>
      </c>
      <c r="BJ178">
        <f>MAX(BE178:BG178)</f>
        <v>0</v>
      </c>
      <c r="BK178">
        <f>IF(AND(AK178=ReachLabel,AY178=1),AP178,0)</f>
        <v>0</v>
      </c>
      <c r="BL178">
        <f>IF(AND(AK178=MatchLabel,AY178=1),AP178,0)</f>
        <v>0</v>
      </c>
      <c r="BM178">
        <f>IF(AND(AK178=SafetyLabel,AY178=1),AP178,0)</f>
        <v>0</v>
      </c>
      <c r="BN178">
        <f>IF(AND(AK178=SecureLabel,AY178=1),AP178,0)</f>
        <v>0</v>
      </c>
      <c r="BO178">
        <f>IF(AND(AK178=SureThingLabel,AY178=1),AP178,0)</f>
        <v>0</v>
      </c>
      <c r="BP178">
        <f>MAX(BK178:BO178)</f>
        <v>0</v>
      </c>
      <c r="BQ178">
        <f>MAX(BL178:BO178)</f>
        <v>0</v>
      </c>
      <c r="BR178">
        <f>MAX(BM178:BO178)</f>
        <v>0</v>
      </c>
      <c r="BS178">
        <f>IF(ISNUMBER(Y178),INDEX(AllCollegeChicago, MATCH(N178,AllCollegeNCES,0))*AY178,0)</f>
        <v>0</v>
      </c>
      <c r="BT178">
        <f>IF(ISNUMBER(Y178),INDEX(AllCollegeMoneyCode, MATCH(N178,AllCollegeNCES,0)),"?")</f>
        <v>0</v>
      </c>
      <c r="BU178">
        <f>IF(OR(BT178="---",BT178="--",BT178="+/--",BT178="+/---"),1,0)</f>
        <v>0</v>
      </c>
      <c r="BV178">
        <f>AY178*AO178*AQ178</f>
        <v>0</v>
      </c>
    </row>
    <row r="179" spans="1:74">
      <c r="A179" t="s">
        <v>86</v>
      </c>
      <c r="B179">
        <v>22853391</v>
      </c>
      <c r="C179" t="s">
        <v>230</v>
      </c>
      <c r="D179" t="s">
        <v>231</v>
      </c>
      <c r="E179" t="s">
        <v>428</v>
      </c>
      <c r="F179" t="s">
        <v>462</v>
      </c>
      <c r="G179" t="s">
        <v>430</v>
      </c>
      <c r="H179" t="s">
        <v>431</v>
      </c>
      <c r="I179" t="s">
        <v>432</v>
      </c>
      <c r="J179" t="s">
        <v>432</v>
      </c>
      <c r="K179">
        <v>0</v>
      </c>
      <c r="L179" t="s">
        <v>428</v>
      </c>
      <c r="M179" t="s">
        <v>428</v>
      </c>
      <c r="N179">
        <v>168546</v>
      </c>
      <c r="O179">
        <f>INDEX(AllCollegeBarrons,MATCH(N179,AllCollegeNCES,0))</f>
        <v>0</v>
      </c>
      <c r="P179">
        <f>INDEX(KidGPAs,MATCH(B179,KidIDs,0))</f>
        <v>0</v>
      </c>
      <c r="Q179">
        <f>INDEX(KidACTs,MATCH(B179,KidIDs,0))</f>
        <v>0</v>
      </c>
      <c r="R179">
        <f>INDEX(Strats,MATCH(B179,KidIDs,0))</f>
        <v>0</v>
      </c>
      <c r="S179">
        <f>INDEX(KidRace,MATCH(B179,KidIDs,0))</f>
        <v>0</v>
      </c>
      <c r="T179">
        <f>IF(OR(S179="M",S179="I"),"H",S179)</f>
        <v>0</v>
      </c>
      <c r="U179">
        <f>INDEX(StudentTargets,MATCH(B179,KidIDs,0))</f>
        <v>0</v>
      </c>
      <c r="V179">
        <f>INDEX(ReachStudentTargets,MATCH(B179,KidIDs,0))</f>
        <v>0</v>
      </c>
      <c r="W179">
        <f>IF(OR(M179="Posse"),1,0)</f>
        <v>0</v>
      </c>
      <c r="X179">
        <f>IF(ISNUMBER(INDEX(AllCollegeGR, MATCH(N179,AllCollegeNCES,0))),ROUND(INDEX(AllCollegeGR, MATCH(N179,AllCollegeNCES,0))+W179*IF(INDEX(AllCollegeGR, MATCH(N179,AllCollegeNCES,0))&gt;0.7,(1-INDEX(AllCollegeGR, MATCH(N179,AllCollegeNCES,0)))/2,0.15),2),INDEX(AllCollegeGR, MATCH(N179,AllCollegeNCES,0)))</f>
        <v>0</v>
      </c>
      <c r="Y179">
        <f>IF(ISNUMBER(INDEX(AllCollegeAAHGR, MATCH(N179,AllCollegeNCES,0))),ROUND(INDEX(AllCollegeAAHGR, MATCH(N179,AllCollegeNCES,0))+W179*IF(INDEX(AllCollegeAAHGR, MATCH(N179,AllCollegeNCES,0))&gt;0.7,(1-INDEX(AllCollegeAAHGR, MATCH(N179,AllCollegeNCES,0)))/2,0.15),2),INDEX(AllCollegeAAHGR, MATCH(N179,AllCollegeNCES,0)))</f>
        <v>0</v>
      </c>
      <c r="Z179">
        <f>IF(OR(T179="H",T179="B"),INDEX(AllCollegeACT25, MATCH(N179,AllCollegeNCES,0)),INDEX(AllCollegeACT50, MATCH(N179,AllCollegeNCES,0)))</f>
        <v>0</v>
      </c>
      <c r="AA179">
        <f>INDEX(CustomWeightsGPA,MATCH(T179&amp;":"&amp;N179,CustomWeightsIndex,0))</f>
        <v>0</v>
      </c>
      <c r="AB179">
        <f>INDEX(CustomWeightsACT,MATCH(T179&amp;":"&amp;N179,CustomWeightsIndex,0))</f>
        <v>0</v>
      </c>
      <c r="AC179">
        <f>INDEX(CustomWeightsIntercept,MATCH(T179&amp;":"&amp;N179,CustomWeightsIndex,0))</f>
        <v>0</v>
      </c>
      <c r="AD179">
        <f>AA179*P179+AB179*Q179+AC179</f>
        <v>0</v>
      </c>
      <c r="AE179">
        <f>INDEX(CoefficientsGPA,MATCH(T179&amp;":"&amp;O179,CoefficientsIndex,0))</f>
        <v>0</v>
      </c>
      <c r="AF179">
        <f>INDEX(CoefficientsACT,MATCH(T179&amp;":"&amp;O179,CoefficientsIndex,0))</f>
        <v>0</v>
      </c>
      <c r="AG179">
        <f>INDEX(CoefficientsIntercept,MATCH(T179&amp;":"&amp;O179,CoefficientsIndex,0))</f>
        <v>0</v>
      </c>
      <c r="AH179">
        <f>AE179*P179+(Q179-Z179)*AF179+AG179</f>
        <v>0</v>
      </c>
      <c r="AI179">
        <f>IF(ISNUMBER(AD179),AD179,AH179)</f>
        <v>0</v>
      </c>
      <c r="AJ179">
        <f>IF(ISNUMBER(AI179),IF(ISNUMBER(AE179),IF(AND(AE179=1,AF179=1,AG179=1),100,ROUND(100*EXP(AI179)/(1+EXP(AI179)),2)),ROUND(100*EXP(AI179)/(1+EXP(AI179)),2)),IF(ISTEXT(O179),IF(LEFT(O179,1)="2",100,"N/A"),"N/A"))</f>
        <v>0</v>
      </c>
      <c r="AK179">
        <f>IF(ISNUMBER(AJ179),IF(AJ179&gt;=99,IF(OR(R179=10,R179=11),MatchLabel,SureThingLabel),IF(AJ179&gt;=95,SecureLabel,IF(AJ179&gt;=80,SafetyLabel,IF(AJ179&gt;=50,MatchLabel,IF(AJ179&gt;=20,ReachLabel,IF(AJ179&gt;=10,LongshotLabel,HailMaryLabel)))))),"Other")</f>
        <v>0</v>
      </c>
      <c r="AL179">
        <f>IF(OR(I179="accepted",I179="cond. accept",I179="summer admit"),IF(J179="yes","CHOICE!","Accepted!"),IF(I179="denied","Denied",IF(K179=1,"Waitlist",IF(L179=1,"Deferred",IF(G179="pending","Pending",IF(OR(G179="initial materials submitted",G179="mid-year submitted",G179="final submitted"),"Submitted",IF(H179="interest","Interest","?")))))))</f>
        <v>0</v>
      </c>
      <c r="AM179">
        <f>IF(OR(AK179=ReachLabel,AK179=LongshotLabel,AK179=HailMaryLabel),1,0)</f>
        <v>0</v>
      </c>
      <c r="AN179">
        <f>IF(OR(AM179=1,AK179=MatchLabel),1,0)</f>
        <v>0</v>
      </c>
      <c r="AO179">
        <f>IF(OR(AK179=MatchLabel,AK179=SafetyLabel,AK179=SecureLabel,AK179=SureThingLabel),1,0)</f>
        <v>0</v>
      </c>
      <c r="AP179">
        <f>IF(OR(T179="H",T179="B"),IF(ISNUMBER(Y179),ROUND(Y179,2),0),IF(ISNUMBER(X179),ROUND(X179,2),0))</f>
        <v>0</v>
      </c>
      <c r="AQ179">
        <f>IF(AP179&gt;=U179,1,0)</f>
        <v>0</v>
      </c>
      <c r="AR179">
        <f>IF(AP179&gt;=V179,1,0)</f>
        <v>0</v>
      </c>
      <c r="AS179">
        <f>IF(AP179&lt;(U179-0.10),1,0)</f>
        <v>0</v>
      </c>
      <c r="AT179">
        <f>1-AJ179/100</f>
        <v>0</v>
      </c>
      <c r="AU179">
        <f>IF(AN179=1,AT179,1)</f>
        <v>0</v>
      </c>
      <c r="AV179">
        <f>IF(AM179=1,AT179,1)</f>
        <v>0</v>
      </c>
      <c r="AW179">
        <f>IF(AND(AQ179=1,ISNUMBER(AT179)),$AT179,1)</f>
        <v>0</v>
      </c>
      <c r="AX179">
        <f>IF(AND(AR179=1,ISNUMBER(AT179)),$AT179,1)</f>
        <v>0</v>
      </c>
      <c r="AY179">
        <f>IF(ISNUMBER(Y179),INDEX(AllCollegeMoney, MATCH(N179,AllCollegeNCES,0)),0)</f>
        <v>0</v>
      </c>
      <c r="AZ179">
        <f>IF(AND(AQ179=1,ISNUMBER(AT179),AY179=1),$AT179,1)</f>
        <v>0</v>
      </c>
      <c r="BA179">
        <f>IF(AND(AR179=1,ISNUMBER(AT179),AY179=1),$AT179,1)</f>
        <v>0</v>
      </c>
      <c r="BB179">
        <f>IF(ISNUMBER(Y179),INDEX(AllCollegeILPub, MATCH(N179,AllCollegeNCES,0)),0)</f>
        <v>0</v>
      </c>
      <c r="BC179">
        <f>IF(AK179=ReachLabel,AP179,0)</f>
        <v>0</v>
      </c>
      <c r="BD179">
        <f>IF(AK179=MatchLabel,AP179,0)</f>
        <v>0</v>
      </c>
      <c r="BE179">
        <f>IF(AK179=SafetyLabel,AP179,0)</f>
        <v>0</v>
      </c>
      <c r="BF179">
        <f>IF(AK179=SecureLabel,AP179,0)</f>
        <v>0</v>
      </c>
      <c r="BG179">
        <f>IF(AK179=SureThingLabel,AP179,0)</f>
        <v>0</v>
      </c>
      <c r="BH179">
        <f>MAX(BC179:BG179)</f>
        <v>0</v>
      </c>
      <c r="BI179">
        <f>MAX(BD179:BG179)</f>
        <v>0</v>
      </c>
      <c r="BJ179">
        <f>MAX(BE179:BG179)</f>
        <v>0</v>
      </c>
      <c r="BK179">
        <f>IF(AND(AK179=ReachLabel,AY179=1),AP179,0)</f>
        <v>0</v>
      </c>
      <c r="BL179">
        <f>IF(AND(AK179=MatchLabel,AY179=1),AP179,0)</f>
        <v>0</v>
      </c>
      <c r="BM179">
        <f>IF(AND(AK179=SafetyLabel,AY179=1),AP179,0)</f>
        <v>0</v>
      </c>
      <c r="BN179">
        <f>IF(AND(AK179=SecureLabel,AY179=1),AP179,0)</f>
        <v>0</v>
      </c>
      <c r="BO179">
        <f>IF(AND(AK179=SureThingLabel,AY179=1),AP179,0)</f>
        <v>0</v>
      </c>
      <c r="BP179">
        <f>MAX(BK179:BO179)</f>
        <v>0</v>
      </c>
      <c r="BQ179">
        <f>MAX(BL179:BO179)</f>
        <v>0</v>
      </c>
      <c r="BR179">
        <f>MAX(BM179:BO179)</f>
        <v>0</v>
      </c>
      <c r="BS179">
        <f>IF(ISNUMBER(Y179),INDEX(AllCollegeChicago, MATCH(N179,AllCollegeNCES,0))*AY179,0)</f>
        <v>0</v>
      </c>
      <c r="BT179">
        <f>IF(ISNUMBER(Y179),INDEX(AllCollegeMoneyCode, MATCH(N179,AllCollegeNCES,0)),"?")</f>
        <v>0</v>
      </c>
      <c r="BU179">
        <f>IF(OR(BT179="---",BT179="--",BT179="+/--",BT179="+/---"),1,0)</f>
        <v>0</v>
      </c>
      <c r="BV179">
        <f>AY179*AO179*AQ179</f>
        <v>0</v>
      </c>
    </row>
    <row r="180" spans="1:74">
      <c r="A180" t="s">
        <v>86</v>
      </c>
      <c r="B180">
        <v>22853391</v>
      </c>
      <c r="C180" t="s">
        <v>230</v>
      </c>
      <c r="D180" t="s">
        <v>231</v>
      </c>
      <c r="E180" t="s">
        <v>428</v>
      </c>
      <c r="F180" t="s">
        <v>433</v>
      </c>
      <c r="G180" t="s">
        <v>430</v>
      </c>
      <c r="H180" t="s">
        <v>431</v>
      </c>
      <c r="I180" t="s">
        <v>432</v>
      </c>
      <c r="J180" t="s">
        <v>432</v>
      </c>
      <c r="K180">
        <v>0</v>
      </c>
      <c r="L180" t="s">
        <v>428</v>
      </c>
      <c r="M180" t="s">
        <v>428</v>
      </c>
      <c r="N180">
        <v>148496</v>
      </c>
      <c r="O180">
        <f>INDEX(AllCollegeBarrons,MATCH(N180,AllCollegeNCES,0))</f>
        <v>0</v>
      </c>
      <c r="P180">
        <f>INDEX(KidGPAs,MATCH(B180,KidIDs,0))</f>
        <v>0</v>
      </c>
      <c r="Q180">
        <f>INDEX(KidACTs,MATCH(B180,KidIDs,0))</f>
        <v>0</v>
      </c>
      <c r="R180">
        <f>INDEX(Strats,MATCH(B180,KidIDs,0))</f>
        <v>0</v>
      </c>
      <c r="S180">
        <f>INDEX(KidRace,MATCH(B180,KidIDs,0))</f>
        <v>0</v>
      </c>
      <c r="T180">
        <f>IF(OR(S180="M",S180="I"),"H",S180)</f>
        <v>0</v>
      </c>
      <c r="U180">
        <f>INDEX(StudentTargets,MATCH(B180,KidIDs,0))</f>
        <v>0</v>
      </c>
      <c r="V180">
        <f>INDEX(ReachStudentTargets,MATCH(B180,KidIDs,0))</f>
        <v>0</v>
      </c>
      <c r="W180">
        <f>IF(OR(M180="Posse"),1,0)</f>
        <v>0</v>
      </c>
      <c r="X180">
        <f>IF(ISNUMBER(INDEX(AllCollegeGR, MATCH(N180,AllCollegeNCES,0))),ROUND(INDEX(AllCollegeGR, MATCH(N180,AllCollegeNCES,0))+W180*IF(INDEX(AllCollegeGR, MATCH(N180,AllCollegeNCES,0))&gt;0.7,(1-INDEX(AllCollegeGR, MATCH(N180,AllCollegeNCES,0)))/2,0.15),2),INDEX(AllCollegeGR, MATCH(N180,AllCollegeNCES,0)))</f>
        <v>0</v>
      </c>
      <c r="Y180">
        <f>IF(ISNUMBER(INDEX(AllCollegeAAHGR, MATCH(N180,AllCollegeNCES,0))),ROUND(INDEX(AllCollegeAAHGR, MATCH(N180,AllCollegeNCES,0))+W180*IF(INDEX(AllCollegeAAHGR, MATCH(N180,AllCollegeNCES,0))&gt;0.7,(1-INDEX(AllCollegeAAHGR, MATCH(N180,AllCollegeNCES,0)))/2,0.15),2),INDEX(AllCollegeAAHGR, MATCH(N180,AllCollegeNCES,0)))</f>
        <v>0</v>
      </c>
      <c r="Z180">
        <f>IF(OR(T180="H",T180="B"),INDEX(AllCollegeACT25, MATCH(N180,AllCollegeNCES,0)),INDEX(AllCollegeACT50, MATCH(N180,AllCollegeNCES,0)))</f>
        <v>0</v>
      </c>
      <c r="AA180">
        <f>INDEX(CustomWeightsGPA,MATCH(T180&amp;":"&amp;N180,CustomWeightsIndex,0))</f>
        <v>0</v>
      </c>
      <c r="AB180">
        <f>INDEX(CustomWeightsACT,MATCH(T180&amp;":"&amp;N180,CustomWeightsIndex,0))</f>
        <v>0</v>
      </c>
      <c r="AC180">
        <f>INDEX(CustomWeightsIntercept,MATCH(T180&amp;":"&amp;N180,CustomWeightsIndex,0))</f>
        <v>0</v>
      </c>
      <c r="AD180">
        <f>AA180*P180+AB180*Q180+AC180</f>
        <v>0</v>
      </c>
      <c r="AE180">
        <f>INDEX(CoefficientsGPA,MATCH(T180&amp;":"&amp;O180,CoefficientsIndex,0))</f>
        <v>0</v>
      </c>
      <c r="AF180">
        <f>INDEX(CoefficientsACT,MATCH(T180&amp;":"&amp;O180,CoefficientsIndex,0))</f>
        <v>0</v>
      </c>
      <c r="AG180">
        <f>INDEX(CoefficientsIntercept,MATCH(T180&amp;":"&amp;O180,CoefficientsIndex,0))</f>
        <v>0</v>
      </c>
      <c r="AH180">
        <f>AE180*P180+(Q180-Z180)*AF180+AG180</f>
        <v>0</v>
      </c>
      <c r="AI180">
        <f>IF(ISNUMBER(AD180),AD180,AH180)</f>
        <v>0</v>
      </c>
      <c r="AJ180">
        <f>IF(ISNUMBER(AI180),IF(ISNUMBER(AE180),IF(AND(AE180=1,AF180=1,AG180=1),100,ROUND(100*EXP(AI180)/(1+EXP(AI180)),2)),ROUND(100*EXP(AI180)/(1+EXP(AI180)),2)),IF(ISTEXT(O180),IF(LEFT(O180,1)="2",100,"N/A"),"N/A"))</f>
        <v>0</v>
      </c>
      <c r="AK180">
        <f>IF(ISNUMBER(AJ180),IF(AJ180&gt;=99,IF(OR(R180=10,R180=11),MatchLabel,SureThingLabel),IF(AJ180&gt;=95,SecureLabel,IF(AJ180&gt;=80,SafetyLabel,IF(AJ180&gt;=50,MatchLabel,IF(AJ180&gt;=20,ReachLabel,IF(AJ180&gt;=10,LongshotLabel,HailMaryLabel)))))),"Other")</f>
        <v>0</v>
      </c>
      <c r="AL180">
        <f>IF(OR(I180="accepted",I180="cond. accept",I180="summer admit"),IF(J180="yes","CHOICE!","Accepted!"),IF(I180="denied","Denied",IF(K180=1,"Waitlist",IF(L180=1,"Deferred",IF(G180="pending","Pending",IF(OR(G180="initial materials submitted",G180="mid-year submitted",G180="final submitted"),"Submitted",IF(H180="interest","Interest","?")))))))</f>
        <v>0</v>
      </c>
      <c r="AM180">
        <f>IF(OR(AK180=ReachLabel,AK180=LongshotLabel,AK180=HailMaryLabel),1,0)</f>
        <v>0</v>
      </c>
      <c r="AN180">
        <f>IF(OR(AM180=1,AK180=MatchLabel),1,0)</f>
        <v>0</v>
      </c>
      <c r="AO180">
        <f>IF(OR(AK180=MatchLabel,AK180=SafetyLabel,AK180=SecureLabel,AK180=SureThingLabel),1,0)</f>
        <v>0</v>
      </c>
      <c r="AP180">
        <f>IF(OR(T180="H",T180="B"),IF(ISNUMBER(Y180),ROUND(Y180,2),0),IF(ISNUMBER(X180),ROUND(X180,2),0))</f>
        <v>0</v>
      </c>
      <c r="AQ180">
        <f>IF(AP180&gt;=U180,1,0)</f>
        <v>0</v>
      </c>
      <c r="AR180">
        <f>IF(AP180&gt;=V180,1,0)</f>
        <v>0</v>
      </c>
      <c r="AS180">
        <f>IF(AP180&lt;(U180-0.10),1,0)</f>
        <v>0</v>
      </c>
      <c r="AT180">
        <f>1-AJ180/100</f>
        <v>0</v>
      </c>
      <c r="AU180">
        <f>IF(AN180=1,AT180,1)</f>
        <v>0</v>
      </c>
      <c r="AV180">
        <f>IF(AM180=1,AT180,1)</f>
        <v>0</v>
      </c>
      <c r="AW180">
        <f>IF(AND(AQ180=1,ISNUMBER(AT180)),$AT180,1)</f>
        <v>0</v>
      </c>
      <c r="AX180">
        <f>IF(AND(AR180=1,ISNUMBER(AT180)),$AT180,1)</f>
        <v>0</v>
      </c>
      <c r="AY180">
        <f>IF(ISNUMBER(Y180),INDEX(AllCollegeMoney, MATCH(N180,AllCollegeNCES,0)),0)</f>
        <v>0</v>
      </c>
      <c r="AZ180">
        <f>IF(AND(AQ180=1,ISNUMBER(AT180),AY180=1),$AT180,1)</f>
        <v>0</v>
      </c>
      <c r="BA180">
        <f>IF(AND(AR180=1,ISNUMBER(AT180),AY180=1),$AT180,1)</f>
        <v>0</v>
      </c>
      <c r="BB180">
        <f>IF(ISNUMBER(Y180),INDEX(AllCollegeILPub, MATCH(N180,AllCollegeNCES,0)),0)</f>
        <v>0</v>
      </c>
      <c r="BC180">
        <f>IF(AK180=ReachLabel,AP180,0)</f>
        <v>0</v>
      </c>
      <c r="BD180">
        <f>IF(AK180=MatchLabel,AP180,0)</f>
        <v>0</v>
      </c>
      <c r="BE180">
        <f>IF(AK180=SafetyLabel,AP180,0)</f>
        <v>0</v>
      </c>
      <c r="BF180">
        <f>IF(AK180=SecureLabel,AP180,0)</f>
        <v>0</v>
      </c>
      <c r="BG180">
        <f>IF(AK180=SureThingLabel,AP180,0)</f>
        <v>0</v>
      </c>
      <c r="BH180">
        <f>MAX(BC180:BG180)</f>
        <v>0</v>
      </c>
      <c r="BI180">
        <f>MAX(BD180:BG180)</f>
        <v>0</v>
      </c>
      <c r="BJ180">
        <f>MAX(BE180:BG180)</f>
        <v>0</v>
      </c>
      <c r="BK180">
        <f>IF(AND(AK180=ReachLabel,AY180=1),AP180,0)</f>
        <v>0</v>
      </c>
      <c r="BL180">
        <f>IF(AND(AK180=MatchLabel,AY180=1),AP180,0)</f>
        <v>0</v>
      </c>
      <c r="BM180">
        <f>IF(AND(AK180=SafetyLabel,AY180=1),AP180,0)</f>
        <v>0</v>
      </c>
      <c r="BN180">
        <f>IF(AND(AK180=SecureLabel,AY180=1),AP180,0)</f>
        <v>0</v>
      </c>
      <c r="BO180">
        <f>IF(AND(AK180=SureThingLabel,AY180=1),AP180,0)</f>
        <v>0</v>
      </c>
      <c r="BP180">
        <f>MAX(BK180:BO180)</f>
        <v>0</v>
      </c>
      <c r="BQ180">
        <f>MAX(BL180:BO180)</f>
        <v>0</v>
      </c>
      <c r="BR180">
        <f>MAX(BM180:BO180)</f>
        <v>0</v>
      </c>
      <c r="BS180">
        <f>IF(ISNUMBER(Y180),INDEX(AllCollegeChicago, MATCH(N180,AllCollegeNCES,0))*AY180,0)</f>
        <v>0</v>
      </c>
      <c r="BT180">
        <f>IF(ISNUMBER(Y180),INDEX(AllCollegeMoneyCode, MATCH(N180,AllCollegeNCES,0)),"?")</f>
        <v>0</v>
      </c>
      <c r="BU180">
        <f>IF(OR(BT180="---",BT180="--",BT180="+/--",BT180="+/---"),1,0)</f>
        <v>0</v>
      </c>
      <c r="BV180">
        <f>AY180*AO180*AQ180</f>
        <v>0</v>
      </c>
    </row>
    <row r="181" spans="1:74">
      <c r="A181" t="s">
        <v>86</v>
      </c>
      <c r="B181">
        <v>22853391</v>
      </c>
      <c r="C181" t="s">
        <v>230</v>
      </c>
      <c r="D181" t="s">
        <v>231</v>
      </c>
      <c r="E181" t="s">
        <v>428</v>
      </c>
      <c r="F181" t="s">
        <v>502</v>
      </c>
      <c r="G181" t="s">
        <v>430</v>
      </c>
      <c r="H181" t="s">
        <v>431</v>
      </c>
      <c r="I181" t="s">
        <v>432</v>
      </c>
      <c r="J181" t="s">
        <v>432</v>
      </c>
      <c r="K181">
        <v>0</v>
      </c>
      <c r="L181" t="s">
        <v>428</v>
      </c>
      <c r="M181" t="s">
        <v>428</v>
      </c>
      <c r="N181">
        <v>145813</v>
      </c>
      <c r="O181">
        <f>INDEX(AllCollegeBarrons,MATCH(N181,AllCollegeNCES,0))</f>
        <v>0</v>
      </c>
      <c r="P181">
        <f>INDEX(KidGPAs,MATCH(B181,KidIDs,0))</f>
        <v>0</v>
      </c>
      <c r="Q181">
        <f>INDEX(KidACTs,MATCH(B181,KidIDs,0))</f>
        <v>0</v>
      </c>
      <c r="R181">
        <f>INDEX(Strats,MATCH(B181,KidIDs,0))</f>
        <v>0</v>
      </c>
      <c r="S181">
        <f>INDEX(KidRace,MATCH(B181,KidIDs,0))</f>
        <v>0</v>
      </c>
      <c r="T181">
        <f>IF(OR(S181="M",S181="I"),"H",S181)</f>
        <v>0</v>
      </c>
      <c r="U181">
        <f>INDEX(StudentTargets,MATCH(B181,KidIDs,0))</f>
        <v>0</v>
      </c>
      <c r="V181">
        <f>INDEX(ReachStudentTargets,MATCH(B181,KidIDs,0))</f>
        <v>0</v>
      </c>
      <c r="W181">
        <f>IF(OR(M181="Posse"),1,0)</f>
        <v>0</v>
      </c>
      <c r="X181">
        <f>IF(ISNUMBER(INDEX(AllCollegeGR, MATCH(N181,AllCollegeNCES,0))),ROUND(INDEX(AllCollegeGR, MATCH(N181,AllCollegeNCES,0))+W181*IF(INDEX(AllCollegeGR, MATCH(N181,AllCollegeNCES,0))&gt;0.7,(1-INDEX(AllCollegeGR, MATCH(N181,AllCollegeNCES,0)))/2,0.15),2),INDEX(AllCollegeGR, MATCH(N181,AllCollegeNCES,0)))</f>
        <v>0</v>
      </c>
      <c r="Y181">
        <f>IF(ISNUMBER(INDEX(AllCollegeAAHGR, MATCH(N181,AllCollegeNCES,0))),ROUND(INDEX(AllCollegeAAHGR, MATCH(N181,AllCollegeNCES,0))+W181*IF(INDEX(AllCollegeAAHGR, MATCH(N181,AllCollegeNCES,0))&gt;0.7,(1-INDEX(AllCollegeAAHGR, MATCH(N181,AllCollegeNCES,0)))/2,0.15),2),INDEX(AllCollegeAAHGR, MATCH(N181,AllCollegeNCES,0)))</f>
        <v>0</v>
      </c>
      <c r="Z181">
        <f>IF(OR(T181="H",T181="B"),INDEX(AllCollegeACT25, MATCH(N181,AllCollegeNCES,0)),INDEX(AllCollegeACT50, MATCH(N181,AllCollegeNCES,0)))</f>
        <v>0</v>
      </c>
      <c r="AA181">
        <f>INDEX(CustomWeightsGPA,MATCH(T181&amp;":"&amp;N181,CustomWeightsIndex,0))</f>
        <v>0</v>
      </c>
      <c r="AB181">
        <f>INDEX(CustomWeightsACT,MATCH(T181&amp;":"&amp;N181,CustomWeightsIndex,0))</f>
        <v>0</v>
      </c>
      <c r="AC181">
        <f>INDEX(CustomWeightsIntercept,MATCH(T181&amp;":"&amp;N181,CustomWeightsIndex,0))</f>
        <v>0</v>
      </c>
      <c r="AD181">
        <f>AA181*P181+AB181*Q181+AC181</f>
        <v>0</v>
      </c>
      <c r="AE181">
        <f>INDEX(CoefficientsGPA,MATCH(T181&amp;":"&amp;O181,CoefficientsIndex,0))</f>
        <v>0</v>
      </c>
      <c r="AF181">
        <f>INDEX(CoefficientsACT,MATCH(T181&amp;":"&amp;O181,CoefficientsIndex,0))</f>
        <v>0</v>
      </c>
      <c r="AG181">
        <f>INDEX(CoefficientsIntercept,MATCH(T181&amp;":"&amp;O181,CoefficientsIndex,0))</f>
        <v>0</v>
      </c>
      <c r="AH181">
        <f>AE181*P181+(Q181-Z181)*AF181+AG181</f>
        <v>0</v>
      </c>
      <c r="AI181">
        <f>IF(ISNUMBER(AD181),AD181,AH181)</f>
        <v>0</v>
      </c>
      <c r="AJ181">
        <f>IF(ISNUMBER(AI181),IF(ISNUMBER(AE181),IF(AND(AE181=1,AF181=1,AG181=1),100,ROUND(100*EXP(AI181)/(1+EXP(AI181)),2)),ROUND(100*EXP(AI181)/(1+EXP(AI181)),2)),IF(ISTEXT(O181),IF(LEFT(O181,1)="2",100,"N/A"),"N/A"))</f>
        <v>0</v>
      </c>
      <c r="AK181">
        <f>IF(ISNUMBER(AJ181),IF(AJ181&gt;=99,IF(OR(R181=10,R181=11),MatchLabel,SureThingLabel),IF(AJ181&gt;=95,SecureLabel,IF(AJ181&gt;=80,SafetyLabel,IF(AJ181&gt;=50,MatchLabel,IF(AJ181&gt;=20,ReachLabel,IF(AJ181&gt;=10,LongshotLabel,HailMaryLabel)))))),"Other")</f>
        <v>0</v>
      </c>
      <c r="AL181">
        <f>IF(OR(I181="accepted",I181="cond. accept",I181="summer admit"),IF(J181="yes","CHOICE!","Accepted!"),IF(I181="denied","Denied",IF(K181=1,"Waitlist",IF(L181=1,"Deferred",IF(G181="pending","Pending",IF(OR(G181="initial materials submitted",G181="mid-year submitted",G181="final submitted"),"Submitted",IF(H181="interest","Interest","?")))))))</f>
        <v>0</v>
      </c>
      <c r="AM181">
        <f>IF(OR(AK181=ReachLabel,AK181=LongshotLabel,AK181=HailMaryLabel),1,0)</f>
        <v>0</v>
      </c>
      <c r="AN181">
        <f>IF(OR(AM181=1,AK181=MatchLabel),1,0)</f>
        <v>0</v>
      </c>
      <c r="AO181">
        <f>IF(OR(AK181=MatchLabel,AK181=SafetyLabel,AK181=SecureLabel,AK181=SureThingLabel),1,0)</f>
        <v>0</v>
      </c>
      <c r="AP181">
        <f>IF(OR(T181="H",T181="B"),IF(ISNUMBER(Y181),ROUND(Y181,2),0),IF(ISNUMBER(X181),ROUND(X181,2),0))</f>
        <v>0</v>
      </c>
      <c r="AQ181">
        <f>IF(AP181&gt;=U181,1,0)</f>
        <v>0</v>
      </c>
      <c r="AR181">
        <f>IF(AP181&gt;=V181,1,0)</f>
        <v>0</v>
      </c>
      <c r="AS181">
        <f>IF(AP181&lt;(U181-0.10),1,0)</f>
        <v>0</v>
      </c>
      <c r="AT181">
        <f>1-AJ181/100</f>
        <v>0</v>
      </c>
      <c r="AU181">
        <f>IF(AN181=1,AT181,1)</f>
        <v>0</v>
      </c>
      <c r="AV181">
        <f>IF(AM181=1,AT181,1)</f>
        <v>0</v>
      </c>
      <c r="AW181">
        <f>IF(AND(AQ181=1,ISNUMBER(AT181)),$AT181,1)</f>
        <v>0</v>
      </c>
      <c r="AX181">
        <f>IF(AND(AR181=1,ISNUMBER(AT181)),$AT181,1)</f>
        <v>0</v>
      </c>
      <c r="AY181">
        <f>IF(ISNUMBER(Y181),INDEX(AllCollegeMoney, MATCH(N181,AllCollegeNCES,0)),0)</f>
        <v>0</v>
      </c>
      <c r="AZ181">
        <f>IF(AND(AQ181=1,ISNUMBER(AT181),AY181=1),$AT181,1)</f>
        <v>0</v>
      </c>
      <c r="BA181">
        <f>IF(AND(AR181=1,ISNUMBER(AT181),AY181=1),$AT181,1)</f>
        <v>0</v>
      </c>
      <c r="BB181">
        <f>IF(ISNUMBER(Y181),INDEX(AllCollegeILPub, MATCH(N181,AllCollegeNCES,0)),0)</f>
        <v>0</v>
      </c>
      <c r="BC181">
        <f>IF(AK181=ReachLabel,AP181,0)</f>
        <v>0</v>
      </c>
      <c r="BD181">
        <f>IF(AK181=MatchLabel,AP181,0)</f>
        <v>0</v>
      </c>
      <c r="BE181">
        <f>IF(AK181=SafetyLabel,AP181,0)</f>
        <v>0</v>
      </c>
      <c r="BF181">
        <f>IF(AK181=SecureLabel,AP181,0)</f>
        <v>0</v>
      </c>
      <c r="BG181">
        <f>IF(AK181=SureThingLabel,AP181,0)</f>
        <v>0</v>
      </c>
      <c r="BH181">
        <f>MAX(BC181:BG181)</f>
        <v>0</v>
      </c>
      <c r="BI181">
        <f>MAX(BD181:BG181)</f>
        <v>0</v>
      </c>
      <c r="BJ181">
        <f>MAX(BE181:BG181)</f>
        <v>0</v>
      </c>
      <c r="BK181">
        <f>IF(AND(AK181=ReachLabel,AY181=1),AP181,0)</f>
        <v>0</v>
      </c>
      <c r="BL181">
        <f>IF(AND(AK181=MatchLabel,AY181=1),AP181,0)</f>
        <v>0</v>
      </c>
      <c r="BM181">
        <f>IF(AND(AK181=SafetyLabel,AY181=1),AP181,0)</f>
        <v>0</v>
      </c>
      <c r="BN181">
        <f>IF(AND(AK181=SecureLabel,AY181=1),AP181,0)</f>
        <v>0</v>
      </c>
      <c r="BO181">
        <f>IF(AND(AK181=SureThingLabel,AY181=1),AP181,0)</f>
        <v>0</v>
      </c>
      <c r="BP181">
        <f>MAX(BK181:BO181)</f>
        <v>0</v>
      </c>
      <c r="BQ181">
        <f>MAX(BL181:BO181)</f>
        <v>0</v>
      </c>
      <c r="BR181">
        <f>MAX(BM181:BO181)</f>
        <v>0</v>
      </c>
      <c r="BS181">
        <f>IF(ISNUMBER(Y181),INDEX(AllCollegeChicago, MATCH(N181,AllCollegeNCES,0))*AY181,0)</f>
        <v>0</v>
      </c>
      <c r="BT181">
        <f>IF(ISNUMBER(Y181),INDEX(AllCollegeMoneyCode, MATCH(N181,AllCollegeNCES,0)),"?")</f>
        <v>0</v>
      </c>
      <c r="BU181">
        <f>IF(OR(BT181="---",BT181="--",BT181="+/--",BT181="+/---"),1,0)</f>
        <v>0</v>
      </c>
      <c r="BV181">
        <f>AY181*AO181*AQ181</f>
        <v>0</v>
      </c>
    </row>
    <row r="182" spans="1:74">
      <c r="A182" t="s">
        <v>86</v>
      </c>
      <c r="B182">
        <v>22853391</v>
      </c>
      <c r="C182" t="s">
        <v>230</v>
      </c>
      <c r="D182" t="s">
        <v>231</v>
      </c>
      <c r="E182" t="s">
        <v>428</v>
      </c>
      <c r="F182" t="s">
        <v>447</v>
      </c>
      <c r="G182" t="s">
        <v>430</v>
      </c>
      <c r="H182" t="s">
        <v>431</v>
      </c>
      <c r="I182" t="s">
        <v>432</v>
      </c>
      <c r="J182" t="s">
        <v>432</v>
      </c>
      <c r="K182">
        <v>0</v>
      </c>
      <c r="L182" t="s">
        <v>428</v>
      </c>
      <c r="M182" t="s">
        <v>428</v>
      </c>
      <c r="N182">
        <v>145600</v>
      </c>
      <c r="O182">
        <f>INDEX(AllCollegeBarrons,MATCH(N182,AllCollegeNCES,0))</f>
        <v>0</v>
      </c>
      <c r="P182">
        <f>INDEX(KidGPAs,MATCH(B182,KidIDs,0))</f>
        <v>0</v>
      </c>
      <c r="Q182">
        <f>INDEX(KidACTs,MATCH(B182,KidIDs,0))</f>
        <v>0</v>
      </c>
      <c r="R182">
        <f>INDEX(Strats,MATCH(B182,KidIDs,0))</f>
        <v>0</v>
      </c>
      <c r="S182">
        <f>INDEX(KidRace,MATCH(B182,KidIDs,0))</f>
        <v>0</v>
      </c>
      <c r="T182">
        <f>IF(OR(S182="M",S182="I"),"H",S182)</f>
        <v>0</v>
      </c>
      <c r="U182">
        <f>INDEX(StudentTargets,MATCH(B182,KidIDs,0))</f>
        <v>0</v>
      </c>
      <c r="V182">
        <f>INDEX(ReachStudentTargets,MATCH(B182,KidIDs,0))</f>
        <v>0</v>
      </c>
      <c r="W182">
        <f>IF(OR(M182="Posse"),1,0)</f>
        <v>0</v>
      </c>
      <c r="X182">
        <f>IF(ISNUMBER(INDEX(AllCollegeGR, MATCH(N182,AllCollegeNCES,0))),ROUND(INDEX(AllCollegeGR, MATCH(N182,AllCollegeNCES,0))+W182*IF(INDEX(AllCollegeGR, MATCH(N182,AllCollegeNCES,0))&gt;0.7,(1-INDEX(AllCollegeGR, MATCH(N182,AllCollegeNCES,0)))/2,0.15),2),INDEX(AllCollegeGR, MATCH(N182,AllCollegeNCES,0)))</f>
        <v>0</v>
      </c>
      <c r="Y182">
        <f>IF(ISNUMBER(INDEX(AllCollegeAAHGR, MATCH(N182,AllCollegeNCES,0))),ROUND(INDEX(AllCollegeAAHGR, MATCH(N182,AllCollegeNCES,0))+W182*IF(INDEX(AllCollegeAAHGR, MATCH(N182,AllCollegeNCES,0))&gt;0.7,(1-INDEX(AllCollegeAAHGR, MATCH(N182,AllCollegeNCES,0)))/2,0.15),2),INDEX(AllCollegeAAHGR, MATCH(N182,AllCollegeNCES,0)))</f>
        <v>0</v>
      </c>
      <c r="Z182">
        <f>IF(OR(T182="H",T182="B"),INDEX(AllCollegeACT25, MATCH(N182,AllCollegeNCES,0)),INDEX(AllCollegeACT50, MATCH(N182,AllCollegeNCES,0)))</f>
        <v>0</v>
      </c>
      <c r="AA182">
        <f>INDEX(CustomWeightsGPA,MATCH(T182&amp;":"&amp;N182,CustomWeightsIndex,0))</f>
        <v>0</v>
      </c>
      <c r="AB182">
        <f>INDEX(CustomWeightsACT,MATCH(T182&amp;":"&amp;N182,CustomWeightsIndex,0))</f>
        <v>0</v>
      </c>
      <c r="AC182">
        <f>INDEX(CustomWeightsIntercept,MATCH(T182&amp;":"&amp;N182,CustomWeightsIndex,0))</f>
        <v>0</v>
      </c>
      <c r="AD182">
        <f>AA182*P182+AB182*Q182+AC182</f>
        <v>0</v>
      </c>
      <c r="AE182">
        <f>INDEX(CoefficientsGPA,MATCH(T182&amp;":"&amp;O182,CoefficientsIndex,0))</f>
        <v>0</v>
      </c>
      <c r="AF182">
        <f>INDEX(CoefficientsACT,MATCH(T182&amp;":"&amp;O182,CoefficientsIndex,0))</f>
        <v>0</v>
      </c>
      <c r="AG182">
        <f>INDEX(CoefficientsIntercept,MATCH(T182&amp;":"&amp;O182,CoefficientsIndex,0))</f>
        <v>0</v>
      </c>
      <c r="AH182">
        <f>AE182*P182+(Q182-Z182)*AF182+AG182</f>
        <v>0</v>
      </c>
      <c r="AI182">
        <f>IF(ISNUMBER(AD182),AD182,AH182)</f>
        <v>0</v>
      </c>
      <c r="AJ182">
        <f>IF(ISNUMBER(AI182),IF(ISNUMBER(AE182),IF(AND(AE182=1,AF182=1,AG182=1),100,ROUND(100*EXP(AI182)/(1+EXP(AI182)),2)),ROUND(100*EXP(AI182)/(1+EXP(AI182)),2)),IF(ISTEXT(O182),IF(LEFT(O182,1)="2",100,"N/A"),"N/A"))</f>
        <v>0</v>
      </c>
      <c r="AK182">
        <f>IF(ISNUMBER(AJ182),IF(AJ182&gt;=99,IF(OR(R182=10,R182=11),MatchLabel,SureThingLabel),IF(AJ182&gt;=95,SecureLabel,IF(AJ182&gt;=80,SafetyLabel,IF(AJ182&gt;=50,MatchLabel,IF(AJ182&gt;=20,ReachLabel,IF(AJ182&gt;=10,LongshotLabel,HailMaryLabel)))))),"Other")</f>
        <v>0</v>
      </c>
      <c r="AL182">
        <f>IF(OR(I182="accepted",I182="cond. accept",I182="summer admit"),IF(J182="yes","CHOICE!","Accepted!"),IF(I182="denied","Denied",IF(K182=1,"Waitlist",IF(L182=1,"Deferred",IF(G182="pending","Pending",IF(OR(G182="initial materials submitted",G182="mid-year submitted",G182="final submitted"),"Submitted",IF(H182="interest","Interest","?")))))))</f>
        <v>0</v>
      </c>
      <c r="AM182">
        <f>IF(OR(AK182=ReachLabel,AK182=LongshotLabel,AK182=HailMaryLabel),1,0)</f>
        <v>0</v>
      </c>
      <c r="AN182">
        <f>IF(OR(AM182=1,AK182=MatchLabel),1,0)</f>
        <v>0</v>
      </c>
      <c r="AO182">
        <f>IF(OR(AK182=MatchLabel,AK182=SafetyLabel,AK182=SecureLabel,AK182=SureThingLabel),1,0)</f>
        <v>0</v>
      </c>
      <c r="AP182">
        <f>IF(OR(T182="H",T182="B"),IF(ISNUMBER(Y182),ROUND(Y182,2),0),IF(ISNUMBER(X182),ROUND(X182,2),0))</f>
        <v>0</v>
      </c>
      <c r="AQ182">
        <f>IF(AP182&gt;=U182,1,0)</f>
        <v>0</v>
      </c>
      <c r="AR182">
        <f>IF(AP182&gt;=V182,1,0)</f>
        <v>0</v>
      </c>
      <c r="AS182">
        <f>IF(AP182&lt;(U182-0.10),1,0)</f>
        <v>0</v>
      </c>
      <c r="AT182">
        <f>1-AJ182/100</f>
        <v>0</v>
      </c>
      <c r="AU182">
        <f>IF(AN182=1,AT182,1)</f>
        <v>0</v>
      </c>
      <c r="AV182">
        <f>IF(AM182=1,AT182,1)</f>
        <v>0</v>
      </c>
      <c r="AW182">
        <f>IF(AND(AQ182=1,ISNUMBER(AT182)),$AT182,1)</f>
        <v>0</v>
      </c>
      <c r="AX182">
        <f>IF(AND(AR182=1,ISNUMBER(AT182)),$AT182,1)</f>
        <v>0</v>
      </c>
      <c r="AY182">
        <f>IF(ISNUMBER(Y182),INDEX(AllCollegeMoney, MATCH(N182,AllCollegeNCES,0)),0)</f>
        <v>0</v>
      </c>
      <c r="AZ182">
        <f>IF(AND(AQ182=1,ISNUMBER(AT182),AY182=1),$AT182,1)</f>
        <v>0</v>
      </c>
      <c r="BA182">
        <f>IF(AND(AR182=1,ISNUMBER(AT182),AY182=1),$AT182,1)</f>
        <v>0</v>
      </c>
      <c r="BB182">
        <f>IF(ISNUMBER(Y182),INDEX(AllCollegeILPub, MATCH(N182,AllCollegeNCES,0)),0)</f>
        <v>0</v>
      </c>
      <c r="BC182">
        <f>IF(AK182=ReachLabel,AP182,0)</f>
        <v>0</v>
      </c>
      <c r="BD182">
        <f>IF(AK182=MatchLabel,AP182,0)</f>
        <v>0</v>
      </c>
      <c r="BE182">
        <f>IF(AK182=SafetyLabel,AP182,0)</f>
        <v>0</v>
      </c>
      <c r="BF182">
        <f>IF(AK182=SecureLabel,AP182,0)</f>
        <v>0</v>
      </c>
      <c r="BG182">
        <f>IF(AK182=SureThingLabel,AP182,0)</f>
        <v>0</v>
      </c>
      <c r="BH182">
        <f>MAX(BC182:BG182)</f>
        <v>0</v>
      </c>
      <c r="BI182">
        <f>MAX(BD182:BG182)</f>
        <v>0</v>
      </c>
      <c r="BJ182">
        <f>MAX(BE182:BG182)</f>
        <v>0</v>
      </c>
      <c r="BK182">
        <f>IF(AND(AK182=ReachLabel,AY182=1),AP182,0)</f>
        <v>0</v>
      </c>
      <c r="BL182">
        <f>IF(AND(AK182=MatchLabel,AY182=1),AP182,0)</f>
        <v>0</v>
      </c>
      <c r="BM182">
        <f>IF(AND(AK182=SafetyLabel,AY182=1),AP182,0)</f>
        <v>0</v>
      </c>
      <c r="BN182">
        <f>IF(AND(AK182=SecureLabel,AY182=1),AP182,0)</f>
        <v>0</v>
      </c>
      <c r="BO182">
        <f>IF(AND(AK182=SureThingLabel,AY182=1),AP182,0)</f>
        <v>0</v>
      </c>
      <c r="BP182">
        <f>MAX(BK182:BO182)</f>
        <v>0</v>
      </c>
      <c r="BQ182">
        <f>MAX(BL182:BO182)</f>
        <v>0</v>
      </c>
      <c r="BR182">
        <f>MAX(BM182:BO182)</f>
        <v>0</v>
      </c>
      <c r="BS182">
        <f>IF(ISNUMBER(Y182),INDEX(AllCollegeChicago, MATCH(N182,AllCollegeNCES,0))*AY182,0)</f>
        <v>0</v>
      </c>
      <c r="BT182">
        <f>IF(ISNUMBER(Y182),INDEX(AllCollegeMoneyCode, MATCH(N182,AllCollegeNCES,0)),"?")</f>
        <v>0</v>
      </c>
      <c r="BU182">
        <f>IF(OR(BT182="---",BT182="--",BT182="+/--",BT182="+/---"),1,0)</f>
        <v>0</v>
      </c>
      <c r="BV182">
        <f>AY182*AO182*AQ182</f>
        <v>0</v>
      </c>
    </row>
    <row r="183" spans="1:74">
      <c r="A183" t="s">
        <v>86</v>
      </c>
      <c r="B183">
        <v>22853391</v>
      </c>
      <c r="C183" t="s">
        <v>230</v>
      </c>
      <c r="D183" t="s">
        <v>231</v>
      </c>
      <c r="E183" t="s">
        <v>428</v>
      </c>
      <c r="F183" t="s">
        <v>464</v>
      </c>
      <c r="G183" t="s">
        <v>430</v>
      </c>
      <c r="H183" t="s">
        <v>431</v>
      </c>
      <c r="I183" t="s">
        <v>432</v>
      </c>
      <c r="J183" t="s">
        <v>432</v>
      </c>
      <c r="K183">
        <v>0</v>
      </c>
      <c r="L183" t="s">
        <v>428</v>
      </c>
      <c r="M183" t="s">
        <v>428</v>
      </c>
      <c r="N183">
        <v>169248</v>
      </c>
      <c r="O183">
        <f>INDEX(AllCollegeBarrons,MATCH(N183,AllCollegeNCES,0))</f>
        <v>0</v>
      </c>
      <c r="P183">
        <f>INDEX(KidGPAs,MATCH(B183,KidIDs,0))</f>
        <v>0</v>
      </c>
      <c r="Q183">
        <f>INDEX(KidACTs,MATCH(B183,KidIDs,0))</f>
        <v>0</v>
      </c>
      <c r="R183">
        <f>INDEX(Strats,MATCH(B183,KidIDs,0))</f>
        <v>0</v>
      </c>
      <c r="S183">
        <f>INDEX(KidRace,MATCH(B183,KidIDs,0))</f>
        <v>0</v>
      </c>
      <c r="T183">
        <f>IF(OR(S183="M",S183="I"),"H",S183)</f>
        <v>0</v>
      </c>
      <c r="U183">
        <f>INDEX(StudentTargets,MATCH(B183,KidIDs,0))</f>
        <v>0</v>
      </c>
      <c r="V183">
        <f>INDEX(ReachStudentTargets,MATCH(B183,KidIDs,0))</f>
        <v>0</v>
      </c>
      <c r="W183">
        <f>IF(OR(M183="Posse"),1,0)</f>
        <v>0</v>
      </c>
      <c r="X183">
        <f>IF(ISNUMBER(INDEX(AllCollegeGR, MATCH(N183,AllCollegeNCES,0))),ROUND(INDEX(AllCollegeGR, MATCH(N183,AllCollegeNCES,0))+W183*IF(INDEX(AllCollegeGR, MATCH(N183,AllCollegeNCES,0))&gt;0.7,(1-INDEX(AllCollegeGR, MATCH(N183,AllCollegeNCES,0)))/2,0.15),2),INDEX(AllCollegeGR, MATCH(N183,AllCollegeNCES,0)))</f>
        <v>0</v>
      </c>
      <c r="Y183">
        <f>IF(ISNUMBER(INDEX(AllCollegeAAHGR, MATCH(N183,AllCollegeNCES,0))),ROUND(INDEX(AllCollegeAAHGR, MATCH(N183,AllCollegeNCES,0))+W183*IF(INDEX(AllCollegeAAHGR, MATCH(N183,AllCollegeNCES,0))&gt;0.7,(1-INDEX(AllCollegeAAHGR, MATCH(N183,AllCollegeNCES,0)))/2,0.15),2),INDEX(AllCollegeAAHGR, MATCH(N183,AllCollegeNCES,0)))</f>
        <v>0</v>
      </c>
      <c r="Z183">
        <f>IF(OR(T183="H",T183="B"),INDEX(AllCollegeACT25, MATCH(N183,AllCollegeNCES,0)),INDEX(AllCollegeACT50, MATCH(N183,AllCollegeNCES,0)))</f>
        <v>0</v>
      </c>
      <c r="AA183">
        <f>INDEX(CustomWeightsGPA,MATCH(T183&amp;":"&amp;N183,CustomWeightsIndex,0))</f>
        <v>0</v>
      </c>
      <c r="AB183">
        <f>INDEX(CustomWeightsACT,MATCH(T183&amp;":"&amp;N183,CustomWeightsIndex,0))</f>
        <v>0</v>
      </c>
      <c r="AC183">
        <f>INDEX(CustomWeightsIntercept,MATCH(T183&amp;":"&amp;N183,CustomWeightsIndex,0))</f>
        <v>0</v>
      </c>
      <c r="AD183">
        <f>AA183*P183+AB183*Q183+AC183</f>
        <v>0</v>
      </c>
      <c r="AE183">
        <f>INDEX(CoefficientsGPA,MATCH(T183&amp;":"&amp;O183,CoefficientsIndex,0))</f>
        <v>0</v>
      </c>
      <c r="AF183">
        <f>INDEX(CoefficientsACT,MATCH(T183&amp;":"&amp;O183,CoefficientsIndex,0))</f>
        <v>0</v>
      </c>
      <c r="AG183">
        <f>INDEX(CoefficientsIntercept,MATCH(T183&amp;":"&amp;O183,CoefficientsIndex,0))</f>
        <v>0</v>
      </c>
      <c r="AH183">
        <f>AE183*P183+(Q183-Z183)*AF183+AG183</f>
        <v>0</v>
      </c>
      <c r="AI183">
        <f>IF(ISNUMBER(AD183),AD183,AH183)</f>
        <v>0</v>
      </c>
      <c r="AJ183">
        <f>IF(ISNUMBER(AI183),IF(ISNUMBER(AE183),IF(AND(AE183=1,AF183=1,AG183=1),100,ROUND(100*EXP(AI183)/(1+EXP(AI183)),2)),ROUND(100*EXP(AI183)/(1+EXP(AI183)),2)),IF(ISTEXT(O183),IF(LEFT(O183,1)="2",100,"N/A"),"N/A"))</f>
        <v>0</v>
      </c>
      <c r="AK183">
        <f>IF(ISNUMBER(AJ183),IF(AJ183&gt;=99,IF(OR(R183=10,R183=11),MatchLabel,SureThingLabel),IF(AJ183&gt;=95,SecureLabel,IF(AJ183&gt;=80,SafetyLabel,IF(AJ183&gt;=50,MatchLabel,IF(AJ183&gt;=20,ReachLabel,IF(AJ183&gt;=10,LongshotLabel,HailMaryLabel)))))),"Other")</f>
        <v>0</v>
      </c>
      <c r="AL183">
        <f>IF(OR(I183="accepted",I183="cond. accept",I183="summer admit"),IF(J183="yes","CHOICE!","Accepted!"),IF(I183="denied","Denied",IF(K183=1,"Waitlist",IF(L183=1,"Deferred",IF(G183="pending","Pending",IF(OR(G183="initial materials submitted",G183="mid-year submitted",G183="final submitted"),"Submitted",IF(H183="interest","Interest","?")))))))</f>
        <v>0</v>
      </c>
      <c r="AM183">
        <f>IF(OR(AK183=ReachLabel,AK183=LongshotLabel,AK183=HailMaryLabel),1,0)</f>
        <v>0</v>
      </c>
      <c r="AN183">
        <f>IF(OR(AM183=1,AK183=MatchLabel),1,0)</f>
        <v>0</v>
      </c>
      <c r="AO183">
        <f>IF(OR(AK183=MatchLabel,AK183=SafetyLabel,AK183=SecureLabel,AK183=SureThingLabel),1,0)</f>
        <v>0</v>
      </c>
      <c r="AP183">
        <f>IF(OR(T183="H",T183="B"),IF(ISNUMBER(Y183),ROUND(Y183,2),0),IF(ISNUMBER(X183),ROUND(X183,2),0))</f>
        <v>0</v>
      </c>
      <c r="AQ183">
        <f>IF(AP183&gt;=U183,1,0)</f>
        <v>0</v>
      </c>
      <c r="AR183">
        <f>IF(AP183&gt;=V183,1,0)</f>
        <v>0</v>
      </c>
      <c r="AS183">
        <f>IF(AP183&lt;(U183-0.10),1,0)</f>
        <v>0</v>
      </c>
      <c r="AT183">
        <f>1-AJ183/100</f>
        <v>0</v>
      </c>
      <c r="AU183">
        <f>IF(AN183=1,AT183,1)</f>
        <v>0</v>
      </c>
      <c r="AV183">
        <f>IF(AM183=1,AT183,1)</f>
        <v>0</v>
      </c>
      <c r="AW183">
        <f>IF(AND(AQ183=1,ISNUMBER(AT183)),$AT183,1)</f>
        <v>0</v>
      </c>
      <c r="AX183">
        <f>IF(AND(AR183=1,ISNUMBER(AT183)),$AT183,1)</f>
        <v>0</v>
      </c>
      <c r="AY183">
        <f>IF(ISNUMBER(Y183),INDEX(AllCollegeMoney, MATCH(N183,AllCollegeNCES,0)),0)</f>
        <v>0</v>
      </c>
      <c r="AZ183">
        <f>IF(AND(AQ183=1,ISNUMBER(AT183),AY183=1),$AT183,1)</f>
        <v>0</v>
      </c>
      <c r="BA183">
        <f>IF(AND(AR183=1,ISNUMBER(AT183),AY183=1),$AT183,1)</f>
        <v>0</v>
      </c>
      <c r="BB183">
        <f>IF(ISNUMBER(Y183),INDEX(AllCollegeILPub, MATCH(N183,AllCollegeNCES,0)),0)</f>
        <v>0</v>
      </c>
      <c r="BC183">
        <f>IF(AK183=ReachLabel,AP183,0)</f>
        <v>0</v>
      </c>
      <c r="BD183">
        <f>IF(AK183=MatchLabel,AP183,0)</f>
        <v>0</v>
      </c>
      <c r="BE183">
        <f>IF(AK183=SafetyLabel,AP183,0)</f>
        <v>0</v>
      </c>
      <c r="BF183">
        <f>IF(AK183=SecureLabel,AP183,0)</f>
        <v>0</v>
      </c>
      <c r="BG183">
        <f>IF(AK183=SureThingLabel,AP183,0)</f>
        <v>0</v>
      </c>
      <c r="BH183">
        <f>MAX(BC183:BG183)</f>
        <v>0</v>
      </c>
      <c r="BI183">
        <f>MAX(BD183:BG183)</f>
        <v>0</v>
      </c>
      <c r="BJ183">
        <f>MAX(BE183:BG183)</f>
        <v>0</v>
      </c>
      <c r="BK183">
        <f>IF(AND(AK183=ReachLabel,AY183=1),AP183,0)</f>
        <v>0</v>
      </c>
      <c r="BL183">
        <f>IF(AND(AK183=MatchLabel,AY183=1),AP183,0)</f>
        <v>0</v>
      </c>
      <c r="BM183">
        <f>IF(AND(AK183=SafetyLabel,AY183=1),AP183,0)</f>
        <v>0</v>
      </c>
      <c r="BN183">
        <f>IF(AND(AK183=SecureLabel,AY183=1),AP183,0)</f>
        <v>0</v>
      </c>
      <c r="BO183">
        <f>IF(AND(AK183=SureThingLabel,AY183=1),AP183,0)</f>
        <v>0</v>
      </c>
      <c r="BP183">
        <f>MAX(BK183:BO183)</f>
        <v>0</v>
      </c>
      <c r="BQ183">
        <f>MAX(BL183:BO183)</f>
        <v>0</v>
      </c>
      <c r="BR183">
        <f>MAX(BM183:BO183)</f>
        <v>0</v>
      </c>
      <c r="BS183">
        <f>IF(ISNUMBER(Y183),INDEX(AllCollegeChicago, MATCH(N183,AllCollegeNCES,0))*AY183,0)</f>
        <v>0</v>
      </c>
      <c r="BT183">
        <f>IF(ISNUMBER(Y183),INDEX(AllCollegeMoneyCode, MATCH(N183,AllCollegeNCES,0)),"?")</f>
        <v>0</v>
      </c>
      <c r="BU183">
        <f>IF(OR(BT183="---",BT183="--",BT183="+/--",BT183="+/---"),1,0)</f>
        <v>0</v>
      </c>
      <c r="BV183">
        <f>AY183*AO183*AQ183</f>
        <v>0</v>
      </c>
    </row>
    <row r="184" spans="1:74">
      <c r="A184" t="s">
        <v>86</v>
      </c>
      <c r="B184">
        <v>22853391</v>
      </c>
      <c r="C184" t="s">
        <v>230</v>
      </c>
      <c r="D184" t="s">
        <v>231</v>
      </c>
      <c r="E184" t="s">
        <v>428</v>
      </c>
      <c r="F184" t="s">
        <v>489</v>
      </c>
      <c r="G184" t="s">
        <v>430</v>
      </c>
      <c r="H184" t="s">
        <v>431</v>
      </c>
      <c r="I184" t="s">
        <v>432</v>
      </c>
      <c r="J184" t="s">
        <v>432</v>
      </c>
      <c r="K184">
        <v>0</v>
      </c>
      <c r="L184" t="s">
        <v>428</v>
      </c>
      <c r="M184" t="s">
        <v>428</v>
      </c>
      <c r="N184">
        <v>147679</v>
      </c>
      <c r="O184">
        <f>INDEX(AllCollegeBarrons,MATCH(N184,AllCollegeNCES,0))</f>
        <v>0</v>
      </c>
      <c r="P184">
        <f>INDEX(KidGPAs,MATCH(B184,KidIDs,0))</f>
        <v>0</v>
      </c>
      <c r="Q184">
        <f>INDEX(KidACTs,MATCH(B184,KidIDs,0))</f>
        <v>0</v>
      </c>
      <c r="R184">
        <f>INDEX(Strats,MATCH(B184,KidIDs,0))</f>
        <v>0</v>
      </c>
      <c r="S184">
        <f>INDEX(KidRace,MATCH(B184,KidIDs,0))</f>
        <v>0</v>
      </c>
      <c r="T184">
        <f>IF(OR(S184="M",S184="I"),"H",S184)</f>
        <v>0</v>
      </c>
      <c r="U184">
        <f>INDEX(StudentTargets,MATCH(B184,KidIDs,0))</f>
        <v>0</v>
      </c>
      <c r="V184">
        <f>INDEX(ReachStudentTargets,MATCH(B184,KidIDs,0))</f>
        <v>0</v>
      </c>
      <c r="W184">
        <f>IF(OR(M184="Posse"),1,0)</f>
        <v>0</v>
      </c>
      <c r="X184">
        <f>IF(ISNUMBER(INDEX(AllCollegeGR, MATCH(N184,AllCollegeNCES,0))),ROUND(INDEX(AllCollegeGR, MATCH(N184,AllCollegeNCES,0))+W184*IF(INDEX(AllCollegeGR, MATCH(N184,AllCollegeNCES,0))&gt;0.7,(1-INDEX(AllCollegeGR, MATCH(N184,AllCollegeNCES,0)))/2,0.15),2),INDEX(AllCollegeGR, MATCH(N184,AllCollegeNCES,0)))</f>
        <v>0</v>
      </c>
      <c r="Y184">
        <f>IF(ISNUMBER(INDEX(AllCollegeAAHGR, MATCH(N184,AllCollegeNCES,0))),ROUND(INDEX(AllCollegeAAHGR, MATCH(N184,AllCollegeNCES,0))+W184*IF(INDEX(AllCollegeAAHGR, MATCH(N184,AllCollegeNCES,0))&gt;0.7,(1-INDEX(AllCollegeAAHGR, MATCH(N184,AllCollegeNCES,0)))/2,0.15),2),INDEX(AllCollegeAAHGR, MATCH(N184,AllCollegeNCES,0)))</f>
        <v>0</v>
      </c>
      <c r="Z184">
        <f>IF(OR(T184="H",T184="B"),INDEX(AllCollegeACT25, MATCH(N184,AllCollegeNCES,0)),INDEX(AllCollegeACT50, MATCH(N184,AllCollegeNCES,0)))</f>
        <v>0</v>
      </c>
      <c r="AA184">
        <f>INDEX(CustomWeightsGPA,MATCH(T184&amp;":"&amp;N184,CustomWeightsIndex,0))</f>
        <v>0</v>
      </c>
      <c r="AB184">
        <f>INDEX(CustomWeightsACT,MATCH(T184&amp;":"&amp;N184,CustomWeightsIndex,0))</f>
        <v>0</v>
      </c>
      <c r="AC184">
        <f>INDEX(CustomWeightsIntercept,MATCH(T184&amp;":"&amp;N184,CustomWeightsIndex,0))</f>
        <v>0</v>
      </c>
      <c r="AD184">
        <f>AA184*P184+AB184*Q184+AC184</f>
        <v>0</v>
      </c>
      <c r="AE184">
        <f>INDEX(CoefficientsGPA,MATCH(T184&amp;":"&amp;O184,CoefficientsIndex,0))</f>
        <v>0</v>
      </c>
      <c r="AF184">
        <f>INDEX(CoefficientsACT,MATCH(T184&amp;":"&amp;O184,CoefficientsIndex,0))</f>
        <v>0</v>
      </c>
      <c r="AG184">
        <f>INDEX(CoefficientsIntercept,MATCH(T184&amp;":"&amp;O184,CoefficientsIndex,0))</f>
        <v>0</v>
      </c>
      <c r="AH184">
        <f>AE184*P184+(Q184-Z184)*AF184+AG184</f>
        <v>0</v>
      </c>
      <c r="AI184">
        <f>IF(ISNUMBER(AD184),AD184,AH184)</f>
        <v>0</v>
      </c>
      <c r="AJ184">
        <f>IF(ISNUMBER(AI184),IF(ISNUMBER(AE184),IF(AND(AE184=1,AF184=1,AG184=1),100,ROUND(100*EXP(AI184)/(1+EXP(AI184)),2)),ROUND(100*EXP(AI184)/(1+EXP(AI184)),2)),IF(ISTEXT(O184),IF(LEFT(O184,1)="2",100,"N/A"),"N/A"))</f>
        <v>0</v>
      </c>
      <c r="AK184">
        <f>IF(ISNUMBER(AJ184),IF(AJ184&gt;=99,IF(OR(R184=10,R184=11),MatchLabel,SureThingLabel),IF(AJ184&gt;=95,SecureLabel,IF(AJ184&gt;=80,SafetyLabel,IF(AJ184&gt;=50,MatchLabel,IF(AJ184&gt;=20,ReachLabel,IF(AJ184&gt;=10,LongshotLabel,HailMaryLabel)))))),"Other")</f>
        <v>0</v>
      </c>
      <c r="AL184">
        <f>IF(OR(I184="accepted",I184="cond. accept",I184="summer admit"),IF(J184="yes","CHOICE!","Accepted!"),IF(I184="denied","Denied",IF(K184=1,"Waitlist",IF(L184=1,"Deferred",IF(G184="pending","Pending",IF(OR(G184="initial materials submitted",G184="mid-year submitted",G184="final submitted"),"Submitted",IF(H184="interest","Interest","?")))))))</f>
        <v>0</v>
      </c>
      <c r="AM184">
        <f>IF(OR(AK184=ReachLabel,AK184=LongshotLabel,AK184=HailMaryLabel),1,0)</f>
        <v>0</v>
      </c>
      <c r="AN184">
        <f>IF(OR(AM184=1,AK184=MatchLabel),1,0)</f>
        <v>0</v>
      </c>
      <c r="AO184">
        <f>IF(OR(AK184=MatchLabel,AK184=SafetyLabel,AK184=SecureLabel,AK184=SureThingLabel),1,0)</f>
        <v>0</v>
      </c>
      <c r="AP184">
        <f>IF(OR(T184="H",T184="B"),IF(ISNUMBER(Y184),ROUND(Y184,2),0),IF(ISNUMBER(X184),ROUND(X184,2),0))</f>
        <v>0</v>
      </c>
      <c r="AQ184">
        <f>IF(AP184&gt;=U184,1,0)</f>
        <v>0</v>
      </c>
      <c r="AR184">
        <f>IF(AP184&gt;=V184,1,0)</f>
        <v>0</v>
      </c>
      <c r="AS184">
        <f>IF(AP184&lt;(U184-0.10),1,0)</f>
        <v>0</v>
      </c>
      <c r="AT184">
        <f>1-AJ184/100</f>
        <v>0</v>
      </c>
      <c r="AU184">
        <f>IF(AN184=1,AT184,1)</f>
        <v>0</v>
      </c>
      <c r="AV184">
        <f>IF(AM184=1,AT184,1)</f>
        <v>0</v>
      </c>
      <c r="AW184">
        <f>IF(AND(AQ184=1,ISNUMBER(AT184)),$AT184,1)</f>
        <v>0</v>
      </c>
      <c r="AX184">
        <f>IF(AND(AR184=1,ISNUMBER(AT184)),$AT184,1)</f>
        <v>0</v>
      </c>
      <c r="AY184">
        <f>IF(ISNUMBER(Y184),INDEX(AllCollegeMoney, MATCH(N184,AllCollegeNCES,0)),0)</f>
        <v>0</v>
      </c>
      <c r="AZ184">
        <f>IF(AND(AQ184=1,ISNUMBER(AT184),AY184=1),$AT184,1)</f>
        <v>0</v>
      </c>
      <c r="BA184">
        <f>IF(AND(AR184=1,ISNUMBER(AT184),AY184=1),$AT184,1)</f>
        <v>0</v>
      </c>
      <c r="BB184">
        <f>IF(ISNUMBER(Y184),INDEX(AllCollegeILPub, MATCH(N184,AllCollegeNCES,0)),0)</f>
        <v>0</v>
      </c>
      <c r="BC184">
        <f>IF(AK184=ReachLabel,AP184,0)</f>
        <v>0</v>
      </c>
      <c r="BD184">
        <f>IF(AK184=MatchLabel,AP184,0)</f>
        <v>0</v>
      </c>
      <c r="BE184">
        <f>IF(AK184=SafetyLabel,AP184,0)</f>
        <v>0</v>
      </c>
      <c r="BF184">
        <f>IF(AK184=SecureLabel,AP184,0)</f>
        <v>0</v>
      </c>
      <c r="BG184">
        <f>IF(AK184=SureThingLabel,AP184,0)</f>
        <v>0</v>
      </c>
      <c r="BH184">
        <f>MAX(BC184:BG184)</f>
        <v>0</v>
      </c>
      <c r="BI184">
        <f>MAX(BD184:BG184)</f>
        <v>0</v>
      </c>
      <c r="BJ184">
        <f>MAX(BE184:BG184)</f>
        <v>0</v>
      </c>
      <c r="BK184">
        <f>IF(AND(AK184=ReachLabel,AY184=1),AP184,0)</f>
        <v>0</v>
      </c>
      <c r="BL184">
        <f>IF(AND(AK184=MatchLabel,AY184=1),AP184,0)</f>
        <v>0</v>
      </c>
      <c r="BM184">
        <f>IF(AND(AK184=SafetyLabel,AY184=1),AP184,0)</f>
        <v>0</v>
      </c>
      <c r="BN184">
        <f>IF(AND(AK184=SecureLabel,AY184=1),AP184,0)</f>
        <v>0</v>
      </c>
      <c r="BO184">
        <f>IF(AND(AK184=SureThingLabel,AY184=1),AP184,0)</f>
        <v>0</v>
      </c>
      <c r="BP184">
        <f>MAX(BK184:BO184)</f>
        <v>0</v>
      </c>
      <c r="BQ184">
        <f>MAX(BL184:BO184)</f>
        <v>0</v>
      </c>
      <c r="BR184">
        <f>MAX(BM184:BO184)</f>
        <v>0</v>
      </c>
      <c r="BS184">
        <f>IF(ISNUMBER(Y184),INDEX(AllCollegeChicago, MATCH(N184,AllCollegeNCES,0))*AY184,0)</f>
        <v>0</v>
      </c>
      <c r="BT184">
        <f>IF(ISNUMBER(Y184),INDEX(AllCollegeMoneyCode, MATCH(N184,AllCollegeNCES,0)),"?")</f>
        <v>0</v>
      </c>
      <c r="BU184">
        <f>IF(OR(BT184="---",BT184="--",BT184="+/--",BT184="+/---"),1,0)</f>
        <v>0</v>
      </c>
      <c r="BV184">
        <f>AY184*AO184*AQ184</f>
        <v>0</v>
      </c>
    </row>
    <row r="185" spans="1:74">
      <c r="A185" t="s">
        <v>86</v>
      </c>
      <c r="B185">
        <v>22853391</v>
      </c>
      <c r="C185" t="s">
        <v>230</v>
      </c>
      <c r="D185" t="s">
        <v>231</v>
      </c>
      <c r="E185" t="s">
        <v>428</v>
      </c>
      <c r="F185" t="s">
        <v>437</v>
      </c>
      <c r="G185" t="s">
        <v>430</v>
      </c>
      <c r="H185" t="s">
        <v>431</v>
      </c>
      <c r="I185" t="s">
        <v>432</v>
      </c>
      <c r="J185" t="s">
        <v>432</v>
      </c>
      <c r="K185">
        <v>0</v>
      </c>
      <c r="L185" t="s">
        <v>428</v>
      </c>
      <c r="M185" t="s">
        <v>428</v>
      </c>
      <c r="N185">
        <v>149772</v>
      </c>
      <c r="O185">
        <f>INDEX(AllCollegeBarrons,MATCH(N185,AllCollegeNCES,0))</f>
        <v>0</v>
      </c>
      <c r="P185">
        <f>INDEX(KidGPAs,MATCH(B185,KidIDs,0))</f>
        <v>0</v>
      </c>
      <c r="Q185">
        <f>INDEX(KidACTs,MATCH(B185,KidIDs,0))</f>
        <v>0</v>
      </c>
      <c r="R185">
        <f>INDEX(Strats,MATCH(B185,KidIDs,0))</f>
        <v>0</v>
      </c>
      <c r="S185">
        <f>INDEX(KidRace,MATCH(B185,KidIDs,0))</f>
        <v>0</v>
      </c>
      <c r="T185">
        <f>IF(OR(S185="M",S185="I"),"H",S185)</f>
        <v>0</v>
      </c>
      <c r="U185">
        <f>INDEX(StudentTargets,MATCH(B185,KidIDs,0))</f>
        <v>0</v>
      </c>
      <c r="V185">
        <f>INDEX(ReachStudentTargets,MATCH(B185,KidIDs,0))</f>
        <v>0</v>
      </c>
      <c r="W185">
        <f>IF(OR(M185="Posse"),1,0)</f>
        <v>0</v>
      </c>
      <c r="X185">
        <f>IF(ISNUMBER(INDEX(AllCollegeGR, MATCH(N185,AllCollegeNCES,0))),ROUND(INDEX(AllCollegeGR, MATCH(N185,AllCollegeNCES,0))+W185*IF(INDEX(AllCollegeGR, MATCH(N185,AllCollegeNCES,0))&gt;0.7,(1-INDEX(AllCollegeGR, MATCH(N185,AllCollegeNCES,0)))/2,0.15),2),INDEX(AllCollegeGR, MATCH(N185,AllCollegeNCES,0)))</f>
        <v>0</v>
      </c>
      <c r="Y185">
        <f>IF(ISNUMBER(INDEX(AllCollegeAAHGR, MATCH(N185,AllCollegeNCES,0))),ROUND(INDEX(AllCollegeAAHGR, MATCH(N185,AllCollegeNCES,0))+W185*IF(INDEX(AllCollegeAAHGR, MATCH(N185,AllCollegeNCES,0))&gt;0.7,(1-INDEX(AllCollegeAAHGR, MATCH(N185,AllCollegeNCES,0)))/2,0.15),2),INDEX(AllCollegeAAHGR, MATCH(N185,AllCollegeNCES,0)))</f>
        <v>0</v>
      </c>
      <c r="Z185">
        <f>IF(OR(T185="H",T185="B"),INDEX(AllCollegeACT25, MATCH(N185,AllCollegeNCES,0)),INDEX(AllCollegeACT50, MATCH(N185,AllCollegeNCES,0)))</f>
        <v>0</v>
      </c>
      <c r="AA185">
        <f>INDEX(CustomWeightsGPA,MATCH(T185&amp;":"&amp;N185,CustomWeightsIndex,0))</f>
        <v>0</v>
      </c>
      <c r="AB185">
        <f>INDEX(CustomWeightsACT,MATCH(T185&amp;":"&amp;N185,CustomWeightsIndex,0))</f>
        <v>0</v>
      </c>
      <c r="AC185">
        <f>INDEX(CustomWeightsIntercept,MATCH(T185&amp;":"&amp;N185,CustomWeightsIndex,0))</f>
        <v>0</v>
      </c>
      <c r="AD185">
        <f>AA185*P185+AB185*Q185+AC185</f>
        <v>0</v>
      </c>
      <c r="AE185">
        <f>INDEX(CoefficientsGPA,MATCH(T185&amp;":"&amp;O185,CoefficientsIndex,0))</f>
        <v>0</v>
      </c>
      <c r="AF185">
        <f>INDEX(CoefficientsACT,MATCH(T185&amp;":"&amp;O185,CoefficientsIndex,0))</f>
        <v>0</v>
      </c>
      <c r="AG185">
        <f>INDEX(CoefficientsIntercept,MATCH(T185&amp;":"&amp;O185,CoefficientsIndex,0))</f>
        <v>0</v>
      </c>
      <c r="AH185">
        <f>AE185*P185+(Q185-Z185)*AF185+AG185</f>
        <v>0</v>
      </c>
      <c r="AI185">
        <f>IF(ISNUMBER(AD185),AD185,AH185)</f>
        <v>0</v>
      </c>
      <c r="AJ185">
        <f>IF(ISNUMBER(AI185),IF(ISNUMBER(AE185),IF(AND(AE185=1,AF185=1,AG185=1),100,ROUND(100*EXP(AI185)/(1+EXP(AI185)),2)),ROUND(100*EXP(AI185)/(1+EXP(AI185)),2)),IF(ISTEXT(O185),IF(LEFT(O185,1)="2",100,"N/A"),"N/A"))</f>
        <v>0</v>
      </c>
      <c r="AK185">
        <f>IF(ISNUMBER(AJ185),IF(AJ185&gt;=99,IF(OR(R185=10,R185=11),MatchLabel,SureThingLabel),IF(AJ185&gt;=95,SecureLabel,IF(AJ185&gt;=80,SafetyLabel,IF(AJ185&gt;=50,MatchLabel,IF(AJ185&gt;=20,ReachLabel,IF(AJ185&gt;=10,LongshotLabel,HailMaryLabel)))))),"Other")</f>
        <v>0</v>
      </c>
      <c r="AL185">
        <f>IF(OR(I185="accepted",I185="cond. accept",I185="summer admit"),IF(J185="yes","CHOICE!","Accepted!"),IF(I185="denied","Denied",IF(K185=1,"Waitlist",IF(L185=1,"Deferred",IF(G185="pending","Pending",IF(OR(G185="initial materials submitted",G185="mid-year submitted",G185="final submitted"),"Submitted",IF(H185="interest","Interest","?")))))))</f>
        <v>0</v>
      </c>
      <c r="AM185">
        <f>IF(OR(AK185=ReachLabel,AK185=LongshotLabel,AK185=HailMaryLabel),1,0)</f>
        <v>0</v>
      </c>
      <c r="AN185">
        <f>IF(OR(AM185=1,AK185=MatchLabel),1,0)</f>
        <v>0</v>
      </c>
      <c r="AO185">
        <f>IF(OR(AK185=MatchLabel,AK185=SafetyLabel,AK185=SecureLabel,AK185=SureThingLabel),1,0)</f>
        <v>0</v>
      </c>
      <c r="AP185">
        <f>IF(OR(T185="H",T185="B"),IF(ISNUMBER(Y185),ROUND(Y185,2),0),IF(ISNUMBER(X185),ROUND(X185,2),0))</f>
        <v>0</v>
      </c>
      <c r="AQ185">
        <f>IF(AP185&gt;=U185,1,0)</f>
        <v>0</v>
      </c>
      <c r="AR185">
        <f>IF(AP185&gt;=V185,1,0)</f>
        <v>0</v>
      </c>
      <c r="AS185">
        <f>IF(AP185&lt;(U185-0.10),1,0)</f>
        <v>0</v>
      </c>
      <c r="AT185">
        <f>1-AJ185/100</f>
        <v>0</v>
      </c>
      <c r="AU185">
        <f>IF(AN185=1,AT185,1)</f>
        <v>0</v>
      </c>
      <c r="AV185">
        <f>IF(AM185=1,AT185,1)</f>
        <v>0</v>
      </c>
      <c r="AW185">
        <f>IF(AND(AQ185=1,ISNUMBER(AT185)),$AT185,1)</f>
        <v>0</v>
      </c>
      <c r="AX185">
        <f>IF(AND(AR185=1,ISNUMBER(AT185)),$AT185,1)</f>
        <v>0</v>
      </c>
      <c r="AY185">
        <f>IF(ISNUMBER(Y185),INDEX(AllCollegeMoney, MATCH(N185,AllCollegeNCES,0)),0)</f>
        <v>0</v>
      </c>
      <c r="AZ185">
        <f>IF(AND(AQ185=1,ISNUMBER(AT185),AY185=1),$AT185,1)</f>
        <v>0</v>
      </c>
      <c r="BA185">
        <f>IF(AND(AR185=1,ISNUMBER(AT185),AY185=1),$AT185,1)</f>
        <v>0</v>
      </c>
      <c r="BB185">
        <f>IF(ISNUMBER(Y185),INDEX(AllCollegeILPub, MATCH(N185,AllCollegeNCES,0)),0)</f>
        <v>0</v>
      </c>
      <c r="BC185">
        <f>IF(AK185=ReachLabel,AP185,0)</f>
        <v>0</v>
      </c>
      <c r="BD185">
        <f>IF(AK185=MatchLabel,AP185,0)</f>
        <v>0</v>
      </c>
      <c r="BE185">
        <f>IF(AK185=SafetyLabel,AP185,0)</f>
        <v>0</v>
      </c>
      <c r="BF185">
        <f>IF(AK185=SecureLabel,AP185,0)</f>
        <v>0</v>
      </c>
      <c r="BG185">
        <f>IF(AK185=SureThingLabel,AP185,0)</f>
        <v>0</v>
      </c>
      <c r="BH185">
        <f>MAX(BC185:BG185)</f>
        <v>0</v>
      </c>
      <c r="BI185">
        <f>MAX(BD185:BG185)</f>
        <v>0</v>
      </c>
      <c r="BJ185">
        <f>MAX(BE185:BG185)</f>
        <v>0</v>
      </c>
      <c r="BK185">
        <f>IF(AND(AK185=ReachLabel,AY185=1),AP185,0)</f>
        <v>0</v>
      </c>
      <c r="BL185">
        <f>IF(AND(AK185=MatchLabel,AY185=1),AP185,0)</f>
        <v>0</v>
      </c>
      <c r="BM185">
        <f>IF(AND(AK185=SafetyLabel,AY185=1),AP185,0)</f>
        <v>0</v>
      </c>
      <c r="BN185">
        <f>IF(AND(AK185=SecureLabel,AY185=1),AP185,0)</f>
        <v>0</v>
      </c>
      <c r="BO185">
        <f>IF(AND(AK185=SureThingLabel,AY185=1),AP185,0)</f>
        <v>0</v>
      </c>
      <c r="BP185">
        <f>MAX(BK185:BO185)</f>
        <v>0</v>
      </c>
      <c r="BQ185">
        <f>MAX(BL185:BO185)</f>
        <v>0</v>
      </c>
      <c r="BR185">
        <f>MAX(BM185:BO185)</f>
        <v>0</v>
      </c>
      <c r="BS185">
        <f>IF(ISNUMBER(Y185),INDEX(AllCollegeChicago, MATCH(N185,AllCollegeNCES,0))*AY185,0)</f>
        <v>0</v>
      </c>
      <c r="BT185">
        <f>IF(ISNUMBER(Y185),INDEX(AllCollegeMoneyCode, MATCH(N185,AllCollegeNCES,0)),"?")</f>
        <v>0</v>
      </c>
      <c r="BU185">
        <f>IF(OR(BT185="---",BT185="--",BT185="+/--",BT185="+/---"),1,0)</f>
        <v>0</v>
      </c>
      <c r="BV185">
        <f>AY185*AO185*AQ185</f>
        <v>0</v>
      </c>
    </row>
    <row r="186" spans="1:74">
      <c r="A186" t="s">
        <v>86</v>
      </c>
      <c r="B186">
        <v>22853391</v>
      </c>
      <c r="C186" t="s">
        <v>230</v>
      </c>
      <c r="D186" t="s">
        <v>231</v>
      </c>
      <c r="E186" t="s">
        <v>428</v>
      </c>
      <c r="F186" t="s">
        <v>438</v>
      </c>
      <c r="G186" t="s">
        <v>430</v>
      </c>
      <c r="H186" t="s">
        <v>431</v>
      </c>
      <c r="I186" t="s">
        <v>432</v>
      </c>
      <c r="J186" t="s">
        <v>432</v>
      </c>
      <c r="K186">
        <v>0</v>
      </c>
      <c r="L186" t="s">
        <v>428</v>
      </c>
      <c r="M186" t="s">
        <v>439</v>
      </c>
      <c r="N186">
        <v>150774</v>
      </c>
      <c r="O186">
        <f>INDEX(AllCollegeBarrons,MATCH(N186,AllCollegeNCES,0))</f>
        <v>0</v>
      </c>
      <c r="P186">
        <f>INDEX(KidGPAs,MATCH(B186,KidIDs,0))</f>
        <v>0</v>
      </c>
      <c r="Q186">
        <f>INDEX(KidACTs,MATCH(B186,KidIDs,0))</f>
        <v>0</v>
      </c>
      <c r="R186">
        <f>INDEX(Strats,MATCH(B186,KidIDs,0))</f>
        <v>0</v>
      </c>
      <c r="S186">
        <f>INDEX(KidRace,MATCH(B186,KidIDs,0))</f>
        <v>0</v>
      </c>
      <c r="T186">
        <f>IF(OR(S186="M",S186="I"),"H",S186)</f>
        <v>0</v>
      </c>
      <c r="U186">
        <f>INDEX(StudentTargets,MATCH(B186,KidIDs,0))</f>
        <v>0</v>
      </c>
      <c r="V186">
        <f>INDEX(ReachStudentTargets,MATCH(B186,KidIDs,0))</f>
        <v>0</v>
      </c>
      <c r="W186">
        <f>IF(OR(M186="Posse"),1,0)</f>
        <v>0</v>
      </c>
      <c r="X186">
        <f>IF(ISNUMBER(INDEX(AllCollegeGR, MATCH(N186,AllCollegeNCES,0))),ROUND(INDEX(AllCollegeGR, MATCH(N186,AllCollegeNCES,0))+W186*IF(INDEX(AllCollegeGR, MATCH(N186,AllCollegeNCES,0))&gt;0.7,(1-INDEX(AllCollegeGR, MATCH(N186,AllCollegeNCES,0)))/2,0.15),2),INDEX(AllCollegeGR, MATCH(N186,AllCollegeNCES,0)))</f>
        <v>0</v>
      </c>
      <c r="Y186">
        <f>IF(ISNUMBER(INDEX(AllCollegeAAHGR, MATCH(N186,AllCollegeNCES,0))),ROUND(INDEX(AllCollegeAAHGR, MATCH(N186,AllCollegeNCES,0))+W186*IF(INDEX(AllCollegeAAHGR, MATCH(N186,AllCollegeNCES,0))&gt;0.7,(1-INDEX(AllCollegeAAHGR, MATCH(N186,AllCollegeNCES,0)))/2,0.15),2),INDEX(AllCollegeAAHGR, MATCH(N186,AllCollegeNCES,0)))</f>
        <v>0</v>
      </c>
      <c r="Z186">
        <f>IF(OR(T186="H",T186="B"),INDEX(AllCollegeACT25, MATCH(N186,AllCollegeNCES,0)),INDEX(AllCollegeACT50, MATCH(N186,AllCollegeNCES,0)))</f>
        <v>0</v>
      </c>
      <c r="AA186">
        <f>INDEX(CustomWeightsGPA,MATCH(T186&amp;":"&amp;N186,CustomWeightsIndex,0))</f>
        <v>0</v>
      </c>
      <c r="AB186">
        <f>INDEX(CustomWeightsACT,MATCH(T186&amp;":"&amp;N186,CustomWeightsIndex,0))</f>
        <v>0</v>
      </c>
      <c r="AC186">
        <f>INDEX(CustomWeightsIntercept,MATCH(T186&amp;":"&amp;N186,CustomWeightsIndex,0))</f>
        <v>0</v>
      </c>
      <c r="AD186">
        <f>AA186*P186+AB186*Q186+AC186</f>
        <v>0</v>
      </c>
      <c r="AE186">
        <f>INDEX(CoefficientsGPA,MATCH(T186&amp;":"&amp;O186,CoefficientsIndex,0))</f>
        <v>0</v>
      </c>
      <c r="AF186">
        <f>INDEX(CoefficientsACT,MATCH(T186&amp;":"&amp;O186,CoefficientsIndex,0))</f>
        <v>0</v>
      </c>
      <c r="AG186">
        <f>INDEX(CoefficientsIntercept,MATCH(T186&amp;":"&amp;O186,CoefficientsIndex,0))</f>
        <v>0</v>
      </c>
      <c r="AH186">
        <f>AE186*P186+(Q186-Z186)*AF186+AG186</f>
        <v>0</v>
      </c>
      <c r="AI186">
        <f>IF(ISNUMBER(AD186),AD186,AH186)</f>
        <v>0</v>
      </c>
      <c r="AJ186">
        <f>IF(ISNUMBER(AI186),IF(ISNUMBER(AE186),IF(AND(AE186=1,AF186=1,AG186=1),100,ROUND(100*EXP(AI186)/(1+EXP(AI186)),2)),ROUND(100*EXP(AI186)/(1+EXP(AI186)),2)),IF(ISTEXT(O186),IF(LEFT(O186,1)="2",100,"N/A"),"N/A"))</f>
        <v>0</v>
      </c>
      <c r="AK186">
        <f>IF(ISNUMBER(AJ186),IF(AJ186&gt;=99,IF(OR(R186=10,R186=11),MatchLabel,SureThingLabel),IF(AJ186&gt;=95,SecureLabel,IF(AJ186&gt;=80,SafetyLabel,IF(AJ186&gt;=50,MatchLabel,IF(AJ186&gt;=20,ReachLabel,IF(AJ186&gt;=10,LongshotLabel,HailMaryLabel)))))),"Other")</f>
        <v>0</v>
      </c>
      <c r="AL186">
        <f>IF(OR(I186="accepted",I186="cond. accept",I186="summer admit"),IF(J186="yes","CHOICE!","Accepted!"),IF(I186="denied","Denied",IF(K186=1,"Waitlist",IF(L186=1,"Deferred",IF(G186="pending","Pending",IF(OR(G186="initial materials submitted",G186="mid-year submitted",G186="final submitted"),"Submitted",IF(H186="interest","Interest","?")))))))</f>
        <v>0</v>
      </c>
      <c r="AM186">
        <f>IF(OR(AK186=ReachLabel,AK186=LongshotLabel,AK186=HailMaryLabel),1,0)</f>
        <v>0</v>
      </c>
      <c r="AN186">
        <f>IF(OR(AM186=1,AK186=MatchLabel),1,0)</f>
        <v>0</v>
      </c>
      <c r="AO186">
        <f>IF(OR(AK186=MatchLabel,AK186=SafetyLabel,AK186=SecureLabel,AK186=SureThingLabel),1,0)</f>
        <v>0</v>
      </c>
      <c r="AP186">
        <f>IF(OR(T186="H",T186="B"),IF(ISNUMBER(Y186),ROUND(Y186,2),0),IF(ISNUMBER(X186),ROUND(X186,2),0))</f>
        <v>0</v>
      </c>
      <c r="AQ186">
        <f>IF(AP186&gt;=U186,1,0)</f>
        <v>0</v>
      </c>
      <c r="AR186">
        <f>IF(AP186&gt;=V186,1,0)</f>
        <v>0</v>
      </c>
      <c r="AS186">
        <f>IF(AP186&lt;(U186-0.10),1,0)</f>
        <v>0</v>
      </c>
      <c r="AT186">
        <f>1-AJ186/100</f>
        <v>0</v>
      </c>
      <c r="AU186">
        <f>IF(AN186=1,AT186,1)</f>
        <v>0</v>
      </c>
      <c r="AV186">
        <f>IF(AM186=1,AT186,1)</f>
        <v>0</v>
      </c>
      <c r="AW186">
        <f>IF(AND(AQ186=1,ISNUMBER(AT186)),$AT186,1)</f>
        <v>0</v>
      </c>
      <c r="AX186">
        <f>IF(AND(AR186=1,ISNUMBER(AT186)),$AT186,1)</f>
        <v>0</v>
      </c>
      <c r="AY186">
        <f>IF(ISNUMBER(Y186),INDEX(AllCollegeMoney, MATCH(N186,AllCollegeNCES,0)),0)</f>
        <v>0</v>
      </c>
      <c r="AZ186">
        <f>IF(AND(AQ186=1,ISNUMBER(AT186),AY186=1),$AT186,1)</f>
        <v>0</v>
      </c>
      <c r="BA186">
        <f>IF(AND(AR186=1,ISNUMBER(AT186),AY186=1),$AT186,1)</f>
        <v>0</v>
      </c>
      <c r="BB186">
        <f>IF(ISNUMBER(Y186),INDEX(AllCollegeILPub, MATCH(N186,AllCollegeNCES,0)),0)</f>
        <v>0</v>
      </c>
      <c r="BC186">
        <f>IF(AK186=ReachLabel,AP186,0)</f>
        <v>0</v>
      </c>
      <c r="BD186">
        <f>IF(AK186=MatchLabel,AP186,0)</f>
        <v>0</v>
      </c>
      <c r="BE186">
        <f>IF(AK186=SafetyLabel,AP186,0)</f>
        <v>0</v>
      </c>
      <c r="BF186">
        <f>IF(AK186=SecureLabel,AP186,0)</f>
        <v>0</v>
      </c>
      <c r="BG186">
        <f>IF(AK186=SureThingLabel,AP186,0)</f>
        <v>0</v>
      </c>
      <c r="BH186">
        <f>MAX(BC186:BG186)</f>
        <v>0</v>
      </c>
      <c r="BI186">
        <f>MAX(BD186:BG186)</f>
        <v>0</v>
      </c>
      <c r="BJ186">
        <f>MAX(BE186:BG186)</f>
        <v>0</v>
      </c>
      <c r="BK186">
        <f>IF(AND(AK186=ReachLabel,AY186=1),AP186,0)</f>
        <v>0</v>
      </c>
      <c r="BL186">
        <f>IF(AND(AK186=MatchLabel,AY186=1),AP186,0)</f>
        <v>0</v>
      </c>
      <c r="BM186">
        <f>IF(AND(AK186=SafetyLabel,AY186=1),AP186,0)</f>
        <v>0</v>
      </c>
      <c r="BN186">
        <f>IF(AND(AK186=SecureLabel,AY186=1),AP186,0)</f>
        <v>0</v>
      </c>
      <c r="BO186">
        <f>IF(AND(AK186=SureThingLabel,AY186=1),AP186,0)</f>
        <v>0</v>
      </c>
      <c r="BP186">
        <f>MAX(BK186:BO186)</f>
        <v>0</v>
      </c>
      <c r="BQ186">
        <f>MAX(BL186:BO186)</f>
        <v>0</v>
      </c>
      <c r="BR186">
        <f>MAX(BM186:BO186)</f>
        <v>0</v>
      </c>
      <c r="BS186">
        <f>IF(ISNUMBER(Y186),INDEX(AllCollegeChicago, MATCH(N186,AllCollegeNCES,0))*AY186,0)</f>
        <v>0</v>
      </c>
      <c r="BT186">
        <f>IF(ISNUMBER(Y186),INDEX(AllCollegeMoneyCode, MATCH(N186,AllCollegeNCES,0)),"?")</f>
        <v>0</v>
      </c>
      <c r="BU186">
        <f>IF(OR(BT186="---",BT186="--",BT186="+/--",BT186="+/---"),1,0)</f>
        <v>0</v>
      </c>
      <c r="BV186">
        <f>AY186*AO186*AQ186</f>
        <v>0</v>
      </c>
    </row>
    <row r="187" spans="1:74">
      <c r="A187" t="s">
        <v>86</v>
      </c>
      <c r="B187">
        <v>22939229</v>
      </c>
      <c r="C187" t="s">
        <v>320</v>
      </c>
      <c r="D187" t="s">
        <v>321</v>
      </c>
      <c r="E187" t="s">
        <v>428</v>
      </c>
      <c r="F187" t="s">
        <v>455</v>
      </c>
      <c r="G187" t="s">
        <v>430</v>
      </c>
      <c r="H187" t="s">
        <v>431</v>
      </c>
      <c r="I187" t="s">
        <v>432</v>
      </c>
      <c r="J187" t="s">
        <v>432</v>
      </c>
      <c r="K187">
        <v>0</v>
      </c>
      <c r="L187" t="s">
        <v>428</v>
      </c>
      <c r="M187" t="s">
        <v>428</v>
      </c>
      <c r="N187">
        <v>240444</v>
      </c>
      <c r="O187">
        <f>INDEX(AllCollegeBarrons,MATCH(N187,AllCollegeNCES,0))</f>
        <v>0</v>
      </c>
      <c r="P187">
        <f>INDEX(KidGPAs,MATCH(B187,KidIDs,0))</f>
        <v>0</v>
      </c>
      <c r="Q187">
        <f>INDEX(KidACTs,MATCH(B187,KidIDs,0))</f>
        <v>0</v>
      </c>
      <c r="R187">
        <f>INDEX(Strats,MATCH(B187,KidIDs,0))</f>
        <v>0</v>
      </c>
      <c r="S187">
        <f>INDEX(KidRace,MATCH(B187,KidIDs,0))</f>
        <v>0</v>
      </c>
      <c r="T187">
        <f>IF(OR(S187="M",S187="I"),"H",S187)</f>
        <v>0</v>
      </c>
      <c r="U187">
        <f>INDEX(StudentTargets,MATCH(B187,KidIDs,0))</f>
        <v>0</v>
      </c>
      <c r="V187">
        <f>INDEX(ReachStudentTargets,MATCH(B187,KidIDs,0))</f>
        <v>0</v>
      </c>
      <c r="W187">
        <f>IF(OR(M187="Posse"),1,0)</f>
        <v>0</v>
      </c>
      <c r="X187">
        <f>IF(ISNUMBER(INDEX(AllCollegeGR, MATCH(N187,AllCollegeNCES,0))),ROUND(INDEX(AllCollegeGR, MATCH(N187,AllCollegeNCES,0))+W187*IF(INDEX(AllCollegeGR, MATCH(N187,AllCollegeNCES,0))&gt;0.7,(1-INDEX(AllCollegeGR, MATCH(N187,AllCollegeNCES,0)))/2,0.15),2),INDEX(AllCollegeGR, MATCH(N187,AllCollegeNCES,0)))</f>
        <v>0</v>
      </c>
      <c r="Y187">
        <f>IF(ISNUMBER(INDEX(AllCollegeAAHGR, MATCH(N187,AllCollegeNCES,0))),ROUND(INDEX(AllCollegeAAHGR, MATCH(N187,AllCollegeNCES,0))+W187*IF(INDEX(AllCollegeAAHGR, MATCH(N187,AllCollegeNCES,0))&gt;0.7,(1-INDEX(AllCollegeAAHGR, MATCH(N187,AllCollegeNCES,0)))/2,0.15),2),INDEX(AllCollegeAAHGR, MATCH(N187,AllCollegeNCES,0)))</f>
        <v>0</v>
      </c>
      <c r="Z187">
        <f>IF(OR(T187="H",T187="B"),INDEX(AllCollegeACT25, MATCH(N187,AllCollegeNCES,0)),INDEX(AllCollegeACT50, MATCH(N187,AllCollegeNCES,0)))</f>
        <v>0</v>
      </c>
      <c r="AA187">
        <f>INDEX(CustomWeightsGPA,MATCH(T187&amp;":"&amp;N187,CustomWeightsIndex,0))</f>
        <v>0</v>
      </c>
      <c r="AB187">
        <f>INDEX(CustomWeightsACT,MATCH(T187&amp;":"&amp;N187,CustomWeightsIndex,0))</f>
        <v>0</v>
      </c>
      <c r="AC187">
        <f>INDEX(CustomWeightsIntercept,MATCH(T187&amp;":"&amp;N187,CustomWeightsIndex,0))</f>
        <v>0</v>
      </c>
      <c r="AD187">
        <f>AA187*P187+AB187*Q187+AC187</f>
        <v>0</v>
      </c>
      <c r="AE187">
        <f>INDEX(CoefficientsGPA,MATCH(T187&amp;":"&amp;O187,CoefficientsIndex,0))</f>
        <v>0</v>
      </c>
      <c r="AF187">
        <f>INDEX(CoefficientsACT,MATCH(T187&amp;":"&amp;O187,CoefficientsIndex,0))</f>
        <v>0</v>
      </c>
      <c r="AG187">
        <f>INDEX(CoefficientsIntercept,MATCH(T187&amp;":"&amp;O187,CoefficientsIndex,0))</f>
        <v>0</v>
      </c>
      <c r="AH187">
        <f>AE187*P187+(Q187-Z187)*AF187+AG187</f>
        <v>0</v>
      </c>
      <c r="AI187">
        <f>IF(ISNUMBER(AD187),AD187,AH187)</f>
        <v>0</v>
      </c>
      <c r="AJ187">
        <f>IF(ISNUMBER(AI187),IF(ISNUMBER(AE187),IF(AND(AE187=1,AF187=1,AG187=1),100,ROUND(100*EXP(AI187)/(1+EXP(AI187)),2)),ROUND(100*EXP(AI187)/(1+EXP(AI187)),2)),IF(ISTEXT(O187),IF(LEFT(O187,1)="2",100,"N/A"),"N/A"))</f>
        <v>0</v>
      </c>
      <c r="AK187">
        <f>IF(ISNUMBER(AJ187),IF(AJ187&gt;=99,IF(OR(R187=10,R187=11),MatchLabel,SureThingLabel),IF(AJ187&gt;=95,SecureLabel,IF(AJ187&gt;=80,SafetyLabel,IF(AJ187&gt;=50,MatchLabel,IF(AJ187&gt;=20,ReachLabel,IF(AJ187&gt;=10,LongshotLabel,HailMaryLabel)))))),"Other")</f>
        <v>0</v>
      </c>
      <c r="AL187">
        <f>IF(OR(I187="accepted",I187="cond. accept",I187="summer admit"),IF(J187="yes","CHOICE!","Accepted!"),IF(I187="denied","Denied",IF(K187=1,"Waitlist",IF(L187=1,"Deferred",IF(G187="pending","Pending",IF(OR(G187="initial materials submitted",G187="mid-year submitted",G187="final submitted"),"Submitted",IF(H187="interest","Interest","?")))))))</f>
        <v>0</v>
      </c>
      <c r="AM187">
        <f>IF(OR(AK187=ReachLabel,AK187=LongshotLabel,AK187=HailMaryLabel),1,0)</f>
        <v>0</v>
      </c>
      <c r="AN187">
        <f>IF(OR(AM187=1,AK187=MatchLabel),1,0)</f>
        <v>0</v>
      </c>
      <c r="AO187">
        <f>IF(OR(AK187=MatchLabel,AK187=SafetyLabel,AK187=SecureLabel,AK187=SureThingLabel),1,0)</f>
        <v>0</v>
      </c>
      <c r="AP187">
        <f>IF(OR(T187="H",T187="B"),IF(ISNUMBER(Y187),ROUND(Y187,2),0),IF(ISNUMBER(X187),ROUND(X187,2),0))</f>
        <v>0</v>
      </c>
      <c r="AQ187">
        <f>IF(AP187&gt;=U187,1,0)</f>
        <v>0</v>
      </c>
      <c r="AR187">
        <f>IF(AP187&gt;=V187,1,0)</f>
        <v>0</v>
      </c>
      <c r="AS187">
        <f>IF(AP187&lt;(U187-0.10),1,0)</f>
        <v>0</v>
      </c>
      <c r="AT187">
        <f>1-AJ187/100</f>
        <v>0</v>
      </c>
      <c r="AU187">
        <f>IF(AN187=1,AT187,1)</f>
        <v>0</v>
      </c>
      <c r="AV187">
        <f>IF(AM187=1,AT187,1)</f>
        <v>0</v>
      </c>
      <c r="AW187">
        <f>IF(AND(AQ187=1,ISNUMBER(AT187)),$AT187,1)</f>
        <v>0</v>
      </c>
      <c r="AX187">
        <f>IF(AND(AR187=1,ISNUMBER(AT187)),$AT187,1)</f>
        <v>0</v>
      </c>
      <c r="AY187">
        <f>IF(ISNUMBER(Y187),INDEX(AllCollegeMoney, MATCH(N187,AllCollegeNCES,0)),0)</f>
        <v>0</v>
      </c>
      <c r="AZ187">
        <f>IF(AND(AQ187=1,ISNUMBER(AT187),AY187=1),$AT187,1)</f>
        <v>0</v>
      </c>
      <c r="BA187">
        <f>IF(AND(AR187=1,ISNUMBER(AT187),AY187=1),$AT187,1)</f>
        <v>0</v>
      </c>
      <c r="BB187">
        <f>IF(ISNUMBER(Y187),INDEX(AllCollegeILPub, MATCH(N187,AllCollegeNCES,0)),0)</f>
        <v>0</v>
      </c>
      <c r="BC187">
        <f>IF(AK187=ReachLabel,AP187,0)</f>
        <v>0</v>
      </c>
      <c r="BD187">
        <f>IF(AK187=MatchLabel,AP187,0)</f>
        <v>0</v>
      </c>
      <c r="BE187">
        <f>IF(AK187=SafetyLabel,AP187,0)</f>
        <v>0</v>
      </c>
      <c r="BF187">
        <f>IF(AK187=SecureLabel,AP187,0)</f>
        <v>0</v>
      </c>
      <c r="BG187">
        <f>IF(AK187=SureThingLabel,AP187,0)</f>
        <v>0</v>
      </c>
      <c r="BH187">
        <f>MAX(BC187:BG187)</f>
        <v>0</v>
      </c>
      <c r="BI187">
        <f>MAX(BD187:BG187)</f>
        <v>0</v>
      </c>
      <c r="BJ187">
        <f>MAX(BE187:BG187)</f>
        <v>0</v>
      </c>
      <c r="BK187">
        <f>IF(AND(AK187=ReachLabel,AY187=1),AP187,0)</f>
        <v>0</v>
      </c>
      <c r="BL187">
        <f>IF(AND(AK187=MatchLabel,AY187=1),AP187,0)</f>
        <v>0</v>
      </c>
      <c r="BM187">
        <f>IF(AND(AK187=SafetyLabel,AY187=1),AP187,0)</f>
        <v>0</v>
      </c>
      <c r="BN187">
        <f>IF(AND(AK187=SecureLabel,AY187=1),AP187,0)</f>
        <v>0</v>
      </c>
      <c r="BO187">
        <f>IF(AND(AK187=SureThingLabel,AY187=1),AP187,0)</f>
        <v>0</v>
      </c>
      <c r="BP187">
        <f>MAX(BK187:BO187)</f>
        <v>0</v>
      </c>
      <c r="BQ187">
        <f>MAX(BL187:BO187)</f>
        <v>0</v>
      </c>
      <c r="BR187">
        <f>MAX(BM187:BO187)</f>
        <v>0</v>
      </c>
      <c r="BS187">
        <f>IF(ISNUMBER(Y187),INDEX(AllCollegeChicago, MATCH(N187,AllCollegeNCES,0))*AY187,0)</f>
        <v>0</v>
      </c>
      <c r="BT187">
        <f>IF(ISNUMBER(Y187),INDEX(AllCollegeMoneyCode, MATCH(N187,AllCollegeNCES,0)),"?")</f>
        <v>0</v>
      </c>
      <c r="BU187">
        <f>IF(OR(BT187="---",BT187="--",BT187="+/--",BT187="+/---"),1,0)</f>
        <v>0</v>
      </c>
      <c r="BV187">
        <f>AY187*AO187*AQ187</f>
        <v>0</v>
      </c>
    </row>
    <row r="188" spans="1:74">
      <c r="A188" t="s">
        <v>86</v>
      </c>
      <c r="B188">
        <v>22939229</v>
      </c>
      <c r="C188" t="s">
        <v>320</v>
      </c>
      <c r="D188" t="s">
        <v>321</v>
      </c>
      <c r="E188" t="s">
        <v>428</v>
      </c>
      <c r="F188" t="s">
        <v>457</v>
      </c>
      <c r="G188" t="s">
        <v>430</v>
      </c>
      <c r="H188" t="s">
        <v>431</v>
      </c>
      <c r="I188" t="s">
        <v>432</v>
      </c>
      <c r="J188" t="s">
        <v>432</v>
      </c>
      <c r="K188">
        <v>0</v>
      </c>
      <c r="L188" t="s">
        <v>428</v>
      </c>
      <c r="M188" t="s">
        <v>428</v>
      </c>
      <c r="N188">
        <v>145637</v>
      </c>
      <c r="O188">
        <f>INDEX(AllCollegeBarrons,MATCH(N188,AllCollegeNCES,0))</f>
        <v>0</v>
      </c>
      <c r="P188">
        <f>INDEX(KidGPAs,MATCH(B188,KidIDs,0))</f>
        <v>0</v>
      </c>
      <c r="Q188">
        <f>INDEX(KidACTs,MATCH(B188,KidIDs,0))</f>
        <v>0</v>
      </c>
      <c r="R188">
        <f>INDEX(Strats,MATCH(B188,KidIDs,0))</f>
        <v>0</v>
      </c>
      <c r="S188">
        <f>INDEX(KidRace,MATCH(B188,KidIDs,0))</f>
        <v>0</v>
      </c>
      <c r="T188">
        <f>IF(OR(S188="M",S188="I"),"H",S188)</f>
        <v>0</v>
      </c>
      <c r="U188">
        <f>INDEX(StudentTargets,MATCH(B188,KidIDs,0))</f>
        <v>0</v>
      </c>
      <c r="V188">
        <f>INDEX(ReachStudentTargets,MATCH(B188,KidIDs,0))</f>
        <v>0</v>
      </c>
      <c r="W188">
        <f>IF(OR(M188="Posse"),1,0)</f>
        <v>0</v>
      </c>
      <c r="X188">
        <f>IF(ISNUMBER(INDEX(AllCollegeGR, MATCH(N188,AllCollegeNCES,0))),ROUND(INDEX(AllCollegeGR, MATCH(N188,AllCollegeNCES,0))+W188*IF(INDEX(AllCollegeGR, MATCH(N188,AllCollegeNCES,0))&gt;0.7,(1-INDEX(AllCollegeGR, MATCH(N188,AllCollegeNCES,0)))/2,0.15),2),INDEX(AllCollegeGR, MATCH(N188,AllCollegeNCES,0)))</f>
        <v>0</v>
      </c>
      <c r="Y188">
        <f>IF(ISNUMBER(INDEX(AllCollegeAAHGR, MATCH(N188,AllCollegeNCES,0))),ROUND(INDEX(AllCollegeAAHGR, MATCH(N188,AllCollegeNCES,0))+W188*IF(INDEX(AllCollegeAAHGR, MATCH(N188,AllCollegeNCES,0))&gt;0.7,(1-INDEX(AllCollegeAAHGR, MATCH(N188,AllCollegeNCES,0)))/2,0.15),2),INDEX(AllCollegeAAHGR, MATCH(N188,AllCollegeNCES,0)))</f>
        <v>0</v>
      </c>
      <c r="Z188">
        <f>IF(OR(T188="H",T188="B"),INDEX(AllCollegeACT25, MATCH(N188,AllCollegeNCES,0)),INDEX(AllCollegeACT50, MATCH(N188,AllCollegeNCES,0)))</f>
        <v>0</v>
      </c>
      <c r="AA188">
        <f>INDEX(CustomWeightsGPA,MATCH(T188&amp;":"&amp;N188,CustomWeightsIndex,0))</f>
        <v>0</v>
      </c>
      <c r="AB188">
        <f>INDEX(CustomWeightsACT,MATCH(T188&amp;":"&amp;N188,CustomWeightsIndex,0))</f>
        <v>0</v>
      </c>
      <c r="AC188">
        <f>INDEX(CustomWeightsIntercept,MATCH(T188&amp;":"&amp;N188,CustomWeightsIndex,0))</f>
        <v>0</v>
      </c>
      <c r="AD188">
        <f>AA188*P188+AB188*Q188+AC188</f>
        <v>0</v>
      </c>
      <c r="AE188">
        <f>INDEX(CoefficientsGPA,MATCH(T188&amp;":"&amp;O188,CoefficientsIndex,0))</f>
        <v>0</v>
      </c>
      <c r="AF188">
        <f>INDEX(CoefficientsACT,MATCH(T188&amp;":"&amp;O188,CoefficientsIndex,0))</f>
        <v>0</v>
      </c>
      <c r="AG188">
        <f>INDEX(CoefficientsIntercept,MATCH(T188&amp;":"&amp;O188,CoefficientsIndex,0))</f>
        <v>0</v>
      </c>
      <c r="AH188">
        <f>AE188*P188+(Q188-Z188)*AF188+AG188</f>
        <v>0</v>
      </c>
      <c r="AI188">
        <f>IF(ISNUMBER(AD188),AD188,AH188)</f>
        <v>0</v>
      </c>
      <c r="AJ188">
        <f>IF(ISNUMBER(AI188),IF(ISNUMBER(AE188),IF(AND(AE188=1,AF188=1,AG188=1),100,ROUND(100*EXP(AI188)/(1+EXP(AI188)),2)),ROUND(100*EXP(AI188)/(1+EXP(AI188)),2)),IF(ISTEXT(O188),IF(LEFT(O188,1)="2",100,"N/A"),"N/A"))</f>
        <v>0</v>
      </c>
      <c r="AK188">
        <f>IF(ISNUMBER(AJ188),IF(AJ188&gt;=99,IF(OR(R188=10,R188=11),MatchLabel,SureThingLabel),IF(AJ188&gt;=95,SecureLabel,IF(AJ188&gt;=80,SafetyLabel,IF(AJ188&gt;=50,MatchLabel,IF(AJ188&gt;=20,ReachLabel,IF(AJ188&gt;=10,LongshotLabel,HailMaryLabel)))))),"Other")</f>
        <v>0</v>
      </c>
      <c r="AL188">
        <f>IF(OR(I188="accepted",I188="cond. accept",I188="summer admit"),IF(J188="yes","CHOICE!","Accepted!"),IF(I188="denied","Denied",IF(K188=1,"Waitlist",IF(L188=1,"Deferred",IF(G188="pending","Pending",IF(OR(G188="initial materials submitted",G188="mid-year submitted",G188="final submitted"),"Submitted",IF(H188="interest","Interest","?")))))))</f>
        <v>0</v>
      </c>
      <c r="AM188">
        <f>IF(OR(AK188=ReachLabel,AK188=LongshotLabel,AK188=HailMaryLabel),1,0)</f>
        <v>0</v>
      </c>
      <c r="AN188">
        <f>IF(OR(AM188=1,AK188=MatchLabel),1,0)</f>
        <v>0</v>
      </c>
      <c r="AO188">
        <f>IF(OR(AK188=MatchLabel,AK188=SafetyLabel,AK188=SecureLabel,AK188=SureThingLabel),1,0)</f>
        <v>0</v>
      </c>
      <c r="AP188">
        <f>IF(OR(T188="H",T188="B"),IF(ISNUMBER(Y188),ROUND(Y188,2),0),IF(ISNUMBER(X188),ROUND(X188,2),0))</f>
        <v>0</v>
      </c>
      <c r="AQ188">
        <f>IF(AP188&gt;=U188,1,0)</f>
        <v>0</v>
      </c>
      <c r="AR188">
        <f>IF(AP188&gt;=V188,1,0)</f>
        <v>0</v>
      </c>
      <c r="AS188">
        <f>IF(AP188&lt;(U188-0.10),1,0)</f>
        <v>0</v>
      </c>
      <c r="AT188">
        <f>1-AJ188/100</f>
        <v>0</v>
      </c>
      <c r="AU188">
        <f>IF(AN188=1,AT188,1)</f>
        <v>0</v>
      </c>
      <c r="AV188">
        <f>IF(AM188=1,AT188,1)</f>
        <v>0</v>
      </c>
      <c r="AW188">
        <f>IF(AND(AQ188=1,ISNUMBER(AT188)),$AT188,1)</f>
        <v>0</v>
      </c>
      <c r="AX188">
        <f>IF(AND(AR188=1,ISNUMBER(AT188)),$AT188,1)</f>
        <v>0</v>
      </c>
      <c r="AY188">
        <f>IF(ISNUMBER(Y188),INDEX(AllCollegeMoney, MATCH(N188,AllCollegeNCES,0)),0)</f>
        <v>0</v>
      </c>
      <c r="AZ188">
        <f>IF(AND(AQ188=1,ISNUMBER(AT188),AY188=1),$AT188,1)</f>
        <v>0</v>
      </c>
      <c r="BA188">
        <f>IF(AND(AR188=1,ISNUMBER(AT188),AY188=1),$AT188,1)</f>
        <v>0</v>
      </c>
      <c r="BB188">
        <f>IF(ISNUMBER(Y188),INDEX(AllCollegeILPub, MATCH(N188,AllCollegeNCES,0)),0)</f>
        <v>0</v>
      </c>
      <c r="BC188">
        <f>IF(AK188=ReachLabel,AP188,0)</f>
        <v>0</v>
      </c>
      <c r="BD188">
        <f>IF(AK188=MatchLabel,AP188,0)</f>
        <v>0</v>
      </c>
      <c r="BE188">
        <f>IF(AK188=SafetyLabel,AP188,0)</f>
        <v>0</v>
      </c>
      <c r="BF188">
        <f>IF(AK188=SecureLabel,AP188,0)</f>
        <v>0</v>
      </c>
      <c r="BG188">
        <f>IF(AK188=SureThingLabel,AP188,0)</f>
        <v>0</v>
      </c>
      <c r="BH188">
        <f>MAX(BC188:BG188)</f>
        <v>0</v>
      </c>
      <c r="BI188">
        <f>MAX(BD188:BG188)</f>
        <v>0</v>
      </c>
      <c r="BJ188">
        <f>MAX(BE188:BG188)</f>
        <v>0</v>
      </c>
      <c r="BK188">
        <f>IF(AND(AK188=ReachLabel,AY188=1),AP188,0)</f>
        <v>0</v>
      </c>
      <c r="BL188">
        <f>IF(AND(AK188=MatchLabel,AY188=1),AP188,0)</f>
        <v>0</v>
      </c>
      <c r="BM188">
        <f>IF(AND(AK188=SafetyLabel,AY188=1),AP188,0)</f>
        <v>0</v>
      </c>
      <c r="BN188">
        <f>IF(AND(AK188=SecureLabel,AY188=1),AP188,0)</f>
        <v>0</v>
      </c>
      <c r="BO188">
        <f>IF(AND(AK188=SureThingLabel,AY188=1),AP188,0)</f>
        <v>0</v>
      </c>
      <c r="BP188">
        <f>MAX(BK188:BO188)</f>
        <v>0</v>
      </c>
      <c r="BQ188">
        <f>MAX(BL188:BO188)</f>
        <v>0</v>
      </c>
      <c r="BR188">
        <f>MAX(BM188:BO188)</f>
        <v>0</v>
      </c>
      <c r="BS188">
        <f>IF(ISNUMBER(Y188),INDEX(AllCollegeChicago, MATCH(N188,AllCollegeNCES,0))*AY188,0)</f>
        <v>0</v>
      </c>
      <c r="BT188">
        <f>IF(ISNUMBER(Y188),INDEX(AllCollegeMoneyCode, MATCH(N188,AllCollegeNCES,0)),"?")</f>
        <v>0</v>
      </c>
      <c r="BU188">
        <f>IF(OR(BT188="---",BT188="--",BT188="+/--",BT188="+/---"),1,0)</f>
        <v>0</v>
      </c>
      <c r="BV188">
        <f>AY188*AO188*AQ188</f>
        <v>0</v>
      </c>
    </row>
    <row r="189" spans="1:74">
      <c r="A189" t="s">
        <v>86</v>
      </c>
      <c r="B189">
        <v>22939229</v>
      </c>
      <c r="C189" t="s">
        <v>320</v>
      </c>
      <c r="D189" t="s">
        <v>321</v>
      </c>
      <c r="E189" t="s">
        <v>428</v>
      </c>
      <c r="F189" t="s">
        <v>507</v>
      </c>
      <c r="G189" t="s">
        <v>463</v>
      </c>
      <c r="H189" t="s">
        <v>431</v>
      </c>
      <c r="I189" t="s">
        <v>432</v>
      </c>
      <c r="J189" t="s">
        <v>432</v>
      </c>
      <c r="K189">
        <v>0</v>
      </c>
      <c r="L189" t="s">
        <v>428</v>
      </c>
      <c r="M189" t="s">
        <v>428</v>
      </c>
      <c r="N189">
        <v>236595</v>
      </c>
      <c r="O189">
        <f>INDEX(AllCollegeBarrons,MATCH(N189,AllCollegeNCES,0))</f>
        <v>0</v>
      </c>
      <c r="P189">
        <f>INDEX(KidGPAs,MATCH(B189,KidIDs,0))</f>
        <v>0</v>
      </c>
      <c r="Q189">
        <f>INDEX(KidACTs,MATCH(B189,KidIDs,0))</f>
        <v>0</v>
      </c>
      <c r="R189">
        <f>INDEX(Strats,MATCH(B189,KidIDs,0))</f>
        <v>0</v>
      </c>
      <c r="S189">
        <f>INDEX(KidRace,MATCH(B189,KidIDs,0))</f>
        <v>0</v>
      </c>
      <c r="T189">
        <f>IF(OR(S189="M",S189="I"),"H",S189)</f>
        <v>0</v>
      </c>
      <c r="U189">
        <f>INDEX(StudentTargets,MATCH(B189,KidIDs,0))</f>
        <v>0</v>
      </c>
      <c r="V189">
        <f>INDEX(ReachStudentTargets,MATCH(B189,KidIDs,0))</f>
        <v>0</v>
      </c>
      <c r="W189">
        <f>IF(OR(M189="Posse"),1,0)</f>
        <v>0</v>
      </c>
      <c r="X189">
        <f>IF(ISNUMBER(INDEX(AllCollegeGR, MATCH(N189,AllCollegeNCES,0))),ROUND(INDEX(AllCollegeGR, MATCH(N189,AllCollegeNCES,0))+W189*IF(INDEX(AllCollegeGR, MATCH(N189,AllCollegeNCES,0))&gt;0.7,(1-INDEX(AllCollegeGR, MATCH(N189,AllCollegeNCES,0)))/2,0.15),2),INDEX(AllCollegeGR, MATCH(N189,AllCollegeNCES,0)))</f>
        <v>0</v>
      </c>
      <c r="Y189">
        <f>IF(ISNUMBER(INDEX(AllCollegeAAHGR, MATCH(N189,AllCollegeNCES,0))),ROUND(INDEX(AllCollegeAAHGR, MATCH(N189,AllCollegeNCES,0))+W189*IF(INDEX(AllCollegeAAHGR, MATCH(N189,AllCollegeNCES,0))&gt;0.7,(1-INDEX(AllCollegeAAHGR, MATCH(N189,AllCollegeNCES,0)))/2,0.15),2),INDEX(AllCollegeAAHGR, MATCH(N189,AllCollegeNCES,0)))</f>
        <v>0</v>
      </c>
      <c r="Z189">
        <f>IF(OR(T189="H",T189="B"),INDEX(AllCollegeACT25, MATCH(N189,AllCollegeNCES,0)),INDEX(AllCollegeACT50, MATCH(N189,AllCollegeNCES,0)))</f>
        <v>0</v>
      </c>
      <c r="AA189">
        <f>INDEX(CustomWeightsGPA,MATCH(T189&amp;":"&amp;N189,CustomWeightsIndex,0))</f>
        <v>0</v>
      </c>
      <c r="AB189">
        <f>INDEX(CustomWeightsACT,MATCH(T189&amp;":"&amp;N189,CustomWeightsIndex,0))</f>
        <v>0</v>
      </c>
      <c r="AC189">
        <f>INDEX(CustomWeightsIntercept,MATCH(T189&amp;":"&amp;N189,CustomWeightsIndex,0))</f>
        <v>0</v>
      </c>
      <c r="AD189">
        <f>AA189*P189+AB189*Q189+AC189</f>
        <v>0</v>
      </c>
      <c r="AE189">
        <f>INDEX(CoefficientsGPA,MATCH(T189&amp;":"&amp;O189,CoefficientsIndex,0))</f>
        <v>0</v>
      </c>
      <c r="AF189">
        <f>INDEX(CoefficientsACT,MATCH(T189&amp;":"&amp;O189,CoefficientsIndex,0))</f>
        <v>0</v>
      </c>
      <c r="AG189">
        <f>INDEX(CoefficientsIntercept,MATCH(T189&amp;":"&amp;O189,CoefficientsIndex,0))</f>
        <v>0</v>
      </c>
      <c r="AH189">
        <f>AE189*P189+(Q189-Z189)*AF189+AG189</f>
        <v>0</v>
      </c>
      <c r="AI189">
        <f>IF(ISNUMBER(AD189),AD189,AH189)</f>
        <v>0</v>
      </c>
      <c r="AJ189">
        <f>IF(ISNUMBER(AI189),IF(ISNUMBER(AE189),IF(AND(AE189=1,AF189=1,AG189=1),100,ROUND(100*EXP(AI189)/(1+EXP(AI189)),2)),ROUND(100*EXP(AI189)/(1+EXP(AI189)),2)),IF(ISTEXT(O189),IF(LEFT(O189,1)="2",100,"N/A"),"N/A"))</f>
        <v>0</v>
      </c>
      <c r="AK189">
        <f>IF(ISNUMBER(AJ189),IF(AJ189&gt;=99,IF(OR(R189=10,R189=11),MatchLabel,SureThingLabel),IF(AJ189&gt;=95,SecureLabel,IF(AJ189&gt;=80,SafetyLabel,IF(AJ189&gt;=50,MatchLabel,IF(AJ189&gt;=20,ReachLabel,IF(AJ189&gt;=10,LongshotLabel,HailMaryLabel)))))),"Other")</f>
        <v>0</v>
      </c>
      <c r="AL189">
        <f>IF(OR(I189="accepted",I189="cond. accept",I189="summer admit"),IF(J189="yes","CHOICE!","Accepted!"),IF(I189="denied","Denied",IF(K189=1,"Waitlist",IF(L189=1,"Deferred",IF(G189="pending","Pending",IF(OR(G189="initial materials submitted",G189="mid-year submitted",G189="final submitted"),"Submitted",IF(H189="interest","Interest","?")))))))</f>
        <v>0</v>
      </c>
      <c r="AM189">
        <f>IF(OR(AK189=ReachLabel,AK189=LongshotLabel,AK189=HailMaryLabel),1,0)</f>
        <v>0</v>
      </c>
      <c r="AN189">
        <f>IF(OR(AM189=1,AK189=MatchLabel),1,0)</f>
        <v>0</v>
      </c>
      <c r="AO189">
        <f>IF(OR(AK189=MatchLabel,AK189=SafetyLabel,AK189=SecureLabel,AK189=SureThingLabel),1,0)</f>
        <v>0</v>
      </c>
      <c r="AP189">
        <f>IF(OR(T189="H",T189="B"),IF(ISNUMBER(Y189),ROUND(Y189,2),0),IF(ISNUMBER(X189),ROUND(X189,2),0))</f>
        <v>0</v>
      </c>
      <c r="AQ189">
        <f>IF(AP189&gt;=U189,1,0)</f>
        <v>0</v>
      </c>
      <c r="AR189">
        <f>IF(AP189&gt;=V189,1,0)</f>
        <v>0</v>
      </c>
      <c r="AS189">
        <f>IF(AP189&lt;(U189-0.10),1,0)</f>
        <v>0</v>
      </c>
      <c r="AT189">
        <f>1-AJ189/100</f>
        <v>0</v>
      </c>
      <c r="AU189">
        <f>IF(AN189=1,AT189,1)</f>
        <v>0</v>
      </c>
      <c r="AV189">
        <f>IF(AM189=1,AT189,1)</f>
        <v>0</v>
      </c>
      <c r="AW189">
        <f>IF(AND(AQ189=1,ISNUMBER(AT189)),$AT189,1)</f>
        <v>0</v>
      </c>
      <c r="AX189">
        <f>IF(AND(AR189=1,ISNUMBER(AT189)),$AT189,1)</f>
        <v>0</v>
      </c>
      <c r="AY189">
        <f>IF(ISNUMBER(Y189),INDEX(AllCollegeMoney, MATCH(N189,AllCollegeNCES,0)),0)</f>
        <v>0</v>
      </c>
      <c r="AZ189">
        <f>IF(AND(AQ189=1,ISNUMBER(AT189),AY189=1),$AT189,1)</f>
        <v>0</v>
      </c>
      <c r="BA189">
        <f>IF(AND(AR189=1,ISNUMBER(AT189),AY189=1),$AT189,1)</f>
        <v>0</v>
      </c>
      <c r="BB189">
        <f>IF(ISNUMBER(Y189),INDEX(AllCollegeILPub, MATCH(N189,AllCollegeNCES,0)),0)</f>
        <v>0</v>
      </c>
      <c r="BC189">
        <f>IF(AK189=ReachLabel,AP189,0)</f>
        <v>0</v>
      </c>
      <c r="BD189">
        <f>IF(AK189=MatchLabel,AP189,0)</f>
        <v>0</v>
      </c>
      <c r="BE189">
        <f>IF(AK189=SafetyLabel,AP189,0)</f>
        <v>0</v>
      </c>
      <c r="BF189">
        <f>IF(AK189=SecureLabel,AP189,0)</f>
        <v>0</v>
      </c>
      <c r="BG189">
        <f>IF(AK189=SureThingLabel,AP189,0)</f>
        <v>0</v>
      </c>
      <c r="BH189">
        <f>MAX(BC189:BG189)</f>
        <v>0</v>
      </c>
      <c r="BI189">
        <f>MAX(BD189:BG189)</f>
        <v>0</v>
      </c>
      <c r="BJ189">
        <f>MAX(BE189:BG189)</f>
        <v>0</v>
      </c>
      <c r="BK189">
        <f>IF(AND(AK189=ReachLabel,AY189=1),AP189,0)</f>
        <v>0</v>
      </c>
      <c r="BL189">
        <f>IF(AND(AK189=MatchLabel,AY189=1),AP189,0)</f>
        <v>0</v>
      </c>
      <c r="BM189">
        <f>IF(AND(AK189=SafetyLabel,AY189=1),AP189,0)</f>
        <v>0</v>
      </c>
      <c r="BN189">
        <f>IF(AND(AK189=SecureLabel,AY189=1),AP189,0)</f>
        <v>0</v>
      </c>
      <c r="BO189">
        <f>IF(AND(AK189=SureThingLabel,AY189=1),AP189,0)</f>
        <v>0</v>
      </c>
      <c r="BP189">
        <f>MAX(BK189:BO189)</f>
        <v>0</v>
      </c>
      <c r="BQ189">
        <f>MAX(BL189:BO189)</f>
        <v>0</v>
      </c>
      <c r="BR189">
        <f>MAX(BM189:BO189)</f>
        <v>0</v>
      </c>
      <c r="BS189">
        <f>IF(ISNUMBER(Y189),INDEX(AllCollegeChicago, MATCH(N189,AllCollegeNCES,0))*AY189,0)</f>
        <v>0</v>
      </c>
      <c r="BT189">
        <f>IF(ISNUMBER(Y189),INDEX(AllCollegeMoneyCode, MATCH(N189,AllCollegeNCES,0)),"?")</f>
        <v>0</v>
      </c>
      <c r="BU189">
        <f>IF(OR(BT189="---",BT189="--",BT189="+/--",BT189="+/---"),1,0)</f>
        <v>0</v>
      </c>
      <c r="BV189">
        <f>AY189*AO189*AQ189</f>
        <v>0</v>
      </c>
    </row>
    <row r="190" spans="1:74">
      <c r="A190" t="s">
        <v>86</v>
      </c>
      <c r="B190">
        <v>22939229</v>
      </c>
      <c r="C190" t="s">
        <v>320</v>
      </c>
      <c r="D190" t="s">
        <v>321</v>
      </c>
      <c r="E190" t="s">
        <v>428</v>
      </c>
      <c r="F190" t="s">
        <v>459</v>
      </c>
      <c r="G190" t="s">
        <v>430</v>
      </c>
      <c r="H190" t="s">
        <v>431</v>
      </c>
      <c r="I190" t="s">
        <v>432</v>
      </c>
      <c r="J190" t="s">
        <v>432</v>
      </c>
      <c r="K190">
        <v>0</v>
      </c>
      <c r="L190" t="s">
        <v>428</v>
      </c>
      <c r="M190" t="s">
        <v>428</v>
      </c>
      <c r="N190">
        <v>146427</v>
      </c>
      <c r="O190">
        <f>INDEX(AllCollegeBarrons,MATCH(N190,AllCollegeNCES,0))</f>
        <v>0</v>
      </c>
      <c r="P190">
        <f>INDEX(KidGPAs,MATCH(B190,KidIDs,0))</f>
        <v>0</v>
      </c>
      <c r="Q190">
        <f>INDEX(KidACTs,MATCH(B190,KidIDs,0))</f>
        <v>0</v>
      </c>
      <c r="R190">
        <f>INDEX(Strats,MATCH(B190,KidIDs,0))</f>
        <v>0</v>
      </c>
      <c r="S190">
        <f>INDEX(KidRace,MATCH(B190,KidIDs,0))</f>
        <v>0</v>
      </c>
      <c r="T190">
        <f>IF(OR(S190="M",S190="I"),"H",S190)</f>
        <v>0</v>
      </c>
      <c r="U190">
        <f>INDEX(StudentTargets,MATCH(B190,KidIDs,0))</f>
        <v>0</v>
      </c>
      <c r="V190">
        <f>INDEX(ReachStudentTargets,MATCH(B190,KidIDs,0))</f>
        <v>0</v>
      </c>
      <c r="W190">
        <f>IF(OR(M190="Posse"),1,0)</f>
        <v>0</v>
      </c>
      <c r="X190">
        <f>IF(ISNUMBER(INDEX(AllCollegeGR, MATCH(N190,AllCollegeNCES,0))),ROUND(INDEX(AllCollegeGR, MATCH(N190,AllCollegeNCES,0))+W190*IF(INDEX(AllCollegeGR, MATCH(N190,AllCollegeNCES,0))&gt;0.7,(1-INDEX(AllCollegeGR, MATCH(N190,AllCollegeNCES,0)))/2,0.15),2),INDEX(AllCollegeGR, MATCH(N190,AllCollegeNCES,0)))</f>
        <v>0</v>
      </c>
      <c r="Y190">
        <f>IF(ISNUMBER(INDEX(AllCollegeAAHGR, MATCH(N190,AllCollegeNCES,0))),ROUND(INDEX(AllCollegeAAHGR, MATCH(N190,AllCollegeNCES,0))+W190*IF(INDEX(AllCollegeAAHGR, MATCH(N190,AllCollegeNCES,0))&gt;0.7,(1-INDEX(AllCollegeAAHGR, MATCH(N190,AllCollegeNCES,0)))/2,0.15),2),INDEX(AllCollegeAAHGR, MATCH(N190,AllCollegeNCES,0)))</f>
        <v>0</v>
      </c>
      <c r="Z190">
        <f>IF(OR(T190="H",T190="B"),INDEX(AllCollegeACT25, MATCH(N190,AllCollegeNCES,0)),INDEX(AllCollegeACT50, MATCH(N190,AllCollegeNCES,0)))</f>
        <v>0</v>
      </c>
      <c r="AA190">
        <f>INDEX(CustomWeightsGPA,MATCH(T190&amp;":"&amp;N190,CustomWeightsIndex,0))</f>
        <v>0</v>
      </c>
      <c r="AB190">
        <f>INDEX(CustomWeightsACT,MATCH(T190&amp;":"&amp;N190,CustomWeightsIndex,0))</f>
        <v>0</v>
      </c>
      <c r="AC190">
        <f>INDEX(CustomWeightsIntercept,MATCH(T190&amp;":"&amp;N190,CustomWeightsIndex,0))</f>
        <v>0</v>
      </c>
      <c r="AD190">
        <f>AA190*P190+AB190*Q190+AC190</f>
        <v>0</v>
      </c>
      <c r="AE190">
        <f>INDEX(CoefficientsGPA,MATCH(T190&amp;":"&amp;O190,CoefficientsIndex,0))</f>
        <v>0</v>
      </c>
      <c r="AF190">
        <f>INDEX(CoefficientsACT,MATCH(T190&amp;":"&amp;O190,CoefficientsIndex,0))</f>
        <v>0</v>
      </c>
      <c r="AG190">
        <f>INDEX(CoefficientsIntercept,MATCH(T190&amp;":"&amp;O190,CoefficientsIndex,0))</f>
        <v>0</v>
      </c>
      <c r="AH190">
        <f>AE190*P190+(Q190-Z190)*AF190+AG190</f>
        <v>0</v>
      </c>
      <c r="AI190">
        <f>IF(ISNUMBER(AD190),AD190,AH190)</f>
        <v>0</v>
      </c>
      <c r="AJ190">
        <f>IF(ISNUMBER(AI190),IF(ISNUMBER(AE190),IF(AND(AE190=1,AF190=1,AG190=1),100,ROUND(100*EXP(AI190)/(1+EXP(AI190)),2)),ROUND(100*EXP(AI190)/(1+EXP(AI190)),2)),IF(ISTEXT(O190),IF(LEFT(O190,1)="2",100,"N/A"),"N/A"))</f>
        <v>0</v>
      </c>
      <c r="AK190">
        <f>IF(ISNUMBER(AJ190),IF(AJ190&gt;=99,IF(OR(R190=10,R190=11),MatchLabel,SureThingLabel),IF(AJ190&gt;=95,SecureLabel,IF(AJ190&gt;=80,SafetyLabel,IF(AJ190&gt;=50,MatchLabel,IF(AJ190&gt;=20,ReachLabel,IF(AJ190&gt;=10,LongshotLabel,HailMaryLabel)))))),"Other")</f>
        <v>0</v>
      </c>
      <c r="AL190">
        <f>IF(OR(I190="accepted",I190="cond. accept",I190="summer admit"),IF(J190="yes","CHOICE!","Accepted!"),IF(I190="denied","Denied",IF(K190=1,"Waitlist",IF(L190=1,"Deferred",IF(G190="pending","Pending",IF(OR(G190="initial materials submitted",G190="mid-year submitted",G190="final submitted"),"Submitted",IF(H190="interest","Interest","?")))))))</f>
        <v>0</v>
      </c>
      <c r="AM190">
        <f>IF(OR(AK190=ReachLabel,AK190=LongshotLabel,AK190=HailMaryLabel),1,0)</f>
        <v>0</v>
      </c>
      <c r="AN190">
        <f>IF(OR(AM190=1,AK190=MatchLabel),1,0)</f>
        <v>0</v>
      </c>
      <c r="AO190">
        <f>IF(OR(AK190=MatchLabel,AK190=SafetyLabel,AK190=SecureLabel,AK190=SureThingLabel),1,0)</f>
        <v>0</v>
      </c>
      <c r="AP190">
        <f>IF(OR(T190="H",T190="B"),IF(ISNUMBER(Y190),ROUND(Y190,2),0),IF(ISNUMBER(X190),ROUND(X190,2),0))</f>
        <v>0</v>
      </c>
      <c r="AQ190">
        <f>IF(AP190&gt;=U190,1,0)</f>
        <v>0</v>
      </c>
      <c r="AR190">
        <f>IF(AP190&gt;=V190,1,0)</f>
        <v>0</v>
      </c>
      <c r="AS190">
        <f>IF(AP190&lt;(U190-0.10),1,0)</f>
        <v>0</v>
      </c>
      <c r="AT190">
        <f>1-AJ190/100</f>
        <v>0</v>
      </c>
      <c r="AU190">
        <f>IF(AN190=1,AT190,1)</f>
        <v>0</v>
      </c>
      <c r="AV190">
        <f>IF(AM190=1,AT190,1)</f>
        <v>0</v>
      </c>
      <c r="AW190">
        <f>IF(AND(AQ190=1,ISNUMBER(AT190)),$AT190,1)</f>
        <v>0</v>
      </c>
      <c r="AX190">
        <f>IF(AND(AR190=1,ISNUMBER(AT190)),$AT190,1)</f>
        <v>0</v>
      </c>
      <c r="AY190">
        <f>IF(ISNUMBER(Y190),INDEX(AllCollegeMoney, MATCH(N190,AllCollegeNCES,0)),0)</f>
        <v>0</v>
      </c>
      <c r="AZ190">
        <f>IF(AND(AQ190=1,ISNUMBER(AT190),AY190=1),$AT190,1)</f>
        <v>0</v>
      </c>
      <c r="BA190">
        <f>IF(AND(AR190=1,ISNUMBER(AT190),AY190=1),$AT190,1)</f>
        <v>0</v>
      </c>
      <c r="BB190">
        <f>IF(ISNUMBER(Y190),INDEX(AllCollegeILPub, MATCH(N190,AllCollegeNCES,0)),0)</f>
        <v>0</v>
      </c>
      <c r="BC190">
        <f>IF(AK190=ReachLabel,AP190,0)</f>
        <v>0</v>
      </c>
      <c r="BD190">
        <f>IF(AK190=MatchLabel,AP190,0)</f>
        <v>0</v>
      </c>
      <c r="BE190">
        <f>IF(AK190=SafetyLabel,AP190,0)</f>
        <v>0</v>
      </c>
      <c r="BF190">
        <f>IF(AK190=SecureLabel,AP190,0)</f>
        <v>0</v>
      </c>
      <c r="BG190">
        <f>IF(AK190=SureThingLabel,AP190,0)</f>
        <v>0</v>
      </c>
      <c r="BH190">
        <f>MAX(BC190:BG190)</f>
        <v>0</v>
      </c>
      <c r="BI190">
        <f>MAX(BD190:BG190)</f>
        <v>0</v>
      </c>
      <c r="BJ190">
        <f>MAX(BE190:BG190)</f>
        <v>0</v>
      </c>
      <c r="BK190">
        <f>IF(AND(AK190=ReachLabel,AY190=1),AP190,0)</f>
        <v>0</v>
      </c>
      <c r="BL190">
        <f>IF(AND(AK190=MatchLabel,AY190=1),AP190,0)</f>
        <v>0</v>
      </c>
      <c r="BM190">
        <f>IF(AND(AK190=SafetyLabel,AY190=1),AP190,0)</f>
        <v>0</v>
      </c>
      <c r="BN190">
        <f>IF(AND(AK190=SecureLabel,AY190=1),AP190,0)</f>
        <v>0</v>
      </c>
      <c r="BO190">
        <f>IF(AND(AK190=SureThingLabel,AY190=1),AP190,0)</f>
        <v>0</v>
      </c>
      <c r="BP190">
        <f>MAX(BK190:BO190)</f>
        <v>0</v>
      </c>
      <c r="BQ190">
        <f>MAX(BL190:BO190)</f>
        <v>0</v>
      </c>
      <c r="BR190">
        <f>MAX(BM190:BO190)</f>
        <v>0</v>
      </c>
      <c r="BS190">
        <f>IF(ISNUMBER(Y190),INDEX(AllCollegeChicago, MATCH(N190,AllCollegeNCES,0))*AY190,0)</f>
        <v>0</v>
      </c>
      <c r="BT190">
        <f>IF(ISNUMBER(Y190),INDEX(AllCollegeMoneyCode, MATCH(N190,AllCollegeNCES,0)),"?")</f>
        <v>0</v>
      </c>
      <c r="BU190">
        <f>IF(OR(BT190="---",BT190="--",BT190="+/--",BT190="+/---"),1,0)</f>
        <v>0</v>
      </c>
      <c r="BV190">
        <f>AY190*AO190*AQ190</f>
        <v>0</v>
      </c>
    </row>
    <row r="191" spans="1:74">
      <c r="A191" t="s">
        <v>86</v>
      </c>
      <c r="B191">
        <v>22939229</v>
      </c>
      <c r="C191" t="s">
        <v>320</v>
      </c>
      <c r="D191" t="s">
        <v>321</v>
      </c>
      <c r="E191" t="s">
        <v>428</v>
      </c>
      <c r="F191" t="s">
        <v>508</v>
      </c>
      <c r="G191" t="s">
        <v>430</v>
      </c>
      <c r="H191" t="s">
        <v>431</v>
      </c>
      <c r="I191" t="s">
        <v>432</v>
      </c>
      <c r="J191" t="s">
        <v>432</v>
      </c>
      <c r="K191">
        <v>0</v>
      </c>
      <c r="L191" t="s">
        <v>428</v>
      </c>
      <c r="M191" t="s">
        <v>428</v>
      </c>
      <c r="N191">
        <v>209056</v>
      </c>
      <c r="O191">
        <f>INDEX(AllCollegeBarrons,MATCH(N191,AllCollegeNCES,0))</f>
        <v>0</v>
      </c>
      <c r="P191">
        <f>INDEX(KidGPAs,MATCH(B191,KidIDs,0))</f>
        <v>0</v>
      </c>
      <c r="Q191">
        <f>INDEX(KidACTs,MATCH(B191,KidIDs,0))</f>
        <v>0</v>
      </c>
      <c r="R191">
        <f>INDEX(Strats,MATCH(B191,KidIDs,0))</f>
        <v>0</v>
      </c>
      <c r="S191">
        <f>INDEX(KidRace,MATCH(B191,KidIDs,0))</f>
        <v>0</v>
      </c>
      <c r="T191">
        <f>IF(OR(S191="M",S191="I"),"H",S191)</f>
        <v>0</v>
      </c>
      <c r="U191">
        <f>INDEX(StudentTargets,MATCH(B191,KidIDs,0))</f>
        <v>0</v>
      </c>
      <c r="V191">
        <f>INDEX(ReachStudentTargets,MATCH(B191,KidIDs,0))</f>
        <v>0</v>
      </c>
      <c r="W191">
        <f>IF(OR(M191="Posse"),1,0)</f>
        <v>0</v>
      </c>
      <c r="X191">
        <f>IF(ISNUMBER(INDEX(AllCollegeGR, MATCH(N191,AllCollegeNCES,0))),ROUND(INDEX(AllCollegeGR, MATCH(N191,AllCollegeNCES,0))+W191*IF(INDEX(AllCollegeGR, MATCH(N191,AllCollegeNCES,0))&gt;0.7,(1-INDEX(AllCollegeGR, MATCH(N191,AllCollegeNCES,0)))/2,0.15),2),INDEX(AllCollegeGR, MATCH(N191,AllCollegeNCES,0)))</f>
        <v>0</v>
      </c>
      <c r="Y191">
        <f>IF(ISNUMBER(INDEX(AllCollegeAAHGR, MATCH(N191,AllCollegeNCES,0))),ROUND(INDEX(AllCollegeAAHGR, MATCH(N191,AllCollegeNCES,0))+W191*IF(INDEX(AllCollegeAAHGR, MATCH(N191,AllCollegeNCES,0))&gt;0.7,(1-INDEX(AllCollegeAAHGR, MATCH(N191,AllCollegeNCES,0)))/2,0.15),2),INDEX(AllCollegeAAHGR, MATCH(N191,AllCollegeNCES,0)))</f>
        <v>0</v>
      </c>
      <c r="Z191">
        <f>IF(OR(T191="H",T191="B"),INDEX(AllCollegeACT25, MATCH(N191,AllCollegeNCES,0)),INDEX(AllCollegeACT50, MATCH(N191,AllCollegeNCES,0)))</f>
        <v>0</v>
      </c>
      <c r="AA191">
        <f>INDEX(CustomWeightsGPA,MATCH(T191&amp;":"&amp;N191,CustomWeightsIndex,0))</f>
        <v>0</v>
      </c>
      <c r="AB191">
        <f>INDEX(CustomWeightsACT,MATCH(T191&amp;":"&amp;N191,CustomWeightsIndex,0))</f>
        <v>0</v>
      </c>
      <c r="AC191">
        <f>INDEX(CustomWeightsIntercept,MATCH(T191&amp;":"&amp;N191,CustomWeightsIndex,0))</f>
        <v>0</v>
      </c>
      <c r="AD191">
        <f>AA191*P191+AB191*Q191+AC191</f>
        <v>0</v>
      </c>
      <c r="AE191">
        <f>INDEX(CoefficientsGPA,MATCH(T191&amp;":"&amp;O191,CoefficientsIndex,0))</f>
        <v>0</v>
      </c>
      <c r="AF191">
        <f>INDEX(CoefficientsACT,MATCH(T191&amp;":"&amp;O191,CoefficientsIndex,0))</f>
        <v>0</v>
      </c>
      <c r="AG191">
        <f>INDEX(CoefficientsIntercept,MATCH(T191&amp;":"&amp;O191,CoefficientsIndex,0))</f>
        <v>0</v>
      </c>
      <c r="AH191">
        <f>AE191*P191+(Q191-Z191)*AF191+AG191</f>
        <v>0</v>
      </c>
      <c r="AI191">
        <f>IF(ISNUMBER(AD191),AD191,AH191)</f>
        <v>0</v>
      </c>
      <c r="AJ191">
        <f>IF(ISNUMBER(AI191),IF(ISNUMBER(AE191),IF(AND(AE191=1,AF191=1,AG191=1),100,ROUND(100*EXP(AI191)/(1+EXP(AI191)),2)),ROUND(100*EXP(AI191)/(1+EXP(AI191)),2)),IF(ISTEXT(O191),IF(LEFT(O191,1)="2",100,"N/A"),"N/A"))</f>
        <v>0</v>
      </c>
      <c r="AK191">
        <f>IF(ISNUMBER(AJ191),IF(AJ191&gt;=99,IF(OR(R191=10,R191=11),MatchLabel,SureThingLabel),IF(AJ191&gt;=95,SecureLabel,IF(AJ191&gt;=80,SafetyLabel,IF(AJ191&gt;=50,MatchLabel,IF(AJ191&gt;=20,ReachLabel,IF(AJ191&gt;=10,LongshotLabel,HailMaryLabel)))))),"Other")</f>
        <v>0</v>
      </c>
      <c r="AL191">
        <f>IF(OR(I191="accepted",I191="cond. accept",I191="summer admit"),IF(J191="yes","CHOICE!","Accepted!"),IF(I191="denied","Denied",IF(K191=1,"Waitlist",IF(L191=1,"Deferred",IF(G191="pending","Pending",IF(OR(G191="initial materials submitted",G191="mid-year submitted",G191="final submitted"),"Submitted",IF(H191="interest","Interest","?")))))))</f>
        <v>0</v>
      </c>
      <c r="AM191">
        <f>IF(OR(AK191=ReachLabel,AK191=LongshotLabel,AK191=HailMaryLabel),1,0)</f>
        <v>0</v>
      </c>
      <c r="AN191">
        <f>IF(OR(AM191=1,AK191=MatchLabel),1,0)</f>
        <v>0</v>
      </c>
      <c r="AO191">
        <f>IF(OR(AK191=MatchLabel,AK191=SafetyLabel,AK191=SecureLabel,AK191=SureThingLabel),1,0)</f>
        <v>0</v>
      </c>
      <c r="AP191">
        <f>IF(OR(T191="H",T191="B"),IF(ISNUMBER(Y191),ROUND(Y191,2),0),IF(ISNUMBER(X191),ROUND(X191,2),0))</f>
        <v>0</v>
      </c>
      <c r="AQ191">
        <f>IF(AP191&gt;=U191,1,0)</f>
        <v>0</v>
      </c>
      <c r="AR191">
        <f>IF(AP191&gt;=V191,1,0)</f>
        <v>0</v>
      </c>
      <c r="AS191">
        <f>IF(AP191&lt;(U191-0.10),1,0)</f>
        <v>0</v>
      </c>
      <c r="AT191">
        <f>1-AJ191/100</f>
        <v>0</v>
      </c>
      <c r="AU191">
        <f>IF(AN191=1,AT191,1)</f>
        <v>0</v>
      </c>
      <c r="AV191">
        <f>IF(AM191=1,AT191,1)</f>
        <v>0</v>
      </c>
      <c r="AW191">
        <f>IF(AND(AQ191=1,ISNUMBER(AT191)),$AT191,1)</f>
        <v>0</v>
      </c>
      <c r="AX191">
        <f>IF(AND(AR191=1,ISNUMBER(AT191)),$AT191,1)</f>
        <v>0</v>
      </c>
      <c r="AY191">
        <f>IF(ISNUMBER(Y191),INDEX(AllCollegeMoney, MATCH(N191,AllCollegeNCES,0)),0)</f>
        <v>0</v>
      </c>
      <c r="AZ191">
        <f>IF(AND(AQ191=1,ISNUMBER(AT191),AY191=1),$AT191,1)</f>
        <v>0</v>
      </c>
      <c r="BA191">
        <f>IF(AND(AR191=1,ISNUMBER(AT191),AY191=1),$AT191,1)</f>
        <v>0</v>
      </c>
      <c r="BB191">
        <f>IF(ISNUMBER(Y191),INDEX(AllCollegeILPub, MATCH(N191,AllCollegeNCES,0)),0)</f>
        <v>0</v>
      </c>
      <c r="BC191">
        <f>IF(AK191=ReachLabel,AP191,0)</f>
        <v>0</v>
      </c>
      <c r="BD191">
        <f>IF(AK191=MatchLabel,AP191,0)</f>
        <v>0</v>
      </c>
      <c r="BE191">
        <f>IF(AK191=SafetyLabel,AP191,0)</f>
        <v>0</v>
      </c>
      <c r="BF191">
        <f>IF(AK191=SecureLabel,AP191,0)</f>
        <v>0</v>
      </c>
      <c r="BG191">
        <f>IF(AK191=SureThingLabel,AP191,0)</f>
        <v>0</v>
      </c>
      <c r="BH191">
        <f>MAX(BC191:BG191)</f>
        <v>0</v>
      </c>
      <c r="BI191">
        <f>MAX(BD191:BG191)</f>
        <v>0</v>
      </c>
      <c r="BJ191">
        <f>MAX(BE191:BG191)</f>
        <v>0</v>
      </c>
      <c r="BK191">
        <f>IF(AND(AK191=ReachLabel,AY191=1),AP191,0)</f>
        <v>0</v>
      </c>
      <c r="BL191">
        <f>IF(AND(AK191=MatchLabel,AY191=1),AP191,0)</f>
        <v>0</v>
      </c>
      <c r="BM191">
        <f>IF(AND(AK191=SafetyLabel,AY191=1),AP191,0)</f>
        <v>0</v>
      </c>
      <c r="BN191">
        <f>IF(AND(AK191=SecureLabel,AY191=1),AP191,0)</f>
        <v>0</v>
      </c>
      <c r="BO191">
        <f>IF(AND(AK191=SureThingLabel,AY191=1),AP191,0)</f>
        <v>0</v>
      </c>
      <c r="BP191">
        <f>MAX(BK191:BO191)</f>
        <v>0</v>
      </c>
      <c r="BQ191">
        <f>MAX(BL191:BO191)</f>
        <v>0</v>
      </c>
      <c r="BR191">
        <f>MAX(BM191:BO191)</f>
        <v>0</v>
      </c>
      <c r="BS191">
        <f>IF(ISNUMBER(Y191),INDEX(AllCollegeChicago, MATCH(N191,AllCollegeNCES,0))*AY191,0)</f>
        <v>0</v>
      </c>
      <c r="BT191">
        <f>IF(ISNUMBER(Y191),INDEX(AllCollegeMoneyCode, MATCH(N191,AllCollegeNCES,0)),"?")</f>
        <v>0</v>
      </c>
      <c r="BU191">
        <f>IF(OR(BT191="---",BT191="--",BT191="+/--",BT191="+/---"),1,0)</f>
        <v>0</v>
      </c>
      <c r="BV191">
        <f>AY191*AO191*AQ191</f>
        <v>0</v>
      </c>
    </row>
    <row r="192" spans="1:74">
      <c r="A192" t="s">
        <v>86</v>
      </c>
      <c r="B192">
        <v>22939229</v>
      </c>
      <c r="C192" t="s">
        <v>320</v>
      </c>
      <c r="D192" t="s">
        <v>321</v>
      </c>
      <c r="E192" t="s">
        <v>428</v>
      </c>
      <c r="F192" t="s">
        <v>470</v>
      </c>
      <c r="G192" t="s">
        <v>430</v>
      </c>
      <c r="H192" t="s">
        <v>431</v>
      </c>
      <c r="I192" t="s">
        <v>432</v>
      </c>
      <c r="J192" t="s">
        <v>432</v>
      </c>
      <c r="K192">
        <v>0</v>
      </c>
      <c r="L192" t="s">
        <v>428</v>
      </c>
      <c r="M192" t="s">
        <v>428</v>
      </c>
      <c r="N192">
        <v>206589</v>
      </c>
      <c r="O192">
        <f>INDEX(AllCollegeBarrons,MATCH(N192,AllCollegeNCES,0))</f>
        <v>0</v>
      </c>
      <c r="P192">
        <f>INDEX(KidGPAs,MATCH(B192,KidIDs,0))</f>
        <v>0</v>
      </c>
      <c r="Q192">
        <f>INDEX(KidACTs,MATCH(B192,KidIDs,0))</f>
        <v>0</v>
      </c>
      <c r="R192">
        <f>INDEX(Strats,MATCH(B192,KidIDs,0))</f>
        <v>0</v>
      </c>
      <c r="S192">
        <f>INDEX(KidRace,MATCH(B192,KidIDs,0))</f>
        <v>0</v>
      </c>
      <c r="T192">
        <f>IF(OR(S192="M",S192="I"),"H",S192)</f>
        <v>0</v>
      </c>
      <c r="U192">
        <f>INDEX(StudentTargets,MATCH(B192,KidIDs,0))</f>
        <v>0</v>
      </c>
      <c r="V192">
        <f>INDEX(ReachStudentTargets,MATCH(B192,KidIDs,0))</f>
        <v>0</v>
      </c>
      <c r="W192">
        <f>IF(OR(M192="Posse"),1,0)</f>
        <v>0</v>
      </c>
      <c r="X192">
        <f>IF(ISNUMBER(INDEX(AllCollegeGR, MATCH(N192,AllCollegeNCES,0))),ROUND(INDEX(AllCollegeGR, MATCH(N192,AllCollegeNCES,0))+W192*IF(INDEX(AllCollegeGR, MATCH(N192,AllCollegeNCES,0))&gt;0.7,(1-INDEX(AllCollegeGR, MATCH(N192,AllCollegeNCES,0)))/2,0.15),2),INDEX(AllCollegeGR, MATCH(N192,AllCollegeNCES,0)))</f>
        <v>0</v>
      </c>
      <c r="Y192">
        <f>IF(ISNUMBER(INDEX(AllCollegeAAHGR, MATCH(N192,AllCollegeNCES,0))),ROUND(INDEX(AllCollegeAAHGR, MATCH(N192,AllCollegeNCES,0))+W192*IF(INDEX(AllCollegeAAHGR, MATCH(N192,AllCollegeNCES,0))&gt;0.7,(1-INDEX(AllCollegeAAHGR, MATCH(N192,AllCollegeNCES,0)))/2,0.15),2),INDEX(AllCollegeAAHGR, MATCH(N192,AllCollegeNCES,0)))</f>
        <v>0</v>
      </c>
      <c r="Z192">
        <f>IF(OR(T192="H",T192="B"),INDEX(AllCollegeACT25, MATCH(N192,AllCollegeNCES,0)),INDEX(AllCollegeACT50, MATCH(N192,AllCollegeNCES,0)))</f>
        <v>0</v>
      </c>
      <c r="AA192">
        <f>INDEX(CustomWeightsGPA,MATCH(T192&amp;":"&amp;N192,CustomWeightsIndex,0))</f>
        <v>0</v>
      </c>
      <c r="AB192">
        <f>INDEX(CustomWeightsACT,MATCH(T192&amp;":"&amp;N192,CustomWeightsIndex,0))</f>
        <v>0</v>
      </c>
      <c r="AC192">
        <f>INDEX(CustomWeightsIntercept,MATCH(T192&amp;":"&amp;N192,CustomWeightsIndex,0))</f>
        <v>0</v>
      </c>
      <c r="AD192">
        <f>AA192*P192+AB192*Q192+AC192</f>
        <v>0</v>
      </c>
      <c r="AE192">
        <f>INDEX(CoefficientsGPA,MATCH(T192&amp;":"&amp;O192,CoefficientsIndex,0))</f>
        <v>0</v>
      </c>
      <c r="AF192">
        <f>INDEX(CoefficientsACT,MATCH(T192&amp;":"&amp;O192,CoefficientsIndex,0))</f>
        <v>0</v>
      </c>
      <c r="AG192">
        <f>INDEX(CoefficientsIntercept,MATCH(T192&amp;":"&amp;O192,CoefficientsIndex,0))</f>
        <v>0</v>
      </c>
      <c r="AH192">
        <f>AE192*P192+(Q192-Z192)*AF192+AG192</f>
        <v>0</v>
      </c>
      <c r="AI192">
        <f>IF(ISNUMBER(AD192),AD192,AH192)</f>
        <v>0</v>
      </c>
      <c r="AJ192">
        <f>IF(ISNUMBER(AI192),IF(ISNUMBER(AE192),IF(AND(AE192=1,AF192=1,AG192=1),100,ROUND(100*EXP(AI192)/(1+EXP(AI192)),2)),ROUND(100*EXP(AI192)/(1+EXP(AI192)),2)),IF(ISTEXT(O192),IF(LEFT(O192,1)="2",100,"N/A"),"N/A"))</f>
        <v>0</v>
      </c>
      <c r="AK192">
        <f>IF(ISNUMBER(AJ192),IF(AJ192&gt;=99,IF(OR(R192=10,R192=11),MatchLabel,SureThingLabel),IF(AJ192&gt;=95,SecureLabel,IF(AJ192&gt;=80,SafetyLabel,IF(AJ192&gt;=50,MatchLabel,IF(AJ192&gt;=20,ReachLabel,IF(AJ192&gt;=10,LongshotLabel,HailMaryLabel)))))),"Other")</f>
        <v>0</v>
      </c>
      <c r="AL192">
        <f>IF(OR(I192="accepted",I192="cond. accept",I192="summer admit"),IF(J192="yes","CHOICE!","Accepted!"),IF(I192="denied","Denied",IF(K192=1,"Waitlist",IF(L192=1,"Deferred",IF(G192="pending","Pending",IF(OR(G192="initial materials submitted",G192="mid-year submitted",G192="final submitted"),"Submitted",IF(H192="interest","Interest","?")))))))</f>
        <v>0</v>
      </c>
      <c r="AM192">
        <f>IF(OR(AK192=ReachLabel,AK192=LongshotLabel,AK192=HailMaryLabel),1,0)</f>
        <v>0</v>
      </c>
      <c r="AN192">
        <f>IF(OR(AM192=1,AK192=MatchLabel),1,0)</f>
        <v>0</v>
      </c>
      <c r="AO192">
        <f>IF(OR(AK192=MatchLabel,AK192=SafetyLabel,AK192=SecureLabel,AK192=SureThingLabel),1,0)</f>
        <v>0</v>
      </c>
      <c r="AP192">
        <f>IF(OR(T192="H",T192="B"),IF(ISNUMBER(Y192),ROUND(Y192,2),0),IF(ISNUMBER(X192),ROUND(X192,2),0))</f>
        <v>0</v>
      </c>
      <c r="AQ192">
        <f>IF(AP192&gt;=U192,1,0)</f>
        <v>0</v>
      </c>
      <c r="AR192">
        <f>IF(AP192&gt;=V192,1,0)</f>
        <v>0</v>
      </c>
      <c r="AS192">
        <f>IF(AP192&lt;(U192-0.10),1,0)</f>
        <v>0</v>
      </c>
      <c r="AT192">
        <f>1-AJ192/100</f>
        <v>0</v>
      </c>
      <c r="AU192">
        <f>IF(AN192=1,AT192,1)</f>
        <v>0</v>
      </c>
      <c r="AV192">
        <f>IF(AM192=1,AT192,1)</f>
        <v>0</v>
      </c>
      <c r="AW192">
        <f>IF(AND(AQ192=1,ISNUMBER(AT192)),$AT192,1)</f>
        <v>0</v>
      </c>
      <c r="AX192">
        <f>IF(AND(AR192=1,ISNUMBER(AT192)),$AT192,1)</f>
        <v>0</v>
      </c>
      <c r="AY192">
        <f>IF(ISNUMBER(Y192),INDEX(AllCollegeMoney, MATCH(N192,AllCollegeNCES,0)),0)</f>
        <v>0</v>
      </c>
      <c r="AZ192">
        <f>IF(AND(AQ192=1,ISNUMBER(AT192),AY192=1),$AT192,1)</f>
        <v>0</v>
      </c>
      <c r="BA192">
        <f>IF(AND(AR192=1,ISNUMBER(AT192),AY192=1),$AT192,1)</f>
        <v>0</v>
      </c>
      <c r="BB192">
        <f>IF(ISNUMBER(Y192),INDEX(AllCollegeILPub, MATCH(N192,AllCollegeNCES,0)),0)</f>
        <v>0</v>
      </c>
      <c r="BC192">
        <f>IF(AK192=ReachLabel,AP192,0)</f>
        <v>0</v>
      </c>
      <c r="BD192">
        <f>IF(AK192=MatchLabel,AP192,0)</f>
        <v>0</v>
      </c>
      <c r="BE192">
        <f>IF(AK192=SafetyLabel,AP192,0)</f>
        <v>0</v>
      </c>
      <c r="BF192">
        <f>IF(AK192=SecureLabel,AP192,0)</f>
        <v>0</v>
      </c>
      <c r="BG192">
        <f>IF(AK192=SureThingLabel,AP192,0)</f>
        <v>0</v>
      </c>
      <c r="BH192">
        <f>MAX(BC192:BG192)</f>
        <v>0</v>
      </c>
      <c r="BI192">
        <f>MAX(BD192:BG192)</f>
        <v>0</v>
      </c>
      <c r="BJ192">
        <f>MAX(BE192:BG192)</f>
        <v>0</v>
      </c>
      <c r="BK192">
        <f>IF(AND(AK192=ReachLabel,AY192=1),AP192,0)</f>
        <v>0</v>
      </c>
      <c r="BL192">
        <f>IF(AND(AK192=MatchLabel,AY192=1),AP192,0)</f>
        <v>0</v>
      </c>
      <c r="BM192">
        <f>IF(AND(AK192=SafetyLabel,AY192=1),AP192,0)</f>
        <v>0</v>
      </c>
      <c r="BN192">
        <f>IF(AND(AK192=SecureLabel,AY192=1),AP192,0)</f>
        <v>0</v>
      </c>
      <c r="BO192">
        <f>IF(AND(AK192=SureThingLabel,AY192=1),AP192,0)</f>
        <v>0</v>
      </c>
      <c r="BP192">
        <f>MAX(BK192:BO192)</f>
        <v>0</v>
      </c>
      <c r="BQ192">
        <f>MAX(BL192:BO192)</f>
        <v>0</v>
      </c>
      <c r="BR192">
        <f>MAX(BM192:BO192)</f>
        <v>0</v>
      </c>
      <c r="BS192">
        <f>IF(ISNUMBER(Y192),INDEX(AllCollegeChicago, MATCH(N192,AllCollegeNCES,0))*AY192,0)</f>
        <v>0</v>
      </c>
      <c r="BT192">
        <f>IF(ISNUMBER(Y192),INDEX(AllCollegeMoneyCode, MATCH(N192,AllCollegeNCES,0)),"?")</f>
        <v>0</v>
      </c>
      <c r="BU192">
        <f>IF(OR(BT192="---",BT192="--",BT192="+/--",BT192="+/---"),1,0)</f>
        <v>0</v>
      </c>
      <c r="BV192">
        <f>AY192*AO192*AQ192</f>
        <v>0</v>
      </c>
    </row>
    <row r="193" spans="1:74">
      <c r="A193" t="s">
        <v>86</v>
      </c>
      <c r="B193">
        <v>22939229</v>
      </c>
      <c r="C193" t="s">
        <v>320</v>
      </c>
      <c r="D193" t="s">
        <v>321</v>
      </c>
      <c r="E193" t="s">
        <v>428</v>
      </c>
      <c r="F193" t="s">
        <v>460</v>
      </c>
      <c r="G193" t="s">
        <v>430</v>
      </c>
      <c r="H193" t="s">
        <v>431</v>
      </c>
      <c r="I193" t="s">
        <v>432</v>
      </c>
      <c r="J193" t="s">
        <v>432</v>
      </c>
      <c r="K193">
        <v>0</v>
      </c>
      <c r="L193" t="s">
        <v>428</v>
      </c>
      <c r="M193" t="s">
        <v>428</v>
      </c>
      <c r="N193">
        <v>221519</v>
      </c>
      <c r="O193">
        <f>INDEX(AllCollegeBarrons,MATCH(N193,AllCollegeNCES,0))</f>
        <v>0</v>
      </c>
      <c r="P193">
        <f>INDEX(KidGPAs,MATCH(B193,KidIDs,0))</f>
        <v>0</v>
      </c>
      <c r="Q193">
        <f>INDEX(KidACTs,MATCH(B193,KidIDs,0))</f>
        <v>0</v>
      </c>
      <c r="R193">
        <f>INDEX(Strats,MATCH(B193,KidIDs,0))</f>
        <v>0</v>
      </c>
      <c r="S193">
        <f>INDEX(KidRace,MATCH(B193,KidIDs,0))</f>
        <v>0</v>
      </c>
      <c r="T193">
        <f>IF(OR(S193="M",S193="I"),"H",S193)</f>
        <v>0</v>
      </c>
      <c r="U193">
        <f>INDEX(StudentTargets,MATCH(B193,KidIDs,0))</f>
        <v>0</v>
      </c>
      <c r="V193">
        <f>INDEX(ReachStudentTargets,MATCH(B193,KidIDs,0))</f>
        <v>0</v>
      </c>
      <c r="W193">
        <f>IF(OR(M193="Posse"),1,0)</f>
        <v>0</v>
      </c>
      <c r="X193">
        <f>IF(ISNUMBER(INDEX(AllCollegeGR, MATCH(N193,AllCollegeNCES,0))),ROUND(INDEX(AllCollegeGR, MATCH(N193,AllCollegeNCES,0))+W193*IF(INDEX(AllCollegeGR, MATCH(N193,AllCollegeNCES,0))&gt;0.7,(1-INDEX(AllCollegeGR, MATCH(N193,AllCollegeNCES,0)))/2,0.15),2),INDEX(AllCollegeGR, MATCH(N193,AllCollegeNCES,0)))</f>
        <v>0</v>
      </c>
      <c r="Y193">
        <f>IF(ISNUMBER(INDEX(AllCollegeAAHGR, MATCH(N193,AllCollegeNCES,0))),ROUND(INDEX(AllCollegeAAHGR, MATCH(N193,AllCollegeNCES,0))+W193*IF(INDEX(AllCollegeAAHGR, MATCH(N193,AllCollegeNCES,0))&gt;0.7,(1-INDEX(AllCollegeAAHGR, MATCH(N193,AllCollegeNCES,0)))/2,0.15),2),INDEX(AllCollegeAAHGR, MATCH(N193,AllCollegeNCES,0)))</f>
        <v>0</v>
      </c>
      <c r="Z193">
        <f>IF(OR(T193="H",T193="B"),INDEX(AllCollegeACT25, MATCH(N193,AllCollegeNCES,0)),INDEX(AllCollegeACT50, MATCH(N193,AllCollegeNCES,0)))</f>
        <v>0</v>
      </c>
      <c r="AA193">
        <f>INDEX(CustomWeightsGPA,MATCH(T193&amp;":"&amp;N193,CustomWeightsIndex,0))</f>
        <v>0</v>
      </c>
      <c r="AB193">
        <f>INDEX(CustomWeightsACT,MATCH(T193&amp;":"&amp;N193,CustomWeightsIndex,0))</f>
        <v>0</v>
      </c>
      <c r="AC193">
        <f>INDEX(CustomWeightsIntercept,MATCH(T193&amp;":"&amp;N193,CustomWeightsIndex,0))</f>
        <v>0</v>
      </c>
      <c r="AD193">
        <f>AA193*P193+AB193*Q193+AC193</f>
        <v>0</v>
      </c>
      <c r="AE193">
        <f>INDEX(CoefficientsGPA,MATCH(T193&amp;":"&amp;O193,CoefficientsIndex,0))</f>
        <v>0</v>
      </c>
      <c r="AF193">
        <f>INDEX(CoefficientsACT,MATCH(T193&amp;":"&amp;O193,CoefficientsIndex,0))</f>
        <v>0</v>
      </c>
      <c r="AG193">
        <f>INDEX(CoefficientsIntercept,MATCH(T193&amp;":"&amp;O193,CoefficientsIndex,0))</f>
        <v>0</v>
      </c>
      <c r="AH193">
        <f>AE193*P193+(Q193-Z193)*AF193+AG193</f>
        <v>0</v>
      </c>
      <c r="AI193">
        <f>IF(ISNUMBER(AD193),AD193,AH193)</f>
        <v>0</v>
      </c>
      <c r="AJ193">
        <f>IF(ISNUMBER(AI193),IF(ISNUMBER(AE193),IF(AND(AE193=1,AF193=1,AG193=1),100,ROUND(100*EXP(AI193)/(1+EXP(AI193)),2)),ROUND(100*EXP(AI193)/(1+EXP(AI193)),2)),IF(ISTEXT(O193),IF(LEFT(O193,1)="2",100,"N/A"),"N/A"))</f>
        <v>0</v>
      </c>
      <c r="AK193">
        <f>IF(ISNUMBER(AJ193),IF(AJ193&gt;=99,IF(OR(R193=10,R193=11),MatchLabel,SureThingLabel),IF(AJ193&gt;=95,SecureLabel,IF(AJ193&gt;=80,SafetyLabel,IF(AJ193&gt;=50,MatchLabel,IF(AJ193&gt;=20,ReachLabel,IF(AJ193&gt;=10,LongshotLabel,HailMaryLabel)))))),"Other")</f>
        <v>0</v>
      </c>
      <c r="AL193">
        <f>IF(OR(I193="accepted",I193="cond. accept",I193="summer admit"),IF(J193="yes","CHOICE!","Accepted!"),IF(I193="denied","Denied",IF(K193=1,"Waitlist",IF(L193=1,"Deferred",IF(G193="pending","Pending",IF(OR(G193="initial materials submitted",G193="mid-year submitted",G193="final submitted"),"Submitted",IF(H193="interest","Interest","?")))))))</f>
        <v>0</v>
      </c>
      <c r="AM193">
        <f>IF(OR(AK193=ReachLabel,AK193=LongshotLabel,AK193=HailMaryLabel),1,0)</f>
        <v>0</v>
      </c>
      <c r="AN193">
        <f>IF(OR(AM193=1,AK193=MatchLabel),1,0)</f>
        <v>0</v>
      </c>
      <c r="AO193">
        <f>IF(OR(AK193=MatchLabel,AK193=SafetyLabel,AK193=SecureLabel,AK193=SureThingLabel),1,0)</f>
        <v>0</v>
      </c>
      <c r="AP193">
        <f>IF(OR(T193="H",T193="B"),IF(ISNUMBER(Y193),ROUND(Y193,2),0),IF(ISNUMBER(X193),ROUND(X193,2),0))</f>
        <v>0</v>
      </c>
      <c r="AQ193">
        <f>IF(AP193&gt;=U193,1,0)</f>
        <v>0</v>
      </c>
      <c r="AR193">
        <f>IF(AP193&gt;=V193,1,0)</f>
        <v>0</v>
      </c>
      <c r="AS193">
        <f>IF(AP193&lt;(U193-0.10),1,0)</f>
        <v>0</v>
      </c>
      <c r="AT193">
        <f>1-AJ193/100</f>
        <v>0</v>
      </c>
      <c r="AU193">
        <f>IF(AN193=1,AT193,1)</f>
        <v>0</v>
      </c>
      <c r="AV193">
        <f>IF(AM193=1,AT193,1)</f>
        <v>0</v>
      </c>
      <c r="AW193">
        <f>IF(AND(AQ193=1,ISNUMBER(AT193)),$AT193,1)</f>
        <v>0</v>
      </c>
      <c r="AX193">
        <f>IF(AND(AR193=1,ISNUMBER(AT193)),$AT193,1)</f>
        <v>0</v>
      </c>
      <c r="AY193">
        <f>IF(ISNUMBER(Y193),INDEX(AllCollegeMoney, MATCH(N193,AllCollegeNCES,0)),0)</f>
        <v>0</v>
      </c>
      <c r="AZ193">
        <f>IF(AND(AQ193=1,ISNUMBER(AT193),AY193=1),$AT193,1)</f>
        <v>0</v>
      </c>
      <c r="BA193">
        <f>IF(AND(AR193=1,ISNUMBER(AT193),AY193=1),$AT193,1)</f>
        <v>0</v>
      </c>
      <c r="BB193">
        <f>IF(ISNUMBER(Y193),INDEX(AllCollegeILPub, MATCH(N193,AllCollegeNCES,0)),0)</f>
        <v>0</v>
      </c>
      <c r="BC193">
        <f>IF(AK193=ReachLabel,AP193,0)</f>
        <v>0</v>
      </c>
      <c r="BD193">
        <f>IF(AK193=MatchLabel,AP193,0)</f>
        <v>0</v>
      </c>
      <c r="BE193">
        <f>IF(AK193=SafetyLabel,AP193,0)</f>
        <v>0</v>
      </c>
      <c r="BF193">
        <f>IF(AK193=SecureLabel,AP193,0)</f>
        <v>0</v>
      </c>
      <c r="BG193">
        <f>IF(AK193=SureThingLabel,AP193,0)</f>
        <v>0</v>
      </c>
      <c r="BH193">
        <f>MAX(BC193:BG193)</f>
        <v>0</v>
      </c>
      <c r="BI193">
        <f>MAX(BD193:BG193)</f>
        <v>0</v>
      </c>
      <c r="BJ193">
        <f>MAX(BE193:BG193)</f>
        <v>0</v>
      </c>
      <c r="BK193">
        <f>IF(AND(AK193=ReachLabel,AY193=1),AP193,0)</f>
        <v>0</v>
      </c>
      <c r="BL193">
        <f>IF(AND(AK193=MatchLabel,AY193=1),AP193,0)</f>
        <v>0</v>
      </c>
      <c r="BM193">
        <f>IF(AND(AK193=SafetyLabel,AY193=1),AP193,0)</f>
        <v>0</v>
      </c>
      <c r="BN193">
        <f>IF(AND(AK193=SecureLabel,AY193=1),AP193,0)</f>
        <v>0</v>
      </c>
      <c r="BO193">
        <f>IF(AND(AK193=SureThingLabel,AY193=1),AP193,0)</f>
        <v>0</v>
      </c>
      <c r="BP193">
        <f>MAX(BK193:BO193)</f>
        <v>0</v>
      </c>
      <c r="BQ193">
        <f>MAX(BL193:BO193)</f>
        <v>0</v>
      </c>
      <c r="BR193">
        <f>MAX(BM193:BO193)</f>
        <v>0</v>
      </c>
      <c r="BS193">
        <f>IF(ISNUMBER(Y193),INDEX(AllCollegeChicago, MATCH(N193,AllCollegeNCES,0))*AY193,0)</f>
        <v>0</v>
      </c>
      <c r="BT193">
        <f>IF(ISNUMBER(Y193),INDEX(AllCollegeMoneyCode, MATCH(N193,AllCollegeNCES,0)),"?")</f>
        <v>0</v>
      </c>
      <c r="BU193">
        <f>IF(OR(BT193="---",BT193="--",BT193="+/--",BT193="+/---"),1,0)</f>
        <v>0</v>
      </c>
      <c r="BV193">
        <f>AY193*AO193*AQ193</f>
        <v>0</v>
      </c>
    </row>
    <row r="194" spans="1:74">
      <c r="A194" t="s">
        <v>86</v>
      </c>
      <c r="B194">
        <v>22939229</v>
      </c>
      <c r="C194" t="s">
        <v>320</v>
      </c>
      <c r="D194" t="s">
        <v>321</v>
      </c>
      <c r="E194" t="s">
        <v>428</v>
      </c>
      <c r="F194" t="s">
        <v>462</v>
      </c>
      <c r="G194" t="s">
        <v>430</v>
      </c>
      <c r="H194" t="s">
        <v>431</v>
      </c>
      <c r="I194" t="s">
        <v>432</v>
      </c>
      <c r="J194" t="s">
        <v>432</v>
      </c>
      <c r="K194">
        <v>0</v>
      </c>
      <c r="L194" t="s">
        <v>428</v>
      </c>
      <c r="M194" t="s">
        <v>428</v>
      </c>
      <c r="N194">
        <v>168546</v>
      </c>
      <c r="O194">
        <f>INDEX(AllCollegeBarrons,MATCH(N194,AllCollegeNCES,0))</f>
        <v>0</v>
      </c>
      <c r="P194">
        <f>INDEX(KidGPAs,MATCH(B194,KidIDs,0))</f>
        <v>0</v>
      </c>
      <c r="Q194">
        <f>INDEX(KidACTs,MATCH(B194,KidIDs,0))</f>
        <v>0</v>
      </c>
      <c r="R194">
        <f>INDEX(Strats,MATCH(B194,KidIDs,0))</f>
        <v>0</v>
      </c>
      <c r="S194">
        <f>INDEX(KidRace,MATCH(B194,KidIDs,0))</f>
        <v>0</v>
      </c>
      <c r="T194">
        <f>IF(OR(S194="M",S194="I"),"H",S194)</f>
        <v>0</v>
      </c>
      <c r="U194">
        <f>INDEX(StudentTargets,MATCH(B194,KidIDs,0))</f>
        <v>0</v>
      </c>
      <c r="V194">
        <f>INDEX(ReachStudentTargets,MATCH(B194,KidIDs,0))</f>
        <v>0</v>
      </c>
      <c r="W194">
        <f>IF(OR(M194="Posse"),1,0)</f>
        <v>0</v>
      </c>
      <c r="X194">
        <f>IF(ISNUMBER(INDEX(AllCollegeGR, MATCH(N194,AllCollegeNCES,0))),ROUND(INDEX(AllCollegeGR, MATCH(N194,AllCollegeNCES,0))+W194*IF(INDEX(AllCollegeGR, MATCH(N194,AllCollegeNCES,0))&gt;0.7,(1-INDEX(AllCollegeGR, MATCH(N194,AllCollegeNCES,0)))/2,0.15),2),INDEX(AllCollegeGR, MATCH(N194,AllCollegeNCES,0)))</f>
        <v>0</v>
      </c>
      <c r="Y194">
        <f>IF(ISNUMBER(INDEX(AllCollegeAAHGR, MATCH(N194,AllCollegeNCES,0))),ROUND(INDEX(AllCollegeAAHGR, MATCH(N194,AllCollegeNCES,0))+W194*IF(INDEX(AllCollegeAAHGR, MATCH(N194,AllCollegeNCES,0))&gt;0.7,(1-INDEX(AllCollegeAAHGR, MATCH(N194,AllCollegeNCES,0)))/2,0.15),2),INDEX(AllCollegeAAHGR, MATCH(N194,AllCollegeNCES,0)))</f>
        <v>0</v>
      </c>
      <c r="Z194">
        <f>IF(OR(T194="H",T194="B"),INDEX(AllCollegeACT25, MATCH(N194,AllCollegeNCES,0)),INDEX(AllCollegeACT50, MATCH(N194,AllCollegeNCES,0)))</f>
        <v>0</v>
      </c>
      <c r="AA194">
        <f>INDEX(CustomWeightsGPA,MATCH(T194&amp;":"&amp;N194,CustomWeightsIndex,0))</f>
        <v>0</v>
      </c>
      <c r="AB194">
        <f>INDEX(CustomWeightsACT,MATCH(T194&amp;":"&amp;N194,CustomWeightsIndex,0))</f>
        <v>0</v>
      </c>
      <c r="AC194">
        <f>INDEX(CustomWeightsIntercept,MATCH(T194&amp;":"&amp;N194,CustomWeightsIndex,0))</f>
        <v>0</v>
      </c>
      <c r="AD194">
        <f>AA194*P194+AB194*Q194+AC194</f>
        <v>0</v>
      </c>
      <c r="AE194">
        <f>INDEX(CoefficientsGPA,MATCH(T194&amp;":"&amp;O194,CoefficientsIndex,0))</f>
        <v>0</v>
      </c>
      <c r="AF194">
        <f>INDEX(CoefficientsACT,MATCH(T194&amp;":"&amp;O194,CoefficientsIndex,0))</f>
        <v>0</v>
      </c>
      <c r="AG194">
        <f>INDEX(CoefficientsIntercept,MATCH(T194&amp;":"&amp;O194,CoefficientsIndex,0))</f>
        <v>0</v>
      </c>
      <c r="AH194">
        <f>AE194*P194+(Q194-Z194)*AF194+AG194</f>
        <v>0</v>
      </c>
      <c r="AI194">
        <f>IF(ISNUMBER(AD194),AD194,AH194)</f>
        <v>0</v>
      </c>
      <c r="AJ194">
        <f>IF(ISNUMBER(AI194),IF(ISNUMBER(AE194),IF(AND(AE194=1,AF194=1,AG194=1),100,ROUND(100*EXP(AI194)/(1+EXP(AI194)),2)),ROUND(100*EXP(AI194)/(1+EXP(AI194)),2)),IF(ISTEXT(O194),IF(LEFT(O194,1)="2",100,"N/A"),"N/A"))</f>
        <v>0</v>
      </c>
      <c r="AK194">
        <f>IF(ISNUMBER(AJ194),IF(AJ194&gt;=99,IF(OR(R194=10,R194=11),MatchLabel,SureThingLabel),IF(AJ194&gt;=95,SecureLabel,IF(AJ194&gt;=80,SafetyLabel,IF(AJ194&gt;=50,MatchLabel,IF(AJ194&gt;=20,ReachLabel,IF(AJ194&gt;=10,LongshotLabel,HailMaryLabel)))))),"Other")</f>
        <v>0</v>
      </c>
      <c r="AL194">
        <f>IF(OR(I194="accepted",I194="cond. accept",I194="summer admit"),IF(J194="yes","CHOICE!","Accepted!"),IF(I194="denied","Denied",IF(K194=1,"Waitlist",IF(L194=1,"Deferred",IF(G194="pending","Pending",IF(OR(G194="initial materials submitted",G194="mid-year submitted",G194="final submitted"),"Submitted",IF(H194="interest","Interest","?")))))))</f>
        <v>0</v>
      </c>
      <c r="AM194">
        <f>IF(OR(AK194=ReachLabel,AK194=LongshotLabel,AK194=HailMaryLabel),1,0)</f>
        <v>0</v>
      </c>
      <c r="AN194">
        <f>IF(OR(AM194=1,AK194=MatchLabel),1,0)</f>
        <v>0</v>
      </c>
      <c r="AO194">
        <f>IF(OR(AK194=MatchLabel,AK194=SafetyLabel,AK194=SecureLabel,AK194=SureThingLabel),1,0)</f>
        <v>0</v>
      </c>
      <c r="AP194">
        <f>IF(OR(T194="H",T194="B"),IF(ISNUMBER(Y194),ROUND(Y194,2),0),IF(ISNUMBER(X194),ROUND(X194,2),0))</f>
        <v>0</v>
      </c>
      <c r="AQ194">
        <f>IF(AP194&gt;=U194,1,0)</f>
        <v>0</v>
      </c>
      <c r="AR194">
        <f>IF(AP194&gt;=V194,1,0)</f>
        <v>0</v>
      </c>
      <c r="AS194">
        <f>IF(AP194&lt;(U194-0.10),1,0)</f>
        <v>0</v>
      </c>
      <c r="AT194">
        <f>1-AJ194/100</f>
        <v>0</v>
      </c>
      <c r="AU194">
        <f>IF(AN194=1,AT194,1)</f>
        <v>0</v>
      </c>
      <c r="AV194">
        <f>IF(AM194=1,AT194,1)</f>
        <v>0</v>
      </c>
      <c r="AW194">
        <f>IF(AND(AQ194=1,ISNUMBER(AT194)),$AT194,1)</f>
        <v>0</v>
      </c>
      <c r="AX194">
        <f>IF(AND(AR194=1,ISNUMBER(AT194)),$AT194,1)</f>
        <v>0</v>
      </c>
      <c r="AY194">
        <f>IF(ISNUMBER(Y194),INDEX(AllCollegeMoney, MATCH(N194,AllCollegeNCES,0)),0)</f>
        <v>0</v>
      </c>
      <c r="AZ194">
        <f>IF(AND(AQ194=1,ISNUMBER(AT194),AY194=1),$AT194,1)</f>
        <v>0</v>
      </c>
      <c r="BA194">
        <f>IF(AND(AR194=1,ISNUMBER(AT194),AY194=1),$AT194,1)</f>
        <v>0</v>
      </c>
      <c r="BB194">
        <f>IF(ISNUMBER(Y194),INDEX(AllCollegeILPub, MATCH(N194,AllCollegeNCES,0)),0)</f>
        <v>0</v>
      </c>
      <c r="BC194">
        <f>IF(AK194=ReachLabel,AP194,0)</f>
        <v>0</v>
      </c>
      <c r="BD194">
        <f>IF(AK194=MatchLabel,AP194,0)</f>
        <v>0</v>
      </c>
      <c r="BE194">
        <f>IF(AK194=SafetyLabel,AP194,0)</f>
        <v>0</v>
      </c>
      <c r="BF194">
        <f>IF(AK194=SecureLabel,AP194,0)</f>
        <v>0</v>
      </c>
      <c r="BG194">
        <f>IF(AK194=SureThingLabel,AP194,0)</f>
        <v>0</v>
      </c>
      <c r="BH194">
        <f>MAX(BC194:BG194)</f>
        <v>0</v>
      </c>
      <c r="BI194">
        <f>MAX(BD194:BG194)</f>
        <v>0</v>
      </c>
      <c r="BJ194">
        <f>MAX(BE194:BG194)</f>
        <v>0</v>
      </c>
      <c r="BK194">
        <f>IF(AND(AK194=ReachLabel,AY194=1),AP194,0)</f>
        <v>0</v>
      </c>
      <c r="BL194">
        <f>IF(AND(AK194=MatchLabel,AY194=1),AP194,0)</f>
        <v>0</v>
      </c>
      <c r="BM194">
        <f>IF(AND(AK194=SafetyLabel,AY194=1),AP194,0)</f>
        <v>0</v>
      </c>
      <c r="BN194">
        <f>IF(AND(AK194=SecureLabel,AY194=1),AP194,0)</f>
        <v>0</v>
      </c>
      <c r="BO194">
        <f>IF(AND(AK194=SureThingLabel,AY194=1),AP194,0)</f>
        <v>0</v>
      </c>
      <c r="BP194">
        <f>MAX(BK194:BO194)</f>
        <v>0</v>
      </c>
      <c r="BQ194">
        <f>MAX(BL194:BO194)</f>
        <v>0</v>
      </c>
      <c r="BR194">
        <f>MAX(BM194:BO194)</f>
        <v>0</v>
      </c>
      <c r="BS194">
        <f>IF(ISNUMBER(Y194),INDEX(AllCollegeChicago, MATCH(N194,AllCollegeNCES,0))*AY194,0)</f>
        <v>0</v>
      </c>
      <c r="BT194">
        <f>IF(ISNUMBER(Y194),INDEX(AllCollegeMoneyCode, MATCH(N194,AllCollegeNCES,0)),"?")</f>
        <v>0</v>
      </c>
      <c r="BU194">
        <f>IF(OR(BT194="---",BT194="--",BT194="+/--",BT194="+/---"),1,0)</f>
        <v>0</v>
      </c>
      <c r="BV194">
        <f>AY194*AO194*AQ194</f>
        <v>0</v>
      </c>
    </row>
    <row r="195" spans="1:74">
      <c r="A195" t="s">
        <v>86</v>
      </c>
      <c r="B195">
        <v>22939229</v>
      </c>
      <c r="C195" t="s">
        <v>320</v>
      </c>
      <c r="D195" t="s">
        <v>321</v>
      </c>
      <c r="E195" t="s">
        <v>428</v>
      </c>
      <c r="F195" t="s">
        <v>433</v>
      </c>
      <c r="G195" t="s">
        <v>430</v>
      </c>
      <c r="H195" t="s">
        <v>431</v>
      </c>
      <c r="I195" t="s">
        <v>432</v>
      </c>
      <c r="J195" t="s">
        <v>432</v>
      </c>
      <c r="K195">
        <v>0</v>
      </c>
      <c r="L195" t="s">
        <v>428</v>
      </c>
      <c r="M195" t="s">
        <v>428</v>
      </c>
      <c r="N195">
        <v>148496</v>
      </c>
      <c r="O195">
        <f>INDEX(AllCollegeBarrons,MATCH(N195,AllCollegeNCES,0))</f>
        <v>0</v>
      </c>
      <c r="P195">
        <f>INDEX(KidGPAs,MATCH(B195,KidIDs,0))</f>
        <v>0</v>
      </c>
      <c r="Q195">
        <f>INDEX(KidACTs,MATCH(B195,KidIDs,0))</f>
        <v>0</v>
      </c>
      <c r="R195">
        <f>INDEX(Strats,MATCH(B195,KidIDs,0))</f>
        <v>0</v>
      </c>
      <c r="S195">
        <f>INDEX(KidRace,MATCH(B195,KidIDs,0))</f>
        <v>0</v>
      </c>
      <c r="T195">
        <f>IF(OR(S195="M",S195="I"),"H",S195)</f>
        <v>0</v>
      </c>
      <c r="U195">
        <f>INDEX(StudentTargets,MATCH(B195,KidIDs,0))</f>
        <v>0</v>
      </c>
      <c r="V195">
        <f>INDEX(ReachStudentTargets,MATCH(B195,KidIDs,0))</f>
        <v>0</v>
      </c>
      <c r="W195">
        <f>IF(OR(M195="Posse"),1,0)</f>
        <v>0</v>
      </c>
      <c r="X195">
        <f>IF(ISNUMBER(INDEX(AllCollegeGR, MATCH(N195,AllCollegeNCES,0))),ROUND(INDEX(AllCollegeGR, MATCH(N195,AllCollegeNCES,0))+W195*IF(INDEX(AllCollegeGR, MATCH(N195,AllCollegeNCES,0))&gt;0.7,(1-INDEX(AllCollegeGR, MATCH(N195,AllCollegeNCES,0)))/2,0.15),2),INDEX(AllCollegeGR, MATCH(N195,AllCollegeNCES,0)))</f>
        <v>0</v>
      </c>
      <c r="Y195">
        <f>IF(ISNUMBER(INDEX(AllCollegeAAHGR, MATCH(N195,AllCollegeNCES,0))),ROUND(INDEX(AllCollegeAAHGR, MATCH(N195,AllCollegeNCES,0))+W195*IF(INDEX(AllCollegeAAHGR, MATCH(N195,AllCollegeNCES,0))&gt;0.7,(1-INDEX(AllCollegeAAHGR, MATCH(N195,AllCollegeNCES,0)))/2,0.15),2),INDEX(AllCollegeAAHGR, MATCH(N195,AllCollegeNCES,0)))</f>
        <v>0</v>
      </c>
      <c r="Z195">
        <f>IF(OR(T195="H",T195="B"),INDEX(AllCollegeACT25, MATCH(N195,AllCollegeNCES,0)),INDEX(AllCollegeACT50, MATCH(N195,AllCollegeNCES,0)))</f>
        <v>0</v>
      </c>
      <c r="AA195">
        <f>INDEX(CustomWeightsGPA,MATCH(T195&amp;":"&amp;N195,CustomWeightsIndex,0))</f>
        <v>0</v>
      </c>
      <c r="AB195">
        <f>INDEX(CustomWeightsACT,MATCH(T195&amp;":"&amp;N195,CustomWeightsIndex,0))</f>
        <v>0</v>
      </c>
      <c r="AC195">
        <f>INDEX(CustomWeightsIntercept,MATCH(T195&amp;":"&amp;N195,CustomWeightsIndex,0))</f>
        <v>0</v>
      </c>
      <c r="AD195">
        <f>AA195*P195+AB195*Q195+AC195</f>
        <v>0</v>
      </c>
      <c r="AE195">
        <f>INDEX(CoefficientsGPA,MATCH(T195&amp;":"&amp;O195,CoefficientsIndex,0))</f>
        <v>0</v>
      </c>
      <c r="AF195">
        <f>INDEX(CoefficientsACT,MATCH(T195&amp;":"&amp;O195,CoefficientsIndex,0))</f>
        <v>0</v>
      </c>
      <c r="AG195">
        <f>INDEX(CoefficientsIntercept,MATCH(T195&amp;":"&amp;O195,CoefficientsIndex,0))</f>
        <v>0</v>
      </c>
      <c r="AH195">
        <f>AE195*P195+(Q195-Z195)*AF195+AG195</f>
        <v>0</v>
      </c>
      <c r="AI195">
        <f>IF(ISNUMBER(AD195),AD195,AH195)</f>
        <v>0</v>
      </c>
      <c r="AJ195">
        <f>IF(ISNUMBER(AI195),IF(ISNUMBER(AE195),IF(AND(AE195=1,AF195=1,AG195=1),100,ROUND(100*EXP(AI195)/(1+EXP(AI195)),2)),ROUND(100*EXP(AI195)/(1+EXP(AI195)),2)),IF(ISTEXT(O195),IF(LEFT(O195,1)="2",100,"N/A"),"N/A"))</f>
        <v>0</v>
      </c>
      <c r="AK195">
        <f>IF(ISNUMBER(AJ195),IF(AJ195&gt;=99,IF(OR(R195=10,R195=11),MatchLabel,SureThingLabel),IF(AJ195&gt;=95,SecureLabel,IF(AJ195&gt;=80,SafetyLabel,IF(AJ195&gt;=50,MatchLabel,IF(AJ195&gt;=20,ReachLabel,IF(AJ195&gt;=10,LongshotLabel,HailMaryLabel)))))),"Other")</f>
        <v>0</v>
      </c>
      <c r="AL195">
        <f>IF(OR(I195="accepted",I195="cond. accept",I195="summer admit"),IF(J195="yes","CHOICE!","Accepted!"),IF(I195="denied","Denied",IF(K195=1,"Waitlist",IF(L195=1,"Deferred",IF(G195="pending","Pending",IF(OR(G195="initial materials submitted",G195="mid-year submitted",G195="final submitted"),"Submitted",IF(H195="interest","Interest","?")))))))</f>
        <v>0</v>
      </c>
      <c r="AM195">
        <f>IF(OR(AK195=ReachLabel,AK195=LongshotLabel,AK195=HailMaryLabel),1,0)</f>
        <v>0</v>
      </c>
      <c r="AN195">
        <f>IF(OR(AM195=1,AK195=MatchLabel),1,0)</f>
        <v>0</v>
      </c>
      <c r="AO195">
        <f>IF(OR(AK195=MatchLabel,AK195=SafetyLabel,AK195=SecureLabel,AK195=SureThingLabel),1,0)</f>
        <v>0</v>
      </c>
      <c r="AP195">
        <f>IF(OR(T195="H",T195="B"),IF(ISNUMBER(Y195),ROUND(Y195,2),0),IF(ISNUMBER(X195),ROUND(X195,2),0))</f>
        <v>0</v>
      </c>
      <c r="AQ195">
        <f>IF(AP195&gt;=U195,1,0)</f>
        <v>0</v>
      </c>
      <c r="AR195">
        <f>IF(AP195&gt;=V195,1,0)</f>
        <v>0</v>
      </c>
      <c r="AS195">
        <f>IF(AP195&lt;(U195-0.10),1,0)</f>
        <v>0</v>
      </c>
      <c r="AT195">
        <f>1-AJ195/100</f>
        <v>0</v>
      </c>
      <c r="AU195">
        <f>IF(AN195=1,AT195,1)</f>
        <v>0</v>
      </c>
      <c r="AV195">
        <f>IF(AM195=1,AT195,1)</f>
        <v>0</v>
      </c>
      <c r="AW195">
        <f>IF(AND(AQ195=1,ISNUMBER(AT195)),$AT195,1)</f>
        <v>0</v>
      </c>
      <c r="AX195">
        <f>IF(AND(AR195=1,ISNUMBER(AT195)),$AT195,1)</f>
        <v>0</v>
      </c>
      <c r="AY195">
        <f>IF(ISNUMBER(Y195),INDEX(AllCollegeMoney, MATCH(N195,AllCollegeNCES,0)),0)</f>
        <v>0</v>
      </c>
      <c r="AZ195">
        <f>IF(AND(AQ195=1,ISNUMBER(AT195),AY195=1),$AT195,1)</f>
        <v>0</v>
      </c>
      <c r="BA195">
        <f>IF(AND(AR195=1,ISNUMBER(AT195),AY195=1),$AT195,1)</f>
        <v>0</v>
      </c>
      <c r="BB195">
        <f>IF(ISNUMBER(Y195),INDEX(AllCollegeILPub, MATCH(N195,AllCollegeNCES,0)),0)</f>
        <v>0</v>
      </c>
      <c r="BC195">
        <f>IF(AK195=ReachLabel,AP195,0)</f>
        <v>0</v>
      </c>
      <c r="BD195">
        <f>IF(AK195=MatchLabel,AP195,0)</f>
        <v>0</v>
      </c>
      <c r="BE195">
        <f>IF(AK195=SafetyLabel,AP195,0)</f>
        <v>0</v>
      </c>
      <c r="BF195">
        <f>IF(AK195=SecureLabel,AP195,0)</f>
        <v>0</v>
      </c>
      <c r="BG195">
        <f>IF(AK195=SureThingLabel,AP195,0)</f>
        <v>0</v>
      </c>
      <c r="BH195">
        <f>MAX(BC195:BG195)</f>
        <v>0</v>
      </c>
      <c r="BI195">
        <f>MAX(BD195:BG195)</f>
        <v>0</v>
      </c>
      <c r="BJ195">
        <f>MAX(BE195:BG195)</f>
        <v>0</v>
      </c>
      <c r="BK195">
        <f>IF(AND(AK195=ReachLabel,AY195=1),AP195,0)</f>
        <v>0</v>
      </c>
      <c r="BL195">
        <f>IF(AND(AK195=MatchLabel,AY195=1),AP195,0)</f>
        <v>0</v>
      </c>
      <c r="BM195">
        <f>IF(AND(AK195=SafetyLabel,AY195=1),AP195,0)</f>
        <v>0</v>
      </c>
      <c r="BN195">
        <f>IF(AND(AK195=SecureLabel,AY195=1),AP195,0)</f>
        <v>0</v>
      </c>
      <c r="BO195">
        <f>IF(AND(AK195=SureThingLabel,AY195=1),AP195,0)</f>
        <v>0</v>
      </c>
      <c r="BP195">
        <f>MAX(BK195:BO195)</f>
        <v>0</v>
      </c>
      <c r="BQ195">
        <f>MAX(BL195:BO195)</f>
        <v>0</v>
      </c>
      <c r="BR195">
        <f>MAX(BM195:BO195)</f>
        <v>0</v>
      </c>
      <c r="BS195">
        <f>IF(ISNUMBER(Y195),INDEX(AllCollegeChicago, MATCH(N195,AllCollegeNCES,0))*AY195,0)</f>
        <v>0</v>
      </c>
      <c r="BT195">
        <f>IF(ISNUMBER(Y195),INDEX(AllCollegeMoneyCode, MATCH(N195,AllCollegeNCES,0)),"?")</f>
        <v>0</v>
      </c>
      <c r="BU195">
        <f>IF(OR(BT195="---",BT195="--",BT195="+/--",BT195="+/---"),1,0)</f>
        <v>0</v>
      </c>
      <c r="BV195">
        <f>AY195*AO195*AQ195</f>
        <v>0</v>
      </c>
    </row>
    <row r="196" spans="1:74">
      <c r="A196" t="s">
        <v>86</v>
      </c>
      <c r="B196">
        <v>22939229</v>
      </c>
      <c r="C196" t="s">
        <v>320</v>
      </c>
      <c r="D196" t="s">
        <v>321</v>
      </c>
      <c r="E196" t="s">
        <v>428</v>
      </c>
      <c r="F196" t="s">
        <v>500</v>
      </c>
      <c r="G196" t="s">
        <v>430</v>
      </c>
      <c r="H196" t="s">
        <v>431</v>
      </c>
      <c r="I196" t="s">
        <v>432</v>
      </c>
      <c r="J196" t="s">
        <v>432</v>
      </c>
      <c r="K196">
        <v>0</v>
      </c>
      <c r="L196" t="s">
        <v>428</v>
      </c>
      <c r="M196" t="s">
        <v>428</v>
      </c>
      <c r="N196">
        <v>143048</v>
      </c>
      <c r="O196">
        <f>INDEX(AllCollegeBarrons,MATCH(N196,AllCollegeNCES,0))</f>
        <v>0</v>
      </c>
      <c r="P196">
        <f>INDEX(KidGPAs,MATCH(B196,KidIDs,0))</f>
        <v>0</v>
      </c>
      <c r="Q196">
        <f>INDEX(KidACTs,MATCH(B196,KidIDs,0))</f>
        <v>0</v>
      </c>
      <c r="R196">
        <f>INDEX(Strats,MATCH(B196,KidIDs,0))</f>
        <v>0</v>
      </c>
      <c r="S196">
        <f>INDEX(KidRace,MATCH(B196,KidIDs,0))</f>
        <v>0</v>
      </c>
      <c r="T196">
        <f>IF(OR(S196="M",S196="I"),"H",S196)</f>
        <v>0</v>
      </c>
      <c r="U196">
        <f>INDEX(StudentTargets,MATCH(B196,KidIDs,0))</f>
        <v>0</v>
      </c>
      <c r="V196">
        <f>INDEX(ReachStudentTargets,MATCH(B196,KidIDs,0))</f>
        <v>0</v>
      </c>
      <c r="W196">
        <f>IF(OR(M196="Posse"),1,0)</f>
        <v>0</v>
      </c>
      <c r="X196">
        <f>IF(ISNUMBER(INDEX(AllCollegeGR, MATCH(N196,AllCollegeNCES,0))),ROUND(INDEX(AllCollegeGR, MATCH(N196,AllCollegeNCES,0))+W196*IF(INDEX(AllCollegeGR, MATCH(N196,AllCollegeNCES,0))&gt;0.7,(1-INDEX(AllCollegeGR, MATCH(N196,AllCollegeNCES,0)))/2,0.15),2),INDEX(AllCollegeGR, MATCH(N196,AllCollegeNCES,0)))</f>
        <v>0</v>
      </c>
      <c r="Y196">
        <f>IF(ISNUMBER(INDEX(AllCollegeAAHGR, MATCH(N196,AllCollegeNCES,0))),ROUND(INDEX(AllCollegeAAHGR, MATCH(N196,AllCollegeNCES,0))+W196*IF(INDEX(AllCollegeAAHGR, MATCH(N196,AllCollegeNCES,0))&gt;0.7,(1-INDEX(AllCollegeAAHGR, MATCH(N196,AllCollegeNCES,0)))/2,0.15),2),INDEX(AllCollegeAAHGR, MATCH(N196,AllCollegeNCES,0)))</f>
        <v>0</v>
      </c>
      <c r="Z196">
        <f>IF(OR(T196="H",T196="B"),INDEX(AllCollegeACT25, MATCH(N196,AllCollegeNCES,0)),INDEX(AllCollegeACT50, MATCH(N196,AllCollegeNCES,0)))</f>
        <v>0</v>
      </c>
      <c r="AA196">
        <f>INDEX(CustomWeightsGPA,MATCH(T196&amp;":"&amp;N196,CustomWeightsIndex,0))</f>
        <v>0</v>
      </c>
      <c r="AB196">
        <f>INDEX(CustomWeightsACT,MATCH(T196&amp;":"&amp;N196,CustomWeightsIndex,0))</f>
        <v>0</v>
      </c>
      <c r="AC196">
        <f>INDEX(CustomWeightsIntercept,MATCH(T196&amp;":"&amp;N196,CustomWeightsIndex,0))</f>
        <v>0</v>
      </c>
      <c r="AD196">
        <f>AA196*P196+AB196*Q196+AC196</f>
        <v>0</v>
      </c>
      <c r="AE196">
        <f>INDEX(CoefficientsGPA,MATCH(T196&amp;":"&amp;O196,CoefficientsIndex,0))</f>
        <v>0</v>
      </c>
      <c r="AF196">
        <f>INDEX(CoefficientsACT,MATCH(T196&amp;":"&amp;O196,CoefficientsIndex,0))</f>
        <v>0</v>
      </c>
      <c r="AG196">
        <f>INDEX(CoefficientsIntercept,MATCH(T196&amp;":"&amp;O196,CoefficientsIndex,0))</f>
        <v>0</v>
      </c>
      <c r="AH196">
        <f>AE196*P196+(Q196-Z196)*AF196+AG196</f>
        <v>0</v>
      </c>
      <c r="AI196">
        <f>IF(ISNUMBER(AD196),AD196,AH196)</f>
        <v>0</v>
      </c>
      <c r="AJ196">
        <f>IF(ISNUMBER(AI196),IF(ISNUMBER(AE196),IF(AND(AE196=1,AF196=1,AG196=1),100,ROUND(100*EXP(AI196)/(1+EXP(AI196)),2)),ROUND(100*EXP(AI196)/(1+EXP(AI196)),2)),IF(ISTEXT(O196),IF(LEFT(O196,1)="2",100,"N/A"),"N/A"))</f>
        <v>0</v>
      </c>
      <c r="AK196">
        <f>IF(ISNUMBER(AJ196),IF(AJ196&gt;=99,IF(OR(R196=10,R196=11),MatchLabel,SureThingLabel),IF(AJ196&gt;=95,SecureLabel,IF(AJ196&gt;=80,SafetyLabel,IF(AJ196&gt;=50,MatchLabel,IF(AJ196&gt;=20,ReachLabel,IF(AJ196&gt;=10,LongshotLabel,HailMaryLabel)))))),"Other")</f>
        <v>0</v>
      </c>
      <c r="AL196">
        <f>IF(OR(I196="accepted",I196="cond. accept",I196="summer admit"),IF(J196="yes","CHOICE!","Accepted!"),IF(I196="denied","Denied",IF(K196=1,"Waitlist",IF(L196=1,"Deferred",IF(G196="pending","Pending",IF(OR(G196="initial materials submitted",G196="mid-year submitted",G196="final submitted"),"Submitted",IF(H196="interest","Interest","?")))))))</f>
        <v>0</v>
      </c>
      <c r="AM196">
        <f>IF(OR(AK196=ReachLabel,AK196=LongshotLabel,AK196=HailMaryLabel),1,0)</f>
        <v>0</v>
      </c>
      <c r="AN196">
        <f>IF(OR(AM196=1,AK196=MatchLabel),1,0)</f>
        <v>0</v>
      </c>
      <c r="AO196">
        <f>IF(OR(AK196=MatchLabel,AK196=SafetyLabel,AK196=SecureLabel,AK196=SureThingLabel),1,0)</f>
        <v>0</v>
      </c>
      <c r="AP196">
        <f>IF(OR(T196="H",T196="B"),IF(ISNUMBER(Y196),ROUND(Y196,2),0),IF(ISNUMBER(X196),ROUND(X196,2),0))</f>
        <v>0</v>
      </c>
      <c r="AQ196">
        <f>IF(AP196&gt;=U196,1,0)</f>
        <v>0</v>
      </c>
      <c r="AR196">
        <f>IF(AP196&gt;=V196,1,0)</f>
        <v>0</v>
      </c>
      <c r="AS196">
        <f>IF(AP196&lt;(U196-0.10),1,0)</f>
        <v>0</v>
      </c>
      <c r="AT196">
        <f>1-AJ196/100</f>
        <v>0</v>
      </c>
      <c r="AU196">
        <f>IF(AN196=1,AT196,1)</f>
        <v>0</v>
      </c>
      <c r="AV196">
        <f>IF(AM196=1,AT196,1)</f>
        <v>0</v>
      </c>
      <c r="AW196">
        <f>IF(AND(AQ196=1,ISNUMBER(AT196)),$AT196,1)</f>
        <v>0</v>
      </c>
      <c r="AX196">
        <f>IF(AND(AR196=1,ISNUMBER(AT196)),$AT196,1)</f>
        <v>0</v>
      </c>
      <c r="AY196">
        <f>IF(ISNUMBER(Y196),INDEX(AllCollegeMoney, MATCH(N196,AllCollegeNCES,0)),0)</f>
        <v>0</v>
      </c>
      <c r="AZ196">
        <f>IF(AND(AQ196=1,ISNUMBER(AT196),AY196=1),$AT196,1)</f>
        <v>0</v>
      </c>
      <c r="BA196">
        <f>IF(AND(AR196=1,ISNUMBER(AT196),AY196=1),$AT196,1)</f>
        <v>0</v>
      </c>
      <c r="BB196">
        <f>IF(ISNUMBER(Y196),INDEX(AllCollegeILPub, MATCH(N196,AllCollegeNCES,0)),0)</f>
        <v>0</v>
      </c>
      <c r="BC196">
        <f>IF(AK196=ReachLabel,AP196,0)</f>
        <v>0</v>
      </c>
      <c r="BD196">
        <f>IF(AK196=MatchLabel,AP196,0)</f>
        <v>0</v>
      </c>
      <c r="BE196">
        <f>IF(AK196=SafetyLabel,AP196,0)</f>
        <v>0</v>
      </c>
      <c r="BF196">
        <f>IF(AK196=SecureLabel,AP196,0)</f>
        <v>0</v>
      </c>
      <c r="BG196">
        <f>IF(AK196=SureThingLabel,AP196,0)</f>
        <v>0</v>
      </c>
      <c r="BH196">
        <f>MAX(BC196:BG196)</f>
        <v>0</v>
      </c>
      <c r="BI196">
        <f>MAX(BD196:BG196)</f>
        <v>0</v>
      </c>
      <c r="BJ196">
        <f>MAX(BE196:BG196)</f>
        <v>0</v>
      </c>
      <c r="BK196">
        <f>IF(AND(AK196=ReachLabel,AY196=1),AP196,0)</f>
        <v>0</v>
      </c>
      <c r="BL196">
        <f>IF(AND(AK196=MatchLabel,AY196=1),AP196,0)</f>
        <v>0</v>
      </c>
      <c r="BM196">
        <f>IF(AND(AK196=SafetyLabel,AY196=1),AP196,0)</f>
        <v>0</v>
      </c>
      <c r="BN196">
        <f>IF(AND(AK196=SecureLabel,AY196=1),AP196,0)</f>
        <v>0</v>
      </c>
      <c r="BO196">
        <f>IF(AND(AK196=SureThingLabel,AY196=1),AP196,0)</f>
        <v>0</v>
      </c>
      <c r="BP196">
        <f>MAX(BK196:BO196)</f>
        <v>0</v>
      </c>
      <c r="BQ196">
        <f>MAX(BL196:BO196)</f>
        <v>0</v>
      </c>
      <c r="BR196">
        <f>MAX(BM196:BO196)</f>
        <v>0</v>
      </c>
      <c r="BS196">
        <f>IF(ISNUMBER(Y196),INDEX(AllCollegeChicago, MATCH(N196,AllCollegeNCES,0))*AY196,0)</f>
        <v>0</v>
      </c>
      <c r="BT196">
        <f>IF(ISNUMBER(Y196),INDEX(AllCollegeMoneyCode, MATCH(N196,AllCollegeNCES,0)),"?")</f>
        <v>0</v>
      </c>
      <c r="BU196">
        <f>IF(OR(BT196="---",BT196="--",BT196="+/--",BT196="+/---"),1,0)</f>
        <v>0</v>
      </c>
      <c r="BV196">
        <f>AY196*AO196*AQ196</f>
        <v>0</v>
      </c>
    </row>
    <row r="197" spans="1:74">
      <c r="A197" t="s">
        <v>86</v>
      </c>
      <c r="B197">
        <v>22942005</v>
      </c>
      <c r="C197" t="s">
        <v>150</v>
      </c>
      <c r="D197" t="s">
        <v>151</v>
      </c>
      <c r="E197" t="s">
        <v>428</v>
      </c>
      <c r="F197" t="s">
        <v>456</v>
      </c>
      <c r="G197" t="s">
        <v>430</v>
      </c>
      <c r="H197" t="s">
        <v>431</v>
      </c>
      <c r="I197" t="s">
        <v>432</v>
      </c>
      <c r="J197" t="s">
        <v>432</v>
      </c>
      <c r="K197">
        <v>0</v>
      </c>
      <c r="L197" t="s">
        <v>428</v>
      </c>
      <c r="M197" t="s">
        <v>428</v>
      </c>
      <c r="N197">
        <v>213668</v>
      </c>
      <c r="O197">
        <f>INDEX(AllCollegeBarrons,MATCH(N197,AllCollegeNCES,0))</f>
        <v>0</v>
      </c>
      <c r="P197">
        <f>INDEX(KidGPAs,MATCH(B197,KidIDs,0))</f>
        <v>0</v>
      </c>
      <c r="Q197">
        <f>INDEX(KidACTs,MATCH(B197,KidIDs,0))</f>
        <v>0</v>
      </c>
      <c r="R197">
        <f>INDEX(Strats,MATCH(B197,KidIDs,0))</f>
        <v>0</v>
      </c>
      <c r="S197">
        <f>INDEX(KidRace,MATCH(B197,KidIDs,0))</f>
        <v>0</v>
      </c>
      <c r="T197">
        <f>IF(OR(S197="M",S197="I"),"H",S197)</f>
        <v>0</v>
      </c>
      <c r="U197">
        <f>INDEX(StudentTargets,MATCH(B197,KidIDs,0))</f>
        <v>0</v>
      </c>
      <c r="V197">
        <f>INDEX(ReachStudentTargets,MATCH(B197,KidIDs,0))</f>
        <v>0</v>
      </c>
      <c r="W197">
        <f>IF(OR(M197="Posse"),1,0)</f>
        <v>0</v>
      </c>
      <c r="X197">
        <f>IF(ISNUMBER(INDEX(AllCollegeGR, MATCH(N197,AllCollegeNCES,0))),ROUND(INDEX(AllCollegeGR, MATCH(N197,AllCollegeNCES,0))+W197*IF(INDEX(AllCollegeGR, MATCH(N197,AllCollegeNCES,0))&gt;0.7,(1-INDEX(AllCollegeGR, MATCH(N197,AllCollegeNCES,0)))/2,0.15),2),INDEX(AllCollegeGR, MATCH(N197,AllCollegeNCES,0)))</f>
        <v>0</v>
      </c>
      <c r="Y197">
        <f>IF(ISNUMBER(INDEX(AllCollegeAAHGR, MATCH(N197,AllCollegeNCES,0))),ROUND(INDEX(AllCollegeAAHGR, MATCH(N197,AllCollegeNCES,0))+W197*IF(INDEX(AllCollegeAAHGR, MATCH(N197,AllCollegeNCES,0))&gt;0.7,(1-INDEX(AllCollegeAAHGR, MATCH(N197,AllCollegeNCES,0)))/2,0.15),2),INDEX(AllCollegeAAHGR, MATCH(N197,AllCollegeNCES,0)))</f>
        <v>0</v>
      </c>
      <c r="Z197">
        <f>IF(OR(T197="H",T197="B"),INDEX(AllCollegeACT25, MATCH(N197,AllCollegeNCES,0)),INDEX(AllCollegeACT50, MATCH(N197,AllCollegeNCES,0)))</f>
        <v>0</v>
      </c>
      <c r="AA197">
        <f>INDEX(CustomWeightsGPA,MATCH(T197&amp;":"&amp;N197,CustomWeightsIndex,0))</f>
        <v>0</v>
      </c>
      <c r="AB197">
        <f>INDEX(CustomWeightsACT,MATCH(T197&amp;":"&amp;N197,CustomWeightsIndex,0))</f>
        <v>0</v>
      </c>
      <c r="AC197">
        <f>INDEX(CustomWeightsIntercept,MATCH(T197&amp;":"&amp;N197,CustomWeightsIndex,0))</f>
        <v>0</v>
      </c>
      <c r="AD197">
        <f>AA197*P197+AB197*Q197+AC197</f>
        <v>0</v>
      </c>
      <c r="AE197">
        <f>INDEX(CoefficientsGPA,MATCH(T197&amp;":"&amp;O197,CoefficientsIndex,0))</f>
        <v>0</v>
      </c>
      <c r="AF197">
        <f>INDEX(CoefficientsACT,MATCH(T197&amp;":"&amp;O197,CoefficientsIndex,0))</f>
        <v>0</v>
      </c>
      <c r="AG197">
        <f>INDEX(CoefficientsIntercept,MATCH(T197&amp;":"&amp;O197,CoefficientsIndex,0))</f>
        <v>0</v>
      </c>
      <c r="AH197">
        <f>AE197*P197+(Q197-Z197)*AF197+AG197</f>
        <v>0</v>
      </c>
      <c r="AI197">
        <f>IF(ISNUMBER(AD197),AD197,AH197)</f>
        <v>0</v>
      </c>
      <c r="AJ197">
        <f>IF(ISNUMBER(AI197),IF(ISNUMBER(AE197),IF(AND(AE197=1,AF197=1,AG197=1),100,ROUND(100*EXP(AI197)/(1+EXP(AI197)),2)),ROUND(100*EXP(AI197)/(1+EXP(AI197)),2)),IF(ISTEXT(O197),IF(LEFT(O197,1)="2",100,"N/A"),"N/A"))</f>
        <v>0</v>
      </c>
      <c r="AK197">
        <f>IF(ISNUMBER(AJ197),IF(AJ197&gt;=99,IF(OR(R197=10,R197=11),MatchLabel,SureThingLabel),IF(AJ197&gt;=95,SecureLabel,IF(AJ197&gt;=80,SafetyLabel,IF(AJ197&gt;=50,MatchLabel,IF(AJ197&gt;=20,ReachLabel,IF(AJ197&gt;=10,LongshotLabel,HailMaryLabel)))))),"Other")</f>
        <v>0</v>
      </c>
      <c r="AL197">
        <f>IF(OR(I197="accepted",I197="cond. accept",I197="summer admit"),IF(J197="yes","CHOICE!","Accepted!"),IF(I197="denied","Denied",IF(K197=1,"Waitlist",IF(L197=1,"Deferred",IF(G197="pending","Pending",IF(OR(G197="initial materials submitted",G197="mid-year submitted",G197="final submitted"),"Submitted",IF(H197="interest","Interest","?")))))))</f>
        <v>0</v>
      </c>
      <c r="AM197">
        <f>IF(OR(AK197=ReachLabel,AK197=LongshotLabel,AK197=HailMaryLabel),1,0)</f>
        <v>0</v>
      </c>
      <c r="AN197">
        <f>IF(OR(AM197=1,AK197=MatchLabel),1,0)</f>
        <v>0</v>
      </c>
      <c r="AO197">
        <f>IF(OR(AK197=MatchLabel,AK197=SafetyLabel,AK197=SecureLabel,AK197=SureThingLabel),1,0)</f>
        <v>0</v>
      </c>
      <c r="AP197">
        <f>IF(OR(T197="H",T197="B"),IF(ISNUMBER(Y197),ROUND(Y197,2),0),IF(ISNUMBER(X197),ROUND(X197,2),0))</f>
        <v>0</v>
      </c>
      <c r="AQ197">
        <f>IF(AP197&gt;=U197,1,0)</f>
        <v>0</v>
      </c>
      <c r="AR197">
        <f>IF(AP197&gt;=V197,1,0)</f>
        <v>0</v>
      </c>
      <c r="AS197">
        <f>IF(AP197&lt;(U197-0.10),1,0)</f>
        <v>0</v>
      </c>
      <c r="AT197">
        <f>1-AJ197/100</f>
        <v>0</v>
      </c>
      <c r="AU197">
        <f>IF(AN197=1,AT197,1)</f>
        <v>0</v>
      </c>
      <c r="AV197">
        <f>IF(AM197=1,AT197,1)</f>
        <v>0</v>
      </c>
      <c r="AW197">
        <f>IF(AND(AQ197=1,ISNUMBER(AT197)),$AT197,1)</f>
        <v>0</v>
      </c>
      <c r="AX197">
        <f>IF(AND(AR197=1,ISNUMBER(AT197)),$AT197,1)</f>
        <v>0</v>
      </c>
      <c r="AY197">
        <f>IF(ISNUMBER(Y197),INDEX(AllCollegeMoney, MATCH(N197,AllCollegeNCES,0)),0)</f>
        <v>0</v>
      </c>
      <c r="AZ197">
        <f>IF(AND(AQ197=1,ISNUMBER(AT197),AY197=1),$AT197,1)</f>
        <v>0</v>
      </c>
      <c r="BA197">
        <f>IF(AND(AR197=1,ISNUMBER(AT197),AY197=1),$AT197,1)</f>
        <v>0</v>
      </c>
      <c r="BB197">
        <f>IF(ISNUMBER(Y197),INDEX(AllCollegeILPub, MATCH(N197,AllCollegeNCES,0)),0)</f>
        <v>0</v>
      </c>
      <c r="BC197">
        <f>IF(AK197=ReachLabel,AP197,0)</f>
        <v>0</v>
      </c>
      <c r="BD197">
        <f>IF(AK197=MatchLabel,AP197,0)</f>
        <v>0</v>
      </c>
      <c r="BE197">
        <f>IF(AK197=SafetyLabel,AP197,0)</f>
        <v>0</v>
      </c>
      <c r="BF197">
        <f>IF(AK197=SecureLabel,AP197,0)</f>
        <v>0</v>
      </c>
      <c r="BG197">
        <f>IF(AK197=SureThingLabel,AP197,0)</f>
        <v>0</v>
      </c>
      <c r="BH197">
        <f>MAX(BC197:BG197)</f>
        <v>0</v>
      </c>
      <c r="BI197">
        <f>MAX(BD197:BG197)</f>
        <v>0</v>
      </c>
      <c r="BJ197">
        <f>MAX(BE197:BG197)</f>
        <v>0</v>
      </c>
      <c r="BK197">
        <f>IF(AND(AK197=ReachLabel,AY197=1),AP197,0)</f>
        <v>0</v>
      </c>
      <c r="BL197">
        <f>IF(AND(AK197=MatchLabel,AY197=1),AP197,0)</f>
        <v>0</v>
      </c>
      <c r="BM197">
        <f>IF(AND(AK197=SafetyLabel,AY197=1),AP197,0)</f>
        <v>0</v>
      </c>
      <c r="BN197">
        <f>IF(AND(AK197=SecureLabel,AY197=1),AP197,0)</f>
        <v>0</v>
      </c>
      <c r="BO197">
        <f>IF(AND(AK197=SureThingLabel,AY197=1),AP197,0)</f>
        <v>0</v>
      </c>
      <c r="BP197">
        <f>MAX(BK197:BO197)</f>
        <v>0</v>
      </c>
      <c r="BQ197">
        <f>MAX(BL197:BO197)</f>
        <v>0</v>
      </c>
      <c r="BR197">
        <f>MAX(BM197:BO197)</f>
        <v>0</v>
      </c>
      <c r="BS197">
        <f>IF(ISNUMBER(Y197),INDEX(AllCollegeChicago, MATCH(N197,AllCollegeNCES,0))*AY197,0)</f>
        <v>0</v>
      </c>
      <c r="BT197">
        <f>IF(ISNUMBER(Y197),INDEX(AllCollegeMoneyCode, MATCH(N197,AllCollegeNCES,0)),"?")</f>
        <v>0</v>
      </c>
      <c r="BU197">
        <f>IF(OR(BT197="---",BT197="--",BT197="+/--",BT197="+/---"),1,0)</f>
        <v>0</v>
      </c>
      <c r="BV197">
        <f>AY197*AO197*AQ197</f>
        <v>0</v>
      </c>
    </row>
    <row r="198" spans="1:74">
      <c r="A198" t="s">
        <v>86</v>
      </c>
      <c r="B198">
        <v>22942005</v>
      </c>
      <c r="C198" t="s">
        <v>150</v>
      </c>
      <c r="D198" t="s">
        <v>151</v>
      </c>
      <c r="E198" t="s">
        <v>428</v>
      </c>
      <c r="F198" t="s">
        <v>459</v>
      </c>
      <c r="G198" t="s">
        <v>430</v>
      </c>
      <c r="H198" t="s">
        <v>431</v>
      </c>
      <c r="I198" t="s">
        <v>432</v>
      </c>
      <c r="J198" t="s">
        <v>432</v>
      </c>
      <c r="K198">
        <v>0</v>
      </c>
      <c r="L198" t="s">
        <v>428</v>
      </c>
      <c r="M198" t="s">
        <v>428</v>
      </c>
      <c r="N198">
        <v>146427</v>
      </c>
      <c r="O198">
        <f>INDEX(AllCollegeBarrons,MATCH(N198,AllCollegeNCES,0))</f>
        <v>0</v>
      </c>
      <c r="P198">
        <f>INDEX(KidGPAs,MATCH(B198,KidIDs,0))</f>
        <v>0</v>
      </c>
      <c r="Q198">
        <f>INDEX(KidACTs,MATCH(B198,KidIDs,0))</f>
        <v>0</v>
      </c>
      <c r="R198">
        <f>INDEX(Strats,MATCH(B198,KidIDs,0))</f>
        <v>0</v>
      </c>
      <c r="S198">
        <f>INDEX(KidRace,MATCH(B198,KidIDs,0))</f>
        <v>0</v>
      </c>
      <c r="T198">
        <f>IF(OR(S198="M",S198="I"),"H",S198)</f>
        <v>0</v>
      </c>
      <c r="U198">
        <f>INDEX(StudentTargets,MATCH(B198,KidIDs,0))</f>
        <v>0</v>
      </c>
      <c r="V198">
        <f>INDEX(ReachStudentTargets,MATCH(B198,KidIDs,0))</f>
        <v>0</v>
      </c>
      <c r="W198">
        <f>IF(OR(M198="Posse"),1,0)</f>
        <v>0</v>
      </c>
      <c r="X198">
        <f>IF(ISNUMBER(INDEX(AllCollegeGR, MATCH(N198,AllCollegeNCES,0))),ROUND(INDEX(AllCollegeGR, MATCH(N198,AllCollegeNCES,0))+W198*IF(INDEX(AllCollegeGR, MATCH(N198,AllCollegeNCES,0))&gt;0.7,(1-INDEX(AllCollegeGR, MATCH(N198,AllCollegeNCES,0)))/2,0.15),2),INDEX(AllCollegeGR, MATCH(N198,AllCollegeNCES,0)))</f>
        <v>0</v>
      </c>
      <c r="Y198">
        <f>IF(ISNUMBER(INDEX(AllCollegeAAHGR, MATCH(N198,AllCollegeNCES,0))),ROUND(INDEX(AllCollegeAAHGR, MATCH(N198,AllCollegeNCES,0))+W198*IF(INDEX(AllCollegeAAHGR, MATCH(N198,AllCollegeNCES,0))&gt;0.7,(1-INDEX(AllCollegeAAHGR, MATCH(N198,AllCollegeNCES,0)))/2,0.15),2),INDEX(AllCollegeAAHGR, MATCH(N198,AllCollegeNCES,0)))</f>
        <v>0</v>
      </c>
      <c r="Z198">
        <f>IF(OR(T198="H",T198="B"),INDEX(AllCollegeACT25, MATCH(N198,AllCollegeNCES,0)),INDEX(AllCollegeACT50, MATCH(N198,AllCollegeNCES,0)))</f>
        <v>0</v>
      </c>
      <c r="AA198">
        <f>INDEX(CustomWeightsGPA,MATCH(T198&amp;":"&amp;N198,CustomWeightsIndex,0))</f>
        <v>0</v>
      </c>
      <c r="AB198">
        <f>INDEX(CustomWeightsACT,MATCH(T198&amp;":"&amp;N198,CustomWeightsIndex,0))</f>
        <v>0</v>
      </c>
      <c r="AC198">
        <f>INDEX(CustomWeightsIntercept,MATCH(T198&amp;":"&amp;N198,CustomWeightsIndex,0))</f>
        <v>0</v>
      </c>
      <c r="AD198">
        <f>AA198*P198+AB198*Q198+AC198</f>
        <v>0</v>
      </c>
      <c r="AE198">
        <f>INDEX(CoefficientsGPA,MATCH(T198&amp;":"&amp;O198,CoefficientsIndex,0))</f>
        <v>0</v>
      </c>
      <c r="AF198">
        <f>INDEX(CoefficientsACT,MATCH(T198&amp;":"&amp;O198,CoefficientsIndex,0))</f>
        <v>0</v>
      </c>
      <c r="AG198">
        <f>INDEX(CoefficientsIntercept,MATCH(T198&amp;":"&amp;O198,CoefficientsIndex,0))</f>
        <v>0</v>
      </c>
      <c r="AH198">
        <f>AE198*P198+(Q198-Z198)*AF198+AG198</f>
        <v>0</v>
      </c>
      <c r="AI198">
        <f>IF(ISNUMBER(AD198),AD198,AH198)</f>
        <v>0</v>
      </c>
      <c r="AJ198">
        <f>IF(ISNUMBER(AI198),IF(ISNUMBER(AE198),IF(AND(AE198=1,AF198=1,AG198=1),100,ROUND(100*EXP(AI198)/(1+EXP(AI198)),2)),ROUND(100*EXP(AI198)/(1+EXP(AI198)),2)),IF(ISTEXT(O198),IF(LEFT(O198,1)="2",100,"N/A"),"N/A"))</f>
        <v>0</v>
      </c>
      <c r="AK198">
        <f>IF(ISNUMBER(AJ198),IF(AJ198&gt;=99,IF(OR(R198=10,R198=11),MatchLabel,SureThingLabel),IF(AJ198&gt;=95,SecureLabel,IF(AJ198&gt;=80,SafetyLabel,IF(AJ198&gt;=50,MatchLabel,IF(AJ198&gt;=20,ReachLabel,IF(AJ198&gt;=10,LongshotLabel,HailMaryLabel)))))),"Other")</f>
        <v>0</v>
      </c>
      <c r="AL198">
        <f>IF(OR(I198="accepted",I198="cond. accept",I198="summer admit"),IF(J198="yes","CHOICE!","Accepted!"),IF(I198="denied","Denied",IF(K198=1,"Waitlist",IF(L198=1,"Deferred",IF(G198="pending","Pending",IF(OR(G198="initial materials submitted",G198="mid-year submitted",G198="final submitted"),"Submitted",IF(H198="interest","Interest","?")))))))</f>
        <v>0</v>
      </c>
      <c r="AM198">
        <f>IF(OR(AK198=ReachLabel,AK198=LongshotLabel,AK198=HailMaryLabel),1,0)</f>
        <v>0</v>
      </c>
      <c r="AN198">
        <f>IF(OR(AM198=1,AK198=MatchLabel),1,0)</f>
        <v>0</v>
      </c>
      <c r="AO198">
        <f>IF(OR(AK198=MatchLabel,AK198=SafetyLabel,AK198=SecureLabel,AK198=SureThingLabel),1,0)</f>
        <v>0</v>
      </c>
      <c r="AP198">
        <f>IF(OR(T198="H",T198="B"),IF(ISNUMBER(Y198),ROUND(Y198,2),0),IF(ISNUMBER(X198),ROUND(X198,2),0))</f>
        <v>0</v>
      </c>
      <c r="AQ198">
        <f>IF(AP198&gt;=U198,1,0)</f>
        <v>0</v>
      </c>
      <c r="AR198">
        <f>IF(AP198&gt;=V198,1,0)</f>
        <v>0</v>
      </c>
      <c r="AS198">
        <f>IF(AP198&lt;(U198-0.10),1,0)</f>
        <v>0</v>
      </c>
      <c r="AT198">
        <f>1-AJ198/100</f>
        <v>0</v>
      </c>
      <c r="AU198">
        <f>IF(AN198=1,AT198,1)</f>
        <v>0</v>
      </c>
      <c r="AV198">
        <f>IF(AM198=1,AT198,1)</f>
        <v>0</v>
      </c>
      <c r="AW198">
        <f>IF(AND(AQ198=1,ISNUMBER(AT198)),$AT198,1)</f>
        <v>0</v>
      </c>
      <c r="AX198">
        <f>IF(AND(AR198=1,ISNUMBER(AT198)),$AT198,1)</f>
        <v>0</v>
      </c>
      <c r="AY198">
        <f>IF(ISNUMBER(Y198),INDEX(AllCollegeMoney, MATCH(N198,AllCollegeNCES,0)),0)</f>
        <v>0</v>
      </c>
      <c r="AZ198">
        <f>IF(AND(AQ198=1,ISNUMBER(AT198),AY198=1),$AT198,1)</f>
        <v>0</v>
      </c>
      <c r="BA198">
        <f>IF(AND(AR198=1,ISNUMBER(AT198),AY198=1),$AT198,1)</f>
        <v>0</v>
      </c>
      <c r="BB198">
        <f>IF(ISNUMBER(Y198),INDEX(AllCollegeILPub, MATCH(N198,AllCollegeNCES,0)),0)</f>
        <v>0</v>
      </c>
      <c r="BC198">
        <f>IF(AK198=ReachLabel,AP198,0)</f>
        <v>0</v>
      </c>
      <c r="BD198">
        <f>IF(AK198=MatchLabel,AP198,0)</f>
        <v>0</v>
      </c>
      <c r="BE198">
        <f>IF(AK198=SafetyLabel,AP198,0)</f>
        <v>0</v>
      </c>
      <c r="BF198">
        <f>IF(AK198=SecureLabel,AP198,0)</f>
        <v>0</v>
      </c>
      <c r="BG198">
        <f>IF(AK198=SureThingLabel,AP198,0)</f>
        <v>0</v>
      </c>
      <c r="BH198">
        <f>MAX(BC198:BG198)</f>
        <v>0</v>
      </c>
      <c r="BI198">
        <f>MAX(BD198:BG198)</f>
        <v>0</v>
      </c>
      <c r="BJ198">
        <f>MAX(BE198:BG198)</f>
        <v>0</v>
      </c>
      <c r="BK198">
        <f>IF(AND(AK198=ReachLabel,AY198=1),AP198,0)</f>
        <v>0</v>
      </c>
      <c r="BL198">
        <f>IF(AND(AK198=MatchLabel,AY198=1),AP198,0)</f>
        <v>0</v>
      </c>
      <c r="BM198">
        <f>IF(AND(AK198=SafetyLabel,AY198=1),AP198,0)</f>
        <v>0</v>
      </c>
      <c r="BN198">
        <f>IF(AND(AK198=SecureLabel,AY198=1),AP198,0)</f>
        <v>0</v>
      </c>
      <c r="BO198">
        <f>IF(AND(AK198=SureThingLabel,AY198=1),AP198,0)</f>
        <v>0</v>
      </c>
      <c r="BP198">
        <f>MAX(BK198:BO198)</f>
        <v>0</v>
      </c>
      <c r="BQ198">
        <f>MAX(BL198:BO198)</f>
        <v>0</v>
      </c>
      <c r="BR198">
        <f>MAX(BM198:BO198)</f>
        <v>0</v>
      </c>
      <c r="BS198">
        <f>IF(ISNUMBER(Y198),INDEX(AllCollegeChicago, MATCH(N198,AllCollegeNCES,0))*AY198,0)</f>
        <v>0</v>
      </c>
      <c r="BT198">
        <f>IF(ISNUMBER(Y198),INDEX(AllCollegeMoneyCode, MATCH(N198,AllCollegeNCES,0)),"?")</f>
        <v>0</v>
      </c>
      <c r="BU198">
        <f>IF(OR(BT198="---",BT198="--",BT198="+/--",BT198="+/---"),1,0)</f>
        <v>0</v>
      </c>
      <c r="BV198">
        <f>AY198*AO198*AQ198</f>
        <v>0</v>
      </c>
    </row>
    <row r="199" spans="1:74">
      <c r="A199" t="s">
        <v>86</v>
      </c>
      <c r="B199">
        <v>22942005</v>
      </c>
      <c r="C199" t="s">
        <v>150</v>
      </c>
      <c r="D199" t="s">
        <v>151</v>
      </c>
      <c r="E199" t="s">
        <v>428</v>
      </c>
      <c r="F199" t="s">
        <v>484</v>
      </c>
      <c r="G199" t="s">
        <v>430</v>
      </c>
      <c r="H199" t="s">
        <v>431</v>
      </c>
      <c r="I199" t="s">
        <v>432</v>
      </c>
      <c r="J199" t="s">
        <v>432</v>
      </c>
      <c r="K199">
        <v>0</v>
      </c>
      <c r="L199" t="s">
        <v>428</v>
      </c>
      <c r="M199" t="s">
        <v>428</v>
      </c>
      <c r="N199">
        <v>144740</v>
      </c>
      <c r="O199">
        <f>INDEX(AllCollegeBarrons,MATCH(N199,AllCollegeNCES,0))</f>
        <v>0</v>
      </c>
      <c r="P199">
        <f>INDEX(KidGPAs,MATCH(B199,KidIDs,0))</f>
        <v>0</v>
      </c>
      <c r="Q199">
        <f>INDEX(KidACTs,MATCH(B199,KidIDs,0))</f>
        <v>0</v>
      </c>
      <c r="R199">
        <f>INDEX(Strats,MATCH(B199,KidIDs,0))</f>
        <v>0</v>
      </c>
      <c r="S199">
        <f>INDEX(KidRace,MATCH(B199,KidIDs,0))</f>
        <v>0</v>
      </c>
      <c r="T199">
        <f>IF(OR(S199="M",S199="I"),"H",S199)</f>
        <v>0</v>
      </c>
      <c r="U199">
        <f>INDEX(StudentTargets,MATCH(B199,KidIDs,0))</f>
        <v>0</v>
      </c>
      <c r="V199">
        <f>INDEX(ReachStudentTargets,MATCH(B199,KidIDs,0))</f>
        <v>0</v>
      </c>
      <c r="W199">
        <f>IF(OR(M199="Posse"),1,0)</f>
        <v>0</v>
      </c>
      <c r="X199">
        <f>IF(ISNUMBER(INDEX(AllCollegeGR, MATCH(N199,AllCollegeNCES,0))),ROUND(INDEX(AllCollegeGR, MATCH(N199,AllCollegeNCES,0))+W199*IF(INDEX(AllCollegeGR, MATCH(N199,AllCollegeNCES,0))&gt;0.7,(1-INDEX(AllCollegeGR, MATCH(N199,AllCollegeNCES,0)))/2,0.15),2),INDEX(AllCollegeGR, MATCH(N199,AllCollegeNCES,0)))</f>
        <v>0</v>
      </c>
      <c r="Y199">
        <f>IF(ISNUMBER(INDEX(AllCollegeAAHGR, MATCH(N199,AllCollegeNCES,0))),ROUND(INDEX(AllCollegeAAHGR, MATCH(N199,AllCollegeNCES,0))+W199*IF(INDEX(AllCollegeAAHGR, MATCH(N199,AllCollegeNCES,0))&gt;0.7,(1-INDEX(AllCollegeAAHGR, MATCH(N199,AllCollegeNCES,0)))/2,0.15),2),INDEX(AllCollegeAAHGR, MATCH(N199,AllCollegeNCES,0)))</f>
        <v>0</v>
      </c>
      <c r="Z199">
        <f>IF(OR(T199="H",T199="B"),INDEX(AllCollegeACT25, MATCH(N199,AllCollegeNCES,0)),INDEX(AllCollegeACT50, MATCH(N199,AllCollegeNCES,0)))</f>
        <v>0</v>
      </c>
      <c r="AA199">
        <f>INDEX(CustomWeightsGPA,MATCH(T199&amp;":"&amp;N199,CustomWeightsIndex,0))</f>
        <v>0</v>
      </c>
      <c r="AB199">
        <f>INDEX(CustomWeightsACT,MATCH(T199&amp;":"&amp;N199,CustomWeightsIndex,0))</f>
        <v>0</v>
      </c>
      <c r="AC199">
        <f>INDEX(CustomWeightsIntercept,MATCH(T199&amp;":"&amp;N199,CustomWeightsIndex,0))</f>
        <v>0</v>
      </c>
      <c r="AD199">
        <f>AA199*P199+AB199*Q199+AC199</f>
        <v>0</v>
      </c>
      <c r="AE199">
        <f>INDEX(CoefficientsGPA,MATCH(T199&amp;":"&amp;O199,CoefficientsIndex,0))</f>
        <v>0</v>
      </c>
      <c r="AF199">
        <f>INDEX(CoefficientsACT,MATCH(T199&amp;":"&amp;O199,CoefficientsIndex,0))</f>
        <v>0</v>
      </c>
      <c r="AG199">
        <f>INDEX(CoefficientsIntercept,MATCH(T199&amp;":"&amp;O199,CoefficientsIndex,0))</f>
        <v>0</v>
      </c>
      <c r="AH199">
        <f>AE199*P199+(Q199-Z199)*AF199+AG199</f>
        <v>0</v>
      </c>
      <c r="AI199">
        <f>IF(ISNUMBER(AD199),AD199,AH199)</f>
        <v>0</v>
      </c>
      <c r="AJ199">
        <f>IF(ISNUMBER(AI199),IF(ISNUMBER(AE199),IF(AND(AE199=1,AF199=1,AG199=1),100,ROUND(100*EXP(AI199)/(1+EXP(AI199)),2)),ROUND(100*EXP(AI199)/(1+EXP(AI199)),2)),IF(ISTEXT(O199),IF(LEFT(O199,1)="2",100,"N/A"),"N/A"))</f>
        <v>0</v>
      </c>
      <c r="AK199">
        <f>IF(ISNUMBER(AJ199),IF(AJ199&gt;=99,IF(OR(R199=10,R199=11),MatchLabel,SureThingLabel),IF(AJ199&gt;=95,SecureLabel,IF(AJ199&gt;=80,SafetyLabel,IF(AJ199&gt;=50,MatchLabel,IF(AJ199&gt;=20,ReachLabel,IF(AJ199&gt;=10,LongshotLabel,HailMaryLabel)))))),"Other")</f>
        <v>0</v>
      </c>
      <c r="AL199">
        <f>IF(OR(I199="accepted",I199="cond. accept",I199="summer admit"),IF(J199="yes","CHOICE!","Accepted!"),IF(I199="denied","Denied",IF(K199=1,"Waitlist",IF(L199=1,"Deferred",IF(G199="pending","Pending",IF(OR(G199="initial materials submitted",G199="mid-year submitted",G199="final submitted"),"Submitted",IF(H199="interest","Interest","?")))))))</f>
        <v>0</v>
      </c>
      <c r="AM199">
        <f>IF(OR(AK199=ReachLabel,AK199=LongshotLabel,AK199=HailMaryLabel),1,0)</f>
        <v>0</v>
      </c>
      <c r="AN199">
        <f>IF(OR(AM199=1,AK199=MatchLabel),1,0)</f>
        <v>0</v>
      </c>
      <c r="AO199">
        <f>IF(OR(AK199=MatchLabel,AK199=SafetyLabel,AK199=SecureLabel,AK199=SureThingLabel),1,0)</f>
        <v>0</v>
      </c>
      <c r="AP199">
        <f>IF(OR(T199="H",T199="B"),IF(ISNUMBER(Y199),ROUND(Y199,2),0),IF(ISNUMBER(X199),ROUND(X199,2),0))</f>
        <v>0</v>
      </c>
      <c r="AQ199">
        <f>IF(AP199&gt;=U199,1,0)</f>
        <v>0</v>
      </c>
      <c r="AR199">
        <f>IF(AP199&gt;=V199,1,0)</f>
        <v>0</v>
      </c>
      <c r="AS199">
        <f>IF(AP199&lt;(U199-0.10),1,0)</f>
        <v>0</v>
      </c>
      <c r="AT199">
        <f>1-AJ199/100</f>
        <v>0</v>
      </c>
      <c r="AU199">
        <f>IF(AN199=1,AT199,1)</f>
        <v>0</v>
      </c>
      <c r="AV199">
        <f>IF(AM199=1,AT199,1)</f>
        <v>0</v>
      </c>
      <c r="AW199">
        <f>IF(AND(AQ199=1,ISNUMBER(AT199)),$AT199,1)</f>
        <v>0</v>
      </c>
      <c r="AX199">
        <f>IF(AND(AR199=1,ISNUMBER(AT199)),$AT199,1)</f>
        <v>0</v>
      </c>
      <c r="AY199">
        <f>IF(ISNUMBER(Y199),INDEX(AllCollegeMoney, MATCH(N199,AllCollegeNCES,0)),0)</f>
        <v>0</v>
      </c>
      <c r="AZ199">
        <f>IF(AND(AQ199=1,ISNUMBER(AT199),AY199=1),$AT199,1)</f>
        <v>0</v>
      </c>
      <c r="BA199">
        <f>IF(AND(AR199=1,ISNUMBER(AT199),AY199=1),$AT199,1)</f>
        <v>0</v>
      </c>
      <c r="BB199">
        <f>IF(ISNUMBER(Y199),INDEX(AllCollegeILPub, MATCH(N199,AllCollegeNCES,0)),0)</f>
        <v>0</v>
      </c>
      <c r="BC199">
        <f>IF(AK199=ReachLabel,AP199,0)</f>
        <v>0</v>
      </c>
      <c r="BD199">
        <f>IF(AK199=MatchLabel,AP199,0)</f>
        <v>0</v>
      </c>
      <c r="BE199">
        <f>IF(AK199=SafetyLabel,AP199,0)</f>
        <v>0</v>
      </c>
      <c r="BF199">
        <f>IF(AK199=SecureLabel,AP199,0)</f>
        <v>0</v>
      </c>
      <c r="BG199">
        <f>IF(AK199=SureThingLabel,AP199,0)</f>
        <v>0</v>
      </c>
      <c r="BH199">
        <f>MAX(BC199:BG199)</f>
        <v>0</v>
      </c>
      <c r="BI199">
        <f>MAX(BD199:BG199)</f>
        <v>0</v>
      </c>
      <c r="BJ199">
        <f>MAX(BE199:BG199)</f>
        <v>0</v>
      </c>
      <c r="BK199">
        <f>IF(AND(AK199=ReachLabel,AY199=1),AP199,0)</f>
        <v>0</v>
      </c>
      <c r="BL199">
        <f>IF(AND(AK199=MatchLabel,AY199=1),AP199,0)</f>
        <v>0</v>
      </c>
      <c r="BM199">
        <f>IF(AND(AK199=SafetyLabel,AY199=1),AP199,0)</f>
        <v>0</v>
      </c>
      <c r="BN199">
        <f>IF(AND(AK199=SecureLabel,AY199=1),AP199,0)</f>
        <v>0</v>
      </c>
      <c r="BO199">
        <f>IF(AND(AK199=SureThingLabel,AY199=1),AP199,0)</f>
        <v>0</v>
      </c>
      <c r="BP199">
        <f>MAX(BK199:BO199)</f>
        <v>0</v>
      </c>
      <c r="BQ199">
        <f>MAX(BL199:BO199)</f>
        <v>0</v>
      </c>
      <c r="BR199">
        <f>MAX(BM199:BO199)</f>
        <v>0</v>
      </c>
      <c r="BS199">
        <f>IF(ISNUMBER(Y199),INDEX(AllCollegeChicago, MATCH(N199,AllCollegeNCES,0))*AY199,0)</f>
        <v>0</v>
      </c>
      <c r="BT199">
        <f>IF(ISNUMBER(Y199),INDEX(AllCollegeMoneyCode, MATCH(N199,AllCollegeNCES,0)),"?")</f>
        <v>0</v>
      </c>
      <c r="BU199">
        <f>IF(OR(BT199="---",BT199="--",BT199="+/--",BT199="+/---"),1,0)</f>
        <v>0</v>
      </c>
      <c r="BV199">
        <f>AY199*AO199*AQ199</f>
        <v>0</v>
      </c>
    </row>
    <row r="200" spans="1:74">
      <c r="A200" t="s">
        <v>86</v>
      </c>
      <c r="B200">
        <v>22942005</v>
      </c>
      <c r="C200" t="s">
        <v>150</v>
      </c>
      <c r="D200" t="s">
        <v>151</v>
      </c>
      <c r="E200" t="s">
        <v>428</v>
      </c>
      <c r="F200" t="s">
        <v>462</v>
      </c>
      <c r="G200" t="s">
        <v>430</v>
      </c>
      <c r="H200" t="s">
        <v>431</v>
      </c>
      <c r="I200" t="s">
        <v>432</v>
      </c>
      <c r="J200" t="s">
        <v>432</v>
      </c>
      <c r="K200">
        <v>0</v>
      </c>
      <c r="L200" t="s">
        <v>428</v>
      </c>
      <c r="M200" t="s">
        <v>428</v>
      </c>
      <c r="N200">
        <v>168546</v>
      </c>
      <c r="O200">
        <f>INDEX(AllCollegeBarrons,MATCH(N200,AllCollegeNCES,0))</f>
        <v>0</v>
      </c>
      <c r="P200">
        <f>INDEX(KidGPAs,MATCH(B200,KidIDs,0))</f>
        <v>0</v>
      </c>
      <c r="Q200">
        <f>INDEX(KidACTs,MATCH(B200,KidIDs,0))</f>
        <v>0</v>
      </c>
      <c r="R200">
        <f>INDEX(Strats,MATCH(B200,KidIDs,0))</f>
        <v>0</v>
      </c>
      <c r="S200">
        <f>INDEX(KidRace,MATCH(B200,KidIDs,0))</f>
        <v>0</v>
      </c>
      <c r="T200">
        <f>IF(OR(S200="M",S200="I"),"H",S200)</f>
        <v>0</v>
      </c>
      <c r="U200">
        <f>INDEX(StudentTargets,MATCH(B200,KidIDs,0))</f>
        <v>0</v>
      </c>
      <c r="V200">
        <f>INDEX(ReachStudentTargets,MATCH(B200,KidIDs,0))</f>
        <v>0</v>
      </c>
      <c r="W200">
        <f>IF(OR(M200="Posse"),1,0)</f>
        <v>0</v>
      </c>
      <c r="X200">
        <f>IF(ISNUMBER(INDEX(AllCollegeGR, MATCH(N200,AllCollegeNCES,0))),ROUND(INDEX(AllCollegeGR, MATCH(N200,AllCollegeNCES,0))+W200*IF(INDEX(AllCollegeGR, MATCH(N200,AllCollegeNCES,0))&gt;0.7,(1-INDEX(AllCollegeGR, MATCH(N200,AllCollegeNCES,0)))/2,0.15),2),INDEX(AllCollegeGR, MATCH(N200,AllCollegeNCES,0)))</f>
        <v>0</v>
      </c>
      <c r="Y200">
        <f>IF(ISNUMBER(INDEX(AllCollegeAAHGR, MATCH(N200,AllCollegeNCES,0))),ROUND(INDEX(AllCollegeAAHGR, MATCH(N200,AllCollegeNCES,0))+W200*IF(INDEX(AllCollegeAAHGR, MATCH(N200,AllCollegeNCES,0))&gt;0.7,(1-INDEX(AllCollegeAAHGR, MATCH(N200,AllCollegeNCES,0)))/2,0.15),2),INDEX(AllCollegeAAHGR, MATCH(N200,AllCollegeNCES,0)))</f>
        <v>0</v>
      </c>
      <c r="Z200">
        <f>IF(OR(T200="H",T200="B"),INDEX(AllCollegeACT25, MATCH(N200,AllCollegeNCES,0)),INDEX(AllCollegeACT50, MATCH(N200,AllCollegeNCES,0)))</f>
        <v>0</v>
      </c>
      <c r="AA200">
        <f>INDEX(CustomWeightsGPA,MATCH(T200&amp;":"&amp;N200,CustomWeightsIndex,0))</f>
        <v>0</v>
      </c>
      <c r="AB200">
        <f>INDEX(CustomWeightsACT,MATCH(T200&amp;":"&amp;N200,CustomWeightsIndex,0))</f>
        <v>0</v>
      </c>
      <c r="AC200">
        <f>INDEX(CustomWeightsIntercept,MATCH(T200&amp;":"&amp;N200,CustomWeightsIndex,0))</f>
        <v>0</v>
      </c>
      <c r="AD200">
        <f>AA200*P200+AB200*Q200+AC200</f>
        <v>0</v>
      </c>
      <c r="AE200">
        <f>INDEX(CoefficientsGPA,MATCH(T200&amp;":"&amp;O200,CoefficientsIndex,0))</f>
        <v>0</v>
      </c>
      <c r="AF200">
        <f>INDEX(CoefficientsACT,MATCH(T200&amp;":"&amp;O200,CoefficientsIndex,0))</f>
        <v>0</v>
      </c>
      <c r="AG200">
        <f>INDEX(CoefficientsIntercept,MATCH(T200&amp;":"&amp;O200,CoefficientsIndex,0))</f>
        <v>0</v>
      </c>
      <c r="AH200">
        <f>AE200*P200+(Q200-Z200)*AF200+AG200</f>
        <v>0</v>
      </c>
      <c r="AI200">
        <f>IF(ISNUMBER(AD200),AD200,AH200)</f>
        <v>0</v>
      </c>
      <c r="AJ200">
        <f>IF(ISNUMBER(AI200),IF(ISNUMBER(AE200),IF(AND(AE200=1,AF200=1,AG200=1),100,ROUND(100*EXP(AI200)/(1+EXP(AI200)),2)),ROUND(100*EXP(AI200)/(1+EXP(AI200)),2)),IF(ISTEXT(O200),IF(LEFT(O200,1)="2",100,"N/A"),"N/A"))</f>
        <v>0</v>
      </c>
      <c r="AK200">
        <f>IF(ISNUMBER(AJ200),IF(AJ200&gt;=99,IF(OR(R200=10,R200=11),MatchLabel,SureThingLabel),IF(AJ200&gt;=95,SecureLabel,IF(AJ200&gt;=80,SafetyLabel,IF(AJ200&gt;=50,MatchLabel,IF(AJ200&gt;=20,ReachLabel,IF(AJ200&gt;=10,LongshotLabel,HailMaryLabel)))))),"Other")</f>
        <v>0</v>
      </c>
      <c r="AL200">
        <f>IF(OR(I200="accepted",I200="cond. accept",I200="summer admit"),IF(J200="yes","CHOICE!","Accepted!"),IF(I200="denied","Denied",IF(K200=1,"Waitlist",IF(L200=1,"Deferred",IF(G200="pending","Pending",IF(OR(G200="initial materials submitted",G200="mid-year submitted",G200="final submitted"),"Submitted",IF(H200="interest","Interest","?")))))))</f>
        <v>0</v>
      </c>
      <c r="AM200">
        <f>IF(OR(AK200=ReachLabel,AK200=LongshotLabel,AK200=HailMaryLabel),1,0)</f>
        <v>0</v>
      </c>
      <c r="AN200">
        <f>IF(OR(AM200=1,AK200=MatchLabel),1,0)</f>
        <v>0</v>
      </c>
      <c r="AO200">
        <f>IF(OR(AK200=MatchLabel,AK200=SafetyLabel,AK200=SecureLabel,AK200=SureThingLabel),1,0)</f>
        <v>0</v>
      </c>
      <c r="AP200">
        <f>IF(OR(T200="H",T200="B"),IF(ISNUMBER(Y200),ROUND(Y200,2),0),IF(ISNUMBER(X200),ROUND(X200,2),0))</f>
        <v>0</v>
      </c>
      <c r="AQ200">
        <f>IF(AP200&gt;=U200,1,0)</f>
        <v>0</v>
      </c>
      <c r="AR200">
        <f>IF(AP200&gt;=V200,1,0)</f>
        <v>0</v>
      </c>
      <c r="AS200">
        <f>IF(AP200&lt;(U200-0.10),1,0)</f>
        <v>0</v>
      </c>
      <c r="AT200">
        <f>1-AJ200/100</f>
        <v>0</v>
      </c>
      <c r="AU200">
        <f>IF(AN200=1,AT200,1)</f>
        <v>0</v>
      </c>
      <c r="AV200">
        <f>IF(AM200=1,AT200,1)</f>
        <v>0</v>
      </c>
      <c r="AW200">
        <f>IF(AND(AQ200=1,ISNUMBER(AT200)),$AT200,1)</f>
        <v>0</v>
      </c>
      <c r="AX200">
        <f>IF(AND(AR200=1,ISNUMBER(AT200)),$AT200,1)</f>
        <v>0</v>
      </c>
      <c r="AY200">
        <f>IF(ISNUMBER(Y200),INDEX(AllCollegeMoney, MATCH(N200,AllCollegeNCES,0)),0)</f>
        <v>0</v>
      </c>
      <c r="AZ200">
        <f>IF(AND(AQ200=1,ISNUMBER(AT200),AY200=1),$AT200,1)</f>
        <v>0</v>
      </c>
      <c r="BA200">
        <f>IF(AND(AR200=1,ISNUMBER(AT200),AY200=1),$AT200,1)</f>
        <v>0</v>
      </c>
      <c r="BB200">
        <f>IF(ISNUMBER(Y200),INDEX(AllCollegeILPub, MATCH(N200,AllCollegeNCES,0)),0)</f>
        <v>0</v>
      </c>
      <c r="BC200">
        <f>IF(AK200=ReachLabel,AP200,0)</f>
        <v>0</v>
      </c>
      <c r="BD200">
        <f>IF(AK200=MatchLabel,AP200,0)</f>
        <v>0</v>
      </c>
      <c r="BE200">
        <f>IF(AK200=SafetyLabel,AP200,0)</f>
        <v>0</v>
      </c>
      <c r="BF200">
        <f>IF(AK200=SecureLabel,AP200,0)</f>
        <v>0</v>
      </c>
      <c r="BG200">
        <f>IF(AK200=SureThingLabel,AP200,0)</f>
        <v>0</v>
      </c>
      <c r="BH200">
        <f>MAX(BC200:BG200)</f>
        <v>0</v>
      </c>
      <c r="BI200">
        <f>MAX(BD200:BG200)</f>
        <v>0</v>
      </c>
      <c r="BJ200">
        <f>MAX(BE200:BG200)</f>
        <v>0</v>
      </c>
      <c r="BK200">
        <f>IF(AND(AK200=ReachLabel,AY200=1),AP200,0)</f>
        <v>0</v>
      </c>
      <c r="BL200">
        <f>IF(AND(AK200=MatchLabel,AY200=1),AP200,0)</f>
        <v>0</v>
      </c>
      <c r="BM200">
        <f>IF(AND(AK200=SafetyLabel,AY200=1),AP200,0)</f>
        <v>0</v>
      </c>
      <c r="BN200">
        <f>IF(AND(AK200=SecureLabel,AY200=1),AP200,0)</f>
        <v>0</v>
      </c>
      <c r="BO200">
        <f>IF(AND(AK200=SureThingLabel,AY200=1),AP200,0)</f>
        <v>0</v>
      </c>
      <c r="BP200">
        <f>MAX(BK200:BO200)</f>
        <v>0</v>
      </c>
      <c r="BQ200">
        <f>MAX(BL200:BO200)</f>
        <v>0</v>
      </c>
      <c r="BR200">
        <f>MAX(BM200:BO200)</f>
        <v>0</v>
      </c>
      <c r="BS200">
        <f>IF(ISNUMBER(Y200),INDEX(AllCollegeChicago, MATCH(N200,AllCollegeNCES,0))*AY200,0)</f>
        <v>0</v>
      </c>
      <c r="BT200">
        <f>IF(ISNUMBER(Y200),INDEX(AllCollegeMoneyCode, MATCH(N200,AllCollegeNCES,0)),"?")</f>
        <v>0</v>
      </c>
      <c r="BU200">
        <f>IF(OR(BT200="---",BT200="--",BT200="+/--",BT200="+/---"),1,0)</f>
        <v>0</v>
      </c>
      <c r="BV200">
        <f>AY200*AO200*AQ200</f>
        <v>0</v>
      </c>
    </row>
    <row r="201" spans="1:74">
      <c r="A201" t="s">
        <v>86</v>
      </c>
      <c r="B201">
        <v>22942005</v>
      </c>
      <c r="C201" t="s">
        <v>150</v>
      </c>
      <c r="D201" t="s">
        <v>151</v>
      </c>
      <c r="E201" t="s">
        <v>428</v>
      </c>
      <c r="F201" t="s">
        <v>485</v>
      </c>
      <c r="G201" t="s">
        <v>430</v>
      </c>
      <c r="H201" t="s">
        <v>431</v>
      </c>
      <c r="I201" t="s">
        <v>432</v>
      </c>
      <c r="J201" t="s">
        <v>432</v>
      </c>
      <c r="K201">
        <v>0</v>
      </c>
      <c r="L201" t="s">
        <v>428</v>
      </c>
      <c r="M201" t="s">
        <v>428</v>
      </c>
      <c r="N201">
        <v>170082</v>
      </c>
      <c r="O201">
        <f>INDEX(AllCollegeBarrons,MATCH(N201,AllCollegeNCES,0))</f>
        <v>0</v>
      </c>
      <c r="P201">
        <f>INDEX(KidGPAs,MATCH(B201,KidIDs,0))</f>
        <v>0</v>
      </c>
      <c r="Q201">
        <f>INDEX(KidACTs,MATCH(B201,KidIDs,0))</f>
        <v>0</v>
      </c>
      <c r="R201">
        <f>INDEX(Strats,MATCH(B201,KidIDs,0))</f>
        <v>0</v>
      </c>
      <c r="S201">
        <f>INDEX(KidRace,MATCH(B201,KidIDs,0))</f>
        <v>0</v>
      </c>
      <c r="T201">
        <f>IF(OR(S201="M",S201="I"),"H",S201)</f>
        <v>0</v>
      </c>
      <c r="U201">
        <f>INDEX(StudentTargets,MATCH(B201,KidIDs,0))</f>
        <v>0</v>
      </c>
      <c r="V201">
        <f>INDEX(ReachStudentTargets,MATCH(B201,KidIDs,0))</f>
        <v>0</v>
      </c>
      <c r="W201">
        <f>IF(OR(M201="Posse"),1,0)</f>
        <v>0</v>
      </c>
      <c r="X201">
        <f>IF(ISNUMBER(INDEX(AllCollegeGR, MATCH(N201,AllCollegeNCES,0))),ROUND(INDEX(AllCollegeGR, MATCH(N201,AllCollegeNCES,0))+W201*IF(INDEX(AllCollegeGR, MATCH(N201,AllCollegeNCES,0))&gt;0.7,(1-INDEX(AllCollegeGR, MATCH(N201,AllCollegeNCES,0)))/2,0.15),2),INDEX(AllCollegeGR, MATCH(N201,AllCollegeNCES,0)))</f>
        <v>0</v>
      </c>
      <c r="Y201">
        <f>IF(ISNUMBER(INDEX(AllCollegeAAHGR, MATCH(N201,AllCollegeNCES,0))),ROUND(INDEX(AllCollegeAAHGR, MATCH(N201,AllCollegeNCES,0))+W201*IF(INDEX(AllCollegeAAHGR, MATCH(N201,AllCollegeNCES,0))&gt;0.7,(1-INDEX(AllCollegeAAHGR, MATCH(N201,AllCollegeNCES,0)))/2,0.15),2),INDEX(AllCollegeAAHGR, MATCH(N201,AllCollegeNCES,0)))</f>
        <v>0</v>
      </c>
      <c r="Z201">
        <f>IF(OR(T201="H",T201="B"),INDEX(AllCollegeACT25, MATCH(N201,AllCollegeNCES,0)),INDEX(AllCollegeACT50, MATCH(N201,AllCollegeNCES,0)))</f>
        <v>0</v>
      </c>
      <c r="AA201">
        <f>INDEX(CustomWeightsGPA,MATCH(T201&amp;":"&amp;N201,CustomWeightsIndex,0))</f>
        <v>0</v>
      </c>
      <c r="AB201">
        <f>INDEX(CustomWeightsACT,MATCH(T201&amp;":"&amp;N201,CustomWeightsIndex,0))</f>
        <v>0</v>
      </c>
      <c r="AC201">
        <f>INDEX(CustomWeightsIntercept,MATCH(T201&amp;":"&amp;N201,CustomWeightsIndex,0))</f>
        <v>0</v>
      </c>
      <c r="AD201">
        <f>AA201*P201+AB201*Q201+AC201</f>
        <v>0</v>
      </c>
      <c r="AE201">
        <f>INDEX(CoefficientsGPA,MATCH(T201&amp;":"&amp;O201,CoefficientsIndex,0))</f>
        <v>0</v>
      </c>
      <c r="AF201">
        <f>INDEX(CoefficientsACT,MATCH(T201&amp;":"&amp;O201,CoefficientsIndex,0))</f>
        <v>0</v>
      </c>
      <c r="AG201">
        <f>INDEX(CoefficientsIntercept,MATCH(T201&amp;":"&amp;O201,CoefficientsIndex,0))</f>
        <v>0</v>
      </c>
      <c r="AH201">
        <f>AE201*P201+(Q201-Z201)*AF201+AG201</f>
        <v>0</v>
      </c>
      <c r="AI201">
        <f>IF(ISNUMBER(AD201),AD201,AH201)</f>
        <v>0</v>
      </c>
      <c r="AJ201">
        <f>IF(ISNUMBER(AI201),IF(ISNUMBER(AE201),IF(AND(AE201=1,AF201=1,AG201=1),100,ROUND(100*EXP(AI201)/(1+EXP(AI201)),2)),ROUND(100*EXP(AI201)/(1+EXP(AI201)),2)),IF(ISTEXT(O201),IF(LEFT(O201,1)="2",100,"N/A"),"N/A"))</f>
        <v>0</v>
      </c>
      <c r="AK201">
        <f>IF(ISNUMBER(AJ201),IF(AJ201&gt;=99,IF(OR(R201=10,R201=11),MatchLabel,SureThingLabel),IF(AJ201&gt;=95,SecureLabel,IF(AJ201&gt;=80,SafetyLabel,IF(AJ201&gt;=50,MatchLabel,IF(AJ201&gt;=20,ReachLabel,IF(AJ201&gt;=10,LongshotLabel,HailMaryLabel)))))),"Other")</f>
        <v>0</v>
      </c>
      <c r="AL201">
        <f>IF(OR(I201="accepted",I201="cond. accept",I201="summer admit"),IF(J201="yes","CHOICE!","Accepted!"),IF(I201="denied","Denied",IF(K201=1,"Waitlist",IF(L201=1,"Deferred",IF(G201="pending","Pending",IF(OR(G201="initial materials submitted",G201="mid-year submitted",G201="final submitted"),"Submitted",IF(H201="interest","Interest","?")))))))</f>
        <v>0</v>
      </c>
      <c r="AM201">
        <f>IF(OR(AK201=ReachLabel,AK201=LongshotLabel,AK201=HailMaryLabel),1,0)</f>
        <v>0</v>
      </c>
      <c r="AN201">
        <f>IF(OR(AM201=1,AK201=MatchLabel),1,0)</f>
        <v>0</v>
      </c>
      <c r="AO201">
        <f>IF(OR(AK201=MatchLabel,AK201=SafetyLabel,AK201=SecureLabel,AK201=SureThingLabel),1,0)</f>
        <v>0</v>
      </c>
      <c r="AP201">
        <f>IF(OR(T201="H",T201="B"),IF(ISNUMBER(Y201),ROUND(Y201,2),0),IF(ISNUMBER(X201),ROUND(X201,2),0))</f>
        <v>0</v>
      </c>
      <c r="AQ201">
        <f>IF(AP201&gt;=U201,1,0)</f>
        <v>0</v>
      </c>
      <c r="AR201">
        <f>IF(AP201&gt;=V201,1,0)</f>
        <v>0</v>
      </c>
      <c r="AS201">
        <f>IF(AP201&lt;(U201-0.10),1,0)</f>
        <v>0</v>
      </c>
      <c r="AT201">
        <f>1-AJ201/100</f>
        <v>0</v>
      </c>
      <c r="AU201">
        <f>IF(AN201=1,AT201,1)</f>
        <v>0</v>
      </c>
      <c r="AV201">
        <f>IF(AM201=1,AT201,1)</f>
        <v>0</v>
      </c>
      <c r="AW201">
        <f>IF(AND(AQ201=1,ISNUMBER(AT201)),$AT201,1)</f>
        <v>0</v>
      </c>
      <c r="AX201">
        <f>IF(AND(AR201=1,ISNUMBER(AT201)),$AT201,1)</f>
        <v>0</v>
      </c>
      <c r="AY201">
        <f>IF(ISNUMBER(Y201),INDEX(AllCollegeMoney, MATCH(N201,AllCollegeNCES,0)),0)</f>
        <v>0</v>
      </c>
      <c r="AZ201">
        <f>IF(AND(AQ201=1,ISNUMBER(AT201),AY201=1),$AT201,1)</f>
        <v>0</v>
      </c>
      <c r="BA201">
        <f>IF(AND(AR201=1,ISNUMBER(AT201),AY201=1),$AT201,1)</f>
        <v>0</v>
      </c>
      <c r="BB201">
        <f>IF(ISNUMBER(Y201),INDEX(AllCollegeILPub, MATCH(N201,AllCollegeNCES,0)),0)</f>
        <v>0</v>
      </c>
      <c r="BC201">
        <f>IF(AK201=ReachLabel,AP201,0)</f>
        <v>0</v>
      </c>
      <c r="BD201">
        <f>IF(AK201=MatchLabel,AP201,0)</f>
        <v>0</v>
      </c>
      <c r="BE201">
        <f>IF(AK201=SafetyLabel,AP201,0)</f>
        <v>0</v>
      </c>
      <c r="BF201">
        <f>IF(AK201=SecureLabel,AP201,0)</f>
        <v>0</v>
      </c>
      <c r="BG201">
        <f>IF(AK201=SureThingLabel,AP201,0)</f>
        <v>0</v>
      </c>
      <c r="BH201">
        <f>MAX(BC201:BG201)</f>
        <v>0</v>
      </c>
      <c r="BI201">
        <f>MAX(BD201:BG201)</f>
        <v>0</v>
      </c>
      <c r="BJ201">
        <f>MAX(BE201:BG201)</f>
        <v>0</v>
      </c>
      <c r="BK201">
        <f>IF(AND(AK201=ReachLabel,AY201=1),AP201,0)</f>
        <v>0</v>
      </c>
      <c r="BL201">
        <f>IF(AND(AK201=MatchLabel,AY201=1),AP201,0)</f>
        <v>0</v>
      </c>
      <c r="BM201">
        <f>IF(AND(AK201=SafetyLabel,AY201=1),AP201,0)</f>
        <v>0</v>
      </c>
      <c r="BN201">
        <f>IF(AND(AK201=SecureLabel,AY201=1),AP201,0)</f>
        <v>0</v>
      </c>
      <c r="BO201">
        <f>IF(AND(AK201=SureThingLabel,AY201=1),AP201,0)</f>
        <v>0</v>
      </c>
      <c r="BP201">
        <f>MAX(BK201:BO201)</f>
        <v>0</v>
      </c>
      <c r="BQ201">
        <f>MAX(BL201:BO201)</f>
        <v>0</v>
      </c>
      <c r="BR201">
        <f>MAX(BM201:BO201)</f>
        <v>0</v>
      </c>
      <c r="BS201">
        <f>IF(ISNUMBER(Y201),INDEX(AllCollegeChicago, MATCH(N201,AllCollegeNCES,0))*AY201,0)</f>
        <v>0</v>
      </c>
      <c r="BT201">
        <f>IF(ISNUMBER(Y201),INDEX(AllCollegeMoneyCode, MATCH(N201,AllCollegeNCES,0)),"?")</f>
        <v>0</v>
      </c>
      <c r="BU201">
        <f>IF(OR(BT201="---",BT201="--",BT201="+/--",BT201="+/---"),1,0)</f>
        <v>0</v>
      </c>
      <c r="BV201">
        <f>AY201*AO201*AQ201</f>
        <v>0</v>
      </c>
    </row>
    <row r="202" spans="1:74">
      <c r="A202" t="s">
        <v>86</v>
      </c>
      <c r="B202">
        <v>22942005</v>
      </c>
      <c r="C202" t="s">
        <v>150</v>
      </c>
      <c r="D202" t="s">
        <v>151</v>
      </c>
      <c r="E202" t="s">
        <v>428</v>
      </c>
      <c r="F202" t="s">
        <v>502</v>
      </c>
      <c r="G202" t="s">
        <v>430</v>
      </c>
      <c r="H202" t="s">
        <v>431</v>
      </c>
      <c r="I202" t="s">
        <v>432</v>
      </c>
      <c r="J202" t="s">
        <v>432</v>
      </c>
      <c r="K202">
        <v>0</v>
      </c>
      <c r="L202" t="s">
        <v>428</v>
      </c>
      <c r="M202" t="s">
        <v>428</v>
      </c>
      <c r="N202">
        <v>145813</v>
      </c>
      <c r="O202">
        <f>INDEX(AllCollegeBarrons,MATCH(N202,AllCollegeNCES,0))</f>
        <v>0</v>
      </c>
      <c r="P202">
        <f>INDEX(KidGPAs,MATCH(B202,KidIDs,0))</f>
        <v>0</v>
      </c>
      <c r="Q202">
        <f>INDEX(KidACTs,MATCH(B202,KidIDs,0))</f>
        <v>0</v>
      </c>
      <c r="R202">
        <f>INDEX(Strats,MATCH(B202,KidIDs,0))</f>
        <v>0</v>
      </c>
      <c r="S202">
        <f>INDEX(KidRace,MATCH(B202,KidIDs,0))</f>
        <v>0</v>
      </c>
      <c r="T202">
        <f>IF(OR(S202="M",S202="I"),"H",S202)</f>
        <v>0</v>
      </c>
      <c r="U202">
        <f>INDEX(StudentTargets,MATCH(B202,KidIDs,0))</f>
        <v>0</v>
      </c>
      <c r="V202">
        <f>INDEX(ReachStudentTargets,MATCH(B202,KidIDs,0))</f>
        <v>0</v>
      </c>
      <c r="W202">
        <f>IF(OR(M202="Posse"),1,0)</f>
        <v>0</v>
      </c>
      <c r="X202">
        <f>IF(ISNUMBER(INDEX(AllCollegeGR, MATCH(N202,AllCollegeNCES,0))),ROUND(INDEX(AllCollegeGR, MATCH(N202,AllCollegeNCES,0))+W202*IF(INDEX(AllCollegeGR, MATCH(N202,AllCollegeNCES,0))&gt;0.7,(1-INDEX(AllCollegeGR, MATCH(N202,AllCollegeNCES,0)))/2,0.15),2),INDEX(AllCollegeGR, MATCH(N202,AllCollegeNCES,0)))</f>
        <v>0</v>
      </c>
      <c r="Y202">
        <f>IF(ISNUMBER(INDEX(AllCollegeAAHGR, MATCH(N202,AllCollegeNCES,0))),ROUND(INDEX(AllCollegeAAHGR, MATCH(N202,AllCollegeNCES,0))+W202*IF(INDEX(AllCollegeAAHGR, MATCH(N202,AllCollegeNCES,0))&gt;0.7,(1-INDEX(AllCollegeAAHGR, MATCH(N202,AllCollegeNCES,0)))/2,0.15),2),INDEX(AllCollegeAAHGR, MATCH(N202,AllCollegeNCES,0)))</f>
        <v>0</v>
      </c>
      <c r="Z202">
        <f>IF(OR(T202="H",T202="B"),INDEX(AllCollegeACT25, MATCH(N202,AllCollegeNCES,0)),INDEX(AllCollegeACT50, MATCH(N202,AllCollegeNCES,0)))</f>
        <v>0</v>
      </c>
      <c r="AA202">
        <f>INDEX(CustomWeightsGPA,MATCH(T202&amp;":"&amp;N202,CustomWeightsIndex,0))</f>
        <v>0</v>
      </c>
      <c r="AB202">
        <f>INDEX(CustomWeightsACT,MATCH(T202&amp;":"&amp;N202,CustomWeightsIndex,0))</f>
        <v>0</v>
      </c>
      <c r="AC202">
        <f>INDEX(CustomWeightsIntercept,MATCH(T202&amp;":"&amp;N202,CustomWeightsIndex,0))</f>
        <v>0</v>
      </c>
      <c r="AD202">
        <f>AA202*P202+AB202*Q202+AC202</f>
        <v>0</v>
      </c>
      <c r="AE202">
        <f>INDEX(CoefficientsGPA,MATCH(T202&amp;":"&amp;O202,CoefficientsIndex,0))</f>
        <v>0</v>
      </c>
      <c r="AF202">
        <f>INDEX(CoefficientsACT,MATCH(T202&amp;":"&amp;O202,CoefficientsIndex,0))</f>
        <v>0</v>
      </c>
      <c r="AG202">
        <f>INDEX(CoefficientsIntercept,MATCH(T202&amp;":"&amp;O202,CoefficientsIndex,0))</f>
        <v>0</v>
      </c>
      <c r="AH202">
        <f>AE202*P202+(Q202-Z202)*AF202+AG202</f>
        <v>0</v>
      </c>
      <c r="AI202">
        <f>IF(ISNUMBER(AD202),AD202,AH202)</f>
        <v>0</v>
      </c>
      <c r="AJ202">
        <f>IF(ISNUMBER(AI202),IF(ISNUMBER(AE202),IF(AND(AE202=1,AF202=1,AG202=1),100,ROUND(100*EXP(AI202)/(1+EXP(AI202)),2)),ROUND(100*EXP(AI202)/(1+EXP(AI202)),2)),IF(ISTEXT(O202),IF(LEFT(O202,1)="2",100,"N/A"),"N/A"))</f>
        <v>0</v>
      </c>
      <c r="AK202">
        <f>IF(ISNUMBER(AJ202),IF(AJ202&gt;=99,IF(OR(R202=10,R202=11),MatchLabel,SureThingLabel),IF(AJ202&gt;=95,SecureLabel,IF(AJ202&gt;=80,SafetyLabel,IF(AJ202&gt;=50,MatchLabel,IF(AJ202&gt;=20,ReachLabel,IF(AJ202&gt;=10,LongshotLabel,HailMaryLabel)))))),"Other")</f>
        <v>0</v>
      </c>
      <c r="AL202">
        <f>IF(OR(I202="accepted",I202="cond. accept",I202="summer admit"),IF(J202="yes","CHOICE!","Accepted!"),IF(I202="denied","Denied",IF(K202=1,"Waitlist",IF(L202=1,"Deferred",IF(G202="pending","Pending",IF(OR(G202="initial materials submitted",G202="mid-year submitted",G202="final submitted"),"Submitted",IF(H202="interest","Interest","?")))))))</f>
        <v>0</v>
      </c>
      <c r="AM202">
        <f>IF(OR(AK202=ReachLabel,AK202=LongshotLabel,AK202=HailMaryLabel),1,0)</f>
        <v>0</v>
      </c>
      <c r="AN202">
        <f>IF(OR(AM202=1,AK202=MatchLabel),1,0)</f>
        <v>0</v>
      </c>
      <c r="AO202">
        <f>IF(OR(AK202=MatchLabel,AK202=SafetyLabel,AK202=SecureLabel,AK202=SureThingLabel),1,0)</f>
        <v>0</v>
      </c>
      <c r="AP202">
        <f>IF(OR(T202="H",T202="B"),IF(ISNUMBER(Y202),ROUND(Y202,2),0),IF(ISNUMBER(X202),ROUND(X202,2),0))</f>
        <v>0</v>
      </c>
      <c r="AQ202">
        <f>IF(AP202&gt;=U202,1,0)</f>
        <v>0</v>
      </c>
      <c r="AR202">
        <f>IF(AP202&gt;=V202,1,0)</f>
        <v>0</v>
      </c>
      <c r="AS202">
        <f>IF(AP202&lt;(U202-0.10),1,0)</f>
        <v>0</v>
      </c>
      <c r="AT202">
        <f>1-AJ202/100</f>
        <v>0</v>
      </c>
      <c r="AU202">
        <f>IF(AN202=1,AT202,1)</f>
        <v>0</v>
      </c>
      <c r="AV202">
        <f>IF(AM202=1,AT202,1)</f>
        <v>0</v>
      </c>
      <c r="AW202">
        <f>IF(AND(AQ202=1,ISNUMBER(AT202)),$AT202,1)</f>
        <v>0</v>
      </c>
      <c r="AX202">
        <f>IF(AND(AR202=1,ISNUMBER(AT202)),$AT202,1)</f>
        <v>0</v>
      </c>
      <c r="AY202">
        <f>IF(ISNUMBER(Y202),INDEX(AllCollegeMoney, MATCH(N202,AllCollegeNCES,0)),0)</f>
        <v>0</v>
      </c>
      <c r="AZ202">
        <f>IF(AND(AQ202=1,ISNUMBER(AT202),AY202=1),$AT202,1)</f>
        <v>0</v>
      </c>
      <c r="BA202">
        <f>IF(AND(AR202=1,ISNUMBER(AT202),AY202=1),$AT202,1)</f>
        <v>0</v>
      </c>
      <c r="BB202">
        <f>IF(ISNUMBER(Y202),INDEX(AllCollegeILPub, MATCH(N202,AllCollegeNCES,0)),0)</f>
        <v>0</v>
      </c>
      <c r="BC202">
        <f>IF(AK202=ReachLabel,AP202,0)</f>
        <v>0</v>
      </c>
      <c r="BD202">
        <f>IF(AK202=MatchLabel,AP202,0)</f>
        <v>0</v>
      </c>
      <c r="BE202">
        <f>IF(AK202=SafetyLabel,AP202,0)</f>
        <v>0</v>
      </c>
      <c r="BF202">
        <f>IF(AK202=SecureLabel,AP202,0)</f>
        <v>0</v>
      </c>
      <c r="BG202">
        <f>IF(AK202=SureThingLabel,AP202,0)</f>
        <v>0</v>
      </c>
      <c r="BH202">
        <f>MAX(BC202:BG202)</f>
        <v>0</v>
      </c>
      <c r="BI202">
        <f>MAX(BD202:BG202)</f>
        <v>0</v>
      </c>
      <c r="BJ202">
        <f>MAX(BE202:BG202)</f>
        <v>0</v>
      </c>
      <c r="BK202">
        <f>IF(AND(AK202=ReachLabel,AY202=1),AP202,0)</f>
        <v>0</v>
      </c>
      <c r="BL202">
        <f>IF(AND(AK202=MatchLabel,AY202=1),AP202,0)</f>
        <v>0</v>
      </c>
      <c r="BM202">
        <f>IF(AND(AK202=SafetyLabel,AY202=1),AP202,0)</f>
        <v>0</v>
      </c>
      <c r="BN202">
        <f>IF(AND(AK202=SecureLabel,AY202=1),AP202,0)</f>
        <v>0</v>
      </c>
      <c r="BO202">
        <f>IF(AND(AK202=SureThingLabel,AY202=1),AP202,0)</f>
        <v>0</v>
      </c>
      <c r="BP202">
        <f>MAX(BK202:BO202)</f>
        <v>0</v>
      </c>
      <c r="BQ202">
        <f>MAX(BL202:BO202)</f>
        <v>0</v>
      </c>
      <c r="BR202">
        <f>MAX(BM202:BO202)</f>
        <v>0</v>
      </c>
      <c r="BS202">
        <f>IF(ISNUMBER(Y202),INDEX(AllCollegeChicago, MATCH(N202,AllCollegeNCES,0))*AY202,0)</f>
        <v>0</v>
      </c>
      <c r="BT202">
        <f>IF(ISNUMBER(Y202),INDEX(AllCollegeMoneyCode, MATCH(N202,AllCollegeNCES,0)),"?")</f>
        <v>0</v>
      </c>
      <c r="BU202">
        <f>IF(OR(BT202="---",BT202="--",BT202="+/--",BT202="+/---"),1,0)</f>
        <v>0</v>
      </c>
      <c r="BV202">
        <f>AY202*AO202*AQ202</f>
        <v>0</v>
      </c>
    </row>
    <row r="203" spans="1:74">
      <c r="A203" t="s">
        <v>86</v>
      </c>
      <c r="B203">
        <v>22942005</v>
      </c>
      <c r="C203" t="s">
        <v>150</v>
      </c>
      <c r="D203" t="s">
        <v>151</v>
      </c>
      <c r="E203" t="s">
        <v>428</v>
      </c>
      <c r="F203" t="s">
        <v>447</v>
      </c>
      <c r="G203" t="s">
        <v>430</v>
      </c>
      <c r="H203" t="s">
        <v>431</v>
      </c>
      <c r="I203" t="s">
        <v>432</v>
      </c>
      <c r="J203" t="s">
        <v>432</v>
      </c>
      <c r="K203">
        <v>0</v>
      </c>
      <c r="L203" t="s">
        <v>428</v>
      </c>
      <c r="M203" t="s">
        <v>428</v>
      </c>
      <c r="N203">
        <v>145600</v>
      </c>
      <c r="O203">
        <f>INDEX(AllCollegeBarrons,MATCH(N203,AllCollegeNCES,0))</f>
        <v>0</v>
      </c>
      <c r="P203">
        <f>INDEX(KidGPAs,MATCH(B203,KidIDs,0))</f>
        <v>0</v>
      </c>
      <c r="Q203">
        <f>INDEX(KidACTs,MATCH(B203,KidIDs,0))</f>
        <v>0</v>
      </c>
      <c r="R203">
        <f>INDEX(Strats,MATCH(B203,KidIDs,0))</f>
        <v>0</v>
      </c>
      <c r="S203">
        <f>INDEX(KidRace,MATCH(B203,KidIDs,0))</f>
        <v>0</v>
      </c>
      <c r="T203">
        <f>IF(OR(S203="M",S203="I"),"H",S203)</f>
        <v>0</v>
      </c>
      <c r="U203">
        <f>INDEX(StudentTargets,MATCH(B203,KidIDs,0))</f>
        <v>0</v>
      </c>
      <c r="V203">
        <f>INDEX(ReachStudentTargets,MATCH(B203,KidIDs,0))</f>
        <v>0</v>
      </c>
      <c r="W203">
        <f>IF(OR(M203="Posse"),1,0)</f>
        <v>0</v>
      </c>
      <c r="X203">
        <f>IF(ISNUMBER(INDEX(AllCollegeGR, MATCH(N203,AllCollegeNCES,0))),ROUND(INDEX(AllCollegeGR, MATCH(N203,AllCollegeNCES,0))+W203*IF(INDEX(AllCollegeGR, MATCH(N203,AllCollegeNCES,0))&gt;0.7,(1-INDEX(AllCollegeGR, MATCH(N203,AllCollegeNCES,0)))/2,0.15),2),INDEX(AllCollegeGR, MATCH(N203,AllCollegeNCES,0)))</f>
        <v>0</v>
      </c>
      <c r="Y203">
        <f>IF(ISNUMBER(INDEX(AllCollegeAAHGR, MATCH(N203,AllCollegeNCES,0))),ROUND(INDEX(AllCollegeAAHGR, MATCH(N203,AllCollegeNCES,0))+W203*IF(INDEX(AllCollegeAAHGR, MATCH(N203,AllCollegeNCES,0))&gt;0.7,(1-INDEX(AllCollegeAAHGR, MATCH(N203,AllCollegeNCES,0)))/2,0.15),2),INDEX(AllCollegeAAHGR, MATCH(N203,AllCollegeNCES,0)))</f>
        <v>0</v>
      </c>
      <c r="Z203">
        <f>IF(OR(T203="H",T203="B"),INDEX(AllCollegeACT25, MATCH(N203,AllCollegeNCES,0)),INDEX(AllCollegeACT50, MATCH(N203,AllCollegeNCES,0)))</f>
        <v>0</v>
      </c>
      <c r="AA203">
        <f>INDEX(CustomWeightsGPA,MATCH(T203&amp;":"&amp;N203,CustomWeightsIndex,0))</f>
        <v>0</v>
      </c>
      <c r="AB203">
        <f>INDEX(CustomWeightsACT,MATCH(T203&amp;":"&amp;N203,CustomWeightsIndex,0))</f>
        <v>0</v>
      </c>
      <c r="AC203">
        <f>INDEX(CustomWeightsIntercept,MATCH(T203&amp;":"&amp;N203,CustomWeightsIndex,0))</f>
        <v>0</v>
      </c>
      <c r="AD203">
        <f>AA203*P203+AB203*Q203+AC203</f>
        <v>0</v>
      </c>
      <c r="AE203">
        <f>INDEX(CoefficientsGPA,MATCH(T203&amp;":"&amp;O203,CoefficientsIndex,0))</f>
        <v>0</v>
      </c>
      <c r="AF203">
        <f>INDEX(CoefficientsACT,MATCH(T203&amp;":"&amp;O203,CoefficientsIndex,0))</f>
        <v>0</v>
      </c>
      <c r="AG203">
        <f>INDEX(CoefficientsIntercept,MATCH(T203&amp;":"&amp;O203,CoefficientsIndex,0))</f>
        <v>0</v>
      </c>
      <c r="AH203">
        <f>AE203*P203+(Q203-Z203)*AF203+AG203</f>
        <v>0</v>
      </c>
      <c r="AI203">
        <f>IF(ISNUMBER(AD203),AD203,AH203)</f>
        <v>0</v>
      </c>
      <c r="AJ203">
        <f>IF(ISNUMBER(AI203),IF(ISNUMBER(AE203),IF(AND(AE203=1,AF203=1,AG203=1),100,ROUND(100*EXP(AI203)/(1+EXP(AI203)),2)),ROUND(100*EXP(AI203)/(1+EXP(AI203)),2)),IF(ISTEXT(O203),IF(LEFT(O203,1)="2",100,"N/A"),"N/A"))</f>
        <v>0</v>
      </c>
      <c r="AK203">
        <f>IF(ISNUMBER(AJ203),IF(AJ203&gt;=99,IF(OR(R203=10,R203=11),MatchLabel,SureThingLabel),IF(AJ203&gt;=95,SecureLabel,IF(AJ203&gt;=80,SafetyLabel,IF(AJ203&gt;=50,MatchLabel,IF(AJ203&gt;=20,ReachLabel,IF(AJ203&gt;=10,LongshotLabel,HailMaryLabel)))))),"Other")</f>
        <v>0</v>
      </c>
      <c r="AL203">
        <f>IF(OR(I203="accepted",I203="cond. accept",I203="summer admit"),IF(J203="yes","CHOICE!","Accepted!"),IF(I203="denied","Denied",IF(K203=1,"Waitlist",IF(L203=1,"Deferred",IF(G203="pending","Pending",IF(OR(G203="initial materials submitted",G203="mid-year submitted",G203="final submitted"),"Submitted",IF(H203="interest","Interest","?")))))))</f>
        <v>0</v>
      </c>
      <c r="AM203">
        <f>IF(OR(AK203=ReachLabel,AK203=LongshotLabel,AK203=HailMaryLabel),1,0)</f>
        <v>0</v>
      </c>
      <c r="AN203">
        <f>IF(OR(AM203=1,AK203=MatchLabel),1,0)</f>
        <v>0</v>
      </c>
      <c r="AO203">
        <f>IF(OR(AK203=MatchLabel,AK203=SafetyLabel,AK203=SecureLabel,AK203=SureThingLabel),1,0)</f>
        <v>0</v>
      </c>
      <c r="AP203">
        <f>IF(OR(T203="H",T203="B"),IF(ISNUMBER(Y203),ROUND(Y203,2),0),IF(ISNUMBER(X203),ROUND(X203,2),0))</f>
        <v>0</v>
      </c>
      <c r="AQ203">
        <f>IF(AP203&gt;=U203,1,0)</f>
        <v>0</v>
      </c>
      <c r="AR203">
        <f>IF(AP203&gt;=V203,1,0)</f>
        <v>0</v>
      </c>
      <c r="AS203">
        <f>IF(AP203&lt;(U203-0.10),1,0)</f>
        <v>0</v>
      </c>
      <c r="AT203">
        <f>1-AJ203/100</f>
        <v>0</v>
      </c>
      <c r="AU203">
        <f>IF(AN203=1,AT203,1)</f>
        <v>0</v>
      </c>
      <c r="AV203">
        <f>IF(AM203=1,AT203,1)</f>
        <v>0</v>
      </c>
      <c r="AW203">
        <f>IF(AND(AQ203=1,ISNUMBER(AT203)),$AT203,1)</f>
        <v>0</v>
      </c>
      <c r="AX203">
        <f>IF(AND(AR203=1,ISNUMBER(AT203)),$AT203,1)</f>
        <v>0</v>
      </c>
      <c r="AY203">
        <f>IF(ISNUMBER(Y203),INDEX(AllCollegeMoney, MATCH(N203,AllCollegeNCES,0)),0)</f>
        <v>0</v>
      </c>
      <c r="AZ203">
        <f>IF(AND(AQ203=1,ISNUMBER(AT203),AY203=1),$AT203,1)</f>
        <v>0</v>
      </c>
      <c r="BA203">
        <f>IF(AND(AR203=1,ISNUMBER(AT203),AY203=1),$AT203,1)</f>
        <v>0</v>
      </c>
      <c r="BB203">
        <f>IF(ISNUMBER(Y203),INDEX(AllCollegeILPub, MATCH(N203,AllCollegeNCES,0)),0)</f>
        <v>0</v>
      </c>
      <c r="BC203">
        <f>IF(AK203=ReachLabel,AP203,0)</f>
        <v>0</v>
      </c>
      <c r="BD203">
        <f>IF(AK203=MatchLabel,AP203,0)</f>
        <v>0</v>
      </c>
      <c r="BE203">
        <f>IF(AK203=SafetyLabel,AP203,0)</f>
        <v>0</v>
      </c>
      <c r="BF203">
        <f>IF(AK203=SecureLabel,AP203,0)</f>
        <v>0</v>
      </c>
      <c r="BG203">
        <f>IF(AK203=SureThingLabel,AP203,0)</f>
        <v>0</v>
      </c>
      <c r="BH203">
        <f>MAX(BC203:BG203)</f>
        <v>0</v>
      </c>
      <c r="BI203">
        <f>MAX(BD203:BG203)</f>
        <v>0</v>
      </c>
      <c r="BJ203">
        <f>MAX(BE203:BG203)</f>
        <v>0</v>
      </c>
      <c r="BK203">
        <f>IF(AND(AK203=ReachLabel,AY203=1),AP203,0)</f>
        <v>0</v>
      </c>
      <c r="BL203">
        <f>IF(AND(AK203=MatchLabel,AY203=1),AP203,0)</f>
        <v>0</v>
      </c>
      <c r="BM203">
        <f>IF(AND(AK203=SafetyLabel,AY203=1),AP203,0)</f>
        <v>0</v>
      </c>
      <c r="BN203">
        <f>IF(AND(AK203=SecureLabel,AY203=1),AP203,0)</f>
        <v>0</v>
      </c>
      <c r="BO203">
        <f>IF(AND(AK203=SureThingLabel,AY203=1),AP203,0)</f>
        <v>0</v>
      </c>
      <c r="BP203">
        <f>MAX(BK203:BO203)</f>
        <v>0</v>
      </c>
      <c r="BQ203">
        <f>MAX(BL203:BO203)</f>
        <v>0</v>
      </c>
      <c r="BR203">
        <f>MAX(BM203:BO203)</f>
        <v>0</v>
      </c>
      <c r="BS203">
        <f>IF(ISNUMBER(Y203),INDEX(AllCollegeChicago, MATCH(N203,AllCollegeNCES,0))*AY203,0)</f>
        <v>0</v>
      </c>
      <c r="BT203">
        <f>IF(ISNUMBER(Y203),INDEX(AllCollegeMoneyCode, MATCH(N203,AllCollegeNCES,0)),"?")</f>
        <v>0</v>
      </c>
      <c r="BU203">
        <f>IF(OR(BT203="---",BT203="--",BT203="+/--",BT203="+/---"),1,0)</f>
        <v>0</v>
      </c>
      <c r="BV203">
        <f>AY203*AO203*AQ203</f>
        <v>0</v>
      </c>
    </row>
    <row r="204" spans="1:74">
      <c r="A204" t="s">
        <v>86</v>
      </c>
      <c r="B204">
        <v>22942005</v>
      </c>
      <c r="C204" t="s">
        <v>150</v>
      </c>
      <c r="D204" t="s">
        <v>151</v>
      </c>
      <c r="E204" t="s">
        <v>428</v>
      </c>
      <c r="F204" t="s">
        <v>435</v>
      </c>
      <c r="G204" t="s">
        <v>430</v>
      </c>
      <c r="H204" t="s">
        <v>431</v>
      </c>
      <c r="I204" t="s">
        <v>432</v>
      </c>
      <c r="J204" t="s">
        <v>432</v>
      </c>
      <c r="K204">
        <v>0</v>
      </c>
      <c r="L204" t="s">
        <v>428</v>
      </c>
      <c r="M204" t="s">
        <v>428</v>
      </c>
      <c r="N204">
        <v>144892</v>
      </c>
      <c r="O204">
        <f>INDEX(AllCollegeBarrons,MATCH(N204,AllCollegeNCES,0))</f>
        <v>0</v>
      </c>
      <c r="P204">
        <f>INDEX(KidGPAs,MATCH(B204,KidIDs,0))</f>
        <v>0</v>
      </c>
      <c r="Q204">
        <f>INDEX(KidACTs,MATCH(B204,KidIDs,0))</f>
        <v>0</v>
      </c>
      <c r="R204">
        <f>INDEX(Strats,MATCH(B204,KidIDs,0))</f>
        <v>0</v>
      </c>
      <c r="S204">
        <f>INDEX(KidRace,MATCH(B204,KidIDs,0))</f>
        <v>0</v>
      </c>
      <c r="T204">
        <f>IF(OR(S204="M",S204="I"),"H",S204)</f>
        <v>0</v>
      </c>
      <c r="U204">
        <f>INDEX(StudentTargets,MATCH(B204,KidIDs,0))</f>
        <v>0</v>
      </c>
      <c r="V204">
        <f>INDEX(ReachStudentTargets,MATCH(B204,KidIDs,0))</f>
        <v>0</v>
      </c>
      <c r="W204">
        <f>IF(OR(M204="Posse"),1,0)</f>
        <v>0</v>
      </c>
      <c r="X204">
        <f>IF(ISNUMBER(INDEX(AllCollegeGR, MATCH(N204,AllCollegeNCES,0))),ROUND(INDEX(AllCollegeGR, MATCH(N204,AllCollegeNCES,0))+W204*IF(INDEX(AllCollegeGR, MATCH(N204,AllCollegeNCES,0))&gt;0.7,(1-INDEX(AllCollegeGR, MATCH(N204,AllCollegeNCES,0)))/2,0.15),2),INDEX(AllCollegeGR, MATCH(N204,AllCollegeNCES,0)))</f>
        <v>0</v>
      </c>
      <c r="Y204">
        <f>IF(ISNUMBER(INDEX(AllCollegeAAHGR, MATCH(N204,AllCollegeNCES,0))),ROUND(INDEX(AllCollegeAAHGR, MATCH(N204,AllCollegeNCES,0))+W204*IF(INDEX(AllCollegeAAHGR, MATCH(N204,AllCollegeNCES,0))&gt;0.7,(1-INDEX(AllCollegeAAHGR, MATCH(N204,AllCollegeNCES,0)))/2,0.15),2),INDEX(AllCollegeAAHGR, MATCH(N204,AllCollegeNCES,0)))</f>
        <v>0</v>
      </c>
      <c r="Z204">
        <f>IF(OR(T204="H",T204="B"),INDEX(AllCollegeACT25, MATCH(N204,AllCollegeNCES,0)),INDEX(AllCollegeACT50, MATCH(N204,AllCollegeNCES,0)))</f>
        <v>0</v>
      </c>
      <c r="AA204">
        <f>INDEX(CustomWeightsGPA,MATCH(T204&amp;":"&amp;N204,CustomWeightsIndex,0))</f>
        <v>0</v>
      </c>
      <c r="AB204">
        <f>INDEX(CustomWeightsACT,MATCH(T204&amp;":"&amp;N204,CustomWeightsIndex,0))</f>
        <v>0</v>
      </c>
      <c r="AC204">
        <f>INDEX(CustomWeightsIntercept,MATCH(T204&amp;":"&amp;N204,CustomWeightsIndex,0))</f>
        <v>0</v>
      </c>
      <c r="AD204">
        <f>AA204*P204+AB204*Q204+AC204</f>
        <v>0</v>
      </c>
      <c r="AE204">
        <f>INDEX(CoefficientsGPA,MATCH(T204&amp;":"&amp;O204,CoefficientsIndex,0))</f>
        <v>0</v>
      </c>
      <c r="AF204">
        <f>INDEX(CoefficientsACT,MATCH(T204&amp;":"&amp;O204,CoefficientsIndex,0))</f>
        <v>0</v>
      </c>
      <c r="AG204">
        <f>INDEX(CoefficientsIntercept,MATCH(T204&amp;":"&amp;O204,CoefficientsIndex,0))</f>
        <v>0</v>
      </c>
      <c r="AH204">
        <f>AE204*P204+(Q204-Z204)*AF204+AG204</f>
        <v>0</v>
      </c>
      <c r="AI204">
        <f>IF(ISNUMBER(AD204),AD204,AH204)</f>
        <v>0</v>
      </c>
      <c r="AJ204">
        <f>IF(ISNUMBER(AI204),IF(ISNUMBER(AE204),IF(AND(AE204=1,AF204=1,AG204=1),100,ROUND(100*EXP(AI204)/(1+EXP(AI204)),2)),ROUND(100*EXP(AI204)/(1+EXP(AI204)),2)),IF(ISTEXT(O204),IF(LEFT(O204,1)="2",100,"N/A"),"N/A"))</f>
        <v>0</v>
      </c>
      <c r="AK204">
        <f>IF(ISNUMBER(AJ204),IF(AJ204&gt;=99,IF(OR(R204=10,R204=11),MatchLabel,SureThingLabel),IF(AJ204&gt;=95,SecureLabel,IF(AJ204&gt;=80,SafetyLabel,IF(AJ204&gt;=50,MatchLabel,IF(AJ204&gt;=20,ReachLabel,IF(AJ204&gt;=10,LongshotLabel,HailMaryLabel)))))),"Other")</f>
        <v>0</v>
      </c>
      <c r="AL204">
        <f>IF(OR(I204="accepted",I204="cond. accept",I204="summer admit"),IF(J204="yes","CHOICE!","Accepted!"),IF(I204="denied","Denied",IF(K204=1,"Waitlist",IF(L204=1,"Deferred",IF(G204="pending","Pending",IF(OR(G204="initial materials submitted",G204="mid-year submitted",G204="final submitted"),"Submitted",IF(H204="interest","Interest","?")))))))</f>
        <v>0</v>
      </c>
      <c r="AM204">
        <f>IF(OR(AK204=ReachLabel,AK204=LongshotLabel,AK204=HailMaryLabel),1,0)</f>
        <v>0</v>
      </c>
      <c r="AN204">
        <f>IF(OR(AM204=1,AK204=MatchLabel),1,0)</f>
        <v>0</v>
      </c>
      <c r="AO204">
        <f>IF(OR(AK204=MatchLabel,AK204=SafetyLabel,AK204=SecureLabel,AK204=SureThingLabel),1,0)</f>
        <v>0</v>
      </c>
      <c r="AP204">
        <f>IF(OR(T204="H",T204="B"),IF(ISNUMBER(Y204),ROUND(Y204,2),0),IF(ISNUMBER(X204),ROUND(X204,2),0))</f>
        <v>0</v>
      </c>
      <c r="AQ204">
        <f>IF(AP204&gt;=U204,1,0)</f>
        <v>0</v>
      </c>
      <c r="AR204">
        <f>IF(AP204&gt;=V204,1,0)</f>
        <v>0</v>
      </c>
      <c r="AS204">
        <f>IF(AP204&lt;(U204-0.10),1,0)</f>
        <v>0</v>
      </c>
      <c r="AT204">
        <f>1-AJ204/100</f>
        <v>0</v>
      </c>
      <c r="AU204">
        <f>IF(AN204=1,AT204,1)</f>
        <v>0</v>
      </c>
      <c r="AV204">
        <f>IF(AM204=1,AT204,1)</f>
        <v>0</v>
      </c>
      <c r="AW204">
        <f>IF(AND(AQ204=1,ISNUMBER(AT204)),$AT204,1)</f>
        <v>0</v>
      </c>
      <c r="AX204">
        <f>IF(AND(AR204=1,ISNUMBER(AT204)),$AT204,1)</f>
        <v>0</v>
      </c>
      <c r="AY204">
        <f>IF(ISNUMBER(Y204),INDEX(AllCollegeMoney, MATCH(N204,AllCollegeNCES,0)),0)</f>
        <v>0</v>
      </c>
      <c r="AZ204">
        <f>IF(AND(AQ204=1,ISNUMBER(AT204),AY204=1),$AT204,1)</f>
        <v>0</v>
      </c>
      <c r="BA204">
        <f>IF(AND(AR204=1,ISNUMBER(AT204),AY204=1),$AT204,1)</f>
        <v>0</v>
      </c>
      <c r="BB204">
        <f>IF(ISNUMBER(Y204),INDEX(AllCollegeILPub, MATCH(N204,AllCollegeNCES,0)),0)</f>
        <v>0</v>
      </c>
      <c r="BC204">
        <f>IF(AK204=ReachLabel,AP204,0)</f>
        <v>0</v>
      </c>
      <c r="BD204">
        <f>IF(AK204=MatchLabel,AP204,0)</f>
        <v>0</v>
      </c>
      <c r="BE204">
        <f>IF(AK204=SafetyLabel,AP204,0)</f>
        <v>0</v>
      </c>
      <c r="BF204">
        <f>IF(AK204=SecureLabel,AP204,0)</f>
        <v>0</v>
      </c>
      <c r="BG204">
        <f>IF(AK204=SureThingLabel,AP204,0)</f>
        <v>0</v>
      </c>
      <c r="BH204">
        <f>MAX(BC204:BG204)</f>
        <v>0</v>
      </c>
      <c r="BI204">
        <f>MAX(BD204:BG204)</f>
        <v>0</v>
      </c>
      <c r="BJ204">
        <f>MAX(BE204:BG204)</f>
        <v>0</v>
      </c>
      <c r="BK204">
        <f>IF(AND(AK204=ReachLabel,AY204=1),AP204,0)</f>
        <v>0</v>
      </c>
      <c r="BL204">
        <f>IF(AND(AK204=MatchLabel,AY204=1),AP204,0)</f>
        <v>0</v>
      </c>
      <c r="BM204">
        <f>IF(AND(AK204=SafetyLabel,AY204=1),AP204,0)</f>
        <v>0</v>
      </c>
      <c r="BN204">
        <f>IF(AND(AK204=SecureLabel,AY204=1),AP204,0)</f>
        <v>0</v>
      </c>
      <c r="BO204">
        <f>IF(AND(AK204=SureThingLabel,AY204=1),AP204,0)</f>
        <v>0</v>
      </c>
      <c r="BP204">
        <f>MAX(BK204:BO204)</f>
        <v>0</v>
      </c>
      <c r="BQ204">
        <f>MAX(BL204:BO204)</f>
        <v>0</v>
      </c>
      <c r="BR204">
        <f>MAX(BM204:BO204)</f>
        <v>0</v>
      </c>
      <c r="BS204">
        <f>IF(ISNUMBER(Y204),INDEX(AllCollegeChicago, MATCH(N204,AllCollegeNCES,0))*AY204,0)</f>
        <v>0</v>
      </c>
      <c r="BT204">
        <f>IF(ISNUMBER(Y204),INDEX(AllCollegeMoneyCode, MATCH(N204,AllCollegeNCES,0)),"?")</f>
        <v>0</v>
      </c>
      <c r="BU204">
        <f>IF(OR(BT204="---",BT204="--",BT204="+/--",BT204="+/---"),1,0)</f>
        <v>0</v>
      </c>
      <c r="BV204">
        <f>AY204*AO204*AQ204</f>
        <v>0</v>
      </c>
    </row>
    <row r="205" spans="1:74">
      <c r="A205" t="s">
        <v>86</v>
      </c>
      <c r="B205">
        <v>22942005</v>
      </c>
      <c r="C205" t="s">
        <v>150</v>
      </c>
      <c r="D205" t="s">
        <v>151</v>
      </c>
      <c r="E205" t="s">
        <v>428</v>
      </c>
      <c r="F205" t="s">
        <v>437</v>
      </c>
      <c r="G205" t="s">
        <v>430</v>
      </c>
      <c r="H205" t="s">
        <v>431</v>
      </c>
      <c r="I205" t="s">
        <v>432</v>
      </c>
      <c r="J205" t="s">
        <v>432</v>
      </c>
      <c r="K205">
        <v>0</v>
      </c>
      <c r="L205" t="s">
        <v>428</v>
      </c>
      <c r="M205" t="s">
        <v>428</v>
      </c>
      <c r="N205">
        <v>149772</v>
      </c>
      <c r="O205">
        <f>INDEX(AllCollegeBarrons,MATCH(N205,AllCollegeNCES,0))</f>
        <v>0</v>
      </c>
      <c r="P205">
        <f>INDEX(KidGPAs,MATCH(B205,KidIDs,0))</f>
        <v>0</v>
      </c>
      <c r="Q205">
        <f>INDEX(KidACTs,MATCH(B205,KidIDs,0))</f>
        <v>0</v>
      </c>
      <c r="R205">
        <f>INDEX(Strats,MATCH(B205,KidIDs,0))</f>
        <v>0</v>
      </c>
      <c r="S205">
        <f>INDEX(KidRace,MATCH(B205,KidIDs,0))</f>
        <v>0</v>
      </c>
      <c r="T205">
        <f>IF(OR(S205="M",S205="I"),"H",S205)</f>
        <v>0</v>
      </c>
      <c r="U205">
        <f>INDEX(StudentTargets,MATCH(B205,KidIDs,0))</f>
        <v>0</v>
      </c>
      <c r="V205">
        <f>INDEX(ReachStudentTargets,MATCH(B205,KidIDs,0))</f>
        <v>0</v>
      </c>
      <c r="W205">
        <f>IF(OR(M205="Posse"),1,0)</f>
        <v>0</v>
      </c>
      <c r="X205">
        <f>IF(ISNUMBER(INDEX(AllCollegeGR, MATCH(N205,AllCollegeNCES,0))),ROUND(INDEX(AllCollegeGR, MATCH(N205,AllCollegeNCES,0))+W205*IF(INDEX(AllCollegeGR, MATCH(N205,AllCollegeNCES,0))&gt;0.7,(1-INDEX(AllCollegeGR, MATCH(N205,AllCollegeNCES,0)))/2,0.15),2),INDEX(AllCollegeGR, MATCH(N205,AllCollegeNCES,0)))</f>
        <v>0</v>
      </c>
      <c r="Y205">
        <f>IF(ISNUMBER(INDEX(AllCollegeAAHGR, MATCH(N205,AllCollegeNCES,0))),ROUND(INDEX(AllCollegeAAHGR, MATCH(N205,AllCollegeNCES,0))+W205*IF(INDEX(AllCollegeAAHGR, MATCH(N205,AllCollegeNCES,0))&gt;0.7,(1-INDEX(AllCollegeAAHGR, MATCH(N205,AllCollegeNCES,0)))/2,0.15),2),INDEX(AllCollegeAAHGR, MATCH(N205,AllCollegeNCES,0)))</f>
        <v>0</v>
      </c>
      <c r="Z205">
        <f>IF(OR(T205="H",T205="B"),INDEX(AllCollegeACT25, MATCH(N205,AllCollegeNCES,0)),INDEX(AllCollegeACT50, MATCH(N205,AllCollegeNCES,0)))</f>
        <v>0</v>
      </c>
      <c r="AA205">
        <f>INDEX(CustomWeightsGPA,MATCH(T205&amp;":"&amp;N205,CustomWeightsIndex,0))</f>
        <v>0</v>
      </c>
      <c r="AB205">
        <f>INDEX(CustomWeightsACT,MATCH(T205&amp;":"&amp;N205,CustomWeightsIndex,0))</f>
        <v>0</v>
      </c>
      <c r="AC205">
        <f>INDEX(CustomWeightsIntercept,MATCH(T205&amp;":"&amp;N205,CustomWeightsIndex,0))</f>
        <v>0</v>
      </c>
      <c r="AD205">
        <f>AA205*P205+AB205*Q205+AC205</f>
        <v>0</v>
      </c>
      <c r="AE205">
        <f>INDEX(CoefficientsGPA,MATCH(T205&amp;":"&amp;O205,CoefficientsIndex,0))</f>
        <v>0</v>
      </c>
      <c r="AF205">
        <f>INDEX(CoefficientsACT,MATCH(T205&amp;":"&amp;O205,CoefficientsIndex,0))</f>
        <v>0</v>
      </c>
      <c r="AG205">
        <f>INDEX(CoefficientsIntercept,MATCH(T205&amp;":"&amp;O205,CoefficientsIndex,0))</f>
        <v>0</v>
      </c>
      <c r="AH205">
        <f>AE205*P205+(Q205-Z205)*AF205+AG205</f>
        <v>0</v>
      </c>
      <c r="AI205">
        <f>IF(ISNUMBER(AD205),AD205,AH205)</f>
        <v>0</v>
      </c>
      <c r="AJ205">
        <f>IF(ISNUMBER(AI205),IF(ISNUMBER(AE205),IF(AND(AE205=1,AF205=1,AG205=1),100,ROUND(100*EXP(AI205)/(1+EXP(AI205)),2)),ROUND(100*EXP(AI205)/(1+EXP(AI205)),2)),IF(ISTEXT(O205),IF(LEFT(O205,1)="2",100,"N/A"),"N/A"))</f>
        <v>0</v>
      </c>
      <c r="AK205">
        <f>IF(ISNUMBER(AJ205),IF(AJ205&gt;=99,IF(OR(R205=10,R205=11),MatchLabel,SureThingLabel),IF(AJ205&gt;=95,SecureLabel,IF(AJ205&gt;=80,SafetyLabel,IF(AJ205&gt;=50,MatchLabel,IF(AJ205&gt;=20,ReachLabel,IF(AJ205&gt;=10,LongshotLabel,HailMaryLabel)))))),"Other")</f>
        <v>0</v>
      </c>
      <c r="AL205">
        <f>IF(OR(I205="accepted",I205="cond. accept",I205="summer admit"),IF(J205="yes","CHOICE!","Accepted!"),IF(I205="denied","Denied",IF(K205=1,"Waitlist",IF(L205=1,"Deferred",IF(G205="pending","Pending",IF(OR(G205="initial materials submitted",G205="mid-year submitted",G205="final submitted"),"Submitted",IF(H205="interest","Interest","?")))))))</f>
        <v>0</v>
      </c>
      <c r="AM205">
        <f>IF(OR(AK205=ReachLabel,AK205=LongshotLabel,AK205=HailMaryLabel),1,0)</f>
        <v>0</v>
      </c>
      <c r="AN205">
        <f>IF(OR(AM205=1,AK205=MatchLabel),1,0)</f>
        <v>0</v>
      </c>
      <c r="AO205">
        <f>IF(OR(AK205=MatchLabel,AK205=SafetyLabel,AK205=SecureLabel,AK205=SureThingLabel),1,0)</f>
        <v>0</v>
      </c>
      <c r="AP205">
        <f>IF(OR(T205="H",T205="B"),IF(ISNUMBER(Y205),ROUND(Y205,2),0),IF(ISNUMBER(X205),ROUND(X205,2),0))</f>
        <v>0</v>
      </c>
      <c r="AQ205">
        <f>IF(AP205&gt;=U205,1,0)</f>
        <v>0</v>
      </c>
      <c r="AR205">
        <f>IF(AP205&gt;=V205,1,0)</f>
        <v>0</v>
      </c>
      <c r="AS205">
        <f>IF(AP205&lt;(U205-0.10),1,0)</f>
        <v>0</v>
      </c>
      <c r="AT205">
        <f>1-AJ205/100</f>
        <v>0</v>
      </c>
      <c r="AU205">
        <f>IF(AN205=1,AT205,1)</f>
        <v>0</v>
      </c>
      <c r="AV205">
        <f>IF(AM205=1,AT205,1)</f>
        <v>0</v>
      </c>
      <c r="AW205">
        <f>IF(AND(AQ205=1,ISNUMBER(AT205)),$AT205,1)</f>
        <v>0</v>
      </c>
      <c r="AX205">
        <f>IF(AND(AR205=1,ISNUMBER(AT205)),$AT205,1)</f>
        <v>0</v>
      </c>
      <c r="AY205">
        <f>IF(ISNUMBER(Y205),INDEX(AllCollegeMoney, MATCH(N205,AllCollegeNCES,0)),0)</f>
        <v>0</v>
      </c>
      <c r="AZ205">
        <f>IF(AND(AQ205=1,ISNUMBER(AT205),AY205=1),$AT205,1)</f>
        <v>0</v>
      </c>
      <c r="BA205">
        <f>IF(AND(AR205=1,ISNUMBER(AT205),AY205=1),$AT205,1)</f>
        <v>0</v>
      </c>
      <c r="BB205">
        <f>IF(ISNUMBER(Y205),INDEX(AllCollegeILPub, MATCH(N205,AllCollegeNCES,0)),0)</f>
        <v>0</v>
      </c>
      <c r="BC205">
        <f>IF(AK205=ReachLabel,AP205,0)</f>
        <v>0</v>
      </c>
      <c r="BD205">
        <f>IF(AK205=MatchLabel,AP205,0)</f>
        <v>0</v>
      </c>
      <c r="BE205">
        <f>IF(AK205=SafetyLabel,AP205,0)</f>
        <v>0</v>
      </c>
      <c r="BF205">
        <f>IF(AK205=SecureLabel,AP205,0)</f>
        <v>0</v>
      </c>
      <c r="BG205">
        <f>IF(AK205=SureThingLabel,AP205,0)</f>
        <v>0</v>
      </c>
      <c r="BH205">
        <f>MAX(BC205:BG205)</f>
        <v>0</v>
      </c>
      <c r="BI205">
        <f>MAX(BD205:BG205)</f>
        <v>0</v>
      </c>
      <c r="BJ205">
        <f>MAX(BE205:BG205)</f>
        <v>0</v>
      </c>
      <c r="BK205">
        <f>IF(AND(AK205=ReachLabel,AY205=1),AP205,0)</f>
        <v>0</v>
      </c>
      <c r="BL205">
        <f>IF(AND(AK205=MatchLabel,AY205=1),AP205,0)</f>
        <v>0</v>
      </c>
      <c r="BM205">
        <f>IF(AND(AK205=SafetyLabel,AY205=1),AP205,0)</f>
        <v>0</v>
      </c>
      <c r="BN205">
        <f>IF(AND(AK205=SecureLabel,AY205=1),AP205,0)</f>
        <v>0</v>
      </c>
      <c r="BO205">
        <f>IF(AND(AK205=SureThingLabel,AY205=1),AP205,0)</f>
        <v>0</v>
      </c>
      <c r="BP205">
        <f>MAX(BK205:BO205)</f>
        <v>0</v>
      </c>
      <c r="BQ205">
        <f>MAX(BL205:BO205)</f>
        <v>0</v>
      </c>
      <c r="BR205">
        <f>MAX(BM205:BO205)</f>
        <v>0</v>
      </c>
      <c r="BS205">
        <f>IF(ISNUMBER(Y205),INDEX(AllCollegeChicago, MATCH(N205,AllCollegeNCES,0))*AY205,0)</f>
        <v>0</v>
      </c>
      <c r="BT205">
        <f>IF(ISNUMBER(Y205),INDEX(AllCollegeMoneyCode, MATCH(N205,AllCollegeNCES,0)),"?")</f>
        <v>0</v>
      </c>
      <c r="BU205">
        <f>IF(OR(BT205="---",BT205="--",BT205="+/--",BT205="+/---"),1,0)</f>
        <v>0</v>
      </c>
      <c r="BV205">
        <f>AY205*AO205*AQ205</f>
        <v>0</v>
      </c>
    </row>
    <row r="206" spans="1:74">
      <c r="A206" t="s">
        <v>86</v>
      </c>
      <c r="B206">
        <v>22942005</v>
      </c>
      <c r="C206" t="s">
        <v>150</v>
      </c>
      <c r="D206" t="s">
        <v>151</v>
      </c>
      <c r="E206" t="s">
        <v>428</v>
      </c>
      <c r="F206" t="s">
        <v>509</v>
      </c>
      <c r="G206" t="s">
        <v>430</v>
      </c>
      <c r="H206" t="s">
        <v>431</v>
      </c>
      <c r="I206" t="s">
        <v>432</v>
      </c>
      <c r="J206" t="s">
        <v>432</v>
      </c>
      <c r="K206">
        <v>0</v>
      </c>
      <c r="L206" t="s">
        <v>428</v>
      </c>
      <c r="M206" t="s">
        <v>428</v>
      </c>
      <c r="N206">
        <v>147341</v>
      </c>
      <c r="O206">
        <f>INDEX(AllCollegeBarrons,MATCH(N206,AllCollegeNCES,0))</f>
        <v>0</v>
      </c>
      <c r="P206">
        <f>INDEX(KidGPAs,MATCH(B206,KidIDs,0))</f>
        <v>0</v>
      </c>
      <c r="Q206">
        <f>INDEX(KidACTs,MATCH(B206,KidIDs,0))</f>
        <v>0</v>
      </c>
      <c r="R206">
        <f>INDEX(Strats,MATCH(B206,KidIDs,0))</f>
        <v>0</v>
      </c>
      <c r="S206">
        <f>INDEX(KidRace,MATCH(B206,KidIDs,0))</f>
        <v>0</v>
      </c>
      <c r="T206">
        <f>IF(OR(S206="M",S206="I"),"H",S206)</f>
        <v>0</v>
      </c>
      <c r="U206">
        <f>INDEX(StudentTargets,MATCH(B206,KidIDs,0))</f>
        <v>0</v>
      </c>
      <c r="V206">
        <f>INDEX(ReachStudentTargets,MATCH(B206,KidIDs,0))</f>
        <v>0</v>
      </c>
      <c r="W206">
        <f>IF(OR(M206="Posse"),1,0)</f>
        <v>0</v>
      </c>
      <c r="X206">
        <f>IF(ISNUMBER(INDEX(AllCollegeGR, MATCH(N206,AllCollegeNCES,0))),ROUND(INDEX(AllCollegeGR, MATCH(N206,AllCollegeNCES,0))+W206*IF(INDEX(AllCollegeGR, MATCH(N206,AllCollegeNCES,0))&gt;0.7,(1-INDEX(AllCollegeGR, MATCH(N206,AllCollegeNCES,0)))/2,0.15),2),INDEX(AllCollegeGR, MATCH(N206,AllCollegeNCES,0)))</f>
        <v>0</v>
      </c>
      <c r="Y206">
        <f>IF(ISNUMBER(INDEX(AllCollegeAAHGR, MATCH(N206,AllCollegeNCES,0))),ROUND(INDEX(AllCollegeAAHGR, MATCH(N206,AllCollegeNCES,0))+W206*IF(INDEX(AllCollegeAAHGR, MATCH(N206,AllCollegeNCES,0))&gt;0.7,(1-INDEX(AllCollegeAAHGR, MATCH(N206,AllCollegeNCES,0)))/2,0.15),2),INDEX(AllCollegeAAHGR, MATCH(N206,AllCollegeNCES,0)))</f>
        <v>0</v>
      </c>
      <c r="Z206">
        <f>IF(OR(T206="H",T206="B"),INDEX(AllCollegeACT25, MATCH(N206,AllCollegeNCES,0)),INDEX(AllCollegeACT50, MATCH(N206,AllCollegeNCES,0)))</f>
        <v>0</v>
      </c>
      <c r="AA206">
        <f>INDEX(CustomWeightsGPA,MATCH(T206&amp;":"&amp;N206,CustomWeightsIndex,0))</f>
        <v>0</v>
      </c>
      <c r="AB206">
        <f>INDEX(CustomWeightsACT,MATCH(T206&amp;":"&amp;N206,CustomWeightsIndex,0))</f>
        <v>0</v>
      </c>
      <c r="AC206">
        <f>INDEX(CustomWeightsIntercept,MATCH(T206&amp;":"&amp;N206,CustomWeightsIndex,0))</f>
        <v>0</v>
      </c>
      <c r="AD206">
        <f>AA206*P206+AB206*Q206+AC206</f>
        <v>0</v>
      </c>
      <c r="AE206">
        <f>INDEX(CoefficientsGPA,MATCH(T206&amp;":"&amp;O206,CoefficientsIndex,0))</f>
        <v>0</v>
      </c>
      <c r="AF206">
        <f>INDEX(CoefficientsACT,MATCH(T206&amp;":"&amp;O206,CoefficientsIndex,0))</f>
        <v>0</v>
      </c>
      <c r="AG206">
        <f>INDEX(CoefficientsIntercept,MATCH(T206&amp;":"&amp;O206,CoefficientsIndex,0))</f>
        <v>0</v>
      </c>
      <c r="AH206">
        <f>AE206*P206+(Q206-Z206)*AF206+AG206</f>
        <v>0</v>
      </c>
      <c r="AI206">
        <f>IF(ISNUMBER(AD206),AD206,AH206)</f>
        <v>0</v>
      </c>
      <c r="AJ206">
        <f>IF(ISNUMBER(AI206),IF(ISNUMBER(AE206),IF(AND(AE206=1,AF206=1,AG206=1),100,ROUND(100*EXP(AI206)/(1+EXP(AI206)),2)),ROUND(100*EXP(AI206)/(1+EXP(AI206)),2)),IF(ISTEXT(O206),IF(LEFT(O206,1)="2",100,"N/A"),"N/A"))</f>
        <v>0</v>
      </c>
      <c r="AK206">
        <f>IF(ISNUMBER(AJ206),IF(AJ206&gt;=99,IF(OR(R206=10,R206=11),MatchLabel,SureThingLabel),IF(AJ206&gt;=95,SecureLabel,IF(AJ206&gt;=80,SafetyLabel,IF(AJ206&gt;=50,MatchLabel,IF(AJ206&gt;=20,ReachLabel,IF(AJ206&gt;=10,LongshotLabel,HailMaryLabel)))))),"Other")</f>
        <v>0</v>
      </c>
      <c r="AL206">
        <f>IF(OR(I206="accepted",I206="cond. accept",I206="summer admit"),IF(J206="yes","CHOICE!","Accepted!"),IF(I206="denied","Denied",IF(K206=1,"Waitlist",IF(L206=1,"Deferred",IF(G206="pending","Pending",IF(OR(G206="initial materials submitted",G206="mid-year submitted",G206="final submitted"),"Submitted",IF(H206="interest","Interest","?")))))))</f>
        <v>0</v>
      </c>
      <c r="AM206">
        <f>IF(OR(AK206=ReachLabel,AK206=LongshotLabel,AK206=HailMaryLabel),1,0)</f>
        <v>0</v>
      </c>
      <c r="AN206">
        <f>IF(OR(AM206=1,AK206=MatchLabel),1,0)</f>
        <v>0</v>
      </c>
      <c r="AO206">
        <f>IF(OR(AK206=MatchLabel,AK206=SafetyLabel,AK206=SecureLabel,AK206=SureThingLabel),1,0)</f>
        <v>0</v>
      </c>
      <c r="AP206">
        <f>IF(OR(T206="H",T206="B"),IF(ISNUMBER(Y206),ROUND(Y206,2),0),IF(ISNUMBER(X206),ROUND(X206,2),0))</f>
        <v>0</v>
      </c>
      <c r="AQ206">
        <f>IF(AP206&gt;=U206,1,0)</f>
        <v>0</v>
      </c>
      <c r="AR206">
        <f>IF(AP206&gt;=V206,1,0)</f>
        <v>0</v>
      </c>
      <c r="AS206">
        <f>IF(AP206&lt;(U206-0.10),1,0)</f>
        <v>0</v>
      </c>
      <c r="AT206">
        <f>1-AJ206/100</f>
        <v>0</v>
      </c>
      <c r="AU206">
        <f>IF(AN206=1,AT206,1)</f>
        <v>0</v>
      </c>
      <c r="AV206">
        <f>IF(AM206=1,AT206,1)</f>
        <v>0</v>
      </c>
      <c r="AW206">
        <f>IF(AND(AQ206=1,ISNUMBER(AT206)),$AT206,1)</f>
        <v>0</v>
      </c>
      <c r="AX206">
        <f>IF(AND(AR206=1,ISNUMBER(AT206)),$AT206,1)</f>
        <v>0</v>
      </c>
      <c r="AY206">
        <f>IF(ISNUMBER(Y206),INDEX(AllCollegeMoney, MATCH(N206,AllCollegeNCES,0)),0)</f>
        <v>0</v>
      </c>
      <c r="AZ206">
        <f>IF(AND(AQ206=1,ISNUMBER(AT206),AY206=1),$AT206,1)</f>
        <v>0</v>
      </c>
      <c r="BA206">
        <f>IF(AND(AR206=1,ISNUMBER(AT206),AY206=1),$AT206,1)</f>
        <v>0</v>
      </c>
      <c r="BB206">
        <f>IF(ISNUMBER(Y206),INDEX(AllCollegeILPub, MATCH(N206,AllCollegeNCES,0)),0)</f>
        <v>0</v>
      </c>
      <c r="BC206">
        <f>IF(AK206=ReachLabel,AP206,0)</f>
        <v>0</v>
      </c>
      <c r="BD206">
        <f>IF(AK206=MatchLabel,AP206,0)</f>
        <v>0</v>
      </c>
      <c r="BE206">
        <f>IF(AK206=SafetyLabel,AP206,0)</f>
        <v>0</v>
      </c>
      <c r="BF206">
        <f>IF(AK206=SecureLabel,AP206,0)</f>
        <v>0</v>
      </c>
      <c r="BG206">
        <f>IF(AK206=SureThingLabel,AP206,0)</f>
        <v>0</v>
      </c>
      <c r="BH206">
        <f>MAX(BC206:BG206)</f>
        <v>0</v>
      </c>
      <c r="BI206">
        <f>MAX(BD206:BG206)</f>
        <v>0</v>
      </c>
      <c r="BJ206">
        <f>MAX(BE206:BG206)</f>
        <v>0</v>
      </c>
      <c r="BK206">
        <f>IF(AND(AK206=ReachLabel,AY206=1),AP206,0)</f>
        <v>0</v>
      </c>
      <c r="BL206">
        <f>IF(AND(AK206=MatchLabel,AY206=1),AP206,0)</f>
        <v>0</v>
      </c>
      <c r="BM206">
        <f>IF(AND(AK206=SafetyLabel,AY206=1),AP206,0)</f>
        <v>0</v>
      </c>
      <c r="BN206">
        <f>IF(AND(AK206=SecureLabel,AY206=1),AP206,0)</f>
        <v>0</v>
      </c>
      <c r="BO206">
        <f>IF(AND(AK206=SureThingLabel,AY206=1),AP206,0)</f>
        <v>0</v>
      </c>
      <c r="BP206">
        <f>MAX(BK206:BO206)</f>
        <v>0</v>
      </c>
      <c r="BQ206">
        <f>MAX(BL206:BO206)</f>
        <v>0</v>
      </c>
      <c r="BR206">
        <f>MAX(BM206:BO206)</f>
        <v>0</v>
      </c>
      <c r="BS206">
        <f>IF(ISNUMBER(Y206),INDEX(AllCollegeChicago, MATCH(N206,AllCollegeNCES,0))*AY206,0)</f>
        <v>0</v>
      </c>
      <c r="BT206">
        <f>IF(ISNUMBER(Y206),INDEX(AllCollegeMoneyCode, MATCH(N206,AllCollegeNCES,0)),"?")</f>
        <v>0</v>
      </c>
      <c r="BU206">
        <f>IF(OR(BT206="---",BT206="--",BT206="+/--",BT206="+/---"),1,0)</f>
        <v>0</v>
      </c>
      <c r="BV206">
        <f>AY206*AO206*AQ206</f>
        <v>0</v>
      </c>
    </row>
    <row r="207" spans="1:74">
      <c r="A207" t="s">
        <v>86</v>
      </c>
      <c r="B207">
        <v>22942005</v>
      </c>
      <c r="C207" t="s">
        <v>150</v>
      </c>
      <c r="D207" t="s">
        <v>151</v>
      </c>
      <c r="E207" t="s">
        <v>428</v>
      </c>
      <c r="F207" t="s">
        <v>438</v>
      </c>
      <c r="G207" t="s">
        <v>430</v>
      </c>
      <c r="H207" t="s">
        <v>431</v>
      </c>
      <c r="I207" t="s">
        <v>432</v>
      </c>
      <c r="J207" t="s">
        <v>432</v>
      </c>
      <c r="K207">
        <v>0</v>
      </c>
      <c r="L207" t="s">
        <v>428</v>
      </c>
      <c r="M207" t="s">
        <v>439</v>
      </c>
      <c r="N207">
        <v>150774</v>
      </c>
      <c r="O207">
        <f>INDEX(AllCollegeBarrons,MATCH(N207,AllCollegeNCES,0))</f>
        <v>0</v>
      </c>
      <c r="P207">
        <f>INDEX(KidGPAs,MATCH(B207,KidIDs,0))</f>
        <v>0</v>
      </c>
      <c r="Q207">
        <f>INDEX(KidACTs,MATCH(B207,KidIDs,0))</f>
        <v>0</v>
      </c>
      <c r="R207">
        <f>INDEX(Strats,MATCH(B207,KidIDs,0))</f>
        <v>0</v>
      </c>
      <c r="S207">
        <f>INDEX(KidRace,MATCH(B207,KidIDs,0))</f>
        <v>0</v>
      </c>
      <c r="T207">
        <f>IF(OR(S207="M",S207="I"),"H",S207)</f>
        <v>0</v>
      </c>
      <c r="U207">
        <f>INDEX(StudentTargets,MATCH(B207,KidIDs,0))</f>
        <v>0</v>
      </c>
      <c r="V207">
        <f>INDEX(ReachStudentTargets,MATCH(B207,KidIDs,0))</f>
        <v>0</v>
      </c>
      <c r="W207">
        <f>IF(OR(M207="Posse"),1,0)</f>
        <v>0</v>
      </c>
      <c r="X207">
        <f>IF(ISNUMBER(INDEX(AllCollegeGR, MATCH(N207,AllCollegeNCES,0))),ROUND(INDEX(AllCollegeGR, MATCH(N207,AllCollegeNCES,0))+W207*IF(INDEX(AllCollegeGR, MATCH(N207,AllCollegeNCES,0))&gt;0.7,(1-INDEX(AllCollegeGR, MATCH(N207,AllCollegeNCES,0)))/2,0.15),2),INDEX(AllCollegeGR, MATCH(N207,AllCollegeNCES,0)))</f>
        <v>0</v>
      </c>
      <c r="Y207">
        <f>IF(ISNUMBER(INDEX(AllCollegeAAHGR, MATCH(N207,AllCollegeNCES,0))),ROUND(INDEX(AllCollegeAAHGR, MATCH(N207,AllCollegeNCES,0))+W207*IF(INDEX(AllCollegeAAHGR, MATCH(N207,AllCollegeNCES,0))&gt;0.7,(1-INDEX(AllCollegeAAHGR, MATCH(N207,AllCollegeNCES,0)))/2,0.15),2),INDEX(AllCollegeAAHGR, MATCH(N207,AllCollegeNCES,0)))</f>
        <v>0</v>
      </c>
      <c r="Z207">
        <f>IF(OR(T207="H",T207="B"),INDEX(AllCollegeACT25, MATCH(N207,AllCollegeNCES,0)),INDEX(AllCollegeACT50, MATCH(N207,AllCollegeNCES,0)))</f>
        <v>0</v>
      </c>
      <c r="AA207">
        <f>INDEX(CustomWeightsGPA,MATCH(T207&amp;":"&amp;N207,CustomWeightsIndex,0))</f>
        <v>0</v>
      </c>
      <c r="AB207">
        <f>INDEX(CustomWeightsACT,MATCH(T207&amp;":"&amp;N207,CustomWeightsIndex,0))</f>
        <v>0</v>
      </c>
      <c r="AC207">
        <f>INDEX(CustomWeightsIntercept,MATCH(T207&amp;":"&amp;N207,CustomWeightsIndex,0))</f>
        <v>0</v>
      </c>
      <c r="AD207">
        <f>AA207*P207+AB207*Q207+AC207</f>
        <v>0</v>
      </c>
      <c r="AE207">
        <f>INDEX(CoefficientsGPA,MATCH(T207&amp;":"&amp;O207,CoefficientsIndex,0))</f>
        <v>0</v>
      </c>
      <c r="AF207">
        <f>INDEX(CoefficientsACT,MATCH(T207&amp;":"&amp;O207,CoefficientsIndex,0))</f>
        <v>0</v>
      </c>
      <c r="AG207">
        <f>INDEX(CoefficientsIntercept,MATCH(T207&amp;":"&amp;O207,CoefficientsIndex,0))</f>
        <v>0</v>
      </c>
      <c r="AH207">
        <f>AE207*P207+(Q207-Z207)*AF207+AG207</f>
        <v>0</v>
      </c>
      <c r="AI207">
        <f>IF(ISNUMBER(AD207),AD207,AH207)</f>
        <v>0</v>
      </c>
      <c r="AJ207">
        <f>IF(ISNUMBER(AI207),IF(ISNUMBER(AE207),IF(AND(AE207=1,AF207=1,AG207=1),100,ROUND(100*EXP(AI207)/(1+EXP(AI207)),2)),ROUND(100*EXP(AI207)/(1+EXP(AI207)),2)),IF(ISTEXT(O207),IF(LEFT(O207,1)="2",100,"N/A"),"N/A"))</f>
        <v>0</v>
      </c>
      <c r="AK207">
        <f>IF(ISNUMBER(AJ207),IF(AJ207&gt;=99,IF(OR(R207=10,R207=11),MatchLabel,SureThingLabel),IF(AJ207&gt;=95,SecureLabel,IF(AJ207&gt;=80,SafetyLabel,IF(AJ207&gt;=50,MatchLabel,IF(AJ207&gt;=20,ReachLabel,IF(AJ207&gt;=10,LongshotLabel,HailMaryLabel)))))),"Other")</f>
        <v>0</v>
      </c>
      <c r="AL207">
        <f>IF(OR(I207="accepted",I207="cond. accept",I207="summer admit"),IF(J207="yes","CHOICE!","Accepted!"),IF(I207="denied","Denied",IF(K207=1,"Waitlist",IF(L207=1,"Deferred",IF(G207="pending","Pending",IF(OR(G207="initial materials submitted",G207="mid-year submitted",G207="final submitted"),"Submitted",IF(H207="interest","Interest","?")))))))</f>
        <v>0</v>
      </c>
      <c r="AM207">
        <f>IF(OR(AK207=ReachLabel,AK207=LongshotLabel,AK207=HailMaryLabel),1,0)</f>
        <v>0</v>
      </c>
      <c r="AN207">
        <f>IF(OR(AM207=1,AK207=MatchLabel),1,0)</f>
        <v>0</v>
      </c>
      <c r="AO207">
        <f>IF(OR(AK207=MatchLabel,AK207=SafetyLabel,AK207=SecureLabel,AK207=SureThingLabel),1,0)</f>
        <v>0</v>
      </c>
      <c r="AP207">
        <f>IF(OR(T207="H",T207="B"),IF(ISNUMBER(Y207),ROUND(Y207,2),0),IF(ISNUMBER(X207),ROUND(X207,2),0))</f>
        <v>0</v>
      </c>
      <c r="AQ207">
        <f>IF(AP207&gt;=U207,1,0)</f>
        <v>0</v>
      </c>
      <c r="AR207">
        <f>IF(AP207&gt;=V207,1,0)</f>
        <v>0</v>
      </c>
      <c r="AS207">
        <f>IF(AP207&lt;(U207-0.10),1,0)</f>
        <v>0</v>
      </c>
      <c r="AT207">
        <f>1-AJ207/100</f>
        <v>0</v>
      </c>
      <c r="AU207">
        <f>IF(AN207=1,AT207,1)</f>
        <v>0</v>
      </c>
      <c r="AV207">
        <f>IF(AM207=1,AT207,1)</f>
        <v>0</v>
      </c>
      <c r="AW207">
        <f>IF(AND(AQ207=1,ISNUMBER(AT207)),$AT207,1)</f>
        <v>0</v>
      </c>
      <c r="AX207">
        <f>IF(AND(AR207=1,ISNUMBER(AT207)),$AT207,1)</f>
        <v>0</v>
      </c>
      <c r="AY207">
        <f>IF(ISNUMBER(Y207),INDEX(AllCollegeMoney, MATCH(N207,AllCollegeNCES,0)),0)</f>
        <v>0</v>
      </c>
      <c r="AZ207">
        <f>IF(AND(AQ207=1,ISNUMBER(AT207),AY207=1),$AT207,1)</f>
        <v>0</v>
      </c>
      <c r="BA207">
        <f>IF(AND(AR207=1,ISNUMBER(AT207),AY207=1),$AT207,1)</f>
        <v>0</v>
      </c>
      <c r="BB207">
        <f>IF(ISNUMBER(Y207),INDEX(AllCollegeILPub, MATCH(N207,AllCollegeNCES,0)),0)</f>
        <v>0</v>
      </c>
      <c r="BC207">
        <f>IF(AK207=ReachLabel,AP207,0)</f>
        <v>0</v>
      </c>
      <c r="BD207">
        <f>IF(AK207=MatchLabel,AP207,0)</f>
        <v>0</v>
      </c>
      <c r="BE207">
        <f>IF(AK207=SafetyLabel,AP207,0)</f>
        <v>0</v>
      </c>
      <c r="BF207">
        <f>IF(AK207=SecureLabel,AP207,0)</f>
        <v>0</v>
      </c>
      <c r="BG207">
        <f>IF(AK207=SureThingLabel,AP207,0)</f>
        <v>0</v>
      </c>
      <c r="BH207">
        <f>MAX(BC207:BG207)</f>
        <v>0</v>
      </c>
      <c r="BI207">
        <f>MAX(BD207:BG207)</f>
        <v>0</v>
      </c>
      <c r="BJ207">
        <f>MAX(BE207:BG207)</f>
        <v>0</v>
      </c>
      <c r="BK207">
        <f>IF(AND(AK207=ReachLabel,AY207=1),AP207,0)</f>
        <v>0</v>
      </c>
      <c r="BL207">
        <f>IF(AND(AK207=MatchLabel,AY207=1),AP207,0)</f>
        <v>0</v>
      </c>
      <c r="BM207">
        <f>IF(AND(AK207=SafetyLabel,AY207=1),AP207,0)</f>
        <v>0</v>
      </c>
      <c r="BN207">
        <f>IF(AND(AK207=SecureLabel,AY207=1),AP207,0)</f>
        <v>0</v>
      </c>
      <c r="BO207">
        <f>IF(AND(AK207=SureThingLabel,AY207=1),AP207,0)</f>
        <v>0</v>
      </c>
      <c r="BP207">
        <f>MAX(BK207:BO207)</f>
        <v>0</v>
      </c>
      <c r="BQ207">
        <f>MAX(BL207:BO207)</f>
        <v>0</v>
      </c>
      <c r="BR207">
        <f>MAX(BM207:BO207)</f>
        <v>0</v>
      </c>
      <c r="BS207">
        <f>IF(ISNUMBER(Y207),INDEX(AllCollegeChicago, MATCH(N207,AllCollegeNCES,0))*AY207,0)</f>
        <v>0</v>
      </c>
      <c r="BT207">
        <f>IF(ISNUMBER(Y207),INDEX(AllCollegeMoneyCode, MATCH(N207,AllCollegeNCES,0)),"?")</f>
        <v>0</v>
      </c>
      <c r="BU207">
        <f>IF(OR(BT207="---",BT207="--",BT207="+/--",BT207="+/---"),1,0)</f>
        <v>0</v>
      </c>
      <c r="BV207">
        <f>AY207*AO207*AQ207</f>
        <v>0</v>
      </c>
    </row>
    <row r="208" spans="1:74">
      <c r="A208" t="s">
        <v>86</v>
      </c>
      <c r="B208">
        <v>22942005</v>
      </c>
      <c r="C208" t="s">
        <v>150</v>
      </c>
      <c r="D208" t="s">
        <v>151</v>
      </c>
      <c r="E208" t="s">
        <v>428</v>
      </c>
      <c r="F208" t="s">
        <v>440</v>
      </c>
      <c r="G208" t="s">
        <v>463</v>
      </c>
      <c r="H208" t="s">
        <v>431</v>
      </c>
      <c r="I208" t="s">
        <v>432</v>
      </c>
      <c r="J208" t="s">
        <v>432</v>
      </c>
      <c r="K208">
        <v>0</v>
      </c>
      <c r="L208" t="s">
        <v>428</v>
      </c>
      <c r="M208" t="s">
        <v>428</v>
      </c>
      <c r="N208">
        <v>147703</v>
      </c>
      <c r="O208">
        <f>INDEX(AllCollegeBarrons,MATCH(N208,AllCollegeNCES,0))</f>
        <v>0</v>
      </c>
      <c r="P208">
        <f>INDEX(KidGPAs,MATCH(B208,KidIDs,0))</f>
        <v>0</v>
      </c>
      <c r="Q208">
        <f>INDEX(KidACTs,MATCH(B208,KidIDs,0))</f>
        <v>0</v>
      </c>
      <c r="R208">
        <f>INDEX(Strats,MATCH(B208,KidIDs,0))</f>
        <v>0</v>
      </c>
      <c r="S208">
        <f>INDEX(KidRace,MATCH(B208,KidIDs,0))</f>
        <v>0</v>
      </c>
      <c r="T208">
        <f>IF(OR(S208="M",S208="I"),"H",S208)</f>
        <v>0</v>
      </c>
      <c r="U208">
        <f>INDEX(StudentTargets,MATCH(B208,KidIDs,0))</f>
        <v>0</v>
      </c>
      <c r="V208">
        <f>INDEX(ReachStudentTargets,MATCH(B208,KidIDs,0))</f>
        <v>0</v>
      </c>
      <c r="W208">
        <f>IF(OR(M208="Posse"),1,0)</f>
        <v>0</v>
      </c>
      <c r="X208">
        <f>IF(ISNUMBER(INDEX(AllCollegeGR, MATCH(N208,AllCollegeNCES,0))),ROUND(INDEX(AllCollegeGR, MATCH(N208,AllCollegeNCES,0))+W208*IF(INDEX(AllCollegeGR, MATCH(N208,AllCollegeNCES,0))&gt;0.7,(1-INDEX(AllCollegeGR, MATCH(N208,AllCollegeNCES,0)))/2,0.15),2),INDEX(AllCollegeGR, MATCH(N208,AllCollegeNCES,0)))</f>
        <v>0</v>
      </c>
      <c r="Y208">
        <f>IF(ISNUMBER(INDEX(AllCollegeAAHGR, MATCH(N208,AllCollegeNCES,0))),ROUND(INDEX(AllCollegeAAHGR, MATCH(N208,AllCollegeNCES,0))+W208*IF(INDEX(AllCollegeAAHGR, MATCH(N208,AllCollegeNCES,0))&gt;0.7,(1-INDEX(AllCollegeAAHGR, MATCH(N208,AllCollegeNCES,0)))/2,0.15),2),INDEX(AllCollegeAAHGR, MATCH(N208,AllCollegeNCES,0)))</f>
        <v>0</v>
      </c>
      <c r="Z208">
        <f>IF(OR(T208="H",T208="B"),INDEX(AllCollegeACT25, MATCH(N208,AllCollegeNCES,0)),INDEX(AllCollegeACT50, MATCH(N208,AllCollegeNCES,0)))</f>
        <v>0</v>
      </c>
      <c r="AA208">
        <f>INDEX(CustomWeightsGPA,MATCH(T208&amp;":"&amp;N208,CustomWeightsIndex,0))</f>
        <v>0</v>
      </c>
      <c r="AB208">
        <f>INDEX(CustomWeightsACT,MATCH(T208&amp;":"&amp;N208,CustomWeightsIndex,0))</f>
        <v>0</v>
      </c>
      <c r="AC208">
        <f>INDEX(CustomWeightsIntercept,MATCH(T208&amp;":"&amp;N208,CustomWeightsIndex,0))</f>
        <v>0</v>
      </c>
      <c r="AD208">
        <f>AA208*P208+AB208*Q208+AC208</f>
        <v>0</v>
      </c>
      <c r="AE208">
        <f>INDEX(CoefficientsGPA,MATCH(T208&amp;":"&amp;O208,CoefficientsIndex,0))</f>
        <v>0</v>
      </c>
      <c r="AF208">
        <f>INDEX(CoefficientsACT,MATCH(T208&amp;":"&amp;O208,CoefficientsIndex,0))</f>
        <v>0</v>
      </c>
      <c r="AG208">
        <f>INDEX(CoefficientsIntercept,MATCH(T208&amp;":"&amp;O208,CoefficientsIndex,0))</f>
        <v>0</v>
      </c>
      <c r="AH208">
        <f>AE208*P208+(Q208-Z208)*AF208+AG208</f>
        <v>0</v>
      </c>
      <c r="AI208">
        <f>IF(ISNUMBER(AD208),AD208,AH208)</f>
        <v>0</v>
      </c>
      <c r="AJ208">
        <f>IF(ISNUMBER(AI208),IF(ISNUMBER(AE208),IF(AND(AE208=1,AF208=1,AG208=1),100,ROUND(100*EXP(AI208)/(1+EXP(AI208)),2)),ROUND(100*EXP(AI208)/(1+EXP(AI208)),2)),IF(ISTEXT(O208),IF(LEFT(O208,1)="2",100,"N/A"),"N/A"))</f>
        <v>0</v>
      </c>
      <c r="AK208">
        <f>IF(ISNUMBER(AJ208),IF(AJ208&gt;=99,IF(OR(R208=10,R208=11),MatchLabel,SureThingLabel),IF(AJ208&gt;=95,SecureLabel,IF(AJ208&gt;=80,SafetyLabel,IF(AJ208&gt;=50,MatchLabel,IF(AJ208&gt;=20,ReachLabel,IF(AJ208&gt;=10,LongshotLabel,HailMaryLabel)))))),"Other")</f>
        <v>0</v>
      </c>
      <c r="AL208">
        <f>IF(OR(I208="accepted",I208="cond. accept",I208="summer admit"),IF(J208="yes","CHOICE!","Accepted!"),IF(I208="denied","Denied",IF(K208=1,"Waitlist",IF(L208=1,"Deferred",IF(G208="pending","Pending",IF(OR(G208="initial materials submitted",G208="mid-year submitted",G208="final submitted"),"Submitted",IF(H208="interest","Interest","?")))))))</f>
        <v>0</v>
      </c>
      <c r="AM208">
        <f>IF(OR(AK208=ReachLabel,AK208=LongshotLabel,AK208=HailMaryLabel),1,0)</f>
        <v>0</v>
      </c>
      <c r="AN208">
        <f>IF(OR(AM208=1,AK208=MatchLabel),1,0)</f>
        <v>0</v>
      </c>
      <c r="AO208">
        <f>IF(OR(AK208=MatchLabel,AK208=SafetyLabel,AK208=SecureLabel,AK208=SureThingLabel),1,0)</f>
        <v>0</v>
      </c>
      <c r="AP208">
        <f>IF(OR(T208="H",T208="B"),IF(ISNUMBER(Y208),ROUND(Y208,2),0),IF(ISNUMBER(X208),ROUND(X208,2),0))</f>
        <v>0</v>
      </c>
      <c r="AQ208">
        <f>IF(AP208&gt;=U208,1,0)</f>
        <v>0</v>
      </c>
      <c r="AR208">
        <f>IF(AP208&gt;=V208,1,0)</f>
        <v>0</v>
      </c>
      <c r="AS208">
        <f>IF(AP208&lt;(U208-0.10),1,0)</f>
        <v>0</v>
      </c>
      <c r="AT208">
        <f>1-AJ208/100</f>
        <v>0</v>
      </c>
      <c r="AU208">
        <f>IF(AN208=1,AT208,1)</f>
        <v>0</v>
      </c>
      <c r="AV208">
        <f>IF(AM208=1,AT208,1)</f>
        <v>0</v>
      </c>
      <c r="AW208">
        <f>IF(AND(AQ208=1,ISNUMBER(AT208)),$AT208,1)</f>
        <v>0</v>
      </c>
      <c r="AX208">
        <f>IF(AND(AR208=1,ISNUMBER(AT208)),$AT208,1)</f>
        <v>0</v>
      </c>
      <c r="AY208">
        <f>IF(ISNUMBER(Y208),INDEX(AllCollegeMoney, MATCH(N208,AllCollegeNCES,0)),0)</f>
        <v>0</v>
      </c>
      <c r="AZ208">
        <f>IF(AND(AQ208=1,ISNUMBER(AT208),AY208=1),$AT208,1)</f>
        <v>0</v>
      </c>
      <c r="BA208">
        <f>IF(AND(AR208=1,ISNUMBER(AT208),AY208=1),$AT208,1)</f>
        <v>0</v>
      </c>
      <c r="BB208">
        <f>IF(ISNUMBER(Y208),INDEX(AllCollegeILPub, MATCH(N208,AllCollegeNCES,0)),0)</f>
        <v>0</v>
      </c>
      <c r="BC208">
        <f>IF(AK208=ReachLabel,AP208,0)</f>
        <v>0</v>
      </c>
      <c r="BD208">
        <f>IF(AK208=MatchLabel,AP208,0)</f>
        <v>0</v>
      </c>
      <c r="BE208">
        <f>IF(AK208=SafetyLabel,AP208,0)</f>
        <v>0</v>
      </c>
      <c r="BF208">
        <f>IF(AK208=SecureLabel,AP208,0)</f>
        <v>0</v>
      </c>
      <c r="BG208">
        <f>IF(AK208=SureThingLabel,AP208,0)</f>
        <v>0</v>
      </c>
      <c r="BH208">
        <f>MAX(BC208:BG208)</f>
        <v>0</v>
      </c>
      <c r="BI208">
        <f>MAX(BD208:BG208)</f>
        <v>0</v>
      </c>
      <c r="BJ208">
        <f>MAX(BE208:BG208)</f>
        <v>0</v>
      </c>
      <c r="BK208">
        <f>IF(AND(AK208=ReachLabel,AY208=1),AP208,0)</f>
        <v>0</v>
      </c>
      <c r="BL208">
        <f>IF(AND(AK208=MatchLabel,AY208=1),AP208,0)</f>
        <v>0</v>
      </c>
      <c r="BM208">
        <f>IF(AND(AK208=SafetyLabel,AY208=1),AP208,0)</f>
        <v>0</v>
      </c>
      <c r="BN208">
        <f>IF(AND(AK208=SecureLabel,AY208=1),AP208,0)</f>
        <v>0</v>
      </c>
      <c r="BO208">
        <f>IF(AND(AK208=SureThingLabel,AY208=1),AP208,0)</f>
        <v>0</v>
      </c>
      <c r="BP208">
        <f>MAX(BK208:BO208)</f>
        <v>0</v>
      </c>
      <c r="BQ208">
        <f>MAX(BL208:BO208)</f>
        <v>0</v>
      </c>
      <c r="BR208">
        <f>MAX(BM208:BO208)</f>
        <v>0</v>
      </c>
      <c r="BS208">
        <f>IF(ISNUMBER(Y208),INDEX(AllCollegeChicago, MATCH(N208,AllCollegeNCES,0))*AY208,0)</f>
        <v>0</v>
      </c>
      <c r="BT208">
        <f>IF(ISNUMBER(Y208),INDEX(AllCollegeMoneyCode, MATCH(N208,AllCollegeNCES,0)),"?")</f>
        <v>0</v>
      </c>
      <c r="BU208">
        <f>IF(OR(BT208="---",BT208="--",BT208="+/--",BT208="+/---"),1,0)</f>
        <v>0</v>
      </c>
      <c r="BV208">
        <f>AY208*AO208*AQ208</f>
        <v>0</v>
      </c>
    </row>
    <row r="209" spans="1:74">
      <c r="A209" t="s">
        <v>86</v>
      </c>
      <c r="B209">
        <v>22942005</v>
      </c>
      <c r="C209" t="s">
        <v>150</v>
      </c>
      <c r="D209" t="s">
        <v>151</v>
      </c>
      <c r="E209" t="s">
        <v>428</v>
      </c>
      <c r="F209" t="s">
        <v>442</v>
      </c>
      <c r="G209" t="s">
        <v>430</v>
      </c>
      <c r="H209" t="s">
        <v>431</v>
      </c>
      <c r="I209" t="s">
        <v>432</v>
      </c>
      <c r="J209" t="s">
        <v>432</v>
      </c>
      <c r="K209">
        <v>0</v>
      </c>
      <c r="L209" t="s">
        <v>428</v>
      </c>
      <c r="M209" t="s">
        <v>428</v>
      </c>
      <c r="N209">
        <v>149222</v>
      </c>
      <c r="O209">
        <f>INDEX(AllCollegeBarrons,MATCH(N209,AllCollegeNCES,0))</f>
        <v>0</v>
      </c>
      <c r="P209">
        <f>INDEX(KidGPAs,MATCH(B209,KidIDs,0))</f>
        <v>0</v>
      </c>
      <c r="Q209">
        <f>INDEX(KidACTs,MATCH(B209,KidIDs,0))</f>
        <v>0</v>
      </c>
      <c r="R209">
        <f>INDEX(Strats,MATCH(B209,KidIDs,0))</f>
        <v>0</v>
      </c>
      <c r="S209">
        <f>INDEX(KidRace,MATCH(B209,KidIDs,0))</f>
        <v>0</v>
      </c>
      <c r="T209">
        <f>IF(OR(S209="M",S209="I"),"H",S209)</f>
        <v>0</v>
      </c>
      <c r="U209">
        <f>INDEX(StudentTargets,MATCH(B209,KidIDs,0))</f>
        <v>0</v>
      </c>
      <c r="V209">
        <f>INDEX(ReachStudentTargets,MATCH(B209,KidIDs,0))</f>
        <v>0</v>
      </c>
      <c r="W209">
        <f>IF(OR(M209="Posse"),1,0)</f>
        <v>0</v>
      </c>
      <c r="X209">
        <f>IF(ISNUMBER(INDEX(AllCollegeGR, MATCH(N209,AllCollegeNCES,0))),ROUND(INDEX(AllCollegeGR, MATCH(N209,AllCollegeNCES,0))+W209*IF(INDEX(AllCollegeGR, MATCH(N209,AllCollegeNCES,0))&gt;0.7,(1-INDEX(AllCollegeGR, MATCH(N209,AllCollegeNCES,0)))/2,0.15),2),INDEX(AllCollegeGR, MATCH(N209,AllCollegeNCES,0)))</f>
        <v>0</v>
      </c>
      <c r="Y209">
        <f>IF(ISNUMBER(INDEX(AllCollegeAAHGR, MATCH(N209,AllCollegeNCES,0))),ROUND(INDEX(AllCollegeAAHGR, MATCH(N209,AllCollegeNCES,0))+W209*IF(INDEX(AllCollegeAAHGR, MATCH(N209,AllCollegeNCES,0))&gt;0.7,(1-INDEX(AllCollegeAAHGR, MATCH(N209,AllCollegeNCES,0)))/2,0.15),2),INDEX(AllCollegeAAHGR, MATCH(N209,AllCollegeNCES,0)))</f>
        <v>0</v>
      </c>
      <c r="Z209">
        <f>IF(OR(T209="H",T209="B"),INDEX(AllCollegeACT25, MATCH(N209,AllCollegeNCES,0)),INDEX(AllCollegeACT50, MATCH(N209,AllCollegeNCES,0)))</f>
        <v>0</v>
      </c>
      <c r="AA209">
        <f>INDEX(CustomWeightsGPA,MATCH(T209&amp;":"&amp;N209,CustomWeightsIndex,0))</f>
        <v>0</v>
      </c>
      <c r="AB209">
        <f>INDEX(CustomWeightsACT,MATCH(T209&amp;":"&amp;N209,CustomWeightsIndex,0))</f>
        <v>0</v>
      </c>
      <c r="AC209">
        <f>INDEX(CustomWeightsIntercept,MATCH(T209&amp;":"&amp;N209,CustomWeightsIndex,0))</f>
        <v>0</v>
      </c>
      <c r="AD209">
        <f>AA209*P209+AB209*Q209+AC209</f>
        <v>0</v>
      </c>
      <c r="AE209">
        <f>INDEX(CoefficientsGPA,MATCH(T209&amp;":"&amp;O209,CoefficientsIndex,0))</f>
        <v>0</v>
      </c>
      <c r="AF209">
        <f>INDEX(CoefficientsACT,MATCH(T209&amp;":"&amp;O209,CoefficientsIndex,0))</f>
        <v>0</v>
      </c>
      <c r="AG209">
        <f>INDEX(CoefficientsIntercept,MATCH(T209&amp;":"&amp;O209,CoefficientsIndex,0))</f>
        <v>0</v>
      </c>
      <c r="AH209">
        <f>AE209*P209+(Q209-Z209)*AF209+AG209</f>
        <v>0</v>
      </c>
      <c r="AI209">
        <f>IF(ISNUMBER(AD209),AD209,AH209)</f>
        <v>0</v>
      </c>
      <c r="AJ209">
        <f>IF(ISNUMBER(AI209),IF(ISNUMBER(AE209),IF(AND(AE209=1,AF209=1,AG209=1),100,ROUND(100*EXP(AI209)/(1+EXP(AI209)),2)),ROUND(100*EXP(AI209)/(1+EXP(AI209)),2)),IF(ISTEXT(O209),IF(LEFT(O209,1)="2",100,"N/A"),"N/A"))</f>
        <v>0</v>
      </c>
      <c r="AK209">
        <f>IF(ISNUMBER(AJ209),IF(AJ209&gt;=99,IF(OR(R209=10,R209=11),MatchLabel,SureThingLabel),IF(AJ209&gt;=95,SecureLabel,IF(AJ209&gt;=80,SafetyLabel,IF(AJ209&gt;=50,MatchLabel,IF(AJ209&gt;=20,ReachLabel,IF(AJ209&gt;=10,LongshotLabel,HailMaryLabel)))))),"Other")</f>
        <v>0</v>
      </c>
      <c r="AL209">
        <f>IF(OR(I209="accepted",I209="cond. accept",I209="summer admit"),IF(J209="yes","CHOICE!","Accepted!"),IF(I209="denied","Denied",IF(K209=1,"Waitlist",IF(L209=1,"Deferred",IF(G209="pending","Pending",IF(OR(G209="initial materials submitted",G209="mid-year submitted",G209="final submitted"),"Submitted",IF(H209="interest","Interest","?")))))))</f>
        <v>0</v>
      </c>
      <c r="AM209">
        <f>IF(OR(AK209=ReachLabel,AK209=LongshotLabel,AK209=HailMaryLabel),1,0)</f>
        <v>0</v>
      </c>
      <c r="AN209">
        <f>IF(OR(AM209=1,AK209=MatchLabel),1,0)</f>
        <v>0</v>
      </c>
      <c r="AO209">
        <f>IF(OR(AK209=MatchLabel,AK209=SafetyLabel,AK209=SecureLabel,AK209=SureThingLabel),1,0)</f>
        <v>0</v>
      </c>
      <c r="AP209">
        <f>IF(OR(T209="H",T209="B"),IF(ISNUMBER(Y209),ROUND(Y209,2),0),IF(ISNUMBER(X209),ROUND(X209,2),0))</f>
        <v>0</v>
      </c>
      <c r="AQ209">
        <f>IF(AP209&gt;=U209,1,0)</f>
        <v>0</v>
      </c>
      <c r="AR209">
        <f>IF(AP209&gt;=V209,1,0)</f>
        <v>0</v>
      </c>
      <c r="AS209">
        <f>IF(AP209&lt;(U209-0.10),1,0)</f>
        <v>0</v>
      </c>
      <c r="AT209">
        <f>1-AJ209/100</f>
        <v>0</v>
      </c>
      <c r="AU209">
        <f>IF(AN209=1,AT209,1)</f>
        <v>0</v>
      </c>
      <c r="AV209">
        <f>IF(AM209=1,AT209,1)</f>
        <v>0</v>
      </c>
      <c r="AW209">
        <f>IF(AND(AQ209=1,ISNUMBER(AT209)),$AT209,1)</f>
        <v>0</v>
      </c>
      <c r="AX209">
        <f>IF(AND(AR209=1,ISNUMBER(AT209)),$AT209,1)</f>
        <v>0</v>
      </c>
      <c r="AY209">
        <f>IF(ISNUMBER(Y209),INDEX(AllCollegeMoney, MATCH(N209,AllCollegeNCES,0)),0)</f>
        <v>0</v>
      </c>
      <c r="AZ209">
        <f>IF(AND(AQ209=1,ISNUMBER(AT209),AY209=1),$AT209,1)</f>
        <v>0</v>
      </c>
      <c r="BA209">
        <f>IF(AND(AR209=1,ISNUMBER(AT209),AY209=1),$AT209,1)</f>
        <v>0</v>
      </c>
      <c r="BB209">
        <f>IF(ISNUMBER(Y209),INDEX(AllCollegeILPub, MATCH(N209,AllCollegeNCES,0)),0)</f>
        <v>0</v>
      </c>
      <c r="BC209">
        <f>IF(AK209=ReachLabel,AP209,0)</f>
        <v>0</v>
      </c>
      <c r="BD209">
        <f>IF(AK209=MatchLabel,AP209,0)</f>
        <v>0</v>
      </c>
      <c r="BE209">
        <f>IF(AK209=SafetyLabel,AP209,0)</f>
        <v>0</v>
      </c>
      <c r="BF209">
        <f>IF(AK209=SecureLabel,AP209,0)</f>
        <v>0</v>
      </c>
      <c r="BG209">
        <f>IF(AK209=SureThingLabel,AP209,0)</f>
        <v>0</v>
      </c>
      <c r="BH209">
        <f>MAX(BC209:BG209)</f>
        <v>0</v>
      </c>
      <c r="BI209">
        <f>MAX(BD209:BG209)</f>
        <v>0</v>
      </c>
      <c r="BJ209">
        <f>MAX(BE209:BG209)</f>
        <v>0</v>
      </c>
      <c r="BK209">
        <f>IF(AND(AK209=ReachLabel,AY209=1),AP209,0)</f>
        <v>0</v>
      </c>
      <c r="BL209">
        <f>IF(AND(AK209=MatchLabel,AY209=1),AP209,0)</f>
        <v>0</v>
      </c>
      <c r="BM209">
        <f>IF(AND(AK209=SafetyLabel,AY209=1),AP209,0)</f>
        <v>0</v>
      </c>
      <c r="BN209">
        <f>IF(AND(AK209=SecureLabel,AY209=1),AP209,0)</f>
        <v>0</v>
      </c>
      <c r="BO209">
        <f>IF(AND(AK209=SureThingLabel,AY209=1),AP209,0)</f>
        <v>0</v>
      </c>
      <c r="BP209">
        <f>MAX(BK209:BO209)</f>
        <v>0</v>
      </c>
      <c r="BQ209">
        <f>MAX(BL209:BO209)</f>
        <v>0</v>
      </c>
      <c r="BR209">
        <f>MAX(BM209:BO209)</f>
        <v>0</v>
      </c>
      <c r="BS209">
        <f>IF(ISNUMBER(Y209),INDEX(AllCollegeChicago, MATCH(N209,AllCollegeNCES,0))*AY209,0)</f>
        <v>0</v>
      </c>
      <c r="BT209">
        <f>IF(ISNUMBER(Y209),INDEX(AllCollegeMoneyCode, MATCH(N209,AllCollegeNCES,0)),"?")</f>
        <v>0</v>
      </c>
      <c r="BU209">
        <f>IF(OR(BT209="---",BT209="--",BT209="+/--",BT209="+/---"),1,0)</f>
        <v>0</v>
      </c>
      <c r="BV209">
        <f>AY209*AO209*AQ209</f>
        <v>0</v>
      </c>
    </row>
    <row r="210" spans="1:74">
      <c r="A210" t="s">
        <v>86</v>
      </c>
      <c r="B210">
        <v>22973265</v>
      </c>
      <c r="C210" t="s">
        <v>96</v>
      </c>
      <c r="D210" t="s">
        <v>97</v>
      </c>
      <c r="E210" t="s">
        <v>428</v>
      </c>
      <c r="F210" t="s">
        <v>510</v>
      </c>
      <c r="G210" t="s">
        <v>430</v>
      </c>
      <c r="H210" t="s">
        <v>431</v>
      </c>
      <c r="I210" t="s">
        <v>432</v>
      </c>
      <c r="J210" t="s">
        <v>432</v>
      </c>
      <c r="K210">
        <v>0</v>
      </c>
      <c r="L210" t="s">
        <v>428</v>
      </c>
      <c r="M210" t="s">
        <v>428</v>
      </c>
      <c r="N210">
        <v>166124</v>
      </c>
      <c r="O210">
        <f>INDEX(AllCollegeBarrons,MATCH(N210,AllCollegeNCES,0))</f>
        <v>0</v>
      </c>
      <c r="P210">
        <f>INDEX(KidGPAs,MATCH(B210,KidIDs,0))</f>
        <v>0</v>
      </c>
      <c r="Q210">
        <f>INDEX(KidACTs,MATCH(B210,KidIDs,0))</f>
        <v>0</v>
      </c>
      <c r="R210">
        <f>INDEX(Strats,MATCH(B210,KidIDs,0))</f>
        <v>0</v>
      </c>
      <c r="S210">
        <f>INDEX(KidRace,MATCH(B210,KidIDs,0))</f>
        <v>0</v>
      </c>
      <c r="T210">
        <f>IF(OR(S210="M",S210="I"),"H",S210)</f>
        <v>0</v>
      </c>
      <c r="U210">
        <f>INDEX(StudentTargets,MATCH(B210,KidIDs,0))</f>
        <v>0</v>
      </c>
      <c r="V210">
        <f>INDEX(ReachStudentTargets,MATCH(B210,KidIDs,0))</f>
        <v>0</v>
      </c>
      <c r="W210">
        <f>IF(OR(M210="Posse"),1,0)</f>
        <v>0</v>
      </c>
      <c r="X210">
        <f>IF(ISNUMBER(INDEX(AllCollegeGR, MATCH(N210,AllCollegeNCES,0))),ROUND(INDEX(AllCollegeGR, MATCH(N210,AllCollegeNCES,0))+W210*IF(INDEX(AllCollegeGR, MATCH(N210,AllCollegeNCES,0))&gt;0.7,(1-INDEX(AllCollegeGR, MATCH(N210,AllCollegeNCES,0)))/2,0.15),2),INDEX(AllCollegeGR, MATCH(N210,AllCollegeNCES,0)))</f>
        <v>0</v>
      </c>
      <c r="Y210">
        <f>IF(ISNUMBER(INDEX(AllCollegeAAHGR, MATCH(N210,AllCollegeNCES,0))),ROUND(INDEX(AllCollegeAAHGR, MATCH(N210,AllCollegeNCES,0))+W210*IF(INDEX(AllCollegeAAHGR, MATCH(N210,AllCollegeNCES,0))&gt;0.7,(1-INDEX(AllCollegeAAHGR, MATCH(N210,AllCollegeNCES,0)))/2,0.15),2),INDEX(AllCollegeAAHGR, MATCH(N210,AllCollegeNCES,0)))</f>
        <v>0</v>
      </c>
      <c r="Z210">
        <f>IF(OR(T210="H",T210="B"),INDEX(AllCollegeACT25, MATCH(N210,AllCollegeNCES,0)),INDEX(AllCollegeACT50, MATCH(N210,AllCollegeNCES,0)))</f>
        <v>0</v>
      </c>
      <c r="AA210">
        <f>INDEX(CustomWeightsGPA,MATCH(T210&amp;":"&amp;N210,CustomWeightsIndex,0))</f>
        <v>0</v>
      </c>
      <c r="AB210">
        <f>INDEX(CustomWeightsACT,MATCH(T210&amp;":"&amp;N210,CustomWeightsIndex,0))</f>
        <v>0</v>
      </c>
      <c r="AC210">
        <f>INDEX(CustomWeightsIntercept,MATCH(T210&amp;":"&amp;N210,CustomWeightsIndex,0))</f>
        <v>0</v>
      </c>
      <c r="AD210">
        <f>AA210*P210+AB210*Q210+AC210</f>
        <v>0</v>
      </c>
      <c r="AE210">
        <f>INDEX(CoefficientsGPA,MATCH(T210&amp;":"&amp;O210,CoefficientsIndex,0))</f>
        <v>0</v>
      </c>
      <c r="AF210">
        <f>INDEX(CoefficientsACT,MATCH(T210&amp;":"&amp;O210,CoefficientsIndex,0))</f>
        <v>0</v>
      </c>
      <c r="AG210">
        <f>INDEX(CoefficientsIntercept,MATCH(T210&amp;":"&amp;O210,CoefficientsIndex,0))</f>
        <v>0</v>
      </c>
      <c r="AH210">
        <f>AE210*P210+(Q210-Z210)*AF210+AG210</f>
        <v>0</v>
      </c>
      <c r="AI210">
        <f>IF(ISNUMBER(AD210),AD210,AH210)</f>
        <v>0</v>
      </c>
      <c r="AJ210">
        <f>IF(ISNUMBER(AI210),IF(ISNUMBER(AE210),IF(AND(AE210=1,AF210=1,AG210=1),100,ROUND(100*EXP(AI210)/(1+EXP(AI210)),2)),ROUND(100*EXP(AI210)/(1+EXP(AI210)),2)),IF(ISTEXT(O210),IF(LEFT(O210,1)="2",100,"N/A"),"N/A"))</f>
        <v>0</v>
      </c>
      <c r="AK210">
        <f>IF(ISNUMBER(AJ210),IF(AJ210&gt;=99,IF(OR(R210=10,R210=11),MatchLabel,SureThingLabel),IF(AJ210&gt;=95,SecureLabel,IF(AJ210&gt;=80,SafetyLabel,IF(AJ210&gt;=50,MatchLabel,IF(AJ210&gt;=20,ReachLabel,IF(AJ210&gt;=10,LongshotLabel,HailMaryLabel)))))),"Other")</f>
        <v>0</v>
      </c>
      <c r="AL210">
        <f>IF(OR(I210="accepted",I210="cond. accept",I210="summer admit"),IF(J210="yes","CHOICE!","Accepted!"),IF(I210="denied","Denied",IF(K210=1,"Waitlist",IF(L210=1,"Deferred",IF(G210="pending","Pending",IF(OR(G210="initial materials submitted",G210="mid-year submitted",G210="final submitted"),"Submitted",IF(H210="interest","Interest","?")))))))</f>
        <v>0</v>
      </c>
      <c r="AM210">
        <f>IF(OR(AK210=ReachLabel,AK210=LongshotLabel,AK210=HailMaryLabel),1,0)</f>
        <v>0</v>
      </c>
      <c r="AN210">
        <f>IF(OR(AM210=1,AK210=MatchLabel),1,0)</f>
        <v>0</v>
      </c>
      <c r="AO210">
        <f>IF(OR(AK210=MatchLabel,AK210=SafetyLabel,AK210=SecureLabel,AK210=SureThingLabel),1,0)</f>
        <v>0</v>
      </c>
      <c r="AP210">
        <f>IF(OR(T210="H",T210="B"),IF(ISNUMBER(Y210),ROUND(Y210,2),0),IF(ISNUMBER(X210),ROUND(X210,2),0))</f>
        <v>0</v>
      </c>
      <c r="AQ210">
        <f>IF(AP210&gt;=U210,1,0)</f>
        <v>0</v>
      </c>
      <c r="AR210">
        <f>IF(AP210&gt;=V210,1,0)</f>
        <v>0</v>
      </c>
      <c r="AS210">
        <f>IF(AP210&lt;(U210-0.10),1,0)</f>
        <v>0</v>
      </c>
      <c r="AT210">
        <f>1-AJ210/100</f>
        <v>0</v>
      </c>
      <c r="AU210">
        <f>IF(AN210=1,AT210,1)</f>
        <v>0</v>
      </c>
      <c r="AV210">
        <f>IF(AM210=1,AT210,1)</f>
        <v>0</v>
      </c>
      <c r="AW210">
        <f>IF(AND(AQ210=1,ISNUMBER(AT210)),$AT210,1)</f>
        <v>0</v>
      </c>
      <c r="AX210">
        <f>IF(AND(AR210=1,ISNUMBER(AT210)),$AT210,1)</f>
        <v>0</v>
      </c>
      <c r="AY210">
        <f>IF(ISNUMBER(Y210),INDEX(AllCollegeMoney, MATCH(N210,AllCollegeNCES,0)),0)</f>
        <v>0</v>
      </c>
      <c r="AZ210">
        <f>IF(AND(AQ210=1,ISNUMBER(AT210),AY210=1),$AT210,1)</f>
        <v>0</v>
      </c>
      <c r="BA210">
        <f>IF(AND(AR210=1,ISNUMBER(AT210),AY210=1),$AT210,1)</f>
        <v>0</v>
      </c>
      <c r="BB210">
        <f>IF(ISNUMBER(Y210),INDEX(AllCollegeILPub, MATCH(N210,AllCollegeNCES,0)),0)</f>
        <v>0</v>
      </c>
      <c r="BC210">
        <f>IF(AK210=ReachLabel,AP210,0)</f>
        <v>0</v>
      </c>
      <c r="BD210">
        <f>IF(AK210=MatchLabel,AP210,0)</f>
        <v>0</v>
      </c>
      <c r="BE210">
        <f>IF(AK210=SafetyLabel,AP210,0)</f>
        <v>0</v>
      </c>
      <c r="BF210">
        <f>IF(AK210=SecureLabel,AP210,0)</f>
        <v>0</v>
      </c>
      <c r="BG210">
        <f>IF(AK210=SureThingLabel,AP210,0)</f>
        <v>0</v>
      </c>
      <c r="BH210">
        <f>MAX(BC210:BG210)</f>
        <v>0</v>
      </c>
      <c r="BI210">
        <f>MAX(BD210:BG210)</f>
        <v>0</v>
      </c>
      <c r="BJ210">
        <f>MAX(BE210:BG210)</f>
        <v>0</v>
      </c>
      <c r="BK210">
        <f>IF(AND(AK210=ReachLabel,AY210=1),AP210,0)</f>
        <v>0</v>
      </c>
      <c r="BL210">
        <f>IF(AND(AK210=MatchLabel,AY210=1),AP210,0)</f>
        <v>0</v>
      </c>
      <c r="BM210">
        <f>IF(AND(AK210=SafetyLabel,AY210=1),AP210,0)</f>
        <v>0</v>
      </c>
      <c r="BN210">
        <f>IF(AND(AK210=SecureLabel,AY210=1),AP210,0)</f>
        <v>0</v>
      </c>
      <c r="BO210">
        <f>IF(AND(AK210=SureThingLabel,AY210=1),AP210,0)</f>
        <v>0</v>
      </c>
      <c r="BP210">
        <f>MAX(BK210:BO210)</f>
        <v>0</v>
      </c>
      <c r="BQ210">
        <f>MAX(BL210:BO210)</f>
        <v>0</v>
      </c>
      <c r="BR210">
        <f>MAX(BM210:BO210)</f>
        <v>0</v>
      </c>
      <c r="BS210">
        <f>IF(ISNUMBER(Y210),INDEX(AllCollegeChicago, MATCH(N210,AllCollegeNCES,0))*AY210,0)</f>
        <v>0</v>
      </c>
      <c r="BT210">
        <f>IF(ISNUMBER(Y210),INDEX(AllCollegeMoneyCode, MATCH(N210,AllCollegeNCES,0)),"?")</f>
        <v>0</v>
      </c>
      <c r="BU210">
        <f>IF(OR(BT210="---",BT210="--",BT210="+/--",BT210="+/---"),1,0)</f>
        <v>0</v>
      </c>
      <c r="BV210">
        <f>AY210*AO210*AQ210</f>
        <v>0</v>
      </c>
    </row>
    <row r="211" spans="1:74">
      <c r="A211" t="s">
        <v>86</v>
      </c>
      <c r="B211">
        <v>22973265</v>
      </c>
      <c r="C211" t="s">
        <v>96</v>
      </c>
      <c r="D211" t="s">
        <v>97</v>
      </c>
      <c r="E211" t="s">
        <v>428</v>
      </c>
      <c r="F211" t="s">
        <v>511</v>
      </c>
      <c r="G211" t="s">
        <v>430</v>
      </c>
      <c r="H211" t="s">
        <v>431</v>
      </c>
      <c r="I211" t="s">
        <v>432</v>
      </c>
      <c r="J211" t="s">
        <v>432</v>
      </c>
      <c r="K211">
        <v>0</v>
      </c>
      <c r="L211" t="s">
        <v>428</v>
      </c>
      <c r="M211" t="s">
        <v>428</v>
      </c>
      <c r="N211">
        <v>199847</v>
      </c>
      <c r="O211">
        <f>INDEX(AllCollegeBarrons,MATCH(N211,AllCollegeNCES,0))</f>
        <v>0</v>
      </c>
      <c r="P211">
        <f>INDEX(KidGPAs,MATCH(B211,KidIDs,0))</f>
        <v>0</v>
      </c>
      <c r="Q211">
        <f>INDEX(KidACTs,MATCH(B211,KidIDs,0))</f>
        <v>0</v>
      </c>
      <c r="R211">
        <f>INDEX(Strats,MATCH(B211,KidIDs,0))</f>
        <v>0</v>
      </c>
      <c r="S211">
        <f>INDEX(KidRace,MATCH(B211,KidIDs,0))</f>
        <v>0</v>
      </c>
      <c r="T211">
        <f>IF(OR(S211="M",S211="I"),"H",S211)</f>
        <v>0</v>
      </c>
      <c r="U211">
        <f>INDEX(StudentTargets,MATCH(B211,KidIDs,0))</f>
        <v>0</v>
      </c>
      <c r="V211">
        <f>INDEX(ReachStudentTargets,MATCH(B211,KidIDs,0))</f>
        <v>0</v>
      </c>
      <c r="W211">
        <f>IF(OR(M211="Posse"),1,0)</f>
        <v>0</v>
      </c>
      <c r="X211">
        <f>IF(ISNUMBER(INDEX(AllCollegeGR, MATCH(N211,AllCollegeNCES,0))),ROUND(INDEX(AllCollegeGR, MATCH(N211,AllCollegeNCES,0))+W211*IF(INDEX(AllCollegeGR, MATCH(N211,AllCollegeNCES,0))&gt;0.7,(1-INDEX(AllCollegeGR, MATCH(N211,AllCollegeNCES,0)))/2,0.15),2),INDEX(AllCollegeGR, MATCH(N211,AllCollegeNCES,0)))</f>
        <v>0</v>
      </c>
      <c r="Y211">
        <f>IF(ISNUMBER(INDEX(AllCollegeAAHGR, MATCH(N211,AllCollegeNCES,0))),ROUND(INDEX(AllCollegeAAHGR, MATCH(N211,AllCollegeNCES,0))+W211*IF(INDEX(AllCollegeAAHGR, MATCH(N211,AllCollegeNCES,0))&gt;0.7,(1-INDEX(AllCollegeAAHGR, MATCH(N211,AllCollegeNCES,0)))/2,0.15),2),INDEX(AllCollegeAAHGR, MATCH(N211,AllCollegeNCES,0)))</f>
        <v>0</v>
      </c>
      <c r="Z211">
        <f>IF(OR(T211="H",T211="B"),INDEX(AllCollegeACT25, MATCH(N211,AllCollegeNCES,0)),INDEX(AllCollegeACT50, MATCH(N211,AllCollegeNCES,0)))</f>
        <v>0</v>
      </c>
      <c r="AA211">
        <f>INDEX(CustomWeightsGPA,MATCH(T211&amp;":"&amp;N211,CustomWeightsIndex,0))</f>
        <v>0</v>
      </c>
      <c r="AB211">
        <f>INDEX(CustomWeightsACT,MATCH(T211&amp;":"&amp;N211,CustomWeightsIndex,0))</f>
        <v>0</v>
      </c>
      <c r="AC211">
        <f>INDEX(CustomWeightsIntercept,MATCH(T211&amp;":"&amp;N211,CustomWeightsIndex,0))</f>
        <v>0</v>
      </c>
      <c r="AD211">
        <f>AA211*P211+AB211*Q211+AC211</f>
        <v>0</v>
      </c>
      <c r="AE211">
        <f>INDEX(CoefficientsGPA,MATCH(T211&amp;":"&amp;O211,CoefficientsIndex,0))</f>
        <v>0</v>
      </c>
      <c r="AF211">
        <f>INDEX(CoefficientsACT,MATCH(T211&amp;":"&amp;O211,CoefficientsIndex,0))</f>
        <v>0</v>
      </c>
      <c r="AG211">
        <f>INDEX(CoefficientsIntercept,MATCH(T211&amp;":"&amp;O211,CoefficientsIndex,0))</f>
        <v>0</v>
      </c>
      <c r="AH211">
        <f>AE211*P211+(Q211-Z211)*AF211+AG211</f>
        <v>0</v>
      </c>
      <c r="AI211">
        <f>IF(ISNUMBER(AD211),AD211,AH211)</f>
        <v>0</v>
      </c>
      <c r="AJ211">
        <f>IF(ISNUMBER(AI211),IF(ISNUMBER(AE211),IF(AND(AE211=1,AF211=1,AG211=1),100,ROUND(100*EXP(AI211)/(1+EXP(AI211)),2)),ROUND(100*EXP(AI211)/(1+EXP(AI211)),2)),IF(ISTEXT(O211),IF(LEFT(O211,1)="2",100,"N/A"),"N/A"))</f>
        <v>0</v>
      </c>
      <c r="AK211">
        <f>IF(ISNUMBER(AJ211),IF(AJ211&gt;=99,IF(OR(R211=10,R211=11),MatchLabel,SureThingLabel),IF(AJ211&gt;=95,SecureLabel,IF(AJ211&gt;=80,SafetyLabel,IF(AJ211&gt;=50,MatchLabel,IF(AJ211&gt;=20,ReachLabel,IF(AJ211&gt;=10,LongshotLabel,HailMaryLabel)))))),"Other")</f>
        <v>0</v>
      </c>
      <c r="AL211">
        <f>IF(OR(I211="accepted",I211="cond. accept",I211="summer admit"),IF(J211="yes","CHOICE!","Accepted!"),IF(I211="denied","Denied",IF(K211=1,"Waitlist",IF(L211=1,"Deferred",IF(G211="pending","Pending",IF(OR(G211="initial materials submitted",G211="mid-year submitted",G211="final submitted"),"Submitted",IF(H211="interest","Interest","?")))))))</f>
        <v>0</v>
      </c>
      <c r="AM211">
        <f>IF(OR(AK211=ReachLabel,AK211=LongshotLabel,AK211=HailMaryLabel),1,0)</f>
        <v>0</v>
      </c>
      <c r="AN211">
        <f>IF(OR(AM211=1,AK211=MatchLabel),1,0)</f>
        <v>0</v>
      </c>
      <c r="AO211">
        <f>IF(OR(AK211=MatchLabel,AK211=SafetyLabel,AK211=SecureLabel,AK211=SureThingLabel),1,0)</f>
        <v>0</v>
      </c>
      <c r="AP211">
        <f>IF(OR(T211="H",T211="B"),IF(ISNUMBER(Y211),ROUND(Y211,2),0),IF(ISNUMBER(X211),ROUND(X211,2),0))</f>
        <v>0</v>
      </c>
      <c r="AQ211">
        <f>IF(AP211&gt;=U211,1,0)</f>
        <v>0</v>
      </c>
      <c r="AR211">
        <f>IF(AP211&gt;=V211,1,0)</f>
        <v>0</v>
      </c>
      <c r="AS211">
        <f>IF(AP211&lt;(U211-0.10),1,0)</f>
        <v>0</v>
      </c>
      <c r="AT211">
        <f>1-AJ211/100</f>
        <v>0</v>
      </c>
      <c r="AU211">
        <f>IF(AN211=1,AT211,1)</f>
        <v>0</v>
      </c>
      <c r="AV211">
        <f>IF(AM211=1,AT211,1)</f>
        <v>0</v>
      </c>
      <c r="AW211">
        <f>IF(AND(AQ211=1,ISNUMBER(AT211)),$AT211,1)</f>
        <v>0</v>
      </c>
      <c r="AX211">
        <f>IF(AND(AR211=1,ISNUMBER(AT211)),$AT211,1)</f>
        <v>0</v>
      </c>
      <c r="AY211">
        <f>IF(ISNUMBER(Y211),INDEX(AllCollegeMoney, MATCH(N211,AllCollegeNCES,0)),0)</f>
        <v>0</v>
      </c>
      <c r="AZ211">
        <f>IF(AND(AQ211=1,ISNUMBER(AT211),AY211=1),$AT211,1)</f>
        <v>0</v>
      </c>
      <c r="BA211">
        <f>IF(AND(AR211=1,ISNUMBER(AT211),AY211=1),$AT211,1)</f>
        <v>0</v>
      </c>
      <c r="BB211">
        <f>IF(ISNUMBER(Y211),INDEX(AllCollegeILPub, MATCH(N211,AllCollegeNCES,0)),0)</f>
        <v>0</v>
      </c>
      <c r="BC211">
        <f>IF(AK211=ReachLabel,AP211,0)</f>
        <v>0</v>
      </c>
      <c r="BD211">
        <f>IF(AK211=MatchLabel,AP211,0)</f>
        <v>0</v>
      </c>
      <c r="BE211">
        <f>IF(AK211=SafetyLabel,AP211,0)</f>
        <v>0</v>
      </c>
      <c r="BF211">
        <f>IF(AK211=SecureLabel,AP211,0)</f>
        <v>0</v>
      </c>
      <c r="BG211">
        <f>IF(AK211=SureThingLabel,AP211,0)</f>
        <v>0</v>
      </c>
      <c r="BH211">
        <f>MAX(BC211:BG211)</f>
        <v>0</v>
      </c>
      <c r="BI211">
        <f>MAX(BD211:BG211)</f>
        <v>0</v>
      </c>
      <c r="BJ211">
        <f>MAX(BE211:BG211)</f>
        <v>0</v>
      </c>
      <c r="BK211">
        <f>IF(AND(AK211=ReachLabel,AY211=1),AP211,0)</f>
        <v>0</v>
      </c>
      <c r="BL211">
        <f>IF(AND(AK211=MatchLabel,AY211=1),AP211,0)</f>
        <v>0</v>
      </c>
      <c r="BM211">
        <f>IF(AND(AK211=SafetyLabel,AY211=1),AP211,0)</f>
        <v>0</v>
      </c>
      <c r="BN211">
        <f>IF(AND(AK211=SecureLabel,AY211=1),AP211,0)</f>
        <v>0</v>
      </c>
      <c r="BO211">
        <f>IF(AND(AK211=SureThingLabel,AY211=1),AP211,0)</f>
        <v>0</v>
      </c>
      <c r="BP211">
        <f>MAX(BK211:BO211)</f>
        <v>0</v>
      </c>
      <c r="BQ211">
        <f>MAX(BL211:BO211)</f>
        <v>0</v>
      </c>
      <c r="BR211">
        <f>MAX(BM211:BO211)</f>
        <v>0</v>
      </c>
      <c r="BS211">
        <f>IF(ISNUMBER(Y211),INDEX(AllCollegeChicago, MATCH(N211,AllCollegeNCES,0))*AY211,0)</f>
        <v>0</v>
      </c>
      <c r="BT211">
        <f>IF(ISNUMBER(Y211),INDEX(AllCollegeMoneyCode, MATCH(N211,AllCollegeNCES,0)),"?")</f>
        <v>0</v>
      </c>
      <c r="BU211">
        <f>IF(OR(BT211="---",BT211="--",BT211="+/--",BT211="+/---"),1,0)</f>
        <v>0</v>
      </c>
      <c r="BV211">
        <f>AY211*AO211*AQ211</f>
        <v>0</v>
      </c>
    </row>
    <row r="212" spans="1:74">
      <c r="A212" t="s">
        <v>86</v>
      </c>
      <c r="B212">
        <v>22973265</v>
      </c>
      <c r="C212" t="s">
        <v>96</v>
      </c>
      <c r="D212" t="s">
        <v>97</v>
      </c>
      <c r="E212" t="s">
        <v>428</v>
      </c>
      <c r="F212" t="s">
        <v>456</v>
      </c>
      <c r="G212" t="s">
        <v>463</v>
      </c>
      <c r="H212" t="s">
        <v>431</v>
      </c>
      <c r="I212" t="s">
        <v>432</v>
      </c>
      <c r="J212" t="s">
        <v>432</v>
      </c>
      <c r="K212">
        <v>0</v>
      </c>
      <c r="L212" t="s">
        <v>428</v>
      </c>
      <c r="M212" t="s">
        <v>428</v>
      </c>
      <c r="N212">
        <v>213668</v>
      </c>
      <c r="O212">
        <f>INDEX(AllCollegeBarrons,MATCH(N212,AllCollegeNCES,0))</f>
        <v>0</v>
      </c>
      <c r="P212">
        <f>INDEX(KidGPAs,MATCH(B212,KidIDs,0))</f>
        <v>0</v>
      </c>
      <c r="Q212">
        <f>INDEX(KidACTs,MATCH(B212,KidIDs,0))</f>
        <v>0</v>
      </c>
      <c r="R212">
        <f>INDEX(Strats,MATCH(B212,KidIDs,0))</f>
        <v>0</v>
      </c>
      <c r="S212">
        <f>INDEX(KidRace,MATCH(B212,KidIDs,0))</f>
        <v>0</v>
      </c>
      <c r="T212">
        <f>IF(OR(S212="M",S212="I"),"H",S212)</f>
        <v>0</v>
      </c>
      <c r="U212">
        <f>INDEX(StudentTargets,MATCH(B212,KidIDs,0))</f>
        <v>0</v>
      </c>
      <c r="V212">
        <f>INDEX(ReachStudentTargets,MATCH(B212,KidIDs,0))</f>
        <v>0</v>
      </c>
      <c r="W212">
        <f>IF(OR(M212="Posse"),1,0)</f>
        <v>0</v>
      </c>
      <c r="X212">
        <f>IF(ISNUMBER(INDEX(AllCollegeGR, MATCH(N212,AllCollegeNCES,0))),ROUND(INDEX(AllCollegeGR, MATCH(N212,AllCollegeNCES,0))+W212*IF(INDEX(AllCollegeGR, MATCH(N212,AllCollegeNCES,0))&gt;0.7,(1-INDEX(AllCollegeGR, MATCH(N212,AllCollegeNCES,0)))/2,0.15),2),INDEX(AllCollegeGR, MATCH(N212,AllCollegeNCES,0)))</f>
        <v>0</v>
      </c>
      <c r="Y212">
        <f>IF(ISNUMBER(INDEX(AllCollegeAAHGR, MATCH(N212,AllCollegeNCES,0))),ROUND(INDEX(AllCollegeAAHGR, MATCH(N212,AllCollegeNCES,0))+W212*IF(INDEX(AllCollegeAAHGR, MATCH(N212,AllCollegeNCES,0))&gt;0.7,(1-INDEX(AllCollegeAAHGR, MATCH(N212,AllCollegeNCES,0)))/2,0.15),2),INDEX(AllCollegeAAHGR, MATCH(N212,AllCollegeNCES,0)))</f>
        <v>0</v>
      </c>
      <c r="Z212">
        <f>IF(OR(T212="H",T212="B"),INDEX(AllCollegeACT25, MATCH(N212,AllCollegeNCES,0)),INDEX(AllCollegeACT50, MATCH(N212,AllCollegeNCES,0)))</f>
        <v>0</v>
      </c>
      <c r="AA212">
        <f>INDEX(CustomWeightsGPA,MATCH(T212&amp;":"&amp;N212,CustomWeightsIndex,0))</f>
        <v>0</v>
      </c>
      <c r="AB212">
        <f>INDEX(CustomWeightsACT,MATCH(T212&amp;":"&amp;N212,CustomWeightsIndex,0))</f>
        <v>0</v>
      </c>
      <c r="AC212">
        <f>INDEX(CustomWeightsIntercept,MATCH(T212&amp;":"&amp;N212,CustomWeightsIndex,0))</f>
        <v>0</v>
      </c>
      <c r="AD212">
        <f>AA212*P212+AB212*Q212+AC212</f>
        <v>0</v>
      </c>
      <c r="AE212">
        <f>INDEX(CoefficientsGPA,MATCH(T212&amp;":"&amp;O212,CoefficientsIndex,0))</f>
        <v>0</v>
      </c>
      <c r="AF212">
        <f>INDEX(CoefficientsACT,MATCH(T212&amp;":"&amp;O212,CoefficientsIndex,0))</f>
        <v>0</v>
      </c>
      <c r="AG212">
        <f>INDEX(CoefficientsIntercept,MATCH(T212&amp;":"&amp;O212,CoefficientsIndex,0))</f>
        <v>0</v>
      </c>
      <c r="AH212">
        <f>AE212*P212+(Q212-Z212)*AF212+AG212</f>
        <v>0</v>
      </c>
      <c r="AI212">
        <f>IF(ISNUMBER(AD212),AD212,AH212)</f>
        <v>0</v>
      </c>
      <c r="AJ212">
        <f>IF(ISNUMBER(AI212),IF(ISNUMBER(AE212),IF(AND(AE212=1,AF212=1,AG212=1),100,ROUND(100*EXP(AI212)/(1+EXP(AI212)),2)),ROUND(100*EXP(AI212)/(1+EXP(AI212)),2)),IF(ISTEXT(O212),IF(LEFT(O212,1)="2",100,"N/A"),"N/A"))</f>
        <v>0</v>
      </c>
      <c r="AK212">
        <f>IF(ISNUMBER(AJ212),IF(AJ212&gt;=99,IF(OR(R212=10,R212=11),MatchLabel,SureThingLabel),IF(AJ212&gt;=95,SecureLabel,IF(AJ212&gt;=80,SafetyLabel,IF(AJ212&gt;=50,MatchLabel,IF(AJ212&gt;=20,ReachLabel,IF(AJ212&gt;=10,LongshotLabel,HailMaryLabel)))))),"Other")</f>
        <v>0</v>
      </c>
      <c r="AL212">
        <f>IF(OR(I212="accepted",I212="cond. accept",I212="summer admit"),IF(J212="yes","CHOICE!","Accepted!"),IF(I212="denied","Denied",IF(K212=1,"Waitlist",IF(L212=1,"Deferred",IF(G212="pending","Pending",IF(OR(G212="initial materials submitted",G212="mid-year submitted",G212="final submitted"),"Submitted",IF(H212="interest","Interest","?")))))))</f>
        <v>0</v>
      </c>
      <c r="AM212">
        <f>IF(OR(AK212=ReachLabel,AK212=LongshotLabel,AK212=HailMaryLabel),1,0)</f>
        <v>0</v>
      </c>
      <c r="AN212">
        <f>IF(OR(AM212=1,AK212=MatchLabel),1,0)</f>
        <v>0</v>
      </c>
      <c r="AO212">
        <f>IF(OR(AK212=MatchLabel,AK212=SafetyLabel,AK212=SecureLabel,AK212=SureThingLabel),1,0)</f>
        <v>0</v>
      </c>
      <c r="AP212">
        <f>IF(OR(T212="H",T212="B"),IF(ISNUMBER(Y212),ROUND(Y212,2),0),IF(ISNUMBER(X212),ROUND(X212,2),0))</f>
        <v>0</v>
      </c>
      <c r="AQ212">
        <f>IF(AP212&gt;=U212,1,0)</f>
        <v>0</v>
      </c>
      <c r="AR212">
        <f>IF(AP212&gt;=V212,1,0)</f>
        <v>0</v>
      </c>
      <c r="AS212">
        <f>IF(AP212&lt;(U212-0.10),1,0)</f>
        <v>0</v>
      </c>
      <c r="AT212">
        <f>1-AJ212/100</f>
        <v>0</v>
      </c>
      <c r="AU212">
        <f>IF(AN212=1,AT212,1)</f>
        <v>0</v>
      </c>
      <c r="AV212">
        <f>IF(AM212=1,AT212,1)</f>
        <v>0</v>
      </c>
      <c r="AW212">
        <f>IF(AND(AQ212=1,ISNUMBER(AT212)),$AT212,1)</f>
        <v>0</v>
      </c>
      <c r="AX212">
        <f>IF(AND(AR212=1,ISNUMBER(AT212)),$AT212,1)</f>
        <v>0</v>
      </c>
      <c r="AY212">
        <f>IF(ISNUMBER(Y212),INDEX(AllCollegeMoney, MATCH(N212,AllCollegeNCES,0)),0)</f>
        <v>0</v>
      </c>
      <c r="AZ212">
        <f>IF(AND(AQ212=1,ISNUMBER(AT212),AY212=1),$AT212,1)</f>
        <v>0</v>
      </c>
      <c r="BA212">
        <f>IF(AND(AR212=1,ISNUMBER(AT212),AY212=1),$AT212,1)</f>
        <v>0</v>
      </c>
      <c r="BB212">
        <f>IF(ISNUMBER(Y212),INDEX(AllCollegeILPub, MATCH(N212,AllCollegeNCES,0)),0)</f>
        <v>0</v>
      </c>
      <c r="BC212">
        <f>IF(AK212=ReachLabel,AP212,0)</f>
        <v>0</v>
      </c>
      <c r="BD212">
        <f>IF(AK212=MatchLabel,AP212,0)</f>
        <v>0</v>
      </c>
      <c r="BE212">
        <f>IF(AK212=SafetyLabel,AP212,0)</f>
        <v>0</v>
      </c>
      <c r="BF212">
        <f>IF(AK212=SecureLabel,AP212,0)</f>
        <v>0</v>
      </c>
      <c r="BG212">
        <f>IF(AK212=SureThingLabel,AP212,0)</f>
        <v>0</v>
      </c>
      <c r="BH212">
        <f>MAX(BC212:BG212)</f>
        <v>0</v>
      </c>
      <c r="BI212">
        <f>MAX(BD212:BG212)</f>
        <v>0</v>
      </c>
      <c r="BJ212">
        <f>MAX(BE212:BG212)</f>
        <v>0</v>
      </c>
      <c r="BK212">
        <f>IF(AND(AK212=ReachLabel,AY212=1),AP212,0)</f>
        <v>0</v>
      </c>
      <c r="BL212">
        <f>IF(AND(AK212=MatchLabel,AY212=1),AP212,0)</f>
        <v>0</v>
      </c>
      <c r="BM212">
        <f>IF(AND(AK212=SafetyLabel,AY212=1),AP212,0)</f>
        <v>0</v>
      </c>
      <c r="BN212">
        <f>IF(AND(AK212=SecureLabel,AY212=1),AP212,0)</f>
        <v>0</v>
      </c>
      <c r="BO212">
        <f>IF(AND(AK212=SureThingLabel,AY212=1),AP212,0)</f>
        <v>0</v>
      </c>
      <c r="BP212">
        <f>MAX(BK212:BO212)</f>
        <v>0</v>
      </c>
      <c r="BQ212">
        <f>MAX(BL212:BO212)</f>
        <v>0</v>
      </c>
      <c r="BR212">
        <f>MAX(BM212:BO212)</f>
        <v>0</v>
      </c>
      <c r="BS212">
        <f>IF(ISNUMBER(Y212),INDEX(AllCollegeChicago, MATCH(N212,AllCollegeNCES,0))*AY212,0)</f>
        <v>0</v>
      </c>
      <c r="BT212">
        <f>IF(ISNUMBER(Y212),INDEX(AllCollegeMoneyCode, MATCH(N212,AllCollegeNCES,0)),"?")</f>
        <v>0</v>
      </c>
      <c r="BU212">
        <f>IF(OR(BT212="---",BT212="--",BT212="+/--",BT212="+/---"),1,0)</f>
        <v>0</v>
      </c>
      <c r="BV212">
        <f>AY212*AO212*AQ212</f>
        <v>0</v>
      </c>
    </row>
    <row r="213" spans="1:74">
      <c r="A213" t="s">
        <v>86</v>
      </c>
      <c r="B213">
        <v>22973265</v>
      </c>
      <c r="C213" t="s">
        <v>96</v>
      </c>
      <c r="D213" t="s">
        <v>97</v>
      </c>
      <c r="E213" t="s">
        <v>428</v>
      </c>
      <c r="F213" t="s">
        <v>462</v>
      </c>
      <c r="G213" t="s">
        <v>463</v>
      </c>
      <c r="H213" t="s">
        <v>431</v>
      </c>
      <c r="I213" t="s">
        <v>432</v>
      </c>
      <c r="J213" t="s">
        <v>432</v>
      </c>
      <c r="K213">
        <v>0</v>
      </c>
      <c r="L213" t="s">
        <v>428</v>
      </c>
      <c r="M213" t="s">
        <v>428</v>
      </c>
      <c r="N213">
        <v>168546</v>
      </c>
      <c r="O213">
        <f>INDEX(AllCollegeBarrons,MATCH(N213,AllCollegeNCES,0))</f>
        <v>0</v>
      </c>
      <c r="P213">
        <f>INDEX(KidGPAs,MATCH(B213,KidIDs,0))</f>
        <v>0</v>
      </c>
      <c r="Q213">
        <f>INDEX(KidACTs,MATCH(B213,KidIDs,0))</f>
        <v>0</v>
      </c>
      <c r="R213">
        <f>INDEX(Strats,MATCH(B213,KidIDs,0))</f>
        <v>0</v>
      </c>
      <c r="S213">
        <f>INDEX(KidRace,MATCH(B213,KidIDs,0))</f>
        <v>0</v>
      </c>
      <c r="T213">
        <f>IF(OR(S213="M",S213="I"),"H",S213)</f>
        <v>0</v>
      </c>
      <c r="U213">
        <f>INDEX(StudentTargets,MATCH(B213,KidIDs,0))</f>
        <v>0</v>
      </c>
      <c r="V213">
        <f>INDEX(ReachStudentTargets,MATCH(B213,KidIDs,0))</f>
        <v>0</v>
      </c>
      <c r="W213">
        <f>IF(OR(M213="Posse"),1,0)</f>
        <v>0</v>
      </c>
      <c r="X213">
        <f>IF(ISNUMBER(INDEX(AllCollegeGR, MATCH(N213,AllCollegeNCES,0))),ROUND(INDEX(AllCollegeGR, MATCH(N213,AllCollegeNCES,0))+W213*IF(INDEX(AllCollegeGR, MATCH(N213,AllCollegeNCES,0))&gt;0.7,(1-INDEX(AllCollegeGR, MATCH(N213,AllCollegeNCES,0)))/2,0.15),2),INDEX(AllCollegeGR, MATCH(N213,AllCollegeNCES,0)))</f>
        <v>0</v>
      </c>
      <c r="Y213">
        <f>IF(ISNUMBER(INDEX(AllCollegeAAHGR, MATCH(N213,AllCollegeNCES,0))),ROUND(INDEX(AllCollegeAAHGR, MATCH(N213,AllCollegeNCES,0))+W213*IF(INDEX(AllCollegeAAHGR, MATCH(N213,AllCollegeNCES,0))&gt;0.7,(1-INDEX(AllCollegeAAHGR, MATCH(N213,AllCollegeNCES,0)))/2,0.15),2),INDEX(AllCollegeAAHGR, MATCH(N213,AllCollegeNCES,0)))</f>
        <v>0</v>
      </c>
      <c r="Z213">
        <f>IF(OR(T213="H",T213="B"),INDEX(AllCollegeACT25, MATCH(N213,AllCollegeNCES,0)),INDEX(AllCollegeACT50, MATCH(N213,AllCollegeNCES,0)))</f>
        <v>0</v>
      </c>
      <c r="AA213">
        <f>INDEX(CustomWeightsGPA,MATCH(T213&amp;":"&amp;N213,CustomWeightsIndex,0))</f>
        <v>0</v>
      </c>
      <c r="AB213">
        <f>INDEX(CustomWeightsACT,MATCH(T213&amp;":"&amp;N213,CustomWeightsIndex,0))</f>
        <v>0</v>
      </c>
      <c r="AC213">
        <f>INDEX(CustomWeightsIntercept,MATCH(T213&amp;":"&amp;N213,CustomWeightsIndex,0))</f>
        <v>0</v>
      </c>
      <c r="AD213">
        <f>AA213*P213+AB213*Q213+AC213</f>
        <v>0</v>
      </c>
      <c r="AE213">
        <f>INDEX(CoefficientsGPA,MATCH(T213&amp;":"&amp;O213,CoefficientsIndex,0))</f>
        <v>0</v>
      </c>
      <c r="AF213">
        <f>INDEX(CoefficientsACT,MATCH(T213&amp;":"&amp;O213,CoefficientsIndex,0))</f>
        <v>0</v>
      </c>
      <c r="AG213">
        <f>INDEX(CoefficientsIntercept,MATCH(T213&amp;":"&amp;O213,CoefficientsIndex,0))</f>
        <v>0</v>
      </c>
      <c r="AH213">
        <f>AE213*P213+(Q213-Z213)*AF213+AG213</f>
        <v>0</v>
      </c>
      <c r="AI213">
        <f>IF(ISNUMBER(AD213),AD213,AH213)</f>
        <v>0</v>
      </c>
      <c r="AJ213">
        <f>IF(ISNUMBER(AI213),IF(ISNUMBER(AE213),IF(AND(AE213=1,AF213=1,AG213=1),100,ROUND(100*EXP(AI213)/(1+EXP(AI213)),2)),ROUND(100*EXP(AI213)/(1+EXP(AI213)),2)),IF(ISTEXT(O213),IF(LEFT(O213,1)="2",100,"N/A"),"N/A"))</f>
        <v>0</v>
      </c>
      <c r="AK213">
        <f>IF(ISNUMBER(AJ213),IF(AJ213&gt;=99,IF(OR(R213=10,R213=11),MatchLabel,SureThingLabel),IF(AJ213&gt;=95,SecureLabel,IF(AJ213&gt;=80,SafetyLabel,IF(AJ213&gt;=50,MatchLabel,IF(AJ213&gt;=20,ReachLabel,IF(AJ213&gt;=10,LongshotLabel,HailMaryLabel)))))),"Other")</f>
        <v>0</v>
      </c>
      <c r="AL213">
        <f>IF(OR(I213="accepted",I213="cond. accept",I213="summer admit"),IF(J213="yes","CHOICE!","Accepted!"),IF(I213="denied","Denied",IF(K213=1,"Waitlist",IF(L213=1,"Deferred",IF(G213="pending","Pending",IF(OR(G213="initial materials submitted",G213="mid-year submitted",G213="final submitted"),"Submitted",IF(H213="interest","Interest","?")))))))</f>
        <v>0</v>
      </c>
      <c r="AM213">
        <f>IF(OR(AK213=ReachLabel,AK213=LongshotLabel,AK213=HailMaryLabel),1,0)</f>
        <v>0</v>
      </c>
      <c r="AN213">
        <f>IF(OR(AM213=1,AK213=MatchLabel),1,0)</f>
        <v>0</v>
      </c>
      <c r="AO213">
        <f>IF(OR(AK213=MatchLabel,AK213=SafetyLabel,AK213=SecureLabel,AK213=SureThingLabel),1,0)</f>
        <v>0</v>
      </c>
      <c r="AP213">
        <f>IF(OR(T213="H",T213="B"),IF(ISNUMBER(Y213),ROUND(Y213,2),0),IF(ISNUMBER(X213),ROUND(X213,2),0))</f>
        <v>0</v>
      </c>
      <c r="AQ213">
        <f>IF(AP213&gt;=U213,1,0)</f>
        <v>0</v>
      </c>
      <c r="AR213">
        <f>IF(AP213&gt;=V213,1,0)</f>
        <v>0</v>
      </c>
      <c r="AS213">
        <f>IF(AP213&lt;(U213-0.10),1,0)</f>
        <v>0</v>
      </c>
      <c r="AT213">
        <f>1-AJ213/100</f>
        <v>0</v>
      </c>
      <c r="AU213">
        <f>IF(AN213=1,AT213,1)</f>
        <v>0</v>
      </c>
      <c r="AV213">
        <f>IF(AM213=1,AT213,1)</f>
        <v>0</v>
      </c>
      <c r="AW213">
        <f>IF(AND(AQ213=1,ISNUMBER(AT213)),$AT213,1)</f>
        <v>0</v>
      </c>
      <c r="AX213">
        <f>IF(AND(AR213=1,ISNUMBER(AT213)),$AT213,1)</f>
        <v>0</v>
      </c>
      <c r="AY213">
        <f>IF(ISNUMBER(Y213),INDEX(AllCollegeMoney, MATCH(N213,AllCollegeNCES,0)),0)</f>
        <v>0</v>
      </c>
      <c r="AZ213">
        <f>IF(AND(AQ213=1,ISNUMBER(AT213),AY213=1),$AT213,1)</f>
        <v>0</v>
      </c>
      <c r="BA213">
        <f>IF(AND(AR213=1,ISNUMBER(AT213),AY213=1),$AT213,1)</f>
        <v>0</v>
      </c>
      <c r="BB213">
        <f>IF(ISNUMBER(Y213),INDEX(AllCollegeILPub, MATCH(N213,AllCollegeNCES,0)),0)</f>
        <v>0</v>
      </c>
      <c r="BC213">
        <f>IF(AK213=ReachLabel,AP213,0)</f>
        <v>0</v>
      </c>
      <c r="BD213">
        <f>IF(AK213=MatchLabel,AP213,0)</f>
        <v>0</v>
      </c>
      <c r="BE213">
        <f>IF(AK213=SafetyLabel,AP213,0)</f>
        <v>0</v>
      </c>
      <c r="BF213">
        <f>IF(AK213=SecureLabel,AP213,0)</f>
        <v>0</v>
      </c>
      <c r="BG213">
        <f>IF(AK213=SureThingLabel,AP213,0)</f>
        <v>0</v>
      </c>
      <c r="BH213">
        <f>MAX(BC213:BG213)</f>
        <v>0</v>
      </c>
      <c r="BI213">
        <f>MAX(BD213:BG213)</f>
        <v>0</v>
      </c>
      <c r="BJ213">
        <f>MAX(BE213:BG213)</f>
        <v>0</v>
      </c>
      <c r="BK213">
        <f>IF(AND(AK213=ReachLabel,AY213=1),AP213,0)</f>
        <v>0</v>
      </c>
      <c r="BL213">
        <f>IF(AND(AK213=MatchLabel,AY213=1),AP213,0)</f>
        <v>0</v>
      </c>
      <c r="BM213">
        <f>IF(AND(AK213=SafetyLabel,AY213=1),AP213,0)</f>
        <v>0</v>
      </c>
      <c r="BN213">
        <f>IF(AND(AK213=SecureLabel,AY213=1),AP213,0)</f>
        <v>0</v>
      </c>
      <c r="BO213">
        <f>IF(AND(AK213=SureThingLabel,AY213=1),AP213,0)</f>
        <v>0</v>
      </c>
      <c r="BP213">
        <f>MAX(BK213:BO213)</f>
        <v>0</v>
      </c>
      <c r="BQ213">
        <f>MAX(BL213:BO213)</f>
        <v>0</v>
      </c>
      <c r="BR213">
        <f>MAX(BM213:BO213)</f>
        <v>0</v>
      </c>
      <c r="BS213">
        <f>IF(ISNUMBER(Y213),INDEX(AllCollegeChicago, MATCH(N213,AllCollegeNCES,0))*AY213,0)</f>
        <v>0</v>
      </c>
      <c r="BT213">
        <f>IF(ISNUMBER(Y213),INDEX(AllCollegeMoneyCode, MATCH(N213,AllCollegeNCES,0)),"?")</f>
        <v>0</v>
      </c>
      <c r="BU213">
        <f>IF(OR(BT213="---",BT213="--",BT213="+/--",BT213="+/---"),1,0)</f>
        <v>0</v>
      </c>
      <c r="BV213">
        <f>AY213*AO213*AQ213</f>
        <v>0</v>
      </c>
    </row>
    <row r="214" spans="1:74">
      <c r="A214" t="s">
        <v>86</v>
      </c>
      <c r="B214">
        <v>22973265</v>
      </c>
      <c r="C214" t="s">
        <v>96</v>
      </c>
      <c r="D214" t="s">
        <v>97</v>
      </c>
      <c r="E214" t="s">
        <v>428</v>
      </c>
      <c r="F214" t="s">
        <v>512</v>
      </c>
      <c r="G214" t="s">
        <v>463</v>
      </c>
      <c r="H214" t="s">
        <v>431</v>
      </c>
      <c r="I214" t="s">
        <v>432</v>
      </c>
      <c r="J214" t="s">
        <v>432</v>
      </c>
      <c r="K214">
        <v>0</v>
      </c>
      <c r="L214" t="s">
        <v>428</v>
      </c>
      <c r="M214" t="s">
        <v>428</v>
      </c>
      <c r="N214">
        <v>145691</v>
      </c>
      <c r="O214">
        <f>INDEX(AllCollegeBarrons,MATCH(N214,AllCollegeNCES,0))</f>
        <v>0</v>
      </c>
      <c r="P214">
        <f>INDEX(KidGPAs,MATCH(B214,KidIDs,0))</f>
        <v>0</v>
      </c>
      <c r="Q214">
        <f>INDEX(KidACTs,MATCH(B214,KidIDs,0))</f>
        <v>0</v>
      </c>
      <c r="R214">
        <f>INDEX(Strats,MATCH(B214,KidIDs,0))</f>
        <v>0</v>
      </c>
      <c r="S214">
        <f>INDEX(KidRace,MATCH(B214,KidIDs,0))</f>
        <v>0</v>
      </c>
      <c r="T214">
        <f>IF(OR(S214="M",S214="I"),"H",S214)</f>
        <v>0</v>
      </c>
      <c r="U214">
        <f>INDEX(StudentTargets,MATCH(B214,KidIDs,0))</f>
        <v>0</v>
      </c>
      <c r="V214">
        <f>INDEX(ReachStudentTargets,MATCH(B214,KidIDs,0))</f>
        <v>0</v>
      </c>
      <c r="W214">
        <f>IF(OR(M214="Posse"),1,0)</f>
        <v>0</v>
      </c>
      <c r="X214">
        <f>IF(ISNUMBER(INDEX(AllCollegeGR, MATCH(N214,AllCollegeNCES,0))),ROUND(INDEX(AllCollegeGR, MATCH(N214,AllCollegeNCES,0))+W214*IF(INDEX(AllCollegeGR, MATCH(N214,AllCollegeNCES,0))&gt;0.7,(1-INDEX(AllCollegeGR, MATCH(N214,AllCollegeNCES,0)))/2,0.15),2),INDEX(AllCollegeGR, MATCH(N214,AllCollegeNCES,0)))</f>
        <v>0</v>
      </c>
      <c r="Y214">
        <f>IF(ISNUMBER(INDEX(AllCollegeAAHGR, MATCH(N214,AllCollegeNCES,0))),ROUND(INDEX(AllCollegeAAHGR, MATCH(N214,AllCollegeNCES,0))+W214*IF(INDEX(AllCollegeAAHGR, MATCH(N214,AllCollegeNCES,0))&gt;0.7,(1-INDEX(AllCollegeAAHGR, MATCH(N214,AllCollegeNCES,0)))/2,0.15),2),INDEX(AllCollegeAAHGR, MATCH(N214,AllCollegeNCES,0)))</f>
        <v>0</v>
      </c>
      <c r="Z214">
        <f>IF(OR(T214="H",T214="B"),INDEX(AllCollegeACT25, MATCH(N214,AllCollegeNCES,0)),INDEX(AllCollegeACT50, MATCH(N214,AllCollegeNCES,0)))</f>
        <v>0</v>
      </c>
      <c r="AA214">
        <f>INDEX(CustomWeightsGPA,MATCH(T214&amp;":"&amp;N214,CustomWeightsIndex,0))</f>
        <v>0</v>
      </c>
      <c r="AB214">
        <f>INDEX(CustomWeightsACT,MATCH(T214&amp;":"&amp;N214,CustomWeightsIndex,0))</f>
        <v>0</v>
      </c>
      <c r="AC214">
        <f>INDEX(CustomWeightsIntercept,MATCH(T214&amp;":"&amp;N214,CustomWeightsIndex,0))</f>
        <v>0</v>
      </c>
      <c r="AD214">
        <f>AA214*P214+AB214*Q214+AC214</f>
        <v>0</v>
      </c>
      <c r="AE214">
        <f>INDEX(CoefficientsGPA,MATCH(T214&amp;":"&amp;O214,CoefficientsIndex,0))</f>
        <v>0</v>
      </c>
      <c r="AF214">
        <f>INDEX(CoefficientsACT,MATCH(T214&amp;":"&amp;O214,CoefficientsIndex,0))</f>
        <v>0</v>
      </c>
      <c r="AG214">
        <f>INDEX(CoefficientsIntercept,MATCH(T214&amp;":"&amp;O214,CoefficientsIndex,0))</f>
        <v>0</v>
      </c>
      <c r="AH214">
        <f>AE214*P214+(Q214-Z214)*AF214+AG214</f>
        <v>0</v>
      </c>
      <c r="AI214">
        <f>IF(ISNUMBER(AD214),AD214,AH214)</f>
        <v>0</v>
      </c>
      <c r="AJ214">
        <f>IF(ISNUMBER(AI214),IF(ISNUMBER(AE214),IF(AND(AE214=1,AF214=1,AG214=1),100,ROUND(100*EXP(AI214)/(1+EXP(AI214)),2)),ROUND(100*EXP(AI214)/(1+EXP(AI214)),2)),IF(ISTEXT(O214),IF(LEFT(O214,1)="2",100,"N/A"),"N/A"))</f>
        <v>0</v>
      </c>
      <c r="AK214">
        <f>IF(ISNUMBER(AJ214),IF(AJ214&gt;=99,IF(OR(R214=10,R214=11),MatchLabel,SureThingLabel),IF(AJ214&gt;=95,SecureLabel,IF(AJ214&gt;=80,SafetyLabel,IF(AJ214&gt;=50,MatchLabel,IF(AJ214&gt;=20,ReachLabel,IF(AJ214&gt;=10,LongshotLabel,HailMaryLabel)))))),"Other")</f>
        <v>0</v>
      </c>
      <c r="AL214">
        <f>IF(OR(I214="accepted",I214="cond. accept",I214="summer admit"),IF(J214="yes","CHOICE!","Accepted!"),IF(I214="denied","Denied",IF(K214=1,"Waitlist",IF(L214=1,"Deferred",IF(G214="pending","Pending",IF(OR(G214="initial materials submitted",G214="mid-year submitted",G214="final submitted"),"Submitted",IF(H214="interest","Interest","?")))))))</f>
        <v>0</v>
      </c>
      <c r="AM214">
        <f>IF(OR(AK214=ReachLabel,AK214=LongshotLabel,AK214=HailMaryLabel),1,0)</f>
        <v>0</v>
      </c>
      <c r="AN214">
        <f>IF(OR(AM214=1,AK214=MatchLabel),1,0)</f>
        <v>0</v>
      </c>
      <c r="AO214">
        <f>IF(OR(AK214=MatchLabel,AK214=SafetyLabel,AK214=SecureLabel,AK214=SureThingLabel),1,0)</f>
        <v>0</v>
      </c>
      <c r="AP214">
        <f>IF(OR(T214="H",T214="B"),IF(ISNUMBER(Y214),ROUND(Y214,2),0),IF(ISNUMBER(X214),ROUND(X214,2),0))</f>
        <v>0</v>
      </c>
      <c r="AQ214">
        <f>IF(AP214&gt;=U214,1,0)</f>
        <v>0</v>
      </c>
      <c r="AR214">
        <f>IF(AP214&gt;=V214,1,0)</f>
        <v>0</v>
      </c>
      <c r="AS214">
        <f>IF(AP214&lt;(U214-0.10),1,0)</f>
        <v>0</v>
      </c>
      <c r="AT214">
        <f>1-AJ214/100</f>
        <v>0</v>
      </c>
      <c r="AU214">
        <f>IF(AN214=1,AT214,1)</f>
        <v>0</v>
      </c>
      <c r="AV214">
        <f>IF(AM214=1,AT214,1)</f>
        <v>0</v>
      </c>
      <c r="AW214">
        <f>IF(AND(AQ214=1,ISNUMBER(AT214)),$AT214,1)</f>
        <v>0</v>
      </c>
      <c r="AX214">
        <f>IF(AND(AR214=1,ISNUMBER(AT214)),$AT214,1)</f>
        <v>0</v>
      </c>
      <c r="AY214">
        <f>IF(ISNUMBER(Y214),INDEX(AllCollegeMoney, MATCH(N214,AllCollegeNCES,0)),0)</f>
        <v>0</v>
      </c>
      <c r="AZ214">
        <f>IF(AND(AQ214=1,ISNUMBER(AT214),AY214=1),$AT214,1)</f>
        <v>0</v>
      </c>
      <c r="BA214">
        <f>IF(AND(AR214=1,ISNUMBER(AT214),AY214=1),$AT214,1)</f>
        <v>0</v>
      </c>
      <c r="BB214">
        <f>IF(ISNUMBER(Y214),INDEX(AllCollegeILPub, MATCH(N214,AllCollegeNCES,0)),0)</f>
        <v>0</v>
      </c>
      <c r="BC214">
        <f>IF(AK214=ReachLabel,AP214,0)</f>
        <v>0</v>
      </c>
      <c r="BD214">
        <f>IF(AK214=MatchLabel,AP214,0)</f>
        <v>0</v>
      </c>
      <c r="BE214">
        <f>IF(AK214=SafetyLabel,AP214,0)</f>
        <v>0</v>
      </c>
      <c r="BF214">
        <f>IF(AK214=SecureLabel,AP214,0)</f>
        <v>0</v>
      </c>
      <c r="BG214">
        <f>IF(AK214=SureThingLabel,AP214,0)</f>
        <v>0</v>
      </c>
      <c r="BH214">
        <f>MAX(BC214:BG214)</f>
        <v>0</v>
      </c>
      <c r="BI214">
        <f>MAX(BD214:BG214)</f>
        <v>0</v>
      </c>
      <c r="BJ214">
        <f>MAX(BE214:BG214)</f>
        <v>0</v>
      </c>
      <c r="BK214">
        <f>IF(AND(AK214=ReachLabel,AY214=1),AP214,0)</f>
        <v>0</v>
      </c>
      <c r="BL214">
        <f>IF(AND(AK214=MatchLabel,AY214=1),AP214,0)</f>
        <v>0</v>
      </c>
      <c r="BM214">
        <f>IF(AND(AK214=SafetyLabel,AY214=1),AP214,0)</f>
        <v>0</v>
      </c>
      <c r="BN214">
        <f>IF(AND(AK214=SecureLabel,AY214=1),AP214,0)</f>
        <v>0</v>
      </c>
      <c r="BO214">
        <f>IF(AND(AK214=SureThingLabel,AY214=1),AP214,0)</f>
        <v>0</v>
      </c>
      <c r="BP214">
        <f>MAX(BK214:BO214)</f>
        <v>0</v>
      </c>
      <c r="BQ214">
        <f>MAX(BL214:BO214)</f>
        <v>0</v>
      </c>
      <c r="BR214">
        <f>MAX(BM214:BO214)</f>
        <v>0</v>
      </c>
      <c r="BS214">
        <f>IF(ISNUMBER(Y214),INDEX(AllCollegeChicago, MATCH(N214,AllCollegeNCES,0))*AY214,0)</f>
        <v>0</v>
      </c>
      <c r="BT214">
        <f>IF(ISNUMBER(Y214),INDEX(AllCollegeMoneyCode, MATCH(N214,AllCollegeNCES,0)),"?")</f>
        <v>0</v>
      </c>
      <c r="BU214">
        <f>IF(OR(BT214="---",BT214="--",BT214="+/--",BT214="+/---"),1,0)</f>
        <v>0</v>
      </c>
      <c r="BV214">
        <f>AY214*AO214*AQ214</f>
        <v>0</v>
      </c>
    </row>
    <row r="215" spans="1:74">
      <c r="A215" t="s">
        <v>86</v>
      </c>
      <c r="B215">
        <v>22973265</v>
      </c>
      <c r="C215" t="s">
        <v>96</v>
      </c>
      <c r="D215" t="s">
        <v>97</v>
      </c>
      <c r="E215" t="s">
        <v>428</v>
      </c>
      <c r="F215" t="s">
        <v>433</v>
      </c>
      <c r="G215" t="s">
        <v>430</v>
      </c>
      <c r="H215" t="s">
        <v>431</v>
      </c>
      <c r="I215" t="s">
        <v>432</v>
      </c>
      <c r="J215" t="s">
        <v>432</v>
      </c>
      <c r="K215">
        <v>0</v>
      </c>
      <c r="L215" t="s">
        <v>428</v>
      </c>
      <c r="M215" t="s">
        <v>428</v>
      </c>
      <c r="N215">
        <v>148496</v>
      </c>
      <c r="O215">
        <f>INDEX(AllCollegeBarrons,MATCH(N215,AllCollegeNCES,0))</f>
        <v>0</v>
      </c>
      <c r="P215">
        <f>INDEX(KidGPAs,MATCH(B215,KidIDs,0))</f>
        <v>0</v>
      </c>
      <c r="Q215">
        <f>INDEX(KidACTs,MATCH(B215,KidIDs,0))</f>
        <v>0</v>
      </c>
      <c r="R215">
        <f>INDEX(Strats,MATCH(B215,KidIDs,0))</f>
        <v>0</v>
      </c>
      <c r="S215">
        <f>INDEX(KidRace,MATCH(B215,KidIDs,0))</f>
        <v>0</v>
      </c>
      <c r="T215">
        <f>IF(OR(S215="M",S215="I"),"H",S215)</f>
        <v>0</v>
      </c>
      <c r="U215">
        <f>INDEX(StudentTargets,MATCH(B215,KidIDs,0))</f>
        <v>0</v>
      </c>
      <c r="V215">
        <f>INDEX(ReachStudentTargets,MATCH(B215,KidIDs,0))</f>
        <v>0</v>
      </c>
      <c r="W215">
        <f>IF(OR(M215="Posse"),1,0)</f>
        <v>0</v>
      </c>
      <c r="X215">
        <f>IF(ISNUMBER(INDEX(AllCollegeGR, MATCH(N215,AllCollegeNCES,0))),ROUND(INDEX(AllCollegeGR, MATCH(N215,AllCollegeNCES,0))+W215*IF(INDEX(AllCollegeGR, MATCH(N215,AllCollegeNCES,0))&gt;0.7,(1-INDEX(AllCollegeGR, MATCH(N215,AllCollegeNCES,0)))/2,0.15),2),INDEX(AllCollegeGR, MATCH(N215,AllCollegeNCES,0)))</f>
        <v>0</v>
      </c>
      <c r="Y215">
        <f>IF(ISNUMBER(INDEX(AllCollegeAAHGR, MATCH(N215,AllCollegeNCES,0))),ROUND(INDEX(AllCollegeAAHGR, MATCH(N215,AllCollegeNCES,0))+W215*IF(INDEX(AllCollegeAAHGR, MATCH(N215,AllCollegeNCES,0))&gt;0.7,(1-INDEX(AllCollegeAAHGR, MATCH(N215,AllCollegeNCES,0)))/2,0.15),2),INDEX(AllCollegeAAHGR, MATCH(N215,AllCollegeNCES,0)))</f>
        <v>0</v>
      </c>
      <c r="Z215">
        <f>IF(OR(T215="H",T215="B"),INDEX(AllCollegeACT25, MATCH(N215,AllCollegeNCES,0)),INDEX(AllCollegeACT50, MATCH(N215,AllCollegeNCES,0)))</f>
        <v>0</v>
      </c>
      <c r="AA215">
        <f>INDEX(CustomWeightsGPA,MATCH(T215&amp;":"&amp;N215,CustomWeightsIndex,0))</f>
        <v>0</v>
      </c>
      <c r="AB215">
        <f>INDEX(CustomWeightsACT,MATCH(T215&amp;":"&amp;N215,CustomWeightsIndex,0))</f>
        <v>0</v>
      </c>
      <c r="AC215">
        <f>INDEX(CustomWeightsIntercept,MATCH(T215&amp;":"&amp;N215,CustomWeightsIndex,0))</f>
        <v>0</v>
      </c>
      <c r="AD215">
        <f>AA215*P215+AB215*Q215+AC215</f>
        <v>0</v>
      </c>
      <c r="AE215">
        <f>INDEX(CoefficientsGPA,MATCH(T215&amp;":"&amp;O215,CoefficientsIndex,0))</f>
        <v>0</v>
      </c>
      <c r="AF215">
        <f>INDEX(CoefficientsACT,MATCH(T215&amp;":"&amp;O215,CoefficientsIndex,0))</f>
        <v>0</v>
      </c>
      <c r="AG215">
        <f>INDEX(CoefficientsIntercept,MATCH(T215&amp;":"&amp;O215,CoefficientsIndex,0))</f>
        <v>0</v>
      </c>
      <c r="AH215">
        <f>AE215*P215+(Q215-Z215)*AF215+AG215</f>
        <v>0</v>
      </c>
      <c r="AI215">
        <f>IF(ISNUMBER(AD215),AD215,AH215)</f>
        <v>0</v>
      </c>
      <c r="AJ215">
        <f>IF(ISNUMBER(AI215),IF(ISNUMBER(AE215),IF(AND(AE215=1,AF215=1,AG215=1),100,ROUND(100*EXP(AI215)/(1+EXP(AI215)),2)),ROUND(100*EXP(AI215)/(1+EXP(AI215)),2)),IF(ISTEXT(O215),IF(LEFT(O215,1)="2",100,"N/A"),"N/A"))</f>
        <v>0</v>
      </c>
      <c r="AK215">
        <f>IF(ISNUMBER(AJ215),IF(AJ215&gt;=99,IF(OR(R215=10,R215=11),MatchLabel,SureThingLabel),IF(AJ215&gt;=95,SecureLabel,IF(AJ215&gt;=80,SafetyLabel,IF(AJ215&gt;=50,MatchLabel,IF(AJ215&gt;=20,ReachLabel,IF(AJ215&gt;=10,LongshotLabel,HailMaryLabel)))))),"Other")</f>
        <v>0</v>
      </c>
      <c r="AL215">
        <f>IF(OR(I215="accepted",I215="cond. accept",I215="summer admit"),IF(J215="yes","CHOICE!","Accepted!"),IF(I215="denied","Denied",IF(K215=1,"Waitlist",IF(L215=1,"Deferred",IF(G215="pending","Pending",IF(OR(G215="initial materials submitted",G215="mid-year submitted",G215="final submitted"),"Submitted",IF(H215="interest","Interest","?")))))))</f>
        <v>0</v>
      </c>
      <c r="AM215">
        <f>IF(OR(AK215=ReachLabel,AK215=LongshotLabel,AK215=HailMaryLabel),1,0)</f>
        <v>0</v>
      </c>
      <c r="AN215">
        <f>IF(OR(AM215=1,AK215=MatchLabel),1,0)</f>
        <v>0</v>
      </c>
      <c r="AO215">
        <f>IF(OR(AK215=MatchLabel,AK215=SafetyLabel,AK215=SecureLabel,AK215=SureThingLabel),1,0)</f>
        <v>0</v>
      </c>
      <c r="AP215">
        <f>IF(OR(T215="H",T215="B"),IF(ISNUMBER(Y215),ROUND(Y215,2),0),IF(ISNUMBER(X215),ROUND(X215,2),0))</f>
        <v>0</v>
      </c>
      <c r="AQ215">
        <f>IF(AP215&gt;=U215,1,0)</f>
        <v>0</v>
      </c>
      <c r="AR215">
        <f>IF(AP215&gt;=V215,1,0)</f>
        <v>0</v>
      </c>
      <c r="AS215">
        <f>IF(AP215&lt;(U215-0.10),1,0)</f>
        <v>0</v>
      </c>
      <c r="AT215">
        <f>1-AJ215/100</f>
        <v>0</v>
      </c>
      <c r="AU215">
        <f>IF(AN215=1,AT215,1)</f>
        <v>0</v>
      </c>
      <c r="AV215">
        <f>IF(AM215=1,AT215,1)</f>
        <v>0</v>
      </c>
      <c r="AW215">
        <f>IF(AND(AQ215=1,ISNUMBER(AT215)),$AT215,1)</f>
        <v>0</v>
      </c>
      <c r="AX215">
        <f>IF(AND(AR215=1,ISNUMBER(AT215)),$AT215,1)</f>
        <v>0</v>
      </c>
      <c r="AY215">
        <f>IF(ISNUMBER(Y215),INDEX(AllCollegeMoney, MATCH(N215,AllCollegeNCES,0)),0)</f>
        <v>0</v>
      </c>
      <c r="AZ215">
        <f>IF(AND(AQ215=1,ISNUMBER(AT215),AY215=1),$AT215,1)</f>
        <v>0</v>
      </c>
      <c r="BA215">
        <f>IF(AND(AR215=1,ISNUMBER(AT215),AY215=1),$AT215,1)</f>
        <v>0</v>
      </c>
      <c r="BB215">
        <f>IF(ISNUMBER(Y215),INDEX(AllCollegeILPub, MATCH(N215,AllCollegeNCES,0)),0)</f>
        <v>0</v>
      </c>
      <c r="BC215">
        <f>IF(AK215=ReachLabel,AP215,0)</f>
        <v>0</v>
      </c>
      <c r="BD215">
        <f>IF(AK215=MatchLabel,AP215,0)</f>
        <v>0</v>
      </c>
      <c r="BE215">
        <f>IF(AK215=SafetyLabel,AP215,0)</f>
        <v>0</v>
      </c>
      <c r="BF215">
        <f>IF(AK215=SecureLabel,AP215,0)</f>
        <v>0</v>
      </c>
      <c r="BG215">
        <f>IF(AK215=SureThingLabel,AP215,0)</f>
        <v>0</v>
      </c>
      <c r="BH215">
        <f>MAX(BC215:BG215)</f>
        <v>0</v>
      </c>
      <c r="BI215">
        <f>MAX(BD215:BG215)</f>
        <v>0</v>
      </c>
      <c r="BJ215">
        <f>MAX(BE215:BG215)</f>
        <v>0</v>
      </c>
      <c r="BK215">
        <f>IF(AND(AK215=ReachLabel,AY215=1),AP215,0)</f>
        <v>0</v>
      </c>
      <c r="BL215">
        <f>IF(AND(AK215=MatchLabel,AY215=1),AP215,0)</f>
        <v>0</v>
      </c>
      <c r="BM215">
        <f>IF(AND(AK215=SafetyLabel,AY215=1),AP215,0)</f>
        <v>0</v>
      </c>
      <c r="BN215">
        <f>IF(AND(AK215=SecureLabel,AY215=1),AP215,0)</f>
        <v>0</v>
      </c>
      <c r="BO215">
        <f>IF(AND(AK215=SureThingLabel,AY215=1),AP215,0)</f>
        <v>0</v>
      </c>
      <c r="BP215">
        <f>MAX(BK215:BO215)</f>
        <v>0</v>
      </c>
      <c r="BQ215">
        <f>MAX(BL215:BO215)</f>
        <v>0</v>
      </c>
      <c r="BR215">
        <f>MAX(BM215:BO215)</f>
        <v>0</v>
      </c>
      <c r="BS215">
        <f>IF(ISNUMBER(Y215),INDEX(AllCollegeChicago, MATCH(N215,AllCollegeNCES,0))*AY215,0)</f>
        <v>0</v>
      </c>
      <c r="BT215">
        <f>IF(ISNUMBER(Y215),INDEX(AllCollegeMoneyCode, MATCH(N215,AllCollegeNCES,0)),"?")</f>
        <v>0</v>
      </c>
      <c r="BU215">
        <f>IF(OR(BT215="---",BT215="--",BT215="+/--",BT215="+/---"),1,0)</f>
        <v>0</v>
      </c>
      <c r="BV215">
        <f>AY215*AO215*AQ215</f>
        <v>0</v>
      </c>
    </row>
    <row r="216" spans="1:74">
      <c r="A216" t="s">
        <v>86</v>
      </c>
      <c r="B216">
        <v>22973265</v>
      </c>
      <c r="C216" t="s">
        <v>96</v>
      </c>
      <c r="D216" t="s">
        <v>97</v>
      </c>
      <c r="E216" t="s">
        <v>428</v>
      </c>
      <c r="F216" t="s">
        <v>502</v>
      </c>
      <c r="G216" t="s">
        <v>430</v>
      </c>
      <c r="H216" t="s">
        <v>431</v>
      </c>
      <c r="I216" t="s">
        <v>432</v>
      </c>
      <c r="J216" t="s">
        <v>432</v>
      </c>
      <c r="K216">
        <v>0</v>
      </c>
      <c r="L216" t="s">
        <v>428</v>
      </c>
      <c r="M216" t="s">
        <v>428</v>
      </c>
      <c r="N216">
        <v>145813</v>
      </c>
      <c r="O216">
        <f>INDEX(AllCollegeBarrons,MATCH(N216,AllCollegeNCES,0))</f>
        <v>0</v>
      </c>
      <c r="P216">
        <f>INDEX(KidGPAs,MATCH(B216,KidIDs,0))</f>
        <v>0</v>
      </c>
      <c r="Q216">
        <f>INDEX(KidACTs,MATCH(B216,KidIDs,0))</f>
        <v>0</v>
      </c>
      <c r="R216">
        <f>INDEX(Strats,MATCH(B216,KidIDs,0))</f>
        <v>0</v>
      </c>
      <c r="S216">
        <f>INDEX(KidRace,MATCH(B216,KidIDs,0))</f>
        <v>0</v>
      </c>
      <c r="T216">
        <f>IF(OR(S216="M",S216="I"),"H",S216)</f>
        <v>0</v>
      </c>
      <c r="U216">
        <f>INDEX(StudentTargets,MATCH(B216,KidIDs,0))</f>
        <v>0</v>
      </c>
      <c r="V216">
        <f>INDEX(ReachStudentTargets,MATCH(B216,KidIDs,0))</f>
        <v>0</v>
      </c>
      <c r="W216">
        <f>IF(OR(M216="Posse"),1,0)</f>
        <v>0</v>
      </c>
      <c r="X216">
        <f>IF(ISNUMBER(INDEX(AllCollegeGR, MATCH(N216,AllCollegeNCES,0))),ROUND(INDEX(AllCollegeGR, MATCH(N216,AllCollegeNCES,0))+W216*IF(INDEX(AllCollegeGR, MATCH(N216,AllCollegeNCES,0))&gt;0.7,(1-INDEX(AllCollegeGR, MATCH(N216,AllCollegeNCES,0)))/2,0.15),2),INDEX(AllCollegeGR, MATCH(N216,AllCollegeNCES,0)))</f>
        <v>0</v>
      </c>
      <c r="Y216">
        <f>IF(ISNUMBER(INDEX(AllCollegeAAHGR, MATCH(N216,AllCollegeNCES,0))),ROUND(INDEX(AllCollegeAAHGR, MATCH(N216,AllCollegeNCES,0))+W216*IF(INDEX(AllCollegeAAHGR, MATCH(N216,AllCollegeNCES,0))&gt;0.7,(1-INDEX(AllCollegeAAHGR, MATCH(N216,AllCollegeNCES,0)))/2,0.15),2),INDEX(AllCollegeAAHGR, MATCH(N216,AllCollegeNCES,0)))</f>
        <v>0</v>
      </c>
      <c r="Z216">
        <f>IF(OR(T216="H",T216="B"),INDEX(AllCollegeACT25, MATCH(N216,AllCollegeNCES,0)),INDEX(AllCollegeACT50, MATCH(N216,AllCollegeNCES,0)))</f>
        <v>0</v>
      </c>
      <c r="AA216">
        <f>INDEX(CustomWeightsGPA,MATCH(T216&amp;":"&amp;N216,CustomWeightsIndex,0))</f>
        <v>0</v>
      </c>
      <c r="AB216">
        <f>INDEX(CustomWeightsACT,MATCH(T216&amp;":"&amp;N216,CustomWeightsIndex,0))</f>
        <v>0</v>
      </c>
      <c r="AC216">
        <f>INDEX(CustomWeightsIntercept,MATCH(T216&amp;":"&amp;N216,CustomWeightsIndex,0))</f>
        <v>0</v>
      </c>
      <c r="AD216">
        <f>AA216*P216+AB216*Q216+AC216</f>
        <v>0</v>
      </c>
      <c r="AE216">
        <f>INDEX(CoefficientsGPA,MATCH(T216&amp;":"&amp;O216,CoefficientsIndex,0))</f>
        <v>0</v>
      </c>
      <c r="AF216">
        <f>INDEX(CoefficientsACT,MATCH(T216&amp;":"&amp;O216,CoefficientsIndex,0))</f>
        <v>0</v>
      </c>
      <c r="AG216">
        <f>INDEX(CoefficientsIntercept,MATCH(T216&amp;":"&amp;O216,CoefficientsIndex,0))</f>
        <v>0</v>
      </c>
      <c r="AH216">
        <f>AE216*P216+(Q216-Z216)*AF216+AG216</f>
        <v>0</v>
      </c>
      <c r="AI216">
        <f>IF(ISNUMBER(AD216),AD216,AH216)</f>
        <v>0</v>
      </c>
      <c r="AJ216">
        <f>IF(ISNUMBER(AI216),IF(ISNUMBER(AE216),IF(AND(AE216=1,AF216=1,AG216=1),100,ROUND(100*EXP(AI216)/(1+EXP(AI216)),2)),ROUND(100*EXP(AI216)/(1+EXP(AI216)),2)),IF(ISTEXT(O216),IF(LEFT(O216,1)="2",100,"N/A"),"N/A"))</f>
        <v>0</v>
      </c>
      <c r="AK216">
        <f>IF(ISNUMBER(AJ216),IF(AJ216&gt;=99,IF(OR(R216=10,R216=11),MatchLabel,SureThingLabel),IF(AJ216&gt;=95,SecureLabel,IF(AJ216&gt;=80,SafetyLabel,IF(AJ216&gt;=50,MatchLabel,IF(AJ216&gt;=20,ReachLabel,IF(AJ216&gt;=10,LongshotLabel,HailMaryLabel)))))),"Other")</f>
        <v>0</v>
      </c>
      <c r="AL216">
        <f>IF(OR(I216="accepted",I216="cond. accept",I216="summer admit"),IF(J216="yes","CHOICE!","Accepted!"),IF(I216="denied","Denied",IF(K216=1,"Waitlist",IF(L216=1,"Deferred",IF(G216="pending","Pending",IF(OR(G216="initial materials submitted",G216="mid-year submitted",G216="final submitted"),"Submitted",IF(H216="interest","Interest","?")))))))</f>
        <v>0</v>
      </c>
      <c r="AM216">
        <f>IF(OR(AK216=ReachLabel,AK216=LongshotLabel,AK216=HailMaryLabel),1,0)</f>
        <v>0</v>
      </c>
      <c r="AN216">
        <f>IF(OR(AM216=1,AK216=MatchLabel),1,0)</f>
        <v>0</v>
      </c>
      <c r="AO216">
        <f>IF(OR(AK216=MatchLabel,AK216=SafetyLabel,AK216=SecureLabel,AK216=SureThingLabel),1,0)</f>
        <v>0</v>
      </c>
      <c r="AP216">
        <f>IF(OR(T216="H",T216="B"),IF(ISNUMBER(Y216),ROUND(Y216,2),0),IF(ISNUMBER(X216),ROUND(X216,2),0))</f>
        <v>0</v>
      </c>
      <c r="AQ216">
        <f>IF(AP216&gt;=U216,1,0)</f>
        <v>0</v>
      </c>
      <c r="AR216">
        <f>IF(AP216&gt;=V216,1,0)</f>
        <v>0</v>
      </c>
      <c r="AS216">
        <f>IF(AP216&lt;(U216-0.10),1,0)</f>
        <v>0</v>
      </c>
      <c r="AT216">
        <f>1-AJ216/100</f>
        <v>0</v>
      </c>
      <c r="AU216">
        <f>IF(AN216=1,AT216,1)</f>
        <v>0</v>
      </c>
      <c r="AV216">
        <f>IF(AM216=1,AT216,1)</f>
        <v>0</v>
      </c>
      <c r="AW216">
        <f>IF(AND(AQ216=1,ISNUMBER(AT216)),$AT216,1)</f>
        <v>0</v>
      </c>
      <c r="AX216">
        <f>IF(AND(AR216=1,ISNUMBER(AT216)),$AT216,1)</f>
        <v>0</v>
      </c>
      <c r="AY216">
        <f>IF(ISNUMBER(Y216),INDEX(AllCollegeMoney, MATCH(N216,AllCollegeNCES,0)),0)</f>
        <v>0</v>
      </c>
      <c r="AZ216">
        <f>IF(AND(AQ216=1,ISNUMBER(AT216),AY216=1),$AT216,1)</f>
        <v>0</v>
      </c>
      <c r="BA216">
        <f>IF(AND(AR216=1,ISNUMBER(AT216),AY216=1),$AT216,1)</f>
        <v>0</v>
      </c>
      <c r="BB216">
        <f>IF(ISNUMBER(Y216),INDEX(AllCollegeILPub, MATCH(N216,AllCollegeNCES,0)),0)</f>
        <v>0</v>
      </c>
      <c r="BC216">
        <f>IF(AK216=ReachLabel,AP216,0)</f>
        <v>0</v>
      </c>
      <c r="BD216">
        <f>IF(AK216=MatchLabel,AP216,0)</f>
        <v>0</v>
      </c>
      <c r="BE216">
        <f>IF(AK216=SafetyLabel,AP216,0)</f>
        <v>0</v>
      </c>
      <c r="BF216">
        <f>IF(AK216=SecureLabel,AP216,0)</f>
        <v>0</v>
      </c>
      <c r="BG216">
        <f>IF(AK216=SureThingLabel,AP216,0)</f>
        <v>0</v>
      </c>
      <c r="BH216">
        <f>MAX(BC216:BG216)</f>
        <v>0</v>
      </c>
      <c r="BI216">
        <f>MAX(BD216:BG216)</f>
        <v>0</v>
      </c>
      <c r="BJ216">
        <f>MAX(BE216:BG216)</f>
        <v>0</v>
      </c>
      <c r="BK216">
        <f>IF(AND(AK216=ReachLabel,AY216=1),AP216,0)</f>
        <v>0</v>
      </c>
      <c r="BL216">
        <f>IF(AND(AK216=MatchLabel,AY216=1),AP216,0)</f>
        <v>0</v>
      </c>
      <c r="BM216">
        <f>IF(AND(AK216=SafetyLabel,AY216=1),AP216,0)</f>
        <v>0</v>
      </c>
      <c r="BN216">
        <f>IF(AND(AK216=SecureLabel,AY216=1),AP216,0)</f>
        <v>0</v>
      </c>
      <c r="BO216">
        <f>IF(AND(AK216=SureThingLabel,AY216=1),AP216,0)</f>
        <v>0</v>
      </c>
      <c r="BP216">
        <f>MAX(BK216:BO216)</f>
        <v>0</v>
      </c>
      <c r="BQ216">
        <f>MAX(BL216:BO216)</f>
        <v>0</v>
      </c>
      <c r="BR216">
        <f>MAX(BM216:BO216)</f>
        <v>0</v>
      </c>
      <c r="BS216">
        <f>IF(ISNUMBER(Y216),INDEX(AllCollegeChicago, MATCH(N216,AllCollegeNCES,0))*AY216,0)</f>
        <v>0</v>
      </c>
      <c r="BT216">
        <f>IF(ISNUMBER(Y216),INDEX(AllCollegeMoneyCode, MATCH(N216,AllCollegeNCES,0)),"?")</f>
        <v>0</v>
      </c>
      <c r="BU216">
        <f>IF(OR(BT216="---",BT216="--",BT216="+/--",BT216="+/---"),1,0)</f>
        <v>0</v>
      </c>
      <c r="BV216">
        <f>AY216*AO216*AQ216</f>
        <v>0</v>
      </c>
    </row>
    <row r="217" spans="1:74">
      <c r="A217" t="s">
        <v>86</v>
      </c>
      <c r="B217">
        <v>22973265</v>
      </c>
      <c r="C217" t="s">
        <v>96</v>
      </c>
      <c r="D217" t="s">
        <v>97</v>
      </c>
      <c r="E217" t="s">
        <v>428</v>
      </c>
      <c r="F217" t="s">
        <v>447</v>
      </c>
      <c r="G217" t="s">
        <v>430</v>
      </c>
      <c r="H217" t="s">
        <v>431</v>
      </c>
      <c r="I217" t="s">
        <v>432</v>
      </c>
      <c r="J217" t="s">
        <v>432</v>
      </c>
      <c r="K217">
        <v>0</v>
      </c>
      <c r="L217" t="s">
        <v>428</v>
      </c>
      <c r="M217" t="s">
        <v>428</v>
      </c>
      <c r="N217">
        <v>145600</v>
      </c>
      <c r="O217">
        <f>INDEX(AllCollegeBarrons,MATCH(N217,AllCollegeNCES,0))</f>
        <v>0</v>
      </c>
      <c r="P217">
        <f>INDEX(KidGPAs,MATCH(B217,KidIDs,0))</f>
        <v>0</v>
      </c>
      <c r="Q217">
        <f>INDEX(KidACTs,MATCH(B217,KidIDs,0))</f>
        <v>0</v>
      </c>
      <c r="R217">
        <f>INDEX(Strats,MATCH(B217,KidIDs,0))</f>
        <v>0</v>
      </c>
      <c r="S217">
        <f>INDEX(KidRace,MATCH(B217,KidIDs,0))</f>
        <v>0</v>
      </c>
      <c r="T217">
        <f>IF(OR(S217="M",S217="I"),"H",S217)</f>
        <v>0</v>
      </c>
      <c r="U217">
        <f>INDEX(StudentTargets,MATCH(B217,KidIDs,0))</f>
        <v>0</v>
      </c>
      <c r="V217">
        <f>INDEX(ReachStudentTargets,MATCH(B217,KidIDs,0))</f>
        <v>0</v>
      </c>
      <c r="W217">
        <f>IF(OR(M217="Posse"),1,0)</f>
        <v>0</v>
      </c>
      <c r="X217">
        <f>IF(ISNUMBER(INDEX(AllCollegeGR, MATCH(N217,AllCollegeNCES,0))),ROUND(INDEX(AllCollegeGR, MATCH(N217,AllCollegeNCES,0))+W217*IF(INDEX(AllCollegeGR, MATCH(N217,AllCollegeNCES,0))&gt;0.7,(1-INDEX(AllCollegeGR, MATCH(N217,AllCollegeNCES,0)))/2,0.15),2),INDEX(AllCollegeGR, MATCH(N217,AllCollegeNCES,0)))</f>
        <v>0</v>
      </c>
      <c r="Y217">
        <f>IF(ISNUMBER(INDEX(AllCollegeAAHGR, MATCH(N217,AllCollegeNCES,0))),ROUND(INDEX(AllCollegeAAHGR, MATCH(N217,AllCollegeNCES,0))+W217*IF(INDEX(AllCollegeAAHGR, MATCH(N217,AllCollegeNCES,0))&gt;0.7,(1-INDEX(AllCollegeAAHGR, MATCH(N217,AllCollegeNCES,0)))/2,0.15),2),INDEX(AllCollegeAAHGR, MATCH(N217,AllCollegeNCES,0)))</f>
        <v>0</v>
      </c>
      <c r="Z217">
        <f>IF(OR(T217="H",T217="B"),INDEX(AllCollegeACT25, MATCH(N217,AllCollegeNCES,0)),INDEX(AllCollegeACT50, MATCH(N217,AllCollegeNCES,0)))</f>
        <v>0</v>
      </c>
      <c r="AA217">
        <f>INDEX(CustomWeightsGPA,MATCH(T217&amp;":"&amp;N217,CustomWeightsIndex,0))</f>
        <v>0</v>
      </c>
      <c r="AB217">
        <f>INDEX(CustomWeightsACT,MATCH(T217&amp;":"&amp;N217,CustomWeightsIndex,0))</f>
        <v>0</v>
      </c>
      <c r="AC217">
        <f>INDEX(CustomWeightsIntercept,MATCH(T217&amp;":"&amp;N217,CustomWeightsIndex,0))</f>
        <v>0</v>
      </c>
      <c r="AD217">
        <f>AA217*P217+AB217*Q217+AC217</f>
        <v>0</v>
      </c>
      <c r="AE217">
        <f>INDEX(CoefficientsGPA,MATCH(T217&amp;":"&amp;O217,CoefficientsIndex,0))</f>
        <v>0</v>
      </c>
      <c r="AF217">
        <f>INDEX(CoefficientsACT,MATCH(T217&amp;":"&amp;O217,CoefficientsIndex,0))</f>
        <v>0</v>
      </c>
      <c r="AG217">
        <f>INDEX(CoefficientsIntercept,MATCH(T217&amp;":"&amp;O217,CoefficientsIndex,0))</f>
        <v>0</v>
      </c>
      <c r="AH217">
        <f>AE217*P217+(Q217-Z217)*AF217+AG217</f>
        <v>0</v>
      </c>
      <c r="AI217">
        <f>IF(ISNUMBER(AD217),AD217,AH217)</f>
        <v>0</v>
      </c>
      <c r="AJ217">
        <f>IF(ISNUMBER(AI217),IF(ISNUMBER(AE217),IF(AND(AE217=1,AF217=1,AG217=1),100,ROUND(100*EXP(AI217)/(1+EXP(AI217)),2)),ROUND(100*EXP(AI217)/(1+EXP(AI217)),2)),IF(ISTEXT(O217),IF(LEFT(O217,1)="2",100,"N/A"),"N/A"))</f>
        <v>0</v>
      </c>
      <c r="AK217">
        <f>IF(ISNUMBER(AJ217),IF(AJ217&gt;=99,IF(OR(R217=10,R217=11),MatchLabel,SureThingLabel),IF(AJ217&gt;=95,SecureLabel,IF(AJ217&gt;=80,SafetyLabel,IF(AJ217&gt;=50,MatchLabel,IF(AJ217&gt;=20,ReachLabel,IF(AJ217&gt;=10,LongshotLabel,HailMaryLabel)))))),"Other")</f>
        <v>0</v>
      </c>
      <c r="AL217">
        <f>IF(OR(I217="accepted",I217="cond. accept",I217="summer admit"),IF(J217="yes","CHOICE!","Accepted!"),IF(I217="denied","Denied",IF(K217=1,"Waitlist",IF(L217=1,"Deferred",IF(G217="pending","Pending",IF(OR(G217="initial materials submitted",G217="mid-year submitted",G217="final submitted"),"Submitted",IF(H217="interest","Interest","?")))))))</f>
        <v>0</v>
      </c>
      <c r="AM217">
        <f>IF(OR(AK217=ReachLabel,AK217=LongshotLabel,AK217=HailMaryLabel),1,0)</f>
        <v>0</v>
      </c>
      <c r="AN217">
        <f>IF(OR(AM217=1,AK217=MatchLabel),1,0)</f>
        <v>0</v>
      </c>
      <c r="AO217">
        <f>IF(OR(AK217=MatchLabel,AK217=SafetyLabel,AK217=SecureLabel,AK217=SureThingLabel),1,0)</f>
        <v>0</v>
      </c>
      <c r="AP217">
        <f>IF(OR(T217="H",T217="B"),IF(ISNUMBER(Y217),ROUND(Y217,2),0),IF(ISNUMBER(X217),ROUND(X217,2),0))</f>
        <v>0</v>
      </c>
      <c r="AQ217">
        <f>IF(AP217&gt;=U217,1,0)</f>
        <v>0</v>
      </c>
      <c r="AR217">
        <f>IF(AP217&gt;=V217,1,0)</f>
        <v>0</v>
      </c>
      <c r="AS217">
        <f>IF(AP217&lt;(U217-0.10),1,0)</f>
        <v>0</v>
      </c>
      <c r="AT217">
        <f>1-AJ217/100</f>
        <v>0</v>
      </c>
      <c r="AU217">
        <f>IF(AN217=1,AT217,1)</f>
        <v>0</v>
      </c>
      <c r="AV217">
        <f>IF(AM217=1,AT217,1)</f>
        <v>0</v>
      </c>
      <c r="AW217">
        <f>IF(AND(AQ217=1,ISNUMBER(AT217)),$AT217,1)</f>
        <v>0</v>
      </c>
      <c r="AX217">
        <f>IF(AND(AR217=1,ISNUMBER(AT217)),$AT217,1)</f>
        <v>0</v>
      </c>
      <c r="AY217">
        <f>IF(ISNUMBER(Y217),INDEX(AllCollegeMoney, MATCH(N217,AllCollegeNCES,0)),0)</f>
        <v>0</v>
      </c>
      <c r="AZ217">
        <f>IF(AND(AQ217=1,ISNUMBER(AT217),AY217=1),$AT217,1)</f>
        <v>0</v>
      </c>
      <c r="BA217">
        <f>IF(AND(AR217=1,ISNUMBER(AT217),AY217=1),$AT217,1)</f>
        <v>0</v>
      </c>
      <c r="BB217">
        <f>IF(ISNUMBER(Y217),INDEX(AllCollegeILPub, MATCH(N217,AllCollegeNCES,0)),0)</f>
        <v>0</v>
      </c>
      <c r="BC217">
        <f>IF(AK217=ReachLabel,AP217,0)</f>
        <v>0</v>
      </c>
      <c r="BD217">
        <f>IF(AK217=MatchLabel,AP217,0)</f>
        <v>0</v>
      </c>
      <c r="BE217">
        <f>IF(AK217=SafetyLabel,AP217,0)</f>
        <v>0</v>
      </c>
      <c r="BF217">
        <f>IF(AK217=SecureLabel,AP217,0)</f>
        <v>0</v>
      </c>
      <c r="BG217">
        <f>IF(AK217=SureThingLabel,AP217,0)</f>
        <v>0</v>
      </c>
      <c r="BH217">
        <f>MAX(BC217:BG217)</f>
        <v>0</v>
      </c>
      <c r="BI217">
        <f>MAX(BD217:BG217)</f>
        <v>0</v>
      </c>
      <c r="BJ217">
        <f>MAX(BE217:BG217)</f>
        <v>0</v>
      </c>
      <c r="BK217">
        <f>IF(AND(AK217=ReachLabel,AY217=1),AP217,0)</f>
        <v>0</v>
      </c>
      <c r="BL217">
        <f>IF(AND(AK217=MatchLabel,AY217=1),AP217,0)</f>
        <v>0</v>
      </c>
      <c r="BM217">
        <f>IF(AND(AK217=SafetyLabel,AY217=1),AP217,0)</f>
        <v>0</v>
      </c>
      <c r="BN217">
        <f>IF(AND(AK217=SecureLabel,AY217=1),AP217,0)</f>
        <v>0</v>
      </c>
      <c r="BO217">
        <f>IF(AND(AK217=SureThingLabel,AY217=1),AP217,0)</f>
        <v>0</v>
      </c>
      <c r="BP217">
        <f>MAX(BK217:BO217)</f>
        <v>0</v>
      </c>
      <c r="BQ217">
        <f>MAX(BL217:BO217)</f>
        <v>0</v>
      </c>
      <c r="BR217">
        <f>MAX(BM217:BO217)</f>
        <v>0</v>
      </c>
      <c r="BS217">
        <f>IF(ISNUMBER(Y217),INDEX(AllCollegeChicago, MATCH(N217,AllCollegeNCES,0))*AY217,0)</f>
        <v>0</v>
      </c>
      <c r="BT217">
        <f>IF(ISNUMBER(Y217),INDEX(AllCollegeMoneyCode, MATCH(N217,AllCollegeNCES,0)),"?")</f>
        <v>0</v>
      </c>
      <c r="BU217">
        <f>IF(OR(BT217="---",BT217="--",BT217="+/--",BT217="+/---"),1,0)</f>
        <v>0</v>
      </c>
      <c r="BV217">
        <f>AY217*AO217*AQ217</f>
        <v>0</v>
      </c>
    </row>
    <row r="218" spans="1:74">
      <c r="A218" t="s">
        <v>86</v>
      </c>
      <c r="B218">
        <v>22973265</v>
      </c>
      <c r="C218" t="s">
        <v>96</v>
      </c>
      <c r="D218" t="s">
        <v>97</v>
      </c>
      <c r="E218" t="s">
        <v>428</v>
      </c>
      <c r="F218" t="s">
        <v>513</v>
      </c>
      <c r="G218" t="s">
        <v>430</v>
      </c>
      <c r="H218" t="s">
        <v>431</v>
      </c>
      <c r="I218" t="s">
        <v>432</v>
      </c>
      <c r="J218" t="s">
        <v>432</v>
      </c>
      <c r="K218">
        <v>0</v>
      </c>
      <c r="L218" t="s">
        <v>428</v>
      </c>
      <c r="M218" t="s">
        <v>428</v>
      </c>
      <c r="N218">
        <v>197984</v>
      </c>
      <c r="O218">
        <f>INDEX(AllCollegeBarrons,MATCH(N218,AllCollegeNCES,0))</f>
        <v>0</v>
      </c>
      <c r="P218">
        <f>INDEX(KidGPAs,MATCH(B218,KidIDs,0))</f>
        <v>0</v>
      </c>
      <c r="Q218">
        <f>INDEX(KidACTs,MATCH(B218,KidIDs,0))</f>
        <v>0</v>
      </c>
      <c r="R218">
        <f>INDEX(Strats,MATCH(B218,KidIDs,0))</f>
        <v>0</v>
      </c>
      <c r="S218">
        <f>INDEX(KidRace,MATCH(B218,KidIDs,0))</f>
        <v>0</v>
      </c>
      <c r="T218">
        <f>IF(OR(S218="M",S218="I"),"H",S218)</f>
        <v>0</v>
      </c>
      <c r="U218">
        <f>INDEX(StudentTargets,MATCH(B218,KidIDs,0))</f>
        <v>0</v>
      </c>
      <c r="V218">
        <f>INDEX(ReachStudentTargets,MATCH(B218,KidIDs,0))</f>
        <v>0</v>
      </c>
      <c r="W218">
        <f>IF(OR(M218="Posse"),1,0)</f>
        <v>0</v>
      </c>
      <c r="X218">
        <f>IF(ISNUMBER(INDEX(AllCollegeGR, MATCH(N218,AllCollegeNCES,0))),ROUND(INDEX(AllCollegeGR, MATCH(N218,AllCollegeNCES,0))+W218*IF(INDEX(AllCollegeGR, MATCH(N218,AllCollegeNCES,0))&gt;0.7,(1-INDEX(AllCollegeGR, MATCH(N218,AllCollegeNCES,0)))/2,0.15),2),INDEX(AllCollegeGR, MATCH(N218,AllCollegeNCES,0)))</f>
        <v>0</v>
      </c>
      <c r="Y218">
        <f>IF(ISNUMBER(INDEX(AllCollegeAAHGR, MATCH(N218,AllCollegeNCES,0))),ROUND(INDEX(AllCollegeAAHGR, MATCH(N218,AllCollegeNCES,0))+W218*IF(INDEX(AllCollegeAAHGR, MATCH(N218,AllCollegeNCES,0))&gt;0.7,(1-INDEX(AllCollegeAAHGR, MATCH(N218,AllCollegeNCES,0)))/2,0.15),2),INDEX(AllCollegeAAHGR, MATCH(N218,AllCollegeNCES,0)))</f>
        <v>0</v>
      </c>
      <c r="Z218">
        <f>IF(OR(T218="H",T218="B"),INDEX(AllCollegeACT25, MATCH(N218,AllCollegeNCES,0)),INDEX(AllCollegeACT50, MATCH(N218,AllCollegeNCES,0)))</f>
        <v>0</v>
      </c>
      <c r="AA218">
        <f>INDEX(CustomWeightsGPA,MATCH(T218&amp;":"&amp;N218,CustomWeightsIndex,0))</f>
        <v>0</v>
      </c>
      <c r="AB218">
        <f>INDEX(CustomWeightsACT,MATCH(T218&amp;":"&amp;N218,CustomWeightsIndex,0))</f>
        <v>0</v>
      </c>
      <c r="AC218">
        <f>INDEX(CustomWeightsIntercept,MATCH(T218&amp;":"&amp;N218,CustomWeightsIndex,0))</f>
        <v>0</v>
      </c>
      <c r="AD218">
        <f>AA218*P218+AB218*Q218+AC218</f>
        <v>0</v>
      </c>
      <c r="AE218">
        <f>INDEX(CoefficientsGPA,MATCH(T218&amp;":"&amp;O218,CoefficientsIndex,0))</f>
        <v>0</v>
      </c>
      <c r="AF218">
        <f>INDEX(CoefficientsACT,MATCH(T218&amp;":"&amp;O218,CoefficientsIndex,0))</f>
        <v>0</v>
      </c>
      <c r="AG218">
        <f>INDEX(CoefficientsIntercept,MATCH(T218&amp;":"&amp;O218,CoefficientsIndex,0))</f>
        <v>0</v>
      </c>
      <c r="AH218">
        <f>AE218*P218+(Q218-Z218)*AF218+AG218</f>
        <v>0</v>
      </c>
      <c r="AI218">
        <f>IF(ISNUMBER(AD218),AD218,AH218)</f>
        <v>0</v>
      </c>
      <c r="AJ218">
        <f>IF(ISNUMBER(AI218),IF(ISNUMBER(AE218),IF(AND(AE218=1,AF218=1,AG218=1),100,ROUND(100*EXP(AI218)/(1+EXP(AI218)),2)),ROUND(100*EXP(AI218)/(1+EXP(AI218)),2)),IF(ISTEXT(O218),IF(LEFT(O218,1)="2",100,"N/A"),"N/A"))</f>
        <v>0</v>
      </c>
      <c r="AK218">
        <f>IF(ISNUMBER(AJ218),IF(AJ218&gt;=99,IF(OR(R218=10,R218=11),MatchLabel,SureThingLabel),IF(AJ218&gt;=95,SecureLabel,IF(AJ218&gt;=80,SafetyLabel,IF(AJ218&gt;=50,MatchLabel,IF(AJ218&gt;=20,ReachLabel,IF(AJ218&gt;=10,LongshotLabel,HailMaryLabel)))))),"Other")</f>
        <v>0</v>
      </c>
      <c r="AL218">
        <f>IF(OR(I218="accepted",I218="cond. accept",I218="summer admit"),IF(J218="yes","CHOICE!","Accepted!"),IF(I218="denied","Denied",IF(K218=1,"Waitlist",IF(L218=1,"Deferred",IF(G218="pending","Pending",IF(OR(G218="initial materials submitted",G218="mid-year submitted",G218="final submitted"),"Submitted",IF(H218="interest","Interest","?")))))))</f>
        <v>0</v>
      </c>
      <c r="AM218">
        <f>IF(OR(AK218=ReachLabel,AK218=LongshotLabel,AK218=HailMaryLabel),1,0)</f>
        <v>0</v>
      </c>
      <c r="AN218">
        <f>IF(OR(AM218=1,AK218=MatchLabel),1,0)</f>
        <v>0</v>
      </c>
      <c r="AO218">
        <f>IF(OR(AK218=MatchLabel,AK218=SafetyLabel,AK218=SecureLabel,AK218=SureThingLabel),1,0)</f>
        <v>0</v>
      </c>
      <c r="AP218">
        <f>IF(OR(T218="H",T218="B"),IF(ISNUMBER(Y218),ROUND(Y218,2),0),IF(ISNUMBER(X218),ROUND(X218,2),0))</f>
        <v>0</v>
      </c>
      <c r="AQ218">
        <f>IF(AP218&gt;=U218,1,0)</f>
        <v>0</v>
      </c>
      <c r="AR218">
        <f>IF(AP218&gt;=V218,1,0)</f>
        <v>0</v>
      </c>
      <c r="AS218">
        <f>IF(AP218&lt;(U218-0.10),1,0)</f>
        <v>0</v>
      </c>
      <c r="AT218">
        <f>1-AJ218/100</f>
        <v>0</v>
      </c>
      <c r="AU218">
        <f>IF(AN218=1,AT218,1)</f>
        <v>0</v>
      </c>
      <c r="AV218">
        <f>IF(AM218=1,AT218,1)</f>
        <v>0</v>
      </c>
      <c r="AW218">
        <f>IF(AND(AQ218=1,ISNUMBER(AT218)),$AT218,1)</f>
        <v>0</v>
      </c>
      <c r="AX218">
        <f>IF(AND(AR218=1,ISNUMBER(AT218)),$AT218,1)</f>
        <v>0</v>
      </c>
      <c r="AY218">
        <f>IF(ISNUMBER(Y218),INDEX(AllCollegeMoney, MATCH(N218,AllCollegeNCES,0)),0)</f>
        <v>0</v>
      </c>
      <c r="AZ218">
        <f>IF(AND(AQ218=1,ISNUMBER(AT218),AY218=1),$AT218,1)</f>
        <v>0</v>
      </c>
      <c r="BA218">
        <f>IF(AND(AR218=1,ISNUMBER(AT218),AY218=1),$AT218,1)</f>
        <v>0</v>
      </c>
      <c r="BB218">
        <f>IF(ISNUMBER(Y218),INDEX(AllCollegeILPub, MATCH(N218,AllCollegeNCES,0)),0)</f>
        <v>0</v>
      </c>
      <c r="BC218">
        <f>IF(AK218=ReachLabel,AP218,0)</f>
        <v>0</v>
      </c>
      <c r="BD218">
        <f>IF(AK218=MatchLabel,AP218,0)</f>
        <v>0</v>
      </c>
      <c r="BE218">
        <f>IF(AK218=SafetyLabel,AP218,0)</f>
        <v>0</v>
      </c>
      <c r="BF218">
        <f>IF(AK218=SecureLabel,AP218,0)</f>
        <v>0</v>
      </c>
      <c r="BG218">
        <f>IF(AK218=SureThingLabel,AP218,0)</f>
        <v>0</v>
      </c>
      <c r="BH218">
        <f>MAX(BC218:BG218)</f>
        <v>0</v>
      </c>
      <c r="BI218">
        <f>MAX(BD218:BG218)</f>
        <v>0</v>
      </c>
      <c r="BJ218">
        <f>MAX(BE218:BG218)</f>
        <v>0</v>
      </c>
      <c r="BK218">
        <f>IF(AND(AK218=ReachLabel,AY218=1),AP218,0)</f>
        <v>0</v>
      </c>
      <c r="BL218">
        <f>IF(AND(AK218=MatchLabel,AY218=1),AP218,0)</f>
        <v>0</v>
      </c>
      <c r="BM218">
        <f>IF(AND(AK218=SafetyLabel,AY218=1),AP218,0)</f>
        <v>0</v>
      </c>
      <c r="BN218">
        <f>IF(AND(AK218=SecureLabel,AY218=1),AP218,0)</f>
        <v>0</v>
      </c>
      <c r="BO218">
        <f>IF(AND(AK218=SureThingLabel,AY218=1),AP218,0)</f>
        <v>0</v>
      </c>
      <c r="BP218">
        <f>MAX(BK218:BO218)</f>
        <v>0</v>
      </c>
      <c r="BQ218">
        <f>MAX(BL218:BO218)</f>
        <v>0</v>
      </c>
      <c r="BR218">
        <f>MAX(BM218:BO218)</f>
        <v>0</v>
      </c>
      <c r="BS218">
        <f>IF(ISNUMBER(Y218),INDEX(AllCollegeChicago, MATCH(N218,AllCollegeNCES,0))*AY218,0)</f>
        <v>0</v>
      </c>
      <c r="BT218">
        <f>IF(ISNUMBER(Y218),INDEX(AllCollegeMoneyCode, MATCH(N218,AllCollegeNCES,0)),"?")</f>
        <v>0</v>
      </c>
      <c r="BU218">
        <f>IF(OR(BT218="---",BT218="--",BT218="+/--",BT218="+/---"),1,0)</f>
        <v>0</v>
      </c>
      <c r="BV218">
        <f>AY218*AO218*AQ218</f>
        <v>0</v>
      </c>
    </row>
    <row r="219" spans="1:74">
      <c r="A219" t="s">
        <v>86</v>
      </c>
      <c r="B219">
        <v>22973265</v>
      </c>
      <c r="C219" t="s">
        <v>96</v>
      </c>
      <c r="D219" t="s">
        <v>97</v>
      </c>
      <c r="E219" t="s">
        <v>428</v>
      </c>
      <c r="F219" t="s">
        <v>514</v>
      </c>
      <c r="G219" t="s">
        <v>430</v>
      </c>
      <c r="H219" t="s">
        <v>431</v>
      </c>
      <c r="I219" t="s">
        <v>432</v>
      </c>
      <c r="J219" t="s">
        <v>432</v>
      </c>
      <c r="K219">
        <v>0</v>
      </c>
      <c r="L219" t="s">
        <v>428</v>
      </c>
      <c r="M219" t="s">
        <v>428</v>
      </c>
      <c r="N219">
        <v>198215</v>
      </c>
      <c r="O219">
        <f>INDEX(AllCollegeBarrons,MATCH(N219,AllCollegeNCES,0))</f>
        <v>0</v>
      </c>
      <c r="P219">
        <f>INDEX(KidGPAs,MATCH(B219,KidIDs,0))</f>
        <v>0</v>
      </c>
      <c r="Q219">
        <f>INDEX(KidACTs,MATCH(B219,KidIDs,0))</f>
        <v>0</v>
      </c>
      <c r="R219">
        <f>INDEX(Strats,MATCH(B219,KidIDs,0))</f>
        <v>0</v>
      </c>
      <c r="S219">
        <f>INDEX(KidRace,MATCH(B219,KidIDs,0))</f>
        <v>0</v>
      </c>
      <c r="T219">
        <f>IF(OR(S219="M",S219="I"),"H",S219)</f>
        <v>0</v>
      </c>
      <c r="U219">
        <f>INDEX(StudentTargets,MATCH(B219,KidIDs,0))</f>
        <v>0</v>
      </c>
      <c r="V219">
        <f>INDEX(ReachStudentTargets,MATCH(B219,KidIDs,0))</f>
        <v>0</v>
      </c>
      <c r="W219">
        <f>IF(OR(M219="Posse"),1,0)</f>
        <v>0</v>
      </c>
      <c r="X219">
        <f>IF(ISNUMBER(INDEX(AllCollegeGR, MATCH(N219,AllCollegeNCES,0))),ROUND(INDEX(AllCollegeGR, MATCH(N219,AllCollegeNCES,0))+W219*IF(INDEX(AllCollegeGR, MATCH(N219,AllCollegeNCES,0))&gt;0.7,(1-INDEX(AllCollegeGR, MATCH(N219,AllCollegeNCES,0)))/2,0.15),2),INDEX(AllCollegeGR, MATCH(N219,AllCollegeNCES,0)))</f>
        <v>0</v>
      </c>
      <c r="Y219">
        <f>IF(ISNUMBER(INDEX(AllCollegeAAHGR, MATCH(N219,AllCollegeNCES,0))),ROUND(INDEX(AllCollegeAAHGR, MATCH(N219,AllCollegeNCES,0))+W219*IF(INDEX(AllCollegeAAHGR, MATCH(N219,AllCollegeNCES,0))&gt;0.7,(1-INDEX(AllCollegeAAHGR, MATCH(N219,AllCollegeNCES,0)))/2,0.15),2),INDEX(AllCollegeAAHGR, MATCH(N219,AllCollegeNCES,0)))</f>
        <v>0</v>
      </c>
      <c r="Z219">
        <f>IF(OR(T219="H",T219="B"),INDEX(AllCollegeACT25, MATCH(N219,AllCollegeNCES,0)),INDEX(AllCollegeACT50, MATCH(N219,AllCollegeNCES,0)))</f>
        <v>0</v>
      </c>
      <c r="AA219">
        <f>INDEX(CustomWeightsGPA,MATCH(T219&amp;":"&amp;N219,CustomWeightsIndex,0))</f>
        <v>0</v>
      </c>
      <c r="AB219">
        <f>INDEX(CustomWeightsACT,MATCH(T219&amp;":"&amp;N219,CustomWeightsIndex,0))</f>
        <v>0</v>
      </c>
      <c r="AC219">
        <f>INDEX(CustomWeightsIntercept,MATCH(T219&amp;":"&amp;N219,CustomWeightsIndex,0))</f>
        <v>0</v>
      </c>
      <c r="AD219">
        <f>AA219*P219+AB219*Q219+AC219</f>
        <v>0</v>
      </c>
      <c r="AE219">
        <f>INDEX(CoefficientsGPA,MATCH(T219&amp;":"&amp;O219,CoefficientsIndex,0))</f>
        <v>0</v>
      </c>
      <c r="AF219">
        <f>INDEX(CoefficientsACT,MATCH(T219&amp;":"&amp;O219,CoefficientsIndex,0))</f>
        <v>0</v>
      </c>
      <c r="AG219">
        <f>INDEX(CoefficientsIntercept,MATCH(T219&amp;":"&amp;O219,CoefficientsIndex,0))</f>
        <v>0</v>
      </c>
      <c r="AH219">
        <f>AE219*P219+(Q219-Z219)*AF219+AG219</f>
        <v>0</v>
      </c>
      <c r="AI219">
        <f>IF(ISNUMBER(AD219),AD219,AH219)</f>
        <v>0</v>
      </c>
      <c r="AJ219">
        <f>IF(ISNUMBER(AI219),IF(ISNUMBER(AE219),IF(AND(AE219=1,AF219=1,AG219=1),100,ROUND(100*EXP(AI219)/(1+EXP(AI219)),2)),ROUND(100*EXP(AI219)/(1+EXP(AI219)),2)),IF(ISTEXT(O219),IF(LEFT(O219,1)="2",100,"N/A"),"N/A"))</f>
        <v>0</v>
      </c>
      <c r="AK219">
        <f>IF(ISNUMBER(AJ219),IF(AJ219&gt;=99,IF(OR(R219=10,R219=11),MatchLabel,SureThingLabel),IF(AJ219&gt;=95,SecureLabel,IF(AJ219&gt;=80,SafetyLabel,IF(AJ219&gt;=50,MatchLabel,IF(AJ219&gt;=20,ReachLabel,IF(AJ219&gt;=10,LongshotLabel,HailMaryLabel)))))),"Other")</f>
        <v>0</v>
      </c>
      <c r="AL219">
        <f>IF(OR(I219="accepted",I219="cond. accept",I219="summer admit"),IF(J219="yes","CHOICE!","Accepted!"),IF(I219="denied","Denied",IF(K219=1,"Waitlist",IF(L219=1,"Deferred",IF(G219="pending","Pending",IF(OR(G219="initial materials submitted",G219="mid-year submitted",G219="final submitted"),"Submitted",IF(H219="interest","Interest","?")))))))</f>
        <v>0</v>
      </c>
      <c r="AM219">
        <f>IF(OR(AK219=ReachLabel,AK219=LongshotLabel,AK219=HailMaryLabel),1,0)</f>
        <v>0</v>
      </c>
      <c r="AN219">
        <f>IF(OR(AM219=1,AK219=MatchLabel),1,0)</f>
        <v>0</v>
      </c>
      <c r="AO219">
        <f>IF(OR(AK219=MatchLabel,AK219=SafetyLabel,AK219=SecureLabel,AK219=SureThingLabel),1,0)</f>
        <v>0</v>
      </c>
      <c r="AP219">
        <f>IF(OR(T219="H",T219="B"),IF(ISNUMBER(Y219),ROUND(Y219,2),0),IF(ISNUMBER(X219),ROUND(X219,2),0))</f>
        <v>0</v>
      </c>
      <c r="AQ219">
        <f>IF(AP219&gt;=U219,1,0)</f>
        <v>0</v>
      </c>
      <c r="AR219">
        <f>IF(AP219&gt;=V219,1,0)</f>
        <v>0</v>
      </c>
      <c r="AS219">
        <f>IF(AP219&lt;(U219-0.10),1,0)</f>
        <v>0</v>
      </c>
      <c r="AT219">
        <f>1-AJ219/100</f>
        <v>0</v>
      </c>
      <c r="AU219">
        <f>IF(AN219=1,AT219,1)</f>
        <v>0</v>
      </c>
      <c r="AV219">
        <f>IF(AM219=1,AT219,1)</f>
        <v>0</v>
      </c>
      <c r="AW219">
        <f>IF(AND(AQ219=1,ISNUMBER(AT219)),$AT219,1)</f>
        <v>0</v>
      </c>
      <c r="AX219">
        <f>IF(AND(AR219=1,ISNUMBER(AT219)),$AT219,1)</f>
        <v>0</v>
      </c>
      <c r="AY219">
        <f>IF(ISNUMBER(Y219),INDEX(AllCollegeMoney, MATCH(N219,AllCollegeNCES,0)),0)</f>
        <v>0</v>
      </c>
      <c r="AZ219">
        <f>IF(AND(AQ219=1,ISNUMBER(AT219),AY219=1),$AT219,1)</f>
        <v>0</v>
      </c>
      <c r="BA219">
        <f>IF(AND(AR219=1,ISNUMBER(AT219),AY219=1),$AT219,1)</f>
        <v>0</v>
      </c>
      <c r="BB219">
        <f>IF(ISNUMBER(Y219),INDEX(AllCollegeILPub, MATCH(N219,AllCollegeNCES,0)),0)</f>
        <v>0</v>
      </c>
      <c r="BC219">
        <f>IF(AK219=ReachLabel,AP219,0)</f>
        <v>0</v>
      </c>
      <c r="BD219">
        <f>IF(AK219=MatchLabel,AP219,0)</f>
        <v>0</v>
      </c>
      <c r="BE219">
        <f>IF(AK219=SafetyLabel,AP219,0)</f>
        <v>0</v>
      </c>
      <c r="BF219">
        <f>IF(AK219=SecureLabel,AP219,0)</f>
        <v>0</v>
      </c>
      <c r="BG219">
        <f>IF(AK219=SureThingLabel,AP219,0)</f>
        <v>0</v>
      </c>
      <c r="BH219">
        <f>MAX(BC219:BG219)</f>
        <v>0</v>
      </c>
      <c r="BI219">
        <f>MAX(BD219:BG219)</f>
        <v>0</v>
      </c>
      <c r="BJ219">
        <f>MAX(BE219:BG219)</f>
        <v>0</v>
      </c>
      <c r="BK219">
        <f>IF(AND(AK219=ReachLabel,AY219=1),AP219,0)</f>
        <v>0</v>
      </c>
      <c r="BL219">
        <f>IF(AND(AK219=MatchLabel,AY219=1),AP219,0)</f>
        <v>0</v>
      </c>
      <c r="BM219">
        <f>IF(AND(AK219=SafetyLabel,AY219=1),AP219,0)</f>
        <v>0</v>
      </c>
      <c r="BN219">
        <f>IF(AND(AK219=SecureLabel,AY219=1),AP219,0)</f>
        <v>0</v>
      </c>
      <c r="BO219">
        <f>IF(AND(AK219=SureThingLabel,AY219=1),AP219,0)</f>
        <v>0</v>
      </c>
      <c r="BP219">
        <f>MAX(BK219:BO219)</f>
        <v>0</v>
      </c>
      <c r="BQ219">
        <f>MAX(BL219:BO219)</f>
        <v>0</v>
      </c>
      <c r="BR219">
        <f>MAX(BM219:BO219)</f>
        <v>0</v>
      </c>
      <c r="BS219">
        <f>IF(ISNUMBER(Y219),INDEX(AllCollegeChicago, MATCH(N219,AllCollegeNCES,0))*AY219,0)</f>
        <v>0</v>
      </c>
      <c r="BT219">
        <f>IF(ISNUMBER(Y219),INDEX(AllCollegeMoneyCode, MATCH(N219,AllCollegeNCES,0)),"?")</f>
        <v>0</v>
      </c>
      <c r="BU219">
        <f>IF(OR(BT219="---",BT219="--",BT219="+/--",BT219="+/---"),1,0)</f>
        <v>0</v>
      </c>
      <c r="BV219">
        <f>AY219*AO219*AQ219</f>
        <v>0</v>
      </c>
    </row>
    <row r="220" spans="1:74">
      <c r="A220" t="s">
        <v>86</v>
      </c>
      <c r="B220">
        <v>22973265</v>
      </c>
      <c r="C220" t="s">
        <v>96</v>
      </c>
      <c r="D220" t="s">
        <v>97</v>
      </c>
      <c r="E220" t="s">
        <v>428</v>
      </c>
      <c r="F220" t="s">
        <v>438</v>
      </c>
      <c r="G220" t="s">
        <v>463</v>
      </c>
      <c r="H220" t="s">
        <v>431</v>
      </c>
      <c r="I220" t="s">
        <v>432</v>
      </c>
      <c r="J220" t="s">
        <v>432</v>
      </c>
      <c r="K220">
        <v>0</v>
      </c>
      <c r="L220" t="s">
        <v>428</v>
      </c>
      <c r="M220" t="s">
        <v>439</v>
      </c>
      <c r="N220">
        <v>150774</v>
      </c>
      <c r="O220">
        <f>INDEX(AllCollegeBarrons,MATCH(N220,AllCollegeNCES,0))</f>
        <v>0</v>
      </c>
      <c r="P220">
        <f>INDEX(KidGPAs,MATCH(B220,KidIDs,0))</f>
        <v>0</v>
      </c>
      <c r="Q220">
        <f>INDEX(KidACTs,MATCH(B220,KidIDs,0))</f>
        <v>0</v>
      </c>
      <c r="R220">
        <f>INDEX(Strats,MATCH(B220,KidIDs,0))</f>
        <v>0</v>
      </c>
      <c r="S220">
        <f>INDEX(KidRace,MATCH(B220,KidIDs,0))</f>
        <v>0</v>
      </c>
      <c r="T220">
        <f>IF(OR(S220="M",S220="I"),"H",S220)</f>
        <v>0</v>
      </c>
      <c r="U220">
        <f>INDEX(StudentTargets,MATCH(B220,KidIDs,0))</f>
        <v>0</v>
      </c>
      <c r="V220">
        <f>INDEX(ReachStudentTargets,MATCH(B220,KidIDs,0))</f>
        <v>0</v>
      </c>
      <c r="W220">
        <f>IF(OR(M220="Posse"),1,0)</f>
        <v>0</v>
      </c>
      <c r="X220">
        <f>IF(ISNUMBER(INDEX(AllCollegeGR, MATCH(N220,AllCollegeNCES,0))),ROUND(INDEX(AllCollegeGR, MATCH(N220,AllCollegeNCES,0))+W220*IF(INDEX(AllCollegeGR, MATCH(N220,AllCollegeNCES,0))&gt;0.7,(1-INDEX(AllCollegeGR, MATCH(N220,AllCollegeNCES,0)))/2,0.15),2),INDEX(AllCollegeGR, MATCH(N220,AllCollegeNCES,0)))</f>
        <v>0</v>
      </c>
      <c r="Y220">
        <f>IF(ISNUMBER(INDEX(AllCollegeAAHGR, MATCH(N220,AllCollegeNCES,0))),ROUND(INDEX(AllCollegeAAHGR, MATCH(N220,AllCollegeNCES,0))+W220*IF(INDEX(AllCollegeAAHGR, MATCH(N220,AllCollegeNCES,0))&gt;0.7,(1-INDEX(AllCollegeAAHGR, MATCH(N220,AllCollegeNCES,0)))/2,0.15),2),INDEX(AllCollegeAAHGR, MATCH(N220,AllCollegeNCES,0)))</f>
        <v>0</v>
      </c>
      <c r="Z220">
        <f>IF(OR(T220="H",T220="B"),INDEX(AllCollegeACT25, MATCH(N220,AllCollegeNCES,0)),INDEX(AllCollegeACT50, MATCH(N220,AllCollegeNCES,0)))</f>
        <v>0</v>
      </c>
      <c r="AA220">
        <f>INDEX(CustomWeightsGPA,MATCH(T220&amp;":"&amp;N220,CustomWeightsIndex,0))</f>
        <v>0</v>
      </c>
      <c r="AB220">
        <f>INDEX(CustomWeightsACT,MATCH(T220&amp;":"&amp;N220,CustomWeightsIndex,0))</f>
        <v>0</v>
      </c>
      <c r="AC220">
        <f>INDEX(CustomWeightsIntercept,MATCH(T220&amp;":"&amp;N220,CustomWeightsIndex,0))</f>
        <v>0</v>
      </c>
      <c r="AD220">
        <f>AA220*P220+AB220*Q220+AC220</f>
        <v>0</v>
      </c>
      <c r="AE220">
        <f>INDEX(CoefficientsGPA,MATCH(T220&amp;":"&amp;O220,CoefficientsIndex,0))</f>
        <v>0</v>
      </c>
      <c r="AF220">
        <f>INDEX(CoefficientsACT,MATCH(T220&amp;":"&amp;O220,CoefficientsIndex,0))</f>
        <v>0</v>
      </c>
      <c r="AG220">
        <f>INDEX(CoefficientsIntercept,MATCH(T220&amp;":"&amp;O220,CoefficientsIndex,0))</f>
        <v>0</v>
      </c>
      <c r="AH220">
        <f>AE220*P220+(Q220-Z220)*AF220+AG220</f>
        <v>0</v>
      </c>
      <c r="AI220">
        <f>IF(ISNUMBER(AD220),AD220,AH220)</f>
        <v>0</v>
      </c>
      <c r="AJ220">
        <f>IF(ISNUMBER(AI220),IF(ISNUMBER(AE220),IF(AND(AE220=1,AF220=1,AG220=1),100,ROUND(100*EXP(AI220)/(1+EXP(AI220)),2)),ROUND(100*EXP(AI220)/(1+EXP(AI220)),2)),IF(ISTEXT(O220),IF(LEFT(O220,1)="2",100,"N/A"),"N/A"))</f>
        <v>0</v>
      </c>
      <c r="AK220">
        <f>IF(ISNUMBER(AJ220),IF(AJ220&gt;=99,IF(OR(R220=10,R220=11),MatchLabel,SureThingLabel),IF(AJ220&gt;=95,SecureLabel,IF(AJ220&gt;=80,SafetyLabel,IF(AJ220&gt;=50,MatchLabel,IF(AJ220&gt;=20,ReachLabel,IF(AJ220&gt;=10,LongshotLabel,HailMaryLabel)))))),"Other")</f>
        <v>0</v>
      </c>
      <c r="AL220">
        <f>IF(OR(I220="accepted",I220="cond. accept",I220="summer admit"),IF(J220="yes","CHOICE!","Accepted!"),IF(I220="denied","Denied",IF(K220=1,"Waitlist",IF(L220=1,"Deferred",IF(G220="pending","Pending",IF(OR(G220="initial materials submitted",G220="mid-year submitted",G220="final submitted"),"Submitted",IF(H220="interest","Interest","?")))))))</f>
        <v>0</v>
      </c>
      <c r="AM220">
        <f>IF(OR(AK220=ReachLabel,AK220=LongshotLabel,AK220=HailMaryLabel),1,0)</f>
        <v>0</v>
      </c>
      <c r="AN220">
        <f>IF(OR(AM220=1,AK220=MatchLabel),1,0)</f>
        <v>0</v>
      </c>
      <c r="AO220">
        <f>IF(OR(AK220=MatchLabel,AK220=SafetyLabel,AK220=SecureLabel,AK220=SureThingLabel),1,0)</f>
        <v>0</v>
      </c>
      <c r="AP220">
        <f>IF(OR(T220="H",T220="B"),IF(ISNUMBER(Y220),ROUND(Y220,2),0),IF(ISNUMBER(X220),ROUND(X220,2),0))</f>
        <v>0</v>
      </c>
      <c r="AQ220">
        <f>IF(AP220&gt;=U220,1,0)</f>
        <v>0</v>
      </c>
      <c r="AR220">
        <f>IF(AP220&gt;=V220,1,0)</f>
        <v>0</v>
      </c>
      <c r="AS220">
        <f>IF(AP220&lt;(U220-0.10),1,0)</f>
        <v>0</v>
      </c>
      <c r="AT220">
        <f>1-AJ220/100</f>
        <v>0</v>
      </c>
      <c r="AU220">
        <f>IF(AN220=1,AT220,1)</f>
        <v>0</v>
      </c>
      <c r="AV220">
        <f>IF(AM220=1,AT220,1)</f>
        <v>0</v>
      </c>
      <c r="AW220">
        <f>IF(AND(AQ220=1,ISNUMBER(AT220)),$AT220,1)</f>
        <v>0</v>
      </c>
      <c r="AX220">
        <f>IF(AND(AR220=1,ISNUMBER(AT220)),$AT220,1)</f>
        <v>0</v>
      </c>
      <c r="AY220">
        <f>IF(ISNUMBER(Y220),INDEX(AllCollegeMoney, MATCH(N220,AllCollegeNCES,0)),0)</f>
        <v>0</v>
      </c>
      <c r="AZ220">
        <f>IF(AND(AQ220=1,ISNUMBER(AT220),AY220=1),$AT220,1)</f>
        <v>0</v>
      </c>
      <c r="BA220">
        <f>IF(AND(AR220=1,ISNUMBER(AT220),AY220=1),$AT220,1)</f>
        <v>0</v>
      </c>
      <c r="BB220">
        <f>IF(ISNUMBER(Y220),INDEX(AllCollegeILPub, MATCH(N220,AllCollegeNCES,0)),0)</f>
        <v>0</v>
      </c>
      <c r="BC220">
        <f>IF(AK220=ReachLabel,AP220,0)</f>
        <v>0</v>
      </c>
      <c r="BD220">
        <f>IF(AK220=MatchLabel,AP220,0)</f>
        <v>0</v>
      </c>
      <c r="BE220">
        <f>IF(AK220=SafetyLabel,AP220,0)</f>
        <v>0</v>
      </c>
      <c r="BF220">
        <f>IF(AK220=SecureLabel,AP220,0)</f>
        <v>0</v>
      </c>
      <c r="BG220">
        <f>IF(AK220=SureThingLabel,AP220,0)</f>
        <v>0</v>
      </c>
      <c r="BH220">
        <f>MAX(BC220:BG220)</f>
        <v>0</v>
      </c>
      <c r="BI220">
        <f>MAX(BD220:BG220)</f>
        <v>0</v>
      </c>
      <c r="BJ220">
        <f>MAX(BE220:BG220)</f>
        <v>0</v>
      </c>
      <c r="BK220">
        <f>IF(AND(AK220=ReachLabel,AY220=1),AP220,0)</f>
        <v>0</v>
      </c>
      <c r="BL220">
        <f>IF(AND(AK220=MatchLabel,AY220=1),AP220,0)</f>
        <v>0</v>
      </c>
      <c r="BM220">
        <f>IF(AND(AK220=SafetyLabel,AY220=1),AP220,0)</f>
        <v>0</v>
      </c>
      <c r="BN220">
        <f>IF(AND(AK220=SecureLabel,AY220=1),AP220,0)</f>
        <v>0</v>
      </c>
      <c r="BO220">
        <f>IF(AND(AK220=SureThingLabel,AY220=1),AP220,0)</f>
        <v>0</v>
      </c>
      <c r="BP220">
        <f>MAX(BK220:BO220)</f>
        <v>0</v>
      </c>
      <c r="BQ220">
        <f>MAX(BL220:BO220)</f>
        <v>0</v>
      </c>
      <c r="BR220">
        <f>MAX(BM220:BO220)</f>
        <v>0</v>
      </c>
      <c r="BS220">
        <f>IF(ISNUMBER(Y220),INDEX(AllCollegeChicago, MATCH(N220,AllCollegeNCES,0))*AY220,0)</f>
        <v>0</v>
      </c>
      <c r="BT220">
        <f>IF(ISNUMBER(Y220),INDEX(AllCollegeMoneyCode, MATCH(N220,AllCollegeNCES,0)),"?")</f>
        <v>0</v>
      </c>
      <c r="BU220">
        <f>IF(OR(BT220="---",BT220="--",BT220="+/--",BT220="+/---"),1,0)</f>
        <v>0</v>
      </c>
      <c r="BV220">
        <f>AY220*AO220*AQ220</f>
        <v>0</v>
      </c>
    </row>
    <row r="221" spans="1:74">
      <c r="A221" t="s">
        <v>86</v>
      </c>
      <c r="B221">
        <v>22973915</v>
      </c>
      <c r="C221" t="s">
        <v>278</v>
      </c>
      <c r="D221" t="s">
        <v>279</v>
      </c>
      <c r="E221" t="s">
        <v>428</v>
      </c>
      <c r="F221" t="s">
        <v>433</v>
      </c>
      <c r="G221" t="s">
        <v>430</v>
      </c>
      <c r="H221" t="s">
        <v>431</v>
      </c>
      <c r="I221" t="s">
        <v>432</v>
      </c>
      <c r="J221" t="s">
        <v>432</v>
      </c>
      <c r="K221">
        <v>0</v>
      </c>
      <c r="L221" t="s">
        <v>428</v>
      </c>
      <c r="M221" t="s">
        <v>428</v>
      </c>
      <c r="N221">
        <v>148496</v>
      </c>
      <c r="O221">
        <f>INDEX(AllCollegeBarrons,MATCH(N221,AllCollegeNCES,0))</f>
        <v>0</v>
      </c>
      <c r="P221">
        <f>INDEX(KidGPAs,MATCH(B221,KidIDs,0))</f>
        <v>0</v>
      </c>
      <c r="Q221">
        <f>INDEX(KidACTs,MATCH(B221,KidIDs,0))</f>
        <v>0</v>
      </c>
      <c r="R221">
        <f>INDEX(Strats,MATCH(B221,KidIDs,0))</f>
        <v>0</v>
      </c>
      <c r="S221">
        <f>INDEX(KidRace,MATCH(B221,KidIDs,0))</f>
        <v>0</v>
      </c>
      <c r="T221">
        <f>IF(OR(S221="M",S221="I"),"H",S221)</f>
        <v>0</v>
      </c>
      <c r="U221">
        <f>INDEX(StudentTargets,MATCH(B221,KidIDs,0))</f>
        <v>0</v>
      </c>
      <c r="V221">
        <f>INDEX(ReachStudentTargets,MATCH(B221,KidIDs,0))</f>
        <v>0</v>
      </c>
      <c r="W221">
        <f>IF(OR(M221="Posse"),1,0)</f>
        <v>0</v>
      </c>
      <c r="X221">
        <f>IF(ISNUMBER(INDEX(AllCollegeGR, MATCH(N221,AllCollegeNCES,0))),ROUND(INDEX(AllCollegeGR, MATCH(N221,AllCollegeNCES,0))+W221*IF(INDEX(AllCollegeGR, MATCH(N221,AllCollegeNCES,0))&gt;0.7,(1-INDEX(AllCollegeGR, MATCH(N221,AllCollegeNCES,0)))/2,0.15),2),INDEX(AllCollegeGR, MATCH(N221,AllCollegeNCES,0)))</f>
        <v>0</v>
      </c>
      <c r="Y221">
        <f>IF(ISNUMBER(INDEX(AllCollegeAAHGR, MATCH(N221,AllCollegeNCES,0))),ROUND(INDEX(AllCollegeAAHGR, MATCH(N221,AllCollegeNCES,0))+W221*IF(INDEX(AllCollegeAAHGR, MATCH(N221,AllCollegeNCES,0))&gt;0.7,(1-INDEX(AllCollegeAAHGR, MATCH(N221,AllCollegeNCES,0)))/2,0.15),2),INDEX(AllCollegeAAHGR, MATCH(N221,AllCollegeNCES,0)))</f>
        <v>0</v>
      </c>
      <c r="Z221">
        <f>IF(OR(T221="H",T221="B"),INDEX(AllCollegeACT25, MATCH(N221,AllCollegeNCES,0)),INDEX(AllCollegeACT50, MATCH(N221,AllCollegeNCES,0)))</f>
        <v>0</v>
      </c>
      <c r="AA221">
        <f>INDEX(CustomWeightsGPA,MATCH(T221&amp;":"&amp;N221,CustomWeightsIndex,0))</f>
        <v>0</v>
      </c>
      <c r="AB221">
        <f>INDEX(CustomWeightsACT,MATCH(T221&amp;":"&amp;N221,CustomWeightsIndex,0))</f>
        <v>0</v>
      </c>
      <c r="AC221">
        <f>INDEX(CustomWeightsIntercept,MATCH(T221&amp;":"&amp;N221,CustomWeightsIndex,0))</f>
        <v>0</v>
      </c>
      <c r="AD221">
        <f>AA221*P221+AB221*Q221+AC221</f>
        <v>0</v>
      </c>
      <c r="AE221">
        <f>INDEX(CoefficientsGPA,MATCH(T221&amp;":"&amp;O221,CoefficientsIndex,0))</f>
        <v>0</v>
      </c>
      <c r="AF221">
        <f>INDEX(CoefficientsACT,MATCH(T221&amp;":"&amp;O221,CoefficientsIndex,0))</f>
        <v>0</v>
      </c>
      <c r="AG221">
        <f>INDEX(CoefficientsIntercept,MATCH(T221&amp;":"&amp;O221,CoefficientsIndex,0))</f>
        <v>0</v>
      </c>
      <c r="AH221">
        <f>AE221*P221+(Q221-Z221)*AF221+AG221</f>
        <v>0</v>
      </c>
      <c r="AI221">
        <f>IF(ISNUMBER(AD221),AD221,AH221)</f>
        <v>0</v>
      </c>
      <c r="AJ221">
        <f>IF(ISNUMBER(AI221),IF(ISNUMBER(AE221),IF(AND(AE221=1,AF221=1,AG221=1),100,ROUND(100*EXP(AI221)/(1+EXP(AI221)),2)),ROUND(100*EXP(AI221)/(1+EXP(AI221)),2)),IF(ISTEXT(O221),IF(LEFT(O221,1)="2",100,"N/A"),"N/A"))</f>
        <v>0</v>
      </c>
      <c r="AK221">
        <f>IF(ISNUMBER(AJ221),IF(AJ221&gt;=99,IF(OR(R221=10,R221=11),MatchLabel,SureThingLabel),IF(AJ221&gt;=95,SecureLabel,IF(AJ221&gt;=80,SafetyLabel,IF(AJ221&gt;=50,MatchLabel,IF(AJ221&gt;=20,ReachLabel,IF(AJ221&gt;=10,LongshotLabel,HailMaryLabel)))))),"Other")</f>
        <v>0</v>
      </c>
      <c r="AL221">
        <f>IF(OR(I221="accepted",I221="cond. accept",I221="summer admit"),IF(J221="yes","CHOICE!","Accepted!"),IF(I221="denied","Denied",IF(K221=1,"Waitlist",IF(L221=1,"Deferred",IF(G221="pending","Pending",IF(OR(G221="initial materials submitted",G221="mid-year submitted",G221="final submitted"),"Submitted",IF(H221="interest","Interest","?")))))))</f>
        <v>0</v>
      </c>
      <c r="AM221">
        <f>IF(OR(AK221=ReachLabel,AK221=LongshotLabel,AK221=HailMaryLabel),1,0)</f>
        <v>0</v>
      </c>
      <c r="AN221">
        <f>IF(OR(AM221=1,AK221=MatchLabel),1,0)</f>
        <v>0</v>
      </c>
      <c r="AO221">
        <f>IF(OR(AK221=MatchLabel,AK221=SafetyLabel,AK221=SecureLabel,AK221=SureThingLabel),1,0)</f>
        <v>0</v>
      </c>
      <c r="AP221">
        <f>IF(OR(T221="H",T221="B"),IF(ISNUMBER(Y221),ROUND(Y221,2),0),IF(ISNUMBER(X221),ROUND(X221,2),0))</f>
        <v>0</v>
      </c>
      <c r="AQ221">
        <f>IF(AP221&gt;=U221,1,0)</f>
        <v>0</v>
      </c>
      <c r="AR221">
        <f>IF(AP221&gt;=V221,1,0)</f>
        <v>0</v>
      </c>
      <c r="AS221">
        <f>IF(AP221&lt;(U221-0.10),1,0)</f>
        <v>0</v>
      </c>
      <c r="AT221">
        <f>1-AJ221/100</f>
        <v>0</v>
      </c>
      <c r="AU221">
        <f>IF(AN221=1,AT221,1)</f>
        <v>0</v>
      </c>
      <c r="AV221">
        <f>IF(AM221=1,AT221,1)</f>
        <v>0</v>
      </c>
      <c r="AW221">
        <f>IF(AND(AQ221=1,ISNUMBER(AT221)),$AT221,1)</f>
        <v>0</v>
      </c>
      <c r="AX221">
        <f>IF(AND(AR221=1,ISNUMBER(AT221)),$AT221,1)</f>
        <v>0</v>
      </c>
      <c r="AY221">
        <f>IF(ISNUMBER(Y221),INDEX(AllCollegeMoney, MATCH(N221,AllCollegeNCES,0)),0)</f>
        <v>0</v>
      </c>
      <c r="AZ221">
        <f>IF(AND(AQ221=1,ISNUMBER(AT221),AY221=1),$AT221,1)</f>
        <v>0</v>
      </c>
      <c r="BA221">
        <f>IF(AND(AR221=1,ISNUMBER(AT221),AY221=1),$AT221,1)</f>
        <v>0</v>
      </c>
      <c r="BB221">
        <f>IF(ISNUMBER(Y221),INDEX(AllCollegeILPub, MATCH(N221,AllCollegeNCES,0)),0)</f>
        <v>0</v>
      </c>
      <c r="BC221">
        <f>IF(AK221=ReachLabel,AP221,0)</f>
        <v>0</v>
      </c>
      <c r="BD221">
        <f>IF(AK221=MatchLabel,AP221,0)</f>
        <v>0</v>
      </c>
      <c r="BE221">
        <f>IF(AK221=SafetyLabel,AP221,0)</f>
        <v>0</v>
      </c>
      <c r="BF221">
        <f>IF(AK221=SecureLabel,AP221,0)</f>
        <v>0</v>
      </c>
      <c r="BG221">
        <f>IF(AK221=SureThingLabel,AP221,0)</f>
        <v>0</v>
      </c>
      <c r="BH221">
        <f>MAX(BC221:BG221)</f>
        <v>0</v>
      </c>
      <c r="BI221">
        <f>MAX(BD221:BG221)</f>
        <v>0</v>
      </c>
      <c r="BJ221">
        <f>MAX(BE221:BG221)</f>
        <v>0</v>
      </c>
      <c r="BK221">
        <f>IF(AND(AK221=ReachLabel,AY221=1),AP221,0)</f>
        <v>0</v>
      </c>
      <c r="BL221">
        <f>IF(AND(AK221=MatchLabel,AY221=1),AP221,0)</f>
        <v>0</v>
      </c>
      <c r="BM221">
        <f>IF(AND(AK221=SafetyLabel,AY221=1),AP221,0)</f>
        <v>0</v>
      </c>
      <c r="BN221">
        <f>IF(AND(AK221=SecureLabel,AY221=1),AP221,0)</f>
        <v>0</v>
      </c>
      <c r="BO221">
        <f>IF(AND(AK221=SureThingLabel,AY221=1),AP221,0)</f>
        <v>0</v>
      </c>
      <c r="BP221">
        <f>MAX(BK221:BO221)</f>
        <v>0</v>
      </c>
      <c r="BQ221">
        <f>MAX(BL221:BO221)</f>
        <v>0</v>
      </c>
      <c r="BR221">
        <f>MAX(BM221:BO221)</f>
        <v>0</v>
      </c>
      <c r="BS221">
        <f>IF(ISNUMBER(Y221),INDEX(AllCollegeChicago, MATCH(N221,AllCollegeNCES,0))*AY221,0)</f>
        <v>0</v>
      </c>
      <c r="BT221">
        <f>IF(ISNUMBER(Y221),INDEX(AllCollegeMoneyCode, MATCH(N221,AllCollegeNCES,0)),"?")</f>
        <v>0</v>
      </c>
      <c r="BU221">
        <f>IF(OR(BT221="---",BT221="--",BT221="+/--",BT221="+/---"),1,0)</f>
        <v>0</v>
      </c>
      <c r="BV221">
        <f>AY221*AO221*AQ221</f>
        <v>0</v>
      </c>
    </row>
    <row r="222" spans="1:74">
      <c r="A222" t="s">
        <v>86</v>
      </c>
      <c r="B222">
        <v>22973915</v>
      </c>
      <c r="C222" t="s">
        <v>278</v>
      </c>
      <c r="D222" t="s">
        <v>279</v>
      </c>
      <c r="E222" t="s">
        <v>428</v>
      </c>
      <c r="F222" t="s">
        <v>448</v>
      </c>
      <c r="G222" t="s">
        <v>430</v>
      </c>
      <c r="H222" t="s">
        <v>431</v>
      </c>
      <c r="I222" t="s">
        <v>432</v>
      </c>
      <c r="J222" t="s">
        <v>432</v>
      </c>
      <c r="K222">
        <v>0</v>
      </c>
      <c r="L222" t="s">
        <v>428</v>
      </c>
      <c r="M222" t="s">
        <v>428</v>
      </c>
      <c r="N222" t="s">
        <v>449</v>
      </c>
      <c r="O222">
        <f>INDEX(AllCollegeBarrons,MATCH(N222,AllCollegeNCES,0))</f>
        <v>0</v>
      </c>
      <c r="P222">
        <f>INDEX(KidGPAs,MATCH(B222,KidIDs,0))</f>
        <v>0</v>
      </c>
      <c r="Q222">
        <f>INDEX(KidACTs,MATCH(B222,KidIDs,0))</f>
        <v>0</v>
      </c>
      <c r="R222">
        <f>INDEX(Strats,MATCH(B222,KidIDs,0))</f>
        <v>0</v>
      </c>
      <c r="S222">
        <f>INDEX(KidRace,MATCH(B222,KidIDs,0))</f>
        <v>0</v>
      </c>
      <c r="T222">
        <f>IF(OR(S222="M",S222="I"),"H",S222)</f>
        <v>0</v>
      </c>
      <c r="U222">
        <f>INDEX(StudentTargets,MATCH(B222,KidIDs,0))</f>
        <v>0</v>
      </c>
      <c r="V222">
        <f>INDEX(ReachStudentTargets,MATCH(B222,KidIDs,0))</f>
        <v>0</v>
      </c>
      <c r="W222">
        <f>IF(OR(M222="Posse"),1,0)</f>
        <v>0</v>
      </c>
      <c r="X222">
        <f>IF(ISNUMBER(INDEX(AllCollegeGR, MATCH(N222,AllCollegeNCES,0))),ROUND(INDEX(AllCollegeGR, MATCH(N222,AllCollegeNCES,0))+W222*IF(INDEX(AllCollegeGR, MATCH(N222,AllCollegeNCES,0))&gt;0.7,(1-INDEX(AllCollegeGR, MATCH(N222,AllCollegeNCES,0)))/2,0.15),2),INDEX(AllCollegeGR, MATCH(N222,AllCollegeNCES,0)))</f>
        <v>0</v>
      </c>
      <c r="Y222">
        <f>IF(ISNUMBER(INDEX(AllCollegeAAHGR, MATCH(N222,AllCollegeNCES,0))),ROUND(INDEX(AllCollegeAAHGR, MATCH(N222,AllCollegeNCES,0))+W222*IF(INDEX(AllCollegeAAHGR, MATCH(N222,AllCollegeNCES,0))&gt;0.7,(1-INDEX(AllCollegeAAHGR, MATCH(N222,AllCollegeNCES,0)))/2,0.15),2),INDEX(AllCollegeAAHGR, MATCH(N222,AllCollegeNCES,0)))</f>
        <v>0</v>
      </c>
      <c r="Z222">
        <f>IF(OR(T222="H",T222="B"),INDEX(AllCollegeACT25, MATCH(N222,AllCollegeNCES,0)),INDEX(AllCollegeACT50, MATCH(N222,AllCollegeNCES,0)))</f>
        <v>0</v>
      </c>
      <c r="AA222">
        <f>INDEX(CustomWeightsGPA,MATCH(T222&amp;":"&amp;N222,CustomWeightsIndex,0))</f>
        <v>0</v>
      </c>
      <c r="AB222">
        <f>INDEX(CustomWeightsACT,MATCH(T222&amp;":"&amp;N222,CustomWeightsIndex,0))</f>
        <v>0</v>
      </c>
      <c r="AC222">
        <f>INDEX(CustomWeightsIntercept,MATCH(T222&amp;":"&amp;N222,CustomWeightsIndex,0))</f>
        <v>0</v>
      </c>
      <c r="AD222">
        <f>AA222*P222+AB222*Q222+AC222</f>
        <v>0</v>
      </c>
      <c r="AE222">
        <f>INDEX(CoefficientsGPA,MATCH(T222&amp;":"&amp;O222,CoefficientsIndex,0))</f>
        <v>0</v>
      </c>
      <c r="AF222">
        <f>INDEX(CoefficientsACT,MATCH(T222&amp;":"&amp;O222,CoefficientsIndex,0))</f>
        <v>0</v>
      </c>
      <c r="AG222">
        <f>INDEX(CoefficientsIntercept,MATCH(T222&amp;":"&amp;O222,CoefficientsIndex,0))</f>
        <v>0</v>
      </c>
      <c r="AH222">
        <f>AE222*P222+(Q222-Z222)*AF222+AG222</f>
        <v>0</v>
      </c>
      <c r="AI222">
        <f>IF(ISNUMBER(AD222),AD222,AH222)</f>
        <v>0</v>
      </c>
      <c r="AJ222">
        <f>IF(ISNUMBER(AI222),IF(ISNUMBER(AE222),IF(AND(AE222=1,AF222=1,AG222=1),100,ROUND(100*EXP(AI222)/(1+EXP(AI222)),2)),ROUND(100*EXP(AI222)/(1+EXP(AI222)),2)),IF(ISTEXT(O222),IF(LEFT(O222,1)="2",100,"N/A"),"N/A"))</f>
        <v>0</v>
      </c>
      <c r="AK222">
        <f>IF(ISNUMBER(AJ222),IF(AJ222&gt;=99,IF(OR(R222=10,R222=11),MatchLabel,SureThingLabel),IF(AJ222&gt;=95,SecureLabel,IF(AJ222&gt;=80,SafetyLabel,IF(AJ222&gt;=50,MatchLabel,IF(AJ222&gt;=20,ReachLabel,IF(AJ222&gt;=10,LongshotLabel,HailMaryLabel)))))),"Other")</f>
        <v>0</v>
      </c>
      <c r="AL222">
        <f>IF(OR(I222="accepted",I222="cond. accept",I222="summer admit"),IF(J222="yes","CHOICE!","Accepted!"),IF(I222="denied","Denied",IF(K222=1,"Waitlist",IF(L222=1,"Deferred",IF(G222="pending","Pending",IF(OR(G222="initial materials submitted",G222="mid-year submitted",G222="final submitted"),"Submitted",IF(H222="interest","Interest","?")))))))</f>
        <v>0</v>
      </c>
      <c r="AM222">
        <f>IF(OR(AK222=ReachLabel,AK222=LongshotLabel,AK222=HailMaryLabel),1,0)</f>
        <v>0</v>
      </c>
      <c r="AN222">
        <f>IF(OR(AM222=1,AK222=MatchLabel),1,0)</f>
        <v>0</v>
      </c>
      <c r="AO222">
        <f>IF(OR(AK222=MatchLabel,AK222=SafetyLabel,AK222=SecureLabel,AK222=SureThingLabel),1,0)</f>
        <v>0</v>
      </c>
      <c r="AP222">
        <f>IF(OR(T222="H",T222="B"),IF(ISNUMBER(Y222),ROUND(Y222,2),0),IF(ISNUMBER(X222),ROUND(X222,2),0))</f>
        <v>0</v>
      </c>
      <c r="AQ222">
        <f>IF(AP222&gt;=U222,1,0)</f>
        <v>0</v>
      </c>
      <c r="AR222">
        <f>IF(AP222&gt;=V222,1,0)</f>
        <v>0</v>
      </c>
      <c r="AS222">
        <f>IF(AP222&lt;(U222-0.10),1,0)</f>
        <v>0</v>
      </c>
      <c r="AT222">
        <f>1-AJ222/100</f>
        <v>0</v>
      </c>
      <c r="AU222">
        <f>IF(AN222=1,AT222,1)</f>
        <v>0</v>
      </c>
      <c r="AV222">
        <f>IF(AM222=1,AT222,1)</f>
        <v>0</v>
      </c>
      <c r="AW222">
        <f>IF(AND(AQ222=1,ISNUMBER(AT222)),$AT222,1)</f>
        <v>0</v>
      </c>
      <c r="AX222">
        <f>IF(AND(AR222=1,ISNUMBER(AT222)),$AT222,1)</f>
        <v>0</v>
      </c>
      <c r="AY222">
        <f>IF(ISNUMBER(Y222),INDEX(AllCollegeMoney, MATCH(N222,AllCollegeNCES,0)),0)</f>
        <v>0</v>
      </c>
      <c r="AZ222">
        <f>IF(AND(AQ222=1,ISNUMBER(AT222),AY222=1),$AT222,1)</f>
        <v>0</v>
      </c>
      <c r="BA222">
        <f>IF(AND(AR222=1,ISNUMBER(AT222),AY222=1),$AT222,1)</f>
        <v>0</v>
      </c>
      <c r="BB222">
        <f>IF(ISNUMBER(Y222),INDEX(AllCollegeILPub, MATCH(N222,AllCollegeNCES,0)),0)</f>
        <v>0</v>
      </c>
      <c r="BC222">
        <f>IF(AK222=ReachLabel,AP222,0)</f>
        <v>0</v>
      </c>
      <c r="BD222">
        <f>IF(AK222=MatchLabel,AP222,0)</f>
        <v>0</v>
      </c>
      <c r="BE222">
        <f>IF(AK222=SafetyLabel,AP222,0)</f>
        <v>0</v>
      </c>
      <c r="BF222">
        <f>IF(AK222=SecureLabel,AP222,0)</f>
        <v>0</v>
      </c>
      <c r="BG222">
        <f>IF(AK222=SureThingLabel,AP222,0)</f>
        <v>0</v>
      </c>
      <c r="BH222">
        <f>MAX(BC222:BG222)</f>
        <v>0</v>
      </c>
      <c r="BI222">
        <f>MAX(BD222:BG222)</f>
        <v>0</v>
      </c>
      <c r="BJ222">
        <f>MAX(BE222:BG222)</f>
        <v>0</v>
      </c>
      <c r="BK222">
        <f>IF(AND(AK222=ReachLabel,AY222=1),AP222,0)</f>
        <v>0</v>
      </c>
      <c r="BL222">
        <f>IF(AND(AK222=MatchLabel,AY222=1),AP222,0)</f>
        <v>0</v>
      </c>
      <c r="BM222">
        <f>IF(AND(AK222=SafetyLabel,AY222=1),AP222,0)</f>
        <v>0</v>
      </c>
      <c r="BN222">
        <f>IF(AND(AK222=SecureLabel,AY222=1),AP222,0)</f>
        <v>0</v>
      </c>
      <c r="BO222">
        <f>IF(AND(AK222=SureThingLabel,AY222=1),AP222,0)</f>
        <v>0</v>
      </c>
      <c r="BP222">
        <f>MAX(BK222:BO222)</f>
        <v>0</v>
      </c>
      <c r="BQ222">
        <f>MAX(BL222:BO222)</f>
        <v>0</v>
      </c>
      <c r="BR222">
        <f>MAX(BM222:BO222)</f>
        <v>0</v>
      </c>
      <c r="BS222">
        <f>IF(ISNUMBER(Y222),INDEX(AllCollegeChicago, MATCH(N222,AllCollegeNCES,0))*AY222,0)</f>
        <v>0</v>
      </c>
      <c r="BT222">
        <f>IF(ISNUMBER(Y222),INDEX(AllCollegeMoneyCode, MATCH(N222,AllCollegeNCES,0)),"?")</f>
        <v>0</v>
      </c>
      <c r="BU222">
        <f>IF(OR(BT222="---",BT222="--",BT222="+/--",BT222="+/---"),1,0)</f>
        <v>0</v>
      </c>
      <c r="BV222">
        <f>AY222*AO222*AQ222</f>
        <v>0</v>
      </c>
    </row>
    <row r="223" spans="1:74">
      <c r="A223" t="s">
        <v>86</v>
      </c>
      <c r="B223">
        <v>22973915</v>
      </c>
      <c r="C223" t="s">
        <v>278</v>
      </c>
      <c r="D223" t="s">
        <v>279</v>
      </c>
      <c r="E223" t="s">
        <v>428</v>
      </c>
      <c r="F223" t="s">
        <v>436</v>
      </c>
      <c r="G223" t="s">
        <v>430</v>
      </c>
      <c r="H223" t="s">
        <v>431</v>
      </c>
      <c r="I223" t="s">
        <v>432</v>
      </c>
      <c r="J223" t="s">
        <v>432</v>
      </c>
      <c r="K223">
        <v>0</v>
      </c>
      <c r="L223" t="s">
        <v>428</v>
      </c>
      <c r="M223" t="s">
        <v>428</v>
      </c>
      <c r="N223">
        <v>147536</v>
      </c>
      <c r="O223">
        <f>INDEX(AllCollegeBarrons,MATCH(N223,AllCollegeNCES,0))</f>
        <v>0</v>
      </c>
      <c r="P223">
        <f>INDEX(KidGPAs,MATCH(B223,KidIDs,0))</f>
        <v>0</v>
      </c>
      <c r="Q223">
        <f>INDEX(KidACTs,MATCH(B223,KidIDs,0))</f>
        <v>0</v>
      </c>
      <c r="R223">
        <f>INDEX(Strats,MATCH(B223,KidIDs,0))</f>
        <v>0</v>
      </c>
      <c r="S223">
        <f>INDEX(KidRace,MATCH(B223,KidIDs,0))</f>
        <v>0</v>
      </c>
      <c r="T223">
        <f>IF(OR(S223="M",S223="I"),"H",S223)</f>
        <v>0</v>
      </c>
      <c r="U223">
        <f>INDEX(StudentTargets,MATCH(B223,KidIDs,0))</f>
        <v>0</v>
      </c>
      <c r="V223">
        <f>INDEX(ReachStudentTargets,MATCH(B223,KidIDs,0))</f>
        <v>0</v>
      </c>
      <c r="W223">
        <f>IF(OR(M223="Posse"),1,0)</f>
        <v>0</v>
      </c>
      <c r="X223">
        <f>IF(ISNUMBER(INDEX(AllCollegeGR, MATCH(N223,AllCollegeNCES,0))),ROUND(INDEX(AllCollegeGR, MATCH(N223,AllCollegeNCES,0))+W223*IF(INDEX(AllCollegeGR, MATCH(N223,AllCollegeNCES,0))&gt;0.7,(1-INDEX(AllCollegeGR, MATCH(N223,AllCollegeNCES,0)))/2,0.15),2),INDEX(AllCollegeGR, MATCH(N223,AllCollegeNCES,0)))</f>
        <v>0</v>
      </c>
      <c r="Y223">
        <f>IF(ISNUMBER(INDEX(AllCollegeAAHGR, MATCH(N223,AllCollegeNCES,0))),ROUND(INDEX(AllCollegeAAHGR, MATCH(N223,AllCollegeNCES,0))+W223*IF(INDEX(AllCollegeAAHGR, MATCH(N223,AllCollegeNCES,0))&gt;0.7,(1-INDEX(AllCollegeAAHGR, MATCH(N223,AllCollegeNCES,0)))/2,0.15),2),INDEX(AllCollegeAAHGR, MATCH(N223,AllCollegeNCES,0)))</f>
        <v>0</v>
      </c>
      <c r="Z223">
        <f>IF(OR(T223="H",T223="B"),INDEX(AllCollegeACT25, MATCH(N223,AllCollegeNCES,0)),INDEX(AllCollegeACT50, MATCH(N223,AllCollegeNCES,0)))</f>
        <v>0</v>
      </c>
      <c r="AA223">
        <f>INDEX(CustomWeightsGPA,MATCH(T223&amp;":"&amp;N223,CustomWeightsIndex,0))</f>
        <v>0</v>
      </c>
      <c r="AB223">
        <f>INDEX(CustomWeightsACT,MATCH(T223&amp;":"&amp;N223,CustomWeightsIndex,0))</f>
        <v>0</v>
      </c>
      <c r="AC223">
        <f>INDEX(CustomWeightsIntercept,MATCH(T223&amp;":"&amp;N223,CustomWeightsIndex,0))</f>
        <v>0</v>
      </c>
      <c r="AD223">
        <f>AA223*P223+AB223*Q223+AC223</f>
        <v>0</v>
      </c>
      <c r="AE223">
        <f>INDEX(CoefficientsGPA,MATCH(T223&amp;":"&amp;O223,CoefficientsIndex,0))</f>
        <v>0</v>
      </c>
      <c r="AF223">
        <f>INDEX(CoefficientsACT,MATCH(T223&amp;":"&amp;O223,CoefficientsIndex,0))</f>
        <v>0</v>
      </c>
      <c r="AG223">
        <f>INDEX(CoefficientsIntercept,MATCH(T223&amp;":"&amp;O223,CoefficientsIndex,0))</f>
        <v>0</v>
      </c>
      <c r="AH223">
        <f>AE223*P223+(Q223-Z223)*AF223+AG223</f>
        <v>0</v>
      </c>
      <c r="AI223">
        <f>IF(ISNUMBER(AD223),AD223,AH223)</f>
        <v>0</v>
      </c>
      <c r="AJ223">
        <f>IF(ISNUMBER(AI223),IF(ISNUMBER(AE223),IF(AND(AE223=1,AF223=1,AG223=1),100,ROUND(100*EXP(AI223)/(1+EXP(AI223)),2)),ROUND(100*EXP(AI223)/(1+EXP(AI223)),2)),IF(ISTEXT(O223),IF(LEFT(O223,1)="2",100,"N/A"),"N/A"))</f>
        <v>0</v>
      </c>
      <c r="AK223">
        <f>IF(ISNUMBER(AJ223),IF(AJ223&gt;=99,IF(OR(R223=10,R223=11),MatchLabel,SureThingLabel),IF(AJ223&gt;=95,SecureLabel,IF(AJ223&gt;=80,SafetyLabel,IF(AJ223&gt;=50,MatchLabel,IF(AJ223&gt;=20,ReachLabel,IF(AJ223&gt;=10,LongshotLabel,HailMaryLabel)))))),"Other")</f>
        <v>0</v>
      </c>
      <c r="AL223">
        <f>IF(OR(I223="accepted",I223="cond. accept",I223="summer admit"),IF(J223="yes","CHOICE!","Accepted!"),IF(I223="denied","Denied",IF(K223=1,"Waitlist",IF(L223=1,"Deferred",IF(G223="pending","Pending",IF(OR(G223="initial materials submitted",G223="mid-year submitted",G223="final submitted"),"Submitted",IF(H223="interest","Interest","?")))))))</f>
        <v>0</v>
      </c>
      <c r="AM223">
        <f>IF(OR(AK223=ReachLabel,AK223=LongshotLabel,AK223=HailMaryLabel),1,0)</f>
        <v>0</v>
      </c>
      <c r="AN223">
        <f>IF(OR(AM223=1,AK223=MatchLabel),1,0)</f>
        <v>0</v>
      </c>
      <c r="AO223">
        <f>IF(OR(AK223=MatchLabel,AK223=SafetyLabel,AK223=SecureLabel,AK223=SureThingLabel),1,0)</f>
        <v>0</v>
      </c>
      <c r="AP223">
        <f>IF(OR(T223="H",T223="B"),IF(ISNUMBER(Y223),ROUND(Y223,2),0),IF(ISNUMBER(X223),ROUND(X223,2),0))</f>
        <v>0</v>
      </c>
      <c r="AQ223">
        <f>IF(AP223&gt;=U223,1,0)</f>
        <v>0</v>
      </c>
      <c r="AR223">
        <f>IF(AP223&gt;=V223,1,0)</f>
        <v>0</v>
      </c>
      <c r="AS223">
        <f>IF(AP223&lt;(U223-0.10),1,0)</f>
        <v>0</v>
      </c>
      <c r="AT223">
        <f>1-AJ223/100</f>
        <v>0</v>
      </c>
      <c r="AU223">
        <f>IF(AN223=1,AT223,1)</f>
        <v>0</v>
      </c>
      <c r="AV223">
        <f>IF(AM223=1,AT223,1)</f>
        <v>0</v>
      </c>
      <c r="AW223">
        <f>IF(AND(AQ223=1,ISNUMBER(AT223)),$AT223,1)</f>
        <v>0</v>
      </c>
      <c r="AX223">
        <f>IF(AND(AR223=1,ISNUMBER(AT223)),$AT223,1)</f>
        <v>0</v>
      </c>
      <c r="AY223">
        <f>IF(ISNUMBER(Y223),INDEX(AllCollegeMoney, MATCH(N223,AllCollegeNCES,0)),0)</f>
        <v>0</v>
      </c>
      <c r="AZ223">
        <f>IF(AND(AQ223=1,ISNUMBER(AT223),AY223=1),$AT223,1)</f>
        <v>0</v>
      </c>
      <c r="BA223">
        <f>IF(AND(AR223=1,ISNUMBER(AT223),AY223=1),$AT223,1)</f>
        <v>0</v>
      </c>
      <c r="BB223">
        <f>IF(ISNUMBER(Y223),INDEX(AllCollegeILPub, MATCH(N223,AllCollegeNCES,0)),0)</f>
        <v>0</v>
      </c>
      <c r="BC223">
        <f>IF(AK223=ReachLabel,AP223,0)</f>
        <v>0</v>
      </c>
      <c r="BD223">
        <f>IF(AK223=MatchLabel,AP223,0)</f>
        <v>0</v>
      </c>
      <c r="BE223">
        <f>IF(AK223=SafetyLabel,AP223,0)</f>
        <v>0</v>
      </c>
      <c r="BF223">
        <f>IF(AK223=SecureLabel,AP223,0)</f>
        <v>0</v>
      </c>
      <c r="BG223">
        <f>IF(AK223=SureThingLabel,AP223,0)</f>
        <v>0</v>
      </c>
      <c r="BH223">
        <f>MAX(BC223:BG223)</f>
        <v>0</v>
      </c>
      <c r="BI223">
        <f>MAX(BD223:BG223)</f>
        <v>0</v>
      </c>
      <c r="BJ223">
        <f>MAX(BE223:BG223)</f>
        <v>0</v>
      </c>
      <c r="BK223">
        <f>IF(AND(AK223=ReachLabel,AY223=1),AP223,0)</f>
        <v>0</v>
      </c>
      <c r="BL223">
        <f>IF(AND(AK223=MatchLabel,AY223=1),AP223,0)</f>
        <v>0</v>
      </c>
      <c r="BM223">
        <f>IF(AND(AK223=SafetyLabel,AY223=1),AP223,0)</f>
        <v>0</v>
      </c>
      <c r="BN223">
        <f>IF(AND(AK223=SecureLabel,AY223=1),AP223,0)</f>
        <v>0</v>
      </c>
      <c r="BO223">
        <f>IF(AND(AK223=SureThingLabel,AY223=1),AP223,0)</f>
        <v>0</v>
      </c>
      <c r="BP223">
        <f>MAX(BK223:BO223)</f>
        <v>0</v>
      </c>
      <c r="BQ223">
        <f>MAX(BL223:BO223)</f>
        <v>0</v>
      </c>
      <c r="BR223">
        <f>MAX(BM223:BO223)</f>
        <v>0</v>
      </c>
      <c r="BS223">
        <f>IF(ISNUMBER(Y223),INDEX(AllCollegeChicago, MATCH(N223,AllCollegeNCES,0))*AY223,0)</f>
        <v>0</v>
      </c>
      <c r="BT223">
        <f>IF(ISNUMBER(Y223),INDEX(AllCollegeMoneyCode, MATCH(N223,AllCollegeNCES,0)),"?")</f>
        <v>0</v>
      </c>
      <c r="BU223">
        <f>IF(OR(BT223="---",BT223="--",BT223="+/--",BT223="+/---"),1,0)</f>
        <v>0</v>
      </c>
      <c r="BV223">
        <f>AY223*AO223*AQ223</f>
        <v>0</v>
      </c>
    </row>
    <row r="224" spans="1:74">
      <c r="A224" t="s">
        <v>86</v>
      </c>
      <c r="B224">
        <v>22973915</v>
      </c>
      <c r="C224" t="s">
        <v>278</v>
      </c>
      <c r="D224" t="s">
        <v>279</v>
      </c>
      <c r="E224" t="s">
        <v>428</v>
      </c>
      <c r="F224" t="s">
        <v>438</v>
      </c>
      <c r="G224" t="s">
        <v>430</v>
      </c>
      <c r="H224" t="s">
        <v>431</v>
      </c>
      <c r="I224" t="s">
        <v>432</v>
      </c>
      <c r="J224" t="s">
        <v>432</v>
      </c>
      <c r="K224">
        <v>0</v>
      </c>
      <c r="L224" t="s">
        <v>428</v>
      </c>
      <c r="M224" t="s">
        <v>439</v>
      </c>
      <c r="N224">
        <v>150774</v>
      </c>
      <c r="O224">
        <f>INDEX(AllCollegeBarrons,MATCH(N224,AllCollegeNCES,0))</f>
        <v>0</v>
      </c>
      <c r="P224">
        <f>INDEX(KidGPAs,MATCH(B224,KidIDs,0))</f>
        <v>0</v>
      </c>
      <c r="Q224">
        <f>INDEX(KidACTs,MATCH(B224,KidIDs,0))</f>
        <v>0</v>
      </c>
      <c r="R224">
        <f>INDEX(Strats,MATCH(B224,KidIDs,0))</f>
        <v>0</v>
      </c>
      <c r="S224">
        <f>INDEX(KidRace,MATCH(B224,KidIDs,0))</f>
        <v>0</v>
      </c>
      <c r="T224">
        <f>IF(OR(S224="M",S224="I"),"H",S224)</f>
        <v>0</v>
      </c>
      <c r="U224">
        <f>INDEX(StudentTargets,MATCH(B224,KidIDs,0))</f>
        <v>0</v>
      </c>
      <c r="V224">
        <f>INDEX(ReachStudentTargets,MATCH(B224,KidIDs,0))</f>
        <v>0</v>
      </c>
      <c r="W224">
        <f>IF(OR(M224="Posse"),1,0)</f>
        <v>0</v>
      </c>
      <c r="X224">
        <f>IF(ISNUMBER(INDEX(AllCollegeGR, MATCH(N224,AllCollegeNCES,0))),ROUND(INDEX(AllCollegeGR, MATCH(N224,AllCollegeNCES,0))+W224*IF(INDEX(AllCollegeGR, MATCH(N224,AllCollegeNCES,0))&gt;0.7,(1-INDEX(AllCollegeGR, MATCH(N224,AllCollegeNCES,0)))/2,0.15),2),INDEX(AllCollegeGR, MATCH(N224,AllCollegeNCES,0)))</f>
        <v>0</v>
      </c>
      <c r="Y224">
        <f>IF(ISNUMBER(INDEX(AllCollegeAAHGR, MATCH(N224,AllCollegeNCES,0))),ROUND(INDEX(AllCollegeAAHGR, MATCH(N224,AllCollegeNCES,0))+W224*IF(INDEX(AllCollegeAAHGR, MATCH(N224,AllCollegeNCES,0))&gt;0.7,(1-INDEX(AllCollegeAAHGR, MATCH(N224,AllCollegeNCES,0)))/2,0.15),2),INDEX(AllCollegeAAHGR, MATCH(N224,AllCollegeNCES,0)))</f>
        <v>0</v>
      </c>
      <c r="Z224">
        <f>IF(OR(T224="H",T224="B"),INDEX(AllCollegeACT25, MATCH(N224,AllCollegeNCES,0)),INDEX(AllCollegeACT50, MATCH(N224,AllCollegeNCES,0)))</f>
        <v>0</v>
      </c>
      <c r="AA224">
        <f>INDEX(CustomWeightsGPA,MATCH(T224&amp;":"&amp;N224,CustomWeightsIndex,0))</f>
        <v>0</v>
      </c>
      <c r="AB224">
        <f>INDEX(CustomWeightsACT,MATCH(T224&amp;":"&amp;N224,CustomWeightsIndex,0))</f>
        <v>0</v>
      </c>
      <c r="AC224">
        <f>INDEX(CustomWeightsIntercept,MATCH(T224&amp;":"&amp;N224,CustomWeightsIndex,0))</f>
        <v>0</v>
      </c>
      <c r="AD224">
        <f>AA224*P224+AB224*Q224+AC224</f>
        <v>0</v>
      </c>
      <c r="AE224">
        <f>INDEX(CoefficientsGPA,MATCH(T224&amp;":"&amp;O224,CoefficientsIndex,0))</f>
        <v>0</v>
      </c>
      <c r="AF224">
        <f>INDEX(CoefficientsACT,MATCH(T224&amp;":"&amp;O224,CoefficientsIndex,0))</f>
        <v>0</v>
      </c>
      <c r="AG224">
        <f>INDEX(CoefficientsIntercept,MATCH(T224&amp;":"&amp;O224,CoefficientsIndex,0))</f>
        <v>0</v>
      </c>
      <c r="AH224">
        <f>AE224*P224+(Q224-Z224)*AF224+AG224</f>
        <v>0</v>
      </c>
      <c r="AI224">
        <f>IF(ISNUMBER(AD224),AD224,AH224)</f>
        <v>0</v>
      </c>
      <c r="AJ224">
        <f>IF(ISNUMBER(AI224),IF(ISNUMBER(AE224),IF(AND(AE224=1,AF224=1,AG224=1),100,ROUND(100*EXP(AI224)/(1+EXP(AI224)),2)),ROUND(100*EXP(AI224)/(1+EXP(AI224)),2)),IF(ISTEXT(O224),IF(LEFT(O224,1)="2",100,"N/A"),"N/A"))</f>
        <v>0</v>
      </c>
      <c r="AK224">
        <f>IF(ISNUMBER(AJ224),IF(AJ224&gt;=99,IF(OR(R224=10,R224=11),MatchLabel,SureThingLabel),IF(AJ224&gt;=95,SecureLabel,IF(AJ224&gt;=80,SafetyLabel,IF(AJ224&gt;=50,MatchLabel,IF(AJ224&gt;=20,ReachLabel,IF(AJ224&gt;=10,LongshotLabel,HailMaryLabel)))))),"Other")</f>
        <v>0</v>
      </c>
      <c r="AL224">
        <f>IF(OR(I224="accepted",I224="cond. accept",I224="summer admit"),IF(J224="yes","CHOICE!","Accepted!"),IF(I224="denied","Denied",IF(K224=1,"Waitlist",IF(L224=1,"Deferred",IF(G224="pending","Pending",IF(OR(G224="initial materials submitted",G224="mid-year submitted",G224="final submitted"),"Submitted",IF(H224="interest","Interest","?")))))))</f>
        <v>0</v>
      </c>
      <c r="AM224">
        <f>IF(OR(AK224=ReachLabel,AK224=LongshotLabel,AK224=HailMaryLabel),1,0)</f>
        <v>0</v>
      </c>
      <c r="AN224">
        <f>IF(OR(AM224=1,AK224=MatchLabel),1,0)</f>
        <v>0</v>
      </c>
      <c r="AO224">
        <f>IF(OR(AK224=MatchLabel,AK224=SafetyLabel,AK224=SecureLabel,AK224=SureThingLabel),1,0)</f>
        <v>0</v>
      </c>
      <c r="AP224">
        <f>IF(OR(T224="H",T224="B"),IF(ISNUMBER(Y224),ROUND(Y224,2),0),IF(ISNUMBER(X224),ROUND(X224,2),0))</f>
        <v>0</v>
      </c>
      <c r="AQ224">
        <f>IF(AP224&gt;=U224,1,0)</f>
        <v>0</v>
      </c>
      <c r="AR224">
        <f>IF(AP224&gt;=V224,1,0)</f>
        <v>0</v>
      </c>
      <c r="AS224">
        <f>IF(AP224&lt;(U224-0.10),1,0)</f>
        <v>0</v>
      </c>
      <c r="AT224">
        <f>1-AJ224/100</f>
        <v>0</v>
      </c>
      <c r="AU224">
        <f>IF(AN224=1,AT224,1)</f>
        <v>0</v>
      </c>
      <c r="AV224">
        <f>IF(AM224=1,AT224,1)</f>
        <v>0</v>
      </c>
      <c r="AW224">
        <f>IF(AND(AQ224=1,ISNUMBER(AT224)),$AT224,1)</f>
        <v>0</v>
      </c>
      <c r="AX224">
        <f>IF(AND(AR224=1,ISNUMBER(AT224)),$AT224,1)</f>
        <v>0</v>
      </c>
      <c r="AY224">
        <f>IF(ISNUMBER(Y224),INDEX(AllCollegeMoney, MATCH(N224,AllCollegeNCES,0)),0)</f>
        <v>0</v>
      </c>
      <c r="AZ224">
        <f>IF(AND(AQ224=1,ISNUMBER(AT224),AY224=1),$AT224,1)</f>
        <v>0</v>
      </c>
      <c r="BA224">
        <f>IF(AND(AR224=1,ISNUMBER(AT224),AY224=1),$AT224,1)</f>
        <v>0</v>
      </c>
      <c r="BB224">
        <f>IF(ISNUMBER(Y224),INDEX(AllCollegeILPub, MATCH(N224,AllCollegeNCES,0)),0)</f>
        <v>0</v>
      </c>
      <c r="BC224">
        <f>IF(AK224=ReachLabel,AP224,0)</f>
        <v>0</v>
      </c>
      <c r="BD224">
        <f>IF(AK224=MatchLabel,AP224,0)</f>
        <v>0</v>
      </c>
      <c r="BE224">
        <f>IF(AK224=SafetyLabel,AP224,0)</f>
        <v>0</v>
      </c>
      <c r="BF224">
        <f>IF(AK224=SecureLabel,AP224,0)</f>
        <v>0</v>
      </c>
      <c r="BG224">
        <f>IF(AK224=SureThingLabel,AP224,0)</f>
        <v>0</v>
      </c>
      <c r="BH224">
        <f>MAX(BC224:BG224)</f>
        <v>0</v>
      </c>
      <c r="BI224">
        <f>MAX(BD224:BG224)</f>
        <v>0</v>
      </c>
      <c r="BJ224">
        <f>MAX(BE224:BG224)</f>
        <v>0</v>
      </c>
      <c r="BK224">
        <f>IF(AND(AK224=ReachLabel,AY224=1),AP224,0)</f>
        <v>0</v>
      </c>
      <c r="BL224">
        <f>IF(AND(AK224=MatchLabel,AY224=1),AP224,0)</f>
        <v>0</v>
      </c>
      <c r="BM224">
        <f>IF(AND(AK224=SafetyLabel,AY224=1),AP224,0)</f>
        <v>0</v>
      </c>
      <c r="BN224">
        <f>IF(AND(AK224=SecureLabel,AY224=1),AP224,0)</f>
        <v>0</v>
      </c>
      <c r="BO224">
        <f>IF(AND(AK224=SureThingLabel,AY224=1),AP224,0)</f>
        <v>0</v>
      </c>
      <c r="BP224">
        <f>MAX(BK224:BO224)</f>
        <v>0</v>
      </c>
      <c r="BQ224">
        <f>MAX(BL224:BO224)</f>
        <v>0</v>
      </c>
      <c r="BR224">
        <f>MAX(BM224:BO224)</f>
        <v>0</v>
      </c>
      <c r="BS224">
        <f>IF(ISNUMBER(Y224),INDEX(AllCollegeChicago, MATCH(N224,AllCollegeNCES,0))*AY224,0)</f>
        <v>0</v>
      </c>
      <c r="BT224">
        <f>IF(ISNUMBER(Y224),INDEX(AllCollegeMoneyCode, MATCH(N224,AllCollegeNCES,0)),"?")</f>
        <v>0</v>
      </c>
      <c r="BU224">
        <f>IF(OR(BT224="---",BT224="--",BT224="+/--",BT224="+/---"),1,0)</f>
        <v>0</v>
      </c>
      <c r="BV224">
        <f>AY224*AO224*AQ224</f>
        <v>0</v>
      </c>
    </row>
    <row r="225" spans="1:74">
      <c r="A225" t="s">
        <v>86</v>
      </c>
      <c r="B225">
        <v>22973915</v>
      </c>
      <c r="C225" t="s">
        <v>278</v>
      </c>
      <c r="D225" t="s">
        <v>279</v>
      </c>
      <c r="E225" t="s">
        <v>428</v>
      </c>
      <c r="F225" t="s">
        <v>515</v>
      </c>
      <c r="G225" t="s">
        <v>430</v>
      </c>
      <c r="H225" t="s">
        <v>431</v>
      </c>
      <c r="I225" t="s">
        <v>432</v>
      </c>
      <c r="J225" t="s">
        <v>432</v>
      </c>
      <c r="K225">
        <v>0</v>
      </c>
      <c r="L225" t="s">
        <v>428</v>
      </c>
      <c r="M225" t="s">
        <v>428</v>
      </c>
      <c r="N225">
        <v>153472</v>
      </c>
      <c r="O225">
        <f>INDEX(AllCollegeBarrons,MATCH(N225,AllCollegeNCES,0))</f>
        <v>0</v>
      </c>
      <c r="P225">
        <f>INDEX(KidGPAs,MATCH(B225,KidIDs,0))</f>
        <v>0</v>
      </c>
      <c r="Q225">
        <f>INDEX(KidACTs,MATCH(B225,KidIDs,0))</f>
        <v>0</v>
      </c>
      <c r="R225">
        <f>INDEX(Strats,MATCH(B225,KidIDs,0))</f>
        <v>0</v>
      </c>
      <c r="S225">
        <f>INDEX(KidRace,MATCH(B225,KidIDs,0))</f>
        <v>0</v>
      </c>
      <c r="T225">
        <f>IF(OR(S225="M",S225="I"),"H",S225)</f>
        <v>0</v>
      </c>
      <c r="U225">
        <f>INDEX(StudentTargets,MATCH(B225,KidIDs,0))</f>
        <v>0</v>
      </c>
      <c r="V225">
        <f>INDEX(ReachStudentTargets,MATCH(B225,KidIDs,0))</f>
        <v>0</v>
      </c>
      <c r="W225">
        <f>IF(OR(M225="Posse"),1,0)</f>
        <v>0</v>
      </c>
      <c r="X225">
        <f>IF(ISNUMBER(INDEX(AllCollegeGR, MATCH(N225,AllCollegeNCES,0))),ROUND(INDEX(AllCollegeGR, MATCH(N225,AllCollegeNCES,0))+W225*IF(INDEX(AllCollegeGR, MATCH(N225,AllCollegeNCES,0))&gt;0.7,(1-INDEX(AllCollegeGR, MATCH(N225,AllCollegeNCES,0)))/2,0.15),2),INDEX(AllCollegeGR, MATCH(N225,AllCollegeNCES,0)))</f>
        <v>0</v>
      </c>
      <c r="Y225">
        <f>IF(ISNUMBER(INDEX(AllCollegeAAHGR, MATCH(N225,AllCollegeNCES,0))),ROUND(INDEX(AllCollegeAAHGR, MATCH(N225,AllCollegeNCES,0))+W225*IF(INDEX(AllCollegeAAHGR, MATCH(N225,AllCollegeNCES,0))&gt;0.7,(1-INDEX(AllCollegeAAHGR, MATCH(N225,AllCollegeNCES,0)))/2,0.15),2),INDEX(AllCollegeAAHGR, MATCH(N225,AllCollegeNCES,0)))</f>
        <v>0</v>
      </c>
      <c r="Z225">
        <f>IF(OR(T225="H",T225="B"),INDEX(AllCollegeACT25, MATCH(N225,AllCollegeNCES,0)),INDEX(AllCollegeACT50, MATCH(N225,AllCollegeNCES,0)))</f>
        <v>0</v>
      </c>
      <c r="AA225">
        <f>INDEX(CustomWeightsGPA,MATCH(T225&amp;":"&amp;N225,CustomWeightsIndex,0))</f>
        <v>0</v>
      </c>
      <c r="AB225">
        <f>INDEX(CustomWeightsACT,MATCH(T225&amp;":"&amp;N225,CustomWeightsIndex,0))</f>
        <v>0</v>
      </c>
      <c r="AC225">
        <f>INDEX(CustomWeightsIntercept,MATCH(T225&amp;":"&amp;N225,CustomWeightsIndex,0))</f>
        <v>0</v>
      </c>
      <c r="AD225">
        <f>AA225*P225+AB225*Q225+AC225</f>
        <v>0</v>
      </c>
      <c r="AE225">
        <f>INDEX(CoefficientsGPA,MATCH(T225&amp;":"&amp;O225,CoefficientsIndex,0))</f>
        <v>0</v>
      </c>
      <c r="AF225">
        <f>INDEX(CoefficientsACT,MATCH(T225&amp;":"&amp;O225,CoefficientsIndex,0))</f>
        <v>0</v>
      </c>
      <c r="AG225">
        <f>INDEX(CoefficientsIntercept,MATCH(T225&amp;":"&amp;O225,CoefficientsIndex,0))</f>
        <v>0</v>
      </c>
      <c r="AH225">
        <f>AE225*P225+(Q225-Z225)*AF225+AG225</f>
        <v>0</v>
      </c>
      <c r="AI225">
        <f>IF(ISNUMBER(AD225),AD225,AH225)</f>
        <v>0</v>
      </c>
      <c r="AJ225">
        <f>IF(ISNUMBER(AI225),IF(ISNUMBER(AE225),IF(AND(AE225=1,AF225=1,AG225=1),100,ROUND(100*EXP(AI225)/(1+EXP(AI225)),2)),ROUND(100*EXP(AI225)/(1+EXP(AI225)),2)),IF(ISTEXT(O225),IF(LEFT(O225,1)="2",100,"N/A"),"N/A"))</f>
        <v>0</v>
      </c>
      <c r="AK225">
        <f>IF(ISNUMBER(AJ225),IF(AJ225&gt;=99,IF(OR(R225=10,R225=11),MatchLabel,SureThingLabel),IF(AJ225&gt;=95,SecureLabel,IF(AJ225&gt;=80,SafetyLabel,IF(AJ225&gt;=50,MatchLabel,IF(AJ225&gt;=20,ReachLabel,IF(AJ225&gt;=10,LongshotLabel,HailMaryLabel)))))),"Other")</f>
        <v>0</v>
      </c>
      <c r="AL225">
        <f>IF(OR(I225="accepted",I225="cond. accept",I225="summer admit"),IF(J225="yes","CHOICE!","Accepted!"),IF(I225="denied","Denied",IF(K225=1,"Waitlist",IF(L225=1,"Deferred",IF(G225="pending","Pending",IF(OR(G225="initial materials submitted",G225="mid-year submitted",G225="final submitted"),"Submitted",IF(H225="interest","Interest","?")))))))</f>
        <v>0</v>
      </c>
      <c r="AM225">
        <f>IF(OR(AK225=ReachLabel,AK225=LongshotLabel,AK225=HailMaryLabel),1,0)</f>
        <v>0</v>
      </c>
      <c r="AN225">
        <f>IF(OR(AM225=1,AK225=MatchLabel),1,0)</f>
        <v>0</v>
      </c>
      <c r="AO225">
        <f>IF(OR(AK225=MatchLabel,AK225=SafetyLabel,AK225=SecureLabel,AK225=SureThingLabel),1,0)</f>
        <v>0</v>
      </c>
      <c r="AP225">
        <f>IF(OR(T225="H",T225="B"),IF(ISNUMBER(Y225),ROUND(Y225,2),0),IF(ISNUMBER(X225),ROUND(X225,2),0))</f>
        <v>0</v>
      </c>
      <c r="AQ225">
        <f>IF(AP225&gt;=U225,1,0)</f>
        <v>0</v>
      </c>
      <c r="AR225">
        <f>IF(AP225&gt;=V225,1,0)</f>
        <v>0</v>
      </c>
      <c r="AS225">
        <f>IF(AP225&lt;(U225-0.10),1,0)</f>
        <v>0</v>
      </c>
      <c r="AT225">
        <f>1-AJ225/100</f>
        <v>0</v>
      </c>
      <c r="AU225">
        <f>IF(AN225=1,AT225,1)</f>
        <v>0</v>
      </c>
      <c r="AV225">
        <f>IF(AM225=1,AT225,1)</f>
        <v>0</v>
      </c>
      <c r="AW225">
        <f>IF(AND(AQ225=1,ISNUMBER(AT225)),$AT225,1)</f>
        <v>0</v>
      </c>
      <c r="AX225">
        <f>IF(AND(AR225=1,ISNUMBER(AT225)),$AT225,1)</f>
        <v>0</v>
      </c>
      <c r="AY225">
        <f>IF(ISNUMBER(Y225),INDEX(AllCollegeMoney, MATCH(N225,AllCollegeNCES,0)),0)</f>
        <v>0</v>
      </c>
      <c r="AZ225">
        <f>IF(AND(AQ225=1,ISNUMBER(AT225),AY225=1),$AT225,1)</f>
        <v>0</v>
      </c>
      <c r="BA225">
        <f>IF(AND(AR225=1,ISNUMBER(AT225),AY225=1),$AT225,1)</f>
        <v>0</v>
      </c>
      <c r="BB225">
        <f>IF(ISNUMBER(Y225),INDEX(AllCollegeILPub, MATCH(N225,AllCollegeNCES,0)),0)</f>
        <v>0</v>
      </c>
      <c r="BC225">
        <f>IF(AK225=ReachLabel,AP225,0)</f>
        <v>0</v>
      </c>
      <c r="BD225">
        <f>IF(AK225=MatchLabel,AP225,0)</f>
        <v>0</v>
      </c>
      <c r="BE225">
        <f>IF(AK225=SafetyLabel,AP225,0)</f>
        <v>0</v>
      </c>
      <c r="BF225">
        <f>IF(AK225=SecureLabel,AP225,0)</f>
        <v>0</v>
      </c>
      <c r="BG225">
        <f>IF(AK225=SureThingLabel,AP225,0)</f>
        <v>0</v>
      </c>
      <c r="BH225">
        <f>MAX(BC225:BG225)</f>
        <v>0</v>
      </c>
      <c r="BI225">
        <f>MAX(BD225:BG225)</f>
        <v>0</v>
      </c>
      <c r="BJ225">
        <f>MAX(BE225:BG225)</f>
        <v>0</v>
      </c>
      <c r="BK225">
        <f>IF(AND(AK225=ReachLabel,AY225=1),AP225,0)</f>
        <v>0</v>
      </c>
      <c r="BL225">
        <f>IF(AND(AK225=MatchLabel,AY225=1),AP225,0)</f>
        <v>0</v>
      </c>
      <c r="BM225">
        <f>IF(AND(AK225=SafetyLabel,AY225=1),AP225,0)</f>
        <v>0</v>
      </c>
      <c r="BN225">
        <f>IF(AND(AK225=SecureLabel,AY225=1),AP225,0)</f>
        <v>0</v>
      </c>
      <c r="BO225">
        <f>IF(AND(AK225=SureThingLabel,AY225=1),AP225,0)</f>
        <v>0</v>
      </c>
      <c r="BP225">
        <f>MAX(BK225:BO225)</f>
        <v>0</v>
      </c>
      <c r="BQ225">
        <f>MAX(BL225:BO225)</f>
        <v>0</v>
      </c>
      <c r="BR225">
        <f>MAX(BM225:BO225)</f>
        <v>0</v>
      </c>
      <c r="BS225">
        <f>IF(ISNUMBER(Y225),INDEX(AllCollegeChicago, MATCH(N225,AllCollegeNCES,0))*AY225,0)</f>
        <v>0</v>
      </c>
      <c r="BT225">
        <f>IF(ISNUMBER(Y225),INDEX(AllCollegeMoneyCode, MATCH(N225,AllCollegeNCES,0)),"?")</f>
        <v>0</v>
      </c>
      <c r="BU225">
        <f>IF(OR(BT225="---",BT225="--",BT225="+/--",BT225="+/---"),1,0)</f>
        <v>0</v>
      </c>
      <c r="BV225">
        <f>AY225*AO225*AQ225</f>
        <v>0</v>
      </c>
    </row>
    <row r="226" spans="1:74">
      <c r="A226" t="s">
        <v>86</v>
      </c>
      <c r="B226">
        <v>22973915</v>
      </c>
      <c r="C226" t="s">
        <v>278</v>
      </c>
      <c r="D226" t="s">
        <v>279</v>
      </c>
      <c r="E226" t="s">
        <v>428</v>
      </c>
      <c r="F226" t="s">
        <v>516</v>
      </c>
      <c r="G226" t="s">
        <v>430</v>
      </c>
      <c r="H226" t="s">
        <v>431</v>
      </c>
      <c r="I226" t="s">
        <v>432</v>
      </c>
      <c r="J226" t="s">
        <v>432</v>
      </c>
      <c r="K226">
        <v>0</v>
      </c>
      <c r="L226" t="s">
        <v>428</v>
      </c>
      <c r="M226" t="s">
        <v>428</v>
      </c>
      <c r="N226">
        <v>197230</v>
      </c>
      <c r="O226">
        <f>INDEX(AllCollegeBarrons,MATCH(N226,AllCollegeNCES,0))</f>
        <v>0</v>
      </c>
      <c r="P226">
        <f>INDEX(KidGPAs,MATCH(B226,KidIDs,0))</f>
        <v>0</v>
      </c>
      <c r="Q226">
        <f>INDEX(KidACTs,MATCH(B226,KidIDs,0))</f>
        <v>0</v>
      </c>
      <c r="R226">
        <f>INDEX(Strats,MATCH(B226,KidIDs,0))</f>
        <v>0</v>
      </c>
      <c r="S226">
        <f>INDEX(KidRace,MATCH(B226,KidIDs,0))</f>
        <v>0</v>
      </c>
      <c r="T226">
        <f>IF(OR(S226="M",S226="I"),"H",S226)</f>
        <v>0</v>
      </c>
      <c r="U226">
        <f>INDEX(StudentTargets,MATCH(B226,KidIDs,0))</f>
        <v>0</v>
      </c>
      <c r="V226">
        <f>INDEX(ReachStudentTargets,MATCH(B226,KidIDs,0))</f>
        <v>0</v>
      </c>
      <c r="W226">
        <f>IF(OR(M226="Posse"),1,0)</f>
        <v>0</v>
      </c>
      <c r="X226">
        <f>IF(ISNUMBER(INDEX(AllCollegeGR, MATCH(N226,AllCollegeNCES,0))),ROUND(INDEX(AllCollegeGR, MATCH(N226,AllCollegeNCES,0))+W226*IF(INDEX(AllCollegeGR, MATCH(N226,AllCollegeNCES,0))&gt;0.7,(1-INDEX(AllCollegeGR, MATCH(N226,AllCollegeNCES,0)))/2,0.15),2),INDEX(AllCollegeGR, MATCH(N226,AllCollegeNCES,0)))</f>
        <v>0</v>
      </c>
      <c r="Y226">
        <f>IF(ISNUMBER(INDEX(AllCollegeAAHGR, MATCH(N226,AllCollegeNCES,0))),ROUND(INDEX(AllCollegeAAHGR, MATCH(N226,AllCollegeNCES,0))+W226*IF(INDEX(AllCollegeAAHGR, MATCH(N226,AllCollegeNCES,0))&gt;0.7,(1-INDEX(AllCollegeAAHGR, MATCH(N226,AllCollegeNCES,0)))/2,0.15),2),INDEX(AllCollegeAAHGR, MATCH(N226,AllCollegeNCES,0)))</f>
        <v>0</v>
      </c>
      <c r="Z226">
        <f>IF(OR(T226="H",T226="B"),INDEX(AllCollegeACT25, MATCH(N226,AllCollegeNCES,0)),INDEX(AllCollegeACT50, MATCH(N226,AllCollegeNCES,0)))</f>
        <v>0</v>
      </c>
      <c r="AA226">
        <f>INDEX(CustomWeightsGPA,MATCH(T226&amp;":"&amp;N226,CustomWeightsIndex,0))</f>
        <v>0</v>
      </c>
      <c r="AB226">
        <f>INDEX(CustomWeightsACT,MATCH(T226&amp;":"&amp;N226,CustomWeightsIndex,0))</f>
        <v>0</v>
      </c>
      <c r="AC226">
        <f>INDEX(CustomWeightsIntercept,MATCH(T226&amp;":"&amp;N226,CustomWeightsIndex,0))</f>
        <v>0</v>
      </c>
      <c r="AD226">
        <f>AA226*P226+AB226*Q226+AC226</f>
        <v>0</v>
      </c>
      <c r="AE226">
        <f>INDEX(CoefficientsGPA,MATCH(T226&amp;":"&amp;O226,CoefficientsIndex,0))</f>
        <v>0</v>
      </c>
      <c r="AF226">
        <f>INDEX(CoefficientsACT,MATCH(T226&amp;":"&amp;O226,CoefficientsIndex,0))</f>
        <v>0</v>
      </c>
      <c r="AG226">
        <f>INDEX(CoefficientsIntercept,MATCH(T226&amp;":"&amp;O226,CoefficientsIndex,0))</f>
        <v>0</v>
      </c>
      <c r="AH226">
        <f>AE226*P226+(Q226-Z226)*AF226+AG226</f>
        <v>0</v>
      </c>
      <c r="AI226">
        <f>IF(ISNUMBER(AD226),AD226,AH226)</f>
        <v>0</v>
      </c>
      <c r="AJ226">
        <f>IF(ISNUMBER(AI226),IF(ISNUMBER(AE226),IF(AND(AE226=1,AF226=1,AG226=1),100,ROUND(100*EXP(AI226)/(1+EXP(AI226)),2)),ROUND(100*EXP(AI226)/(1+EXP(AI226)),2)),IF(ISTEXT(O226),IF(LEFT(O226,1)="2",100,"N/A"),"N/A"))</f>
        <v>0</v>
      </c>
      <c r="AK226">
        <f>IF(ISNUMBER(AJ226),IF(AJ226&gt;=99,IF(OR(R226=10,R226=11),MatchLabel,SureThingLabel),IF(AJ226&gt;=95,SecureLabel,IF(AJ226&gt;=80,SafetyLabel,IF(AJ226&gt;=50,MatchLabel,IF(AJ226&gt;=20,ReachLabel,IF(AJ226&gt;=10,LongshotLabel,HailMaryLabel)))))),"Other")</f>
        <v>0</v>
      </c>
      <c r="AL226">
        <f>IF(OR(I226="accepted",I226="cond. accept",I226="summer admit"),IF(J226="yes","CHOICE!","Accepted!"),IF(I226="denied","Denied",IF(K226=1,"Waitlist",IF(L226=1,"Deferred",IF(G226="pending","Pending",IF(OR(G226="initial materials submitted",G226="mid-year submitted",G226="final submitted"),"Submitted",IF(H226="interest","Interest","?")))))))</f>
        <v>0</v>
      </c>
      <c r="AM226">
        <f>IF(OR(AK226=ReachLabel,AK226=LongshotLabel,AK226=HailMaryLabel),1,0)</f>
        <v>0</v>
      </c>
      <c r="AN226">
        <f>IF(OR(AM226=1,AK226=MatchLabel),1,0)</f>
        <v>0</v>
      </c>
      <c r="AO226">
        <f>IF(OR(AK226=MatchLabel,AK226=SafetyLabel,AK226=SecureLabel,AK226=SureThingLabel),1,0)</f>
        <v>0</v>
      </c>
      <c r="AP226">
        <f>IF(OR(T226="H",T226="B"),IF(ISNUMBER(Y226),ROUND(Y226,2),0),IF(ISNUMBER(X226),ROUND(X226,2),0))</f>
        <v>0</v>
      </c>
      <c r="AQ226">
        <f>IF(AP226&gt;=U226,1,0)</f>
        <v>0</v>
      </c>
      <c r="AR226">
        <f>IF(AP226&gt;=V226,1,0)</f>
        <v>0</v>
      </c>
      <c r="AS226">
        <f>IF(AP226&lt;(U226-0.10),1,0)</f>
        <v>0</v>
      </c>
      <c r="AT226">
        <f>1-AJ226/100</f>
        <v>0</v>
      </c>
      <c r="AU226">
        <f>IF(AN226=1,AT226,1)</f>
        <v>0</v>
      </c>
      <c r="AV226">
        <f>IF(AM226=1,AT226,1)</f>
        <v>0</v>
      </c>
      <c r="AW226">
        <f>IF(AND(AQ226=1,ISNUMBER(AT226)),$AT226,1)</f>
        <v>0</v>
      </c>
      <c r="AX226">
        <f>IF(AND(AR226=1,ISNUMBER(AT226)),$AT226,1)</f>
        <v>0</v>
      </c>
      <c r="AY226">
        <f>IF(ISNUMBER(Y226),INDEX(AllCollegeMoney, MATCH(N226,AllCollegeNCES,0)),0)</f>
        <v>0</v>
      </c>
      <c r="AZ226">
        <f>IF(AND(AQ226=1,ISNUMBER(AT226),AY226=1),$AT226,1)</f>
        <v>0</v>
      </c>
      <c r="BA226">
        <f>IF(AND(AR226=1,ISNUMBER(AT226),AY226=1),$AT226,1)</f>
        <v>0</v>
      </c>
      <c r="BB226">
        <f>IF(ISNUMBER(Y226),INDEX(AllCollegeILPub, MATCH(N226,AllCollegeNCES,0)),0)</f>
        <v>0</v>
      </c>
      <c r="BC226">
        <f>IF(AK226=ReachLabel,AP226,0)</f>
        <v>0</v>
      </c>
      <c r="BD226">
        <f>IF(AK226=MatchLabel,AP226,0)</f>
        <v>0</v>
      </c>
      <c r="BE226">
        <f>IF(AK226=SafetyLabel,AP226,0)</f>
        <v>0</v>
      </c>
      <c r="BF226">
        <f>IF(AK226=SecureLabel,AP226,0)</f>
        <v>0</v>
      </c>
      <c r="BG226">
        <f>IF(AK226=SureThingLabel,AP226,0)</f>
        <v>0</v>
      </c>
      <c r="BH226">
        <f>MAX(BC226:BG226)</f>
        <v>0</v>
      </c>
      <c r="BI226">
        <f>MAX(BD226:BG226)</f>
        <v>0</v>
      </c>
      <c r="BJ226">
        <f>MAX(BE226:BG226)</f>
        <v>0</v>
      </c>
      <c r="BK226">
        <f>IF(AND(AK226=ReachLabel,AY226=1),AP226,0)</f>
        <v>0</v>
      </c>
      <c r="BL226">
        <f>IF(AND(AK226=MatchLabel,AY226=1),AP226,0)</f>
        <v>0</v>
      </c>
      <c r="BM226">
        <f>IF(AND(AK226=SafetyLabel,AY226=1),AP226,0)</f>
        <v>0</v>
      </c>
      <c r="BN226">
        <f>IF(AND(AK226=SecureLabel,AY226=1),AP226,0)</f>
        <v>0</v>
      </c>
      <c r="BO226">
        <f>IF(AND(AK226=SureThingLabel,AY226=1),AP226,0)</f>
        <v>0</v>
      </c>
      <c r="BP226">
        <f>MAX(BK226:BO226)</f>
        <v>0</v>
      </c>
      <c r="BQ226">
        <f>MAX(BL226:BO226)</f>
        <v>0</v>
      </c>
      <c r="BR226">
        <f>MAX(BM226:BO226)</f>
        <v>0</v>
      </c>
      <c r="BS226">
        <f>IF(ISNUMBER(Y226),INDEX(AllCollegeChicago, MATCH(N226,AllCollegeNCES,0))*AY226,0)</f>
        <v>0</v>
      </c>
      <c r="BT226">
        <f>IF(ISNUMBER(Y226),INDEX(AllCollegeMoneyCode, MATCH(N226,AllCollegeNCES,0)),"?")</f>
        <v>0</v>
      </c>
      <c r="BU226">
        <f>IF(OR(BT226="---",BT226="--",BT226="+/--",BT226="+/---"),1,0)</f>
        <v>0</v>
      </c>
      <c r="BV226">
        <f>AY226*AO226*AQ226</f>
        <v>0</v>
      </c>
    </row>
    <row r="227" spans="1:74">
      <c r="A227" t="s">
        <v>86</v>
      </c>
      <c r="B227">
        <v>22973915</v>
      </c>
      <c r="C227" t="s">
        <v>278</v>
      </c>
      <c r="D227" t="s">
        <v>279</v>
      </c>
      <c r="E227" t="s">
        <v>428</v>
      </c>
      <c r="F227" t="s">
        <v>452</v>
      </c>
      <c r="G227" t="s">
        <v>430</v>
      </c>
      <c r="H227" t="s">
        <v>431</v>
      </c>
      <c r="I227" t="s">
        <v>432</v>
      </c>
      <c r="J227" t="s">
        <v>432</v>
      </c>
      <c r="K227">
        <v>0</v>
      </c>
      <c r="L227" t="s">
        <v>428</v>
      </c>
      <c r="M227" t="s">
        <v>439</v>
      </c>
      <c r="N227">
        <v>154493</v>
      </c>
      <c r="O227">
        <f>INDEX(AllCollegeBarrons,MATCH(N227,AllCollegeNCES,0))</f>
        <v>0</v>
      </c>
      <c r="P227">
        <f>INDEX(KidGPAs,MATCH(B227,KidIDs,0))</f>
        <v>0</v>
      </c>
      <c r="Q227">
        <f>INDEX(KidACTs,MATCH(B227,KidIDs,0))</f>
        <v>0</v>
      </c>
      <c r="R227">
        <f>INDEX(Strats,MATCH(B227,KidIDs,0))</f>
        <v>0</v>
      </c>
      <c r="S227">
        <f>INDEX(KidRace,MATCH(B227,KidIDs,0))</f>
        <v>0</v>
      </c>
      <c r="T227">
        <f>IF(OR(S227="M",S227="I"),"H",S227)</f>
        <v>0</v>
      </c>
      <c r="U227">
        <f>INDEX(StudentTargets,MATCH(B227,KidIDs,0))</f>
        <v>0</v>
      </c>
      <c r="V227">
        <f>INDEX(ReachStudentTargets,MATCH(B227,KidIDs,0))</f>
        <v>0</v>
      </c>
      <c r="W227">
        <f>IF(OR(M227="Posse"),1,0)</f>
        <v>0</v>
      </c>
      <c r="X227">
        <f>IF(ISNUMBER(INDEX(AllCollegeGR, MATCH(N227,AllCollegeNCES,0))),ROUND(INDEX(AllCollegeGR, MATCH(N227,AllCollegeNCES,0))+W227*IF(INDEX(AllCollegeGR, MATCH(N227,AllCollegeNCES,0))&gt;0.7,(1-INDEX(AllCollegeGR, MATCH(N227,AllCollegeNCES,0)))/2,0.15),2),INDEX(AllCollegeGR, MATCH(N227,AllCollegeNCES,0)))</f>
        <v>0</v>
      </c>
      <c r="Y227">
        <f>IF(ISNUMBER(INDEX(AllCollegeAAHGR, MATCH(N227,AllCollegeNCES,0))),ROUND(INDEX(AllCollegeAAHGR, MATCH(N227,AllCollegeNCES,0))+W227*IF(INDEX(AllCollegeAAHGR, MATCH(N227,AllCollegeNCES,0))&gt;0.7,(1-INDEX(AllCollegeAAHGR, MATCH(N227,AllCollegeNCES,0)))/2,0.15),2),INDEX(AllCollegeAAHGR, MATCH(N227,AllCollegeNCES,0)))</f>
        <v>0</v>
      </c>
      <c r="Z227">
        <f>IF(OR(T227="H",T227="B"),INDEX(AllCollegeACT25, MATCH(N227,AllCollegeNCES,0)),INDEX(AllCollegeACT50, MATCH(N227,AllCollegeNCES,0)))</f>
        <v>0</v>
      </c>
      <c r="AA227">
        <f>INDEX(CustomWeightsGPA,MATCH(T227&amp;":"&amp;N227,CustomWeightsIndex,0))</f>
        <v>0</v>
      </c>
      <c r="AB227">
        <f>INDEX(CustomWeightsACT,MATCH(T227&amp;":"&amp;N227,CustomWeightsIndex,0))</f>
        <v>0</v>
      </c>
      <c r="AC227">
        <f>INDEX(CustomWeightsIntercept,MATCH(T227&amp;":"&amp;N227,CustomWeightsIndex,0))</f>
        <v>0</v>
      </c>
      <c r="AD227">
        <f>AA227*P227+AB227*Q227+AC227</f>
        <v>0</v>
      </c>
      <c r="AE227">
        <f>INDEX(CoefficientsGPA,MATCH(T227&amp;":"&amp;O227,CoefficientsIndex,0))</f>
        <v>0</v>
      </c>
      <c r="AF227">
        <f>INDEX(CoefficientsACT,MATCH(T227&amp;":"&amp;O227,CoefficientsIndex,0))</f>
        <v>0</v>
      </c>
      <c r="AG227">
        <f>INDEX(CoefficientsIntercept,MATCH(T227&amp;":"&amp;O227,CoefficientsIndex,0))</f>
        <v>0</v>
      </c>
      <c r="AH227">
        <f>AE227*P227+(Q227-Z227)*AF227+AG227</f>
        <v>0</v>
      </c>
      <c r="AI227">
        <f>IF(ISNUMBER(AD227),AD227,AH227)</f>
        <v>0</v>
      </c>
      <c r="AJ227">
        <f>IF(ISNUMBER(AI227),IF(ISNUMBER(AE227),IF(AND(AE227=1,AF227=1,AG227=1),100,ROUND(100*EXP(AI227)/(1+EXP(AI227)),2)),ROUND(100*EXP(AI227)/(1+EXP(AI227)),2)),IF(ISTEXT(O227),IF(LEFT(O227,1)="2",100,"N/A"),"N/A"))</f>
        <v>0</v>
      </c>
      <c r="AK227">
        <f>IF(ISNUMBER(AJ227),IF(AJ227&gt;=99,IF(OR(R227=10,R227=11),MatchLabel,SureThingLabel),IF(AJ227&gt;=95,SecureLabel,IF(AJ227&gt;=80,SafetyLabel,IF(AJ227&gt;=50,MatchLabel,IF(AJ227&gt;=20,ReachLabel,IF(AJ227&gt;=10,LongshotLabel,HailMaryLabel)))))),"Other")</f>
        <v>0</v>
      </c>
      <c r="AL227">
        <f>IF(OR(I227="accepted",I227="cond. accept",I227="summer admit"),IF(J227="yes","CHOICE!","Accepted!"),IF(I227="denied","Denied",IF(K227=1,"Waitlist",IF(L227=1,"Deferred",IF(G227="pending","Pending",IF(OR(G227="initial materials submitted",G227="mid-year submitted",G227="final submitted"),"Submitted",IF(H227="interest","Interest","?")))))))</f>
        <v>0</v>
      </c>
      <c r="AM227">
        <f>IF(OR(AK227=ReachLabel,AK227=LongshotLabel,AK227=HailMaryLabel),1,0)</f>
        <v>0</v>
      </c>
      <c r="AN227">
        <f>IF(OR(AM227=1,AK227=MatchLabel),1,0)</f>
        <v>0</v>
      </c>
      <c r="AO227">
        <f>IF(OR(AK227=MatchLabel,AK227=SafetyLabel,AK227=SecureLabel,AK227=SureThingLabel),1,0)</f>
        <v>0</v>
      </c>
      <c r="AP227">
        <f>IF(OR(T227="H",T227="B"),IF(ISNUMBER(Y227),ROUND(Y227,2),0),IF(ISNUMBER(X227),ROUND(X227,2),0))</f>
        <v>0</v>
      </c>
      <c r="AQ227">
        <f>IF(AP227&gt;=U227,1,0)</f>
        <v>0</v>
      </c>
      <c r="AR227">
        <f>IF(AP227&gt;=V227,1,0)</f>
        <v>0</v>
      </c>
      <c r="AS227">
        <f>IF(AP227&lt;(U227-0.10),1,0)</f>
        <v>0</v>
      </c>
      <c r="AT227">
        <f>1-AJ227/100</f>
        <v>0</v>
      </c>
      <c r="AU227">
        <f>IF(AN227=1,AT227,1)</f>
        <v>0</v>
      </c>
      <c r="AV227">
        <f>IF(AM227=1,AT227,1)</f>
        <v>0</v>
      </c>
      <c r="AW227">
        <f>IF(AND(AQ227=1,ISNUMBER(AT227)),$AT227,1)</f>
        <v>0</v>
      </c>
      <c r="AX227">
        <f>IF(AND(AR227=1,ISNUMBER(AT227)),$AT227,1)</f>
        <v>0</v>
      </c>
      <c r="AY227">
        <f>IF(ISNUMBER(Y227),INDEX(AllCollegeMoney, MATCH(N227,AllCollegeNCES,0)),0)</f>
        <v>0</v>
      </c>
      <c r="AZ227">
        <f>IF(AND(AQ227=1,ISNUMBER(AT227),AY227=1),$AT227,1)</f>
        <v>0</v>
      </c>
      <c r="BA227">
        <f>IF(AND(AR227=1,ISNUMBER(AT227),AY227=1),$AT227,1)</f>
        <v>0</v>
      </c>
      <c r="BB227">
        <f>IF(ISNUMBER(Y227),INDEX(AllCollegeILPub, MATCH(N227,AllCollegeNCES,0)),0)</f>
        <v>0</v>
      </c>
      <c r="BC227">
        <f>IF(AK227=ReachLabel,AP227,0)</f>
        <v>0</v>
      </c>
      <c r="BD227">
        <f>IF(AK227=MatchLabel,AP227,0)</f>
        <v>0</v>
      </c>
      <c r="BE227">
        <f>IF(AK227=SafetyLabel,AP227,0)</f>
        <v>0</v>
      </c>
      <c r="BF227">
        <f>IF(AK227=SecureLabel,AP227,0)</f>
        <v>0</v>
      </c>
      <c r="BG227">
        <f>IF(AK227=SureThingLabel,AP227,0)</f>
        <v>0</v>
      </c>
      <c r="BH227">
        <f>MAX(BC227:BG227)</f>
        <v>0</v>
      </c>
      <c r="BI227">
        <f>MAX(BD227:BG227)</f>
        <v>0</v>
      </c>
      <c r="BJ227">
        <f>MAX(BE227:BG227)</f>
        <v>0</v>
      </c>
      <c r="BK227">
        <f>IF(AND(AK227=ReachLabel,AY227=1),AP227,0)</f>
        <v>0</v>
      </c>
      <c r="BL227">
        <f>IF(AND(AK227=MatchLabel,AY227=1),AP227,0)</f>
        <v>0</v>
      </c>
      <c r="BM227">
        <f>IF(AND(AK227=SafetyLabel,AY227=1),AP227,0)</f>
        <v>0</v>
      </c>
      <c r="BN227">
        <f>IF(AND(AK227=SecureLabel,AY227=1),AP227,0)</f>
        <v>0</v>
      </c>
      <c r="BO227">
        <f>IF(AND(AK227=SureThingLabel,AY227=1),AP227,0)</f>
        <v>0</v>
      </c>
      <c r="BP227">
        <f>MAX(BK227:BO227)</f>
        <v>0</v>
      </c>
      <c r="BQ227">
        <f>MAX(BL227:BO227)</f>
        <v>0</v>
      </c>
      <c r="BR227">
        <f>MAX(BM227:BO227)</f>
        <v>0</v>
      </c>
      <c r="BS227">
        <f>IF(ISNUMBER(Y227),INDEX(AllCollegeChicago, MATCH(N227,AllCollegeNCES,0))*AY227,0)</f>
        <v>0</v>
      </c>
      <c r="BT227">
        <f>IF(ISNUMBER(Y227),INDEX(AllCollegeMoneyCode, MATCH(N227,AllCollegeNCES,0)),"?")</f>
        <v>0</v>
      </c>
      <c r="BU227">
        <f>IF(OR(BT227="---",BT227="--",BT227="+/--",BT227="+/---"),1,0)</f>
        <v>0</v>
      </c>
      <c r="BV227">
        <f>AY227*AO227*AQ227</f>
        <v>0</v>
      </c>
    </row>
    <row r="228" spans="1:74">
      <c r="A228" t="s">
        <v>86</v>
      </c>
      <c r="B228">
        <v>22973915</v>
      </c>
      <c r="C228" t="s">
        <v>278</v>
      </c>
      <c r="D228" t="s">
        <v>279</v>
      </c>
      <c r="E228" t="s">
        <v>428</v>
      </c>
      <c r="F228" t="s">
        <v>440</v>
      </c>
      <c r="G228" t="s">
        <v>430</v>
      </c>
      <c r="H228" t="s">
        <v>431</v>
      </c>
      <c r="I228" t="s">
        <v>432</v>
      </c>
      <c r="J228" t="s">
        <v>432</v>
      </c>
      <c r="K228">
        <v>0</v>
      </c>
      <c r="L228" t="s">
        <v>428</v>
      </c>
      <c r="M228" t="s">
        <v>428</v>
      </c>
      <c r="N228">
        <v>147703</v>
      </c>
      <c r="O228">
        <f>INDEX(AllCollegeBarrons,MATCH(N228,AllCollegeNCES,0))</f>
        <v>0</v>
      </c>
      <c r="P228">
        <f>INDEX(KidGPAs,MATCH(B228,KidIDs,0))</f>
        <v>0</v>
      </c>
      <c r="Q228">
        <f>INDEX(KidACTs,MATCH(B228,KidIDs,0))</f>
        <v>0</v>
      </c>
      <c r="R228">
        <f>INDEX(Strats,MATCH(B228,KidIDs,0))</f>
        <v>0</v>
      </c>
      <c r="S228">
        <f>INDEX(KidRace,MATCH(B228,KidIDs,0))</f>
        <v>0</v>
      </c>
      <c r="T228">
        <f>IF(OR(S228="M",S228="I"),"H",S228)</f>
        <v>0</v>
      </c>
      <c r="U228">
        <f>INDEX(StudentTargets,MATCH(B228,KidIDs,0))</f>
        <v>0</v>
      </c>
      <c r="V228">
        <f>INDEX(ReachStudentTargets,MATCH(B228,KidIDs,0))</f>
        <v>0</v>
      </c>
      <c r="W228">
        <f>IF(OR(M228="Posse"),1,0)</f>
        <v>0</v>
      </c>
      <c r="X228">
        <f>IF(ISNUMBER(INDEX(AllCollegeGR, MATCH(N228,AllCollegeNCES,0))),ROUND(INDEX(AllCollegeGR, MATCH(N228,AllCollegeNCES,0))+W228*IF(INDEX(AllCollegeGR, MATCH(N228,AllCollegeNCES,0))&gt;0.7,(1-INDEX(AllCollegeGR, MATCH(N228,AllCollegeNCES,0)))/2,0.15),2),INDEX(AllCollegeGR, MATCH(N228,AllCollegeNCES,0)))</f>
        <v>0</v>
      </c>
      <c r="Y228">
        <f>IF(ISNUMBER(INDEX(AllCollegeAAHGR, MATCH(N228,AllCollegeNCES,0))),ROUND(INDEX(AllCollegeAAHGR, MATCH(N228,AllCollegeNCES,0))+W228*IF(INDEX(AllCollegeAAHGR, MATCH(N228,AllCollegeNCES,0))&gt;0.7,(1-INDEX(AllCollegeAAHGR, MATCH(N228,AllCollegeNCES,0)))/2,0.15),2),INDEX(AllCollegeAAHGR, MATCH(N228,AllCollegeNCES,0)))</f>
        <v>0</v>
      </c>
      <c r="Z228">
        <f>IF(OR(T228="H",T228="B"),INDEX(AllCollegeACT25, MATCH(N228,AllCollegeNCES,0)),INDEX(AllCollegeACT50, MATCH(N228,AllCollegeNCES,0)))</f>
        <v>0</v>
      </c>
      <c r="AA228">
        <f>INDEX(CustomWeightsGPA,MATCH(T228&amp;":"&amp;N228,CustomWeightsIndex,0))</f>
        <v>0</v>
      </c>
      <c r="AB228">
        <f>INDEX(CustomWeightsACT,MATCH(T228&amp;":"&amp;N228,CustomWeightsIndex,0))</f>
        <v>0</v>
      </c>
      <c r="AC228">
        <f>INDEX(CustomWeightsIntercept,MATCH(T228&amp;":"&amp;N228,CustomWeightsIndex,0))</f>
        <v>0</v>
      </c>
      <c r="AD228">
        <f>AA228*P228+AB228*Q228+AC228</f>
        <v>0</v>
      </c>
      <c r="AE228">
        <f>INDEX(CoefficientsGPA,MATCH(T228&amp;":"&amp;O228,CoefficientsIndex,0))</f>
        <v>0</v>
      </c>
      <c r="AF228">
        <f>INDEX(CoefficientsACT,MATCH(T228&amp;":"&amp;O228,CoefficientsIndex,0))</f>
        <v>0</v>
      </c>
      <c r="AG228">
        <f>INDEX(CoefficientsIntercept,MATCH(T228&amp;":"&amp;O228,CoefficientsIndex,0))</f>
        <v>0</v>
      </c>
      <c r="AH228">
        <f>AE228*P228+(Q228-Z228)*AF228+AG228</f>
        <v>0</v>
      </c>
      <c r="AI228">
        <f>IF(ISNUMBER(AD228),AD228,AH228)</f>
        <v>0</v>
      </c>
      <c r="AJ228">
        <f>IF(ISNUMBER(AI228),IF(ISNUMBER(AE228),IF(AND(AE228=1,AF228=1,AG228=1),100,ROUND(100*EXP(AI228)/(1+EXP(AI228)),2)),ROUND(100*EXP(AI228)/(1+EXP(AI228)),2)),IF(ISTEXT(O228),IF(LEFT(O228,1)="2",100,"N/A"),"N/A"))</f>
        <v>0</v>
      </c>
      <c r="AK228">
        <f>IF(ISNUMBER(AJ228),IF(AJ228&gt;=99,IF(OR(R228=10,R228=11),MatchLabel,SureThingLabel),IF(AJ228&gt;=95,SecureLabel,IF(AJ228&gt;=80,SafetyLabel,IF(AJ228&gt;=50,MatchLabel,IF(AJ228&gt;=20,ReachLabel,IF(AJ228&gt;=10,LongshotLabel,HailMaryLabel)))))),"Other")</f>
        <v>0</v>
      </c>
      <c r="AL228">
        <f>IF(OR(I228="accepted",I228="cond. accept",I228="summer admit"),IF(J228="yes","CHOICE!","Accepted!"),IF(I228="denied","Denied",IF(K228=1,"Waitlist",IF(L228=1,"Deferred",IF(G228="pending","Pending",IF(OR(G228="initial materials submitted",G228="mid-year submitted",G228="final submitted"),"Submitted",IF(H228="interest","Interest","?")))))))</f>
        <v>0</v>
      </c>
      <c r="AM228">
        <f>IF(OR(AK228=ReachLabel,AK228=LongshotLabel,AK228=HailMaryLabel),1,0)</f>
        <v>0</v>
      </c>
      <c r="AN228">
        <f>IF(OR(AM228=1,AK228=MatchLabel),1,0)</f>
        <v>0</v>
      </c>
      <c r="AO228">
        <f>IF(OR(AK228=MatchLabel,AK228=SafetyLabel,AK228=SecureLabel,AK228=SureThingLabel),1,0)</f>
        <v>0</v>
      </c>
      <c r="AP228">
        <f>IF(OR(T228="H",T228="B"),IF(ISNUMBER(Y228),ROUND(Y228,2),0),IF(ISNUMBER(X228),ROUND(X228,2),0))</f>
        <v>0</v>
      </c>
      <c r="AQ228">
        <f>IF(AP228&gt;=U228,1,0)</f>
        <v>0</v>
      </c>
      <c r="AR228">
        <f>IF(AP228&gt;=V228,1,0)</f>
        <v>0</v>
      </c>
      <c r="AS228">
        <f>IF(AP228&lt;(U228-0.10),1,0)</f>
        <v>0</v>
      </c>
      <c r="AT228">
        <f>1-AJ228/100</f>
        <v>0</v>
      </c>
      <c r="AU228">
        <f>IF(AN228=1,AT228,1)</f>
        <v>0</v>
      </c>
      <c r="AV228">
        <f>IF(AM228=1,AT228,1)</f>
        <v>0</v>
      </c>
      <c r="AW228">
        <f>IF(AND(AQ228=1,ISNUMBER(AT228)),$AT228,1)</f>
        <v>0</v>
      </c>
      <c r="AX228">
        <f>IF(AND(AR228=1,ISNUMBER(AT228)),$AT228,1)</f>
        <v>0</v>
      </c>
      <c r="AY228">
        <f>IF(ISNUMBER(Y228),INDEX(AllCollegeMoney, MATCH(N228,AllCollegeNCES,0)),0)</f>
        <v>0</v>
      </c>
      <c r="AZ228">
        <f>IF(AND(AQ228=1,ISNUMBER(AT228),AY228=1),$AT228,1)</f>
        <v>0</v>
      </c>
      <c r="BA228">
        <f>IF(AND(AR228=1,ISNUMBER(AT228),AY228=1),$AT228,1)</f>
        <v>0</v>
      </c>
      <c r="BB228">
        <f>IF(ISNUMBER(Y228),INDEX(AllCollegeILPub, MATCH(N228,AllCollegeNCES,0)),0)</f>
        <v>0</v>
      </c>
      <c r="BC228">
        <f>IF(AK228=ReachLabel,AP228,0)</f>
        <v>0</v>
      </c>
      <c r="BD228">
        <f>IF(AK228=MatchLabel,AP228,0)</f>
        <v>0</v>
      </c>
      <c r="BE228">
        <f>IF(AK228=SafetyLabel,AP228,0)</f>
        <v>0</v>
      </c>
      <c r="BF228">
        <f>IF(AK228=SecureLabel,AP228,0)</f>
        <v>0</v>
      </c>
      <c r="BG228">
        <f>IF(AK228=SureThingLabel,AP228,0)</f>
        <v>0</v>
      </c>
      <c r="BH228">
        <f>MAX(BC228:BG228)</f>
        <v>0</v>
      </c>
      <c r="BI228">
        <f>MAX(BD228:BG228)</f>
        <v>0</v>
      </c>
      <c r="BJ228">
        <f>MAX(BE228:BG228)</f>
        <v>0</v>
      </c>
      <c r="BK228">
        <f>IF(AND(AK228=ReachLabel,AY228=1),AP228,0)</f>
        <v>0</v>
      </c>
      <c r="BL228">
        <f>IF(AND(AK228=MatchLabel,AY228=1),AP228,0)</f>
        <v>0</v>
      </c>
      <c r="BM228">
        <f>IF(AND(AK228=SafetyLabel,AY228=1),AP228,0)</f>
        <v>0</v>
      </c>
      <c r="BN228">
        <f>IF(AND(AK228=SecureLabel,AY228=1),AP228,0)</f>
        <v>0</v>
      </c>
      <c r="BO228">
        <f>IF(AND(AK228=SureThingLabel,AY228=1),AP228,0)</f>
        <v>0</v>
      </c>
      <c r="BP228">
        <f>MAX(BK228:BO228)</f>
        <v>0</v>
      </c>
      <c r="BQ228">
        <f>MAX(BL228:BO228)</f>
        <v>0</v>
      </c>
      <c r="BR228">
        <f>MAX(BM228:BO228)</f>
        <v>0</v>
      </c>
      <c r="BS228">
        <f>IF(ISNUMBER(Y228),INDEX(AllCollegeChicago, MATCH(N228,AllCollegeNCES,0))*AY228,0)</f>
        <v>0</v>
      </c>
      <c r="BT228">
        <f>IF(ISNUMBER(Y228),INDEX(AllCollegeMoneyCode, MATCH(N228,AllCollegeNCES,0)),"?")</f>
        <v>0</v>
      </c>
      <c r="BU228">
        <f>IF(OR(BT228="---",BT228="--",BT228="+/--",BT228="+/---"),1,0)</f>
        <v>0</v>
      </c>
      <c r="BV228">
        <f>AY228*AO228*AQ228</f>
        <v>0</v>
      </c>
    </row>
    <row r="229" spans="1:74">
      <c r="A229" t="s">
        <v>86</v>
      </c>
      <c r="B229">
        <v>22973915</v>
      </c>
      <c r="C229" t="s">
        <v>278</v>
      </c>
      <c r="D229" t="s">
        <v>279</v>
      </c>
      <c r="E229" t="s">
        <v>428</v>
      </c>
      <c r="F229" t="s">
        <v>443</v>
      </c>
      <c r="G229" t="s">
        <v>430</v>
      </c>
      <c r="H229" t="s">
        <v>431</v>
      </c>
      <c r="I229" t="s">
        <v>432</v>
      </c>
      <c r="J229" t="s">
        <v>432</v>
      </c>
      <c r="K229">
        <v>0</v>
      </c>
      <c r="L229" t="s">
        <v>428</v>
      </c>
      <c r="M229" t="s">
        <v>428</v>
      </c>
      <c r="N229">
        <v>144209</v>
      </c>
      <c r="O229">
        <f>INDEX(AllCollegeBarrons,MATCH(N229,AllCollegeNCES,0))</f>
        <v>0</v>
      </c>
      <c r="P229">
        <f>INDEX(KidGPAs,MATCH(B229,KidIDs,0))</f>
        <v>0</v>
      </c>
      <c r="Q229">
        <f>INDEX(KidACTs,MATCH(B229,KidIDs,0))</f>
        <v>0</v>
      </c>
      <c r="R229">
        <f>INDEX(Strats,MATCH(B229,KidIDs,0))</f>
        <v>0</v>
      </c>
      <c r="S229">
        <f>INDEX(KidRace,MATCH(B229,KidIDs,0))</f>
        <v>0</v>
      </c>
      <c r="T229">
        <f>IF(OR(S229="M",S229="I"),"H",S229)</f>
        <v>0</v>
      </c>
      <c r="U229">
        <f>INDEX(StudentTargets,MATCH(B229,KidIDs,0))</f>
        <v>0</v>
      </c>
      <c r="V229">
        <f>INDEX(ReachStudentTargets,MATCH(B229,KidIDs,0))</f>
        <v>0</v>
      </c>
      <c r="W229">
        <f>IF(OR(M229="Posse"),1,0)</f>
        <v>0</v>
      </c>
      <c r="X229">
        <f>IF(ISNUMBER(INDEX(AllCollegeGR, MATCH(N229,AllCollegeNCES,0))),ROUND(INDEX(AllCollegeGR, MATCH(N229,AllCollegeNCES,0))+W229*IF(INDEX(AllCollegeGR, MATCH(N229,AllCollegeNCES,0))&gt;0.7,(1-INDEX(AllCollegeGR, MATCH(N229,AllCollegeNCES,0)))/2,0.15),2),INDEX(AllCollegeGR, MATCH(N229,AllCollegeNCES,0)))</f>
        <v>0</v>
      </c>
      <c r="Y229">
        <f>IF(ISNUMBER(INDEX(AllCollegeAAHGR, MATCH(N229,AllCollegeNCES,0))),ROUND(INDEX(AllCollegeAAHGR, MATCH(N229,AllCollegeNCES,0))+W229*IF(INDEX(AllCollegeAAHGR, MATCH(N229,AllCollegeNCES,0))&gt;0.7,(1-INDEX(AllCollegeAAHGR, MATCH(N229,AllCollegeNCES,0)))/2,0.15),2),INDEX(AllCollegeAAHGR, MATCH(N229,AllCollegeNCES,0)))</f>
        <v>0</v>
      </c>
      <c r="Z229">
        <f>IF(OR(T229="H",T229="B"),INDEX(AllCollegeACT25, MATCH(N229,AllCollegeNCES,0)),INDEX(AllCollegeACT50, MATCH(N229,AllCollegeNCES,0)))</f>
        <v>0</v>
      </c>
      <c r="AA229">
        <f>INDEX(CustomWeightsGPA,MATCH(T229&amp;":"&amp;N229,CustomWeightsIndex,0))</f>
        <v>0</v>
      </c>
      <c r="AB229">
        <f>INDEX(CustomWeightsACT,MATCH(T229&amp;":"&amp;N229,CustomWeightsIndex,0))</f>
        <v>0</v>
      </c>
      <c r="AC229">
        <f>INDEX(CustomWeightsIntercept,MATCH(T229&amp;":"&amp;N229,CustomWeightsIndex,0))</f>
        <v>0</v>
      </c>
      <c r="AD229">
        <f>AA229*P229+AB229*Q229+AC229</f>
        <v>0</v>
      </c>
      <c r="AE229">
        <f>INDEX(CoefficientsGPA,MATCH(T229&amp;":"&amp;O229,CoefficientsIndex,0))</f>
        <v>0</v>
      </c>
      <c r="AF229">
        <f>INDEX(CoefficientsACT,MATCH(T229&amp;":"&amp;O229,CoefficientsIndex,0))</f>
        <v>0</v>
      </c>
      <c r="AG229">
        <f>INDEX(CoefficientsIntercept,MATCH(T229&amp;":"&amp;O229,CoefficientsIndex,0))</f>
        <v>0</v>
      </c>
      <c r="AH229">
        <f>AE229*P229+(Q229-Z229)*AF229+AG229</f>
        <v>0</v>
      </c>
      <c r="AI229">
        <f>IF(ISNUMBER(AD229),AD229,AH229)</f>
        <v>0</v>
      </c>
      <c r="AJ229">
        <f>IF(ISNUMBER(AI229),IF(ISNUMBER(AE229),IF(AND(AE229=1,AF229=1,AG229=1),100,ROUND(100*EXP(AI229)/(1+EXP(AI229)),2)),ROUND(100*EXP(AI229)/(1+EXP(AI229)),2)),IF(ISTEXT(O229),IF(LEFT(O229,1)="2",100,"N/A"),"N/A"))</f>
        <v>0</v>
      </c>
      <c r="AK229">
        <f>IF(ISNUMBER(AJ229),IF(AJ229&gt;=99,IF(OR(R229=10,R229=11),MatchLabel,SureThingLabel),IF(AJ229&gt;=95,SecureLabel,IF(AJ229&gt;=80,SafetyLabel,IF(AJ229&gt;=50,MatchLabel,IF(AJ229&gt;=20,ReachLabel,IF(AJ229&gt;=10,LongshotLabel,HailMaryLabel)))))),"Other")</f>
        <v>0</v>
      </c>
      <c r="AL229">
        <f>IF(OR(I229="accepted",I229="cond. accept",I229="summer admit"),IF(J229="yes","CHOICE!","Accepted!"),IF(I229="denied","Denied",IF(K229=1,"Waitlist",IF(L229=1,"Deferred",IF(G229="pending","Pending",IF(OR(G229="initial materials submitted",G229="mid-year submitted",G229="final submitted"),"Submitted",IF(H229="interest","Interest","?")))))))</f>
        <v>0</v>
      </c>
      <c r="AM229">
        <f>IF(OR(AK229=ReachLabel,AK229=LongshotLabel,AK229=HailMaryLabel),1,0)</f>
        <v>0</v>
      </c>
      <c r="AN229">
        <f>IF(OR(AM229=1,AK229=MatchLabel),1,0)</f>
        <v>0</v>
      </c>
      <c r="AO229">
        <f>IF(OR(AK229=MatchLabel,AK229=SafetyLabel,AK229=SecureLabel,AK229=SureThingLabel),1,0)</f>
        <v>0</v>
      </c>
      <c r="AP229">
        <f>IF(OR(T229="H",T229="B"),IF(ISNUMBER(Y229),ROUND(Y229,2),0),IF(ISNUMBER(X229),ROUND(X229,2),0))</f>
        <v>0</v>
      </c>
      <c r="AQ229">
        <f>IF(AP229&gt;=U229,1,0)</f>
        <v>0</v>
      </c>
      <c r="AR229">
        <f>IF(AP229&gt;=V229,1,0)</f>
        <v>0</v>
      </c>
      <c r="AS229">
        <f>IF(AP229&lt;(U229-0.10),1,0)</f>
        <v>0</v>
      </c>
      <c r="AT229">
        <f>1-AJ229/100</f>
        <v>0</v>
      </c>
      <c r="AU229">
        <f>IF(AN229=1,AT229,1)</f>
        <v>0</v>
      </c>
      <c r="AV229">
        <f>IF(AM229=1,AT229,1)</f>
        <v>0</v>
      </c>
      <c r="AW229">
        <f>IF(AND(AQ229=1,ISNUMBER(AT229)),$AT229,1)</f>
        <v>0</v>
      </c>
      <c r="AX229">
        <f>IF(AND(AR229=1,ISNUMBER(AT229)),$AT229,1)</f>
        <v>0</v>
      </c>
      <c r="AY229">
        <f>IF(ISNUMBER(Y229),INDEX(AllCollegeMoney, MATCH(N229,AllCollegeNCES,0)),0)</f>
        <v>0</v>
      </c>
      <c r="AZ229">
        <f>IF(AND(AQ229=1,ISNUMBER(AT229),AY229=1),$AT229,1)</f>
        <v>0</v>
      </c>
      <c r="BA229">
        <f>IF(AND(AR229=1,ISNUMBER(AT229),AY229=1),$AT229,1)</f>
        <v>0</v>
      </c>
      <c r="BB229">
        <f>IF(ISNUMBER(Y229),INDEX(AllCollegeILPub, MATCH(N229,AllCollegeNCES,0)),0)</f>
        <v>0</v>
      </c>
      <c r="BC229">
        <f>IF(AK229=ReachLabel,AP229,0)</f>
        <v>0</v>
      </c>
      <c r="BD229">
        <f>IF(AK229=MatchLabel,AP229,0)</f>
        <v>0</v>
      </c>
      <c r="BE229">
        <f>IF(AK229=SafetyLabel,AP229,0)</f>
        <v>0</v>
      </c>
      <c r="BF229">
        <f>IF(AK229=SecureLabel,AP229,0)</f>
        <v>0</v>
      </c>
      <c r="BG229">
        <f>IF(AK229=SureThingLabel,AP229,0)</f>
        <v>0</v>
      </c>
      <c r="BH229">
        <f>MAX(BC229:BG229)</f>
        <v>0</v>
      </c>
      <c r="BI229">
        <f>MAX(BD229:BG229)</f>
        <v>0</v>
      </c>
      <c r="BJ229">
        <f>MAX(BE229:BG229)</f>
        <v>0</v>
      </c>
      <c r="BK229">
        <f>IF(AND(AK229=ReachLabel,AY229=1),AP229,0)</f>
        <v>0</v>
      </c>
      <c r="BL229">
        <f>IF(AND(AK229=MatchLabel,AY229=1),AP229,0)</f>
        <v>0</v>
      </c>
      <c r="BM229">
        <f>IF(AND(AK229=SafetyLabel,AY229=1),AP229,0)</f>
        <v>0</v>
      </c>
      <c r="BN229">
        <f>IF(AND(AK229=SecureLabel,AY229=1),AP229,0)</f>
        <v>0</v>
      </c>
      <c r="BO229">
        <f>IF(AND(AK229=SureThingLabel,AY229=1),AP229,0)</f>
        <v>0</v>
      </c>
      <c r="BP229">
        <f>MAX(BK229:BO229)</f>
        <v>0</v>
      </c>
      <c r="BQ229">
        <f>MAX(BL229:BO229)</f>
        <v>0</v>
      </c>
      <c r="BR229">
        <f>MAX(BM229:BO229)</f>
        <v>0</v>
      </c>
      <c r="BS229">
        <f>IF(ISNUMBER(Y229),INDEX(AllCollegeChicago, MATCH(N229,AllCollegeNCES,0))*AY229,0)</f>
        <v>0</v>
      </c>
      <c r="BT229">
        <f>IF(ISNUMBER(Y229),INDEX(AllCollegeMoneyCode, MATCH(N229,AllCollegeNCES,0)),"?")</f>
        <v>0</v>
      </c>
      <c r="BU229">
        <f>IF(OR(BT229="---",BT229="--",BT229="+/--",BT229="+/---"),1,0)</f>
        <v>0</v>
      </c>
      <c r="BV229">
        <f>AY229*AO229*AQ229</f>
        <v>0</v>
      </c>
    </row>
    <row r="230" spans="1:74">
      <c r="A230" t="s">
        <v>86</v>
      </c>
      <c r="B230">
        <v>22973915</v>
      </c>
      <c r="C230" t="s">
        <v>278</v>
      </c>
      <c r="D230" t="s">
        <v>279</v>
      </c>
      <c r="E230" t="s">
        <v>428</v>
      </c>
      <c r="F230" t="s">
        <v>445</v>
      </c>
      <c r="G230" t="s">
        <v>463</v>
      </c>
      <c r="H230" t="s">
        <v>431</v>
      </c>
      <c r="I230" t="s">
        <v>432</v>
      </c>
      <c r="J230" t="s">
        <v>432</v>
      </c>
      <c r="K230">
        <v>0</v>
      </c>
      <c r="L230" t="s">
        <v>428</v>
      </c>
      <c r="M230" t="s">
        <v>428</v>
      </c>
      <c r="N230">
        <v>147776</v>
      </c>
      <c r="O230">
        <f>INDEX(AllCollegeBarrons,MATCH(N230,AllCollegeNCES,0))</f>
        <v>0</v>
      </c>
      <c r="P230">
        <f>INDEX(KidGPAs,MATCH(B230,KidIDs,0))</f>
        <v>0</v>
      </c>
      <c r="Q230">
        <f>INDEX(KidACTs,MATCH(B230,KidIDs,0))</f>
        <v>0</v>
      </c>
      <c r="R230">
        <f>INDEX(Strats,MATCH(B230,KidIDs,0))</f>
        <v>0</v>
      </c>
      <c r="S230">
        <f>INDEX(KidRace,MATCH(B230,KidIDs,0))</f>
        <v>0</v>
      </c>
      <c r="T230">
        <f>IF(OR(S230="M",S230="I"),"H",S230)</f>
        <v>0</v>
      </c>
      <c r="U230">
        <f>INDEX(StudentTargets,MATCH(B230,KidIDs,0))</f>
        <v>0</v>
      </c>
      <c r="V230">
        <f>INDEX(ReachStudentTargets,MATCH(B230,KidIDs,0))</f>
        <v>0</v>
      </c>
      <c r="W230">
        <f>IF(OR(M230="Posse"),1,0)</f>
        <v>0</v>
      </c>
      <c r="X230">
        <f>IF(ISNUMBER(INDEX(AllCollegeGR, MATCH(N230,AllCollegeNCES,0))),ROUND(INDEX(AllCollegeGR, MATCH(N230,AllCollegeNCES,0))+W230*IF(INDEX(AllCollegeGR, MATCH(N230,AllCollegeNCES,0))&gt;0.7,(1-INDEX(AllCollegeGR, MATCH(N230,AllCollegeNCES,0)))/2,0.15),2),INDEX(AllCollegeGR, MATCH(N230,AllCollegeNCES,0)))</f>
        <v>0</v>
      </c>
      <c r="Y230">
        <f>IF(ISNUMBER(INDEX(AllCollegeAAHGR, MATCH(N230,AllCollegeNCES,0))),ROUND(INDEX(AllCollegeAAHGR, MATCH(N230,AllCollegeNCES,0))+W230*IF(INDEX(AllCollegeAAHGR, MATCH(N230,AllCollegeNCES,0))&gt;0.7,(1-INDEX(AllCollegeAAHGR, MATCH(N230,AllCollegeNCES,0)))/2,0.15),2),INDEX(AllCollegeAAHGR, MATCH(N230,AllCollegeNCES,0)))</f>
        <v>0</v>
      </c>
      <c r="Z230">
        <f>IF(OR(T230="H",T230="B"),INDEX(AllCollegeACT25, MATCH(N230,AllCollegeNCES,0)),INDEX(AllCollegeACT50, MATCH(N230,AllCollegeNCES,0)))</f>
        <v>0</v>
      </c>
      <c r="AA230">
        <f>INDEX(CustomWeightsGPA,MATCH(T230&amp;":"&amp;N230,CustomWeightsIndex,0))</f>
        <v>0</v>
      </c>
      <c r="AB230">
        <f>INDEX(CustomWeightsACT,MATCH(T230&amp;":"&amp;N230,CustomWeightsIndex,0))</f>
        <v>0</v>
      </c>
      <c r="AC230">
        <f>INDEX(CustomWeightsIntercept,MATCH(T230&amp;":"&amp;N230,CustomWeightsIndex,0))</f>
        <v>0</v>
      </c>
      <c r="AD230">
        <f>AA230*P230+AB230*Q230+AC230</f>
        <v>0</v>
      </c>
      <c r="AE230">
        <f>INDEX(CoefficientsGPA,MATCH(T230&amp;":"&amp;O230,CoefficientsIndex,0))</f>
        <v>0</v>
      </c>
      <c r="AF230">
        <f>INDEX(CoefficientsACT,MATCH(T230&amp;":"&amp;O230,CoefficientsIndex,0))</f>
        <v>0</v>
      </c>
      <c r="AG230">
        <f>INDEX(CoefficientsIntercept,MATCH(T230&amp;":"&amp;O230,CoefficientsIndex,0))</f>
        <v>0</v>
      </c>
      <c r="AH230">
        <f>AE230*P230+(Q230-Z230)*AF230+AG230</f>
        <v>0</v>
      </c>
      <c r="AI230">
        <f>IF(ISNUMBER(AD230),AD230,AH230)</f>
        <v>0</v>
      </c>
      <c r="AJ230">
        <f>IF(ISNUMBER(AI230),IF(ISNUMBER(AE230),IF(AND(AE230=1,AF230=1,AG230=1),100,ROUND(100*EXP(AI230)/(1+EXP(AI230)),2)),ROUND(100*EXP(AI230)/(1+EXP(AI230)),2)),IF(ISTEXT(O230),IF(LEFT(O230,1)="2",100,"N/A"),"N/A"))</f>
        <v>0</v>
      </c>
      <c r="AK230">
        <f>IF(ISNUMBER(AJ230),IF(AJ230&gt;=99,IF(OR(R230=10,R230=11),MatchLabel,SureThingLabel),IF(AJ230&gt;=95,SecureLabel,IF(AJ230&gt;=80,SafetyLabel,IF(AJ230&gt;=50,MatchLabel,IF(AJ230&gt;=20,ReachLabel,IF(AJ230&gt;=10,LongshotLabel,HailMaryLabel)))))),"Other")</f>
        <v>0</v>
      </c>
      <c r="AL230">
        <f>IF(OR(I230="accepted",I230="cond. accept",I230="summer admit"),IF(J230="yes","CHOICE!","Accepted!"),IF(I230="denied","Denied",IF(K230=1,"Waitlist",IF(L230=1,"Deferred",IF(G230="pending","Pending",IF(OR(G230="initial materials submitted",G230="mid-year submitted",G230="final submitted"),"Submitted",IF(H230="interest","Interest","?")))))))</f>
        <v>0</v>
      </c>
      <c r="AM230">
        <f>IF(OR(AK230=ReachLabel,AK230=LongshotLabel,AK230=HailMaryLabel),1,0)</f>
        <v>0</v>
      </c>
      <c r="AN230">
        <f>IF(OR(AM230=1,AK230=MatchLabel),1,0)</f>
        <v>0</v>
      </c>
      <c r="AO230">
        <f>IF(OR(AK230=MatchLabel,AK230=SafetyLabel,AK230=SecureLabel,AK230=SureThingLabel),1,0)</f>
        <v>0</v>
      </c>
      <c r="AP230">
        <f>IF(OR(T230="H",T230="B"),IF(ISNUMBER(Y230),ROUND(Y230,2),0),IF(ISNUMBER(X230),ROUND(X230,2),0))</f>
        <v>0</v>
      </c>
      <c r="AQ230">
        <f>IF(AP230&gt;=U230,1,0)</f>
        <v>0</v>
      </c>
      <c r="AR230">
        <f>IF(AP230&gt;=V230,1,0)</f>
        <v>0</v>
      </c>
      <c r="AS230">
        <f>IF(AP230&lt;(U230-0.10),1,0)</f>
        <v>0</v>
      </c>
      <c r="AT230">
        <f>1-AJ230/100</f>
        <v>0</v>
      </c>
      <c r="AU230">
        <f>IF(AN230=1,AT230,1)</f>
        <v>0</v>
      </c>
      <c r="AV230">
        <f>IF(AM230=1,AT230,1)</f>
        <v>0</v>
      </c>
      <c r="AW230">
        <f>IF(AND(AQ230=1,ISNUMBER(AT230)),$AT230,1)</f>
        <v>0</v>
      </c>
      <c r="AX230">
        <f>IF(AND(AR230=1,ISNUMBER(AT230)),$AT230,1)</f>
        <v>0</v>
      </c>
      <c r="AY230">
        <f>IF(ISNUMBER(Y230),INDEX(AllCollegeMoney, MATCH(N230,AllCollegeNCES,0)),0)</f>
        <v>0</v>
      </c>
      <c r="AZ230">
        <f>IF(AND(AQ230=1,ISNUMBER(AT230),AY230=1),$AT230,1)</f>
        <v>0</v>
      </c>
      <c r="BA230">
        <f>IF(AND(AR230=1,ISNUMBER(AT230),AY230=1),$AT230,1)</f>
        <v>0</v>
      </c>
      <c r="BB230">
        <f>IF(ISNUMBER(Y230),INDEX(AllCollegeILPub, MATCH(N230,AllCollegeNCES,0)),0)</f>
        <v>0</v>
      </c>
      <c r="BC230">
        <f>IF(AK230=ReachLabel,AP230,0)</f>
        <v>0</v>
      </c>
      <c r="BD230">
        <f>IF(AK230=MatchLabel,AP230,0)</f>
        <v>0</v>
      </c>
      <c r="BE230">
        <f>IF(AK230=SafetyLabel,AP230,0)</f>
        <v>0</v>
      </c>
      <c r="BF230">
        <f>IF(AK230=SecureLabel,AP230,0)</f>
        <v>0</v>
      </c>
      <c r="BG230">
        <f>IF(AK230=SureThingLabel,AP230,0)</f>
        <v>0</v>
      </c>
      <c r="BH230">
        <f>MAX(BC230:BG230)</f>
        <v>0</v>
      </c>
      <c r="BI230">
        <f>MAX(BD230:BG230)</f>
        <v>0</v>
      </c>
      <c r="BJ230">
        <f>MAX(BE230:BG230)</f>
        <v>0</v>
      </c>
      <c r="BK230">
        <f>IF(AND(AK230=ReachLabel,AY230=1),AP230,0)</f>
        <v>0</v>
      </c>
      <c r="BL230">
        <f>IF(AND(AK230=MatchLabel,AY230=1),AP230,0)</f>
        <v>0</v>
      </c>
      <c r="BM230">
        <f>IF(AND(AK230=SafetyLabel,AY230=1),AP230,0)</f>
        <v>0</v>
      </c>
      <c r="BN230">
        <f>IF(AND(AK230=SecureLabel,AY230=1),AP230,0)</f>
        <v>0</v>
      </c>
      <c r="BO230">
        <f>IF(AND(AK230=SureThingLabel,AY230=1),AP230,0)</f>
        <v>0</v>
      </c>
      <c r="BP230">
        <f>MAX(BK230:BO230)</f>
        <v>0</v>
      </c>
      <c r="BQ230">
        <f>MAX(BL230:BO230)</f>
        <v>0</v>
      </c>
      <c r="BR230">
        <f>MAX(BM230:BO230)</f>
        <v>0</v>
      </c>
      <c r="BS230">
        <f>IF(ISNUMBER(Y230),INDEX(AllCollegeChicago, MATCH(N230,AllCollegeNCES,0))*AY230,0)</f>
        <v>0</v>
      </c>
      <c r="BT230">
        <f>IF(ISNUMBER(Y230),INDEX(AllCollegeMoneyCode, MATCH(N230,AllCollegeNCES,0)),"?")</f>
        <v>0</v>
      </c>
      <c r="BU230">
        <f>IF(OR(BT230="---",BT230="--",BT230="+/--",BT230="+/---"),1,0)</f>
        <v>0</v>
      </c>
      <c r="BV230">
        <f>AY230*AO230*AQ230</f>
        <v>0</v>
      </c>
    </row>
    <row r="231" spans="1:74">
      <c r="A231" t="s">
        <v>86</v>
      </c>
      <c r="B231">
        <v>22981462</v>
      </c>
      <c r="C231" t="s">
        <v>314</v>
      </c>
      <c r="D231" t="s">
        <v>315</v>
      </c>
      <c r="E231" t="s">
        <v>428</v>
      </c>
      <c r="F231" t="s">
        <v>466</v>
      </c>
      <c r="G231" t="s">
        <v>430</v>
      </c>
      <c r="H231" t="s">
        <v>431</v>
      </c>
      <c r="I231" t="s">
        <v>432</v>
      </c>
      <c r="J231" t="s">
        <v>432</v>
      </c>
      <c r="K231">
        <v>0</v>
      </c>
      <c r="L231" t="s">
        <v>428</v>
      </c>
      <c r="M231" t="s">
        <v>428</v>
      </c>
      <c r="N231">
        <v>213385</v>
      </c>
      <c r="O231">
        <f>INDEX(AllCollegeBarrons,MATCH(N231,AllCollegeNCES,0))</f>
        <v>0</v>
      </c>
      <c r="P231">
        <f>INDEX(KidGPAs,MATCH(B231,KidIDs,0))</f>
        <v>0</v>
      </c>
      <c r="Q231">
        <f>INDEX(KidACTs,MATCH(B231,KidIDs,0))</f>
        <v>0</v>
      </c>
      <c r="R231">
        <f>INDEX(Strats,MATCH(B231,KidIDs,0))</f>
        <v>0</v>
      </c>
      <c r="S231">
        <f>INDEX(KidRace,MATCH(B231,KidIDs,0))</f>
        <v>0</v>
      </c>
      <c r="T231">
        <f>IF(OR(S231="M",S231="I"),"H",S231)</f>
        <v>0</v>
      </c>
      <c r="U231">
        <f>INDEX(StudentTargets,MATCH(B231,KidIDs,0))</f>
        <v>0</v>
      </c>
      <c r="V231">
        <f>INDEX(ReachStudentTargets,MATCH(B231,KidIDs,0))</f>
        <v>0</v>
      </c>
      <c r="W231">
        <f>IF(OR(M231="Posse"),1,0)</f>
        <v>0</v>
      </c>
      <c r="X231">
        <f>IF(ISNUMBER(INDEX(AllCollegeGR, MATCH(N231,AllCollegeNCES,0))),ROUND(INDEX(AllCollegeGR, MATCH(N231,AllCollegeNCES,0))+W231*IF(INDEX(AllCollegeGR, MATCH(N231,AllCollegeNCES,0))&gt;0.7,(1-INDEX(AllCollegeGR, MATCH(N231,AllCollegeNCES,0)))/2,0.15),2),INDEX(AllCollegeGR, MATCH(N231,AllCollegeNCES,0)))</f>
        <v>0</v>
      </c>
      <c r="Y231">
        <f>IF(ISNUMBER(INDEX(AllCollegeAAHGR, MATCH(N231,AllCollegeNCES,0))),ROUND(INDEX(AllCollegeAAHGR, MATCH(N231,AllCollegeNCES,0))+W231*IF(INDEX(AllCollegeAAHGR, MATCH(N231,AllCollegeNCES,0))&gt;0.7,(1-INDEX(AllCollegeAAHGR, MATCH(N231,AllCollegeNCES,0)))/2,0.15),2),INDEX(AllCollegeAAHGR, MATCH(N231,AllCollegeNCES,0)))</f>
        <v>0</v>
      </c>
      <c r="Z231">
        <f>IF(OR(T231="H",T231="B"),INDEX(AllCollegeACT25, MATCH(N231,AllCollegeNCES,0)),INDEX(AllCollegeACT50, MATCH(N231,AllCollegeNCES,0)))</f>
        <v>0</v>
      </c>
      <c r="AA231">
        <f>INDEX(CustomWeightsGPA,MATCH(T231&amp;":"&amp;N231,CustomWeightsIndex,0))</f>
        <v>0</v>
      </c>
      <c r="AB231">
        <f>INDEX(CustomWeightsACT,MATCH(T231&amp;":"&amp;N231,CustomWeightsIndex,0))</f>
        <v>0</v>
      </c>
      <c r="AC231">
        <f>INDEX(CustomWeightsIntercept,MATCH(T231&amp;":"&amp;N231,CustomWeightsIndex,0))</f>
        <v>0</v>
      </c>
      <c r="AD231">
        <f>AA231*P231+AB231*Q231+AC231</f>
        <v>0</v>
      </c>
      <c r="AE231">
        <f>INDEX(CoefficientsGPA,MATCH(T231&amp;":"&amp;O231,CoefficientsIndex,0))</f>
        <v>0</v>
      </c>
      <c r="AF231">
        <f>INDEX(CoefficientsACT,MATCH(T231&amp;":"&amp;O231,CoefficientsIndex,0))</f>
        <v>0</v>
      </c>
      <c r="AG231">
        <f>INDEX(CoefficientsIntercept,MATCH(T231&amp;":"&amp;O231,CoefficientsIndex,0))</f>
        <v>0</v>
      </c>
      <c r="AH231">
        <f>AE231*P231+(Q231-Z231)*AF231+AG231</f>
        <v>0</v>
      </c>
      <c r="AI231">
        <f>IF(ISNUMBER(AD231),AD231,AH231)</f>
        <v>0</v>
      </c>
      <c r="AJ231">
        <f>IF(ISNUMBER(AI231),IF(ISNUMBER(AE231),IF(AND(AE231=1,AF231=1,AG231=1),100,ROUND(100*EXP(AI231)/(1+EXP(AI231)),2)),ROUND(100*EXP(AI231)/(1+EXP(AI231)),2)),IF(ISTEXT(O231),IF(LEFT(O231,1)="2",100,"N/A"),"N/A"))</f>
        <v>0</v>
      </c>
      <c r="AK231">
        <f>IF(ISNUMBER(AJ231),IF(AJ231&gt;=99,IF(OR(R231=10,R231=11),MatchLabel,SureThingLabel),IF(AJ231&gt;=95,SecureLabel,IF(AJ231&gt;=80,SafetyLabel,IF(AJ231&gt;=50,MatchLabel,IF(AJ231&gt;=20,ReachLabel,IF(AJ231&gt;=10,LongshotLabel,HailMaryLabel)))))),"Other")</f>
        <v>0</v>
      </c>
      <c r="AL231">
        <f>IF(OR(I231="accepted",I231="cond. accept",I231="summer admit"),IF(J231="yes","CHOICE!","Accepted!"),IF(I231="denied","Denied",IF(K231=1,"Waitlist",IF(L231=1,"Deferred",IF(G231="pending","Pending",IF(OR(G231="initial materials submitted",G231="mid-year submitted",G231="final submitted"),"Submitted",IF(H231="interest","Interest","?")))))))</f>
        <v>0</v>
      </c>
      <c r="AM231">
        <f>IF(OR(AK231=ReachLabel,AK231=LongshotLabel,AK231=HailMaryLabel),1,0)</f>
        <v>0</v>
      </c>
      <c r="AN231">
        <f>IF(OR(AM231=1,AK231=MatchLabel),1,0)</f>
        <v>0</v>
      </c>
      <c r="AO231">
        <f>IF(OR(AK231=MatchLabel,AK231=SafetyLabel,AK231=SecureLabel,AK231=SureThingLabel),1,0)</f>
        <v>0</v>
      </c>
      <c r="AP231">
        <f>IF(OR(T231="H",T231="B"),IF(ISNUMBER(Y231),ROUND(Y231,2),0),IF(ISNUMBER(X231),ROUND(X231,2),0))</f>
        <v>0</v>
      </c>
      <c r="AQ231">
        <f>IF(AP231&gt;=U231,1,0)</f>
        <v>0</v>
      </c>
      <c r="AR231">
        <f>IF(AP231&gt;=V231,1,0)</f>
        <v>0</v>
      </c>
      <c r="AS231">
        <f>IF(AP231&lt;(U231-0.10),1,0)</f>
        <v>0</v>
      </c>
      <c r="AT231">
        <f>1-AJ231/100</f>
        <v>0</v>
      </c>
      <c r="AU231">
        <f>IF(AN231=1,AT231,1)</f>
        <v>0</v>
      </c>
      <c r="AV231">
        <f>IF(AM231=1,AT231,1)</f>
        <v>0</v>
      </c>
      <c r="AW231">
        <f>IF(AND(AQ231=1,ISNUMBER(AT231)),$AT231,1)</f>
        <v>0</v>
      </c>
      <c r="AX231">
        <f>IF(AND(AR231=1,ISNUMBER(AT231)),$AT231,1)</f>
        <v>0</v>
      </c>
      <c r="AY231">
        <f>IF(ISNUMBER(Y231),INDEX(AllCollegeMoney, MATCH(N231,AllCollegeNCES,0)),0)</f>
        <v>0</v>
      </c>
      <c r="AZ231">
        <f>IF(AND(AQ231=1,ISNUMBER(AT231),AY231=1),$AT231,1)</f>
        <v>0</v>
      </c>
      <c r="BA231">
        <f>IF(AND(AR231=1,ISNUMBER(AT231),AY231=1),$AT231,1)</f>
        <v>0</v>
      </c>
      <c r="BB231">
        <f>IF(ISNUMBER(Y231),INDEX(AllCollegeILPub, MATCH(N231,AllCollegeNCES,0)),0)</f>
        <v>0</v>
      </c>
      <c r="BC231">
        <f>IF(AK231=ReachLabel,AP231,0)</f>
        <v>0</v>
      </c>
      <c r="BD231">
        <f>IF(AK231=MatchLabel,AP231,0)</f>
        <v>0</v>
      </c>
      <c r="BE231">
        <f>IF(AK231=SafetyLabel,AP231,0)</f>
        <v>0</v>
      </c>
      <c r="BF231">
        <f>IF(AK231=SecureLabel,AP231,0)</f>
        <v>0</v>
      </c>
      <c r="BG231">
        <f>IF(AK231=SureThingLabel,AP231,0)</f>
        <v>0</v>
      </c>
      <c r="BH231">
        <f>MAX(BC231:BG231)</f>
        <v>0</v>
      </c>
      <c r="BI231">
        <f>MAX(BD231:BG231)</f>
        <v>0</v>
      </c>
      <c r="BJ231">
        <f>MAX(BE231:BG231)</f>
        <v>0</v>
      </c>
      <c r="BK231">
        <f>IF(AND(AK231=ReachLabel,AY231=1),AP231,0)</f>
        <v>0</v>
      </c>
      <c r="BL231">
        <f>IF(AND(AK231=MatchLabel,AY231=1),AP231,0)</f>
        <v>0</v>
      </c>
      <c r="BM231">
        <f>IF(AND(AK231=SafetyLabel,AY231=1),AP231,0)</f>
        <v>0</v>
      </c>
      <c r="BN231">
        <f>IF(AND(AK231=SecureLabel,AY231=1),AP231,0)</f>
        <v>0</v>
      </c>
      <c r="BO231">
        <f>IF(AND(AK231=SureThingLabel,AY231=1),AP231,0)</f>
        <v>0</v>
      </c>
      <c r="BP231">
        <f>MAX(BK231:BO231)</f>
        <v>0</v>
      </c>
      <c r="BQ231">
        <f>MAX(BL231:BO231)</f>
        <v>0</v>
      </c>
      <c r="BR231">
        <f>MAX(BM231:BO231)</f>
        <v>0</v>
      </c>
      <c r="BS231">
        <f>IF(ISNUMBER(Y231),INDEX(AllCollegeChicago, MATCH(N231,AllCollegeNCES,0))*AY231,0)</f>
        <v>0</v>
      </c>
      <c r="BT231">
        <f>IF(ISNUMBER(Y231),INDEX(AllCollegeMoneyCode, MATCH(N231,AllCollegeNCES,0)),"?")</f>
        <v>0</v>
      </c>
      <c r="BU231">
        <f>IF(OR(BT231="---",BT231="--",BT231="+/--",BT231="+/---"),1,0)</f>
        <v>0</v>
      </c>
      <c r="BV231">
        <f>AY231*AO231*AQ231</f>
        <v>0</v>
      </c>
    </row>
    <row r="232" spans="1:74">
      <c r="A232" t="s">
        <v>86</v>
      </c>
      <c r="B232">
        <v>22981462</v>
      </c>
      <c r="C232" t="s">
        <v>314</v>
      </c>
      <c r="D232" t="s">
        <v>315</v>
      </c>
      <c r="E232" t="s">
        <v>428</v>
      </c>
      <c r="F232" t="s">
        <v>467</v>
      </c>
      <c r="G232" t="s">
        <v>430</v>
      </c>
      <c r="H232" t="s">
        <v>431</v>
      </c>
      <c r="I232" t="s">
        <v>432</v>
      </c>
      <c r="J232" t="s">
        <v>432</v>
      </c>
      <c r="K232">
        <v>0</v>
      </c>
      <c r="L232" t="s">
        <v>428</v>
      </c>
      <c r="M232" t="s">
        <v>428</v>
      </c>
      <c r="N232">
        <v>170976</v>
      </c>
      <c r="O232">
        <f>INDEX(AllCollegeBarrons,MATCH(N232,AllCollegeNCES,0))</f>
        <v>0</v>
      </c>
      <c r="P232">
        <f>INDEX(KidGPAs,MATCH(B232,KidIDs,0))</f>
        <v>0</v>
      </c>
      <c r="Q232">
        <f>INDEX(KidACTs,MATCH(B232,KidIDs,0))</f>
        <v>0</v>
      </c>
      <c r="R232">
        <f>INDEX(Strats,MATCH(B232,KidIDs,0))</f>
        <v>0</v>
      </c>
      <c r="S232">
        <f>INDEX(KidRace,MATCH(B232,KidIDs,0))</f>
        <v>0</v>
      </c>
      <c r="T232">
        <f>IF(OR(S232="M",S232="I"),"H",S232)</f>
        <v>0</v>
      </c>
      <c r="U232">
        <f>INDEX(StudentTargets,MATCH(B232,KidIDs,0))</f>
        <v>0</v>
      </c>
      <c r="V232">
        <f>INDEX(ReachStudentTargets,MATCH(B232,KidIDs,0))</f>
        <v>0</v>
      </c>
      <c r="W232">
        <f>IF(OR(M232="Posse"),1,0)</f>
        <v>0</v>
      </c>
      <c r="X232">
        <f>IF(ISNUMBER(INDEX(AllCollegeGR, MATCH(N232,AllCollegeNCES,0))),ROUND(INDEX(AllCollegeGR, MATCH(N232,AllCollegeNCES,0))+W232*IF(INDEX(AllCollegeGR, MATCH(N232,AllCollegeNCES,0))&gt;0.7,(1-INDEX(AllCollegeGR, MATCH(N232,AllCollegeNCES,0)))/2,0.15),2),INDEX(AllCollegeGR, MATCH(N232,AllCollegeNCES,0)))</f>
        <v>0</v>
      </c>
      <c r="Y232">
        <f>IF(ISNUMBER(INDEX(AllCollegeAAHGR, MATCH(N232,AllCollegeNCES,0))),ROUND(INDEX(AllCollegeAAHGR, MATCH(N232,AllCollegeNCES,0))+W232*IF(INDEX(AllCollegeAAHGR, MATCH(N232,AllCollegeNCES,0))&gt;0.7,(1-INDEX(AllCollegeAAHGR, MATCH(N232,AllCollegeNCES,0)))/2,0.15),2),INDEX(AllCollegeAAHGR, MATCH(N232,AllCollegeNCES,0)))</f>
        <v>0</v>
      </c>
      <c r="Z232">
        <f>IF(OR(T232="H",T232="B"),INDEX(AllCollegeACT25, MATCH(N232,AllCollegeNCES,0)),INDEX(AllCollegeACT50, MATCH(N232,AllCollegeNCES,0)))</f>
        <v>0</v>
      </c>
      <c r="AA232">
        <f>INDEX(CustomWeightsGPA,MATCH(T232&amp;":"&amp;N232,CustomWeightsIndex,0))</f>
        <v>0</v>
      </c>
      <c r="AB232">
        <f>INDEX(CustomWeightsACT,MATCH(T232&amp;":"&amp;N232,CustomWeightsIndex,0))</f>
        <v>0</v>
      </c>
      <c r="AC232">
        <f>INDEX(CustomWeightsIntercept,MATCH(T232&amp;":"&amp;N232,CustomWeightsIndex,0))</f>
        <v>0</v>
      </c>
      <c r="AD232">
        <f>AA232*P232+AB232*Q232+AC232</f>
        <v>0</v>
      </c>
      <c r="AE232">
        <f>INDEX(CoefficientsGPA,MATCH(T232&amp;":"&amp;O232,CoefficientsIndex,0))</f>
        <v>0</v>
      </c>
      <c r="AF232">
        <f>INDEX(CoefficientsACT,MATCH(T232&amp;":"&amp;O232,CoefficientsIndex,0))</f>
        <v>0</v>
      </c>
      <c r="AG232">
        <f>INDEX(CoefficientsIntercept,MATCH(T232&amp;":"&amp;O232,CoefficientsIndex,0))</f>
        <v>0</v>
      </c>
      <c r="AH232">
        <f>AE232*P232+(Q232-Z232)*AF232+AG232</f>
        <v>0</v>
      </c>
      <c r="AI232">
        <f>IF(ISNUMBER(AD232),AD232,AH232)</f>
        <v>0</v>
      </c>
      <c r="AJ232">
        <f>IF(ISNUMBER(AI232),IF(ISNUMBER(AE232),IF(AND(AE232=1,AF232=1,AG232=1),100,ROUND(100*EXP(AI232)/(1+EXP(AI232)),2)),ROUND(100*EXP(AI232)/(1+EXP(AI232)),2)),IF(ISTEXT(O232),IF(LEFT(O232,1)="2",100,"N/A"),"N/A"))</f>
        <v>0</v>
      </c>
      <c r="AK232">
        <f>IF(ISNUMBER(AJ232),IF(AJ232&gt;=99,IF(OR(R232=10,R232=11),MatchLabel,SureThingLabel),IF(AJ232&gt;=95,SecureLabel,IF(AJ232&gt;=80,SafetyLabel,IF(AJ232&gt;=50,MatchLabel,IF(AJ232&gt;=20,ReachLabel,IF(AJ232&gt;=10,LongshotLabel,HailMaryLabel)))))),"Other")</f>
        <v>0</v>
      </c>
      <c r="AL232">
        <f>IF(OR(I232="accepted",I232="cond. accept",I232="summer admit"),IF(J232="yes","CHOICE!","Accepted!"),IF(I232="denied","Denied",IF(K232=1,"Waitlist",IF(L232=1,"Deferred",IF(G232="pending","Pending",IF(OR(G232="initial materials submitted",G232="mid-year submitted",G232="final submitted"),"Submitted",IF(H232="interest","Interest","?")))))))</f>
        <v>0</v>
      </c>
      <c r="AM232">
        <f>IF(OR(AK232=ReachLabel,AK232=LongshotLabel,AK232=HailMaryLabel),1,0)</f>
        <v>0</v>
      </c>
      <c r="AN232">
        <f>IF(OR(AM232=1,AK232=MatchLabel),1,0)</f>
        <v>0</v>
      </c>
      <c r="AO232">
        <f>IF(OR(AK232=MatchLabel,AK232=SafetyLabel,AK232=SecureLabel,AK232=SureThingLabel),1,0)</f>
        <v>0</v>
      </c>
      <c r="AP232">
        <f>IF(OR(T232="H",T232="B"),IF(ISNUMBER(Y232),ROUND(Y232,2),0),IF(ISNUMBER(X232),ROUND(X232,2),0))</f>
        <v>0</v>
      </c>
      <c r="AQ232">
        <f>IF(AP232&gt;=U232,1,0)</f>
        <v>0</v>
      </c>
      <c r="AR232">
        <f>IF(AP232&gt;=V232,1,0)</f>
        <v>0</v>
      </c>
      <c r="AS232">
        <f>IF(AP232&lt;(U232-0.10),1,0)</f>
        <v>0</v>
      </c>
      <c r="AT232">
        <f>1-AJ232/100</f>
        <v>0</v>
      </c>
      <c r="AU232">
        <f>IF(AN232=1,AT232,1)</f>
        <v>0</v>
      </c>
      <c r="AV232">
        <f>IF(AM232=1,AT232,1)</f>
        <v>0</v>
      </c>
      <c r="AW232">
        <f>IF(AND(AQ232=1,ISNUMBER(AT232)),$AT232,1)</f>
        <v>0</v>
      </c>
      <c r="AX232">
        <f>IF(AND(AR232=1,ISNUMBER(AT232)),$AT232,1)</f>
        <v>0</v>
      </c>
      <c r="AY232">
        <f>IF(ISNUMBER(Y232),INDEX(AllCollegeMoney, MATCH(N232,AllCollegeNCES,0)),0)</f>
        <v>0</v>
      </c>
      <c r="AZ232">
        <f>IF(AND(AQ232=1,ISNUMBER(AT232),AY232=1),$AT232,1)</f>
        <v>0</v>
      </c>
      <c r="BA232">
        <f>IF(AND(AR232=1,ISNUMBER(AT232),AY232=1),$AT232,1)</f>
        <v>0</v>
      </c>
      <c r="BB232">
        <f>IF(ISNUMBER(Y232),INDEX(AllCollegeILPub, MATCH(N232,AllCollegeNCES,0)),0)</f>
        <v>0</v>
      </c>
      <c r="BC232">
        <f>IF(AK232=ReachLabel,AP232,0)</f>
        <v>0</v>
      </c>
      <c r="BD232">
        <f>IF(AK232=MatchLabel,AP232,0)</f>
        <v>0</v>
      </c>
      <c r="BE232">
        <f>IF(AK232=SafetyLabel,AP232,0)</f>
        <v>0</v>
      </c>
      <c r="BF232">
        <f>IF(AK232=SecureLabel,AP232,0)</f>
        <v>0</v>
      </c>
      <c r="BG232">
        <f>IF(AK232=SureThingLabel,AP232,0)</f>
        <v>0</v>
      </c>
      <c r="BH232">
        <f>MAX(BC232:BG232)</f>
        <v>0</v>
      </c>
      <c r="BI232">
        <f>MAX(BD232:BG232)</f>
        <v>0</v>
      </c>
      <c r="BJ232">
        <f>MAX(BE232:BG232)</f>
        <v>0</v>
      </c>
      <c r="BK232">
        <f>IF(AND(AK232=ReachLabel,AY232=1),AP232,0)</f>
        <v>0</v>
      </c>
      <c r="BL232">
        <f>IF(AND(AK232=MatchLabel,AY232=1),AP232,0)</f>
        <v>0</v>
      </c>
      <c r="BM232">
        <f>IF(AND(AK232=SafetyLabel,AY232=1),AP232,0)</f>
        <v>0</v>
      </c>
      <c r="BN232">
        <f>IF(AND(AK232=SecureLabel,AY232=1),AP232,0)</f>
        <v>0</v>
      </c>
      <c r="BO232">
        <f>IF(AND(AK232=SureThingLabel,AY232=1),AP232,0)</f>
        <v>0</v>
      </c>
      <c r="BP232">
        <f>MAX(BK232:BO232)</f>
        <v>0</v>
      </c>
      <c r="BQ232">
        <f>MAX(BL232:BO232)</f>
        <v>0</v>
      </c>
      <c r="BR232">
        <f>MAX(BM232:BO232)</f>
        <v>0</v>
      </c>
      <c r="BS232">
        <f>IF(ISNUMBER(Y232),INDEX(AllCollegeChicago, MATCH(N232,AllCollegeNCES,0))*AY232,0)</f>
        <v>0</v>
      </c>
      <c r="BT232">
        <f>IF(ISNUMBER(Y232),INDEX(AllCollegeMoneyCode, MATCH(N232,AllCollegeNCES,0)),"?")</f>
        <v>0</v>
      </c>
      <c r="BU232">
        <f>IF(OR(BT232="---",BT232="--",BT232="+/--",BT232="+/---"),1,0)</f>
        <v>0</v>
      </c>
      <c r="BV232">
        <f>AY232*AO232*AQ232</f>
        <v>0</v>
      </c>
    </row>
    <row r="233" spans="1:74">
      <c r="A233" t="s">
        <v>86</v>
      </c>
      <c r="B233">
        <v>22981462</v>
      </c>
      <c r="C233" t="s">
        <v>314</v>
      </c>
      <c r="D233" t="s">
        <v>315</v>
      </c>
      <c r="E233" t="s">
        <v>428</v>
      </c>
      <c r="F233" t="s">
        <v>453</v>
      </c>
      <c r="G233" t="s">
        <v>430</v>
      </c>
      <c r="H233" t="s">
        <v>431</v>
      </c>
      <c r="I233" t="s">
        <v>432</v>
      </c>
      <c r="J233" t="s">
        <v>432</v>
      </c>
      <c r="K233">
        <v>0</v>
      </c>
      <c r="L233" t="s">
        <v>428</v>
      </c>
      <c r="M233" t="s">
        <v>428</v>
      </c>
      <c r="N233">
        <v>212674</v>
      </c>
      <c r="O233">
        <f>INDEX(AllCollegeBarrons,MATCH(N233,AllCollegeNCES,0))</f>
        <v>0</v>
      </c>
      <c r="P233">
        <f>INDEX(KidGPAs,MATCH(B233,KidIDs,0))</f>
        <v>0</v>
      </c>
      <c r="Q233">
        <f>INDEX(KidACTs,MATCH(B233,KidIDs,0))</f>
        <v>0</v>
      </c>
      <c r="R233">
        <f>INDEX(Strats,MATCH(B233,KidIDs,0))</f>
        <v>0</v>
      </c>
      <c r="S233">
        <f>INDEX(KidRace,MATCH(B233,KidIDs,0))</f>
        <v>0</v>
      </c>
      <c r="T233">
        <f>IF(OR(S233="M",S233="I"),"H",S233)</f>
        <v>0</v>
      </c>
      <c r="U233">
        <f>INDEX(StudentTargets,MATCH(B233,KidIDs,0))</f>
        <v>0</v>
      </c>
      <c r="V233">
        <f>INDEX(ReachStudentTargets,MATCH(B233,KidIDs,0))</f>
        <v>0</v>
      </c>
      <c r="W233">
        <f>IF(OR(M233="Posse"),1,0)</f>
        <v>0</v>
      </c>
      <c r="X233">
        <f>IF(ISNUMBER(INDEX(AllCollegeGR, MATCH(N233,AllCollegeNCES,0))),ROUND(INDEX(AllCollegeGR, MATCH(N233,AllCollegeNCES,0))+W233*IF(INDEX(AllCollegeGR, MATCH(N233,AllCollegeNCES,0))&gt;0.7,(1-INDEX(AllCollegeGR, MATCH(N233,AllCollegeNCES,0)))/2,0.15),2),INDEX(AllCollegeGR, MATCH(N233,AllCollegeNCES,0)))</f>
        <v>0</v>
      </c>
      <c r="Y233">
        <f>IF(ISNUMBER(INDEX(AllCollegeAAHGR, MATCH(N233,AllCollegeNCES,0))),ROUND(INDEX(AllCollegeAAHGR, MATCH(N233,AllCollegeNCES,0))+W233*IF(INDEX(AllCollegeAAHGR, MATCH(N233,AllCollegeNCES,0))&gt;0.7,(1-INDEX(AllCollegeAAHGR, MATCH(N233,AllCollegeNCES,0)))/2,0.15),2),INDEX(AllCollegeAAHGR, MATCH(N233,AllCollegeNCES,0)))</f>
        <v>0</v>
      </c>
      <c r="Z233">
        <f>IF(OR(T233="H",T233="B"),INDEX(AllCollegeACT25, MATCH(N233,AllCollegeNCES,0)),INDEX(AllCollegeACT50, MATCH(N233,AllCollegeNCES,0)))</f>
        <v>0</v>
      </c>
      <c r="AA233">
        <f>INDEX(CustomWeightsGPA,MATCH(T233&amp;":"&amp;N233,CustomWeightsIndex,0))</f>
        <v>0</v>
      </c>
      <c r="AB233">
        <f>INDEX(CustomWeightsACT,MATCH(T233&amp;":"&amp;N233,CustomWeightsIndex,0))</f>
        <v>0</v>
      </c>
      <c r="AC233">
        <f>INDEX(CustomWeightsIntercept,MATCH(T233&amp;":"&amp;N233,CustomWeightsIndex,0))</f>
        <v>0</v>
      </c>
      <c r="AD233">
        <f>AA233*P233+AB233*Q233+AC233</f>
        <v>0</v>
      </c>
      <c r="AE233">
        <f>INDEX(CoefficientsGPA,MATCH(T233&amp;":"&amp;O233,CoefficientsIndex,0))</f>
        <v>0</v>
      </c>
      <c r="AF233">
        <f>INDEX(CoefficientsACT,MATCH(T233&amp;":"&amp;O233,CoefficientsIndex,0))</f>
        <v>0</v>
      </c>
      <c r="AG233">
        <f>INDEX(CoefficientsIntercept,MATCH(T233&amp;":"&amp;O233,CoefficientsIndex,0))</f>
        <v>0</v>
      </c>
      <c r="AH233">
        <f>AE233*P233+(Q233-Z233)*AF233+AG233</f>
        <v>0</v>
      </c>
      <c r="AI233">
        <f>IF(ISNUMBER(AD233),AD233,AH233)</f>
        <v>0</v>
      </c>
      <c r="AJ233">
        <f>IF(ISNUMBER(AI233),IF(ISNUMBER(AE233),IF(AND(AE233=1,AF233=1,AG233=1),100,ROUND(100*EXP(AI233)/(1+EXP(AI233)),2)),ROUND(100*EXP(AI233)/(1+EXP(AI233)),2)),IF(ISTEXT(O233),IF(LEFT(O233,1)="2",100,"N/A"),"N/A"))</f>
        <v>0</v>
      </c>
      <c r="AK233">
        <f>IF(ISNUMBER(AJ233),IF(AJ233&gt;=99,IF(OR(R233=10,R233=11),MatchLabel,SureThingLabel),IF(AJ233&gt;=95,SecureLabel,IF(AJ233&gt;=80,SafetyLabel,IF(AJ233&gt;=50,MatchLabel,IF(AJ233&gt;=20,ReachLabel,IF(AJ233&gt;=10,LongshotLabel,HailMaryLabel)))))),"Other")</f>
        <v>0</v>
      </c>
      <c r="AL233">
        <f>IF(OR(I233="accepted",I233="cond. accept",I233="summer admit"),IF(J233="yes","CHOICE!","Accepted!"),IF(I233="denied","Denied",IF(K233=1,"Waitlist",IF(L233=1,"Deferred",IF(G233="pending","Pending",IF(OR(G233="initial materials submitted",G233="mid-year submitted",G233="final submitted"),"Submitted",IF(H233="interest","Interest","?")))))))</f>
        <v>0</v>
      </c>
      <c r="AM233">
        <f>IF(OR(AK233=ReachLabel,AK233=LongshotLabel,AK233=HailMaryLabel),1,0)</f>
        <v>0</v>
      </c>
      <c r="AN233">
        <f>IF(OR(AM233=1,AK233=MatchLabel),1,0)</f>
        <v>0</v>
      </c>
      <c r="AO233">
        <f>IF(OR(AK233=MatchLabel,AK233=SafetyLabel,AK233=SecureLabel,AK233=SureThingLabel),1,0)</f>
        <v>0</v>
      </c>
      <c r="AP233">
        <f>IF(OR(T233="H",T233="B"),IF(ISNUMBER(Y233),ROUND(Y233,2),0),IF(ISNUMBER(X233),ROUND(X233,2),0))</f>
        <v>0</v>
      </c>
      <c r="AQ233">
        <f>IF(AP233&gt;=U233,1,0)</f>
        <v>0</v>
      </c>
      <c r="AR233">
        <f>IF(AP233&gt;=V233,1,0)</f>
        <v>0</v>
      </c>
      <c r="AS233">
        <f>IF(AP233&lt;(U233-0.10),1,0)</f>
        <v>0</v>
      </c>
      <c r="AT233">
        <f>1-AJ233/100</f>
        <v>0</v>
      </c>
      <c r="AU233">
        <f>IF(AN233=1,AT233,1)</f>
        <v>0</v>
      </c>
      <c r="AV233">
        <f>IF(AM233=1,AT233,1)</f>
        <v>0</v>
      </c>
      <c r="AW233">
        <f>IF(AND(AQ233=1,ISNUMBER(AT233)),$AT233,1)</f>
        <v>0</v>
      </c>
      <c r="AX233">
        <f>IF(AND(AR233=1,ISNUMBER(AT233)),$AT233,1)</f>
        <v>0</v>
      </c>
      <c r="AY233">
        <f>IF(ISNUMBER(Y233),INDEX(AllCollegeMoney, MATCH(N233,AllCollegeNCES,0)),0)</f>
        <v>0</v>
      </c>
      <c r="AZ233">
        <f>IF(AND(AQ233=1,ISNUMBER(AT233),AY233=1),$AT233,1)</f>
        <v>0</v>
      </c>
      <c r="BA233">
        <f>IF(AND(AR233=1,ISNUMBER(AT233),AY233=1),$AT233,1)</f>
        <v>0</v>
      </c>
      <c r="BB233">
        <f>IF(ISNUMBER(Y233),INDEX(AllCollegeILPub, MATCH(N233,AllCollegeNCES,0)),0)</f>
        <v>0</v>
      </c>
      <c r="BC233">
        <f>IF(AK233=ReachLabel,AP233,0)</f>
        <v>0</v>
      </c>
      <c r="BD233">
        <f>IF(AK233=MatchLabel,AP233,0)</f>
        <v>0</v>
      </c>
      <c r="BE233">
        <f>IF(AK233=SafetyLabel,AP233,0)</f>
        <v>0</v>
      </c>
      <c r="BF233">
        <f>IF(AK233=SecureLabel,AP233,0)</f>
        <v>0</v>
      </c>
      <c r="BG233">
        <f>IF(AK233=SureThingLabel,AP233,0)</f>
        <v>0</v>
      </c>
      <c r="BH233">
        <f>MAX(BC233:BG233)</f>
        <v>0</v>
      </c>
      <c r="BI233">
        <f>MAX(BD233:BG233)</f>
        <v>0</v>
      </c>
      <c r="BJ233">
        <f>MAX(BE233:BG233)</f>
        <v>0</v>
      </c>
      <c r="BK233">
        <f>IF(AND(AK233=ReachLabel,AY233=1),AP233,0)</f>
        <v>0</v>
      </c>
      <c r="BL233">
        <f>IF(AND(AK233=MatchLabel,AY233=1),AP233,0)</f>
        <v>0</v>
      </c>
      <c r="BM233">
        <f>IF(AND(AK233=SafetyLabel,AY233=1),AP233,0)</f>
        <v>0</v>
      </c>
      <c r="BN233">
        <f>IF(AND(AK233=SecureLabel,AY233=1),AP233,0)</f>
        <v>0</v>
      </c>
      <c r="BO233">
        <f>IF(AND(AK233=SureThingLabel,AY233=1),AP233,0)</f>
        <v>0</v>
      </c>
      <c r="BP233">
        <f>MAX(BK233:BO233)</f>
        <v>0</v>
      </c>
      <c r="BQ233">
        <f>MAX(BL233:BO233)</f>
        <v>0</v>
      </c>
      <c r="BR233">
        <f>MAX(BM233:BO233)</f>
        <v>0</v>
      </c>
      <c r="BS233">
        <f>IF(ISNUMBER(Y233),INDEX(AllCollegeChicago, MATCH(N233,AllCollegeNCES,0))*AY233,0)</f>
        <v>0</v>
      </c>
      <c r="BT233">
        <f>IF(ISNUMBER(Y233),INDEX(AllCollegeMoneyCode, MATCH(N233,AllCollegeNCES,0)),"?")</f>
        <v>0</v>
      </c>
      <c r="BU233">
        <f>IF(OR(BT233="---",BT233="--",BT233="+/--",BT233="+/---"),1,0)</f>
        <v>0</v>
      </c>
      <c r="BV233">
        <f>AY233*AO233*AQ233</f>
        <v>0</v>
      </c>
    </row>
    <row r="234" spans="1:74">
      <c r="A234" t="s">
        <v>86</v>
      </c>
      <c r="B234">
        <v>22981462</v>
      </c>
      <c r="C234" t="s">
        <v>314</v>
      </c>
      <c r="D234" t="s">
        <v>315</v>
      </c>
      <c r="E234" t="s">
        <v>428</v>
      </c>
      <c r="F234" t="s">
        <v>457</v>
      </c>
      <c r="G234" t="s">
        <v>517</v>
      </c>
      <c r="H234" t="s">
        <v>431</v>
      </c>
      <c r="I234" t="s">
        <v>432</v>
      </c>
      <c r="J234" t="s">
        <v>432</v>
      </c>
      <c r="K234">
        <v>0</v>
      </c>
      <c r="L234" t="s">
        <v>428</v>
      </c>
      <c r="M234" t="s">
        <v>428</v>
      </c>
      <c r="N234">
        <v>145637</v>
      </c>
      <c r="O234">
        <f>INDEX(AllCollegeBarrons,MATCH(N234,AllCollegeNCES,0))</f>
        <v>0</v>
      </c>
      <c r="P234">
        <f>INDEX(KidGPAs,MATCH(B234,KidIDs,0))</f>
        <v>0</v>
      </c>
      <c r="Q234">
        <f>INDEX(KidACTs,MATCH(B234,KidIDs,0))</f>
        <v>0</v>
      </c>
      <c r="R234">
        <f>INDEX(Strats,MATCH(B234,KidIDs,0))</f>
        <v>0</v>
      </c>
      <c r="S234">
        <f>INDEX(KidRace,MATCH(B234,KidIDs,0))</f>
        <v>0</v>
      </c>
      <c r="T234">
        <f>IF(OR(S234="M",S234="I"),"H",S234)</f>
        <v>0</v>
      </c>
      <c r="U234">
        <f>INDEX(StudentTargets,MATCH(B234,KidIDs,0))</f>
        <v>0</v>
      </c>
      <c r="V234">
        <f>INDEX(ReachStudentTargets,MATCH(B234,KidIDs,0))</f>
        <v>0</v>
      </c>
      <c r="W234">
        <f>IF(OR(M234="Posse"),1,0)</f>
        <v>0</v>
      </c>
      <c r="X234">
        <f>IF(ISNUMBER(INDEX(AllCollegeGR, MATCH(N234,AllCollegeNCES,0))),ROUND(INDEX(AllCollegeGR, MATCH(N234,AllCollegeNCES,0))+W234*IF(INDEX(AllCollegeGR, MATCH(N234,AllCollegeNCES,0))&gt;0.7,(1-INDEX(AllCollegeGR, MATCH(N234,AllCollegeNCES,0)))/2,0.15),2),INDEX(AllCollegeGR, MATCH(N234,AllCollegeNCES,0)))</f>
        <v>0</v>
      </c>
      <c r="Y234">
        <f>IF(ISNUMBER(INDEX(AllCollegeAAHGR, MATCH(N234,AllCollegeNCES,0))),ROUND(INDEX(AllCollegeAAHGR, MATCH(N234,AllCollegeNCES,0))+W234*IF(INDEX(AllCollegeAAHGR, MATCH(N234,AllCollegeNCES,0))&gt;0.7,(1-INDEX(AllCollegeAAHGR, MATCH(N234,AllCollegeNCES,0)))/2,0.15),2),INDEX(AllCollegeAAHGR, MATCH(N234,AllCollegeNCES,0)))</f>
        <v>0</v>
      </c>
      <c r="Z234">
        <f>IF(OR(T234="H",T234="B"),INDEX(AllCollegeACT25, MATCH(N234,AllCollegeNCES,0)),INDEX(AllCollegeACT50, MATCH(N234,AllCollegeNCES,0)))</f>
        <v>0</v>
      </c>
      <c r="AA234">
        <f>INDEX(CustomWeightsGPA,MATCH(T234&amp;":"&amp;N234,CustomWeightsIndex,0))</f>
        <v>0</v>
      </c>
      <c r="AB234">
        <f>INDEX(CustomWeightsACT,MATCH(T234&amp;":"&amp;N234,CustomWeightsIndex,0))</f>
        <v>0</v>
      </c>
      <c r="AC234">
        <f>INDEX(CustomWeightsIntercept,MATCH(T234&amp;":"&amp;N234,CustomWeightsIndex,0))</f>
        <v>0</v>
      </c>
      <c r="AD234">
        <f>AA234*P234+AB234*Q234+AC234</f>
        <v>0</v>
      </c>
      <c r="AE234">
        <f>INDEX(CoefficientsGPA,MATCH(T234&amp;":"&amp;O234,CoefficientsIndex,0))</f>
        <v>0</v>
      </c>
      <c r="AF234">
        <f>INDEX(CoefficientsACT,MATCH(T234&amp;":"&amp;O234,CoefficientsIndex,0))</f>
        <v>0</v>
      </c>
      <c r="AG234">
        <f>INDEX(CoefficientsIntercept,MATCH(T234&amp;":"&amp;O234,CoefficientsIndex,0))</f>
        <v>0</v>
      </c>
      <c r="AH234">
        <f>AE234*P234+(Q234-Z234)*AF234+AG234</f>
        <v>0</v>
      </c>
      <c r="AI234">
        <f>IF(ISNUMBER(AD234),AD234,AH234)</f>
        <v>0</v>
      </c>
      <c r="AJ234">
        <f>IF(ISNUMBER(AI234),IF(ISNUMBER(AE234),IF(AND(AE234=1,AF234=1,AG234=1),100,ROUND(100*EXP(AI234)/(1+EXP(AI234)),2)),ROUND(100*EXP(AI234)/(1+EXP(AI234)),2)),IF(ISTEXT(O234),IF(LEFT(O234,1)="2",100,"N/A"),"N/A"))</f>
        <v>0</v>
      </c>
      <c r="AK234">
        <f>IF(ISNUMBER(AJ234),IF(AJ234&gt;=99,IF(OR(R234=10,R234=11),MatchLabel,SureThingLabel),IF(AJ234&gt;=95,SecureLabel,IF(AJ234&gt;=80,SafetyLabel,IF(AJ234&gt;=50,MatchLabel,IF(AJ234&gt;=20,ReachLabel,IF(AJ234&gt;=10,LongshotLabel,HailMaryLabel)))))),"Other")</f>
        <v>0</v>
      </c>
      <c r="AL234">
        <f>IF(OR(I234="accepted",I234="cond. accept",I234="summer admit"),IF(J234="yes","CHOICE!","Accepted!"),IF(I234="denied","Denied",IF(K234=1,"Waitlist",IF(L234=1,"Deferred",IF(G234="pending","Pending",IF(OR(G234="initial materials submitted",G234="mid-year submitted",G234="final submitted"),"Submitted",IF(H234="interest","Interest","?")))))))</f>
        <v>0</v>
      </c>
      <c r="AM234">
        <f>IF(OR(AK234=ReachLabel,AK234=LongshotLabel,AK234=HailMaryLabel),1,0)</f>
        <v>0</v>
      </c>
      <c r="AN234">
        <f>IF(OR(AM234=1,AK234=MatchLabel),1,0)</f>
        <v>0</v>
      </c>
      <c r="AO234">
        <f>IF(OR(AK234=MatchLabel,AK234=SafetyLabel,AK234=SecureLabel,AK234=SureThingLabel),1,0)</f>
        <v>0</v>
      </c>
      <c r="AP234">
        <f>IF(OR(T234="H",T234="B"),IF(ISNUMBER(Y234),ROUND(Y234,2),0),IF(ISNUMBER(X234),ROUND(X234,2),0))</f>
        <v>0</v>
      </c>
      <c r="AQ234">
        <f>IF(AP234&gt;=U234,1,0)</f>
        <v>0</v>
      </c>
      <c r="AR234">
        <f>IF(AP234&gt;=V234,1,0)</f>
        <v>0</v>
      </c>
      <c r="AS234">
        <f>IF(AP234&lt;(U234-0.10),1,0)</f>
        <v>0</v>
      </c>
      <c r="AT234">
        <f>1-AJ234/100</f>
        <v>0</v>
      </c>
      <c r="AU234">
        <f>IF(AN234=1,AT234,1)</f>
        <v>0</v>
      </c>
      <c r="AV234">
        <f>IF(AM234=1,AT234,1)</f>
        <v>0</v>
      </c>
      <c r="AW234">
        <f>IF(AND(AQ234=1,ISNUMBER(AT234)),$AT234,1)</f>
        <v>0</v>
      </c>
      <c r="AX234">
        <f>IF(AND(AR234=1,ISNUMBER(AT234)),$AT234,1)</f>
        <v>0</v>
      </c>
      <c r="AY234">
        <f>IF(ISNUMBER(Y234),INDEX(AllCollegeMoney, MATCH(N234,AllCollegeNCES,0)),0)</f>
        <v>0</v>
      </c>
      <c r="AZ234">
        <f>IF(AND(AQ234=1,ISNUMBER(AT234),AY234=1),$AT234,1)</f>
        <v>0</v>
      </c>
      <c r="BA234">
        <f>IF(AND(AR234=1,ISNUMBER(AT234),AY234=1),$AT234,1)</f>
        <v>0</v>
      </c>
      <c r="BB234">
        <f>IF(ISNUMBER(Y234),INDEX(AllCollegeILPub, MATCH(N234,AllCollegeNCES,0)),0)</f>
        <v>0</v>
      </c>
      <c r="BC234">
        <f>IF(AK234=ReachLabel,AP234,0)</f>
        <v>0</v>
      </c>
      <c r="BD234">
        <f>IF(AK234=MatchLabel,AP234,0)</f>
        <v>0</v>
      </c>
      <c r="BE234">
        <f>IF(AK234=SafetyLabel,AP234,0)</f>
        <v>0</v>
      </c>
      <c r="BF234">
        <f>IF(AK234=SecureLabel,AP234,0)</f>
        <v>0</v>
      </c>
      <c r="BG234">
        <f>IF(AK234=SureThingLabel,AP234,0)</f>
        <v>0</v>
      </c>
      <c r="BH234">
        <f>MAX(BC234:BG234)</f>
        <v>0</v>
      </c>
      <c r="BI234">
        <f>MAX(BD234:BG234)</f>
        <v>0</v>
      </c>
      <c r="BJ234">
        <f>MAX(BE234:BG234)</f>
        <v>0</v>
      </c>
      <c r="BK234">
        <f>IF(AND(AK234=ReachLabel,AY234=1),AP234,0)</f>
        <v>0</v>
      </c>
      <c r="BL234">
        <f>IF(AND(AK234=MatchLabel,AY234=1),AP234,0)</f>
        <v>0</v>
      </c>
      <c r="BM234">
        <f>IF(AND(AK234=SafetyLabel,AY234=1),AP234,0)</f>
        <v>0</v>
      </c>
      <c r="BN234">
        <f>IF(AND(AK234=SecureLabel,AY234=1),AP234,0)</f>
        <v>0</v>
      </c>
      <c r="BO234">
        <f>IF(AND(AK234=SureThingLabel,AY234=1),AP234,0)</f>
        <v>0</v>
      </c>
      <c r="BP234">
        <f>MAX(BK234:BO234)</f>
        <v>0</v>
      </c>
      <c r="BQ234">
        <f>MAX(BL234:BO234)</f>
        <v>0</v>
      </c>
      <c r="BR234">
        <f>MAX(BM234:BO234)</f>
        <v>0</v>
      </c>
      <c r="BS234">
        <f>IF(ISNUMBER(Y234),INDEX(AllCollegeChicago, MATCH(N234,AllCollegeNCES,0))*AY234,0)</f>
        <v>0</v>
      </c>
      <c r="BT234">
        <f>IF(ISNUMBER(Y234),INDEX(AllCollegeMoneyCode, MATCH(N234,AllCollegeNCES,0)),"?")</f>
        <v>0</v>
      </c>
      <c r="BU234">
        <f>IF(OR(BT234="---",BT234="--",BT234="+/--",BT234="+/---"),1,0)</f>
        <v>0</v>
      </c>
      <c r="BV234">
        <f>AY234*AO234*AQ234</f>
        <v>0</v>
      </c>
    </row>
    <row r="235" spans="1:74">
      <c r="A235" t="s">
        <v>86</v>
      </c>
      <c r="B235">
        <v>22981462</v>
      </c>
      <c r="C235" t="s">
        <v>314</v>
      </c>
      <c r="D235" t="s">
        <v>315</v>
      </c>
      <c r="E235" t="s">
        <v>428</v>
      </c>
      <c r="F235" t="s">
        <v>458</v>
      </c>
      <c r="G235" t="s">
        <v>463</v>
      </c>
      <c r="H235" t="s">
        <v>431</v>
      </c>
      <c r="I235" t="s">
        <v>432</v>
      </c>
      <c r="J235" t="s">
        <v>432</v>
      </c>
      <c r="K235">
        <v>0</v>
      </c>
      <c r="L235" t="s">
        <v>428</v>
      </c>
      <c r="M235" t="s">
        <v>428</v>
      </c>
      <c r="N235">
        <v>202523</v>
      </c>
      <c r="O235">
        <f>INDEX(AllCollegeBarrons,MATCH(N235,AllCollegeNCES,0))</f>
        <v>0</v>
      </c>
      <c r="P235">
        <f>INDEX(KidGPAs,MATCH(B235,KidIDs,0))</f>
        <v>0</v>
      </c>
      <c r="Q235">
        <f>INDEX(KidACTs,MATCH(B235,KidIDs,0))</f>
        <v>0</v>
      </c>
      <c r="R235">
        <f>INDEX(Strats,MATCH(B235,KidIDs,0))</f>
        <v>0</v>
      </c>
      <c r="S235">
        <f>INDEX(KidRace,MATCH(B235,KidIDs,0))</f>
        <v>0</v>
      </c>
      <c r="T235">
        <f>IF(OR(S235="M",S235="I"),"H",S235)</f>
        <v>0</v>
      </c>
      <c r="U235">
        <f>INDEX(StudentTargets,MATCH(B235,KidIDs,0))</f>
        <v>0</v>
      </c>
      <c r="V235">
        <f>INDEX(ReachStudentTargets,MATCH(B235,KidIDs,0))</f>
        <v>0</v>
      </c>
      <c r="W235">
        <f>IF(OR(M235="Posse"),1,0)</f>
        <v>0</v>
      </c>
      <c r="X235">
        <f>IF(ISNUMBER(INDEX(AllCollegeGR, MATCH(N235,AllCollegeNCES,0))),ROUND(INDEX(AllCollegeGR, MATCH(N235,AllCollegeNCES,0))+W235*IF(INDEX(AllCollegeGR, MATCH(N235,AllCollegeNCES,0))&gt;0.7,(1-INDEX(AllCollegeGR, MATCH(N235,AllCollegeNCES,0)))/2,0.15),2),INDEX(AllCollegeGR, MATCH(N235,AllCollegeNCES,0)))</f>
        <v>0</v>
      </c>
      <c r="Y235">
        <f>IF(ISNUMBER(INDEX(AllCollegeAAHGR, MATCH(N235,AllCollegeNCES,0))),ROUND(INDEX(AllCollegeAAHGR, MATCH(N235,AllCollegeNCES,0))+W235*IF(INDEX(AllCollegeAAHGR, MATCH(N235,AllCollegeNCES,0))&gt;0.7,(1-INDEX(AllCollegeAAHGR, MATCH(N235,AllCollegeNCES,0)))/2,0.15),2),INDEX(AllCollegeAAHGR, MATCH(N235,AllCollegeNCES,0)))</f>
        <v>0</v>
      </c>
      <c r="Z235">
        <f>IF(OR(T235="H",T235="B"),INDEX(AllCollegeACT25, MATCH(N235,AllCollegeNCES,0)),INDEX(AllCollegeACT50, MATCH(N235,AllCollegeNCES,0)))</f>
        <v>0</v>
      </c>
      <c r="AA235">
        <f>INDEX(CustomWeightsGPA,MATCH(T235&amp;":"&amp;N235,CustomWeightsIndex,0))</f>
        <v>0</v>
      </c>
      <c r="AB235">
        <f>INDEX(CustomWeightsACT,MATCH(T235&amp;":"&amp;N235,CustomWeightsIndex,0))</f>
        <v>0</v>
      </c>
      <c r="AC235">
        <f>INDEX(CustomWeightsIntercept,MATCH(T235&amp;":"&amp;N235,CustomWeightsIndex,0))</f>
        <v>0</v>
      </c>
      <c r="AD235">
        <f>AA235*P235+AB235*Q235+AC235</f>
        <v>0</v>
      </c>
      <c r="AE235">
        <f>INDEX(CoefficientsGPA,MATCH(T235&amp;":"&amp;O235,CoefficientsIndex,0))</f>
        <v>0</v>
      </c>
      <c r="AF235">
        <f>INDEX(CoefficientsACT,MATCH(T235&amp;":"&amp;O235,CoefficientsIndex,0))</f>
        <v>0</v>
      </c>
      <c r="AG235">
        <f>INDEX(CoefficientsIntercept,MATCH(T235&amp;":"&amp;O235,CoefficientsIndex,0))</f>
        <v>0</v>
      </c>
      <c r="AH235">
        <f>AE235*P235+(Q235-Z235)*AF235+AG235</f>
        <v>0</v>
      </c>
      <c r="AI235">
        <f>IF(ISNUMBER(AD235),AD235,AH235)</f>
        <v>0</v>
      </c>
      <c r="AJ235">
        <f>IF(ISNUMBER(AI235),IF(ISNUMBER(AE235),IF(AND(AE235=1,AF235=1,AG235=1),100,ROUND(100*EXP(AI235)/(1+EXP(AI235)),2)),ROUND(100*EXP(AI235)/(1+EXP(AI235)),2)),IF(ISTEXT(O235),IF(LEFT(O235,1)="2",100,"N/A"),"N/A"))</f>
        <v>0</v>
      </c>
      <c r="AK235">
        <f>IF(ISNUMBER(AJ235),IF(AJ235&gt;=99,IF(OR(R235=10,R235=11),MatchLabel,SureThingLabel),IF(AJ235&gt;=95,SecureLabel,IF(AJ235&gt;=80,SafetyLabel,IF(AJ235&gt;=50,MatchLabel,IF(AJ235&gt;=20,ReachLabel,IF(AJ235&gt;=10,LongshotLabel,HailMaryLabel)))))),"Other")</f>
        <v>0</v>
      </c>
      <c r="AL235">
        <f>IF(OR(I235="accepted",I235="cond. accept",I235="summer admit"),IF(J235="yes","CHOICE!","Accepted!"),IF(I235="denied","Denied",IF(K235=1,"Waitlist",IF(L235=1,"Deferred",IF(G235="pending","Pending",IF(OR(G235="initial materials submitted",G235="mid-year submitted",G235="final submitted"),"Submitted",IF(H235="interest","Interest","?")))))))</f>
        <v>0</v>
      </c>
      <c r="AM235">
        <f>IF(OR(AK235=ReachLabel,AK235=LongshotLabel,AK235=HailMaryLabel),1,0)</f>
        <v>0</v>
      </c>
      <c r="AN235">
        <f>IF(OR(AM235=1,AK235=MatchLabel),1,0)</f>
        <v>0</v>
      </c>
      <c r="AO235">
        <f>IF(OR(AK235=MatchLabel,AK235=SafetyLabel,AK235=SecureLabel,AK235=SureThingLabel),1,0)</f>
        <v>0</v>
      </c>
      <c r="AP235">
        <f>IF(OR(T235="H",T235="B"),IF(ISNUMBER(Y235),ROUND(Y235,2),0),IF(ISNUMBER(X235),ROUND(X235,2),0))</f>
        <v>0</v>
      </c>
      <c r="AQ235">
        <f>IF(AP235&gt;=U235,1,0)</f>
        <v>0</v>
      </c>
      <c r="AR235">
        <f>IF(AP235&gt;=V235,1,0)</f>
        <v>0</v>
      </c>
      <c r="AS235">
        <f>IF(AP235&lt;(U235-0.10),1,0)</f>
        <v>0</v>
      </c>
      <c r="AT235">
        <f>1-AJ235/100</f>
        <v>0</v>
      </c>
      <c r="AU235">
        <f>IF(AN235=1,AT235,1)</f>
        <v>0</v>
      </c>
      <c r="AV235">
        <f>IF(AM235=1,AT235,1)</f>
        <v>0</v>
      </c>
      <c r="AW235">
        <f>IF(AND(AQ235=1,ISNUMBER(AT235)),$AT235,1)</f>
        <v>0</v>
      </c>
      <c r="AX235">
        <f>IF(AND(AR235=1,ISNUMBER(AT235)),$AT235,1)</f>
        <v>0</v>
      </c>
      <c r="AY235">
        <f>IF(ISNUMBER(Y235),INDEX(AllCollegeMoney, MATCH(N235,AllCollegeNCES,0)),0)</f>
        <v>0</v>
      </c>
      <c r="AZ235">
        <f>IF(AND(AQ235=1,ISNUMBER(AT235),AY235=1),$AT235,1)</f>
        <v>0</v>
      </c>
      <c r="BA235">
        <f>IF(AND(AR235=1,ISNUMBER(AT235),AY235=1),$AT235,1)</f>
        <v>0</v>
      </c>
      <c r="BB235">
        <f>IF(ISNUMBER(Y235),INDEX(AllCollegeILPub, MATCH(N235,AllCollegeNCES,0)),0)</f>
        <v>0</v>
      </c>
      <c r="BC235">
        <f>IF(AK235=ReachLabel,AP235,0)</f>
        <v>0</v>
      </c>
      <c r="BD235">
        <f>IF(AK235=MatchLabel,AP235,0)</f>
        <v>0</v>
      </c>
      <c r="BE235">
        <f>IF(AK235=SafetyLabel,AP235,0)</f>
        <v>0</v>
      </c>
      <c r="BF235">
        <f>IF(AK235=SecureLabel,AP235,0)</f>
        <v>0</v>
      </c>
      <c r="BG235">
        <f>IF(AK235=SureThingLabel,AP235,0)</f>
        <v>0</v>
      </c>
      <c r="BH235">
        <f>MAX(BC235:BG235)</f>
        <v>0</v>
      </c>
      <c r="BI235">
        <f>MAX(BD235:BG235)</f>
        <v>0</v>
      </c>
      <c r="BJ235">
        <f>MAX(BE235:BG235)</f>
        <v>0</v>
      </c>
      <c r="BK235">
        <f>IF(AND(AK235=ReachLabel,AY235=1),AP235,0)</f>
        <v>0</v>
      </c>
      <c r="BL235">
        <f>IF(AND(AK235=MatchLabel,AY235=1),AP235,0)</f>
        <v>0</v>
      </c>
      <c r="BM235">
        <f>IF(AND(AK235=SafetyLabel,AY235=1),AP235,0)</f>
        <v>0</v>
      </c>
      <c r="BN235">
        <f>IF(AND(AK235=SecureLabel,AY235=1),AP235,0)</f>
        <v>0</v>
      </c>
      <c r="BO235">
        <f>IF(AND(AK235=SureThingLabel,AY235=1),AP235,0)</f>
        <v>0</v>
      </c>
      <c r="BP235">
        <f>MAX(BK235:BO235)</f>
        <v>0</v>
      </c>
      <c r="BQ235">
        <f>MAX(BL235:BO235)</f>
        <v>0</v>
      </c>
      <c r="BR235">
        <f>MAX(BM235:BO235)</f>
        <v>0</v>
      </c>
      <c r="BS235">
        <f>IF(ISNUMBER(Y235),INDEX(AllCollegeChicago, MATCH(N235,AllCollegeNCES,0))*AY235,0)</f>
        <v>0</v>
      </c>
      <c r="BT235">
        <f>IF(ISNUMBER(Y235),INDEX(AllCollegeMoneyCode, MATCH(N235,AllCollegeNCES,0)),"?")</f>
        <v>0</v>
      </c>
      <c r="BU235">
        <f>IF(OR(BT235="---",BT235="--",BT235="+/--",BT235="+/---"),1,0)</f>
        <v>0</v>
      </c>
      <c r="BV235">
        <f>AY235*AO235*AQ235</f>
        <v>0</v>
      </c>
    </row>
    <row r="236" spans="1:74">
      <c r="A236" t="s">
        <v>86</v>
      </c>
      <c r="B236">
        <v>22981462</v>
      </c>
      <c r="C236" t="s">
        <v>314</v>
      </c>
      <c r="D236" t="s">
        <v>315</v>
      </c>
      <c r="E236" t="s">
        <v>428</v>
      </c>
      <c r="F236" t="s">
        <v>459</v>
      </c>
      <c r="G236" t="s">
        <v>430</v>
      </c>
      <c r="H236" t="s">
        <v>431</v>
      </c>
      <c r="I236" t="s">
        <v>432</v>
      </c>
      <c r="J236" t="s">
        <v>432</v>
      </c>
      <c r="K236">
        <v>0</v>
      </c>
      <c r="L236" t="s">
        <v>428</v>
      </c>
      <c r="M236" t="s">
        <v>428</v>
      </c>
      <c r="N236">
        <v>146427</v>
      </c>
      <c r="O236">
        <f>INDEX(AllCollegeBarrons,MATCH(N236,AllCollegeNCES,0))</f>
        <v>0</v>
      </c>
      <c r="P236">
        <f>INDEX(KidGPAs,MATCH(B236,KidIDs,0))</f>
        <v>0</v>
      </c>
      <c r="Q236">
        <f>INDEX(KidACTs,MATCH(B236,KidIDs,0))</f>
        <v>0</v>
      </c>
      <c r="R236">
        <f>INDEX(Strats,MATCH(B236,KidIDs,0))</f>
        <v>0</v>
      </c>
      <c r="S236">
        <f>INDEX(KidRace,MATCH(B236,KidIDs,0))</f>
        <v>0</v>
      </c>
      <c r="T236">
        <f>IF(OR(S236="M",S236="I"),"H",S236)</f>
        <v>0</v>
      </c>
      <c r="U236">
        <f>INDEX(StudentTargets,MATCH(B236,KidIDs,0))</f>
        <v>0</v>
      </c>
      <c r="V236">
        <f>INDEX(ReachStudentTargets,MATCH(B236,KidIDs,0))</f>
        <v>0</v>
      </c>
      <c r="W236">
        <f>IF(OR(M236="Posse"),1,0)</f>
        <v>0</v>
      </c>
      <c r="X236">
        <f>IF(ISNUMBER(INDEX(AllCollegeGR, MATCH(N236,AllCollegeNCES,0))),ROUND(INDEX(AllCollegeGR, MATCH(N236,AllCollegeNCES,0))+W236*IF(INDEX(AllCollegeGR, MATCH(N236,AllCollegeNCES,0))&gt;0.7,(1-INDEX(AllCollegeGR, MATCH(N236,AllCollegeNCES,0)))/2,0.15),2),INDEX(AllCollegeGR, MATCH(N236,AllCollegeNCES,0)))</f>
        <v>0</v>
      </c>
      <c r="Y236">
        <f>IF(ISNUMBER(INDEX(AllCollegeAAHGR, MATCH(N236,AllCollegeNCES,0))),ROUND(INDEX(AllCollegeAAHGR, MATCH(N236,AllCollegeNCES,0))+W236*IF(INDEX(AllCollegeAAHGR, MATCH(N236,AllCollegeNCES,0))&gt;0.7,(1-INDEX(AllCollegeAAHGR, MATCH(N236,AllCollegeNCES,0)))/2,0.15),2),INDEX(AllCollegeAAHGR, MATCH(N236,AllCollegeNCES,0)))</f>
        <v>0</v>
      </c>
      <c r="Z236">
        <f>IF(OR(T236="H",T236="B"),INDEX(AllCollegeACT25, MATCH(N236,AllCollegeNCES,0)),INDEX(AllCollegeACT50, MATCH(N236,AllCollegeNCES,0)))</f>
        <v>0</v>
      </c>
      <c r="AA236">
        <f>INDEX(CustomWeightsGPA,MATCH(T236&amp;":"&amp;N236,CustomWeightsIndex,0))</f>
        <v>0</v>
      </c>
      <c r="AB236">
        <f>INDEX(CustomWeightsACT,MATCH(T236&amp;":"&amp;N236,CustomWeightsIndex,0))</f>
        <v>0</v>
      </c>
      <c r="AC236">
        <f>INDEX(CustomWeightsIntercept,MATCH(T236&amp;":"&amp;N236,CustomWeightsIndex,0))</f>
        <v>0</v>
      </c>
      <c r="AD236">
        <f>AA236*P236+AB236*Q236+AC236</f>
        <v>0</v>
      </c>
      <c r="AE236">
        <f>INDEX(CoefficientsGPA,MATCH(T236&amp;":"&amp;O236,CoefficientsIndex,0))</f>
        <v>0</v>
      </c>
      <c r="AF236">
        <f>INDEX(CoefficientsACT,MATCH(T236&amp;":"&amp;O236,CoefficientsIndex,0))</f>
        <v>0</v>
      </c>
      <c r="AG236">
        <f>INDEX(CoefficientsIntercept,MATCH(T236&amp;":"&amp;O236,CoefficientsIndex,0))</f>
        <v>0</v>
      </c>
      <c r="AH236">
        <f>AE236*P236+(Q236-Z236)*AF236+AG236</f>
        <v>0</v>
      </c>
      <c r="AI236">
        <f>IF(ISNUMBER(AD236),AD236,AH236)</f>
        <v>0</v>
      </c>
      <c r="AJ236">
        <f>IF(ISNUMBER(AI236),IF(ISNUMBER(AE236),IF(AND(AE236=1,AF236=1,AG236=1),100,ROUND(100*EXP(AI236)/(1+EXP(AI236)),2)),ROUND(100*EXP(AI236)/(1+EXP(AI236)),2)),IF(ISTEXT(O236),IF(LEFT(O236,1)="2",100,"N/A"),"N/A"))</f>
        <v>0</v>
      </c>
      <c r="AK236">
        <f>IF(ISNUMBER(AJ236),IF(AJ236&gt;=99,IF(OR(R236=10,R236=11),MatchLabel,SureThingLabel),IF(AJ236&gt;=95,SecureLabel,IF(AJ236&gt;=80,SafetyLabel,IF(AJ236&gt;=50,MatchLabel,IF(AJ236&gt;=20,ReachLabel,IF(AJ236&gt;=10,LongshotLabel,HailMaryLabel)))))),"Other")</f>
        <v>0</v>
      </c>
      <c r="AL236">
        <f>IF(OR(I236="accepted",I236="cond. accept",I236="summer admit"),IF(J236="yes","CHOICE!","Accepted!"),IF(I236="denied","Denied",IF(K236=1,"Waitlist",IF(L236=1,"Deferred",IF(G236="pending","Pending",IF(OR(G236="initial materials submitted",G236="mid-year submitted",G236="final submitted"),"Submitted",IF(H236="interest","Interest","?")))))))</f>
        <v>0</v>
      </c>
      <c r="AM236">
        <f>IF(OR(AK236=ReachLabel,AK236=LongshotLabel,AK236=HailMaryLabel),1,0)</f>
        <v>0</v>
      </c>
      <c r="AN236">
        <f>IF(OR(AM236=1,AK236=MatchLabel),1,0)</f>
        <v>0</v>
      </c>
      <c r="AO236">
        <f>IF(OR(AK236=MatchLabel,AK236=SafetyLabel,AK236=SecureLabel,AK236=SureThingLabel),1,0)</f>
        <v>0</v>
      </c>
      <c r="AP236">
        <f>IF(OR(T236="H",T236="B"),IF(ISNUMBER(Y236),ROUND(Y236,2),0),IF(ISNUMBER(X236),ROUND(X236,2),0))</f>
        <v>0</v>
      </c>
      <c r="AQ236">
        <f>IF(AP236&gt;=U236,1,0)</f>
        <v>0</v>
      </c>
      <c r="AR236">
        <f>IF(AP236&gt;=V236,1,0)</f>
        <v>0</v>
      </c>
      <c r="AS236">
        <f>IF(AP236&lt;(U236-0.10),1,0)</f>
        <v>0</v>
      </c>
      <c r="AT236">
        <f>1-AJ236/100</f>
        <v>0</v>
      </c>
      <c r="AU236">
        <f>IF(AN236=1,AT236,1)</f>
        <v>0</v>
      </c>
      <c r="AV236">
        <f>IF(AM236=1,AT236,1)</f>
        <v>0</v>
      </c>
      <c r="AW236">
        <f>IF(AND(AQ236=1,ISNUMBER(AT236)),$AT236,1)</f>
        <v>0</v>
      </c>
      <c r="AX236">
        <f>IF(AND(AR236=1,ISNUMBER(AT236)),$AT236,1)</f>
        <v>0</v>
      </c>
      <c r="AY236">
        <f>IF(ISNUMBER(Y236),INDEX(AllCollegeMoney, MATCH(N236,AllCollegeNCES,0)),0)</f>
        <v>0</v>
      </c>
      <c r="AZ236">
        <f>IF(AND(AQ236=1,ISNUMBER(AT236),AY236=1),$AT236,1)</f>
        <v>0</v>
      </c>
      <c r="BA236">
        <f>IF(AND(AR236=1,ISNUMBER(AT236),AY236=1),$AT236,1)</f>
        <v>0</v>
      </c>
      <c r="BB236">
        <f>IF(ISNUMBER(Y236),INDEX(AllCollegeILPub, MATCH(N236,AllCollegeNCES,0)),0)</f>
        <v>0</v>
      </c>
      <c r="BC236">
        <f>IF(AK236=ReachLabel,AP236,0)</f>
        <v>0</v>
      </c>
      <c r="BD236">
        <f>IF(AK236=MatchLabel,AP236,0)</f>
        <v>0</v>
      </c>
      <c r="BE236">
        <f>IF(AK236=SafetyLabel,AP236,0)</f>
        <v>0</v>
      </c>
      <c r="BF236">
        <f>IF(AK236=SecureLabel,AP236,0)</f>
        <v>0</v>
      </c>
      <c r="BG236">
        <f>IF(AK236=SureThingLabel,AP236,0)</f>
        <v>0</v>
      </c>
      <c r="BH236">
        <f>MAX(BC236:BG236)</f>
        <v>0</v>
      </c>
      <c r="BI236">
        <f>MAX(BD236:BG236)</f>
        <v>0</v>
      </c>
      <c r="BJ236">
        <f>MAX(BE236:BG236)</f>
        <v>0</v>
      </c>
      <c r="BK236">
        <f>IF(AND(AK236=ReachLabel,AY236=1),AP236,0)</f>
        <v>0</v>
      </c>
      <c r="BL236">
        <f>IF(AND(AK236=MatchLabel,AY236=1),AP236,0)</f>
        <v>0</v>
      </c>
      <c r="BM236">
        <f>IF(AND(AK236=SafetyLabel,AY236=1),AP236,0)</f>
        <v>0</v>
      </c>
      <c r="BN236">
        <f>IF(AND(AK236=SecureLabel,AY236=1),AP236,0)</f>
        <v>0</v>
      </c>
      <c r="BO236">
        <f>IF(AND(AK236=SureThingLabel,AY236=1),AP236,0)</f>
        <v>0</v>
      </c>
      <c r="BP236">
        <f>MAX(BK236:BO236)</f>
        <v>0</v>
      </c>
      <c r="BQ236">
        <f>MAX(BL236:BO236)</f>
        <v>0</v>
      </c>
      <c r="BR236">
        <f>MAX(BM236:BO236)</f>
        <v>0</v>
      </c>
      <c r="BS236">
        <f>IF(ISNUMBER(Y236),INDEX(AllCollegeChicago, MATCH(N236,AllCollegeNCES,0))*AY236,0)</f>
        <v>0</v>
      </c>
      <c r="BT236">
        <f>IF(ISNUMBER(Y236),INDEX(AllCollegeMoneyCode, MATCH(N236,AllCollegeNCES,0)),"?")</f>
        <v>0</v>
      </c>
      <c r="BU236">
        <f>IF(OR(BT236="---",BT236="--",BT236="+/--",BT236="+/---"),1,0)</f>
        <v>0</v>
      </c>
      <c r="BV236">
        <f>AY236*AO236*AQ236</f>
        <v>0</v>
      </c>
    </row>
    <row r="237" spans="1:74">
      <c r="A237" t="s">
        <v>86</v>
      </c>
      <c r="B237">
        <v>22981462</v>
      </c>
      <c r="C237" t="s">
        <v>314</v>
      </c>
      <c r="D237" t="s">
        <v>315</v>
      </c>
      <c r="E237" t="s">
        <v>428</v>
      </c>
      <c r="F237" t="s">
        <v>471</v>
      </c>
      <c r="G237" t="s">
        <v>463</v>
      </c>
      <c r="H237" t="s">
        <v>431</v>
      </c>
      <c r="I237" t="s">
        <v>432</v>
      </c>
      <c r="J237" t="s">
        <v>432</v>
      </c>
      <c r="K237">
        <v>0</v>
      </c>
      <c r="L237" t="s">
        <v>428</v>
      </c>
      <c r="M237" t="s">
        <v>428</v>
      </c>
      <c r="N237">
        <v>170301</v>
      </c>
      <c r="O237">
        <f>INDEX(AllCollegeBarrons,MATCH(N237,AllCollegeNCES,0))</f>
        <v>0</v>
      </c>
      <c r="P237">
        <f>INDEX(KidGPAs,MATCH(B237,KidIDs,0))</f>
        <v>0</v>
      </c>
      <c r="Q237">
        <f>INDEX(KidACTs,MATCH(B237,KidIDs,0))</f>
        <v>0</v>
      </c>
      <c r="R237">
        <f>INDEX(Strats,MATCH(B237,KidIDs,0))</f>
        <v>0</v>
      </c>
      <c r="S237">
        <f>INDEX(KidRace,MATCH(B237,KidIDs,0))</f>
        <v>0</v>
      </c>
      <c r="T237">
        <f>IF(OR(S237="M",S237="I"),"H",S237)</f>
        <v>0</v>
      </c>
      <c r="U237">
        <f>INDEX(StudentTargets,MATCH(B237,KidIDs,0))</f>
        <v>0</v>
      </c>
      <c r="V237">
        <f>INDEX(ReachStudentTargets,MATCH(B237,KidIDs,0))</f>
        <v>0</v>
      </c>
      <c r="W237">
        <f>IF(OR(M237="Posse"),1,0)</f>
        <v>0</v>
      </c>
      <c r="X237">
        <f>IF(ISNUMBER(INDEX(AllCollegeGR, MATCH(N237,AllCollegeNCES,0))),ROUND(INDEX(AllCollegeGR, MATCH(N237,AllCollegeNCES,0))+W237*IF(INDEX(AllCollegeGR, MATCH(N237,AllCollegeNCES,0))&gt;0.7,(1-INDEX(AllCollegeGR, MATCH(N237,AllCollegeNCES,0)))/2,0.15),2),INDEX(AllCollegeGR, MATCH(N237,AllCollegeNCES,0)))</f>
        <v>0</v>
      </c>
      <c r="Y237">
        <f>IF(ISNUMBER(INDEX(AllCollegeAAHGR, MATCH(N237,AllCollegeNCES,0))),ROUND(INDEX(AllCollegeAAHGR, MATCH(N237,AllCollegeNCES,0))+W237*IF(INDEX(AllCollegeAAHGR, MATCH(N237,AllCollegeNCES,0))&gt;0.7,(1-INDEX(AllCollegeAAHGR, MATCH(N237,AllCollegeNCES,0)))/2,0.15),2),INDEX(AllCollegeAAHGR, MATCH(N237,AllCollegeNCES,0)))</f>
        <v>0</v>
      </c>
      <c r="Z237">
        <f>IF(OR(T237="H",T237="B"),INDEX(AllCollegeACT25, MATCH(N237,AllCollegeNCES,0)),INDEX(AllCollegeACT50, MATCH(N237,AllCollegeNCES,0)))</f>
        <v>0</v>
      </c>
      <c r="AA237">
        <f>INDEX(CustomWeightsGPA,MATCH(T237&amp;":"&amp;N237,CustomWeightsIndex,0))</f>
        <v>0</v>
      </c>
      <c r="AB237">
        <f>INDEX(CustomWeightsACT,MATCH(T237&amp;":"&amp;N237,CustomWeightsIndex,0))</f>
        <v>0</v>
      </c>
      <c r="AC237">
        <f>INDEX(CustomWeightsIntercept,MATCH(T237&amp;":"&amp;N237,CustomWeightsIndex,0))</f>
        <v>0</v>
      </c>
      <c r="AD237">
        <f>AA237*P237+AB237*Q237+AC237</f>
        <v>0</v>
      </c>
      <c r="AE237">
        <f>INDEX(CoefficientsGPA,MATCH(T237&amp;":"&amp;O237,CoefficientsIndex,0))</f>
        <v>0</v>
      </c>
      <c r="AF237">
        <f>INDEX(CoefficientsACT,MATCH(T237&amp;":"&amp;O237,CoefficientsIndex,0))</f>
        <v>0</v>
      </c>
      <c r="AG237">
        <f>INDEX(CoefficientsIntercept,MATCH(T237&amp;":"&amp;O237,CoefficientsIndex,0))</f>
        <v>0</v>
      </c>
      <c r="AH237">
        <f>AE237*P237+(Q237-Z237)*AF237+AG237</f>
        <v>0</v>
      </c>
      <c r="AI237">
        <f>IF(ISNUMBER(AD237),AD237,AH237)</f>
        <v>0</v>
      </c>
      <c r="AJ237">
        <f>IF(ISNUMBER(AI237),IF(ISNUMBER(AE237),IF(AND(AE237=1,AF237=1,AG237=1),100,ROUND(100*EXP(AI237)/(1+EXP(AI237)),2)),ROUND(100*EXP(AI237)/(1+EXP(AI237)),2)),IF(ISTEXT(O237),IF(LEFT(O237,1)="2",100,"N/A"),"N/A"))</f>
        <v>0</v>
      </c>
      <c r="AK237">
        <f>IF(ISNUMBER(AJ237),IF(AJ237&gt;=99,IF(OR(R237=10,R237=11),MatchLabel,SureThingLabel),IF(AJ237&gt;=95,SecureLabel,IF(AJ237&gt;=80,SafetyLabel,IF(AJ237&gt;=50,MatchLabel,IF(AJ237&gt;=20,ReachLabel,IF(AJ237&gt;=10,LongshotLabel,HailMaryLabel)))))),"Other")</f>
        <v>0</v>
      </c>
      <c r="AL237">
        <f>IF(OR(I237="accepted",I237="cond. accept",I237="summer admit"),IF(J237="yes","CHOICE!","Accepted!"),IF(I237="denied","Denied",IF(K237=1,"Waitlist",IF(L237=1,"Deferred",IF(G237="pending","Pending",IF(OR(G237="initial materials submitted",G237="mid-year submitted",G237="final submitted"),"Submitted",IF(H237="interest","Interest","?")))))))</f>
        <v>0</v>
      </c>
      <c r="AM237">
        <f>IF(OR(AK237=ReachLabel,AK237=LongshotLabel,AK237=HailMaryLabel),1,0)</f>
        <v>0</v>
      </c>
      <c r="AN237">
        <f>IF(OR(AM237=1,AK237=MatchLabel),1,0)</f>
        <v>0</v>
      </c>
      <c r="AO237">
        <f>IF(OR(AK237=MatchLabel,AK237=SafetyLabel,AK237=SecureLabel,AK237=SureThingLabel),1,0)</f>
        <v>0</v>
      </c>
      <c r="AP237">
        <f>IF(OR(T237="H",T237="B"),IF(ISNUMBER(Y237),ROUND(Y237,2),0),IF(ISNUMBER(X237),ROUND(X237,2),0))</f>
        <v>0</v>
      </c>
      <c r="AQ237">
        <f>IF(AP237&gt;=U237,1,0)</f>
        <v>0</v>
      </c>
      <c r="AR237">
        <f>IF(AP237&gt;=V237,1,0)</f>
        <v>0</v>
      </c>
      <c r="AS237">
        <f>IF(AP237&lt;(U237-0.10),1,0)</f>
        <v>0</v>
      </c>
      <c r="AT237">
        <f>1-AJ237/100</f>
        <v>0</v>
      </c>
      <c r="AU237">
        <f>IF(AN237=1,AT237,1)</f>
        <v>0</v>
      </c>
      <c r="AV237">
        <f>IF(AM237=1,AT237,1)</f>
        <v>0</v>
      </c>
      <c r="AW237">
        <f>IF(AND(AQ237=1,ISNUMBER(AT237)),$AT237,1)</f>
        <v>0</v>
      </c>
      <c r="AX237">
        <f>IF(AND(AR237=1,ISNUMBER(AT237)),$AT237,1)</f>
        <v>0</v>
      </c>
      <c r="AY237">
        <f>IF(ISNUMBER(Y237),INDEX(AllCollegeMoney, MATCH(N237,AllCollegeNCES,0)),0)</f>
        <v>0</v>
      </c>
      <c r="AZ237">
        <f>IF(AND(AQ237=1,ISNUMBER(AT237),AY237=1),$AT237,1)</f>
        <v>0</v>
      </c>
      <c r="BA237">
        <f>IF(AND(AR237=1,ISNUMBER(AT237),AY237=1),$AT237,1)</f>
        <v>0</v>
      </c>
      <c r="BB237">
        <f>IF(ISNUMBER(Y237),INDEX(AllCollegeILPub, MATCH(N237,AllCollegeNCES,0)),0)</f>
        <v>0</v>
      </c>
      <c r="BC237">
        <f>IF(AK237=ReachLabel,AP237,0)</f>
        <v>0</v>
      </c>
      <c r="BD237">
        <f>IF(AK237=MatchLabel,AP237,0)</f>
        <v>0</v>
      </c>
      <c r="BE237">
        <f>IF(AK237=SafetyLabel,AP237,0)</f>
        <v>0</v>
      </c>
      <c r="BF237">
        <f>IF(AK237=SecureLabel,AP237,0)</f>
        <v>0</v>
      </c>
      <c r="BG237">
        <f>IF(AK237=SureThingLabel,AP237,0)</f>
        <v>0</v>
      </c>
      <c r="BH237">
        <f>MAX(BC237:BG237)</f>
        <v>0</v>
      </c>
      <c r="BI237">
        <f>MAX(BD237:BG237)</f>
        <v>0</v>
      </c>
      <c r="BJ237">
        <f>MAX(BE237:BG237)</f>
        <v>0</v>
      </c>
      <c r="BK237">
        <f>IF(AND(AK237=ReachLabel,AY237=1),AP237,0)</f>
        <v>0</v>
      </c>
      <c r="BL237">
        <f>IF(AND(AK237=MatchLabel,AY237=1),AP237,0)</f>
        <v>0</v>
      </c>
      <c r="BM237">
        <f>IF(AND(AK237=SafetyLabel,AY237=1),AP237,0)</f>
        <v>0</v>
      </c>
      <c r="BN237">
        <f>IF(AND(AK237=SecureLabel,AY237=1),AP237,0)</f>
        <v>0</v>
      </c>
      <c r="BO237">
        <f>IF(AND(AK237=SureThingLabel,AY237=1),AP237,0)</f>
        <v>0</v>
      </c>
      <c r="BP237">
        <f>MAX(BK237:BO237)</f>
        <v>0</v>
      </c>
      <c r="BQ237">
        <f>MAX(BL237:BO237)</f>
        <v>0</v>
      </c>
      <c r="BR237">
        <f>MAX(BM237:BO237)</f>
        <v>0</v>
      </c>
      <c r="BS237">
        <f>IF(ISNUMBER(Y237),INDEX(AllCollegeChicago, MATCH(N237,AllCollegeNCES,0))*AY237,0)</f>
        <v>0</v>
      </c>
      <c r="BT237">
        <f>IF(ISNUMBER(Y237),INDEX(AllCollegeMoneyCode, MATCH(N237,AllCollegeNCES,0)),"?")</f>
        <v>0</v>
      </c>
      <c r="BU237">
        <f>IF(OR(BT237="---",BT237="--",BT237="+/--",BT237="+/---"),1,0)</f>
        <v>0</v>
      </c>
      <c r="BV237">
        <f>AY237*AO237*AQ237</f>
        <v>0</v>
      </c>
    </row>
    <row r="238" spans="1:74">
      <c r="A238" t="s">
        <v>86</v>
      </c>
      <c r="B238">
        <v>22981462</v>
      </c>
      <c r="C238" t="s">
        <v>314</v>
      </c>
      <c r="D238" t="s">
        <v>315</v>
      </c>
      <c r="E238" t="s">
        <v>428</v>
      </c>
      <c r="F238" t="s">
        <v>484</v>
      </c>
      <c r="G238" t="s">
        <v>430</v>
      </c>
      <c r="H238" t="s">
        <v>431</v>
      </c>
      <c r="I238" t="s">
        <v>432</v>
      </c>
      <c r="J238" t="s">
        <v>432</v>
      </c>
      <c r="K238">
        <v>0</v>
      </c>
      <c r="L238" t="s">
        <v>428</v>
      </c>
      <c r="M238" t="s">
        <v>428</v>
      </c>
      <c r="N238">
        <v>144740</v>
      </c>
      <c r="O238">
        <f>INDEX(AllCollegeBarrons,MATCH(N238,AllCollegeNCES,0))</f>
        <v>0</v>
      </c>
      <c r="P238">
        <f>INDEX(KidGPAs,MATCH(B238,KidIDs,0))</f>
        <v>0</v>
      </c>
      <c r="Q238">
        <f>INDEX(KidACTs,MATCH(B238,KidIDs,0))</f>
        <v>0</v>
      </c>
      <c r="R238">
        <f>INDEX(Strats,MATCH(B238,KidIDs,0))</f>
        <v>0</v>
      </c>
      <c r="S238">
        <f>INDEX(KidRace,MATCH(B238,KidIDs,0))</f>
        <v>0</v>
      </c>
      <c r="T238">
        <f>IF(OR(S238="M",S238="I"),"H",S238)</f>
        <v>0</v>
      </c>
      <c r="U238">
        <f>INDEX(StudentTargets,MATCH(B238,KidIDs,0))</f>
        <v>0</v>
      </c>
      <c r="V238">
        <f>INDEX(ReachStudentTargets,MATCH(B238,KidIDs,0))</f>
        <v>0</v>
      </c>
      <c r="W238">
        <f>IF(OR(M238="Posse"),1,0)</f>
        <v>0</v>
      </c>
      <c r="X238">
        <f>IF(ISNUMBER(INDEX(AllCollegeGR, MATCH(N238,AllCollegeNCES,0))),ROUND(INDEX(AllCollegeGR, MATCH(N238,AllCollegeNCES,0))+W238*IF(INDEX(AllCollegeGR, MATCH(N238,AllCollegeNCES,0))&gt;0.7,(1-INDEX(AllCollegeGR, MATCH(N238,AllCollegeNCES,0)))/2,0.15),2),INDEX(AllCollegeGR, MATCH(N238,AllCollegeNCES,0)))</f>
        <v>0</v>
      </c>
      <c r="Y238">
        <f>IF(ISNUMBER(INDEX(AllCollegeAAHGR, MATCH(N238,AllCollegeNCES,0))),ROUND(INDEX(AllCollegeAAHGR, MATCH(N238,AllCollegeNCES,0))+W238*IF(INDEX(AllCollegeAAHGR, MATCH(N238,AllCollegeNCES,0))&gt;0.7,(1-INDEX(AllCollegeAAHGR, MATCH(N238,AllCollegeNCES,0)))/2,0.15),2),INDEX(AllCollegeAAHGR, MATCH(N238,AllCollegeNCES,0)))</f>
        <v>0</v>
      </c>
      <c r="Z238">
        <f>IF(OR(T238="H",T238="B"),INDEX(AllCollegeACT25, MATCH(N238,AllCollegeNCES,0)),INDEX(AllCollegeACT50, MATCH(N238,AllCollegeNCES,0)))</f>
        <v>0</v>
      </c>
      <c r="AA238">
        <f>INDEX(CustomWeightsGPA,MATCH(T238&amp;":"&amp;N238,CustomWeightsIndex,0))</f>
        <v>0</v>
      </c>
      <c r="AB238">
        <f>INDEX(CustomWeightsACT,MATCH(T238&amp;":"&amp;N238,CustomWeightsIndex,0))</f>
        <v>0</v>
      </c>
      <c r="AC238">
        <f>INDEX(CustomWeightsIntercept,MATCH(T238&amp;":"&amp;N238,CustomWeightsIndex,0))</f>
        <v>0</v>
      </c>
      <c r="AD238">
        <f>AA238*P238+AB238*Q238+AC238</f>
        <v>0</v>
      </c>
      <c r="AE238">
        <f>INDEX(CoefficientsGPA,MATCH(T238&amp;":"&amp;O238,CoefficientsIndex,0))</f>
        <v>0</v>
      </c>
      <c r="AF238">
        <f>INDEX(CoefficientsACT,MATCH(T238&amp;":"&amp;O238,CoefficientsIndex,0))</f>
        <v>0</v>
      </c>
      <c r="AG238">
        <f>INDEX(CoefficientsIntercept,MATCH(T238&amp;":"&amp;O238,CoefficientsIndex,0))</f>
        <v>0</v>
      </c>
      <c r="AH238">
        <f>AE238*P238+(Q238-Z238)*AF238+AG238</f>
        <v>0</v>
      </c>
      <c r="AI238">
        <f>IF(ISNUMBER(AD238),AD238,AH238)</f>
        <v>0</v>
      </c>
      <c r="AJ238">
        <f>IF(ISNUMBER(AI238),IF(ISNUMBER(AE238),IF(AND(AE238=1,AF238=1,AG238=1),100,ROUND(100*EXP(AI238)/(1+EXP(AI238)),2)),ROUND(100*EXP(AI238)/(1+EXP(AI238)),2)),IF(ISTEXT(O238),IF(LEFT(O238,1)="2",100,"N/A"),"N/A"))</f>
        <v>0</v>
      </c>
      <c r="AK238">
        <f>IF(ISNUMBER(AJ238),IF(AJ238&gt;=99,IF(OR(R238=10,R238=11),MatchLabel,SureThingLabel),IF(AJ238&gt;=95,SecureLabel,IF(AJ238&gt;=80,SafetyLabel,IF(AJ238&gt;=50,MatchLabel,IF(AJ238&gt;=20,ReachLabel,IF(AJ238&gt;=10,LongshotLabel,HailMaryLabel)))))),"Other")</f>
        <v>0</v>
      </c>
      <c r="AL238">
        <f>IF(OR(I238="accepted",I238="cond. accept",I238="summer admit"),IF(J238="yes","CHOICE!","Accepted!"),IF(I238="denied","Denied",IF(K238=1,"Waitlist",IF(L238=1,"Deferred",IF(G238="pending","Pending",IF(OR(G238="initial materials submitted",G238="mid-year submitted",G238="final submitted"),"Submitted",IF(H238="interest","Interest","?")))))))</f>
        <v>0</v>
      </c>
      <c r="AM238">
        <f>IF(OR(AK238=ReachLabel,AK238=LongshotLabel,AK238=HailMaryLabel),1,0)</f>
        <v>0</v>
      </c>
      <c r="AN238">
        <f>IF(OR(AM238=1,AK238=MatchLabel),1,0)</f>
        <v>0</v>
      </c>
      <c r="AO238">
        <f>IF(OR(AK238=MatchLabel,AK238=SafetyLabel,AK238=SecureLabel,AK238=SureThingLabel),1,0)</f>
        <v>0</v>
      </c>
      <c r="AP238">
        <f>IF(OR(T238="H",T238="B"),IF(ISNUMBER(Y238),ROUND(Y238,2),0),IF(ISNUMBER(X238),ROUND(X238,2),0))</f>
        <v>0</v>
      </c>
      <c r="AQ238">
        <f>IF(AP238&gt;=U238,1,0)</f>
        <v>0</v>
      </c>
      <c r="AR238">
        <f>IF(AP238&gt;=V238,1,0)</f>
        <v>0</v>
      </c>
      <c r="AS238">
        <f>IF(AP238&lt;(U238-0.10),1,0)</f>
        <v>0</v>
      </c>
      <c r="AT238">
        <f>1-AJ238/100</f>
        <v>0</v>
      </c>
      <c r="AU238">
        <f>IF(AN238=1,AT238,1)</f>
        <v>0</v>
      </c>
      <c r="AV238">
        <f>IF(AM238=1,AT238,1)</f>
        <v>0</v>
      </c>
      <c r="AW238">
        <f>IF(AND(AQ238=1,ISNUMBER(AT238)),$AT238,1)</f>
        <v>0</v>
      </c>
      <c r="AX238">
        <f>IF(AND(AR238=1,ISNUMBER(AT238)),$AT238,1)</f>
        <v>0</v>
      </c>
      <c r="AY238">
        <f>IF(ISNUMBER(Y238),INDEX(AllCollegeMoney, MATCH(N238,AllCollegeNCES,0)),0)</f>
        <v>0</v>
      </c>
      <c r="AZ238">
        <f>IF(AND(AQ238=1,ISNUMBER(AT238),AY238=1),$AT238,1)</f>
        <v>0</v>
      </c>
      <c r="BA238">
        <f>IF(AND(AR238=1,ISNUMBER(AT238),AY238=1),$AT238,1)</f>
        <v>0</v>
      </c>
      <c r="BB238">
        <f>IF(ISNUMBER(Y238),INDEX(AllCollegeILPub, MATCH(N238,AllCollegeNCES,0)),0)</f>
        <v>0</v>
      </c>
      <c r="BC238">
        <f>IF(AK238=ReachLabel,AP238,0)</f>
        <v>0</v>
      </c>
      <c r="BD238">
        <f>IF(AK238=MatchLabel,AP238,0)</f>
        <v>0</v>
      </c>
      <c r="BE238">
        <f>IF(AK238=SafetyLabel,AP238,0)</f>
        <v>0</v>
      </c>
      <c r="BF238">
        <f>IF(AK238=SecureLabel,AP238,0)</f>
        <v>0</v>
      </c>
      <c r="BG238">
        <f>IF(AK238=SureThingLabel,AP238,0)</f>
        <v>0</v>
      </c>
      <c r="BH238">
        <f>MAX(BC238:BG238)</f>
        <v>0</v>
      </c>
      <c r="BI238">
        <f>MAX(BD238:BG238)</f>
        <v>0</v>
      </c>
      <c r="BJ238">
        <f>MAX(BE238:BG238)</f>
        <v>0</v>
      </c>
      <c r="BK238">
        <f>IF(AND(AK238=ReachLabel,AY238=1),AP238,0)</f>
        <v>0</v>
      </c>
      <c r="BL238">
        <f>IF(AND(AK238=MatchLabel,AY238=1),AP238,0)</f>
        <v>0</v>
      </c>
      <c r="BM238">
        <f>IF(AND(AK238=SafetyLabel,AY238=1),AP238,0)</f>
        <v>0</v>
      </c>
      <c r="BN238">
        <f>IF(AND(AK238=SecureLabel,AY238=1),AP238,0)</f>
        <v>0</v>
      </c>
      <c r="BO238">
        <f>IF(AND(AK238=SureThingLabel,AY238=1),AP238,0)</f>
        <v>0</v>
      </c>
      <c r="BP238">
        <f>MAX(BK238:BO238)</f>
        <v>0</v>
      </c>
      <c r="BQ238">
        <f>MAX(BL238:BO238)</f>
        <v>0</v>
      </c>
      <c r="BR238">
        <f>MAX(BM238:BO238)</f>
        <v>0</v>
      </c>
      <c r="BS238">
        <f>IF(ISNUMBER(Y238),INDEX(AllCollegeChicago, MATCH(N238,AllCollegeNCES,0))*AY238,0)</f>
        <v>0</v>
      </c>
      <c r="BT238">
        <f>IF(ISNUMBER(Y238),INDEX(AllCollegeMoneyCode, MATCH(N238,AllCollegeNCES,0)),"?")</f>
        <v>0</v>
      </c>
      <c r="BU238">
        <f>IF(OR(BT238="---",BT238="--",BT238="+/--",BT238="+/---"),1,0)</f>
        <v>0</v>
      </c>
      <c r="BV238">
        <f>AY238*AO238*AQ238</f>
        <v>0</v>
      </c>
    </row>
    <row r="239" spans="1:74">
      <c r="A239" t="s">
        <v>86</v>
      </c>
      <c r="B239">
        <v>22981462</v>
      </c>
      <c r="C239" t="s">
        <v>314</v>
      </c>
      <c r="D239" t="s">
        <v>315</v>
      </c>
      <c r="E239" t="s">
        <v>428</v>
      </c>
      <c r="F239" t="s">
        <v>518</v>
      </c>
      <c r="G239" t="s">
        <v>430</v>
      </c>
      <c r="H239" t="s">
        <v>431</v>
      </c>
      <c r="I239" t="s">
        <v>432</v>
      </c>
      <c r="J239" t="s">
        <v>432</v>
      </c>
      <c r="K239">
        <v>0</v>
      </c>
      <c r="L239" t="s">
        <v>428</v>
      </c>
      <c r="M239" t="s">
        <v>428</v>
      </c>
      <c r="N239">
        <v>146719</v>
      </c>
      <c r="O239">
        <f>INDEX(AllCollegeBarrons,MATCH(N239,AllCollegeNCES,0))</f>
        <v>0</v>
      </c>
      <c r="P239">
        <f>INDEX(KidGPAs,MATCH(B239,KidIDs,0))</f>
        <v>0</v>
      </c>
      <c r="Q239">
        <f>INDEX(KidACTs,MATCH(B239,KidIDs,0))</f>
        <v>0</v>
      </c>
      <c r="R239">
        <f>INDEX(Strats,MATCH(B239,KidIDs,0))</f>
        <v>0</v>
      </c>
      <c r="S239">
        <f>INDEX(KidRace,MATCH(B239,KidIDs,0))</f>
        <v>0</v>
      </c>
      <c r="T239">
        <f>IF(OR(S239="M",S239="I"),"H",S239)</f>
        <v>0</v>
      </c>
      <c r="U239">
        <f>INDEX(StudentTargets,MATCH(B239,KidIDs,0))</f>
        <v>0</v>
      </c>
      <c r="V239">
        <f>INDEX(ReachStudentTargets,MATCH(B239,KidIDs,0))</f>
        <v>0</v>
      </c>
      <c r="W239">
        <f>IF(OR(M239="Posse"),1,0)</f>
        <v>0</v>
      </c>
      <c r="X239">
        <f>IF(ISNUMBER(INDEX(AllCollegeGR, MATCH(N239,AllCollegeNCES,0))),ROUND(INDEX(AllCollegeGR, MATCH(N239,AllCollegeNCES,0))+W239*IF(INDEX(AllCollegeGR, MATCH(N239,AllCollegeNCES,0))&gt;0.7,(1-INDEX(AllCollegeGR, MATCH(N239,AllCollegeNCES,0)))/2,0.15),2),INDEX(AllCollegeGR, MATCH(N239,AllCollegeNCES,0)))</f>
        <v>0</v>
      </c>
      <c r="Y239">
        <f>IF(ISNUMBER(INDEX(AllCollegeAAHGR, MATCH(N239,AllCollegeNCES,0))),ROUND(INDEX(AllCollegeAAHGR, MATCH(N239,AllCollegeNCES,0))+W239*IF(INDEX(AllCollegeAAHGR, MATCH(N239,AllCollegeNCES,0))&gt;0.7,(1-INDEX(AllCollegeAAHGR, MATCH(N239,AllCollegeNCES,0)))/2,0.15),2),INDEX(AllCollegeAAHGR, MATCH(N239,AllCollegeNCES,0)))</f>
        <v>0</v>
      </c>
      <c r="Z239">
        <f>IF(OR(T239="H",T239="B"),INDEX(AllCollegeACT25, MATCH(N239,AllCollegeNCES,0)),INDEX(AllCollegeACT50, MATCH(N239,AllCollegeNCES,0)))</f>
        <v>0</v>
      </c>
      <c r="AA239">
        <f>INDEX(CustomWeightsGPA,MATCH(T239&amp;":"&amp;N239,CustomWeightsIndex,0))</f>
        <v>0</v>
      </c>
      <c r="AB239">
        <f>INDEX(CustomWeightsACT,MATCH(T239&amp;":"&amp;N239,CustomWeightsIndex,0))</f>
        <v>0</v>
      </c>
      <c r="AC239">
        <f>INDEX(CustomWeightsIntercept,MATCH(T239&amp;":"&amp;N239,CustomWeightsIndex,0))</f>
        <v>0</v>
      </c>
      <c r="AD239">
        <f>AA239*P239+AB239*Q239+AC239</f>
        <v>0</v>
      </c>
      <c r="AE239">
        <f>INDEX(CoefficientsGPA,MATCH(T239&amp;":"&amp;O239,CoefficientsIndex,0))</f>
        <v>0</v>
      </c>
      <c r="AF239">
        <f>INDEX(CoefficientsACT,MATCH(T239&amp;":"&amp;O239,CoefficientsIndex,0))</f>
        <v>0</v>
      </c>
      <c r="AG239">
        <f>INDEX(CoefficientsIntercept,MATCH(T239&amp;":"&amp;O239,CoefficientsIndex,0))</f>
        <v>0</v>
      </c>
      <c r="AH239">
        <f>AE239*P239+(Q239-Z239)*AF239+AG239</f>
        <v>0</v>
      </c>
      <c r="AI239">
        <f>IF(ISNUMBER(AD239),AD239,AH239)</f>
        <v>0</v>
      </c>
      <c r="AJ239">
        <f>IF(ISNUMBER(AI239),IF(ISNUMBER(AE239),IF(AND(AE239=1,AF239=1,AG239=1),100,ROUND(100*EXP(AI239)/(1+EXP(AI239)),2)),ROUND(100*EXP(AI239)/(1+EXP(AI239)),2)),IF(ISTEXT(O239),IF(LEFT(O239,1)="2",100,"N/A"),"N/A"))</f>
        <v>0</v>
      </c>
      <c r="AK239">
        <f>IF(ISNUMBER(AJ239),IF(AJ239&gt;=99,IF(OR(R239=10,R239=11),MatchLabel,SureThingLabel),IF(AJ239&gt;=95,SecureLabel,IF(AJ239&gt;=80,SafetyLabel,IF(AJ239&gt;=50,MatchLabel,IF(AJ239&gt;=20,ReachLabel,IF(AJ239&gt;=10,LongshotLabel,HailMaryLabel)))))),"Other")</f>
        <v>0</v>
      </c>
      <c r="AL239">
        <f>IF(OR(I239="accepted",I239="cond. accept",I239="summer admit"),IF(J239="yes","CHOICE!","Accepted!"),IF(I239="denied","Denied",IF(K239=1,"Waitlist",IF(L239=1,"Deferred",IF(G239="pending","Pending",IF(OR(G239="initial materials submitted",G239="mid-year submitted",G239="final submitted"),"Submitted",IF(H239="interest","Interest","?")))))))</f>
        <v>0</v>
      </c>
      <c r="AM239">
        <f>IF(OR(AK239=ReachLabel,AK239=LongshotLabel,AK239=HailMaryLabel),1,0)</f>
        <v>0</v>
      </c>
      <c r="AN239">
        <f>IF(OR(AM239=1,AK239=MatchLabel),1,0)</f>
        <v>0</v>
      </c>
      <c r="AO239">
        <f>IF(OR(AK239=MatchLabel,AK239=SafetyLabel,AK239=SecureLabel,AK239=SureThingLabel),1,0)</f>
        <v>0</v>
      </c>
      <c r="AP239">
        <f>IF(OR(T239="H",T239="B"),IF(ISNUMBER(Y239),ROUND(Y239,2),0),IF(ISNUMBER(X239),ROUND(X239,2),0))</f>
        <v>0</v>
      </c>
      <c r="AQ239">
        <f>IF(AP239&gt;=U239,1,0)</f>
        <v>0</v>
      </c>
      <c r="AR239">
        <f>IF(AP239&gt;=V239,1,0)</f>
        <v>0</v>
      </c>
      <c r="AS239">
        <f>IF(AP239&lt;(U239-0.10),1,0)</f>
        <v>0</v>
      </c>
      <c r="AT239">
        <f>1-AJ239/100</f>
        <v>0</v>
      </c>
      <c r="AU239">
        <f>IF(AN239=1,AT239,1)</f>
        <v>0</v>
      </c>
      <c r="AV239">
        <f>IF(AM239=1,AT239,1)</f>
        <v>0</v>
      </c>
      <c r="AW239">
        <f>IF(AND(AQ239=1,ISNUMBER(AT239)),$AT239,1)</f>
        <v>0</v>
      </c>
      <c r="AX239">
        <f>IF(AND(AR239=1,ISNUMBER(AT239)),$AT239,1)</f>
        <v>0</v>
      </c>
      <c r="AY239">
        <f>IF(ISNUMBER(Y239),INDEX(AllCollegeMoney, MATCH(N239,AllCollegeNCES,0)),0)</f>
        <v>0</v>
      </c>
      <c r="AZ239">
        <f>IF(AND(AQ239=1,ISNUMBER(AT239),AY239=1),$AT239,1)</f>
        <v>0</v>
      </c>
      <c r="BA239">
        <f>IF(AND(AR239=1,ISNUMBER(AT239),AY239=1),$AT239,1)</f>
        <v>0</v>
      </c>
      <c r="BB239">
        <f>IF(ISNUMBER(Y239),INDEX(AllCollegeILPub, MATCH(N239,AllCollegeNCES,0)),0)</f>
        <v>0</v>
      </c>
      <c r="BC239">
        <f>IF(AK239=ReachLabel,AP239,0)</f>
        <v>0</v>
      </c>
      <c r="BD239">
        <f>IF(AK239=MatchLabel,AP239,0)</f>
        <v>0</v>
      </c>
      <c r="BE239">
        <f>IF(AK239=SafetyLabel,AP239,0)</f>
        <v>0</v>
      </c>
      <c r="BF239">
        <f>IF(AK239=SecureLabel,AP239,0)</f>
        <v>0</v>
      </c>
      <c r="BG239">
        <f>IF(AK239=SureThingLabel,AP239,0)</f>
        <v>0</v>
      </c>
      <c r="BH239">
        <f>MAX(BC239:BG239)</f>
        <v>0</v>
      </c>
      <c r="BI239">
        <f>MAX(BD239:BG239)</f>
        <v>0</v>
      </c>
      <c r="BJ239">
        <f>MAX(BE239:BG239)</f>
        <v>0</v>
      </c>
      <c r="BK239">
        <f>IF(AND(AK239=ReachLabel,AY239=1),AP239,0)</f>
        <v>0</v>
      </c>
      <c r="BL239">
        <f>IF(AND(AK239=MatchLabel,AY239=1),AP239,0)</f>
        <v>0</v>
      </c>
      <c r="BM239">
        <f>IF(AND(AK239=SafetyLabel,AY239=1),AP239,0)</f>
        <v>0</v>
      </c>
      <c r="BN239">
        <f>IF(AND(AK239=SecureLabel,AY239=1),AP239,0)</f>
        <v>0</v>
      </c>
      <c r="BO239">
        <f>IF(AND(AK239=SureThingLabel,AY239=1),AP239,0)</f>
        <v>0</v>
      </c>
      <c r="BP239">
        <f>MAX(BK239:BO239)</f>
        <v>0</v>
      </c>
      <c r="BQ239">
        <f>MAX(BL239:BO239)</f>
        <v>0</v>
      </c>
      <c r="BR239">
        <f>MAX(BM239:BO239)</f>
        <v>0</v>
      </c>
      <c r="BS239">
        <f>IF(ISNUMBER(Y239),INDEX(AllCollegeChicago, MATCH(N239,AllCollegeNCES,0))*AY239,0)</f>
        <v>0</v>
      </c>
      <c r="BT239">
        <f>IF(ISNUMBER(Y239),INDEX(AllCollegeMoneyCode, MATCH(N239,AllCollegeNCES,0)),"?")</f>
        <v>0</v>
      </c>
      <c r="BU239">
        <f>IF(OR(BT239="---",BT239="--",BT239="+/--",BT239="+/---"),1,0)</f>
        <v>0</v>
      </c>
      <c r="BV239">
        <f>AY239*AO239*AQ239</f>
        <v>0</v>
      </c>
    </row>
    <row r="240" spans="1:74">
      <c r="A240" t="s">
        <v>86</v>
      </c>
      <c r="B240">
        <v>23018720</v>
      </c>
      <c r="C240" t="s">
        <v>173</v>
      </c>
      <c r="D240" t="s">
        <v>174</v>
      </c>
      <c r="E240" t="s">
        <v>428</v>
      </c>
      <c r="F240" t="s">
        <v>519</v>
      </c>
      <c r="G240" t="s">
        <v>430</v>
      </c>
      <c r="H240" t="s">
        <v>431</v>
      </c>
      <c r="I240" t="s">
        <v>432</v>
      </c>
      <c r="J240" t="s">
        <v>432</v>
      </c>
      <c r="K240">
        <v>0</v>
      </c>
      <c r="L240" t="s">
        <v>428</v>
      </c>
      <c r="M240" t="s">
        <v>428</v>
      </c>
      <c r="N240">
        <v>239628</v>
      </c>
      <c r="O240">
        <f>INDEX(AllCollegeBarrons,MATCH(N240,AllCollegeNCES,0))</f>
        <v>0</v>
      </c>
      <c r="P240">
        <f>INDEX(KidGPAs,MATCH(B240,KidIDs,0))</f>
        <v>0</v>
      </c>
      <c r="Q240">
        <f>INDEX(KidACTs,MATCH(B240,KidIDs,0))</f>
        <v>0</v>
      </c>
      <c r="R240">
        <f>INDEX(Strats,MATCH(B240,KidIDs,0))</f>
        <v>0</v>
      </c>
      <c r="S240">
        <f>INDEX(KidRace,MATCH(B240,KidIDs,0))</f>
        <v>0</v>
      </c>
      <c r="T240">
        <f>IF(OR(S240="M",S240="I"),"H",S240)</f>
        <v>0</v>
      </c>
      <c r="U240">
        <f>INDEX(StudentTargets,MATCH(B240,KidIDs,0))</f>
        <v>0</v>
      </c>
      <c r="V240">
        <f>INDEX(ReachStudentTargets,MATCH(B240,KidIDs,0))</f>
        <v>0</v>
      </c>
      <c r="W240">
        <f>IF(OR(M240="Posse"),1,0)</f>
        <v>0</v>
      </c>
      <c r="X240">
        <f>IF(ISNUMBER(INDEX(AllCollegeGR, MATCH(N240,AllCollegeNCES,0))),ROUND(INDEX(AllCollegeGR, MATCH(N240,AllCollegeNCES,0))+W240*IF(INDEX(AllCollegeGR, MATCH(N240,AllCollegeNCES,0))&gt;0.7,(1-INDEX(AllCollegeGR, MATCH(N240,AllCollegeNCES,0)))/2,0.15),2),INDEX(AllCollegeGR, MATCH(N240,AllCollegeNCES,0)))</f>
        <v>0</v>
      </c>
      <c r="Y240">
        <f>IF(ISNUMBER(INDEX(AllCollegeAAHGR, MATCH(N240,AllCollegeNCES,0))),ROUND(INDEX(AllCollegeAAHGR, MATCH(N240,AllCollegeNCES,0))+W240*IF(INDEX(AllCollegeAAHGR, MATCH(N240,AllCollegeNCES,0))&gt;0.7,(1-INDEX(AllCollegeAAHGR, MATCH(N240,AllCollegeNCES,0)))/2,0.15),2),INDEX(AllCollegeAAHGR, MATCH(N240,AllCollegeNCES,0)))</f>
        <v>0</v>
      </c>
      <c r="Z240">
        <f>IF(OR(T240="H",T240="B"),INDEX(AllCollegeACT25, MATCH(N240,AllCollegeNCES,0)),INDEX(AllCollegeACT50, MATCH(N240,AllCollegeNCES,0)))</f>
        <v>0</v>
      </c>
      <c r="AA240">
        <f>INDEX(CustomWeightsGPA,MATCH(T240&amp;":"&amp;N240,CustomWeightsIndex,0))</f>
        <v>0</v>
      </c>
      <c r="AB240">
        <f>INDEX(CustomWeightsACT,MATCH(T240&amp;":"&amp;N240,CustomWeightsIndex,0))</f>
        <v>0</v>
      </c>
      <c r="AC240">
        <f>INDEX(CustomWeightsIntercept,MATCH(T240&amp;":"&amp;N240,CustomWeightsIndex,0))</f>
        <v>0</v>
      </c>
      <c r="AD240">
        <f>AA240*P240+AB240*Q240+AC240</f>
        <v>0</v>
      </c>
      <c r="AE240">
        <f>INDEX(CoefficientsGPA,MATCH(T240&amp;":"&amp;O240,CoefficientsIndex,0))</f>
        <v>0</v>
      </c>
      <c r="AF240">
        <f>INDEX(CoefficientsACT,MATCH(T240&amp;":"&amp;O240,CoefficientsIndex,0))</f>
        <v>0</v>
      </c>
      <c r="AG240">
        <f>INDEX(CoefficientsIntercept,MATCH(T240&amp;":"&amp;O240,CoefficientsIndex,0))</f>
        <v>0</v>
      </c>
      <c r="AH240">
        <f>AE240*P240+(Q240-Z240)*AF240+AG240</f>
        <v>0</v>
      </c>
      <c r="AI240">
        <f>IF(ISNUMBER(AD240),AD240,AH240)</f>
        <v>0</v>
      </c>
      <c r="AJ240">
        <f>IF(ISNUMBER(AI240),IF(ISNUMBER(AE240),IF(AND(AE240=1,AF240=1,AG240=1),100,ROUND(100*EXP(AI240)/(1+EXP(AI240)),2)),ROUND(100*EXP(AI240)/(1+EXP(AI240)),2)),IF(ISTEXT(O240),IF(LEFT(O240,1)="2",100,"N/A"),"N/A"))</f>
        <v>0</v>
      </c>
      <c r="AK240">
        <f>IF(ISNUMBER(AJ240),IF(AJ240&gt;=99,IF(OR(R240=10,R240=11),MatchLabel,SureThingLabel),IF(AJ240&gt;=95,SecureLabel,IF(AJ240&gt;=80,SafetyLabel,IF(AJ240&gt;=50,MatchLabel,IF(AJ240&gt;=20,ReachLabel,IF(AJ240&gt;=10,LongshotLabel,HailMaryLabel)))))),"Other")</f>
        <v>0</v>
      </c>
      <c r="AL240">
        <f>IF(OR(I240="accepted",I240="cond. accept",I240="summer admit"),IF(J240="yes","CHOICE!","Accepted!"),IF(I240="denied","Denied",IF(K240=1,"Waitlist",IF(L240=1,"Deferred",IF(G240="pending","Pending",IF(OR(G240="initial materials submitted",G240="mid-year submitted",G240="final submitted"),"Submitted",IF(H240="interest","Interest","?")))))))</f>
        <v>0</v>
      </c>
      <c r="AM240">
        <f>IF(OR(AK240=ReachLabel,AK240=LongshotLabel,AK240=HailMaryLabel),1,0)</f>
        <v>0</v>
      </c>
      <c r="AN240">
        <f>IF(OR(AM240=1,AK240=MatchLabel),1,0)</f>
        <v>0</v>
      </c>
      <c r="AO240">
        <f>IF(OR(AK240=MatchLabel,AK240=SafetyLabel,AK240=SecureLabel,AK240=SureThingLabel),1,0)</f>
        <v>0</v>
      </c>
      <c r="AP240">
        <f>IF(OR(T240="H",T240="B"),IF(ISNUMBER(Y240),ROUND(Y240,2),0),IF(ISNUMBER(X240),ROUND(X240,2),0))</f>
        <v>0</v>
      </c>
      <c r="AQ240">
        <f>IF(AP240&gt;=U240,1,0)</f>
        <v>0</v>
      </c>
      <c r="AR240">
        <f>IF(AP240&gt;=V240,1,0)</f>
        <v>0</v>
      </c>
      <c r="AS240">
        <f>IF(AP240&lt;(U240-0.10),1,0)</f>
        <v>0</v>
      </c>
      <c r="AT240">
        <f>1-AJ240/100</f>
        <v>0</v>
      </c>
      <c r="AU240">
        <f>IF(AN240=1,AT240,1)</f>
        <v>0</v>
      </c>
      <c r="AV240">
        <f>IF(AM240=1,AT240,1)</f>
        <v>0</v>
      </c>
      <c r="AW240">
        <f>IF(AND(AQ240=1,ISNUMBER(AT240)),$AT240,1)</f>
        <v>0</v>
      </c>
      <c r="AX240">
        <f>IF(AND(AR240=1,ISNUMBER(AT240)),$AT240,1)</f>
        <v>0</v>
      </c>
      <c r="AY240">
        <f>IF(ISNUMBER(Y240),INDEX(AllCollegeMoney, MATCH(N240,AllCollegeNCES,0)),0)</f>
        <v>0</v>
      </c>
      <c r="AZ240">
        <f>IF(AND(AQ240=1,ISNUMBER(AT240),AY240=1),$AT240,1)</f>
        <v>0</v>
      </c>
      <c r="BA240">
        <f>IF(AND(AR240=1,ISNUMBER(AT240),AY240=1),$AT240,1)</f>
        <v>0</v>
      </c>
      <c r="BB240">
        <f>IF(ISNUMBER(Y240),INDEX(AllCollegeILPub, MATCH(N240,AllCollegeNCES,0)),0)</f>
        <v>0</v>
      </c>
      <c r="BC240">
        <f>IF(AK240=ReachLabel,AP240,0)</f>
        <v>0</v>
      </c>
      <c r="BD240">
        <f>IF(AK240=MatchLabel,AP240,0)</f>
        <v>0</v>
      </c>
      <c r="BE240">
        <f>IF(AK240=SafetyLabel,AP240,0)</f>
        <v>0</v>
      </c>
      <c r="BF240">
        <f>IF(AK240=SecureLabel,AP240,0)</f>
        <v>0</v>
      </c>
      <c r="BG240">
        <f>IF(AK240=SureThingLabel,AP240,0)</f>
        <v>0</v>
      </c>
      <c r="BH240">
        <f>MAX(BC240:BG240)</f>
        <v>0</v>
      </c>
      <c r="BI240">
        <f>MAX(BD240:BG240)</f>
        <v>0</v>
      </c>
      <c r="BJ240">
        <f>MAX(BE240:BG240)</f>
        <v>0</v>
      </c>
      <c r="BK240">
        <f>IF(AND(AK240=ReachLabel,AY240=1),AP240,0)</f>
        <v>0</v>
      </c>
      <c r="BL240">
        <f>IF(AND(AK240=MatchLabel,AY240=1),AP240,0)</f>
        <v>0</v>
      </c>
      <c r="BM240">
        <f>IF(AND(AK240=SafetyLabel,AY240=1),AP240,0)</f>
        <v>0</v>
      </c>
      <c r="BN240">
        <f>IF(AND(AK240=SecureLabel,AY240=1),AP240,0)</f>
        <v>0</v>
      </c>
      <c r="BO240">
        <f>IF(AND(AK240=SureThingLabel,AY240=1),AP240,0)</f>
        <v>0</v>
      </c>
      <c r="BP240">
        <f>MAX(BK240:BO240)</f>
        <v>0</v>
      </c>
      <c r="BQ240">
        <f>MAX(BL240:BO240)</f>
        <v>0</v>
      </c>
      <c r="BR240">
        <f>MAX(BM240:BO240)</f>
        <v>0</v>
      </c>
      <c r="BS240">
        <f>IF(ISNUMBER(Y240),INDEX(AllCollegeChicago, MATCH(N240,AllCollegeNCES,0))*AY240,0)</f>
        <v>0</v>
      </c>
      <c r="BT240">
        <f>IF(ISNUMBER(Y240),INDEX(AllCollegeMoneyCode, MATCH(N240,AllCollegeNCES,0)),"?")</f>
        <v>0</v>
      </c>
      <c r="BU240">
        <f>IF(OR(BT240="---",BT240="--",BT240="+/--",BT240="+/---"),1,0)</f>
        <v>0</v>
      </c>
      <c r="BV240">
        <f>AY240*AO240*AQ240</f>
        <v>0</v>
      </c>
    </row>
    <row r="241" spans="1:74">
      <c r="A241" t="s">
        <v>86</v>
      </c>
      <c r="B241">
        <v>23018720</v>
      </c>
      <c r="C241" t="s">
        <v>173</v>
      </c>
      <c r="D241" t="s">
        <v>174</v>
      </c>
      <c r="E241" t="s">
        <v>428</v>
      </c>
      <c r="F241" t="s">
        <v>462</v>
      </c>
      <c r="G241" t="s">
        <v>430</v>
      </c>
      <c r="H241" t="s">
        <v>431</v>
      </c>
      <c r="I241" t="s">
        <v>432</v>
      </c>
      <c r="J241" t="s">
        <v>432</v>
      </c>
      <c r="K241">
        <v>0</v>
      </c>
      <c r="L241" t="s">
        <v>428</v>
      </c>
      <c r="M241" t="s">
        <v>428</v>
      </c>
      <c r="N241">
        <v>168546</v>
      </c>
      <c r="O241">
        <f>INDEX(AllCollegeBarrons,MATCH(N241,AllCollegeNCES,0))</f>
        <v>0</v>
      </c>
      <c r="P241">
        <f>INDEX(KidGPAs,MATCH(B241,KidIDs,0))</f>
        <v>0</v>
      </c>
      <c r="Q241">
        <f>INDEX(KidACTs,MATCH(B241,KidIDs,0))</f>
        <v>0</v>
      </c>
      <c r="R241">
        <f>INDEX(Strats,MATCH(B241,KidIDs,0))</f>
        <v>0</v>
      </c>
      <c r="S241">
        <f>INDEX(KidRace,MATCH(B241,KidIDs,0))</f>
        <v>0</v>
      </c>
      <c r="T241">
        <f>IF(OR(S241="M",S241="I"),"H",S241)</f>
        <v>0</v>
      </c>
      <c r="U241">
        <f>INDEX(StudentTargets,MATCH(B241,KidIDs,0))</f>
        <v>0</v>
      </c>
      <c r="V241">
        <f>INDEX(ReachStudentTargets,MATCH(B241,KidIDs,0))</f>
        <v>0</v>
      </c>
      <c r="W241">
        <f>IF(OR(M241="Posse"),1,0)</f>
        <v>0</v>
      </c>
      <c r="X241">
        <f>IF(ISNUMBER(INDEX(AllCollegeGR, MATCH(N241,AllCollegeNCES,0))),ROUND(INDEX(AllCollegeGR, MATCH(N241,AllCollegeNCES,0))+W241*IF(INDEX(AllCollegeGR, MATCH(N241,AllCollegeNCES,0))&gt;0.7,(1-INDEX(AllCollegeGR, MATCH(N241,AllCollegeNCES,0)))/2,0.15),2),INDEX(AllCollegeGR, MATCH(N241,AllCollegeNCES,0)))</f>
        <v>0</v>
      </c>
      <c r="Y241">
        <f>IF(ISNUMBER(INDEX(AllCollegeAAHGR, MATCH(N241,AllCollegeNCES,0))),ROUND(INDEX(AllCollegeAAHGR, MATCH(N241,AllCollegeNCES,0))+W241*IF(INDEX(AllCollegeAAHGR, MATCH(N241,AllCollegeNCES,0))&gt;0.7,(1-INDEX(AllCollegeAAHGR, MATCH(N241,AllCollegeNCES,0)))/2,0.15),2),INDEX(AllCollegeAAHGR, MATCH(N241,AllCollegeNCES,0)))</f>
        <v>0</v>
      </c>
      <c r="Z241">
        <f>IF(OR(T241="H",T241="B"),INDEX(AllCollegeACT25, MATCH(N241,AllCollegeNCES,0)),INDEX(AllCollegeACT50, MATCH(N241,AllCollegeNCES,0)))</f>
        <v>0</v>
      </c>
      <c r="AA241">
        <f>INDEX(CustomWeightsGPA,MATCH(T241&amp;":"&amp;N241,CustomWeightsIndex,0))</f>
        <v>0</v>
      </c>
      <c r="AB241">
        <f>INDEX(CustomWeightsACT,MATCH(T241&amp;":"&amp;N241,CustomWeightsIndex,0))</f>
        <v>0</v>
      </c>
      <c r="AC241">
        <f>INDEX(CustomWeightsIntercept,MATCH(T241&amp;":"&amp;N241,CustomWeightsIndex,0))</f>
        <v>0</v>
      </c>
      <c r="AD241">
        <f>AA241*P241+AB241*Q241+AC241</f>
        <v>0</v>
      </c>
      <c r="AE241">
        <f>INDEX(CoefficientsGPA,MATCH(T241&amp;":"&amp;O241,CoefficientsIndex,0))</f>
        <v>0</v>
      </c>
      <c r="AF241">
        <f>INDEX(CoefficientsACT,MATCH(T241&amp;":"&amp;O241,CoefficientsIndex,0))</f>
        <v>0</v>
      </c>
      <c r="AG241">
        <f>INDEX(CoefficientsIntercept,MATCH(T241&amp;":"&amp;O241,CoefficientsIndex,0))</f>
        <v>0</v>
      </c>
      <c r="AH241">
        <f>AE241*P241+(Q241-Z241)*AF241+AG241</f>
        <v>0</v>
      </c>
      <c r="AI241">
        <f>IF(ISNUMBER(AD241),AD241,AH241)</f>
        <v>0</v>
      </c>
      <c r="AJ241">
        <f>IF(ISNUMBER(AI241),IF(ISNUMBER(AE241),IF(AND(AE241=1,AF241=1,AG241=1),100,ROUND(100*EXP(AI241)/(1+EXP(AI241)),2)),ROUND(100*EXP(AI241)/(1+EXP(AI241)),2)),IF(ISTEXT(O241),IF(LEFT(O241,1)="2",100,"N/A"),"N/A"))</f>
        <v>0</v>
      </c>
      <c r="AK241">
        <f>IF(ISNUMBER(AJ241),IF(AJ241&gt;=99,IF(OR(R241=10,R241=11),MatchLabel,SureThingLabel),IF(AJ241&gt;=95,SecureLabel,IF(AJ241&gt;=80,SafetyLabel,IF(AJ241&gt;=50,MatchLabel,IF(AJ241&gt;=20,ReachLabel,IF(AJ241&gt;=10,LongshotLabel,HailMaryLabel)))))),"Other")</f>
        <v>0</v>
      </c>
      <c r="AL241">
        <f>IF(OR(I241="accepted",I241="cond. accept",I241="summer admit"),IF(J241="yes","CHOICE!","Accepted!"),IF(I241="denied","Denied",IF(K241=1,"Waitlist",IF(L241=1,"Deferred",IF(G241="pending","Pending",IF(OR(G241="initial materials submitted",G241="mid-year submitted",G241="final submitted"),"Submitted",IF(H241="interest","Interest","?")))))))</f>
        <v>0</v>
      </c>
      <c r="AM241">
        <f>IF(OR(AK241=ReachLabel,AK241=LongshotLabel,AK241=HailMaryLabel),1,0)</f>
        <v>0</v>
      </c>
      <c r="AN241">
        <f>IF(OR(AM241=1,AK241=MatchLabel),1,0)</f>
        <v>0</v>
      </c>
      <c r="AO241">
        <f>IF(OR(AK241=MatchLabel,AK241=SafetyLabel,AK241=SecureLabel,AK241=SureThingLabel),1,0)</f>
        <v>0</v>
      </c>
      <c r="AP241">
        <f>IF(OR(T241="H",T241="B"),IF(ISNUMBER(Y241),ROUND(Y241,2),0),IF(ISNUMBER(X241),ROUND(X241,2),0))</f>
        <v>0</v>
      </c>
      <c r="AQ241">
        <f>IF(AP241&gt;=U241,1,0)</f>
        <v>0</v>
      </c>
      <c r="AR241">
        <f>IF(AP241&gt;=V241,1,0)</f>
        <v>0</v>
      </c>
      <c r="AS241">
        <f>IF(AP241&lt;(U241-0.10),1,0)</f>
        <v>0</v>
      </c>
      <c r="AT241">
        <f>1-AJ241/100</f>
        <v>0</v>
      </c>
      <c r="AU241">
        <f>IF(AN241=1,AT241,1)</f>
        <v>0</v>
      </c>
      <c r="AV241">
        <f>IF(AM241=1,AT241,1)</f>
        <v>0</v>
      </c>
      <c r="AW241">
        <f>IF(AND(AQ241=1,ISNUMBER(AT241)),$AT241,1)</f>
        <v>0</v>
      </c>
      <c r="AX241">
        <f>IF(AND(AR241=1,ISNUMBER(AT241)),$AT241,1)</f>
        <v>0</v>
      </c>
      <c r="AY241">
        <f>IF(ISNUMBER(Y241),INDEX(AllCollegeMoney, MATCH(N241,AllCollegeNCES,0)),0)</f>
        <v>0</v>
      </c>
      <c r="AZ241">
        <f>IF(AND(AQ241=1,ISNUMBER(AT241),AY241=1),$AT241,1)</f>
        <v>0</v>
      </c>
      <c r="BA241">
        <f>IF(AND(AR241=1,ISNUMBER(AT241),AY241=1),$AT241,1)</f>
        <v>0</v>
      </c>
      <c r="BB241">
        <f>IF(ISNUMBER(Y241),INDEX(AllCollegeILPub, MATCH(N241,AllCollegeNCES,0)),0)</f>
        <v>0</v>
      </c>
      <c r="BC241">
        <f>IF(AK241=ReachLabel,AP241,0)</f>
        <v>0</v>
      </c>
      <c r="BD241">
        <f>IF(AK241=MatchLabel,AP241,0)</f>
        <v>0</v>
      </c>
      <c r="BE241">
        <f>IF(AK241=SafetyLabel,AP241,0)</f>
        <v>0</v>
      </c>
      <c r="BF241">
        <f>IF(AK241=SecureLabel,AP241,0)</f>
        <v>0</v>
      </c>
      <c r="BG241">
        <f>IF(AK241=SureThingLabel,AP241,0)</f>
        <v>0</v>
      </c>
      <c r="BH241">
        <f>MAX(BC241:BG241)</f>
        <v>0</v>
      </c>
      <c r="BI241">
        <f>MAX(BD241:BG241)</f>
        <v>0</v>
      </c>
      <c r="BJ241">
        <f>MAX(BE241:BG241)</f>
        <v>0</v>
      </c>
      <c r="BK241">
        <f>IF(AND(AK241=ReachLabel,AY241=1),AP241,0)</f>
        <v>0</v>
      </c>
      <c r="BL241">
        <f>IF(AND(AK241=MatchLabel,AY241=1),AP241,0)</f>
        <v>0</v>
      </c>
      <c r="BM241">
        <f>IF(AND(AK241=SafetyLabel,AY241=1),AP241,0)</f>
        <v>0</v>
      </c>
      <c r="BN241">
        <f>IF(AND(AK241=SecureLabel,AY241=1),AP241,0)</f>
        <v>0</v>
      </c>
      <c r="BO241">
        <f>IF(AND(AK241=SureThingLabel,AY241=1),AP241,0)</f>
        <v>0</v>
      </c>
      <c r="BP241">
        <f>MAX(BK241:BO241)</f>
        <v>0</v>
      </c>
      <c r="BQ241">
        <f>MAX(BL241:BO241)</f>
        <v>0</v>
      </c>
      <c r="BR241">
        <f>MAX(BM241:BO241)</f>
        <v>0</v>
      </c>
      <c r="BS241">
        <f>IF(ISNUMBER(Y241),INDEX(AllCollegeChicago, MATCH(N241,AllCollegeNCES,0))*AY241,0)</f>
        <v>0</v>
      </c>
      <c r="BT241">
        <f>IF(ISNUMBER(Y241),INDEX(AllCollegeMoneyCode, MATCH(N241,AllCollegeNCES,0)),"?")</f>
        <v>0</v>
      </c>
      <c r="BU241">
        <f>IF(OR(BT241="---",BT241="--",BT241="+/--",BT241="+/---"),1,0)</f>
        <v>0</v>
      </c>
      <c r="BV241">
        <f>AY241*AO241*AQ241</f>
        <v>0</v>
      </c>
    </row>
    <row r="242" spans="1:74">
      <c r="A242" t="s">
        <v>86</v>
      </c>
      <c r="B242">
        <v>23018720</v>
      </c>
      <c r="C242" t="s">
        <v>173</v>
      </c>
      <c r="D242" t="s">
        <v>174</v>
      </c>
      <c r="E242" t="s">
        <v>428</v>
      </c>
      <c r="F242" t="s">
        <v>433</v>
      </c>
      <c r="G242" t="s">
        <v>430</v>
      </c>
      <c r="H242" t="s">
        <v>431</v>
      </c>
      <c r="I242" t="s">
        <v>432</v>
      </c>
      <c r="J242" t="s">
        <v>432</v>
      </c>
      <c r="K242">
        <v>0</v>
      </c>
      <c r="L242" t="s">
        <v>428</v>
      </c>
      <c r="M242" t="s">
        <v>428</v>
      </c>
      <c r="N242">
        <v>148496</v>
      </c>
      <c r="O242">
        <f>INDEX(AllCollegeBarrons,MATCH(N242,AllCollegeNCES,0))</f>
        <v>0</v>
      </c>
      <c r="P242">
        <f>INDEX(KidGPAs,MATCH(B242,KidIDs,0))</f>
        <v>0</v>
      </c>
      <c r="Q242">
        <f>INDEX(KidACTs,MATCH(B242,KidIDs,0))</f>
        <v>0</v>
      </c>
      <c r="R242">
        <f>INDEX(Strats,MATCH(B242,KidIDs,0))</f>
        <v>0</v>
      </c>
      <c r="S242">
        <f>INDEX(KidRace,MATCH(B242,KidIDs,0))</f>
        <v>0</v>
      </c>
      <c r="T242">
        <f>IF(OR(S242="M",S242="I"),"H",S242)</f>
        <v>0</v>
      </c>
      <c r="U242">
        <f>INDEX(StudentTargets,MATCH(B242,KidIDs,0))</f>
        <v>0</v>
      </c>
      <c r="V242">
        <f>INDEX(ReachStudentTargets,MATCH(B242,KidIDs,0))</f>
        <v>0</v>
      </c>
      <c r="W242">
        <f>IF(OR(M242="Posse"),1,0)</f>
        <v>0</v>
      </c>
      <c r="X242">
        <f>IF(ISNUMBER(INDEX(AllCollegeGR, MATCH(N242,AllCollegeNCES,0))),ROUND(INDEX(AllCollegeGR, MATCH(N242,AllCollegeNCES,0))+W242*IF(INDEX(AllCollegeGR, MATCH(N242,AllCollegeNCES,0))&gt;0.7,(1-INDEX(AllCollegeGR, MATCH(N242,AllCollegeNCES,0)))/2,0.15),2),INDEX(AllCollegeGR, MATCH(N242,AllCollegeNCES,0)))</f>
        <v>0</v>
      </c>
      <c r="Y242">
        <f>IF(ISNUMBER(INDEX(AllCollegeAAHGR, MATCH(N242,AllCollegeNCES,0))),ROUND(INDEX(AllCollegeAAHGR, MATCH(N242,AllCollegeNCES,0))+W242*IF(INDEX(AllCollegeAAHGR, MATCH(N242,AllCollegeNCES,0))&gt;0.7,(1-INDEX(AllCollegeAAHGR, MATCH(N242,AllCollegeNCES,0)))/2,0.15),2),INDEX(AllCollegeAAHGR, MATCH(N242,AllCollegeNCES,0)))</f>
        <v>0</v>
      </c>
      <c r="Z242">
        <f>IF(OR(T242="H",T242="B"),INDEX(AllCollegeACT25, MATCH(N242,AllCollegeNCES,0)),INDEX(AllCollegeACT50, MATCH(N242,AllCollegeNCES,0)))</f>
        <v>0</v>
      </c>
      <c r="AA242">
        <f>INDEX(CustomWeightsGPA,MATCH(T242&amp;":"&amp;N242,CustomWeightsIndex,0))</f>
        <v>0</v>
      </c>
      <c r="AB242">
        <f>INDEX(CustomWeightsACT,MATCH(T242&amp;":"&amp;N242,CustomWeightsIndex,0))</f>
        <v>0</v>
      </c>
      <c r="AC242">
        <f>INDEX(CustomWeightsIntercept,MATCH(T242&amp;":"&amp;N242,CustomWeightsIndex,0))</f>
        <v>0</v>
      </c>
      <c r="AD242">
        <f>AA242*P242+AB242*Q242+AC242</f>
        <v>0</v>
      </c>
      <c r="AE242">
        <f>INDEX(CoefficientsGPA,MATCH(T242&amp;":"&amp;O242,CoefficientsIndex,0))</f>
        <v>0</v>
      </c>
      <c r="AF242">
        <f>INDEX(CoefficientsACT,MATCH(T242&amp;":"&amp;O242,CoefficientsIndex,0))</f>
        <v>0</v>
      </c>
      <c r="AG242">
        <f>INDEX(CoefficientsIntercept,MATCH(T242&amp;":"&amp;O242,CoefficientsIndex,0))</f>
        <v>0</v>
      </c>
      <c r="AH242">
        <f>AE242*P242+(Q242-Z242)*AF242+AG242</f>
        <v>0</v>
      </c>
      <c r="AI242">
        <f>IF(ISNUMBER(AD242),AD242,AH242)</f>
        <v>0</v>
      </c>
      <c r="AJ242">
        <f>IF(ISNUMBER(AI242),IF(ISNUMBER(AE242),IF(AND(AE242=1,AF242=1,AG242=1),100,ROUND(100*EXP(AI242)/(1+EXP(AI242)),2)),ROUND(100*EXP(AI242)/(1+EXP(AI242)),2)),IF(ISTEXT(O242),IF(LEFT(O242,1)="2",100,"N/A"),"N/A"))</f>
        <v>0</v>
      </c>
      <c r="AK242">
        <f>IF(ISNUMBER(AJ242),IF(AJ242&gt;=99,IF(OR(R242=10,R242=11),MatchLabel,SureThingLabel),IF(AJ242&gt;=95,SecureLabel,IF(AJ242&gt;=80,SafetyLabel,IF(AJ242&gt;=50,MatchLabel,IF(AJ242&gt;=20,ReachLabel,IF(AJ242&gt;=10,LongshotLabel,HailMaryLabel)))))),"Other")</f>
        <v>0</v>
      </c>
      <c r="AL242">
        <f>IF(OR(I242="accepted",I242="cond. accept",I242="summer admit"),IF(J242="yes","CHOICE!","Accepted!"),IF(I242="denied","Denied",IF(K242=1,"Waitlist",IF(L242=1,"Deferred",IF(G242="pending","Pending",IF(OR(G242="initial materials submitted",G242="mid-year submitted",G242="final submitted"),"Submitted",IF(H242="interest","Interest","?")))))))</f>
        <v>0</v>
      </c>
      <c r="AM242">
        <f>IF(OR(AK242=ReachLabel,AK242=LongshotLabel,AK242=HailMaryLabel),1,0)</f>
        <v>0</v>
      </c>
      <c r="AN242">
        <f>IF(OR(AM242=1,AK242=MatchLabel),1,0)</f>
        <v>0</v>
      </c>
      <c r="AO242">
        <f>IF(OR(AK242=MatchLabel,AK242=SafetyLabel,AK242=SecureLabel,AK242=SureThingLabel),1,0)</f>
        <v>0</v>
      </c>
      <c r="AP242">
        <f>IF(OR(T242="H",T242="B"),IF(ISNUMBER(Y242),ROUND(Y242,2),0),IF(ISNUMBER(X242),ROUND(X242,2),0))</f>
        <v>0</v>
      </c>
      <c r="AQ242">
        <f>IF(AP242&gt;=U242,1,0)</f>
        <v>0</v>
      </c>
      <c r="AR242">
        <f>IF(AP242&gt;=V242,1,0)</f>
        <v>0</v>
      </c>
      <c r="AS242">
        <f>IF(AP242&lt;(U242-0.10),1,0)</f>
        <v>0</v>
      </c>
      <c r="AT242">
        <f>1-AJ242/100</f>
        <v>0</v>
      </c>
      <c r="AU242">
        <f>IF(AN242=1,AT242,1)</f>
        <v>0</v>
      </c>
      <c r="AV242">
        <f>IF(AM242=1,AT242,1)</f>
        <v>0</v>
      </c>
      <c r="AW242">
        <f>IF(AND(AQ242=1,ISNUMBER(AT242)),$AT242,1)</f>
        <v>0</v>
      </c>
      <c r="AX242">
        <f>IF(AND(AR242=1,ISNUMBER(AT242)),$AT242,1)</f>
        <v>0</v>
      </c>
      <c r="AY242">
        <f>IF(ISNUMBER(Y242),INDEX(AllCollegeMoney, MATCH(N242,AllCollegeNCES,0)),0)</f>
        <v>0</v>
      </c>
      <c r="AZ242">
        <f>IF(AND(AQ242=1,ISNUMBER(AT242),AY242=1),$AT242,1)</f>
        <v>0</v>
      </c>
      <c r="BA242">
        <f>IF(AND(AR242=1,ISNUMBER(AT242),AY242=1),$AT242,1)</f>
        <v>0</v>
      </c>
      <c r="BB242">
        <f>IF(ISNUMBER(Y242),INDEX(AllCollegeILPub, MATCH(N242,AllCollegeNCES,0)),0)</f>
        <v>0</v>
      </c>
      <c r="BC242">
        <f>IF(AK242=ReachLabel,AP242,0)</f>
        <v>0</v>
      </c>
      <c r="BD242">
        <f>IF(AK242=MatchLabel,AP242,0)</f>
        <v>0</v>
      </c>
      <c r="BE242">
        <f>IF(AK242=SafetyLabel,AP242,0)</f>
        <v>0</v>
      </c>
      <c r="BF242">
        <f>IF(AK242=SecureLabel,AP242,0)</f>
        <v>0</v>
      </c>
      <c r="BG242">
        <f>IF(AK242=SureThingLabel,AP242,0)</f>
        <v>0</v>
      </c>
      <c r="BH242">
        <f>MAX(BC242:BG242)</f>
        <v>0</v>
      </c>
      <c r="BI242">
        <f>MAX(BD242:BG242)</f>
        <v>0</v>
      </c>
      <c r="BJ242">
        <f>MAX(BE242:BG242)</f>
        <v>0</v>
      </c>
      <c r="BK242">
        <f>IF(AND(AK242=ReachLabel,AY242=1),AP242,0)</f>
        <v>0</v>
      </c>
      <c r="BL242">
        <f>IF(AND(AK242=MatchLabel,AY242=1),AP242,0)</f>
        <v>0</v>
      </c>
      <c r="BM242">
        <f>IF(AND(AK242=SafetyLabel,AY242=1),AP242,0)</f>
        <v>0</v>
      </c>
      <c r="BN242">
        <f>IF(AND(AK242=SecureLabel,AY242=1),AP242,0)</f>
        <v>0</v>
      </c>
      <c r="BO242">
        <f>IF(AND(AK242=SureThingLabel,AY242=1),AP242,0)</f>
        <v>0</v>
      </c>
      <c r="BP242">
        <f>MAX(BK242:BO242)</f>
        <v>0</v>
      </c>
      <c r="BQ242">
        <f>MAX(BL242:BO242)</f>
        <v>0</v>
      </c>
      <c r="BR242">
        <f>MAX(BM242:BO242)</f>
        <v>0</v>
      </c>
      <c r="BS242">
        <f>IF(ISNUMBER(Y242),INDEX(AllCollegeChicago, MATCH(N242,AllCollegeNCES,0))*AY242,0)</f>
        <v>0</v>
      </c>
      <c r="BT242">
        <f>IF(ISNUMBER(Y242),INDEX(AllCollegeMoneyCode, MATCH(N242,AllCollegeNCES,0)),"?")</f>
        <v>0</v>
      </c>
      <c r="BU242">
        <f>IF(OR(BT242="---",BT242="--",BT242="+/--",BT242="+/---"),1,0)</f>
        <v>0</v>
      </c>
      <c r="BV242">
        <f>AY242*AO242*AQ242</f>
        <v>0</v>
      </c>
    </row>
    <row r="243" spans="1:74">
      <c r="A243" t="s">
        <v>86</v>
      </c>
      <c r="B243">
        <v>23018720</v>
      </c>
      <c r="C243" t="s">
        <v>173</v>
      </c>
      <c r="D243" t="s">
        <v>174</v>
      </c>
      <c r="E243" t="s">
        <v>428</v>
      </c>
      <c r="F243" t="s">
        <v>502</v>
      </c>
      <c r="G243" t="s">
        <v>430</v>
      </c>
      <c r="H243" t="s">
        <v>431</v>
      </c>
      <c r="I243" t="s">
        <v>432</v>
      </c>
      <c r="J243" t="s">
        <v>432</v>
      </c>
      <c r="K243">
        <v>0</v>
      </c>
      <c r="L243" t="s">
        <v>428</v>
      </c>
      <c r="M243" t="s">
        <v>428</v>
      </c>
      <c r="N243">
        <v>145813</v>
      </c>
      <c r="O243">
        <f>INDEX(AllCollegeBarrons,MATCH(N243,AllCollegeNCES,0))</f>
        <v>0</v>
      </c>
      <c r="P243">
        <f>INDEX(KidGPAs,MATCH(B243,KidIDs,0))</f>
        <v>0</v>
      </c>
      <c r="Q243">
        <f>INDEX(KidACTs,MATCH(B243,KidIDs,0))</f>
        <v>0</v>
      </c>
      <c r="R243">
        <f>INDEX(Strats,MATCH(B243,KidIDs,0))</f>
        <v>0</v>
      </c>
      <c r="S243">
        <f>INDEX(KidRace,MATCH(B243,KidIDs,0))</f>
        <v>0</v>
      </c>
      <c r="T243">
        <f>IF(OR(S243="M",S243="I"),"H",S243)</f>
        <v>0</v>
      </c>
      <c r="U243">
        <f>INDEX(StudentTargets,MATCH(B243,KidIDs,0))</f>
        <v>0</v>
      </c>
      <c r="V243">
        <f>INDEX(ReachStudentTargets,MATCH(B243,KidIDs,0))</f>
        <v>0</v>
      </c>
      <c r="W243">
        <f>IF(OR(M243="Posse"),1,0)</f>
        <v>0</v>
      </c>
      <c r="X243">
        <f>IF(ISNUMBER(INDEX(AllCollegeGR, MATCH(N243,AllCollegeNCES,0))),ROUND(INDEX(AllCollegeGR, MATCH(N243,AllCollegeNCES,0))+W243*IF(INDEX(AllCollegeGR, MATCH(N243,AllCollegeNCES,0))&gt;0.7,(1-INDEX(AllCollegeGR, MATCH(N243,AllCollegeNCES,0)))/2,0.15),2),INDEX(AllCollegeGR, MATCH(N243,AllCollegeNCES,0)))</f>
        <v>0</v>
      </c>
      <c r="Y243">
        <f>IF(ISNUMBER(INDEX(AllCollegeAAHGR, MATCH(N243,AllCollegeNCES,0))),ROUND(INDEX(AllCollegeAAHGR, MATCH(N243,AllCollegeNCES,0))+W243*IF(INDEX(AllCollegeAAHGR, MATCH(N243,AllCollegeNCES,0))&gt;0.7,(1-INDEX(AllCollegeAAHGR, MATCH(N243,AllCollegeNCES,0)))/2,0.15),2),INDEX(AllCollegeAAHGR, MATCH(N243,AllCollegeNCES,0)))</f>
        <v>0</v>
      </c>
      <c r="Z243">
        <f>IF(OR(T243="H",T243="B"),INDEX(AllCollegeACT25, MATCH(N243,AllCollegeNCES,0)),INDEX(AllCollegeACT50, MATCH(N243,AllCollegeNCES,0)))</f>
        <v>0</v>
      </c>
      <c r="AA243">
        <f>INDEX(CustomWeightsGPA,MATCH(T243&amp;":"&amp;N243,CustomWeightsIndex,0))</f>
        <v>0</v>
      </c>
      <c r="AB243">
        <f>INDEX(CustomWeightsACT,MATCH(T243&amp;":"&amp;N243,CustomWeightsIndex,0))</f>
        <v>0</v>
      </c>
      <c r="AC243">
        <f>INDEX(CustomWeightsIntercept,MATCH(T243&amp;":"&amp;N243,CustomWeightsIndex,0))</f>
        <v>0</v>
      </c>
      <c r="AD243">
        <f>AA243*P243+AB243*Q243+AC243</f>
        <v>0</v>
      </c>
      <c r="AE243">
        <f>INDEX(CoefficientsGPA,MATCH(T243&amp;":"&amp;O243,CoefficientsIndex,0))</f>
        <v>0</v>
      </c>
      <c r="AF243">
        <f>INDEX(CoefficientsACT,MATCH(T243&amp;":"&amp;O243,CoefficientsIndex,0))</f>
        <v>0</v>
      </c>
      <c r="AG243">
        <f>INDEX(CoefficientsIntercept,MATCH(T243&amp;":"&amp;O243,CoefficientsIndex,0))</f>
        <v>0</v>
      </c>
      <c r="AH243">
        <f>AE243*P243+(Q243-Z243)*AF243+AG243</f>
        <v>0</v>
      </c>
      <c r="AI243">
        <f>IF(ISNUMBER(AD243),AD243,AH243)</f>
        <v>0</v>
      </c>
      <c r="AJ243">
        <f>IF(ISNUMBER(AI243),IF(ISNUMBER(AE243),IF(AND(AE243=1,AF243=1,AG243=1),100,ROUND(100*EXP(AI243)/(1+EXP(AI243)),2)),ROUND(100*EXP(AI243)/(1+EXP(AI243)),2)),IF(ISTEXT(O243),IF(LEFT(O243,1)="2",100,"N/A"),"N/A"))</f>
        <v>0</v>
      </c>
      <c r="AK243">
        <f>IF(ISNUMBER(AJ243),IF(AJ243&gt;=99,IF(OR(R243=10,R243=11),MatchLabel,SureThingLabel),IF(AJ243&gt;=95,SecureLabel,IF(AJ243&gt;=80,SafetyLabel,IF(AJ243&gt;=50,MatchLabel,IF(AJ243&gt;=20,ReachLabel,IF(AJ243&gt;=10,LongshotLabel,HailMaryLabel)))))),"Other")</f>
        <v>0</v>
      </c>
      <c r="AL243">
        <f>IF(OR(I243="accepted",I243="cond. accept",I243="summer admit"),IF(J243="yes","CHOICE!","Accepted!"),IF(I243="denied","Denied",IF(K243=1,"Waitlist",IF(L243=1,"Deferred",IF(G243="pending","Pending",IF(OR(G243="initial materials submitted",G243="mid-year submitted",G243="final submitted"),"Submitted",IF(H243="interest","Interest","?")))))))</f>
        <v>0</v>
      </c>
      <c r="AM243">
        <f>IF(OR(AK243=ReachLabel,AK243=LongshotLabel,AK243=HailMaryLabel),1,0)</f>
        <v>0</v>
      </c>
      <c r="AN243">
        <f>IF(OR(AM243=1,AK243=MatchLabel),1,0)</f>
        <v>0</v>
      </c>
      <c r="AO243">
        <f>IF(OR(AK243=MatchLabel,AK243=SafetyLabel,AK243=SecureLabel,AK243=SureThingLabel),1,0)</f>
        <v>0</v>
      </c>
      <c r="AP243">
        <f>IF(OR(T243="H",T243="B"),IF(ISNUMBER(Y243),ROUND(Y243,2),0),IF(ISNUMBER(X243),ROUND(X243,2),0))</f>
        <v>0</v>
      </c>
      <c r="AQ243">
        <f>IF(AP243&gt;=U243,1,0)</f>
        <v>0</v>
      </c>
      <c r="AR243">
        <f>IF(AP243&gt;=V243,1,0)</f>
        <v>0</v>
      </c>
      <c r="AS243">
        <f>IF(AP243&lt;(U243-0.10),1,0)</f>
        <v>0</v>
      </c>
      <c r="AT243">
        <f>1-AJ243/100</f>
        <v>0</v>
      </c>
      <c r="AU243">
        <f>IF(AN243=1,AT243,1)</f>
        <v>0</v>
      </c>
      <c r="AV243">
        <f>IF(AM243=1,AT243,1)</f>
        <v>0</v>
      </c>
      <c r="AW243">
        <f>IF(AND(AQ243=1,ISNUMBER(AT243)),$AT243,1)</f>
        <v>0</v>
      </c>
      <c r="AX243">
        <f>IF(AND(AR243=1,ISNUMBER(AT243)),$AT243,1)</f>
        <v>0</v>
      </c>
      <c r="AY243">
        <f>IF(ISNUMBER(Y243),INDEX(AllCollegeMoney, MATCH(N243,AllCollegeNCES,0)),0)</f>
        <v>0</v>
      </c>
      <c r="AZ243">
        <f>IF(AND(AQ243=1,ISNUMBER(AT243),AY243=1),$AT243,1)</f>
        <v>0</v>
      </c>
      <c r="BA243">
        <f>IF(AND(AR243=1,ISNUMBER(AT243),AY243=1),$AT243,1)</f>
        <v>0</v>
      </c>
      <c r="BB243">
        <f>IF(ISNUMBER(Y243),INDEX(AllCollegeILPub, MATCH(N243,AllCollegeNCES,0)),0)</f>
        <v>0</v>
      </c>
      <c r="BC243">
        <f>IF(AK243=ReachLabel,AP243,0)</f>
        <v>0</v>
      </c>
      <c r="BD243">
        <f>IF(AK243=MatchLabel,AP243,0)</f>
        <v>0</v>
      </c>
      <c r="BE243">
        <f>IF(AK243=SafetyLabel,AP243,0)</f>
        <v>0</v>
      </c>
      <c r="BF243">
        <f>IF(AK243=SecureLabel,AP243,0)</f>
        <v>0</v>
      </c>
      <c r="BG243">
        <f>IF(AK243=SureThingLabel,AP243,0)</f>
        <v>0</v>
      </c>
      <c r="BH243">
        <f>MAX(BC243:BG243)</f>
        <v>0</v>
      </c>
      <c r="BI243">
        <f>MAX(BD243:BG243)</f>
        <v>0</v>
      </c>
      <c r="BJ243">
        <f>MAX(BE243:BG243)</f>
        <v>0</v>
      </c>
      <c r="BK243">
        <f>IF(AND(AK243=ReachLabel,AY243=1),AP243,0)</f>
        <v>0</v>
      </c>
      <c r="BL243">
        <f>IF(AND(AK243=MatchLabel,AY243=1),AP243,0)</f>
        <v>0</v>
      </c>
      <c r="BM243">
        <f>IF(AND(AK243=SafetyLabel,AY243=1),AP243,0)</f>
        <v>0</v>
      </c>
      <c r="BN243">
        <f>IF(AND(AK243=SecureLabel,AY243=1),AP243,0)</f>
        <v>0</v>
      </c>
      <c r="BO243">
        <f>IF(AND(AK243=SureThingLabel,AY243=1),AP243,0)</f>
        <v>0</v>
      </c>
      <c r="BP243">
        <f>MAX(BK243:BO243)</f>
        <v>0</v>
      </c>
      <c r="BQ243">
        <f>MAX(BL243:BO243)</f>
        <v>0</v>
      </c>
      <c r="BR243">
        <f>MAX(BM243:BO243)</f>
        <v>0</v>
      </c>
      <c r="BS243">
        <f>IF(ISNUMBER(Y243),INDEX(AllCollegeChicago, MATCH(N243,AllCollegeNCES,0))*AY243,0)</f>
        <v>0</v>
      </c>
      <c r="BT243">
        <f>IF(ISNUMBER(Y243),INDEX(AllCollegeMoneyCode, MATCH(N243,AllCollegeNCES,0)),"?")</f>
        <v>0</v>
      </c>
      <c r="BU243">
        <f>IF(OR(BT243="---",BT243="--",BT243="+/--",BT243="+/---"),1,0)</f>
        <v>0</v>
      </c>
      <c r="BV243">
        <f>AY243*AO243*AQ243</f>
        <v>0</v>
      </c>
    </row>
    <row r="244" spans="1:74">
      <c r="A244" t="s">
        <v>86</v>
      </c>
      <c r="B244">
        <v>23018720</v>
      </c>
      <c r="C244" t="s">
        <v>173</v>
      </c>
      <c r="D244" t="s">
        <v>174</v>
      </c>
      <c r="E244" t="s">
        <v>428</v>
      </c>
      <c r="F244" t="s">
        <v>448</v>
      </c>
      <c r="G244" t="s">
        <v>430</v>
      </c>
      <c r="H244" t="s">
        <v>431</v>
      </c>
      <c r="I244" t="s">
        <v>432</v>
      </c>
      <c r="J244" t="s">
        <v>432</v>
      </c>
      <c r="K244">
        <v>0</v>
      </c>
      <c r="L244" t="s">
        <v>428</v>
      </c>
      <c r="M244" t="s">
        <v>428</v>
      </c>
      <c r="N244" t="s">
        <v>449</v>
      </c>
      <c r="O244">
        <f>INDEX(AllCollegeBarrons,MATCH(N244,AllCollegeNCES,0))</f>
        <v>0</v>
      </c>
      <c r="P244">
        <f>INDEX(KidGPAs,MATCH(B244,KidIDs,0))</f>
        <v>0</v>
      </c>
      <c r="Q244">
        <f>INDEX(KidACTs,MATCH(B244,KidIDs,0))</f>
        <v>0</v>
      </c>
      <c r="R244">
        <f>INDEX(Strats,MATCH(B244,KidIDs,0))</f>
        <v>0</v>
      </c>
      <c r="S244">
        <f>INDEX(KidRace,MATCH(B244,KidIDs,0))</f>
        <v>0</v>
      </c>
      <c r="T244">
        <f>IF(OR(S244="M",S244="I"),"H",S244)</f>
        <v>0</v>
      </c>
      <c r="U244">
        <f>INDEX(StudentTargets,MATCH(B244,KidIDs,0))</f>
        <v>0</v>
      </c>
      <c r="V244">
        <f>INDEX(ReachStudentTargets,MATCH(B244,KidIDs,0))</f>
        <v>0</v>
      </c>
      <c r="W244">
        <f>IF(OR(M244="Posse"),1,0)</f>
        <v>0</v>
      </c>
      <c r="X244">
        <f>IF(ISNUMBER(INDEX(AllCollegeGR, MATCH(N244,AllCollegeNCES,0))),ROUND(INDEX(AllCollegeGR, MATCH(N244,AllCollegeNCES,0))+W244*IF(INDEX(AllCollegeGR, MATCH(N244,AllCollegeNCES,0))&gt;0.7,(1-INDEX(AllCollegeGR, MATCH(N244,AllCollegeNCES,0)))/2,0.15),2),INDEX(AllCollegeGR, MATCH(N244,AllCollegeNCES,0)))</f>
        <v>0</v>
      </c>
      <c r="Y244">
        <f>IF(ISNUMBER(INDEX(AllCollegeAAHGR, MATCH(N244,AllCollegeNCES,0))),ROUND(INDEX(AllCollegeAAHGR, MATCH(N244,AllCollegeNCES,0))+W244*IF(INDEX(AllCollegeAAHGR, MATCH(N244,AllCollegeNCES,0))&gt;0.7,(1-INDEX(AllCollegeAAHGR, MATCH(N244,AllCollegeNCES,0)))/2,0.15),2),INDEX(AllCollegeAAHGR, MATCH(N244,AllCollegeNCES,0)))</f>
        <v>0</v>
      </c>
      <c r="Z244">
        <f>IF(OR(T244="H",T244="B"),INDEX(AllCollegeACT25, MATCH(N244,AllCollegeNCES,0)),INDEX(AllCollegeACT50, MATCH(N244,AllCollegeNCES,0)))</f>
        <v>0</v>
      </c>
      <c r="AA244">
        <f>INDEX(CustomWeightsGPA,MATCH(T244&amp;":"&amp;N244,CustomWeightsIndex,0))</f>
        <v>0</v>
      </c>
      <c r="AB244">
        <f>INDEX(CustomWeightsACT,MATCH(T244&amp;":"&amp;N244,CustomWeightsIndex,0))</f>
        <v>0</v>
      </c>
      <c r="AC244">
        <f>INDEX(CustomWeightsIntercept,MATCH(T244&amp;":"&amp;N244,CustomWeightsIndex,0))</f>
        <v>0</v>
      </c>
      <c r="AD244">
        <f>AA244*P244+AB244*Q244+AC244</f>
        <v>0</v>
      </c>
      <c r="AE244">
        <f>INDEX(CoefficientsGPA,MATCH(T244&amp;":"&amp;O244,CoefficientsIndex,0))</f>
        <v>0</v>
      </c>
      <c r="AF244">
        <f>INDEX(CoefficientsACT,MATCH(T244&amp;":"&amp;O244,CoefficientsIndex,0))</f>
        <v>0</v>
      </c>
      <c r="AG244">
        <f>INDEX(CoefficientsIntercept,MATCH(T244&amp;":"&amp;O244,CoefficientsIndex,0))</f>
        <v>0</v>
      </c>
      <c r="AH244">
        <f>AE244*P244+(Q244-Z244)*AF244+AG244</f>
        <v>0</v>
      </c>
      <c r="AI244">
        <f>IF(ISNUMBER(AD244),AD244,AH244)</f>
        <v>0</v>
      </c>
      <c r="AJ244">
        <f>IF(ISNUMBER(AI244),IF(ISNUMBER(AE244),IF(AND(AE244=1,AF244=1,AG244=1),100,ROUND(100*EXP(AI244)/(1+EXP(AI244)),2)),ROUND(100*EXP(AI244)/(1+EXP(AI244)),2)),IF(ISTEXT(O244),IF(LEFT(O244,1)="2",100,"N/A"),"N/A"))</f>
        <v>0</v>
      </c>
      <c r="AK244">
        <f>IF(ISNUMBER(AJ244),IF(AJ244&gt;=99,IF(OR(R244=10,R244=11),MatchLabel,SureThingLabel),IF(AJ244&gt;=95,SecureLabel,IF(AJ244&gt;=80,SafetyLabel,IF(AJ244&gt;=50,MatchLabel,IF(AJ244&gt;=20,ReachLabel,IF(AJ244&gt;=10,LongshotLabel,HailMaryLabel)))))),"Other")</f>
        <v>0</v>
      </c>
      <c r="AL244">
        <f>IF(OR(I244="accepted",I244="cond. accept",I244="summer admit"),IF(J244="yes","CHOICE!","Accepted!"),IF(I244="denied","Denied",IF(K244=1,"Waitlist",IF(L244=1,"Deferred",IF(G244="pending","Pending",IF(OR(G244="initial materials submitted",G244="mid-year submitted",G244="final submitted"),"Submitted",IF(H244="interest","Interest","?")))))))</f>
        <v>0</v>
      </c>
      <c r="AM244">
        <f>IF(OR(AK244=ReachLabel,AK244=LongshotLabel,AK244=HailMaryLabel),1,0)</f>
        <v>0</v>
      </c>
      <c r="AN244">
        <f>IF(OR(AM244=1,AK244=MatchLabel),1,0)</f>
        <v>0</v>
      </c>
      <c r="AO244">
        <f>IF(OR(AK244=MatchLabel,AK244=SafetyLabel,AK244=SecureLabel,AK244=SureThingLabel),1,0)</f>
        <v>0</v>
      </c>
      <c r="AP244">
        <f>IF(OR(T244="H",T244="B"),IF(ISNUMBER(Y244),ROUND(Y244,2),0),IF(ISNUMBER(X244),ROUND(X244,2),0))</f>
        <v>0</v>
      </c>
      <c r="AQ244">
        <f>IF(AP244&gt;=U244,1,0)</f>
        <v>0</v>
      </c>
      <c r="AR244">
        <f>IF(AP244&gt;=V244,1,0)</f>
        <v>0</v>
      </c>
      <c r="AS244">
        <f>IF(AP244&lt;(U244-0.10),1,0)</f>
        <v>0</v>
      </c>
      <c r="AT244">
        <f>1-AJ244/100</f>
        <v>0</v>
      </c>
      <c r="AU244">
        <f>IF(AN244=1,AT244,1)</f>
        <v>0</v>
      </c>
      <c r="AV244">
        <f>IF(AM244=1,AT244,1)</f>
        <v>0</v>
      </c>
      <c r="AW244">
        <f>IF(AND(AQ244=1,ISNUMBER(AT244)),$AT244,1)</f>
        <v>0</v>
      </c>
      <c r="AX244">
        <f>IF(AND(AR244=1,ISNUMBER(AT244)),$AT244,1)</f>
        <v>0</v>
      </c>
      <c r="AY244">
        <f>IF(ISNUMBER(Y244),INDEX(AllCollegeMoney, MATCH(N244,AllCollegeNCES,0)),0)</f>
        <v>0</v>
      </c>
      <c r="AZ244">
        <f>IF(AND(AQ244=1,ISNUMBER(AT244),AY244=1),$AT244,1)</f>
        <v>0</v>
      </c>
      <c r="BA244">
        <f>IF(AND(AR244=1,ISNUMBER(AT244),AY244=1),$AT244,1)</f>
        <v>0</v>
      </c>
      <c r="BB244">
        <f>IF(ISNUMBER(Y244),INDEX(AllCollegeILPub, MATCH(N244,AllCollegeNCES,0)),0)</f>
        <v>0</v>
      </c>
      <c r="BC244">
        <f>IF(AK244=ReachLabel,AP244,0)</f>
        <v>0</v>
      </c>
      <c r="BD244">
        <f>IF(AK244=MatchLabel,AP244,0)</f>
        <v>0</v>
      </c>
      <c r="BE244">
        <f>IF(AK244=SafetyLabel,AP244,0)</f>
        <v>0</v>
      </c>
      <c r="BF244">
        <f>IF(AK244=SecureLabel,AP244,0)</f>
        <v>0</v>
      </c>
      <c r="BG244">
        <f>IF(AK244=SureThingLabel,AP244,0)</f>
        <v>0</v>
      </c>
      <c r="BH244">
        <f>MAX(BC244:BG244)</f>
        <v>0</v>
      </c>
      <c r="BI244">
        <f>MAX(BD244:BG244)</f>
        <v>0</v>
      </c>
      <c r="BJ244">
        <f>MAX(BE244:BG244)</f>
        <v>0</v>
      </c>
      <c r="BK244">
        <f>IF(AND(AK244=ReachLabel,AY244=1),AP244,0)</f>
        <v>0</v>
      </c>
      <c r="BL244">
        <f>IF(AND(AK244=MatchLabel,AY244=1),AP244,0)</f>
        <v>0</v>
      </c>
      <c r="BM244">
        <f>IF(AND(AK244=SafetyLabel,AY244=1),AP244,0)</f>
        <v>0</v>
      </c>
      <c r="BN244">
        <f>IF(AND(AK244=SecureLabel,AY244=1),AP244,0)</f>
        <v>0</v>
      </c>
      <c r="BO244">
        <f>IF(AND(AK244=SureThingLabel,AY244=1),AP244,0)</f>
        <v>0</v>
      </c>
      <c r="BP244">
        <f>MAX(BK244:BO244)</f>
        <v>0</v>
      </c>
      <c r="BQ244">
        <f>MAX(BL244:BO244)</f>
        <v>0</v>
      </c>
      <c r="BR244">
        <f>MAX(BM244:BO244)</f>
        <v>0</v>
      </c>
      <c r="BS244">
        <f>IF(ISNUMBER(Y244),INDEX(AllCollegeChicago, MATCH(N244,AllCollegeNCES,0))*AY244,0)</f>
        <v>0</v>
      </c>
      <c r="BT244">
        <f>IF(ISNUMBER(Y244),INDEX(AllCollegeMoneyCode, MATCH(N244,AllCollegeNCES,0)),"?")</f>
        <v>0</v>
      </c>
      <c r="BU244">
        <f>IF(OR(BT244="---",BT244="--",BT244="+/--",BT244="+/---"),1,0)</f>
        <v>0</v>
      </c>
      <c r="BV244">
        <f>AY244*AO244*AQ244</f>
        <v>0</v>
      </c>
    </row>
    <row r="245" spans="1:74">
      <c r="A245" t="s">
        <v>86</v>
      </c>
      <c r="B245">
        <v>23018720</v>
      </c>
      <c r="C245" t="s">
        <v>173</v>
      </c>
      <c r="D245" t="s">
        <v>174</v>
      </c>
      <c r="E245" t="s">
        <v>428</v>
      </c>
      <c r="F245" t="s">
        <v>436</v>
      </c>
      <c r="G245" t="s">
        <v>430</v>
      </c>
      <c r="H245" t="s">
        <v>431</v>
      </c>
      <c r="I245" t="s">
        <v>432</v>
      </c>
      <c r="J245" t="s">
        <v>432</v>
      </c>
      <c r="K245">
        <v>0</v>
      </c>
      <c r="L245" t="s">
        <v>428</v>
      </c>
      <c r="M245" t="s">
        <v>428</v>
      </c>
      <c r="N245">
        <v>147536</v>
      </c>
      <c r="O245">
        <f>INDEX(AllCollegeBarrons,MATCH(N245,AllCollegeNCES,0))</f>
        <v>0</v>
      </c>
      <c r="P245">
        <f>INDEX(KidGPAs,MATCH(B245,KidIDs,0))</f>
        <v>0</v>
      </c>
      <c r="Q245">
        <f>INDEX(KidACTs,MATCH(B245,KidIDs,0))</f>
        <v>0</v>
      </c>
      <c r="R245">
        <f>INDEX(Strats,MATCH(B245,KidIDs,0))</f>
        <v>0</v>
      </c>
      <c r="S245">
        <f>INDEX(KidRace,MATCH(B245,KidIDs,0))</f>
        <v>0</v>
      </c>
      <c r="T245">
        <f>IF(OR(S245="M",S245="I"),"H",S245)</f>
        <v>0</v>
      </c>
      <c r="U245">
        <f>INDEX(StudentTargets,MATCH(B245,KidIDs,0))</f>
        <v>0</v>
      </c>
      <c r="V245">
        <f>INDEX(ReachStudentTargets,MATCH(B245,KidIDs,0))</f>
        <v>0</v>
      </c>
      <c r="W245">
        <f>IF(OR(M245="Posse"),1,0)</f>
        <v>0</v>
      </c>
      <c r="X245">
        <f>IF(ISNUMBER(INDEX(AllCollegeGR, MATCH(N245,AllCollegeNCES,0))),ROUND(INDEX(AllCollegeGR, MATCH(N245,AllCollegeNCES,0))+W245*IF(INDEX(AllCollegeGR, MATCH(N245,AllCollegeNCES,0))&gt;0.7,(1-INDEX(AllCollegeGR, MATCH(N245,AllCollegeNCES,0)))/2,0.15),2),INDEX(AllCollegeGR, MATCH(N245,AllCollegeNCES,0)))</f>
        <v>0</v>
      </c>
      <c r="Y245">
        <f>IF(ISNUMBER(INDEX(AllCollegeAAHGR, MATCH(N245,AllCollegeNCES,0))),ROUND(INDEX(AllCollegeAAHGR, MATCH(N245,AllCollegeNCES,0))+W245*IF(INDEX(AllCollegeAAHGR, MATCH(N245,AllCollegeNCES,0))&gt;0.7,(1-INDEX(AllCollegeAAHGR, MATCH(N245,AllCollegeNCES,0)))/2,0.15),2),INDEX(AllCollegeAAHGR, MATCH(N245,AllCollegeNCES,0)))</f>
        <v>0</v>
      </c>
      <c r="Z245">
        <f>IF(OR(T245="H",T245="B"),INDEX(AllCollegeACT25, MATCH(N245,AllCollegeNCES,0)),INDEX(AllCollegeACT50, MATCH(N245,AllCollegeNCES,0)))</f>
        <v>0</v>
      </c>
      <c r="AA245">
        <f>INDEX(CustomWeightsGPA,MATCH(T245&amp;":"&amp;N245,CustomWeightsIndex,0))</f>
        <v>0</v>
      </c>
      <c r="AB245">
        <f>INDEX(CustomWeightsACT,MATCH(T245&amp;":"&amp;N245,CustomWeightsIndex,0))</f>
        <v>0</v>
      </c>
      <c r="AC245">
        <f>INDEX(CustomWeightsIntercept,MATCH(T245&amp;":"&amp;N245,CustomWeightsIndex,0))</f>
        <v>0</v>
      </c>
      <c r="AD245">
        <f>AA245*P245+AB245*Q245+AC245</f>
        <v>0</v>
      </c>
      <c r="AE245">
        <f>INDEX(CoefficientsGPA,MATCH(T245&amp;":"&amp;O245,CoefficientsIndex,0))</f>
        <v>0</v>
      </c>
      <c r="AF245">
        <f>INDEX(CoefficientsACT,MATCH(T245&amp;":"&amp;O245,CoefficientsIndex,0))</f>
        <v>0</v>
      </c>
      <c r="AG245">
        <f>INDEX(CoefficientsIntercept,MATCH(T245&amp;":"&amp;O245,CoefficientsIndex,0))</f>
        <v>0</v>
      </c>
      <c r="AH245">
        <f>AE245*P245+(Q245-Z245)*AF245+AG245</f>
        <v>0</v>
      </c>
      <c r="AI245">
        <f>IF(ISNUMBER(AD245),AD245,AH245)</f>
        <v>0</v>
      </c>
      <c r="AJ245">
        <f>IF(ISNUMBER(AI245),IF(ISNUMBER(AE245),IF(AND(AE245=1,AF245=1,AG245=1),100,ROUND(100*EXP(AI245)/(1+EXP(AI245)),2)),ROUND(100*EXP(AI245)/(1+EXP(AI245)),2)),IF(ISTEXT(O245),IF(LEFT(O245,1)="2",100,"N/A"),"N/A"))</f>
        <v>0</v>
      </c>
      <c r="AK245">
        <f>IF(ISNUMBER(AJ245),IF(AJ245&gt;=99,IF(OR(R245=10,R245=11),MatchLabel,SureThingLabel),IF(AJ245&gt;=95,SecureLabel,IF(AJ245&gt;=80,SafetyLabel,IF(AJ245&gt;=50,MatchLabel,IF(AJ245&gt;=20,ReachLabel,IF(AJ245&gt;=10,LongshotLabel,HailMaryLabel)))))),"Other")</f>
        <v>0</v>
      </c>
      <c r="AL245">
        <f>IF(OR(I245="accepted",I245="cond. accept",I245="summer admit"),IF(J245="yes","CHOICE!","Accepted!"),IF(I245="denied","Denied",IF(K245=1,"Waitlist",IF(L245=1,"Deferred",IF(G245="pending","Pending",IF(OR(G245="initial materials submitted",G245="mid-year submitted",G245="final submitted"),"Submitted",IF(H245="interest","Interest","?")))))))</f>
        <v>0</v>
      </c>
      <c r="AM245">
        <f>IF(OR(AK245=ReachLabel,AK245=LongshotLabel,AK245=HailMaryLabel),1,0)</f>
        <v>0</v>
      </c>
      <c r="AN245">
        <f>IF(OR(AM245=1,AK245=MatchLabel),1,0)</f>
        <v>0</v>
      </c>
      <c r="AO245">
        <f>IF(OR(AK245=MatchLabel,AK245=SafetyLabel,AK245=SecureLabel,AK245=SureThingLabel),1,0)</f>
        <v>0</v>
      </c>
      <c r="AP245">
        <f>IF(OR(T245="H",T245="B"),IF(ISNUMBER(Y245),ROUND(Y245,2),0),IF(ISNUMBER(X245),ROUND(X245,2),0))</f>
        <v>0</v>
      </c>
      <c r="AQ245">
        <f>IF(AP245&gt;=U245,1,0)</f>
        <v>0</v>
      </c>
      <c r="AR245">
        <f>IF(AP245&gt;=V245,1,0)</f>
        <v>0</v>
      </c>
      <c r="AS245">
        <f>IF(AP245&lt;(U245-0.10),1,0)</f>
        <v>0</v>
      </c>
      <c r="AT245">
        <f>1-AJ245/100</f>
        <v>0</v>
      </c>
      <c r="AU245">
        <f>IF(AN245=1,AT245,1)</f>
        <v>0</v>
      </c>
      <c r="AV245">
        <f>IF(AM245=1,AT245,1)</f>
        <v>0</v>
      </c>
      <c r="AW245">
        <f>IF(AND(AQ245=1,ISNUMBER(AT245)),$AT245,1)</f>
        <v>0</v>
      </c>
      <c r="AX245">
        <f>IF(AND(AR245=1,ISNUMBER(AT245)),$AT245,1)</f>
        <v>0</v>
      </c>
      <c r="AY245">
        <f>IF(ISNUMBER(Y245),INDEX(AllCollegeMoney, MATCH(N245,AllCollegeNCES,0)),0)</f>
        <v>0</v>
      </c>
      <c r="AZ245">
        <f>IF(AND(AQ245=1,ISNUMBER(AT245),AY245=1),$AT245,1)</f>
        <v>0</v>
      </c>
      <c r="BA245">
        <f>IF(AND(AR245=1,ISNUMBER(AT245),AY245=1),$AT245,1)</f>
        <v>0</v>
      </c>
      <c r="BB245">
        <f>IF(ISNUMBER(Y245),INDEX(AllCollegeILPub, MATCH(N245,AllCollegeNCES,0)),0)</f>
        <v>0</v>
      </c>
      <c r="BC245">
        <f>IF(AK245=ReachLabel,AP245,0)</f>
        <v>0</v>
      </c>
      <c r="BD245">
        <f>IF(AK245=MatchLabel,AP245,0)</f>
        <v>0</v>
      </c>
      <c r="BE245">
        <f>IF(AK245=SafetyLabel,AP245,0)</f>
        <v>0</v>
      </c>
      <c r="BF245">
        <f>IF(AK245=SecureLabel,AP245,0)</f>
        <v>0</v>
      </c>
      <c r="BG245">
        <f>IF(AK245=SureThingLabel,AP245,0)</f>
        <v>0</v>
      </c>
      <c r="BH245">
        <f>MAX(BC245:BG245)</f>
        <v>0</v>
      </c>
      <c r="BI245">
        <f>MAX(BD245:BG245)</f>
        <v>0</v>
      </c>
      <c r="BJ245">
        <f>MAX(BE245:BG245)</f>
        <v>0</v>
      </c>
      <c r="BK245">
        <f>IF(AND(AK245=ReachLabel,AY245=1),AP245,0)</f>
        <v>0</v>
      </c>
      <c r="BL245">
        <f>IF(AND(AK245=MatchLabel,AY245=1),AP245,0)</f>
        <v>0</v>
      </c>
      <c r="BM245">
        <f>IF(AND(AK245=SafetyLabel,AY245=1),AP245,0)</f>
        <v>0</v>
      </c>
      <c r="BN245">
        <f>IF(AND(AK245=SecureLabel,AY245=1),AP245,0)</f>
        <v>0</v>
      </c>
      <c r="BO245">
        <f>IF(AND(AK245=SureThingLabel,AY245=1),AP245,0)</f>
        <v>0</v>
      </c>
      <c r="BP245">
        <f>MAX(BK245:BO245)</f>
        <v>0</v>
      </c>
      <c r="BQ245">
        <f>MAX(BL245:BO245)</f>
        <v>0</v>
      </c>
      <c r="BR245">
        <f>MAX(BM245:BO245)</f>
        <v>0</v>
      </c>
      <c r="BS245">
        <f>IF(ISNUMBER(Y245),INDEX(AllCollegeChicago, MATCH(N245,AllCollegeNCES,0))*AY245,0)</f>
        <v>0</v>
      </c>
      <c r="BT245">
        <f>IF(ISNUMBER(Y245),INDEX(AllCollegeMoneyCode, MATCH(N245,AllCollegeNCES,0)),"?")</f>
        <v>0</v>
      </c>
      <c r="BU245">
        <f>IF(OR(BT245="---",BT245="--",BT245="+/--",BT245="+/---"),1,0)</f>
        <v>0</v>
      </c>
      <c r="BV245">
        <f>AY245*AO245*AQ245</f>
        <v>0</v>
      </c>
    </row>
    <row r="246" spans="1:74">
      <c r="A246" t="s">
        <v>86</v>
      </c>
      <c r="B246">
        <v>23018720</v>
      </c>
      <c r="C246" t="s">
        <v>173</v>
      </c>
      <c r="D246" t="s">
        <v>174</v>
      </c>
      <c r="E246" t="s">
        <v>428</v>
      </c>
      <c r="F246" t="s">
        <v>489</v>
      </c>
      <c r="G246" t="s">
        <v>430</v>
      </c>
      <c r="H246" t="s">
        <v>431</v>
      </c>
      <c r="I246" t="s">
        <v>432</v>
      </c>
      <c r="J246" t="s">
        <v>432</v>
      </c>
      <c r="K246">
        <v>0</v>
      </c>
      <c r="L246" t="s">
        <v>428</v>
      </c>
      <c r="M246" t="s">
        <v>428</v>
      </c>
      <c r="N246">
        <v>147679</v>
      </c>
      <c r="O246">
        <f>INDEX(AllCollegeBarrons,MATCH(N246,AllCollegeNCES,0))</f>
        <v>0</v>
      </c>
      <c r="P246">
        <f>INDEX(KidGPAs,MATCH(B246,KidIDs,0))</f>
        <v>0</v>
      </c>
      <c r="Q246">
        <f>INDEX(KidACTs,MATCH(B246,KidIDs,0))</f>
        <v>0</v>
      </c>
      <c r="R246">
        <f>INDEX(Strats,MATCH(B246,KidIDs,0))</f>
        <v>0</v>
      </c>
      <c r="S246">
        <f>INDEX(KidRace,MATCH(B246,KidIDs,0))</f>
        <v>0</v>
      </c>
      <c r="T246">
        <f>IF(OR(S246="M",S246="I"),"H",S246)</f>
        <v>0</v>
      </c>
      <c r="U246">
        <f>INDEX(StudentTargets,MATCH(B246,KidIDs,0))</f>
        <v>0</v>
      </c>
      <c r="V246">
        <f>INDEX(ReachStudentTargets,MATCH(B246,KidIDs,0))</f>
        <v>0</v>
      </c>
      <c r="W246">
        <f>IF(OR(M246="Posse"),1,0)</f>
        <v>0</v>
      </c>
      <c r="X246">
        <f>IF(ISNUMBER(INDEX(AllCollegeGR, MATCH(N246,AllCollegeNCES,0))),ROUND(INDEX(AllCollegeGR, MATCH(N246,AllCollegeNCES,0))+W246*IF(INDEX(AllCollegeGR, MATCH(N246,AllCollegeNCES,0))&gt;0.7,(1-INDEX(AllCollegeGR, MATCH(N246,AllCollegeNCES,0)))/2,0.15),2),INDEX(AllCollegeGR, MATCH(N246,AllCollegeNCES,0)))</f>
        <v>0</v>
      </c>
      <c r="Y246">
        <f>IF(ISNUMBER(INDEX(AllCollegeAAHGR, MATCH(N246,AllCollegeNCES,0))),ROUND(INDEX(AllCollegeAAHGR, MATCH(N246,AllCollegeNCES,0))+W246*IF(INDEX(AllCollegeAAHGR, MATCH(N246,AllCollegeNCES,0))&gt;0.7,(1-INDEX(AllCollegeAAHGR, MATCH(N246,AllCollegeNCES,0)))/2,0.15),2),INDEX(AllCollegeAAHGR, MATCH(N246,AllCollegeNCES,0)))</f>
        <v>0</v>
      </c>
      <c r="Z246">
        <f>IF(OR(T246="H",T246="B"),INDEX(AllCollegeACT25, MATCH(N246,AllCollegeNCES,0)),INDEX(AllCollegeACT50, MATCH(N246,AllCollegeNCES,0)))</f>
        <v>0</v>
      </c>
      <c r="AA246">
        <f>INDEX(CustomWeightsGPA,MATCH(T246&amp;":"&amp;N246,CustomWeightsIndex,0))</f>
        <v>0</v>
      </c>
      <c r="AB246">
        <f>INDEX(CustomWeightsACT,MATCH(T246&amp;":"&amp;N246,CustomWeightsIndex,0))</f>
        <v>0</v>
      </c>
      <c r="AC246">
        <f>INDEX(CustomWeightsIntercept,MATCH(T246&amp;":"&amp;N246,CustomWeightsIndex,0))</f>
        <v>0</v>
      </c>
      <c r="AD246">
        <f>AA246*P246+AB246*Q246+AC246</f>
        <v>0</v>
      </c>
      <c r="AE246">
        <f>INDEX(CoefficientsGPA,MATCH(T246&amp;":"&amp;O246,CoefficientsIndex,0))</f>
        <v>0</v>
      </c>
      <c r="AF246">
        <f>INDEX(CoefficientsACT,MATCH(T246&amp;":"&amp;O246,CoefficientsIndex,0))</f>
        <v>0</v>
      </c>
      <c r="AG246">
        <f>INDEX(CoefficientsIntercept,MATCH(T246&amp;":"&amp;O246,CoefficientsIndex,0))</f>
        <v>0</v>
      </c>
      <c r="AH246">
        <f>AE246*P246+(Q246-Z246)*AF246+AG246</f>
        <v>0</v>
      </c>
      <c r="AI246">
        <f>IF(ISNUMBER(AD246),AD246,AH246)</f>
        <v>0</v>
      </c>
      <c r="AJ246">
        <f>IF(ISNUMBER(AI246),IF(ISNUMBER(AE246),IF(AND(AE246=1,AF246=1,AG246=1),100,ROUND(100*EXP(AI246)/(1+EXP(AI246)),2)),ROUND(100*EXP(AI246)/(1+EXP(AI246)),2)),IF(ISTEXT(O246),IF(LEFT(O246,1)="2",100,"N/A"),"N/A"))</f>
        <v>0</v>
      </c>
      <c r="AK246">
        <f>IF(ISNUMBER(AJ246),IF(AJ246&gt;=99,IF(OR(R246=10,R246=11),MatchLabel,SureThingLabel),IF(AJ246&gt;=95,SecureLabel,IF(AJ246&gt;=80,SafetyLabel,IF(AJ246&gt;=50,MatchLabel,IF(AJ246&gt;=20,ReachLabel,IF(AJ246&gt;=10,LongshotLabel,HailMaryLabel)))))),"Other")</f>
        <v>0</v>
      </c>
      <c r="AL246">
        <f>IF(OR(I246="accepted",I246="cond. accept",I246="summer admit"),IF(J246="yes","CHOICE!","Accepted!"),IF(I246="denied","Denied",IF(K246=1,"Waitlist",IF(L246=1,"Deferred",IF(G246="pending","Pending",IF(OR(G246="initial materials submitted",G246="mid-year submitted",G246="final submitted"),"Submitted",IF(H246="interest","Interest","?")))))))</f>
        <v>0</v>
      </c>
      <c r="AM246">
        <f>IF(OR(AK246=ReachLabel,AK246=LongshotLabel,AK246=HailMaryLabel),1,0)</f>
        <v>0</v>
      </c>
      <c r="AN246">
        <f>IF(OR(AM246=1,AK246=MatchLabel),1,0)</f>
        <v>0</v>
      </c>
      <c r="AO246">
        <f>IF(OR(AK246=MatchLabel,AK246=SafetyLabel,AK246=SecureLabel,AK246=SureThingLabel),1,0)</f>
        <v>0</v>
      </c>
      <c r="AP246">
        <f>IF(OR(T246="H",T246="B"),IF(ISNUMBER(Y246),ROUND(Y246,2),0),IF(ISNUMBER(X246),ROUND(X246,2),0))</f>
        <v>0</v>
      </c>
      <c r="AQ246">
        <f>IF(AP246&gt;=U246,1,0)</f>
        <v>0</v>
      </c>
      <c r="AR246">
        <f>IF(AP246&gt;=V246,1,0)</f>
        <v>0</v>
      </c>
      <c r="AS246">
        <f>IF(AP246&lt;(U246-0.10),1,0)</f>
        <v>0</v>
      </c>
      <c r="AT246">
        <f>1-AJ246/100</f>
        <v>0</v>
      </c>
      <c r="AU246">
        <f>IF(AN246=1,AT246,1)</f>
        <v>0</v>
      </c>
      <c r="AV246">
        <f>IF(AM246=1,AT246,1)</f>
        <v>0</v>
      </c>
      <c r="AW246">
        <f>IF(AND(AQ246=1,ISNUMBER(AT246)),$AT246,1)</f>
        <v>0</v>
      </c>
      <c r="AX246">
        <f>IF(AND(AR246=1,ISNUMBER(AT246)),$AT246,1)</f>
        <v>0</v>
      </c>
      <c r="AY246">
        <f>IF(ISNUMBER(Y246),INDEX(AllCollegeMoney, MATCH(N246,AllCollegeNCES,0)),0)</f>
        <v>0</v>
      </c>
      <c r="AZ246">
        <f>IF(AND(AQ246=1,ISNUMBER(AT246),AY246=1),$AT246,1)</f>
        <v>0</v>
      </c>
      <c r="BA246">
        <f>IF(AND(AR246=1,ISNUMBER(AT246),AY246=1),$AT246,1)</f>
        <v>0</v>
      </c>
      <c r="BB246">
        <f>IF(ISNUMBER(Y246),INDEX(AllCollegeILPub, MATCH(N246,AllCollegeNCES,0)),0)</f>
        <v>0</v>
      </c>
      <c r="BC246">
        <f>IF(AK246=ReachLabel,AP246,0)</f>
        <v>0</v>
      </c>
      <c r="BD246">
        <f>IF(AK246=MatchLabel,AP246,0)</f>
        <v>0</v>
      </c>
      <c r="BE246">
        <f>IF(AK246=SafetyLabel,AP246,0)</f>
        <v>0</v>
      </c>
      <c r="BF246">
        <f>IF(AK246=SecureLabel,AP246,0)</f>
        <v>0</v>
      </c>
      <c r="BG246">
        <f>IF(AK246=SureThingLabel,AP246,0)</f>
        <v>0</v>
      </c>
      <c r="BH246">
        <f>MAX(BC246:BG246)</f>
        <v>0</v>
      </c>
      <c r="BI246">
        <f>MAX(BD246:BG246)</f>
        <v>0</v>
      </c>
      <c r="BJ246">
        <f>MAX(BE246:BG246)</f>
        <v>0</v>
      </c>
      <c r="BK246">
        <f>IF(AND(AK246=ReachLabel,AY246=1),AP246,0)</f>
        <v>0</v>
      </c>
      <c r="BL246">
        <f>IF(AND(AK246=MatchLabel,AY246=1),AP246,0)</f>
        <v>0</v>
      </c>
      <c r="BM246">
        <f>IF(AND(AK246=SafetyLabel,AY246=1),AP246,0)</f>
        <v>0</v>
      </c>
      <c r="BN246">
        <f>IF(AND(AK246=SecureLabel,AY246=1),AP246,0)</f>
        <v>0</v>
      </c>
      <c r="BO246">
        <f>IF(AND(AK246=SureThingLabel,AY246=1),AP246,0)</f>
        <v>0</v>
      </c>
      <c r="BP246">
        <f>MAX(BK246:BO246)</f>
        <v>0</v>
      </c>
      <c r="BQ246">
        <f>MAX(BL246:BO246)</f>
        <v>0</v>
      </c>
      <c r="BR246">
        <f>MAX(BM246:BO246)</f>
        <v>0</v>
      </c>
      <c r="BS246">
        <f>IF(ISNUMBER(Y246),INDEX(AllCollegeChicago, MATCH(N246,AllCollegeNCES,0))*AY246,0)</f>
        <v>0</v>
      </c>
      <c r="BT246">
        <f>IF(ISNUMBER(Y246),INDEX(AllCollegeMoneyCode, MATCH(N246,AllCollegeNCES,0)),"?")</f>
        <v>0</v>
      </c>
      <c r="BU246">
        <f>IF(OR(BT246="---",BT246="--",BT246="+/--",BT246="+/---"),1,0)</f>
        <v>0</v>
      </c>
      <c r="BV246">
        <f>AY246*AO246*AQ246</f>
        <v>0</v>
      </c>
    </row>
    <row r="247" spans="1:74">
      <c r="A247" t="s">
        <v>86</v>
      </c>
      <c r="B247">
        <v>23018720</v>
      </c>
      <c r="C247" t="s">
        <v>173</v>
      </c>
      <c r="D247" t="s">
        <v>174</v>
      </c>
      <c r="E247" t="s">
        <v>428</v>
      </c>
      <c r="F247" t="s">
        <v>509</v>
      </c>
      <c r="G247" t="s">
        <v>430</v>
      </c>
      <c r="H247" t="s">
        <v>431</v>
      </c>
      <c r="I247" t="s">
        <v>432</v>
      </c>
      <c r="J247" t="s">
        <v>432</v>
      </c>
      <c r="K247">
        <v>0</v>
      </c>
      <c r="L247" t="s">
        <v>428</v>
      </c>
      <c r="M247" t="s">
        <v>428</v>
      </c>
      <c r="N247">
        <v>147341</v>
      </c>
      <c r="O247">
        <f>INDEX(AllCollegeBarrons,MATCH(N247,AllCollegeNCES,0))</f>
        <v>0</v>
      </c>
      <c r="P247">
        <f>INDEX(KidGPAs,MATCH(B247,KidIDs,0))</f>
        <v>0</v>
      </c>
      <c r="Q247">
        <f>INDEX(KidACTs,MATCH(B247,KidIDs,0))</f>
        <v>0</v>
      </c>
      <c r="R247">
        <f>INDEX(Strats,MATCH(B247,KidIDs,0))</f>
        <v>0</v>
      </c>
      <c r="S247">
        <f>INDEX(KidRace,MATCH(B247,KidIDs,0))</f>
        <v>0</v>
      </c>
      <c r="T247">
        <f>IF(OR(S247="M",S247="I"),"H",S247)</f>
        <v>0</v>
      </c>
      <c r="U247">
        <f>INDEX(StudentTargets,MATCH(B247,KidIDs,0))</f>
        <v>0</v>
      </c>
      <c r="V247">
        <f>INDEX(ReachStudentTargets,MATCH(B247,KidIDs,0))</f>
        <v>0</v>
      </c>
      <c r="W247">
        <f>IF(OR(M247="Posse"),1,0)</f>
        <v>0</v>
      </c>
      <c r="X247">
        <f>IF(ISNUMBER(INDEX(AllCollegeGR, MATCH(N247,AllCollegeNCES,0))),ROUND(INDEX(AllCollegeGR, MATCH(N247,AllCollegeNCES,0))+W247*IF(INDEX(AllCollegeGR, MATCH(N247,AllCollegeNCES,0))&gt;0.7,(1-INDEX(AllCollegeGR, MATCH(N247,AllCollegeNCES,0)))/2,0.15),2),INDEX(AllCollegeGR, MATCH(N247,AllCollegeNCES,0)))</f>
        <v>0</v>
      </c>
      <c r="Y247">
        <f>IF(ISNUMBER(INDEX(AllCollegeAAHGR, MATCH(N247,AllCollegeNCES,0))),ROUND(INDEX(AllCollegeAAHGR, MATCH(N247,AllCollegeNCES,0))+W247*IF(INDEX(AllCollegeAAHGR, MATCH(N247,AllCollegeNCES,0))&gt;0.7,(1-INDEX(AllCollegeAAHGR, MATCH(N247,AllCollegeNCES,0)))/2,0.15),2),INDEX(AllCollegeAAHGR, MATCH(N247,AllCollegeNCES,0)))</f>
        <v>0</v>
      </c>
      <c r="Z247">
        <f>IF(OR(T247="H",T247="B"),INDEX(AllCollegeACT25, MATCH(N247,AllCollegeNCES,0)),INDEX(AllCollegeACT50, MATCH(N247,AllCollegeNCES,0)))</f>
        <v>0</v>
      </c>
      <c r="AA247">
        <f>INDEX(CustomWeightsGPA,MATCH(T247&amp;":"&amp;N247,CustomWeightsIndex,0))</f>
        <v>0</v>
      </c>
      <c r="AB247">
        <f>INDEX(CustomWeightsACT,MATCH(T247&amp;":"&amp;N247,CustomWeightsIndex,0))</f>
        <v>0</v>
      </c>
      <c r="AC247">
        <f>INDEX(CustomWeightsIntercept,MATCH(T247&amp;":"&amp;N247,CustomWeightsIndex,0))</f>
        <v>0</v>
      </c>
      <c r="AD247">
        <f>AA247*P247+AB247*Q247+AC247</f>
        <v>0</v>
      </c>
      <c r="AE247">
        <f>INDEX(CoefficientsGPA,MATCH(T247&amp;":"&amp;O247,CoefficientsIndex,0))</f>
        <v>0</v>
      </c>
      <c r="AF247">
        <f>INDEX(CoefficientsACT,MATCH(T247&amp;":"&amp;O247,CoefficientsIndex,0))</f>
        <v>0</v>
      </c>
      <c r="AG247">
        <f>INDEX(CoefficientsIntercept,MATCH(T247&amp;":"&amp;O247,CoefficientsIndex,0))</f>
        <v>0</v>
      </c>
      <c r="AH247">
        <f>AE247*P247+(Q247-Z247)*AF247+AG247</f>
        <v>0</v>
      </c>
      <c r="AI247">
        <f>IF(ISNUMBER(AD247),AD247,AH247)</f>
        <v>0</v>
      </c>
      <c r="AJ247">
        <f>IF(ISNUMBER(AI247),IF(ISNUMBER(AE247),IF(AND(AE247=1,AF247=1,AG247=1),100,ROUND(100*EXP(AI247)/(1+EXP(AI247)),2)),ROUND(100*EXP(AI247)/(1+EXP(AI247)),2)),IF(ISTEXT(O247),IF(LEFT(O247,1)="2",100,"N/A"),"N/A"))</f>
        <v>0</v>
      </c>
      <c r="AK247">
        <f>IF(ISNUMBER(AJ247),IF(AJ247&gt;=99,IF(OR(R247=10,R247=11),MatchLabel,SureThingLabel),IF(AJ247&gt;=95,SecureLabel,IF(AJ247&gt;=80,SafetyLabel,IF(AJ247&gt;=50,MatchLabel,IF(AJ247&gt;=20,ReachLabel,IF(AJ247&gt;=10,LongshotLabel,HailMaryLabel)))))),"Other")</f>
        <v>0</v>
      </c>
      <c r="AL247">
        <f>IF(OR(I247="accepted",I247="cond. accept",I247="summer admit"),IF(J247="yes","CHOICE!","Accepted!"),IF(I247="denied","Denied",IF(K247=1,"Waitlist",IF(L247=1,"Deferred",IF(G247="pending","Pending",IF(OR(G247="initial materials submitted",G247="mid-year submitted",G247="final submitted"),"Submitted",IF(H247="interest","Interest","?")))))))</f>
        <v>0</v>
      </c>
      <c r="AM247">
        <f>IF(OR(AK247=ReachLabel,AK247=LongshotLabel,AK247=HailMaryLabel),1,0)</f>
        <v>0</v>
      </c>
      <c r="AN247">
        <f>IF(OR(AM247=1,AK247=MatchLabel),1,0)</f>
        <v>0</v>
      </c>
      <c r="AO247">
        <f>IF(OR(AK247=MatchLabel,AK247=SafetyLabel,AK247=SecureLabel,AK247=SureThingLabel),1,0)</f>
        <v>0</v>
      </c>
      <c r="AP247">
        <f>IF(OR(T247="H",T247="B"),IF(ISNUMBER(Y247),ROUND(Y247,2),0),IF(ISNUMBER(X247),ROUND(X247,2),0))</f>
        <v>0</v>
      </c>
      <c r="AQ247">
        <f>IF(AP247&gt;=U247,1,0)</f>
        <v>0</v>
      </c>
      <c r="AR247">
        <f>IF(AP247&gt;=V247,1,0)</f>
        <v>0</v>
      </c>
      <c r="AS247">
        <f>IF(AP247&lt;(U247-0.10),1,0)</f>
        <v>0</v>
      </c>
      <c r="AT247">
        <f>1-AJ247/100</f>
        <v>0</v>
      </c>
      <c r="AU247">
        <f>IF(AN247=1,AT247,1)</f>
        <v>0</v>
      </c>
      <c r="AV247">
        <f>IF(AM247=1,AT247,1)</f>
        <v>0</v>
      </c>
      <c r="AW247">
        <f>IF(AND(AQ247=1,ISNUMBER(AT247)),$AT247,1)</f>
        <v>0</v>
      </c>
      <c r="AX247">
        <f>IF(AND(AR247=1,ISNUMBER(AT247)),$AT247,1)</f>
        <v>0</v>
      </c>
      <c r="AY247">
        <f>IF(ISNUMBER(Y247),INDEX(AllCollegeMoney, MATCH(N247,AllCollegeNCES,0)),0)</f>
        <v>0</v>
      </c>
      <c r="AZ247">
        <f>IF(AND(AQ247=1,ISNUMBER(AT247),AY247=1),$AT247,1)</f>
        <v>0</v>
      </c>
      <c r="BA247">
        <f>IF(AND(AR247=1,ISNUMBER(AT247),AY247=1),$AT247,1)</f>
        <v>0</v>
      </c>
      <c r="BB247">
        <f>IF(ISNUMBER(Y247),INDEX(AllCollegeILPub, MATCH(N247,AllCollegeNCES,0)),0)</f>
        <v>0</v>
      </c>
      <c r="BC247">
        <f>IF(AK247=ReachLabel,AP247,0)</f>
        <v>0</v>
      </c>
      <c r="BD247">
        <f>IF(AK247=MatchLabel,AP247,0)</f>
        <v>0</v>
      </c>
      <c r="BE247">
        <f>IF(AK247=SafetyLabel,AP247,0)</f>
        <v>0</v>
      </c>
      <c r="BF247">
        <f>IF(AK247=SecureLabel,AP247,0)</f>
        <v>0</v>
      </c>
      <c r="BG247">
        <f>IF(AK247=SureThingLabel,AP247,0)</f>
        <v>0</v>
      </c>
      <c r="BH247">
        <f>MAX(BC247:BG247)</f>
        <v>0</v>
      </c>
      <c r="BI247">
        <f>MAX(BD247:BG247)</f>
        <v>0</v>
      </c>
      <c r="BJ247">
        <f>MAX(BE247:BG247)</f>
        <v>0</v>
      </c>
      <c r="BK247">
        <f>IF(AND(AK247=ReachLabel,AY247=1),AP247,0)</f>
        <v>0</v>
      </c>
      <c r="BL247">
        <f>IF(AND(AK247=MatchLabel,AY247=1),AP247,0)</f>
        <v>0</v>
      </c>
      <c r="BM247">
        <f>IF(AND(AK247=SafetyLabel,AY247=1),AP247,0)</f>
        <v>0</v>
      </c>
      <c r="BN247">
        <f>IF(AND(AK247=SecureLabel,AY247=1),AP247,0)</f>
        <v>0</v>
      </c>
      <c r="BO247">
        <f>IF(AND(AK247=SureThingLabel,AY247=1),AP247,0)</f>
        <v>0</v>
      </c>
      <c r="BP247">
        <f>MAX(BK247:BO247)</f>
        <v>0</v>
      </c>
      <c r="BQ247">
        <f>MAX(BL247:BO247)</f>
        <v>0</v>
      </c>
      <c r="BR247">
        <f>MAX(BM247:BO247)</f>
        <v>0</v>
      </c>
      <c r="BS247">
        <f>IF(ISNUMBER(Y247),INDEX(AllCollegeChicago, MATCH(N247,AllCollegeNCES,0))*AY247,0)</f>
        <v>0</v>
      </c>
      <c r="BT247">
        <f>IF(ISNUMBER(Y247),INDEX(AllCollegeMoneyCode, MATCH(N247,AllCollegeNCES,0)),"?")</f>
        <v>0</v>
      </c>
      <c r="BU247">
        <f>IF(OR(BT247="---",BT247="--",BT247="+/--",BT247="+/---"),1,0)</f>
        <v>0</v>
      </c>
      <c r="BV247">
        <f>AY247*AO247*AQ247</f>
        <v>0</v>
      </c>
    </row>
    <row r="248" spans="1:74">
      <c r="A248" t="s">
        <v>86</v>
      </c>
      <c r="B248">
        <v>23018720</v>
      </c>
      <c r="C248" t="s">
        <v>173</v>
      </c>
      <c r="D248" t="s">
        <v>174</v>
      </c>
      <c r="E248" t="s">
        <v>428</v>
      </c>
      <c r="F248" t="s">
        <v>438</v>
      </c>
      <c r="G248" t="s">
        <v>430</v>
      </c>
      <c r="H248" t="s">
        <v>431</v>
      </c>
      <c r="I248" t="s">
        <v>432</v>
      </c>
      <c r="J248" t="s">
        <v>432</v>
      </c>
      <c r="K248">
        <v>0</v>
      </c>
      <c r="L248" t="s">
        <v>428</v>
      </c>
      <c r="M248" t="s">
        <v>439</v>
      </c>
      <c r="N248">
        <v>150774</v>
      </c>
      <c r="O248">
        <f>INDEX(AllCollegeBarrons,MATCH(N248,AllCollegeNCES,0))</f>
        <v>0</v>
      </c>
      <c r="P248">
        <f>INDEX(KidGPAs,MATCH(B248,KidIDs,0))</f>
        <v>0</v>
      </c>
      <c r="Q248">
        <f>INDEX(KidACTs,MATCH(B248,KidIDs,0))</f>
        <v>0</v>
      </c>
      <c r="R248">
        <f>INDEX(Strats,MATCH(B248,KidIDs,0))</f>
        <v>0</v>
      </c>
      <c r="S248">
        <f>INDEX(KidRace,MATCH(B248,KidIDs,0))</f>
        <v>0</v>
      </c>
      <c r="T248">
        <f>IF(OR(S248="M",S248="I"),"H",S248)</f>
        <v>0</v>
      </c>
      <c r="U248">
        <f>INDEX(StudentTargets,MATCH(B248,KidIDs,0))</f>
        <v>0</v>
      </c>
      <c r="V248">
        <f>INDEX(ReachStudentTargets,MATCH(B248,KidIDs,0))</f>
        <v>0</v>
      </c>
      <c r="W248">
        <f>IF(OR(M248="Posse"),1,0)</f>
        <v>0</v>
      </c>
      <c r="X248">
        <f>IF(ISNUMBER(INDEX(AllCollegeGR, MATCH(N248,AllCollegeNCES,0))),ROUND(INDEX(AllCollegeGR, MATCH(N248,AllCollegeNCES,0))+W248*IF(INDEX(AllCollegeGR, MATCH(N248,AllCollegeNCES,0))&gt;0.7,(1-INDEX(AllCollegeGR, MATCH(N248,AllCollegeNCES,0)))/2,0.15),2),INDEX(AllCollegeGR, MATCH(N248,AllCollegeNCES,0)))</f>
        <v>0</v>
      </c>
      <c r="Y248">
        <f>IF(ISNUMBER(INDEX(AllCollegeAAHGR, MATCH(N248,AllCollegeNCES,0))),ROUND(INDEX(AllCollegeAAHGR, MATCH(N248,AllCollegeNCES,0))+W248*IF(INDEX(AllCollegeAAHGR, MATCH(N248,AllCollegeNCES,0))&gt;0.7,(1-INDEX(AllCollegeAAHGR, MATCH(N248,AllCollegeNCES,0)))/2,0.15),2),INDEX(AllCollegeAAHGR, MATCH(N248,AllCollegeNCES,0)))</f>
        <v>0</v>
      </c>
      <c r="Z248">
        <f>IF(OR(T248="H",T248="B"),INDEX(AllCollegeACT25, MATCH(N248,AllCollegeNCES,0)),INDEX(AllCollegeACT50, MATCH(N248,AllCollegeNCES,0)))</f>
        <v>0</v>
      </c>
      <c r="AA248">
        <f>INDEX(CustomWeightsGPA,MATCH(T248&amp;":"&amp;N248,CustomWeightsIndex,0))</f>
        <v>0</v>
      </c>
      <c r="AB248">
        <f>INDEX(CustomWeightsACT,MATCH(T248&amp;":"&amp;N248,CustomWeightsIndex,0))</f>
        <v>0</v>
      </c>
      <c r="AC248">
        <f>INDEX(CustomWeightsIntercept,MATCH(T248&amp;":"&amp;N248,CustomWeightsIndex,0))</f>
        <v>0</v>
      </c>
      <c r="AD248">
        <f>AA248*P248+AB248*Q248+AC248</f>
        <v>0</v>
      </c>
      <c r="AE248">
        <f>INDEX(CoefficientsGPA,MATCH(T248&amp;":"&amp;O248,CoefficientsIndex,0))</f>
        <v>0</v>
      </c>
      <c r="AF248">
        <f>INDEX(CoefficientsACT,MATCH(T248&amp;":"&amp;O248,CoefficientsIndex,0))</f>
        <v>0</v>
      </c>
      <c r="AG248">
        <f>INDEX(CoefficientsIntercept,MATCH(T248&amp;":"&amp;O248,CoefficientsIndex,0))</f>
        <v>0</v>
      </c>
      <c r="AH248">
        <f>AE248*P248+(Q248-Z248)*AF248+AG248</f>
        <v>0</v>
      </c>
      <c r="AI248">
        <f>IF(ISNUMBER(AD248),AD248,AH248)</f>
        <v>0</v>
      </c>
      <c r="AJ248">
        <f>IF(ISNUMBER(AI248),IF(ISNUMBER(AE248),IF(AND(AE248=1,AF248=1,AG248=1),100,ROUND(100*EXP(AI248)/(1+EXP(AI248)),2)),ROUND(100*EXP(AI248)/(1+EXP(AI248)),2)),IF(ISTEXT(O248),IF(LEFT(O248,1)="2",100,"N/A"),"N/A"))</f>
        <v>0</v>
      </c>
      <c r="AK248">
        <f>IF(ISNUMBER(AJ248),IF(AJ248&gt;=99,IF(OR(R248=10,R248=11),MatchLabel,SureThingLabel),IF(AJ248&gt;=95,SecureLabel,IF(AJ248&gt;=80,SafetyLabel,IF(AJ248&gt;=50,MatchLabel,IF(AJ248&gt;=20,ReachLabel,IF(AJ248&gt;=10,LongshotLabel,HailMaryLabel)))))),"Other")</f>
        <v>0</v>
      </c>
      <c r="AL248">
        <f>IF(OR(I248="accepted",I248="cond. accept",I248="summer admit"),IF(J248="yes","CHOICE!","Accepted!"),IF(I248="denied","Denied",IF(K248=1,"Waitlist",IF(L248=1,"Deferred",IF(G248="pending","Pending",IF(OR(G248="initial materials submitted",G248="mid-year submitted",G248="final submitted"),"Submitted",IF(H248="interest","Interest","?")))))))</f>
        <v>0</v>
      </c>
      <c r="AM248">
        <f>IF(OR(AK248=ReachLabel,AK248=LongshotLabel,AK248=HailMaryLabel),1,0)</f>
        <v>0</v>
      </c>
      <c r="AN248">
        <f>IF(OR(AM248=1,AK248=MatchLabel),1,0)</f>
        <v>0</v>
      </c>
      <c r="AO248">
        <f>IF(OR(AK248=MatchLabel,AK248=SafetyLabel,AK248=SecureLabel,AK248=SureThingLabel),1,0)</f>
        <v>0</v>
      </c>
      <c r="AP248">
        <f>IF(OR(T248="H",T248="B"),IF(ISNUMBER(Y248),ROUND(Y248,2),0),IF(ISNUMBER(X248),ROUND(X248,2),0))</f>
        <v>0</v>
      </c>
      <c r="AQ248">
        <f>IF(AP248&gt;=U248,1,0)</f>
        <v>0</v>
      </c>
      <c r="AR248">
        <f>IF(AP248&gt;=V248,1,0)</f>
        <v>0</v>
      </c>
      <c r="AS248">
        <f>IF(AP248&lt;(U248-0.10),1,0)</f>
        <v>0</v>
      </c>
      <c r="AT248">
        <f>1-AJ248/100</f>
        <v>0</v>
      </c>
      <c r="AU248">
        <f>IF(AN248=1,AT248,1)</f>
        <v>0</v>
      </c>
      <c r="AV248">
        <f>IF(AM248=1,AT248,1)</f>
        <v>0</v>
      </c>
      <c r="AW248">
        <f>IF(AND(AQ248=1,ISNUMBER(AT248)),$AT248,1)</f>
        <v>0</v>
      </c>
      <c r="AX248">
        <f>IF(AND(AR248=1,ISNUMBER(AT248)),$AT248,1)</f>
        <v>0</v>
      </c>
      <c r="AY248">
        <f>IF(ISNUMBER(Y248),INDEX(AllCollegeMoney, MATCH(N248,AllCollegeNCES,0)),0)</f>
        <v>0</v>
      </c>
      <c r="AZ248">
        <f>IF(AND(AQ248=1,ISNUMBER(AT248),AY248=1),$AT248,1)</f>
        <v>0</v>
      </c>
      <c r="BA248">
        <f>IF(AND(AR248=1,ISNUMBER(AT248),AY248=1),$AT248,1)</f>
        <v>0</v>
      </c>
      <c r="BB248">
        <f>IF(ISNUMBER(Y248),INDEX(AllCollegeILPub, MATCH(N248,AllCollegeNCES,0)),0)</f>
        <v>0</v>
      </c>
      <c r="BC248">
        <f>IF(AK248=ReachLabel,AP248,0)</f>
        <v>0</v>
      </c>
      <c r="BD248">
        <f>IF(AK248=MatchLabel,AP248,0)</f>
        <v>0</v>
      </c>
      <c r="BE248">
        <f>IF(AK248=SafetyLabel,AP248,0)</f>
        <v>0</v>
      </c>
      <c r="BF248">
        <f>IF(AK248=SecureLabel,AP248,0)</f>
        <v>0</v>
      </c>
      <c r="BG248">
        <f>IF(AK248=SureThingLabel,AP248,0)</f>
        <v>0</v>
      </c>
      <c r="BH248">
        <f>MAX(BC248:BG248)</f>
        <v>0</v>
      </c>
      <c r="BI248">
        <f>MAX(BD248:BG248)</f>
        <v>0</v>
      </c>
      <c r="BJ248">
        <f>MAX(BE248:BG248)</f>
        <v>0</v>
      </c>
      <c r="BK248">
        <f>IF(AND(AK248=ReachLabel,AY248=1),AP248,0)</f>
        <v>0</v>
      </c>
      <c r="BL248">
        <f>IF(AND(AK248=MatchLabel,AY248=1),AP248,0)</f>
        <v>0</v>
      </c>
      <c r="BM248">
        <f>IF(AND(AK248=SafetyLabel,AY248=1),AP248,0)</f>
        <v>0</v>
      </c>
      <c r="BN248">
        <f>IF(AND(AK248=SecureLabel,AY248=1),AP248,0)</f>
        <v>0</v>
      </c>
      <c r="BO248">
        <f>IF(AND(AK248=SureThingLabel,AY248=1),AP248,0)</f>
        <v>0</v>
      </c>
      <c r="BP248">
        <f>MAX(BK248:BO248)</f>
        <v>0</v>
      </c>
      <c r="BQ248">
        <f>MAX(BL248:BO248)</f>
        <v>0</v>
      </c>
      <c r="BR248">
        <f>MAX(BM248:BO248)</f>
        <v>0</v>
      </c>
      <c r="BS248">
        <f>IF(ISNUMBER(Y248),INDEX(AllCollegeChicago, MATCH(N248,AllCollegeNCES,0))*AY248,0)</f>
        <v>0</v>
      </c>
      <c r="BT248">
        <f>IF(ISNUMBER(Y248),INDEX(AllCollegeMoneyCode, MATCH(N248,AllCollegeNCES,0)),"?")</f>
        <v>0</v>
      </c>
      <c r="BU248">
        <f>IF(OR(BT248="---",BT248="--",BT248="+/--",BT248="+/---"),1,0)</f>
        <v>0</v>
      </c>
      <c r="BV248">
        <f>AY248*AO248*AQ248</f>
        <v>0</v>
      </c>
    </row>
    <row r="249" spans="1:74">
      <c r="A249" t="s">
        <v>86</v>
      </c>
      <c r="B249">
        <v>23018720</v>
      </c>
      <c r="C249" t="s">
        <v>173</v>
      </c>
      <c r="D249" t="s">
        <v>174</v>
      </c>
      <c r="E249" t="s">
        <v>428</v>
      </c>
      <c r="F249" t="s">
        <v>520</v>
      </c>
      <c r="G249" t="s">
        <v>430</v>
      </c>
      <c r="H249" t="s">
        <v>431</v>
      </c>
      <c r="I249" t="s">
        <v>432</v>
      </c>
      <c r="J249" t="s">
        <v>432</v>
      </c>
      <c r="K249">
        <v>0</v>
      </c>
      <c r="L249" t="s">
        <v>428</v>
      </c>
      <c r="M249" t="s">
        <v>428</v>
      </c>
      <c r="N249">
        <v>152336</v>
      </c>
      <c r="O249">
        <f>INDEX(AllCollegeBarrons,MATCH(N249,AllCollegeNCES,0))</f>
        <v>0</v>
      </c>
      <c r="P249">
        <f>INDEX(KidGPAs,MATCH(B249,KidIDs,0))</f>
        <v>0</v>
      </c>
      <c r="Q249">
        <f>INDEX(KidACTs,MATCH(B249,KidIDs,0))</f>
        <v>0</v>
      </c>
      <c r="R249">
        <f>INDEX(Strats,MATCH(B249,KidIDs,0))</f>
        <v>0</v>
      </c>
      <c r="S249">
        <f>INDEX(KidRace,MATCH(B249,KidIDs,0))</f>
        <v>0</v>
      </c>
      <c r="T249">
        <f>IF(OR(S249="M",S249="I"),"H",S249)</f>
        <v>0</v>
      </c>
      <c r="U249">
        <f>INDEX(StudentTargets,MATCH(B249,KidIDs,0))</f>
        <v>0</v>
      </c>
      <c r="V249">
        <f>INDEX(ReachStudentTargets,MATCH(B249,KidIDs,0))</f>
        <v>0</v>
      </c>
      <c r="W249">
        <f>IF(OR(M249="Posse"),1,0)</f>
        <v>0</v>
      </c>
      <c r="X249">
        <f>IF(ISNUMBER(INDEX(AllCollegeGR, MATCH(N249,AllCollegeNCES,0))),ROUND(INDEX(AllCollegeGR, MATCH(N249,AllCollegeNCES,0))+W249*IF(INDEX(AllCollegeGR, MATCH(N249,AllCollegeNCES,0))&gt;0.7,(1-INDEX(AllCollegeGR, MATCH(N249,AllCollegeNCES,0)))/2,0.15),2),INDEX(AllCollegeGR, MATCH(N249,AllCollegeNCES,0)))</f>
        <v>0</v>
      </c>
      <c r="Y249">
        <f>IF(ISNUMBER(INDEX(AllCollegeAAHGR, MATCH(N249,AllCollegeNCES,0))),ROUND(INDEX(AllCollegeAAHGR, MATCH(N249,AllCollegeNCES,0))+W249*IF(INDEX(AllCollegeAAHGR, MATCH(N249,AllCollegeNCES,0))&gt;0.7,(1-INDEX(AllCollegeAAHGR, MATCH(N249,AllCollegeNCES,0)))/2,0.15),2),INDEX(AllCollegeAAHGR, MATCH(N249,AllCollegeNCES,0)))</f>
        <v>0</v>
      </c>
      <c r="Z249">
        <f>IF(OR(T249="H",T249="B"),INDEX(AllCollegeACT25, MATCH(N249,AllCollegeNCES,0)),INDEX(AllCollegeACT50, MATCH(N249,AllCollegeNCES,0)))</f>
        <v>0</v>
      </c>
      <c r="AA249">
        <f>INDEX(CustomWeightsGPA,MATCH(T249&amp;":"&amp;N249,CustomWeightsIndex,0))</f>
        <v>0</v>
      </c>
      <c r="AB249">
        <f>INDEX(CustomWeightsACT,MATCH(T249&amp;":"&amp;N249,CustomWeightsIndex,0))</f>
        <v>0</v>
      </c>
      <c r="AC249">
        <f>INDEX(CustomWeightsIntercept,MATCH(T249&amp;":"&amp;N249,CustomWeightsIndex,0))</f>
        <v>0</v>
      </c>
      <c r="AD249">
        <f>AA249*P249+AB249*Q249+AC249</f>
        <v>0</v>
      </c>
      <c r="AE249">
        <f>INDEX(CoefficientsGPA,MATCH(T249&amp;":"&amp;O249,CoefficientsIndex,0))</f>
        <v>0</v>
      </c>
      <c r="AF249">
        <f>INDEX(CoefficientsACT,MATCH(T249&amp;":"&amp;O249,CoefficientsIndex,0))</f>
        <v>0</v>
      </c>
      <c r="AG249">
        <f>INDEX(CoefficientsIntercept,MATCH(T249&amp;":"&amp;O249,CoefficientsIndex,0))</f>
        <v>0</v>
      </c>
      <c r="AH249">
        <f>AE249*P249+(Q249-Z249)*AF249+AG249</f>
        <v>0</v>
      </c>
      <c r="AI249">
        <f>IF(ISNUMBER(AD249),AD249,AH249)</f>
        <v>0</v>
      </c>
      <c r="AJ249">
        <f>IF(ISNUMBER(AI249),IF(ISNUMBER(AE249),IF(AND(AE249=1,AF249=1,AG249=1),100,ROUND(100*EXP(AI249)/(1+EXP(AI249)),2)),ROUND(100*EXP(AI249)/(1+EXP(AI249)),2)),IF(ISTEXT(O249),IF(LEFT(O249,1)="2",100,"N/A"),"N/A"))</f>
        <v>0</v>
      </c>
      <c r="AK249">
        <f>IF(ISNUMBER(AJ249),IF(AJ249&gt;=99,IF(OR(R249=10,R249=11),MatchLabel,SureThingLabel),IF(AJ249&gt;=95,SecureLabel,IF(AJ249&gt;=80,SafetyLabel,IF(AJ249&gt;=50,MatchLabel,IF(AJ249&gt;=20,ReachLabel,IF(AJ249&gt;=10,LongshotLabel,HailMaryLabel)))))),"Other")</f>
        <v>0</v>
      </c>
      <c r="AL249">
        <f>IF(OR(I249="accepted",I249="cond. accept",I249="summer admit"),IF(J249="yes","CHOICE!","Accepted!"),IF(I249="denied","Denied",IF(K249=1,"Waitlist",IF(L249=1,"Deferred",IF(G249="pending","Pending",IF(OR(G249="initial materials submitted",G249="mid-year submitted",G249="final submitted"),"Submitted",IF(H249="interest","Interest","?")))))))</f>
        <v>0</v>
      </c>
      <c r="AM249">
        <f>IF(OR(AK249=ReachLabel,AK249=LongshotLabel,AK249=HailMaryLabel),1,0)</f>
        <v>0</v>
      </c>
      <c r="AN249">
        <f>IF(OR(AM249=1,AK249=MatchLabel),1,0)</f>
        <v>0</v>
      </c>
      <c r="AO249">
        <f>IF(OR(AK249=MatchLabel,AK249=SafetyLabel,AK249=SecureLabel,AK249=SureThingLabel),1,0)</f>
        <v>0</v>
      </c>
      <c r="AP249">
        <f>IF(OR(T249="H",T249="B"),IF(ISNUMBER(Y249),ROUND(Y249,2),0),IF(ISNUMBER(X249),ROUND(X249,2),0))</f>
        <v>0</v>
      </c>
      <c r="AQ249">
        <f>IF(AP249&gt;=U249,1,0)</f>
        <v>0</v>
      </c>
      <c r="AR249">
        <f>IF(AP249&gt;=V249,1,0)</f>
        <v>0</v>
      </c>
      <c r="AS249">
        <f>IF(AP249&lt;(U249-0.10),1,0)</f>
        <v>0</v>
      </c>
      <c r="AT249">
        <f>1-AJ249/100</f>
        <v>0</v>
      </c>
      <c r="AU249">
        <f>IF(AN249=1,AT249,1)</f>
        <v>0</v>
      </c>
      <c r="AV249">
        <f>IF(AM249=1,AT249,1)</f>
        <v>0</v>
      </c>
      <c r="AW249">
        <f>IF(AND(AQ249=1,ISNUMBER(AT249)),$AT249,1)</f>
        <v>0</v>
      </c>
      <c r="AX249">
        <f>IF(AND(AR249=1,ISNUMBER(AT249)),$AT249,1)</f>
        <v>0</v>
      </c>
      <c r="AY249">
        <f>IF(ISNUMBER(Y249),INDEX(AllCollegeMoney, MATCH(N249,AllCollegeNCES,0)),0)</f>
        <v>0</v>
      </c>
      <c r="AZ249">
        <f>IF(AND(AQ249=1,ISNUMBER(AT249),AY249=1),$AT249,1)</f>
        <v>0</v>
      </c>
      <c r="BA249">
        <f>IF(AND(AR249=1,ISNUMBER(AT249),AY249=1),$AT249,1)</f>
        <v>0</v>
      </c>
      <c r="BB249">
        <f>IF(ISNUMBER(Y249),INDEX(AllCollegeILPub, MATCH(N249,AllCollegeNCES,0)),0)</f>
        <v>0</v>
      </c>
      <c r="BC249">
        <f>IF(AK249=ReachLabel,AP249,0)</f>
        <v>0</v>
      </c>
      <c r="BD249">
        <f>IF(AK249=MatchLabel,AP249,0)</f>
        <v>0</v>
      </c>
      <c r="BE249">
        <f>IF(AK249=SafetyLabel,AP249,0)</f>
        <v>0</v>
      </c>
      <c r="BF249">
        <f>IF(AK249=SecureLabel,AP249,0)</f>
        <v>0</v>
      </c>
      <c r="BG249">
        <f>IF(AK249=SureThingLabel,AP249,0)</f>
        <v>0</v>
      </c>
      <c r="BH249">
        <f>MAX(BC249:BG249)</f>
        <v>0</v>
      </c>
      <c r="BI249">
        <f>MAX(BD249:BG249)</f>
        <v>0</v>
      </c>
      <c r="BJ249">
        <f>MAX(BE249:BG249)</f>
        <v>0</v>
      </c>
      <c r="BK249">
        <f>IF(AND(AK249=ReachLabel,AY249=1),AP249,0)</f>
        <v>0</v>
      </c>
      <c r="BL249">
        <f>IF(AND(AK249=MatchLabel,AY249=1),AP249,0)</f>
        <v>0</v>
      </c>
      <c r="BM249">
        <f>IF(AND(AK249=SafetyLabel,AY249=1),AP249,0)</f>
        <v>0</v>
      </c>
      <c r="BN249">
        <f>IF(AND(AK249=SecureLabel,AY249=1),AP249,0)</f>
        <v>0</v>
      </c>
      <c r="BO249">
        <f>IF(AND(AK249=SureThingLabel,AY249=1),AP249,0)</f>
        <v>0</v>
      </c>
      <c r="BP249">
        <f>MAX(BK249:BO249)</f>
        <v>0</v>
      </c>
      <c r="BQ249">
        <f>MAX(BL249:BO249)</f>
        <v>0</v>
      </c>
      <c r="BR249">
        <f>MAX(BM249:BO249)</f>
        <v>0</v>
      </c>
      <c r="BS249">
        <f>IF(ISNUMBER(Y249),INDEX(AllCollegeChicago, MATCH(N249,AllCollegeNCES,0))*AY249,0)</f>
        <v>0</v>
      </c>
      <c r="BT249">
        <f>IF(ISNUMBER(Y249),INDEX(AllCollegeMoneyCode, MATCH(N249,AllCollegeNCES,0)),"?")</f>
        <v>0</v>
      </c>
      <c r="BU249">
        <f>IF(OR(BT249="---",BT249="--",BT249="+/--",BT249="+/---"),1,0)</f>
        <v>0</v>
      </c>
      <c r="BV249">
        <f>AY249*AO249*AQ249</f>
        <v>0</v>
      </c>
    </row>
    <row r="250" spans="1:74">
      <c r="A250" t="s">
        <v>86</v>
      </c>
      <c r="B250">
        <v>23018720</v>
      </c>
      <c r="C250" t="s">
        <v>173</v>
      </c>
      <c r="D250" t="s">
        <v>174</v>
      </c>
      <c r="E250" t="s">
        <v>428</v>
      </c>
      <c r="F250" t="s">
        <v>452</v>
      </c>
      <c r="G250" t="s">
        <v>463</v>
      </c>
      <c r="H250" t="s">
        <v>431</v>
      </c>
      <c r="I250" t="s">
        <v>432</v>
      </c>
      <c r="J250" t="s">
        <v>432</v>
      </c>
      <c r="K250">
        <v>0</v>
      </c>
      <c r="L250" t="s">
        <v>428</v>
      </c>
      <c r="M250" t="s">
        <v>439</v>
      </c>
      <c r="N250">
        <v>154493</v>
      </c>
      <c r="O250">
        <f>INDEX(AllCollegeBarrons,MATCH(N250,AllCollegeNCES,0))</f>
        <v>0</v>
      </c>
      <c r="P250">
        <f>INDEX(KidGPAs,MATCH(B250,KidIDs,0))</f>
        <v>0</v>
      </c>
      <c r="Q250">
        <f>INDEX(KidACTs,MATCH(B250,KidIDs,0))</f>
        <v>0</v>
      </c>
      <c r="R250">
        <f>INDEX(Strats,MATCH(B250,KidIDs,0))</f>
        <v>0</v>
      </c>
      <c r="S250">
        <f>INDEX(KidRace,MATCH(B250,KidIDs,0))</f>
        <v>0</v>
      </c>
      <c r="T250">
        <f>IF(OR(S250="M",S250="I"),"H",S250)</f>
        <v>0</v>
      </c>
      <c r="U250">
        <f>INDEX(StudentTargets,MATCH(B250,KidIDs,0))</f>
        <v>0</v>
      </c>
      <c r="V250">
        <f>INDEX(ReachStudentTargets,MATCH(B250,KidIDs,0))</f>
        <v>0</v>
      </c>
      <c r="W250">
        <f>IF(OR(M250="Posse"),1,0)</f>
        <v>0</v>
      </c>
      <c r="X250">
        <f>IF(ISNUMBER(INDEX(AllCollegeGR, MATCH(N250,AllCollegeNCES,0))),ROUND(INDEX(AllCollegeGR, MATCH(N250,AllCollegeNCES,0))+W250*IF(INDEX(AllCollegeGR, MATCH(N250,AllCollegeNCES,0))&gt;0.7,(1-INDEX(AllCollegeGR, MATCH(N250,AllCollegeNCES,0)))/2,0.15),2),INDEX(AllCollegeGR, MATCH(N250,AllCollegeNCES,0)))</f>
        <v>0</v>
      </c>
      <c r="Y250">
        <f>IF(ISNUMBER(INDEX(AllCollegeAAHGR, MATCH(N250,AllCollegeNCES,0))),ROUND(INDEX(AllCollegeAAHGR, MATCH(N250,AllCollegeNCES,0))+W250*IF(INDEX(AllCollegeAAHGR, MATCH(N250,AllCollegeNCES,0))&gt;0.7,(1-INDEX(AllCollegeAAHGR, MATCH(N250,AllCollegeNCES,0)))/2,0.15),2),INDEX(AllCollegeAAHGR, MATCH(N250,AllCollegeNCES,0)))</f>
        <v>0</v>
      </c>
      <c r="Z250">
        <f>IF(OR(T250="H",T250="B"),INDEX(AllCollegeACT25, MATCH(N250,AllCollegeNCES,0)),INDEX(AllCollegeACT50, MATCH(N250,AllCollegeNCES,0)))</f>
        <v>0</v>
      </c>
      <c r="AA250">
        <f>INDEX(CustomWeightsGPA,MATCH(T250&amp;":"&amp;N250,CustomWeightsIndex,0))</f>
        <v>0</v>
      </c>
      <c r="AB250">
        <f>INDEX(CustomWeightsACT,MATCH(T250&amp;":"&amp;N250,CustomWeightsIndex,0))</f>
        <v>0</v>
      </c>
      <c r="AC250">
        <f>INDEX(CustomWeightsIntercept,MATCH(T250&amp;":"&amp;N250,CustomWeightsIndex,0))</f>
        <v>0</v>
      </c>
      <c r="AD250">
        <f>AA250*P250+AB250*Q250+AC250</f>
        <v>0</v>
      </c>
      <c r="AE250">
        <f>INDEX(CoefficientsGPA,MATCH(T250&amp;":"&amp;O250,CoefficientsIndex,0))</f>
        <v>0</v>
      </c>
      <c r="AF250">
        <f>INDEX(CoefficientsACT,MATCH(T250&amp;":"&amp;O250,CoefficientsIndex,0))</f>
        <v>0</v>
      </c>
      <c r="AG250">
        <f>INDEX(CoefficientsIntercept,MATCH(T250&amp;":"&amp;O250,CoefficientsIndex,0))</f>
        <v>0</v>
      </c>
      <c r="AH250">
        <f>AE250*P250+(Q250-Z250)*AF250+AG250</f>
        <v>0</v>
      </c>
      <c r="AI250">
        <f>IF(ISNUMBER(AD250),AD250,AH250)</f>
        <v>0</v>
      </c>
      <c r="AJ250">
        <f>IF(ISNUMBER(AI250),IF(ISNUMBER(AE250),IF(AND(AE250=1,AF250=1,AG250=1),100,ROUND(100*EXP(AI250)/(1+EXP(AI250)),2)),ROUND(100*EXP(AI250)/(1+EXP(AI250)),2)),IF(ISTEXT(O250),IF(LEFT(O250,1)="2",100,"N/A"),"N/A"))</f>
        <v>0</v>
      </c>
      <c r="AK250">
        <f>IF(ISNUMBER(AJ250),IF(AJ250&gt;=99,IF(OR(R250=10,R250=11),MatchLabel,SureThingLabel),IF(AJ250&gt;=95,SecureLabel,IF(AJ250&gt;=80,SafetyLabel,IF(AJ250&gt;=50,MatchLabel,IF(AJ250&gt;=20,ReachLabel,IF(AJ250&gt;=10,LongshotLabel,HailMaryLabel)))))),"Other")</f>
        <v>0</v>
      </c>
      <c r="AL250">
        <f>IF(OR(I250="accepted",I250="cond. accept",I250="summer admit"),IF(J250="yes","CHOICE!","Accepted!"),IF(I250="denied","Denied",IF(K250=1,"Waitlist",IF(L250=1,"Deferred",IF(G250="pending","Pending",IF(OR(G250="initial materials submitted",G250="mid-year submitted",G250="final submitted"),"Submitted",IF(H250="interest","Interest","?")))))))</f>
        <v>0</v>
      </c>
      <c r="AM250">
        <f>IF(OR(AK250=ReachLabel,AK250=LongshotLabel,AK250=HailMaryLabel),1,0)</f>
        <v>0</v>
      </c>
      <c r="AN250">
        <f>IF(OR(AM250=1,AK250=MatchLabel),1,0)</f>
        <v>0</v>
      </c>
      <c r="AO250">
        <f>IF(OR(AK250=MatchLabel,AK250=SafetyLabel,AK250=SecureLabel,AK250=SureThingLabel),1,0)</f>
        <v>0</v>
      </c>
      <c r="AP250">
        <f>IF(OR(T250="H",T250="B"),IF(ISNUMBER(Y250),ROUND(Y250,2),0),IF(ISNUMBER(X250),ROUND(X250,2),0))</f>
        <v>0</v>
      </c>
      <c r="AQ250">
        <f>IF(AP250&gt;=U250,1,0)</f>
        <v>0</v>
      </c>
      <c r="AR250">
        <f>IF(AP250&gt;=V250,1,0)</f>
        <v>0</v>
      </c>
      <c r="AS250">
        <f>IF(AP250&lt;(U250-0.10),1,0)</f>
        <v>0</v>
      </c>
      <c r="AT250">
        <f>1-AJ250/100</f>
        <v>0</v>
      </c>
      <c r="AU250">
        <f>IF(AN250=1,AT250,1)</f>
        <v>0</v>
      </c>
      <c r="AV250">
        <f>IF(AM250=1,AT250,1)</f>
        <v>0</v>
      </c>
      <c r="AW250">
        <f>IF(AND(AQ250=1,ISNUMBER(AT250)),$AT250,1)</f>
        <v>0</v>
      </c>
      <c r="AX250">
        <f>IF(AND(AR250=1,ISNUMBER(AT250)),$AT250,1)</f>
        <v>0</v>
      </c>
      <c r="AY250">
        <f>IF(ISNUMBER(Y250),INDEX(AllCollegeMoney, MATCH(N250,AllCollegeNCES,0)),0)</f>
        <v>0</v>
      </c>
      <c r="AZ250">
        <f>IF(AND(AQ250=1,ISNUMBER(AT250),AY250=1),$AT250,1)</f>
        <v>0</v>
      </c>
      <c r="BA250">
        <f>IF(AND(AR250=1,ISNUMBER(AT250),AY250=1),$AT250,1)</f>
        <v>0</v>
      </c>
      <c r="BB250">
        <f>IF(ISNUMBER(Y250),INDEX(AllCollegeILPub, MATCH(N250,AllCollegeNCES,0)),0)</f>
        <v>0</v>
      </c>
      <c r="BC250">
        <f>IF(AK250=ReachLabel,AP250,0)</f>
        <v>0</v>
      </c>
      <c r="BD250">
        <f>IF(AK250=MatchLabel,AP250,0)</f>
        <v>0</v>
      </c>
      <c r="BE250">
        <f>IF(AK250=SafetyLabel,AP250,0)</f>
        <v>0</v>
      </c>
      <c r="BF250">
        <f>IF(AK250=SecureLabel,AP250,0)</f>
        <v>0</v>
      </c>
      <c r="BG250">
        <f>IF(AK250=SureThingLabel,AP250,0)</f>
        <v>0</v>
      </c>
      <c r="BH250">
        <f>MAX(BC250:BG250)</f>
        <v>0</v>
      </c>
      <c r="BI250">
        <f>MAX(BD250:BG250)</f>
        <v>0</v>
      </c>
      <c r="BJ250">
        <f>MAX(BE250:BG250)</f>
        <v>0</v>
      </c>
      <c r="BK250">
        <f>IF(AND(AK250=ReachLabel,AY250=1),AP250,0)</f>
        <v>0</v>
      </c>
      <c r="BL250">
        <f>IF(AND(AK250=MatchLabel,AY250=1),AP250,0)</f>
        <v>0</v>
      </c>
      <c r="BM250">
        <f>IF(AND(AK250=SafetyLabel,AY250=1),AP250,0)</f>
        <v>0</v>
      </c>
      <c r="BN250">
        <f>IF(AND(AK250=SecureLabel,AY250=1),AP250,0)</f>
        <v>0</v>
      </c>
      <c r="BO250">
        <f>IF(AND(AK250=SureThingLabel,AY250=1),AP250,0)</f>
        <v>0</v>
      </c>
      <c r="BP250">
        <f>MAX(BK250:BO250)</f>
        <v>0</v>
      </c>
      <c r="BQ250">
        <f>MAX(BL250:BO250)</f>
        <v>0</v>
      </c>
      <c r="BR250">
        <f>MAX(BM250:BO250)</f>
        <v>0</v>
      </c>
      <c r="BS250">
        <f>IF(ISNUMBER(Y250),INDEX(AllCollegeChicago, MATCH(N250,AllCollegeNCES,0))*AY250,0)</f>
        <v>0</v>
      </c>
      <c r="BT250">
        <f>IF(ISNUMBER(Y250),INDEX(AllCollegeMoneyCode, MATCH(N250,AllCollegeNCES,0)),"?")</f>
        <v>0</v>
      </c>
      <c r="BU250">
        <f>IF(OR(BT250="---",BT250="--",BT250="+/--",BT250="+/---"),1,0)</f>
        <v>0</v>
      </c>
      <c r="BV250">
        <f>AY250*AO250*AQ250</f>
        <v>0</v>
      </c>
    </row>
    <row r="251" spans="1:74">
      <c r="A251" t="s">
        <v>86</v>
      </c>
      <c r="B251">
        <v>23020881</v>
      </c>
      <c r="C251" t="s">
        <v>290</v>
      </c>
      <c r="D251" t="s">
        <v>291</v>
      </c>
      <c r="E251" t="s">
        <v>428</v>
      </c>
      <c r="F251" t="s">
        <v>502</v>
      </c>
      <c r="G251" t="s">
        <v>430</v>
      </c>
      <c r="H251" t="s">
        <v>431</v>
      </c>
      <c r="I251" t="s">
        <v>432</v>
      </c>
      <c r="J251" t="s">
        <v>432</v>
      </c>
      <c r="K251">
        <v>0</v>
      </c>
      <c r="L251" t="s">
        <v>428</v>
      </c>
      <c r="M251" t="s">
        <v>428</v>
      </c>
      <c r="N251">
        <v>145813</v>
      </c>
      <c r="O251">
        <f>INDEX(AllCollegeBarrons,MATCH(N251,AllCollegeNCES,0))</f>
        <v>0</v>
      </c>
      <c r="P251">
        <f>INDEX(KidGPAs,MATCH(B251,KidIDs,0))</f>
        <v>0</v>
      </c>
      <c r="Q251">
        <f>INDEX(KidACTs,MATCH(B251,KidIDs,0))</f>
        <v>0</v>
      </c>
      <c r="R251">
        <f>INDEX(Strats,MATCH(B251,KidIDs,0))</f>
        <v>0</v>
      </c>
      <c r="S251">
        <f>INDEX(KidRace,MATCH(B251,KidIDs,0))</f>
        <v>0</v>
      </c>
      <c r="T251">
        <f>IF(OR(S251="M",S251="I"),"H",S251)</f>
        <v>0</v>
      </c>
      <c r="U251">
        <f>INDEX(StudentTargets,MATCH(B251,KidIDs,0))</f>
        <v>0</v>
      </c>
      <c r="V251">
        <f>INDEX(ReachStudentTargets,MATCH(B251,KidIDs,0))</f>
        <v>0</v>
      </c>
      <c r="W251">
        <f>IF(OR(M251="Posse"),1,0)</f>
        <v>0</v>
      </c>
      <c r="X251">
        <f>IF(ISNUMBER(INDEX(AllCollegeGR, MATCH(N251,AllCollegeNCES,0))),ROUND(INDEX(AllCollegeGR, MATCH(N251,AllCollegeNCES,0))+W251*IF(INDEX(AllCollegeGR, MATCH(N251,AllCollegeNCES,0))&gt;0.7,(1-INDEX(AllCollegeGR, MATCH(N251,AllCollegeNCES,0)))/2,0.15),2),INDEX(AllCollegeGR, MATCH(N251,AllCollegeNCES,0)))</f>
        <v>0</v>
      </c>
      <c r="Y251">
        <f>IF(ISNUMBER(INDEX(AllCollegeAAHGR, MATCH(N251,AllCollegeNCES,0))),ROUND(INDEX(AllCollegeAAHGR, MATCH(N251,AllCollegeNCES,0))+W251*IF(INDEX(AllCollegeAAHGR, MATCH(N251,AllCollegeNCES,0))&gt;0.7,(1-INDEX(AllCollegeAAHGR, MATCH(N251,AllCollegeNCES,0)))/2,0.15),2),INDEX(AllCollegeAAHGR, MATCH(N251,AllCollegeNCES,0)))</f>
        <v>0</v>
      </c>
      <c r="Z251">
        <f>IF(OR(T251="H",T251="B"),INDEX(AllCollegeACT25, MATCH(N251,AllCollegeNCES,0)),INDEX(AllCollegeACT50, MATCH(N251,AllCollegeNCES,0)))</f>
        <v>0</v>
      </c>
      <c r="AA251">
        <f>INDEX(CustomWeightsGPA,MATCH(T251&amp;":"&amp;N251,CustomWeightsIndex,0))</f>
        <v>0</v>
      </c>
      <c r="AB251">
        <f>INDEX(CustomWeightsACT,MATCH(T251&amp;":"&amp;N251,CustomWeightsIndex,0))</f>
        <v>0</v>
      </c>
      <c r="AC251">
        <f>INDEX(CustomWeightsIntercept,MATCH(T251&amp;":"&amp;N251,CustomWeightsIndex,0))</f>
        <v>0</v>
      </c>
      <c r="AD251">
        <f>AA251*P251+AB251*Q251+AC251</f>
        <v>0</v>
      </c>
      <c r="AE251">
        <f>INDEX(CoefficientsGPA,MATCH(T251&amp;":"&amp;O251,CoefficientsIndex,0))</f>
        <v>0</v>
      </c>
      <c r="AF251">
        <f>INDEX(CoefficientsACT,MATCH(T251&amp;":"&amp;O251,CoefficientsIndex,0))</f>
        <v>0</v>
      </c>
      <c r="AG251">
        <f>INDEX(CoefficientsIntercept,MATCH(T251&amp;":"&amp;O251,CoefficientsIndex,0))</f>
        <v>0</v>
      </c>
      <c r="AH251">
        <f>AE251*P251+(Q251-Z251)*AF251+AG251</f>
        <v>0</v>
      </c>
      <c r="AI251">
        <f>IF(ISNUMBER(AD251),AD251,AH251)</f>
        <v>0</v>
      </c>
      <c r="AJ251">
        <f>IF(ISNUMBER(AI251),IF(ISNUMBER(AE251),IF(AND(AE251=1,AF251=1,AG251=1),100,ROUND(100*EXP(AI251)/(1+EXP(AI251)),2)),ROUND(100*EXP(AI251)/(1+EXP(AI251)),2)),IF(ISTEXT(O251),IF(LEFT(O251,1)="2",100,"N/A"),"N/A"))</f>
        <v>0</v>
      </c>
      <c r="AK251">
        <f>IF(ISNUMBER(AJ251),IF(AJ251&gt;=99,IF(OR(R251=10,R251=11),MatchLabel,SureThingLabel),IF(AJ251&gt;=95,SecureLabel,IF(AJ251&gt;=80,SafetyLabel,IF(AJ251&gt;=50,MatchLabel,IF(AJ251&gt;=20,ReachLabel,IF(AJ251&gt;=10,LongshotLabel,HailMaryLabel)))))),"Other")</f>
        <v>0</v>
      </c>
      <c r="AL251">
        <f>IF(OR(I251="accepted",I251="cond. accept",I251="summer admit"),IF(J251="yes","CHOICE!","Accepted!"),IF(I251="denied","Denied",IF(K251=1,"Waitlist",IF(L251=1,"Deferred",IF(G251="pending","Pending",IF(OR(G251="initial materials submitted",G251="mid-year submitted",G251="final submitted"),"Submitted",IF(H251="interest","Interest","?")))))))</f>
        <v>0</v>
      </c>
      <c r="AM251">
        <f>IF(OR(AK251=ReachLabel,AK251=LongshotLabel,AK251=HailMaryLabel),1,0)</f>
        <v>0</v>
      </c>
      <c r="AN251">
        <f>IF(OR(AM251=1,AK251=MatchLabel),1,0)</f>
        <v>0</v>
      </c>
      <c r="AO251">
        <f>IF(OR(AK251=MatchLabel,AK251=SafetyLabel,AK251=SecureLabel,AK251=SureThingLabel),1,0)</f>
        <v>0</v>
      </c>
      <c r="AP251">
        <f>IF(OR(T251="H",T251="B"),IF(ISNUMBER(Y251),ROUND(Y251,2),0),IF(ISNUMBER(X251),ROUND(X251,2),0))</f>
        <v>0</v>
      </c>
      <c r="AQ251">
        <f>IF(AP251&gt;=U251,1,0)</f>
        <v>0</v>
      </c>
      <c r="AR251">
        <f>IF(AP251&gt;=V251,1,0)</f>
        <v>0</v>
      </c>
      <c r="AS251">
        <f>IF(AP251&lt;(U251-0.10),1,0)</f>
        <v>0</v>
      </c>
      <c r="AT251">
        <f>1-AJ251/100</f>
        <v>0</v>
      </c>
      <c r="AU251">
        <f>IF(AN251=1,AT251,1)</f>
        <v>0</v>
      </c>
      <c r="AV251">
        <f>IF(AM251=1,AT251,1)</f>
        <v>0</v>
      </c>
      <c r="AW251">
        <f>IF(AND(AQ251=1,ISNUMBER(AT251)),$AT251,1)</f>
        <v>0</v>
      </c>
      <c r="AX251">
        <f>IF(AND(AR251=1,ISNUMBER(AT251)),$AT251,1)</f>
        <v>0</v>
      </c>
      <c r="AY251">
        <f>IF(ISNUMBER(Y251),INDEX(AllCollegeMoney, MATCH(N251,AllCollegeNCES,0)),0)</f>
        <v>0</v>
      </c>
      <c r="AZ251">
        <f>IF(AND(AQ251=1,ISNUMBER(AT251),AY251=1),$AT251,1)</f>
        <v>0</v>
      </c>
      <c r="BA251">
        <f>IF(AND(AR251=1,ISNUMBER(AT251),AY251=1),$AT251,1)</f>
        <v>0</v>
      </c>
      <c r="BB251">
        <f>IF(ISNUMBER(Y251),INDEX(AllCollegeILPub, MATCH(N251,AllCollegeNCES,0)),0)</f>
        <v>0</v>
      </c>
      <c r="BC251">
        <f>IF(AK251=ReachLabel,AP251,0)</f>
        <v>0</v>
      </c>
      <c r="BD251">
        <f>IF(AK251=MatchLabel,AP251,0)</f>
        <v>0</v>
      </c>
      <c r="BE251">
        <f>IF(AK251=SafetyLabel,AP251,0)</f>
        <v>0</v>
      </c>
      <c r="BF251">
        <f>IF(AK251=SecureLabel,AP251,0)</f>
        <v>0</v>
      </c>
      <c r="BG251">
        <f>IF(AK251=SureThingLabel,AP251,0)</f>
        <v>0</v>
      </c>
      <c r="BH251">
        <f>MAX(BC251:BG251)</f>
        <v>0</v>
      </c>
      <c r="BI251">
        <f>MAX(BD251:BG251)</f>
        <v>0</v>
      </c>
      <c r="BJ251">
        <f>MAX(BE251:BG251)</f>
        <v>0</v>
      </c>
      <c r="BK251">
        <f>IF(AND(AK251=ReachLabel,AY251=1),AP251,0)</f>
        <v>0</v>
      </c>
      <c r="BL251">
        <f>IF(AND(AK251=MatchLabel,AY251=1),AP251,0)</f>
        <v>0</v>
      </c>
      <c r="BM251">
        <f>IF(AND(AK251=SafetyLabel,AY251=1),AP251,0)</f>
        <v>0</v>
      </c>
      <c r="BN251">
        <f>IF(AND(AK251=SecureLabel,AY251=1),AP251,0)</f>
        <v>0</v>
      </c>
      <c r="BO251">
        <f>IF(AND(AK251=SureThingLabel,AY251=1),AP251,0)</f>
        <v>0</v>
      </c>
      <c r="BP251">
        <f>MAX(BK251:BO251)</f>
        <v>0</v>
      </c>
      <c r="BQ251">
        <f>MAX(BL251:BO251)</f>
        <v>0</v>
      </c>
      <c r="BR251">
        <f>MAX(BM251:BO251)</f>
        <v>0</v>
      </c>
      <c r="BS251">
        <f>IF(ISNUMBER(Y251),INDEX(AllCollegeChicago, MATCH(N251,AllCollegeNCES,0))*AY251,0)</f>
        <v>0</v>
      </c>
      <c r="BT251">
        <f>IF(ISNUMBER(Y251),INDEX(AllCollegeMoneyCode, MATCH(N251,AllCollegeNCES,0)),"?")</f>
        <v>0</v>
      </c>
      <c r="BU251">
        <f>IF(OR(BT251="---",BT251="--",BT251="+/--",BT251="+/---"),1,0)</f>
        <v>0</v>
      </c>
      <c r="BV251">
        <f>AY251*AO251*AQ251</f>
        <v>0</v>
      </c>
    </row>
    <row r="252" spans="1:74">
      <c r="A252" t="s">
        <v>86</v>
      </c>
      <c r="B252">
        <v>23020881</v>
      </c>
      <c r="C252" t="s">
        <v>290</v>
      </c>
      <c r="D252" t="s">
        <v>291</v>
      </c>
      <c r="E252" t="s">
        <v>428</v>
      </c>
      <c r="F252" t="s">
        <v>447</v>
      </c>
      <c r="G252" t="s">
        <v>430</v>
      </c>
      <c r="H252" t="s">
        <v>431</v>
      </c>
      <c r="I252" t="s">
        <v>432</v>
      </c>
      <c r="J252" t="s">
        <v>432</v>
      </c>
      <c r="K252">
        <v>0</v>
      </c>
      <c r="L252" t="s">
        <v>428</v>
      </c>
      <c r="M252" t="s">
        <v>428</v>
      </c>
      <c r="N252">
        <v>145600</v>
      </c>
      <c r="O252">
        <f>INDEX(AllCollegeBarrons,MATCH(N252,AllCollegeNCES,0))</f>
        <v>0</v>
      </c>
      <c r="P252">
        <f>INDEX(KidGPAs,MATCH(B252,KidIDs,0))</f>
        <v>0</v>
      </c>
      <c r="Q252">
        <f>INDEX(KidACTs,MATCH(B252,KidIDs,0))</f>
        <v>0</v>
      </c>
      <c r="R252">
        <f>INDEX(Strats,MATCH(B252,KidIDs,0))</f>
        <v>0</v>
      </c>
      <c r="S252">
        <f>INDEX(KidRace,MATCH(B252,KidIDs,0))</f>
        <v>0</v>
      </c>
      <c r="T252">
        <f>IF(OR(S252="M",S252="I"),"H",S252)</f>
        <v>0</v>
      </c>
      <c r="U252">
        <f>INDEX(StudentTargets,MATCH(B252,KidIDs,0))</f>
        <v>0</v>
      </c>
      <c r="V252">
        <f>INDEX(ReachStudentTargets,MATCH(B252,KidIDs,0))</f>
        <v>0</v>
      </c>
      <c r="W252">
        <f>IF(OR(M252="Posse"),1,0)</f>
        <v>0</v>
      </c>
      <c r="X252">
        <f>IF(ISNUMBER(INDEX(AllCollegeGR, MATCH(N252,AllCollegeNCES,0))),ROUND(INDEX(AllCollegeGR, MATCH(N252,AllCollegeNCES,0))+W252*IF(INDEX(AllCollegeGR, MATCH(N252,AllCollegeNCES,0))&gt;0.7,(1-INDEX(AllCollegeGR, MATCH(N252,AllCollegeNCES,0)))/2,0.15),2),INDEX(AllCollegeGR, MATCH(N252,AllCollegeNCES,0)))</f>
        <v>0</v>
      </c>
      <c r="Y252">
        <f>IF(ISNUMBER(INDEX(AllCollegeAAHGR, MATCH(N252,AllCollegeNCES,0))),ROUND(INDEX(AllCollegeAAHGR, MATCH(N252,AllCollegeNCES,0))+W252*IF(INDEX(AllCollegeAAHGR, MATCH(N252,AllCollegeNCES,0))&gt;0.7,(1-INDEX(AllCollegeAAHGR, MATCH(N252,AllCollegeNCES,0)))/2,0.15),2),INDEX(AllCollegeAAHGR, MATCH(N252,AllCollegeNCES,0)))</f>
        <v>0</v>
      </c>
      <c r="Z252">
        <f>IF(OR(T252="H",T252="B"),INDEX(AllCollegeACT25, MATCH(N252,AllCollegeNCES,0)),INDEX(AllCollegeACT50, MATCH(N252,AllCollegeNCES,0)))</f>
        <v>0</v>
      </c>
      <c r="AA252">
        <f>INDEX(CustomWeightsGPA,MATCH(T252&amp;":"&amp;N252,CustomWeightsIndex,0))</f>
        <v>0</v>
      </c>
      <c r="AB252">
        <f>INDEX(CustomWeightsACT,MATCH(T252&amp;":"&amp;N252,CustomWeightsIndex,0))</f>
        <v>0</v>
      </c>
      <c r="AC252">
        <f>INDEX(CustomWeightsIntercept,MATCH(T252&amp;":"&amp;N252,CustomWeightsIndex,0))</f>
        <v>0</v>
      </c>
      <c r="AD252">
        <f>AA252*P252+AB252*Q252+AC252</f>
        <v>0</v>
      </c>
      <c r="AE252">
        <f>INDEX(CoefficientsGPA,MATCH(T252&amp;":"&amp;O252,CoefficientsIndex,0))</f>
        <v>0</v>
      </c>
      <c r="AF252">
        <f>INDEX(CoefficientsACT,MATCH(T252&amp;":"&amp;O252,CoefficientsIndex,0))</f>
        <v>0</v>
      </c>
      <c r="AG252">
        <f>INDEX(CoefficientsIntercept,MATCH(T252&amp;":"&amp;O252,CoefficientsIndex,0))</f>
        <v>0</v>
      </c>
      <c r="AH252">
        <f>AE252*P252+(Q252-Z252)*AF252+AG252</f>
        <v>0</v>
      </c>
      <c r="AI252">
        <f>IF(ISNUMBER(AD252),AD252,AH252)</f>
        <v>0</v>
      </c>
      <c r="AJ252">
        <f>IF(ISNUMBER(AI252),IF(ISNUMBER(AE252),IF(AND(AE252=1,AF252=1,AG252=1),100,ROUND(100*EXP(AI252)/(1+EXP(AI252)),2)),ROUND(100*EXP(AI252)/(1+EXP(AI252)),2)),IF(ISTEXT(O252),IF(LEFT(O252,1)="2",100,"N/A"),"N/A"))</f>
        <v>0</v>
      </c>
      <c r="AK252">
        <f>IF(ISNUMBER(AJ252),IF(AJ252&gt;=99,IF(OR(R252=10,R252=11),MatchLabel,SureThingLabel),IF(AJ252&gt;=95,SecureLabel,IF(AJ252&gt;=80,SafetyLabel,IF(AJ252&gt;=50,MatchLabel,IF(AJ252&gt;=20,ReachLabel,IF(AJ252&gt;=10,LongshotLabel,HailMaryLabel)))))),"Other")</f>
        <v>0</v>
      </c>
      <c r="AL252">
        <f>IF(OR(I252="accepted",I252="cond. accept",I252="summer admit"),IF(J252="yes","CHOICE!","Accepted!"),IF(I252="denied","Denied",IF(K252=1,"Waitlist",IF(L252=1,"Deferred",IF(G252="pending","Pending",IF(OR(G252="initial materials submitted",G252="mid-year submitted",G252="final submitted"),"Submitted",IF(H252="interest","Interest","?")))))))</f>
        <v>0</v>
      </c>
      <c r="AM252">
        <f>IF(OR(AK252=ReachLabel,AK252=LongshotLabel,AK252=HailMaryLabel),1,0)</f>
        <v>0</v>
      </c>
      <c r="AN252">
        <f>IF(OR(AM252=1,AK252=MatchLabel),1,0)</f>
        <v>0</v>
      </c>
      <c r="AO252">
        <f>IF(OR(AK252=MatchLabel,AK252=SafetyLabel,AK252=SecureLabel,AK252=SureThingLabel),1,0)</f>
        <v>0</v>
      </c>
      <c r="AP252">
        <f>IF(OR(T252="H",T252="B"),IF(ISNUMBER(Y252),ROUND(Y252,2),0),IF(ISNUMBER(X252),ROUND(X252,2),0))</f>
        <v>0</v>
      </c>
      <c r="AQ252">
        <f>IF(AP252&gt;=U252,1,0)</f>
        <v>0</v>
      </c>
      <c r="AR252">
        <f>IF(AP252&gt;=V252,1,0)</f>
        <v>0</v>
      </c>
      <c r="AS252">
        <f>IF(AP252&lt;(U252-0.10),1,0)</f>
        <v>0</v>
      </c>
      <c r="AT252">
        <f>1-AJ252/100</f>
        <v>0</v>
      </c>
      <c r="AU252">
        <f>IF(AN252=1,AT252,1)</f>
        <v>0</v>
      </c>
      <c r="AV252">
        <f>IF(AM252=1,AT252,1)</f>
        <v>0</v>
      </c>
      <c r="AW252">
        <f>IF(AND(AQ252=1,ISNUMBER(AT252)),$AT252,1)</f>
        <v>0</v>
      </c>
      <c r="AX252">
        <f>IF(AND(AR252=1,ISNUMBER(AT252)),$AT252,1)</f>
        <v>0</v>
      </c>
      <c r="AY252">
        <f>IF(ISNUMBER(Y252),INDEX(AllCollegeMoney, MATCH(N252,AllCollegeNCES,0)),0)</f>
        <v>0</v>
      </c>
      <c r="AZ252">
        <f>IF(AND(AQ252=1,ISNUMBER(AT252),AY252=1),$AT252,1)</f>
        <v>0</v>
      </c>
      <c r="BA252">
        <f>IF(AND(AR252=1,ISNUMBER(AT252),AY252=1),$AT252,1)</f>
        <v>0</v>
      </c>
      <c r="BB252">
        <f>IF(ISNUMBER(Y252),INDEX(AllCollegeILPub, MATCH(N252,AllCollegeNCES,0)),0)</f>
        <v>0</v>
      </c>
      <c r="BC252">
        <f>IF(AK252=ReachLabel,AP252,0)</f>
        <v>0</v>
      </c>
      <c r="BD252">
        <f>IF(AK252=MatchLabel,AP252,0)</f>
        <v>0</v>
      </c>
      <c r="BE252">
        <f>IF(AK252=SafetyLabel,AP252,0)</f>
        <v>0</v>
      </c>
      <c r="BF252">
        <f>IF(AK252=SecureLabel,AP252,0)</f>
        <v>0</v>
      </c>
      <c r="BG252">
        <f>IF(AK252=SureThingLabel,AP252,0)</f>
        <v>0</v>
      </c>
      <c r="BH252">
        <f>MAX(BC252:BG252)</f>
        <v>0</v>
      </c>
      <c r="BI252">
        <f>MAX(BD252:BG252)</f>
        <v>0</v>
      </c>
      <c r="BJ252">
        <f>MAX(BE252:BG252)</f>
        <v>0</v>
      </c>
      <c r="BK252">
        <f>IF(AND(AK252=ReachLabel,AY252=1),AP252,0)</f>
        <v>0</v>
      </c>
      <c r="BL252">
        <f>IF(AND(AK252=MatchLabel,AY252=1),AP252,0)</f>
        <v>0</v>
      </c>
      <c r="BM252">
        <f>IF(AND(AK252=SafetyLabel,AY252=1),AP252,0)</f>
        <v>0</v>
      </c>
      <c r="BN252">
        <f>IF(AND(AK252=SecureLabel,AY252=1),AP252,0)</f>
        <v>0</v>
      </c>
      <c r="BO252">
        <f>IF(AND(AK252=SureThingLabel,AY252=1),AP252,0)</f>
        <v>0</v>
      </c>
      <c r="BP252">
        <f>MAX(BK252:BO252)</f>
        <v>0</v>
      </c>
      <c r="BQ252">
        <f>MAX(BL252:BO252)</f>
        <v>0</v>
      </c>
      <c r="BR252">
        <f>MAX(BM252:BO252)</f>
        <v>0</v>
      </c>
      <c r="BS252">
        <f>IF(ISNUMBER(Y252),INDEX(AllCollegeChicago, MATCH(N252,AllCollegeNCES,0))*AY252,0)</f>
        <v>0</v>
      </c>
      <c r="BT252">
        <f>IF(ISNUMBER(Y252),INDEX(AllCollegeMoneyCode, MATCH(N252,AllCollegeNCES,0)),"?")</f>
        <v>0</v>
      </c>
      <c r="BU252">
        <f>IF(OR(BT252="---",BT252="--",BT252="+/--",BT252="+/---"),1,0)</f>
        <v>0</v>
      </c>
      <c r="BV252">
        <f>AY252*AO252*AQ252</f>
        <v>0</v>
      </c>
    </row>
    <row r="253" spans="1:74">
      <c r="A253" t="s">
        <v>86</v>
      </c>
      <c r="B253">
        <v>23020881</v>
      </c>
      <c r="C253" t="s">
        <v>290</v>
      </c>
      <c r="D253" t="s">
        <v>291</v>
      </c>
      <c r="E253" t="s">
        <v>428</v>
      </c>
      <c r="F253" t="s">
        <v>464</v>
      </c>
      <c r="G253" t="s">
        <v>430</v>
      </c>
      <c r="H253" t="s">
        <v>431</v>
      </c>
      <c r="I253" t="s">
        <v>432</v>
      </c>
      <c r="J253" t="s">
        <v>432</v>
      </c>
      <c r="K253">
        <v>0</v>
      </c>
      <c r="L253" t="s">
        <v>428</v>
      </c>
      <c r="M253" t="s">
        <v>428</v>
      </c>
      <c r="N253">
        <v>169248</v>
      </c>
      <c r="O253">
        <f>INDEX(AllCollegeBarrons,MATCH(N253,AllCollegeNCES,0))</f>
        <v>0</v>
      </c>
      <c r="P253">
        <f>INDEX(KidGPAs,MATCH(B253,KidIDs,0))</f>
        <v>0</v>
      </c>
      <c r="Q253">
        <f>INDEX(KidACTs,MATCH(B253,KidIDs,0))</f>
        <v>0</v>
      </c>
      <c r="R253">
        <f>INDEX(Strats,MATCH(B253,KidIDs,0))</f>
        <v>0</v>
      </c>
      <c r="S253">
        <f>INDEX(KidRace,MATCH(B253,KidIDs,0))</f>
        <v>0</v>
      </c>
      <c r="T253">
        <f>IF(OR(S253="M",S253="I"),"H",S253)</f>
        <v>0</v>
      </c>
      <c r="U253">
        <f>INDEX(StudentTargets,MATCH(B253,KidIDs,0))</f>
        <v>0</v>
      </c>
      <c r="V253">
        <f>INDEX(ReachStudentTargets,MATCH(B253,KidIDs,0))</f>
        <v>0</v>
      </c>
      <c r="W253">
        <f>IF(OR(M253="Posse"),1,0)</f>
        <v>0</v>
      </c>
      <c r="X253">
        <f>IF(ISNUMBER(INDEX(AllCollegeGR, MATCH(N253,AllCollegeNCES,0))),ROUND(INDEX(AllCollegeGR, MATCH(N253,AllCollegeNCES,0))+W253*IF(INDEX(AllCollegeGR, MATCH(N253,AllCollegeNCES,0))&gt;0.7,(1-INDEX(AllCollegeGR, MATCH(N253,AllCollegeNCES,0)))/2,0.15),2),INDEX(AllCollegeGR, MATCH(N253,AllCollegeNCES,0)))</f>
        <v>0</v>
      </c>
      <c r="Y253">
        <f>IF(ISNUMBER(INDEX(AllCollegeAAHGR, MATCH(N253,AllCollegeNCES,0))),ROUND(INDEX(AllCollegeAAHGR, MATCH(N253,AllCollegeNCES,0))+W253*IF(INDEX(AllCollegeAAHGR, MATCH(N253,AllCollegeNCES,0))&gt;0.7,(1-INDEX(AllCollegeAAHGR, MATCH(N253,AllCollegeNCES,0)))/2,0.15),2),INDEX(AllCollegeAAHGR, MATCH(N253,AllCollegeNCES,0)))</f>
        <v>0</v>
      </c>
      <c r="Z253">
        <f>IF(OR(T253="H",T253="B"),INDEX(AllCollegeACT25, MATCH(N253,AllCollegeNCES,0)),INDEX(AllCollegeACT50, MATCH(N253,AllCollegeNCES,0)))</f>
        <v>0</v>
      </c>
      <c r="AA253">
        <f>INDEX(CustomWeightsGPA,MATCH(T253&amp;":"&amp;N253,CustomWeightsIndex,0))</f>
        <v>0</v>
      </c>
      <c r="AB253">
        <f>INDEX(CustomWeightsACT,MATCH(T253&amp;":"&amp;N253,CustomWeightsIndex,0))</f>
        <v>0</v>
      </c>
      <c r="AC253">
        <f>INDEX(CustomWeightsIntercept,MATCH(T253&amp;":"&amp;N253,CustomWeightsIndex,0))</f>
        <v>0</v>
      </c>
      <c r="AD253">
        <f>AA253*P253+AB253*Q253+AC253</f>
        <v>0</v>
      </c>
      <c r="AE253">
        <f>INDEX(CoefficientsGPA,MATCH(T253&amp;":"&amp;O253,CoefficientsIndex,0))</f>
        <v>0</v>
      </c>
      <c r="AF253">
        <f>INDEX(CoefficientsACT,MATCH(T253&amp;":"&amp;O253,CoefficientsIndex,0))</f>
        <v>0</v>
      </c>
      <c r="AG253">
        <f>INDEX(CoefficientsIntercept,MATCH(T253&amp;":"&amp;O253,CoefficientsIndex,0))</f>
        <v>0</v>
      </c>
      <c r="AH253">
        <f>AE253*P253+(Q253-Z253)*AF253+AG253</f>
        <v>0</v>
      </c>
      <c r="AI253">
        <f>IF(ISNUMBER(AD253),AD253,AH253)</f>
        <v>0</v>
      </c>
      <c r="AJ253">
        <f>IF(ISNUMBER(AI253),IF(ISNUMBER(AE253),IF(AND(AE253=1,AF253=1,AG253=1),100,ROUND(100*EXP(AI253)/(1+EXP(AI253)),2)),ROUND(100*EXP(AI253)/(1+EXP(AI253)),2)),IF(ISTEXT(O253),IF(LEFT(O253,1)="2",100,"N/A"),"N/A"))</f>
        <v>0</v>
      </c>
      <c r="AK253">
        <f>IF(ISNUMBER(AJ253),IF(AJ253&gt;=99,IF(OR(R253=10,R253=11),MatchLabel,SureThingLabel),IF(AJ253&gt;=95,SecureLabel,IF(AJ253&gt;=80,SafetyLabel,IF(AJ253&gt;=50,MatchLabel,IF(AJ253&gt;=20,ReachLabel,IF(AJ253&gt;=10,LongshotLabel,HailMaryLabel)))))),"Other")</f>
        <v>0</v>
      </c>
      <c r="AL253">
        <f>IF(OR(I253="accepted",I253="cond. accept",I253="summer admit"),IF(J253="yes","CHOICE!","Accepted!"),IF(I253="denied","Denied",IF(K253=1,"Waitlist",IF(L253=1,"Deferred",IF(G253="pending","Pending",IF(OR(G253="initial materials submitted",G253="mid-year submitted",G253="final submitted"),"Submitted",IF(H253="interest","Interest","?")))))))</f>
        <v>0</v>
      </c>
      <c r="AM253">
        <f>IF(OR(AK253=ReachLabel,AK253=LongshotLabel,AK253=HailMaryLabel),1,0)</f>
        <v>0</v>
      </c>
      <c r="AN253">
        <f>IF(OR(AM253=1,AK253=MatchLabel),1,0)</f>
        <v>0</v>
      </c>
      <c r="AO253">
        <f>IF(OR(AK253=MatchLabel,AK253=SafetyLabel,AK253=SecureLabel,AK253=SureThingLabel),1,0)</f>
        <v>0</v>
      </c>
      <c r="AP253">
        <f>IF(OR(T253="H",T253="B"),IF(ISNUMBER(Y253),ROUND(Y253,2),0),IF(ISNUMBER(X253),ROUND(X253,2),0))</f>
        <v>0</v>
      </c>
      <c r="AQ253">
        <f>IF(AP253&gt;=U253,1,0)</f>
        <v>0</v>
      </c>
      <c r="AR253">
        <f>IF(AP253&gt;=V253,1,0)</f>
        <v>0</v>
      </c>
      <c r="AS253">
        <f>IF(AP253&lt;(U253-0.10),1,0)</f>
        <v>0</v>
      </c>
      <c r="AT253">
        <f>1-AJ253/100</f>
        <v>0</v>
      </c>
      <c r="AU253">
        <f>IF(AN253=1,AT253,1)</f>
        <v>0</v>
      </c>
      <c r="AV253">
        <f>IF(AM253=1,AT253,1)</f>
        <v>0</v>
      </c>
      <c r="AW253">
        <f>IF(AND(AQ253=1,ISNUMBER(AT253)),$AT253,1)</f>
        <v>0</v>
      </c>
      <c r="AX253">
        <f>IF(AND(AR253=1,ISNUMBER(AT253)),$AT253,1)</f>
        <v>0</v>
      </c>
      <c r="AY253">
        <f>IF(ISNUMBER(Y253),INDEX(AllCollegeMoney, MATCH(N253,AllCollegeNCES,0)),0)</f>
        <v>0</v>
      </c>
      <c r="AZ253">
        <f>IF(AND(AQ253=1,ISNUMBER(AT253),AY253=1),$AT253,1)</f>
        <v>0</v>
      </c>
      <c r="BA253">
        <f>IF(AND(AR253=1,ISNUMBER(AT253),AY253=1),$AT253,1)</f>
        <v>0</v>
      </c>
      <c r="BB253">
        <f>IF(ISNUMBER(Y253),INDEX(AllCollegeILPub, MATCH(N253,AllCollegeNCES,0)),0)</f>
        <v>0</v>
      </c>
      <c r="BC253">
        <f>IF(AK253=ReachLabel,AP253,0)</f>
        <v>0</v>
      </c>
      <c r="BD253">
        <f>IF(AK253=MatchLabel,AP253,0)</f>
        <v>0</v>
      </c>
      <c r="BE253">
        <f>IF(AK253=SafetyLabel,AP253,0)</f>
        <v>0</v>
      </c>
      <c r="BF253">
        <f>IF(AK253=SecureLabel,AP253,0)</f>
        <v>0</v>
      </c>
      <c r="BG253">
        <f>IF(AK253=SureThingLabel,AP253,0)</f>
        <v>0</v>
      </c>
      <c r="BH253">
        <f>MAX(BC253:BG253)</f>
        <v>0</v>
      </c>
      <c r="BI253">
        <f>MAX(BD253:BG253)</f>
        <v>0</v>
      </c>
      <c r="BJ253">
        <f>MAX(BE253:BG253)</f>
        <v>0</v>
      </c>
      <c r="BK253">
        <f>IF(AND(AK253=ReachLabel,AY253=1),AP253,0)</f>
        <v>0</v>
      </c>
      <c r="BL253">
        <f>IF(AND(AK253=MatchLabel,AY253=1),AP253,0)</f>
        <v>0</v>
      </c>
      <c r="BM253">
        <f>IF(AND(AK253=SafetyLabel,AY253=1),AP253,0)</f>
        <v>0</v>
      </c>
      <c r="BN253">
        <f>IF(AND(AK253=SecureLabel,AY253=1),AP253,0)</f>
        <v>0</v>
      </c>
      <c r="BO253">
        <f>IF(AND(AK253=SureThingLabel,AY253=1),AP253,0)</f>
        <v>0</v>
      </c>
      <c r="BP253">
        <f>MAX(BK253:BO253)</f>
        <v>0</v>
      </c>
      <c r="BQ253">
        <f>MAX(BL253:BO253)</f>
        <v>0</v>
      </c>
      <c r="BR253">
        <f>MAX(BM253:BO253)</f>
        <v>0</v>
      </c>
      <c r="BS253">
        <f>IF(ISNUMBER(Y253),INDEX(AllCollegeChicago, MATCH(N253,AllCollegeNCES,0))*AY253,0)</f>
        <v>0</v>
      </c>
      <c r="BT253">
        <f>IF(ISNUMBER(Y253),INDEX(AllCollegeMoneyCode, MATCH(N253,AllCollegeNCES,0)),"?")</f>
        <v>0</v>
      </c>
      <c r="BU253">
        <f>IF(OR(BT253="---",BT253="--",BT253="+/--",BT253="+/---"),1,0)</f>
        <v>0</v>
      </c>
      <c r="BV253">
        <f>AY253*AO253*AQ253</f>
        <v>0</v>
      </c>
    </row>
    <row r="254" spans="1:74">
      <c r="A254" t="s">
        <v>86</v>
      </c>
      <c r="B254">
        <v>23020881</v>
      </c>
      <c r="C254" t="s">
        <v>290</v>
      </c>
      <c r="D254" t="s">
        <v>291</v>
      </c>
      <c r="E254" t="s">
        <v>428</v>
      </c>
      <c r="F254" t="s">
        <v>435</v>
      </c>
      <c r="G254" t="s">
        <v>430</v>
      </c>
      <c r="H254" t="s">
        <v>431</v>
      </c>
      <c r="I254" t="s">
        <v>432</v>
      </c>
      <c r="J254" t="s">
        <v>432</v>
      </c>
      <c r="K254">
        <v>0</v>
      </c>
      <c r="L254" t="s">
        <v>428</v>
      </c>
      <c r="M254" t="s">
        <v>428</v>
      </c>
      <c r="N254">
        <v>144892</v>
      </c>
      <c r="O254">
        <f>INDEX(AllCollegeBarrons,MATCH(N254,AllCollegeNCES,0))</f>
        <v>0</v>
      </c>
      <c r="P254">
        <f>INDEX(KidGPAs,MATCH(B254,KidIDs,0))</f>
        <v>0</v>
      </c>
      <c r="Q254">
        <f>INDEX(KidACTs,MATCH(B254,KidIDs,0))</f>
        <v>0</v>
      </c>
      <c r="R254">
        <f>INDEX(Strats,MATCH(B254,KidIDs,0))</f>
        <v>0</v>
      </c>
      <c r="S254">
        <f>INDEX(KidRace,MATCH(B254,KidIDs,0))</f>
        <v>0</v>
      </c>
      <c r="T254">
        <f>IF(OR(S254="M",S254="I"),"H",S254)</f>
        <v>0</v>
      </c>
      <c r="U254">
        <f>INDEX(StudentTargets,MATCH(B254,KidIDs,0))</f>
        <v>0</v>
      </c>
      <c r="V254">
        <f>INDEX(ReachStudentTargets,MATCH(B254,KidIDs,0))</f>
        <v>0</v>
      </c>
      <c r="W254">
        <f>IF(OR(M254="Posse"),1,0)</f>
        <v>0</v>
      </c>
      <c r="X254">
        <f>IF(ISNUMBER(INDEX(AllCollegeGR, MATCH(N254,AllCollegeNCES,0))),ROUND(INDEX(AllCollegeGR, MATCH(N254,AllCollegeNCES,0))+W254*IF(INDEX(AllCollegeGR, MATCH(N254,AllCollegeNCES,0))&gt;0.7,(1-INDEX(AllCollegeGR, MATCH(N254,AllCollegeNCES,0)))/2,0.15),2),INDEX(AllCollegeGR, MATCH(N254,AllCollegeNCES,0)))</f>
        <v>0</v>
      </c>
      <c r="Y254">
        <f>IF(ISNUMBER(INDEX(AllCollegeAAHGR, MATCH(N254,AllCollegeNCES,0))),ROUND(INDEX(AllCollegeAAHGR, MATCH(N254,AllCollegeNCES,0))+W254*IF(INDEX(AllCollegeAAHGR, MATCH(N254,AllCollegeNCES,0))&gt;0.7,(1-INDEX(AllCollegeAAHGR, MATCH(N254,AllCollegeNCES,0)))/2,0.15),2),INDEX(AllCollegeAAHGR, MATCH(N254,AllCollegeNCES,0)))</f>
        <v>0</v>
      </c>
      <c r="Z254">
        <f>IF(OR(T254="H",T254="B"),INDEX(AllCollegeACT25, MATCH(N254,AllCollegeNCES,0)),INDEX(AllCollegeACT50, MATCH(N254,AllCollegeNCES,0)))</f>
        <v>0</v>
      </c>
      <c r="AA254">
        <f>INDEX(CustomWeightsGPA,MATCH(T254&amp;":"&amp;N254,CustomWeightsIndex,0))</f>
        <v>0</v>
      </c>
      <c r="AB254">
        <f>INDEX(CustomWeightsACT,MATCH(T254&amp;":"&amp;N254,CustomWeightsIndex,0))</f>
        <v>0</v>
      </c>
      <c r="AC254">
        <f>INDEX(CustomWeightsIntercept,MATCH(T254&amp;":"&amp;N254,CustomWeightsIndex,0))</f>
        <v>0</v>
      </c>
      <c r="AD254">
        <f>AA254*P254+AB254*Q254+AC254</f>
        <v>0</v>
      </c>
      <c r="AE254">
        <f>INDEX(CoefficientsGPA,MATCH(T254&amp;":"&amp;O254,CoefficientsIndex,0))</f>
        <v>0</v>
      </c>
      <c r="AF254">
        <f>INDEX(CoefficientsACT,MATCH(T254&amp;":"&amp;O254,CoefficientsIndex,0))</f>
        <v>0</v>
      </c>
      <c r="AG254">
        <f>INDEX(CoefficientsIntercept,MATCH(T254&amp;":"&amp;O254,CoefficientsIndex,0))</f>
        <v>0</v>
      </c>
      <c r="AH254">
        <f>AE254*P254+(Q254-Z254)*AF254+AG254</f>
        <v>0</v>
      </c>
      <c r="AI254">
        <f>IF(ISNUMBER(AD254),AD254,AH254)</f>
        <v>0</v>
      </c>
      <c r="AJ254">
        <f>IF(ISNUMBER(AI254),IF(ISNUMBER(AE254),IF(AND(AE254=1,AF254=1,AG254=1),100,ROUND(100*EXP(AI254)/(1+EXP(AI254)),2)),ROUND(100*EXP(AI254)/(1+EXP(AI254)),2)),IF(ISTEXT(O254),IF(LEFT(O254,1)="2",100,"N/A"),"N/A"))</f>
        <v>0</v>
      </c>
      <c r="AK254">
        <f>IF(ISNUMBER(AJ254),IF(AJ254&gt;=99,IF(OR(R254=10,R254=11),MatchLabel,SureThingLabel),IF(AJ254&gt;=95,SecureLabel,IF(AJ254&gt;=80,SafetyLabel,IF(AJ254&gt;=50,MatchLabel,IF(AJ254&gt;=20,ReachLabel,IF(AJ254&gt;=10,LongshotLabel,HailMaryLabel)))))),"Other")</f>
        <v>0</v>
      </c>
      <c r="AL254">
        <f>IF(OR(I254="accepted",I254="cond. accept",I254="summer admit"),IF(J254="yes","CHOICE!","Accepted!"),IF(I254="denied","Denied",IF(K254=1,"Waitlist",IF(L254=1,"Deferred",IF(G254="pending","Pending",IF(OR(G254="initial materials submitted",G254="mid-year submitted",G254="final submitted"),"Submitted",IF(H254="interest","Interest","?")))))))</f>
        <v>0</v>
      </c>
      <c r="AM254">
        <f>IF(OR(AK254=ReachLabel,AK254=LongshotLabel,AK254=HailMaryLabel),1,0)</f>
        <v>0</v>
      </c>
      <c r="AN254">
        <f>IF(OR(AM254=1,AK254=MatchLabel),1,0)</f>
        <v>0</v>
      </c>
      <c r="AO254">
        <f>IF(OR(AK254=MatchLabel,AK254=SafetyLabel,AK254=SecureLabel,AK254=SureThingLabel),1,0)</f>
        <v>0</v>
      </c>
      <c r="AP254">
        <f>IF(OR(T254="H",T254="B"),IF(ISNUMBER(Y254),ROUND(Y254,2),0),IF(ISNUMBER(X254),ROUND(X254,2),0))</f>
        <v>0</v>
      </c>
      <c r="AQ254">
        <f>IF(AP254&gt;=U254,1,0)</f>
        <v>0</v>
      </c>
      <c r="AR254">
        <f>IF(AP254&gt;=V254,1,0)</f>
        <v>0</v>
      </c>
      <c r="AS254">
        <f>IF(AP254&lt;(U254-0.10),1,0)</f>
        <v>0</v>
      </c>
      <c r="AT254">
        <f>1-AJ254/100</f>
        <v>0</v>
      </c>
      <c r="AU254">
        <f>IF(AN254=1,AT254,1)</f>
        <v>0</v>
      </c>
      <c r="AV254">
        <f>IF(AM254=1,AT254,1)</f>
        <v>0</v>
      </c>
      <c r="AW254">
        <f>IF(AND(AQ254=1,ISNUMBER(AT254)),$AT254,1)</f>
        <v>0</v>
      </c>
      <c r="AX254">
        <f>IF(AND(AR254=1,ISNUMBER(AT254)),$AT254,1)</f>
        <v>0</v>
      </c>
      <c r="AY254">
        <f>IF(ISNUMBER(Y254),INDEX(AllCollegeMoney, MATCH(N254,AllCollegeNCES,0)),0)</f>
        <v>0</v>
      </c>
      <c r="AZ254">
        <f>IF(AND(AQ254=1,ISNUMBER(AT254),AY254=1),$AT254,1)</f>
        <v>0</v>
      </c>
      <c r="BA254">
        <f>IF(AND(AR254=1,ISNUMBER(AT254),AY254=1),$AT254,1)</f>
        <v>0</v>
      </c>
      <c r="BB254">
        <f>IF(ISNUMBER(Y254),INDEX(AllCollegeILPub, MATCH(N254,AllCollegeNCES,0)),0)</f>
        <v>0</v>
      </c>
      <c r="BC254">
        <f>IF(AK254=ReachLabel,AP254,0)</f>
        <v>0</v>
      </c>
      <c r="BD254">
        <f>IF(AK254=MatchLabel,AP254,0)</f>
        <v>0</v>
      </c>
      <c r="BE254">
        <f>IF(AK254=SafetyLabel,AP254,0)</f>
        <v>0</v>
      </c>
      <c r="BF254">
        <f>IF(AK254=SecureLabel,AP254,0)</f>
        <v>0</v>
      </c>
      <c r="BG254">
        <f>IF(AK254=SureThingLabel,AP254,0)</f>
        <v>0</v>
      </c>
      <c r="BH254">
        <f>MAX(BC254:BG254)</f>
        <v>0</v>
      </c>
      <c r="BI254">
        <f>MAX(BD254:BG254)</f>
        <v>0</v>
      </c>
      <c r="BJ254">
        <f>MAX(BE254:BG254)</f>
        <v>0</v>
      </c>
      <c r="BK254">
        <f>IF(AND(AK254=ReachLabel,AY254=1),AP254,0)</f>
        <v>0</v>
      </c>
      <c r="BL254">
        <f>IF(AND(AK254=MatchLabel,AY254=1),AP254,0)</f>
        <v>0</v>
      </c>
      <c r="BM254">
        <f>IF(AND(AK254=SafetyLabel,AY254=1),AP254,0)</f>
        <v>0</v>
      </c>
      <c r="BN254">
        <f>IF(AND(AK254=SecureLabel,AY254=1),AP254,0)</f>
        <v>0</v>
      </c>
      <c r="BO254">
        <f>IF(AND(AK254=SureThingLabel,AY254=1),AP254,0)</f>
        <v>0</v>
      </c>
      <c r="BP254">
        <f>MAX(BK254:BO254)</f>
        <v>0</v>
      </c>
      <c r="BQ254">
        <f>MAX(BL254:BO254)</f>
        <v>0</v>
      </c>
      <c r="BR254">
        <f>MAX(BM254:BO254)</f>
        <v>0</v>
      </c>
      <c r="BS254">
        <f>IF(ISNUMBER(Y254),INDEX(AllCollegeChicago, MATCH(N254,AllCollegeNCES,0))*AY254,0)</f>
        <v>0</v>
      </c>
      <c r="BT254">
        <f>IF(ISNUMBER(Y254),INDEX(AllCollegeMoneyCode, MATCH(N254,AllCollegeNCES,0)),"?")</f>
        <v>0</v>
      </c>
      <c r="BU254">
        <f>IF(OR(BT254="---",BT254="--",BT254="+/--",BT254="+/---"),1,0)</f>
        <v>0</v>
      </c>
      <c r="BV254">
        <f>AY254*AO254*AQ254</f>
        <v>0</v>
      </c>
    </row>
    <row r="255" spans="1:74">
      <c r="A255" t="s">
        <v>86</v>
      </c>
      <c r="B255">
        <v>23020881</v>
      </c>
      <c r="C255" t="s">
        <v>290</v>
      </c>
      <c r="D255" t="s">
        <v>291</v>
      </c>
      <c r="E255" t="s">
        <v>428</v>
      </c>
      <c r="F255" t="s">
        <v>448</v>
      </c>
      <c r="G255" t="s">
        <v>430</v>
      </c>
      <c r="H255" t="s">
        <v>431</v>
      </c>
      <c r="I255" t="s">
        <v>432</v>
      </c>
      <c r="J255" t="s">
        <v>432</v>
      </c>
      <c r="K255">
        <v>0</v>
      </c>
      <c r="L255" t="s">
        <v>428</v>
      </c>
      <c r="M255" t="s">
        <v>428</v>
      </c>
      <c r="N255" t="s">
        <v>449</v>
      </c>
      <c r="O255">
        <f>INDEX(AllCollegeBarrons,MATCH(N255,AllCollegeNCES,0))</f>
        <v>0</v>
      </c>
      <c r="P255">
        <f>INDEX(KidGPAs,MATCH(B255,KidIDs,0))</f>
        <v>0</v>
      </c>
      <c r="Q255">
        <f>INDEX(KidACTs,MATCH(B255,KidIDs,0))</f>
        <v>0</v>
      </c>
      <c r="R255">
        <f>INDEX(Strats,MATCH(B255,KidIDs,0))</f>
        <v>0</v>
      </c>
      <c r="S255">
        <f>INDEX(KidRace,MATCH(B255,KidIDs,0))</f>
        <v>0</v>
      </c>
      <c r="T255">
        <f>IF(OR(S255="M",S255="I"),"H",S255)</f>
        <v>0</v>
      </c>
      <c r="U255">
        <f>INDEX(StudentTargets,MATCH(B255,KidIDs,0))</f>
        <v>0</v>
      </c>
      <c r="V255">
        <f>INDEX(ReachStudentTargets,MATCH(B255,KidIDs,0))</f>
        <v>0</v>
      </c>
      <c r="W255">
        <f>IF(OR(M255="Posse"),1,0)</f>
        <v>0</v>
      </c>
      <c r="X255">
        <f>IF(ISNUMBER(INDEX(AllCollegeGR, MATCH(N255,AllCollegeNCES,0))),ROUND(INDEX(AllCollegeGR, MATCH(N255,AllCollegeNCES,0))+W255*IF(INDEX(AllCollegeGR, MATCH(N255,AllCollegeNCES,0))&gt;0.7,(1-INDEX(AllCollegeGR, MATCH(N255,AllCollegeNCES,0)))/2,0.15),2),INDEX(AllCollegeGR, MATCH(N255,AllCollegeNCES,0)))</f>
        <v>0</v>
      </c>
      <c r="Y255">
        <f>IF(ISNUMBER(INDEX(AllCollegeAAHGR, MATCH(N255,AllCollegeNCES,0))),ROUND(INDEX(AllCollegeAAHGR, MATCH(N255,AllCollegeNCES,0))+W255*IF(INDEX(AllCollegeAAHGR, MATCH(N255,AllCollegeNCES,0))&gt;0.7,(1-INDEX(AllCollegeAAHGR, MATCH(N255,AllCollegeNCES,0)))/2,0.15),2),INDEX(AllCollegeAAHGR, MATCH(N255,AllCollegeNCES,0)))</f>
        <v>0</v>
      </c>
      <c r="Z255">
        <f>IF(OR(T255="H",T255="B"),INDEX(AllCollegeACT25, MATCH(N255,AllCollegeNCES,0)),INDEX(AllCollegeACT50, MATCH(N255,AllCollegeNCES,0)))</f>
        <v>0</v>
      </c>
      <c r="AA255">
        <f>INDEX(CustomWeightsGPA,MATCH(T255&amp;":"&amp;N255,CustomWeightsIndex,0))</f>
        <v>0</v>
      </c>
      <c r="AB255">
        <f>INDEX(CustomWeightsACT,MATCH(T255&amp;":"&amp;N255,CustomWeightsIndex,0))</f>
        <v>0</v>
      </c>
      <c r="AC255">
        <f>INDEX(CustomWeightsIntercept,MATCH(T255&amp;":"&amp;N255,CustomWeightsIndex,0))</f>
        <v>0</v>
      </c>
      <c r="AD255">
        <f>AA255*P255+AB255*Q255+AC255</f>
        <v>0</v>
      </c>
      <c r="AE255">
        <f>INDEX(CoefficientsGPA,MATCH(T255&amp;":"&amp;O255,CoefficientsIndex,0))</f>
        <v>0</v>
      </c>
      <c r="AF255">
        <f>INDEX(CoefficientsACT,MATCH(T255&amp;":"&amp;O255,CoefficientsIndex,0))</f>
        <v>0</v>
      </c>
      <c r="AG255">
        <f>INDEX(CoefficientsIntercept,MATCH(T255&amp;":"&amp;O255,CoefficientsIndex,0))</f>
        <v>0</v>
      </c>
      <c r="AH255">
        <f>AE255*P255+(Q255-Z255)*AF255+AG255</f>
        <v>0</v>
      </c>
      <c r="AI255">
        <f>IF(ISNUMBER(AD255),AD255,AH255)</f>
        <v>0</v>
      </c>
      <c r="AJ255">
        <f>IF(ISNUMBER(AI255),IF(ISNUMBER(AE255),IF(AND(AE255=1,AF255=1,AG255=1),100,ROUND(100*EXP(AI255)/(1+EXP(AI255)),2)),ROUND(100*EXP(AI255)/(1+EXP(AI255)),2)),IF(ISTEXT(O255),IF(LEFT(O255,1)="2",100,"N/A"),"N/A"))</f>
        <v>0</v>
      </c>
      <c r="AK255">
        <f>IF(ISNUMBER(AJ255),IF(AJ255&gt;=99,IF(OR(R255=10,R255=11),MatchLabel,SureThingLabel),IF(AJ255&gt;=95,SecureLabel,IF(AJ255&gt;=80,SafetyLabel,IF(AJ255&gt;=50,MatchLabel,IF(AJ255&gt;=20,ReachLabel,IF(AJ255&gt;=10,LongshotLabel,HailMaryLabel)))))),"Other")</f>
        <v>0</v>
      </c>
      <c r="AL255">
        <f>IF(OR(I255="accepted",I255="cond. accept",I255="summer admit"),IF(J255="yes","CHOICE!","Accepted!"),IF(I255="denied","Denied",IF(K255=1,"Waitlist",IF(L255=1,"Deferred",IF(G255="pending","Pending",IF(OR(G255="initial materials submitted",G255="mid-year submitted",G255="final submitted"),"Submitted",IF(H255="interest","Interest","?")))))))</f>
        <v>0</v>
      </c>
      <c r="AM255">
        <f>IF(OR(AK255=ReachLabel,AK255=LongshotLabel,AK255=HailMaryLabel),1,0)</f>
        <v>0</v>
      </c>
      <c r="AN255">
        <f>IF(OR(AM255=1,AK255=MatchLabel),1,0)</f>
        <v>0</v>
      </c>
      <c r="AO255">
        <f>IF(OR(AK255=MatchLabel,AK255=SafetyLabel,AK255=SecureLabel,AK255=SureThingLabel),1,0)</f>
        <v>0</v>
      </c>
      <c r="AP255">
        <f>IF(OR(T255="H",T255="B"),IF(ISNUMBER(Y255),ROUND(Y255,2),0),IF(ISNUMBER(X255),ROUND(X255,2),0))</f>
        <v>0</v>
      </c>
      <c r="AQ255">
        <f>IF(AP255&gt;=U255,1,0)</f>
        <v>0</v>
      </c>
      <c r="AR255">
        <f>IF(AP255&gt;=V255,1,0)</f>
        <v>0</v>
      </c>
      <c r="AS255">
        <f>IF(AP255&lt;(U255-0.10),1,0)</f>
        <v>0</v>
      </c>
      <c r="AT255">
        <f>1-AJ255/100</f>
        <v>0</v>
      </c>
      <c r="AU255">
        <f>IF(AN255=1,AT255,1)</f>
        <v>0</v>
      </c>
      <c r="AV255">
        <f>IF(AM255=1,AT255,1)</f>
        <v>0</v>
      </c>
      <c r="AW255">
        <f>IF(AND(AQ255=1,ISNUMBER(AT255)),$AT255,1)</f>
        <v>0</v>
      </c>
      <c r="AX255">
        <f>IF(AND(AR255=1,ISNUMBER(AT255)),$AT255,1)</f>
        <v>0</v>
      </c>
      <c r="AY255">
        <f>IF(ISNUMBER(Y255),INDEX(AllCollegeMoney, MATCH(N255,AllCollegeNCES,0)),0)</f>
        <v>0</v>
      </c>
      <c r="AZ255">
        <f>IF(AND(AQ255=1,ISNUMBER(AT255),AY255=1),$AT255,1)</f>
        <v>0</v>
      </c>
      <c r="BA255">
        <f>IF(AND(AR255=1,ISNUMBER(AT255),AY255=1),$AT255,1)</f>
        <v>0</v>
      </c>
      <c r="BB255">
        <f>IF(ISNUMBER(Y255),INDEX(AllCollegeILPub, MATCH(N255,AllCollegeNCES,0)),0)</f>
        <v>0</v>
      </c>
      <c r="BC255">
        <f>IF(AK255=ReachLabel,AP255,0)</f>
        <v>0</v>
      </c>
      <c r="BD255">
        <f>IF(AK255=MatchLabel,AP255,0)</f>
        <v>0</v>
      </c>
      <c r="BE255">
        <f>IF(AK255=SafetyLabel,AP255,0)</f>
        <v>0</v>
      </c>
      <c r="BF255">
        <f>IF(AK255=SecureLabel,AP255,0)</f>
        <v>0</v>
      </c>
      <c r="BG255">
        <f>IF(AK255=SureThingLabel,AP255,0)</f>
        <v>0</v>
      </c>
      <c r="BH255">
        <f>MAX(BC255:BG255)</f>
        <v>0</v>
      </c>
      <c r="BI255">
        <f>MAX(BD255:BG255)</f>
        <v>0</v>
      </c>
      <c r="BJ255">
        <f>MAX(BE255:BG255)</f>
        <v>0</v>
      </c>
      <c r="BK255">
        <f>IF(AND(AK255=ReachLabel,AY255=1),AP255,0)</f>
        <v>0</v>
      </c>
      <c r="BL255">
        <f>IF(AND(AK255=MatchLabel,AY255=1),AP255,0)</f>
        <v>0</v>
      </c>
      <c r="BM255">
        <f>IF(AND(AK255=SafetyLabel,AY255=1),AP255,0)</f>
        <v>0</v>
      </c>
      <c r="BN255">
        <f>IF(AND(AK255=SecureLabel,AY255=1),AP255,0)</f>
        <v>0</v>
      </c>
      <c r="BO255">
        <f>IF(AND(AK255=SureThingLabel,AY255=1),AP255,0)</f>
        <v>0</v>
      </c>
      <c r="BP255">
        <f>MAX(BK255:BO255)</f>
        <v>0</v>
      </c>
      <c r="BQ255">
        <f>MAX(BL255:BO255)</f>
        <v>0</v>
      </c>
      <c r="BR255">
        <f>MAX(BM255:BO255)</f>
        <v>0</v>
      </c>
      <c r="BS255">
        <f>IF(ISNUMBER(Y255),INDEX(AllCollegeChicago, MATCH(N255,AllCollegeNCES,0))*AY255,0)</f>
        <v>0</v>
      </c>
      <c r="BT255">
        <f>IF(ISNUMBER(Y255),INDEX(AllCollegeMoneyCode, MATCH(N255,AllCollegeNCES,0)),"?")</f>
        <v>0</v>
      </c>
      <c r="BU255">
        <f>IF(OR(BT255="---",BT255="--",BT255="+/--",BT255="+/---"),1,0)</f>
        <v>0</v>
      </c>
      <c r="BV255">
        <f>AY255*AO255*AQ255</f>
        <v>0</v>
      </c>
    </row>
    <row r="256" spans="1:74">
      <c r="A256" t="s">
        <v>86</v>
      </c>
      <c r="B256">
        <v>23020881</v>
      </c>
      <c r="C256" t="s">
        <v>290</v>
      </c>
      <c r="D256" t="s">
        <v>291</v>
      </c>
      <c r="E256" t="s">
        <v>428</v>
      </c>
      <c r="F256" t="s">
        <v>521</v>
      </c>
      <c r="G256" t="s">
        <v>430</v>
      </c>
      <c r="H256" t="s">
        <v>431</v>
      </c>
      <c r="I256" t="s">
        <v>432</v>
      </c>
      <c r="J256" t="s">
        <v>432</v>
      </c>
      <c r="K256">
        <v>0</v>
      </c>
      <c r="L256" t="s">
        <v>428</v>
      </c>
      <c r="M256" t="s">
        <v>428</v>
      </c>
      <c r="N256">
        <v>201690</v>
      </c>
      <c r="O256">
        <f>INDEX(AllCollegeBarrons,MATCH(N256,AllCollegeNCES,0))</f>
        <v>0</v>
      </c>
      <c r="P256">
        <f>INDEX(KidGPAs,MATCH(B256,KidIDs,0))</f>
        <v>0</v>
      </c>
      <c r="Q256">
        <f>INDEX(KidACTs,MATCH(B256,KidIDs,0))</f>
        <v>0</v>
      </c>
      <c r="R256">
        <f>INDEX(Strats,MATCH(B256,KidIDs,0))</f>
        <v>0</v>
      </c>
      <c r="S256">
        <f>INDEX(KidRace,MATCH(B256,KidIDs,0))</f>
        <v>0</v>
      </c>
      <c r="T256">
        <f>IF(OR(S256="M",S256="I"),"H",S256)</f>
        <v>0</v>
      </c>
      <c r="U256">
        <f>INDEX(StudentTargets,MATCH(B256,KidIDs,0))</f>
        <v>0</v>
      </c>
      <c r="V256">
        <f>INDEX(ReachStudentTargets,MATCH(B256,KidIDs,0))</f>
        <v>0</v>
      </c>
      <c r="W256">
        <f>IF(OR(M256="Posse"),1,0)</f>
        <v>0</v>
      </c>
      <c r="X256">
        <f>IF(ISNUMBER(INDEX(AllCollegeGR, MATCH(N256,AllCollegeNCES,0))),ROUND(INDEX(AllCollegeGR, MATCH(N256,AllCollegeNCES,0))+W256*IF(INDEX(AllCollegeGR, MATCH(N256,AllCollegeNCES,0))&gt;0.7,(1-INDEX(AllCollegeGR, MATCH(N256,AllCollegeNCES,0)))/2,0.15),2),INDEX(AllCollegeGR, MATCH(N256,AllCollegeNCES,0)))</f>
        <v>0</v>
      </c>
      <c r="Y256">
        <f>IF(ISNUMBER(INDEX(AllCollegeAAHGR, MATCH(N256,AllCollegeNCES,0))),ROUND(INDEX(AllCollegeAAHGR, MATCH(N256,AllCollegeNCES,0))+W256*IF(INDEX(AllCollegeAAHGR, MATCH(N256,AllCollegeNCES,0))&gt;0.7,(1-INDEX(AllCollegeAAHGR, MATCH(N256,AllCollegeNCES,0)))/2,0.15),2),INDEX(AllCollegeAAHGR, MATCH(N256,AllCollegeNCES,0)))</f>
        <v>0</v>
      </c>
      <c r="Z256">
        <f>IF(OR(T256="H",T256="B"),INDEX(AllCollegeACT25, MATCH(N256,AllCollegeNCES,0)),INDEX(AllCollegeACT50, MATCH(N256,AllCollegeNCES,0)))</f>
        <v>0</v>
      </c>
      <c r="AA256">
        <f>INDEX(CustomWeightsGPA,MATCH(T256&amp;":"&amp;N256,CustomWeightsIndex,0))</f>
        <v>0</v>
      </c>
      <c r="AB256">
        <f>INDEX(CustomWeightsACT,MATCH(T256&amp;":"&amp;N256,CustomWeightsIndex,0))</f>
        <v>0</v>
      </c>
      <c r="AC256">
        <f>INDEX(CustomWeightsIntercept,MATCH(T256&amp;":"&amp;N256,CustomWeightsIndex,0))</f>
        <v>0</v>
      </c>
      <c r="AD256">
        <f>AA256*P256+AB256*Q256+AC256</f>
        <v>0</v>
      </c>
      <c r="AE256">
        <f>INDEX(CoefficientsGPA,MATCH(T256&amp;":"&amp;O256,CoefficientsIndex,0))</f>
        <v>0</v>
      </c>
      <c r="AF256">
        <f>INDEX(CoefficientsACT,MATCH(T256&amp;":"&amp;O256,CoefficientsIndex,0))</f>
        <v>0</v>
      </c>
      <c r="AG256">
        <f>INDEX(CoefficientsIntercept,MATCH(T256&amp;":"&amp;O256,CoefficientsIndex,0))</f>
        <v>0</v>
      </c>
      <c r="AH256">
        <f>AE256*P256+(Q256-Z256)*AF256+AG256</f>
        <v>0</v>
      </c>
      <c r="AI256">
        <f>IF(ISNUMBER(AD256),AD256,AH256)</f>
        <v>0</v>
      </c>
      <c r="AJ256">
        <f>IF(ISNUMBER(AI256),IF(ISNUMBER(AE256),IF(AND(AE256=1,AF256=1,AG256=1),100,ROUND(100*EXP(AI256)/(1+EXP(AI256)),2)),ROUND(100*EXP(AI256)/(1+EXP(AI256)),2)),IF(ISTEXT(O256),IF(LEFT(O256,1)="2",100,"N/A"),"N/A"))</f>
        <v>0</v>
      </c>
      <c r="AK256">
        <f>IF(ISNUMBER(AJ256),IF(AJ256&gt;=99,IF(OR(R256=10,R256=11),MatchLabel,SureThingLabel),IF(AJ256&gt;=95,SecureLabel,IF(AJ256&gt;=80,SafetyLabel,IF(AJ256&gt;=50,MatchLabel,IF(AJ256&gt;=20,ReachLabel,IF(AJ256&gt;=10,LongshotLabel,HailMaryLabel)))))),"Other")</f>
        <v>0</v>
      </c>
      <c r="AL256">
        <f>IF(OR(I256="accepted",I256="cond. accept",I256="summer admit"),IF(J256="yes","CHOICE!","Accepted!"),IF(I256="denied","Denied",IF(K256=1,"Waitlist",IF(L256=1,"Deferred",IF(G256="pending","Pending",IF(OR(G256="initial materials submitted",G256="mid-year submitted",G256="final submitted"),"Submitted",IF(H256="interest","Interest","?")))))))</f>
        <v>0</v>
      </c>
      <c r="AM256">
        <f>IF(OR(AK256=ReachLabel,AK256=LongshotLabel,AK256=HailMaryLabel),1,0)</f>
        <v>0</v>
      </c>
      <c r="AN256">
        <f>IF(OR(AM256=1,AK256=MatchLabel),1,0)</f>
        <v>0</v>
      </c>
      <c r="AO256">
        <f>IF(OR(AK256=MatchLabel,AK256=SafetyLabel,AK256=SecureLabel,AK256=SureThingLabel),1,0)</f>
        <v>0</v>
      </c>
      <c r="AP256">
        <f>IF(OR(T256="H",T256="B"),IF(ISNUMBER(Y256),ROUND(Y256,2),0),IF(ISNUMBER(X256),ROUND(X256,2),0))</f>
        <v>0</v>
      </c>
      <c r="AQ256">
        <f>IF(AP256&gt;=U256,1,0)</f>
        <v>0</v>
      </c>
      <c r="AR256">
        <f>IF(AP256&gt;=V256,1,0)</f>
        <v>0</v>
      </c>
      <c r="AS256">
        <f>IF(AP256&lt;(U256-0.10),1,0)</f>
        <v>0</v>
      </c>
      <c r="AT256">
        <f>1-AJ256/100</f>
        <v>0</v>
      </c>
      <c r="AU256">
        <f>IF(AN256=1,AT256,1)</f>
        <v>0</v>
      </c>
      <c r="AV256">
        <f>IF(AM256=1,AT256,1)</f>
        <v>0</v>
      </c>
      <c r="AW256">
        <f>IF(AND(AQ256=1,ISNUMBER(AT256)),$AT256,1)</f>
        <v>0</v>
      </c>
      <c r="AX256">
        <f>IF(AND(AR256=1,ISNUMBER(AT256)),$AT256,1)</f>
        <v>0</v>
      </c>
      <c r="AY256">
        <f>IF(ISNUMBER(Y256),INDEX(AllCollegeMoney, MATCH(N256,AllCollegeNCES,0)),0)</f>
        <v>0</v>
      </c>
      <c r="AZ256">
        <f>IF(AND(AQ256=1,ISNUMBER(AT256),AY256=1),$AT256,1)</f>
        <v>0</v>
      </c>
      <c r="BA256">
        <f>IF(AND(AR256=1,ISNUMBER(AT256),AY256=1),$AT256,1)</f>
        <v>0</v>
      </c>
      <c r="BB256">
        <f>IF(ISNUMBER(Y256),INDEX(AllCollegeILPub, MATCH(N256,AllCollegeNCES,0)),0)</f>
        <v>0</v>
      </c>
      <c r="BC256">
        <f>IF(AK256=ReachLabel,AP256,0)</f>
        <v>0</v>
      </c>
      <c r="BD256">
        <f>IF(AK256=MatchLabel,AP256,0)</f>
        <v>0</v>
      </c>
      <c r="BE256">
        <f>IF(AK256=SafetyLabel,AP256,0)</f>
        <v>0</v>
      </c>
      <c r="BF256">
        <f>IF(AK256=SecureLabel,AP256,0)</f>
        <v>0</v>
      </c>
      <c r="BG256">
        <f>IF(AK256=SureThingLabel,AP256,0)</f>
        <v>0</v>
      </c>
      <c r="BH256">
        <f>MAX(BC256:BG256)</f>
        <v>0</v>
      </c>
      <c r="BI256">
        <f>MAX(BD256:BG256)</f>
        <v>0</v>
      </c>
      <c r="BJ256">
        <f>MAX(BE256:BG256)</f>
        <v>0</v>
      </c>
      <c r="BK256">
        <f>IF(AND(AK256=ReachLabel,AY256=1),AP256,0)</f>
        <v>0</v>
      </c>
      <c r="BL256">
        <f>IF(AND(AK256=MatchLabel,AY256=1),AP256,0)</f>
        <v>0</v>
      </c>
      <c r="BM256">
        <f>IF(AND(AK256=SafetyLabel,AY256=1),AP256,0)</f>
        <v>0</v>
      </c>
      <c r="BN256">
        <f>IF(AND(AK256=SecureLabel,AY256=1),AP256,0)</f>
        <v>0</v>
      </c>
      <c r="BO256">
        <f>IF(AND(AK256=SureThingLabel,AY256=1),AP256,0)</f>
        <v>0</v>
      </c>
      <c r="BP256">
        <f>MAX(BK256:BO256)</f>
        <v>0</v>
      </c>
      <c r="BQ256">
        <f>MAX(BL256:BO256)</f>
        <v>0</v>
      </c>
      <c r="BR256">
        <f>MAX(BM256:BO256)</f>
        <v>0</v>
      </c>
      <c r="BS256">
        <f>IF(ISNUMBER(Y256),INDEX(AllCollegeChicago, MATCH(N256,AllCollegeNCES,0))*AY256,0)</f>
        <v>0</v>
      </c>
      <c r="BT256">
        <f>IF(ISNUMBER(Y256),INDEX(AllCollegeMoneyCode, MATCH(N256,AllCollegeNCES,0)),"?")</f>
        <v>0</v>
      </c>
      <c r="BU256">
        <f>IF(OR(BT256="---",BT256="--",BT256="+/--",BT256="+/---"),1,0)</f>
        <v>0</v>
      </c>
      <c r="BV256">
        <f>AY256*AO256*AQ256</f>
        <v>0</v>
      </c>
    </row>
    <row r="257" spans="1:74">
      <c r="A257" t="s">
        <v>86</v>
      </c>
      <c r="B257">
        <v>23020881</v>
      </c>
      <c r="C257" t="s">
        <v>290</v>
      </c>
      <c r="D257" t="s">
        <v>291</v>
      </c>
      <c r="E257" t="s">
        <v>428</v>
      </c>
      <c r="F257" t="s">
        <v>493</v>
      </c>
      <c r="G257" t="s">
        <v>430</v>
      </c>
      <c r="H257" t="s">
        <v>431</v>
      </c>
      <c r="I257" t="s">
        <v>432</v>
      </c>
      <c r="J257" t="s">
        <v>432</v>
      </c>
      <c r="K257">
        <v>0</v>
      </c>
      <c r="L257" t="s">
        <v>428</v>
      </c>
      <c r="M257" t="s">
        <v>428</v>
      </c>
      <c r="N257">
        <v>148654</v>
      </c>
      <c r="O257">
        <f>INDEX(AllCollegeBarrons,MATCH(N257,AllCollegeNCES,0))</f>
        <v>0</v>
      </c>
      <c r="P257">
        <f>INDEX(KidGPAs,MATCH(B257,KidIDs,0))</f>
        <v>0</v>
      </c>
      <c r="Q257">
        <f>INDEX(KidACTs,MATCH(B257,KidIDs,0))</f>
        <v>0</v>
      </c>
      <c r="R257">
        <f>INDEX(Strats,MATCH(B257,KidIDs,0))</f>
        <v>0</v>
      </c>
      <c r="S257">
        <f>INDEX(KidRace,MATCH(B257,KidIDs,0))</f>
        <v>0</v>
      </c>
      <c r="T257">
        <f>IF(OR(S257="M",S257="I"),"H",S257)</f>
        <v>0</v>
      </c>
      <c r="U257">
        <f>INDEX(StudentTargets,MATCH(B257,KidIDs,0))</f>
        <v>0</v>
      </c>
      <c r="V257">
        <f>INDEX(ReachStudentTargets,MATCH(B257,KidIDs,0))</f>
        <v>0</v>
      </c>
      <c r="W257">
        <f>IF(OR(M257="Posse"),1,0)</f>
        <v>0</v>
      </c>
      <c r="X257">
        <f>IF(ISNUMBER(INDEX(AllCollegeGR, MATCH(N257,AllCollegeNCES,0))),ROUND(INDEX(AllCollegeGR, MATCH(N257,AllCollegeNCES,0))+W257*IF(INDEX(AllCollegeGR, MATCH(N257,AllCollegeNCES,0))&gt;0.7,(1-INDEX(AllCollegeGR, MATCH(N257,AllCollegeNCES,0)))/2,0.15),2),INDEX(AllCollegeGR, MATCH(N257,AllCollegeNCES,0)))</f>
        <v>0</v>
      </c>
      <c r="Y257">
        <f>IF(ISNUMBER(INDEX(AllCollegeAAHGR, MATCH(N257,AllCollegeNCES,0))),ROUND(INDEX(AllCollegeAAHGR, MATCH(N257,AllCollegeNCES,0))+W257*IF(INDEX(AllCollegeAAHGR, MATCH(N257,AllCollegeNCES,0))&gt;0.7,(1-INDEX(AllCollegeAAHGR, MATCH(N257,AllCollegeNCES,0)))/2,0.15),2),INDEX(AllCollegeAAHGR, MATCH(N257,AllCollegeNCES,0)))</f>
        <v>0</v>
      </c>
      <c r="Z257">
        <f>IF(OR(T257="H",T257="B"),INDEX(AllCollegeACT25, MATCH(N257,AllCollegeNCES,0)),INDEX(AllCollegeACT50, MATCH(N257,AllCollegeNCES,0)))</f>
        <v>0</v>
      </c>
      <c r="AA257">
        <f>INDEX(CustomWeightsGPA,MATCH(T257&amp;":"&amp;N257,CustomWeightsIndex,0))</f>
        <v>0</v>
      </c>
      <c r="AB257">
        <f>INDEX(CustomWeightsACT,MATCH(T257&amp;":"&amp;N257,CustomWeightsIndex,0))</f>
        <v>0</v>
      </c>
      <c r="AC257">
        <f>INDEX(CustomWeightsIntercept,MATCH(T257&amp;":"&amp;N257,CustomWeightsIndex,0))</f>
        <v>0</v>
      </c>
      <c r="AD257">
        <f>AA257*P257+AB257*Q257+AC257</f>
        <v>0</v>
      </c>
      <c r="AE257">
        <f>INDEX(CoefficientsGPA,MATCH(T257&amp;":"&amp;O257,CoefficientsIndex,0))</f>
        <v>0</v>
      </c>
      <c r="AF257">
        <f>INDEX(CoefficientsACT,MATCH(T257&amp;":"&amp;O257,CoefficientsIndex,0))</f>
        <v>0</v>
      </c>
      <c r="AG257">
        <f>INDEX(CoefficientsIntercept,MATCH(T257&amp;":"&amp;O257,CoefficientsIndex,0))</f>
        <v>0</v>
      </c>
      <c r="AH257">
        <f>AE257*P257+(Q257-Z257)*AF257+AG257</f>
        <v>0</v>
      </c>
      <c r="AI257">
        <f>IF(ISNUMBER(AD257),AD257,AH257)</f>
        <v>0</v>
      </c>
      <c r="AJ257">
        <f>IF(ISNUMBER(AI257),IF(ISNUMBER(AE257),IF(AND(AE257=1,AF257=1,AG257=1),100,ROUND(100*EXP(AI257)/(1+EXP(AI257)),2)),ROUND(100*EXP(AI257)/(1+EXP(AI257)),2)),IF(ISTEXT(O257),IF(LEFT(O257,1)="2",100,"N/A"),"N/A"))</f>
        <v>0</v>
      </c>
      <c r="AK257">
        <f>IF(ISNUMBER(AJ257),IF(AJ257&gt;=99,IF(OR(R257=10,R257=11),MatchLabel,SureThingLabel),IF(AJ257&gt;=95,SecureLabel,IF(AJ257&gt;=80,SafetyLabel,IF(AJ257&gt;=50,MatchLabel,IF(AJ257&gt;=20,ReachLabel,IF(AJ257&gt;=10,LongshotLabel,HailMaryLabel)))))),"Other")</f>
        <v>0</v>
      </c>
      <c r="AL257">
        <f>IF(OR(I257="accepted",I257="cond. accept",I257="summer admit"),IF(J257="yes","CHOICE!","Accepted!"),IF(I257="denied","Denied",IF(K257=1,"Waitlist",IF(L257=1,"Deferred",IF(G257="pending","Pending",IF(OR(G257="initial materials submitted",G257="mid-year submitted",G257="final submitted"),"Submitted",IF(H257="interest","Interest","?")))))))</f>
        <v>0</v>
      </c>
      <c r="AM257">
        <f>IF(OR(AK257=ReachLabel,AK257=LongshotLabel,AK257=HailMaryLabel),1,0)</f>
        <v>0</v>
      </c>
      <c r="AN257">
        <f>IF(OR(AM257=1,AK257=MatchLabel),1,0)</f>
        <v>0</v>
      </c>
      <c r="AO257">
        <f>IF(OR(AK257=MatchLabel,AK257=SafetyLabel,AK257=SecureLabel,AK257=SureThingLabel),1,0)</f>
        <v>0</v>
      </c>
      <c r="AP257">
        <f>IF(OR(T257="H",T257="B"),IF(ISNUMBER(Y257),ROUND(Y257,2),0),IF(ISNUMBER(X257),ROUND(X257,2),0))</f>
        <v>0</v>
      </c>
      <c r="AQ257">
        <f>IF(AP257&gt;=U257,1,0)</f>
        <v>0</v>
      </c>
      <c r="AR257">
        <f>IF(AP257&gt;=V257,1,0)</f>
        <v>0</v>
      </c>
      <c r="AS257">
        <f>IF(AP257&lt;(U257-0.10),1,0)</f>
        <v>0</v>
      </c>
      <c r="AT257">
        <f>1-AJ257/100</f>
        <v>0</v>
      </c>
      <c r="AU257">
        <f>IF(AN257=1,AT257,1)</f>
        <v>0</v>
      </c>
      <c r="AV257">
        <f>IF(AM257=1,AT257,1)</f>
        <v>0</v>
      </c>
      <c r="AW257">
        <f>IF(AND(AQ257=1,ISNUMBER(AT257)),$AT257,1)</f>
        <v>0</v>
      </c>
      <c r="AX257">
        <f>IF(AND(AR257=1,ISNUMBER(AT257)),$AT257,1)</f>
        <v>0</v>
      </c>
      <c r="AY257">
        <f>IF(ISNUMBER(Y257),INDEX(AllCollegeMoney, MATCH(N257,AllCollegeNCES,0)),0)</f>
        <v>0</v>
      </c>
      <c r="AZ257">
        <f>IF(AND(AQ257=1,ISNUMBER(AT257),AY257=1),$AT257,1)</f>
        <v>0</v>
      </c>
      <c r="BA257">
        <f>IF(AND(AR257=1,ISNUMBER(AT257),AY257=1),$AT257,1)</f>
        <v>0</v>
      </c>
      <c r="BB257">
        <f>IF(ISNUMBER(Y257),INDEX(AllCollegeILPub, MATCH(N257,AllCollegeNCES,0)),0)</f>
        <v>0</v>
      </c>
      <c r="BC257">
        <f>IF(AK257=ReachLabel,AP257,0)</f>
        <v>0</v>
      </c>
      <c r="BD257">
        <f>IF(AK257=MatchLabel,AP257,0)</f>
        <v>0</v>
      </c>
      <c r="BE257">
        <f>IF(AK257=SafetyLabel,AP257,0)</f>
        <v>0</v>
      </c>
      <c r="BF257">
        <f>IF(AK257=SecureLabel,AP257,0)</f>
        <v>0</v>
      </c>
      <c r="BG257">
        <f>IF(AK257=SureThingLabel,AP257,0)</f>
        <v>0</v>
      </c>
      <c r="BH257">
        <f>MAX(BC257:BG257)</f>
        <v>0</v>
      </c>
      <c r="BI257">
        <f>MAX(BD257:BG257)</f>
        <v>0</v>
      </c>
      <c r="BJ257">
        <f>MAX(BE257:BG257)</f>
        <v>0</v>
      </c>
      <c r="BK257">
        <f>IF(AND(AK257=ReachLabel,AY257=1),AP257,0)</f>
        <v>0</v>
      </c>
      <c r="BL257">
        <f>IF(AND(AK257=MatchLabel,AY257=1),AP257,0)</f>
        <v>0</v>
      </c>
      <c r="BM257">
        <f>IF(AND(AK257=SafetyLabel,AY257=1),AP257,0)</f>
        <v>0</v>
      </c>
      <c r="BN257">
        <f>IF(AND(AK257=SecureLabel,AY257=1),AP257,0)</f>
        <v>0</v>
      </c>
      <c r="BO257">
        <f>IF(AND(AK257=SureThingLabel,AY257=1),AP257,0)</f>
        <v>0</v>
      </c>
      <c r="BP257">
        <f>MAX(BK257:BO257)</f>
        <v>0</v>
      </c>
      <c r="BQ257">
        <f>MAX(BL257:BO257)</f>
        <v>0</v>
      </c>
      <c r="BR257">
        <f>MAX(BM257:BO257)</f>
        <v>0</v>
      </c>
      <c r="BS257">
        <f>IF(ISNUMBER(Y257),INDEX(AllCollegeChicago, MATCH(N257,AllCollegeNCES,0))*AY257,0)</f>
        <v>0</v>
      </c>
      <c r="BT257">
        <f>IF(ISNUMBER(Y257),INDEX(AllCollegeMoneyCode, MATCH(N257,AllCollegeNCES,0)),"?")</f>
        <v>0</v>
      </c>
      <c r="BU257">
        <f>IF(OR(BT257="---",BT257="--",BT257="+/--",BT257="+/---"),1,0)</f>
        <v>0</v>
      </c>
      <c r="BV257">
        <f>AY257*AO257*AQ257</f>
        <v>0</v>
      </c>
    </row>
    <row r="258" spans="1:74">
      <c r="A258" t="s">
        <v>86</v>
      </c>
      <c r="B258">
        <v>23020881</v>
      </c>
      <c r="C258" t="s">
        <v>290</v>
      </c>
      <c r="D258" t="s">
        <v>291</v>
      </c>
      <c r="E258" t="s">
        <v>428</v>
      </c>
      <c r="F258" t="s">
        <v>437</v>
      </c>
      <c r="G258" t="s">
        <v>430</v>
      </c>
      <c r="H258" t="s">
        <v>431</v>
      </c>
      <c r="I258" t="s">
        <v>432</v>
      </c>
      <c r="J258" t="s">
        <v>432</v>
      </c>
      <c r="K258">
        <v>0</v>
      </c>
      <c r="L258" t="s">
        <v>428</v>
      </c>
      <c r="M258" t="s">
        <v>428</v>
      </c>
      <c r="N258">
        <v>149772</v>
      </c>
      <c r="O258">
        <f>INDEX(AllCollegeBarrons,MATCH(N258,AllCollegeNCES,0))</f>
        <v>0</v>
      </c>
      <c r="P258">
        <f>INDEX(KidGPAs,MATCH(B258,KidIDs,0))</f>
        <v>0</v>
      </c>
      <c r="Q258">
        <f>INDEX(KidACTs,MATCH(B258,KidIDs,0))</f>
        <v>0</v>
      </c>
      <c r="R258">
        <f>INDEX(Strats,MATCH(B258,KidIDs,0))</f>
        <v>0</v>
      </c>
      <c r="S258">
        <f>INDEX(KidRace,MATCH(B258,KidIDs,0))</f>
        <v>0</v>
      </c>
      <c r="T258">
        <f>IF(OR(S258="M",S258="I"),"H",S258)</f>
        <v>0</v>
      </c>
      <c r="U258">
        <f>INDEX(StudentTargets,MATCH(B258,KidIDs,0))</f>
        <v>0</v>
      </c>
      <c r="V258">
        <f>INDEX(ReachStudentTargets,MATCH(B258,KidIDs,0))</f>
        <v>0</v>
      </c>
      <c r="W258">
        <f>IF(OR(M258="Posse"),1,0)</f>
        <v>0</v>
      </c>
      <c r="X258">
        <f>IF(ISNUMBER(INDEX(AllCollegeGR, MATCH(N258,AllCollegeNCES,0))),ROUND(INDEX(AllCollegeGR, MATCH(N258,AllCollegeNCES,0))+W258*IF(INDEX(AllCollegeGR, MATCH(N258,AllCollegeNCES,0))&gt;0.7,(1-INDEX(AllCollegeGR, MATCH(N258,AllCollegeNCES,0)))/2,0.15),2),INDEX(AllCollegeGR, MATCH(N258,AllCollegeNCES,0)))</f>
        <v>0</v>
      </c>
      <c r="Y258">
        <f>IF(ISNUMBER(INDEX(AllCollegeAAHGR, MATCH(N258,AllCollegeNCES,0))),ROUND(INDEX(AllCollegeAAHGR, MATCH(N258,AllCollegeNCES,0))+W258*IF(INDEX(AllCollegeAAHGR, MATCH(N258,AllCollegeNCES,0))&gt;0.7,(1-INDEX(AllCollegeAAHGR, MATCH(N258,AllCollegeNCES,0)))/2,0.15),2),INDEX(AllCollegeAAHGR, MATCH(N258,AllCollegeNCES,0)))</f>
        <v>0</v>
      </c>
      <c r="Z258">
        <f>IF(OR(T258="H",T258="B"),INDEX(AllCollegeACT25, MATCH(N258,AllCollegeNCES,0)),INDEX(AllCollegeACT50, MATCH(N258,AllCollegeNCES,0)))</f>
        <v>0</v>
      </c>
      <c r="AA258">
        <f>INDEX(CustomWeightsGPA,MATCH(T258&amp;":"&amp;N258,CustomWeightsIndex,0))</f>
        <v>0</v>
      </c>
      <c r="AB258">
        <f>INDEX(CustomWeightsACT,MATCH(T258&amp;":"&amp;N258,CustomWeightsIndex,0))</f>
        <v>0</v>
      </c>
      <c r="AC258">
        <f>INDEX(CustomWeightsIntercept,MATCH(T258&amp;":"&amp;N258,CustomWeightsIndex,0))</f>
        <v>0</v>
      </c>
      <c r="AD258">
        <f>AA258*P258+AB258*Q258+AC258</f>
        <v>0</v>
      </c>
      <c r="AE258">
        <f>INDEX(CoefficientsGPA,MATCH(T258&amp;":"&amp;O258,CoefficientsIndex,0))</f>
        <v>0</v>
      </c>
      <c r="AF258">
        <f>INDEX(CoefficientsACT,MATCH(T258&amp;":"&amp;O258,CoefficientsIndex,0))</f>
        <v>0</v>
      </c>
      <c r="AG258">
        <f>INDEX(CoefficientsIntercept,MATCH(T258&amp;":"&amp;O258,CoefficientsIndex,0))</f>
        <v>0</v>
      </c>
      <c r="AH258">
        <f>AE258*P258+(Q258-Z258)*AF258+AG258</f>
        <v>0</v>
      </c>
      <c r="AI258">
        <f>IF(ISNUMBER(AD258),AD258,AH258)</f>
        <v>0</v>
      </c>
      <c r="AJ258">
        <f>IF(ISNUMBER(AI258),IF(ISNUMBER(AE258),IF(AND(AE258=1,AF258=1,AG258=1),100,ROUND(100*EXP(AI258)/(1+EXP(AI258)),2)),ROUND(100*EXP(AI258)/(1+EXP(AI258)),2)),IF(ISTEXT(O258),IF(LEFT(O258,1)="2",100,"N/A"),"N/A"))</f>
        <v>0</v>
      </c>
      <c r="AK258">
        <f>IF(ISNUMBER(AJ258),IF(AJ258&gt;=99,IF(OR(R258=10,R258=11),MatchLabel,SureThingLabel),IF(AJ258&gt;=95,SecureLabel,IF(AJ258&gt;=80,SafetyLabel,IF(AJ258&gt;=50,MatchLabel,IF(AJ258&gt;=20,ReachLabel,IF(AJ258&gt;=10,LongshotLabel,HailMaryLabel)))))),"Other")</f>
        <v>0</v>
      </c>
      <c r="AL258">
        <f>IF(OR(I258="accepted",I258="cond. accept",I258="summer admit"),IF(J258="yes","CHOICE!","Accepted!"),IF(I258="denied","Denied",IF(K258=1,"Waitlist",IF(L258=1,"Deferred",IF(G258="pending","Pending",IF(OR(G258="initial materials submitted",G258="mid-year submitted",G258="final submitted"),"Submitted",IF(H258="interest","Interest","?")))))))</f>
        <v>0</v>
      </c>
      <c r="AM258">
        <f>IF(OR(AK258=ReachLabel,AK258=LongshotLabel,AK258=HailMaryLabel),1,0)</f>
        <v>0</v>
      </c>
      <c r="AN258">
        <f>IF(OR(AM258=1,AK258=MatchLabel),1,0)</f>
        <v>0</v>
      </c>
      <c r="AO258">
        <f>IF(OR(AK258=MatchLabel,AK258=SafetyLabel,AK258=SecureLabel,AK258=SureThingLabel),1,0)</f>
        <v>0</v>
      </c>
      <c r="AP258">
        <f>IF(OR(T258="H",T258="B"),IF(ISNUMBER(Y258),ROUND(Y258,2),0),IF(ISNUMBER(X258),ROUND(X258,2),0))</f>
        <v>0</v>
      </c>
      <c r="AQ258">
        <f>IF(AP258&gt;=U258,1,0)</f>
        <v>0</v>
      </c>
      <c r="AR258">
        <f>IF(AP258&gt;=V258,1,0)</f>
        <v>0</v>
      </c>
      <c r="AS258">
        <f>IF(AP258&lt;(U258-0.10),1,0)</f>
        <v>0</v>
      </c>
      <c r="AT258">
        <f>1-AJ258/100</f>
        <v>0</v>
      </c>
      <c r="AU258">
        <f>IF(AN258=1,AT258,1)</f>
        <v>0</v>
      </c>
      <c r="AV258">
        <f>IF(AM258=1,AT258,1)</f>
        <v>0</v>
      </c>
      <c r="AW258">
        <f>IF(AND(AQ258=1,ISNUMBER(AT258)),$AT258,1)</f>
        <v>0</v>
      </c>
      <c r="AX258">
        <f>IF(AND(AR258=1,ISNUMBER(AT258)),$AT258,1)</f>
        <v>0</v>
      </c>
      <c r="AY258">
        <f>IF(ISNUMBER(Y258),INDEX(AllCollegeMoney, MATCH(N258,AllCollegeNCES,0)),0)</f>
        <v>0</v>
      </c>
      <c r="AZ258">
        <f>IF(AND(AQ258=1,ISNUMBER(AT258),AY258=1),$AT258,1)</f>
        <v>0</v>
      </c>
      <c r="BA258">
        <f>IF(AND(AR258=1,ISNUMBER(AT258),AY258=1),$AT258,1)</f>
        <v>0</v>
      </c>
      <c r="BB258">
        <f>IF(ISNUMBER(Y258),INDEX(AllCollegeILPub, MATCH(N258,AllCollegeNCES,0)),0)</f>
        <v>0</v>
      </c>
      <c r="BC258">
        <f>IF(AK258=ReachLabel,AP258,0)</f>
        <v>0</v>
      </c>
      <c r="BD258">
        <f>IF(AK258=MatchLabel,AP258,0)</f>
        <v>0</v>
      </c>
      <c r="BE258">
        <f>IF(AK258=SafetyLabel,AP258,0)</f>
        <v>0</v>
      </c>
      <c r="BF258">
        <f>IF(AK258=SecureLabel,AP258,0)</f>
        <v>0</v>
      </c>
      <c r="BG258">
        <f>IF(AK258=SureThingLabel,AP258,0)</f>
        <v>0</v>
      </c>
      <c r="BH258">
        <f>MAX(BC258:BG258)</f>
        <v>0</v>
      </c>
      <c r="BI258">
        <f>MAX(BD258:BG258)</f>
        <v>0</v>
      </c>
      <c r="BJ258">
        <f>MAX(BE258:BG258)</f>
        <v>0</v>
      </c>
      <c r="BK258">
        <f>IF(AND(AK258=ReachLabel,AY258=1),AP258,0)</f>
        <v>0</v>
      </c>
      <c r="BL258">
        <f>IF(AND(AK258=MatchLabel,AY258=1),AP258,0)</f>
        <v>0</v>
      </c>
      <c r="BM258">
        <f>IF(AND(AK258=SafetyLabel,AY258=1),AP258,0)</f>
        <v>0</v>
      </c>
      <c r="BN258">
        <f>IF(AND(AK258=SecureLabel,AY258=1),AP258,0)</f>
        <v>0</v>
      </c>
      <c r="BO258">
        <f>IF(AND(AK258=SureThingLabel,AY258=1),AP258,0)</f>
        <v>0</v>
      </c>
      <c r="BP258">
        <f>MAX(BK258:BO258)</f>
        <v>0</v>
      </c>
      <c r="BQ258">
        <f>MAX(BL258:BO258)</f>
        <v>0</v>
      </c>
      <c r="BR258">
        <f>MAX(BM258:BO258)</f>
        <v>0</v>
      </c>
      <c r="BS258">
        <f>IF(ISNUMBER(Y258),INDEX(AllCollegeChicago, MATCH(N258,AllCollegeNCES,0))*AY258,0)</f>
        <v>0</v>
      </c>
      <c r="BT258">
        <f>IF(ISNUMBER(Y258),INDEX(AllCollegeMoneyCode, MATCH(N258,AllCollegeNCES,0)),"?")</f>
        <v>0</v>
      </c>
      <c r="BU258">
        <f>IF(OR(BT258="---",BT258="--",BT258="+/--",BT258="+/---"),1,0)</f>
        <v>0</v>
      </c>
      <c r="BV258">
        <f>AY258*AO258*AQ258</f>
        <v>0</v>
      </c>
    </row>
    <row r="259" spans="1:74">
      <c r="A259" t="s">
        <v>86</v>
      </c>
      <c r="B259">
        <v>23020881</v>
      </c>
      <c r="C259" t="s">
        <v>290</v>
      </c>
      <c r="D259" t="s">
        <v>291</v>
      </c>
      <c r="E259" t="s">
        <v>428</v>
      </c>
      <c r="F259" t="s">
        <v>440</v>
      </c>
      <c r="G259" t="s">
        <v>430</v>
      </c>
      <c r="H259" t="s">
        <v>431</v>
      </c>
      <c r="I259" t="s">
        <v>432</v>
      </c>
      <c r="J259" t="s">
        <v>432</v>
      </c>
      <c r="K259">
        <v>0</v>
      </c>
      <c r="L259" t="s">
        <v>428</v>
      </c>
      <c r="M259" t="s">
        <v>428</v>
      </c>
      <c r="N259">
        <v>147703</v>
      </c>
      <c r="O259">
        <f>INDEX(AllCollegeBarrons,MATCH(N259,AllCollegeNCES,0))</f>
        <v>0</v>
      </c>
      <c r="P259">
        <f>INDEX(KidGPAs,MATCH(B259,KidIDs,0))</f>
        <v>0</v>
      </c>
      <c r="Q259">
        <f>INDEX(KidACTs,MATCH(B259,KidIDs,0))</f>
        <v>0</v>
      </c>
      <c r="R259">
        <f>INDEX(Strats,MATCH(B259,KidIDs,0))</f>
        <v>0</v>
      </c>
      <c r="S259">
        <f>INDEX(KidRace,MATCH(B259,KidIDs,0))</f>
        <v>0</v>
      </c>
      <c r="T259">
        <f>IF(OR(S259="M",S259="I"),"H",S259)</f>
        <v>0</v>
      </c>
      <c r="U259">
        <f>INDEX(StudentTargets,MATCH(B259,KidIDs,0))</f>
        <v>0</v>
      </c>
      <c r="V259">
        <f>INDEX(ReachStudentTargets,MATCH(B259,KidIDs,0))</f>
        <v>0</v>
      </c>
      <c r="W259">
        <f>IF(OR(M259="Posse"),1,0)</f>
        <v>0</v>
      </c>
      <c r="X259">
        <f>IF(ISNUMBER(INDEX(AllCollegeGR, MATCH(N259,AllCollegeNCES,0))),ROUND(INDEX(AllCollegeGR, MATCH(N259,AllCollegeNCES,0))+W259*IF(INDEX(AllCollegeGR, MATCH(N259,AllCollegeNCES,0))&gt;0.7,(1-INDEX(AllCollegeGR, MATCH(N259,AllCollegeNCES,0)))/2,0.15),2),INDEX(AllCollegeGR, MATCH(N259,AllCollegeNCES,0)))</f>
        <v>0</v>
      </c>
      <c r="Y259">
        <f>IF(ISNUMBER(INDEX(AllCollegeAAHGR, MATCH(N259,AllCollegeNCES,0))),ROUND(INDEX(AllCollegeAAHGR, MATCH(N259,AllCollegeNCES,0))+W259*IF(INDEX(AllCollegeAAHGR, MATCH(N259,AllCollegeNCES,0))&gt;0.7,(1-INDEX(AllCollegeAAHGR, MATCH(N259,AllCollegeNCES,0)))/2,0.15),2),INDEX(AllCollegeAAHGR, MATCH(N259,AllCollegeNCES,0)))</f>
        <v>0</v>
      </c>
      <c r="Z259">
        <f>IF(OR(T259="H",T259="B"),INDEX(AllCollegeACT25, MATCH(N259,AllCollegeNCES,0)),INDEX(AllCollegeACT50, MATCH(N259,AllCollegeNCES,0)))</f>
        <v>0</v>
      </c>
      <c r="AA259">
        <f>INDEX(CustomWeightsGPA,MATCH(T259&amp;":"&amp;N259,CustomWeightsIndex,0))</f>
        <v>0</v>
      </c>
      <c r="AB259">
        <f>INDEX(CustomWeightsACT,MATCH(T259&amp;":"&amp;N259,CustomWeightsIndex,0))</f>
        <v>0</v>
      </c>
      <c r="AC259">
        <f>INDEX(CustomWeightsIntercept,MATCH(T259&amp;":"&amp;N259,CustomWeightsIndex,0))</f>
        <v>0</v>
      </c>
      <c r="AD259">
        <f>AA259*P259+AB259*Q259+AC259</f>
        <v>0</v>
      </c>
      <c r="AE259">
        <f>INDEX(CoefficientsGPA,MATCH(T259&amp;":"&amp;O259,CoefficientsIndex,0))</f>
        <v>0</v>
      </c>
      <c r="AF259">
        <f>INDEX(CoefficientsACT,MATCH(T259&amp;":"&amp;O259,CoefficientsIndex,0))</f>
        <v>0</v>
      </c>
      <c r="AG259">
        <f>INDEX(CoefficientsIntercept,MATCH(T259&amp;":"&amp;O259,CoefficientsIndex,0))</f>
        <v>0</v>
      </c>
      <c r="AH259">
        <f>AE259*P259+(Q259-Z259)*AF259+AG259</f>
        <v>0</v>
      </c>
      <c r="AI259">
        <f>IF(ISNUMBER(AD259),AD259,AH259)</f>
        <v>0</v>
      </c>
      <c r="AJ259">
        <f>IF(ISNUMBER(AI259),IF(ISNUMBER(AE259),IF(AND(AE259=1,AF259=1,AG259=1),100,ROUND(100*EXP(AI259)/(1+EXP(AI259)),2)),ROUND(100*EXP(AI259)/(1+EXP(AI259)),2)),IF(ISTEXT(O259),IF(LEFT(O259,1)="2",100,"N/A"),"N/A"))</f>
        <v>0</v>
      </c>
      <c r="AK259">
        <f>IF(ISNUMBER(AJ259),IF(AJ259&gt;=99,IF(OR(R259=10,R259=11),MatchLabel,SureThingLabel),IF(AJ259&gt;=95,SecureLabel,IF(AJ259&gt;=80,SafetyLabel,IF(AJ259&gt;=50,MatchLabel,IF(AJ259&gt;=20,ReachLabel,IF(AJ259&gt;=10,LongshotLabel,HailMaryLabel)))))),"Other")</f>
        <v>0</v>
      </c>
      <c r="AL259">
        <f>IF(OR(I259="accepted",I259="cond. accept",I259="summer admit"),IF(J259="yes","CHOICE!","Accepted!"),IF(I259="denied","Denied",IF(K259=1,"Waitlist",IF(L259=1,"Deferred",IF(G259="pending","Pending",IF(OR(G259="initial materials submitted",G259="mid-year submitted",G259="final submitted"),"Submitted",IF(H259="interest","Interest","?")))))))</f>
        <v>0</v>
      </c>
      <c r="AM259">
        <f>IF(OR(AK259=ReachLabel,AK259=LongshotLabel,AK259=HailMaryLabel),1,0)</f>
        <v>0</v>
      </c>
      <c r="AN259">
        <f>IF(OR(AM259=1,AK259=MatchLabel),1,0)</f>
        <v>0</v>
      </c>
      <c r="AO259">
        <f>IF(OR(AK259=MatchLabel,AK259=SafetyLabel,AK259=SecureLabel,AK259=SureThingLabel),1,0)</f>
        <v>0</v>
      </c>
      <c r="AP259">
        <f>IF(OR(T259="H",T259="B"),IF(ISNUMBER(Y259),ROUND(Y259,2),0),IF(ISNUMBER(X259),ROUND(X259,2),0))</f>
        <v>0</v>
      </c>
      <c r="AQ259">
        <f>IF(AP259&gt;=U259,1,0)</f>
        <v>0</v>
      </c>
      <c r="AR259">
        <f>IF(AP259&gt;=V259,1,0)</f>
        <v>0</v>
      </c>
      <c r="AS259">
        <f>IF(AP259&lt;(U259-0.10),1,0)</f>
        <v>0</v>
      </c>
      <c r="AT259">
        <f>1-AJ259/100</f>
        <v>0</v>
      </c>
      <c r="AU259">
        <f>IF(AN259=1,AT259,1)</f>
        <v>0</v>
      </c>
      <c r="AV259">
        <f>IF(AM259=1,AT259,1)</f>
        <v>0</v>
      </c>
      <c r="AW259">
        <f>IF(AND(AQ259=1,ISNUMBER(AT259)),$AT259,1)</f>
        <v>0</v>
      </c>
      <c r="AX259">
        <f>IF(AND(AR259=1,ISNUMBER(AT259)),$AT259,1)</f>
        <v>0</v>
      </c>
      <c r="AY259">
        <f>IF(ISNUMBER(Y259),INDEX(AllCollegeMoney, MATCH(N259,AllCollegeNCES,0)),0)</f>
        <v>0</v>
      </c>
      <c r="AZ259">
        <f>IF(AND(AQ259=1,ISNUMBER(AT259),AY259=1),$AT259,1)</f>
        <v>0</v>
      </c>
      <c r="BA259">
        <f>IF(AND(AR259=1,ISNUMBER(AT259),AY259=1),$AT259,1)</f>
        <v>0</v>
      </c>
      <c r="BB259">
        <f>IF(ISNUMBER(Y259),INDEX(AllCollegeILPub, MATCH(N259,AllCollegeNCES,0)),0)</f>
        <v>0</v>
      </c>
      <c r="BC259">
        <f>IF(AK259=ReachLabel,AP259,0)</f>
        <v>0</v>
      </c>
      <c r="BD259">
        <f>IF(AK259=MatchLabel,AP259,0)</f>
        <v>0</v>
      </c>
      <c r="BE259">
        <f>IF(AK259=SafetyLabel,AP259,0)</f>
        <v>0</v>
      </c>
      <c r="BF259">
        <f>IF(AK259=SecureLabel,AP259,0)</f>
        <v>0</v>
      </c>
      <c r="BG259">
        <f>IF(AK259=SureThingLabel,AP259,0)</f>
        <v>0</v>
      </c>
      <c r="BH259">
        <f>MAX(BC259:BG259)</f>
        <v>0</v>
      </c>
      <c r="BI259">
        <f>MAX(BD259:BG259)</f>
        <v>0</v>
      </c>
      <c r="BJ259">
        <f>MAX(BE259:BG259)</f>
        <v>0</v>
      </c>
      <c r="BK259">
        <f>IF(AND(AK259=ReachLabel,AY259=1),AP259,0)</f>
        <v>0</v>
      </c>
      <c r="BL259">
        <f>IF(AND(AK259=MatchLabel,AY259=1),AP259,0)</f>
        <v>0</v>
      </c>
      <c r="BM259">
        <f>IF(AND(AK259=SafetyLabel,AY259=1),AP259,0)</f>
        <v>0</v>
      </c>
      <c r="BN259">
        <f>IF(AND(AK259=SecureLabel,AY259=1),AP259,0)</f>
        <v>0</v>
      </c>
      <c r="BO259">
        <f>IF(AND(AK259=SureThingLabel,AY259=1),AP259,0)</f>
        <v>0</v>
      </c>
      <c r="BP259">
        <f>MAX(BK259:BO259)</f>
        <v>0</v>
      </c>
      <c r="BQ259">
        <f>MAX(BL259:BO259)</f>
        <v>0</v>
      </c>
      <c r="BR259">
        <f>MAX(BM259:BO259)</f>
        <v>0</v>
      </c>
      <c r="BS259">
        <f>IF(ISNUMBER(Y259),INDEX(AllCollegeChicago, MATCH(N259,AllCollegeNCES,0))*AY259,0)</f>
        <v>0</v>
      </c>
      <c r="BT259">
        <f>IF(ISNUMBER(Y259),INDEX(AllCollegeMoneyCode, MATCH(N259,AllCollegeNCES,0)),"?")</f>
        <v>0</v>
      </c>
      <c r="BU259">
        <f>IF(OR(BT259="---",BT259="--",BT259="+/--",BT259="+/---"),1,0)</f>
        <v>0</v>
      </c>
      <c r="BV259">
        <f>AY259*AO259*AQ259</f>
        <v>0</v>
      </c>
    </row>
    <row r="260" spans="1:74">
      <c r="A260" t="s">
        <v>86</v>
      </c>
      <c r="B260">
        <v>23020881</v>
      </c>
      <c r="C260" t="s">
        <v>290</v>
      </c>
      <c r="D260" t="s">
        <v>291</v>
      </c>
      <c r="E260" t="s">
        <v>428</v>
      </c>
      <c r="F260" t="s">
        <v>488</v>
      </c>
      <c r="G260" t="s">
        <v>430</v>
      </c>
      <c r="H260" t="s">
        <v>431</v>
      </c>
      <c r="I260" t="s">
        <v>432</v>
      </c>
      <c r="J260" t="s">
        <v>432</v>
      </c>
      <c r="K260">
        <v>0</v>
      </c>
      <c r="L260" t="s">
        <v>428</v>
      </c>
      <c r="M260" t="s">
        <v>428</v>
      </c>
      <c r="N260">
        <v>149231</v>
      </c>
      <c r="O260">
        <f>INDEX(AllCollegeBarrons,MATCH(N260,AllCollegeNCES,0))</f>
        <v>0</v>
      </c>
      <c r="P260">
        <f>INDEX(KidGPAs,MATCH(B260,KidIDs,0))</f>
        <v>0</v>
      </c>
      <c r="Q260">
        <f>INDEX(KidACTs,MATCH(B260,KidIDs,0))</f>
        <v>0</v>
      </c>
      <c r="R260">
        <f>INDEX(Strats,MATCH(B260,KidIDs,0))</f>
        <v>0</v>
      </c>
      <c r="S260">
        <f>INDEX(KidRace,MATCH(B260,KidIDs,0))</f>
        <v>0</v>
      </c>
      <c r="T260">
        <f>IF(OR(S260="M",S260="I"),"H",S260)</f>
        <v>0</v>
      </c>
      <c r="U260">
        <f>INDEX(StudentTargets,MATCH(B260,KidIDs,0))</f>
        <v>0</v>
      </c>
      <c r="V260">
        <f>INDEX(ReachStudentTargets,MATCH(B260,KidIDs,0))</f>
        <v>0</v>
      </c>
      <c r="W260">
        <f>IF(OR(M260="Posse"),1,0)</f>
        <v>0</v>
      </c>
      <c r="X260">
        <f>IF(ISNUMBER(INDEX(AllCollegeGR, MATCH(N260,AllCollegeNCES,0))),ROUND(INDEX(AllCollegeGR, MATCH(N260,AllCollegeNCES,0))+W260*IF(INDEX(AllCollegeGR, MATCH(N260,AllCollegeNCES,0))&gt;0.7,(1-INDEX(AllCollegeGR, MATCH(N260,AllCollegeNCES,0)))/2,0.15),2),INDEX(AllCollegeGR, MATCH(N260,AllCollegeNCES,0)))</f>
        <v>0</v>
      </c>
      <c r="Y260">
        <f>IF(ISNUMBER(INDEX(AllCollegeAAHGR, MATCH(N260,AllCollegeNCES,0))),ROUND(INDEX(AllCollegeAAHGR, MATCH(N260,AllCollegeNCES,0))+W260*IF(INDEX(AllCollegeAAHGR, MATCH(N260,AllCollegeNCES,0))&gt;0.7,(1-INDEX(AllCollegeAAHGR, MATCH(N260,AllCollegeNCES,0)))/2,0.15),2),INDEX(AllCollegeAAHGR, MATCH(N260,AllCollegeNCES,0)))</f>
        <v>0</v>
      </c>
      <c r="Z260">
        <f>IF(OR(T260="H",T260="B"),INDEX(AllCollegeACT25, MATCH(N260,AllCollegeNCES,0)),INDEX(AllCollegeACT50, MATCH(N260,AllCollegeNCES,0)))</f>
        <v>0</v>
      </c>
      <c r="AA260">
        <f>INDEX(CustomWeightsGPA,MATCH(T260&amp;":"&amp;N260,CustomWeightsIndex,0))</f>
        <v>0</v>
      </c>
      <c r="AB260">
        <f>INDEX(CustomWeightsACT,MATCH(T260&amp;":"&amp;N260,CustomWeightsIndex,0))</f>
        <v>0</v>
      </c>
      <c r="AC260">
        <f>INDEX(CustomWeightsIntercept,MATCH(T260&amp;":"&amp;N260,CustomWeightsIndex,0))</f>
        <v>0</v>
      </c>
      <c r="AD260">
        <f>AA260*P260+AB260*Q260+AC260</f>
        <v>0</v>
      </c>
      <c r="AE260">
        <f>INDEX(CoefficientsGPA,MATCH(T260&amp;":"&amp;O260,CoefficientsIndex,0))</f>
        <v>0</v>
      </c>
      <c r="AF260">
        <f>INDEX(CoefficientsACT,MATCH(T260&amp;":"&amp;O260,CoefficientsIndex,0))</f>
        <v>0</v>
      </c>
      <c r="AG260">
        <f>INDEX(CoefficientsIntercept,MATCH(T260&amp;":"&amp;O260,CoefficientsIndex,0))</f>
        <v>0</v>
      </c>
      <c r="AH260">
        <f>AE260*P260+(Q260-Z260)*AF260+AG260</f>
        <v>0</v>
      </c>
      <c r="AI260">
        <f>IF(ISNUMBER(AD260),AD260,AH260)</f>
        <v>0</v>
      </c>
      <c r="AJ260">
        <f>IF(ISNUMBER(AI260),IF(ISNUMBER(AE260),IF(AND(AE260=1,AF260=1,AG260=1),100,ROUND(100*EXP(AI260)/(1+EXP(AI260)),2)),ROUND(100*EXP(AI260)/(1+EXP(AI260)),2)),IF(ISTEXT(O260),IF(LEFT(O260,1)="2",100,"N/A"),"N/A"))</f>
        <v>0</v>
      </c>
      <c r="AK260">
        <f>IF(ISNUMBER(AJ260),IF(AJ260&gt;=99,IF(OR(R260=10,R260=11),MatchLabel,SureThingLabel),IF(AJ260&gt;=95,SecureLabel,IF(AJ260&gt;=80,SafetyLabel,IF(AJ260&gt;=50,MatchLabel,IF(AJ260&gt;=20,ReachLabel,IF(AJ260&gt;=10,LongshotLabel,HailMaryLabel)))))),"Other")</f>
        <v>0</v>
      </c>
      <c r="AL260">
        <f>IF(OR(I260="accepted",I260="cond. accept",I260="summer admit"),IF(J260="yes","CHOICE!","Accepted!"),IF(I260="denied","Denied",IF(K260=1,"Waitlist",IF(L260=1,"Deferred",IF(G260="pending","Pending",IF(OR(G260="initial materials submitted",G260="mid-year submitted",G260="final submitted"),"Submitted",IF(H260="interest","Interest","?")))))))</f>
        <v>0</v>
      </c>
      <c r="AM260">
        <f>IF(OR(AK260=ReachLabel,AK260=LongshotLabel,AK260=HailMaryLabel),1,0)</f>
        <v>0</v>
      </c>
      <c r="AN260">
        <f>IF(OR(AM260=1,AK260=MatchLabel),1,0)</f>
        <v>0</v>
      </c>
      <c r="AO260">
        <f>IF(OR(AK260=MatchLabel,AK260=SafetyLabel,AK260=SecureLabel,AK260=SureThingLabel),1,0)</f>
        <v>0</v>
      </c>
      <c r="AP260">
        <f>IF(OR(T260="H",T260="B"),IF(ISNUMBER(Y260),ROUND(Y260,2),0),IF(ISNUMBER(X260),ROUND(X260,2),0))</f>
        <v>0</v>
      </c>
      <c r="AQ260">
        <f>IF(AP260&gt;=U260,1,0)</f>
        <v>0</v>
      </c>
      <c r="AR260">
        <f>IF(AP260&gt;=V260,1,0)</f>
        <v>0</v>
      </c>
      <c r="AS260">
        <f>IF(AP260&lt;(U260-0.10),1,0)</f>
        <v>0</v>
      </c>
      <c r="AT260">
        <f>1-AJ260/100</f>
        <v>0</v>
      </c>
      <c r="AU260">
        <f>IF(AN260=1,AT260,1)</f>
        <v>0</v>
      </c>
      <c r="AV260">
        <f>IF(AM260=1,AT260,1)</f>
        <v>0</v>
      </c>
      <c r="AW260">
        <f>IF(AND(AQ260=1,ISNUMBER(AT260)),$AT260,1)</f>
        <v>0</v>
      </c>
      <c r="AX260">
        <f>IF(AND(AR260=1,ISNUMBER(AT260)),$AT260,1)</f>
        <v>0</v>
      </c>
      <c r="AY260">
        <f>IF(ISNUMBER(Y260),INDEX(AllCollegeMoney, MATCH(N260,AllCollegeNCES,0)),0)</f>
        <v>0</v>
      </c>
      <c r="AZ260">
        <f>IF(AND(AQ260=1,ISNUMBER(AT260),AY260=1),$AT260,1)</f>
        <v>0</v>
      </c>
      <c r="BA260">
        <f>IF(AND(AR260=1,ISNUMBER(AT260),AY260=1),$AT260,1)</f>
        <v>0</v>
      </c>
      <c r="BB260">
        <f>IF(ISNUMBER(Y260),INDEX(AllCollegeILPub, MATCH(N260,AllCollegeNCES,0)),0)</f>
        <v>0</v>
      </c>
      <c r="BC260">
        <f>IF(AK260=ReachLabel,AP260,0)</f>
        <v>0</v>
      </c>
      <c r="BD260">
        <f>IF(AK260=MatchLabel,AP260,0)</f>
        <v>0</v>
      </c>
      <c r="BE260">
        <f>IF(AK260=SafetyLabel,AP260,0)</f>
        <v>0</v>
      </c>
      <c r="BF260">
        <f>IF(AK260=SecureLabel,AP260,0)</f>
        <v>0</v>
      </c>
      <c r="BG260">
        <f>IF(AK260=SureThingLabel,AP260,0)</f>
        <v>0</v>
      </c>
      <c r="BH260">
        <f>MAX(BC260:BG260)</f>
        <v>0</v>
      </c>
      <c r="BI260">
        <f>MAX(BD260:BG260)</f>
        <v>0</v>
      </c>
      <c r="BJ260">
        <f>MAX(BE260:BG260)</f>
        <v>0</v>
      </c>
      <c r="BK260">
        <f>IF(AND(AK260=ReachLabel,AY260=1),AP260,0)</f>
        <v>0</v>
      </c>
      <c r="BL260">
        <f>IF(AND(AK260=MatchLabel,AY260=1),AP260,0)</f>
        <v>0</v>
      </c>
      <c r="BM260">
        <f>IF(AND(AK260=SafetyLabel,AY260=1),AP260,0)</f>
        <v>0</v>
      </c>
      <c r="BN260">
        <f>IF(AND(AK260=SecureLabel,AY260=1),AP260,0)</f>
        <v>0</v>
      </c>
      <c r="BO260">
        <f>IF(AND(AK260=SureThingLabel,AY260=1),AP260,0)</f>
        <v>0</v>
      </c>
      <c r="BP260">
        <f>MAX(BK260:BO260)</f>
        <v>0</v>
      </c>
      <c r="BQ260">
        <f>MAX(BL260:BO260)</f>
        <v>0</v>
      </c>
      <c r="BR260">
        <f>MAX(BM260:BO260)</f>
        <v>0</v>
      </c>
      <c r="BS260">
        <f>IF(ISNUMBER(Y260),INDEX(AllCollegeChicago, MATCH(N260,AllCollegeNCES,0))*AY260,0)</f>
        <v>0</v>
      </c>
      <c r="BT260">
        <f>IF(ISNUMBER(Y260),INDEX(AllCollegeMoneyCode, MATCH(N260,AllCollegeNCES,0)),"?")</f>
        <v>0</v>
      </c>
      <c r="BU260">
        <f>IF(OR(BT260="---",BT260="--",BT260="+/--",BT260="+/---"),1,0)</f>
        <v>0</v>
      </c>
      <c r="BV260">
        <f>AY260*AO260*AQ260</f>
        <v>0</v>
      </c>
    </row>
    <row r="261" spans="1:74">
      <c r="A261" t="s">
        <v>86</v>
      </c>
      <c r="B261">
        <v>23036214</v>
      </c>
      <c r="C261" t="s">
        <v>126</v>
      </c>
      <c r="D261" t="s">
        <v>127</v>
      </c>
      <c r="E261" t="s">
        <v>428</v>
      </c>
      <c r="F261" t="s">
        <v>522</v>
      </c>
      <c r="G261" t="s">
        <v>430</v>
      </c>
      <c r="H261" t="s">
        <v>431</v>
      </c>
      <c r="I261" t="s">
        <v>432</v>
      </c>
      <c r="J261" t="s">
        <v>432</v>
      </c>
      <c r="K261">
        <v>0</v>
      </c>
      <c r="L261" t="s">
        <v>428</v>
      </c>
      <c r="M261" t="s">
        <v>428</v>
      </c>
      <c r="N261">
        <v>173258</v>
      </c>
      <c r="O261">
        <f>INDEX(AllCollegeBarrons,MATCH(N261,AllCollegeNCES,0))</f>
        <v>0</v>
      </c>
      <c r="P261">
        <f>INDEX(KidGPAs,MATCH(B261,KidIDs,0))</f>
        <v>0</v>
      </c>
      <c r="Q261">
        <f>INDEX(KidACTs,MATCH(B261,KidIDs,0))</f>
        <v>0</v>
      </c>
      <c r="R261">
        <f>INDEX(Strats,MATCH(B261,KidIDs,0))</f>
        <v>0</v>
      </c>
      <c r="S261">
        <f>INDEX(KidRace,MATCH(B261,KidIDs,0))</f>
        <v>0</v>
      </c>
      <c r="T261">
        <f>IF(OR(S261="M",S261="I"),"H",S261)</f>
        <v>0</v>
      </c>
      <c r="U261">
        <f>INDEX(StudentTargets,MATCH(B261,KidIDs,0))</f>
        <v>0</v>
      </c>
      <c r="V261">
        <f>INDEX(ReachStudentTargets,MATCH(B261,KidIDs,0))</f>
        <v>0</v>
      </c>
      <c r="W261">
        <f>IF(OR(M261="Posse"),1,0)</f>
        <v>0</v>
      </c>
      <c r="X261">
        <f>IF(ISNUMBER(INDEX(AllCollegeGR, MATCH(N261,AllCollegeNCES,0))),ROUND(INDEX(AllCollegeGR, MATCH(N261,AllCollegeNCES,0))+W261*IF(INDEX(AllCollegeGR, MATCH(N261,AllCollegeNCES,0))&gt;0.7,(1-INDEX(AllCollegeGR, MATCH(N261,AllCollegeNCES,0)))/2,0.15),2),INDEX(AllCollegeGR, MATCH(N261,AllCollegeNCES,0)))</f>
        <v>0</v>
      </c>
      <c r="Y261">
        <f>IF(ISNUMBER(INDEX(AllCollegeAAHGR, MATCH(N261,AllCollegeNCES,0))),ROUND(INDEX(AllCollegeAAHGR, MATCH(N261,AllCollegeNCES,0))+W261*IF(INDEX(AllCollegeAAHGR, MATCH(N261,AllCollegeNCES,0))&gt;0.7,(1-INDEX(AllCollegeAAHGR, MATCH(N261,AllCollegeNCES,0)))/2,0.15),2),INDEX(AllCollegeAAHGR, MATCH(N261,AllCollegeNCES,0)))</f>
        <v>0</v>
      </c>
      <c r="Z261">
        <f>IF(OR(T261="H",T261="B"),INDEX(AllCollegeACT25, MATCH(N261,AllCollegeNCES,0)),INDEX(AllCollegeACT50, MATCH(N261,AllCollegeNCES,0)))</f>
        <v>0</v>
      </c>
      <c r="AA261">
        <f>INDEX(CustomWeightsGPA,MATCH(T261&amp;":"&amp;N261,CustomWeightsIndex,0))</f>
        <v>0</v>
      </c>
      <c r="AB261">
        <f>INDEX(CustomWeightsACT,MATCH(T261&amp;":"&amp;N261,CustomWeightsIndex,0))</f>
        <v>0</v>
      </c>
      <c r="AC261">
        <f>INDEX(CustomWeightsIntercept,MATCH(T261&amp;":"&amp;N261,CustomWeightsIndex,0))</f>
        <v>0</v>
      </c>
      <c r="AD261">
        <f>AA261*P261+AB261*Q261+AC261</f>
        <v>0</v>
      </c>
      <c r="AE261">
        <f>INDEX(CoefficientsGPA,MATCH(T261&amp;":"&amp;O261,CoefficientsIndex,0))</f>
        <v>0</v>
      </c>
      <c r="AF261">
        <f>INDEX(CoefficientsACT,MATCH(T261&amp;":"&amp;O261,CoefficientsIndex,0))</f>
        <v>0</v>
      </c>
      <c r="AG261">
        <f>INDEX(CoefficientsIntercept,MATCH(T261&amp;":"&amp;O261,CoefficientsIndex,0))</f>
        <v>0</v>
      </c>
      <c r="AH261">
        <f>AE261*P261+(Q261-Z261)*AF261+AG261</f>
        <v>0</v>
      </c>
      <c r="AI261">
        <f>IF(ISNUMBER(AD261),AD261,AH261)</f>
        <v>0</v>
      </c>
      <c r="AJ261">
        <f>IF(ISNUMBER(AI261),IF(ISNUMBER(AE261),IF(AND(AE261=1,AF261=1,AG261=1),100,ROUND(100*EXP(AI261)/(1+EXP(AI261)),2)),ROUND(100*EXP(AI261)/(1+EXP(AI261)),2)),IF(ISTEXT(O261),IF(LEFT(O261,1)="2",100,"N/A"),"N/A"))</f>
        <v>0</v>
      </c>
      <c r="AK261">
        <f>IF(ISNUMBER(AJ261),IF(AJ261&gt;=99,IF(OR(R261=10,R261=11),MatchLabel,SureThingLabel),IF(AJ261&gt;=95,SecureLabel,IF(AJ261&gt;=80,SafetyLabel,IF(AJ261&gt;=50,MatchLabel,IF(AJ261&gt;=20,ReachLabel,IF(AJ261&gt;=10,LongshotLabel,HailMaryLabel)))))),"Other")</f>
        <v>0</v>
      </c>
      <c r="AL261">
        <f>IF(OR(I261="accepted",I261="cond. accept",I261="summer admit"),IF(J261="yes","CHOICE!","Accepted!"),IF(I261="denied","Denied",IF(K261=1,"Waitlist",IF(L261=1,"Deferred",IF(G261="pending","Pending",IF(OR(G261="initial materials submitted",G261="mid-year submitted",G261="final submitted"),"Submitted",IF(H261="interest","Interest","?")))))))</f>
        <v>0</v>
      </c>
      <c r="AM261">
        <f>IF(OR(AK261=ReachLabel,AK261=LongshotLabel,AK261=HailMaryLabel),1,0)</f>
        <v>0</v>
      </c>
      <c r="AN261">
        <f>IF(OR(AM261=1,AK261=MatchLabel),1,0)</f>
        <v>0</v>
      </c>
      <c r="AO261">
        <f>IF(OR(AK261=MatchLabel,AK261=SafetyLabel,AK261=SecureLabel,AK261=SureThingLabel),1,0)</f>
        <v>0</v>
      </c>
      <c r="AP261">
        <f>IF(OR(T261="H",T261="B"),IF(ISNUMBER(Y261),ROUND(Y261,2),0),IF(ISNUMBER(X261),ROUND(X261,2),0))</f>
        <v>0</v>
      </c>
      <c r="AQ261">
        <f>IF(AP261&gt;=U261,1,0)</f>
        <v>0</v>
      </c>
      <c r="AR261">
        <f>IF(AP261&gt;=V261,1,0)</f>
        <v>0</v>
      </c>
      <c r="AS261">
        <f>IF(AP261&lt;(U261-0.10),1,0)</f>
        <v>0</v>
      </c>
      <c r="AT261">
        <f>1-AJ261/100</f>
        <v>0</v>
      </c>
      <c r="AU261">
        <f>IF(AN261=1,AT261,1)</f>
        <v>0</v>
      </c>
      <c r="AV261">
        <f>IF(AM261=1,AT261,1)</f>
        <v>0</v>
      </c>
      <c r="AW261">
        <f>IF(AND(AQ261=1,ISNUMBER(AT261)),$AT261,1)</f>
        <v>0</v>
      </c>
      <c r="AX261">
        <f>IF(AND(AR261=1,ISNUMBER(AT261)),$AT261,1)</f>
        <v>0</v>
      </c>
      <c r="AY261">
        <f>IF(ISNUMBER(Y261),INDEX(AllCollegeMoney, MATCH(N261,AllCollegeNCES,0)),0)</f>
        <v>0</v>
      </c>
      <c r="AZ261">
        <f>IF(AND(AQ261=1,ISNUMBER(AT261),AY261=1),$AT261,1)</f>
        <v>0</v>
      </c>
      <c r="BA261">
        <f>IF(AND(AR261=1,ISNUMBER(AT261),AY261=1),$AT261,1)</f>
        <v>0</v>
      </c>
      <c r="BB261">
        <f>IF(ISNUMBER(Y261),INDEX(AllCollegeILPub, MATCH(N261,AllCollegeNCES,0)),0)</f>
        <v>0</v>
      </c>
      <c r="BC261">
        <f>IF(AK261=ReachLabel,AP261,0)</f>
        <v>0</v>
      </c>
      <c r="BD261">
        <f>IF(AK261=MatchLabel,AP261,0)</f>
        <v>0</v>
      </c>
      <c r="BE261">
        <f>IF(AK261=SafetyLabel,AP261,0)</f>
        <v>0</v>
      </c>
      <c r="BF261">
        <f>IF(AK261=SecureLabel,AP261,0)</f>
        <v>0</v>
      </c>
      <c r="BG261">
        <f>IF(AK261=SureThingLabel,AP261,0)</f>
        <v>0</v>
      </c>
      <c r="BH261">
        <f>MAX(BC261:BG261)</f>
        <v>0</v>
      </c>
      <c r="BI261">
        <f>MAX(BD261:BG261)</f>
        <v>0</v>
      </c>
      <c r="BJ261">
        <f>MAX(BE261:BG261)</f>
        <v>0</v>
      </c>
      <c r="BK261">
        <f>IF(AND(AK261=ReachLabel,AY261=1),AP261,0)</f>
        <v>0</v>
      </c>
      <c r="BL261">
        <f>IF(AND(AK261=MatchLabel,AY261=1),AP261,0)</f>
        <v>0</v>
      </c>
      <c r="BM261">
        <f>IF(AND(AK261=SafetyLabel,AY261=1),AP261,0)</f>
        <v>0</v>
      </c>
      <c r="BN261">
        <f>IF(AND(AK261=SecureLabel,AY261=1),AP261,0)</f>
        <v>0</v>
      </c>
      <c r="BO261">
        <f>IF(AND(AK261=SureThingLabel,AY261=1),AP261,0)</f>
        <v>0</v>
      </c>
      <c r="BP261">
        <f>MAX(BK261:BO261)</f>
        <v>0</v>
      </c>
      <c r="BQ261">
        <f>MAX(BL261:BO261)</f>
        <v>0</v>
      </c>
      <c r="BR261">
        <f>MAX(BM261:BO261)</f>
        <v>0</v>
      </c>
      <c r="BS261">
        <f>IF(ISNUMBER(Y261),INDEX(AllCollegeChicago, MATCH(N261,AllCollegeNCES,0))*AY261,0)</f>
        <v>0</v>
      </c>
      <c r="BT261">
        <f>IF(ISNUMBER(Y261),INDEX(AllCollegeMoneyCode, MATCH(N261,AllCollegeNCES,0)),"?")</f>
        <v>0</v>
      </c>
      <c r="BU261">
        <f>IF(OR(BT261="---",BT261="--",BT261="+/--",BT261="+/---"),1,0)</f>
        <v>0</v>
      </c>
      <c r="BV261">
        <f>AY261*AO261*AQ261</f>
        <v>0</v>
      </c>
    </row>
    <row r="262" spans="1:74">
      <c r="A262" t="s">
        <v>86</v>
      </c>
      <c r="B262">
        <v>23036214</v>
      </c>
      <c r="C262" t="s">
        <v>126</v>
      </c>
      <c r="D262" t="s">
        <v>127</v>
      </c>
      <c r="E262" t="s">
        <v>428</v>
      </c>
      <c r="F262" t="s">
        <v>465</v>
      </c>
      <c r="G262" t="s">
        <v>430</v>
      </c>
      <c r="H262" t="s">
        <v>431</v>
      </c>
      <c r="I262" t="s">
        <v>432</v>
      </c>
      <c r="J262" t="s">
        <v>432</v>
      </c>
      <c r="K262">
        <v>0</v>
      </c>
      <c r="L262" t="s">
        <v>428</v>
      </c>
      <c r="M262" t="s">
        <v>428</v>
      </c>
      <c r="N262">
        <v>212577</v>
      </c>
      <c r="O262">
        <f>INDEX(AllCollegeBarrons,MATCH(N262,AllCollegeNCES,0))</f>
        <v>0</v>
      </c>
      <c r="P262">
        <f>INDEX(KidGPAs,MATCH(B262,KidIDs,0))</f>
        <v>0</v>
      </c>
      <c r="Q262">
        <f>INDEX(KidACTs,MATCH(B262,KidIDs,0))</f>
        <v>0</v>
      </c>
      <c r="R262">
        <f>INDEX(Strats,MATCH(B262,KidIDs,0))</f>
        <v>0</v>
      </c>
      <c r="S262">
        <f>INDEX(KidRace,MATCH(B262,KidIDs,0))</f>
        <v>0</v>
      </c>
      <c r="T262">
        <f>IF(OR(S262="M",S262="I"),"H",S262)</f>
        <v>0</v>
      </c>
      <c r="U262">
        <f>INDEX(StudentTargets,MATCH(B262,KidIDs,0))</f>
        <v>0</v>
      </c>
      <c r="V262">
        <f>INDEX(ReachStudentTargets,MATCH(B262,KidIDs,0))</f>
        <v>0</v>
      </c>
      <c r="W262">
        <f>IF(OR(M262="Posse"),1,0)</f>
        <v>0</v>
      </c>
      <c r="X262">
        <f>IF(ISNUMBER(INDEX(AllCollegeGR, MATCH(N262,AllCollegeNCES,0))),ROUND(INDEX(AllCollegeGR, MATCH(N262,AllCollegeNCES,0))+W262*IF(INDEX(AllCollegeGR, MATCH(N262,AllCollegeNCES,0))&gt;0.7,(1-INDEX(AllCollegeGR, MATCH(N262,AllCollegeNCES,0)))/2,0.15),2),INDEX(AllCollegeGR, MATCH(N262,AllCollegeNCES,0)))</f>
        <v>0</v>
      </c>
      <c r="Y262">
        <f>IF(ISNUMBER(INDEX(AllCollegeAAHGR, MATCH(N262,AllCollegeNCES,0))),ROUND(INDEX(AllCollegeAAHGR, MATCH(N262,AllCollegeNCES,0))+W262*IF(INDEX(AllCollegeAAHGR, MATCH(N262,AllCollegeNCES,0))&gt;0.7,(1-INDEX(AllCollegeAAHGR, MATCH(N262,AllCollegeNCES,0)))/2,0.15),2),INDEX(AllCollegeAAHGR, MATCH(N262,AllCollegeNCES,0)))</f>
        <v>0</v>
      </c>
      <c r="Z262">
        <f>IF(OR(T262="H",T262="B"),INDEX(AllCollegeACT25, MATCH(N262,AllCollegeNCES,0)),INDEX(AllCollegeACT50, MATCH(N262,AllCollegeNCES,0)))</f>
        <v>0</v>
      </c>
      <c r="AA262">
        <f>INDEX(CustomWeightsGPA,MATCH(T262&amp;":"&amp;N262,CustomWeightsIndex,0))</f>
        <v>0</v>
      </c>
      <c r="AB262">
        <f>INDEX(CustomWeightsACT,MATCH(T262&amp;":"&amp;N262,CustomWeightsIndex,0))</f>
        <v>0</v>
      </c>
      <c r="AC262">
        <f>INDEX(CustomWeightsIntercept,MATCH(T262&amp;":"&amp;N262,CustomWeightsIndex,0))</f>
        <v>0</v>
      </c>
      <c r="AD262">
        <f>AA262*P262+AB262*Q262+AC262</f>
        <v>0</v>
      </c>
      <c r="AE262">
        <f>INDEX(CoefficientsGPA,MATCH(T262&amp;":"&amp;O262,CoefficientsIndex,0))</f>
        <v>0</v>
      </c>
      <c r="AF262">
        <f>INDEX(CoefficientsACT,MATCH(T262&amp;":"&amp;O262,CoefficientsIndex,0))</f>
        <v>0</v>
      </c>
      <c r="AG262">
        <f>INDEX(CoefficientsIntercept,MATCH(T262&amp;":"&amp;O262,CoefficientsIndex,0))</f>
        <v>0</v>
      </c>
      <c r="AH262">
        <f>AE262*P262+(Q262-Z262)*AF262+AG262</f>
        <v>0</v>
      </c>
      <c r="AI262">
        <f>IF(ISNUMBER(AD262),AD262,AH262)</f>
        <v>0</v>
      </c>
      <c r="AJ262">
        <f>IF(ISNUMBER(AI262),IF(ISNUMBER(AE262),IF(AND(AE262=1,AF262=1,AG262=1),100,ROUND(100*EXP(AI262)/(1+EXP(AI262)),2)),ROUND(100*EXP(AI262)/(1+EXP(AI262)),2)),IF(ISTEXT(O262),IF(LEFT(O262,1)="2",100,"N/A"),"N/A"))</f>
        <v>0</v>
      </c>
      <c r="AK262">
        <f>IF(ISNUMBER(AJ262),IF(AJ262&gt;=99,IF(OR(R262=10,R262=11),MatchLabel,SureThingLabel),IF(AJ262&gt;=95,SecureLabel,IF(AJ262&gt;=80,SafetyLabel,IF(AJ262&gt;=50,MatchLabel,IF(AJ262&gt;=20,ReachLabel,IF(AJ262&gt;=10,LongshotLabel,HailMaryLabel)))))),"Other")</f>
        <v>0</v>
      </c>
      <c r="AL262">
        <f>IF(OR(I262="accepted",I262="cond. accept",I262="summer admit"),IF(J262="yes","CHOICE!","Accepted!"),IF(I262="denied","Denied",IF(K262=1,"Waitlist",IF(L262=1,"Deferred",IF(G262="pending","Pending",IF(OR(G262="initial materials submitted",G262="mid-year submitted",G262="final submitted"),"Submitted",IF(H262="interest","Interest","?")))))))</f>
        <v>0</v>
      </c>
      <c r="AM262">
        <f>IF(OR(AK262=ReachLabel,AK262=LongshotLabel,AK262=HailMaryLabel),1,0)</f>
        <v>0</v>
      </c>
      <c r="AN262">
        <f>IF(OR(AM262=1,AK262=MatchLabel),1,0)</f>
        <v>0</v>
      </c>
      <c r="AO262">
        <f>IF(OR(AK262=MatchLabel,AK262=SafetyLabel,AK262=SecureLabel,AK262=SureThingLabel),1,0)</f>
        <v>0</v>
      </c>
      <c r="AP262">
        <f>IF(OR(T262="H",T262="B"),IF(ISNUMBER(Y262),ROUND(Y262,2),0),IF(ISNUMBER(X262),ROUND(X262,2),0))</f>
        <v>0</v>
      </c>
      <c r="AQ262">
        <f>IF(AP262&gt;=U262,1,0)</f>
        <v>0</v>
      </c>
      <c r="AR262">
        <f>IF(AP262&gt;=V262,1,0)</f>
        <v>0</v>
      </c>
      <c r="AS262">
        <f>IF(AP262&lt;(U262-0.10),1,0)</f>
        <v>0</v>
      </c>
      <c r="AT262">
        <f>1-AJ262/100</f>
        <v>0</v>
      </c>
      <c r="AU262">
        <f>IF(AN262=1,AT262,1)</f>
        <v>0</v>
      </c>
      <c r="AV262">
        <f>IF(AM262=1,AT262,1)</f>
        <v>0</v>
      </c>
      <c r="AW262">
        <f>IF(AND(AQ262=1,ISNUMBER(AT262)),$AT262,1)</f>
        <v>0</v>
      </c>
      <c r="AX262">
        <f>IF(AND(AR262=1,ISNUMBER(AT262)),$AT262,1)</f>
        <v>0</v>
      </c>
      <c r="AY262">
        <f>IF(ISNUMBER(Y262),INDEX(AllCollegeMoney, MATCH(N262,AllCollegeNCES,0)),0)</f>
        <v>0</v>
      </c>
      <c r="AZ262">
        <f>IF(AND(AQ262=1,ISNUMBER(AT262),AY262=1),$AT262,1)</f>
        <v>0</v>
      </c>
      <c r="BA262">
        <f>IF(AND(AR262=1,ISNUMBER(AT262),AY262=1),$AT262,1)</f>
        <v>0</v>
      </c>
      <c r="BB262">
        <f>IF(ISNUMBER(Y262),INDEX(AllCollegeILPub, MATCH(N262,AllCollegeNCES,0)),0)</f>
        <v>0</v>
      </c>
      <c r="BC262">
        <f>IF(AK262=ReachLabel,AP262,0)</f>
        <v>0</v>
      </c>
      <c r="BD262">
        <f>IF(AK262=MatchLabel,AP262,0)</f>
        <v>0</v>
      </c>
      <c r="BE262">
        <f>IF(AK262=SafetyLabel,AP262,0)</f>
        <v>0</v>
      </c>
      <c r="BF262">
        <f>IF(AK262=SecureLabel,AP262,0)</f>
        <v>0</v>
      </c>
      <c r="BG262">
        <f>IF(AK262=SureThingLabel,AP262,0)</f>
        <v>0</v>
      </c>
      <c r="BH262">
        <f>MAX(BC262:BG262)</f>
        <v>0</v>
      </c>
      <c r="BI262">
        <f>MAX(BD262:BG262)</f>
        <v>0</v>
      </c>
      <c r="BJ262">
        <f>MAX(BE262:BG262)</f>
        <v>0</v>
      </c>
      <c r="BK262">
        <f>IF(AND(AK262=ReachLabel,AY262=1),AP262,0)</f>
        <v>0</v>
      </c>
      <c r="BL262">
        <f>IF(AND(AK262=MatchLabel,AY262=1),AP262,0)</f>
        <v>0</v>
      </c>
      <c r="BM262">
        <f>IF(AND(AK262=SafetyLabel,AY262=1),AP262,0)</f>
        <v>0</v>
      </c>
      <c r="BN262">
        <f>IF(AND(AK262=SecureLabel,AY262=1),AP262,0)</f>
        <v>0</v>
      </c>
      <c r="BO262">
        <f>IF(AND(AK262=SureThingLabel,AY262=1),AP262,0)</f>
        <v>0</v>
      </c>
      <c r="BP262">
        <f>MAX(BK262:BO262)</f>
        <v>0</v>
      </c>
      <c r="BQ262">
        <f>MAX(BL262:BO262)</f>
        <v>0</v>
      </c>
      <c r="BR262">
        <f>MAX(BM262:BO262)</f>
        <v>0</v>
      </c>
      <c r="BS262">
        <f>IF(ISNUMBER(Y262),INDEX(AllCollegeChicago, MATCH(N262,AllCollegeNCES,0))*AY262,0)</f>
        <v>0</v>
      </c>
      <c r="BT262">
        <f>IF(ISNUMBER(Y262),INDEX(AllCollegeMoneyCode, MATCH(N262,AllCollegeNCES,0)),"?")</f>
        <v>0</v>
      </c>
      <c r="BU262">
        <f>IF(OR(BT262="---",BT262="--",BT262="+/--",BT262="+/---"),1,0)</f>
        <v>0</v>
      </c>
      <c r="BV262">
        <f>AY262*AO262*AQ262</f>
        <v>0</v>
      </c>
    </row>
    <row r="263" spans="1:74">
      <c r="A263" t="s">
        <v>86</v>
      </c>
      <c r="B263">
        <v>23036214</v>
      </c>
      <c r="C263" t="s">
        <v>126</v>
      </c>
      <c r="D263" t="s">
        <v>127</v>
      </c>
      <c r="E263" t="s">
        <v>428</v>
      </c>
      <c r="F263" t="s">
        <v>506</v>
      </c>
      <c r="G263" t="s">
        <v>430</v>
      </c>
      <c r="H263" t="s">
        <v>431</v>
      </c>
      <c r="I263" t="s">
        <v>432</v>
      </c>
      <c r="J263" t="s">
        <v>432</v>
      </c>
      <c r="K263">
        <v>0</v>
      </c>
      <c r="L263" t="s">
        <v>428</v>
      </c>
      <c r="M263" t="s">
        <v>428</v>
      </c>
      <c r="N263">
        <v>120254</v>
      </c>
      <c r="O263">
        <f>INDEX(AllCollegeBarrons,MATCH(N263,AllCollegeNCES,0))</f>
        <v>0</v>
      </c>
      <c r="P263">
        <f>INDEX(KidGPAs,MATCH(B263,KidIDs,0))</f>
        <v>0</v>
      </c>
      <c r="Q263">
        <f>INDEX(KidACTs,MATCH(B263,KidIDs,0))</f>
        <v>0</v>
      </c>
      <c r="R263">
        <f>INDEX(Strats,MATCH(B263,KidIDs,0))</f>
        <v>0</v>
      </c>
      <c r="S263">
        <f>INDEX(KidRace,MATCH(B263,KidIDs,0))</f>
        <v>0</v>
      </c>
      <c r="T263">
        <f>IF(OR(S263="M",S263="I"),"H",S263)</f>
        <v>0</v>
      </c>
      <c r="U263">
        <f>INDEX(StudentTargets,MATCH(B263,KidIDs,0))</f>
        <v>0</v>
      </c>
      <c r="V263">
        <f>INDEX(ReachStudentTargets,MATCH(B263,KidIDs,0))</f>
        <v>0</v>
      </c>
      <c r="W263">
        <f>IF(OR(M263="Posse"),1,0)</f>
        <v>0</v>
      </c>
      <c r="X263">
        <f>IF(ISNUMBER(INDEX(AllCollegeGR, MATCH(N263,AllCollegeNCES,0))),ROUND(INDEX(AllCollegeGR, MATCH(N263,AllCollegeNCES,0))+W263*IF(INDEX(AllCollegeGR, MATCH(N263,AllCollegeNCES,0))&gt;0.7,(1-INDEX(AllCollegeGR, MATCH(N263,AllCollegeNCES,0)))/2,0.15),2),INDEX(AllCollegeGR, MATCH(N263,AllCollegeNCES,0)))</f>
        <v>0</v>
      </c>
      <c r="Y263">
        <f>IF(ISNUMBER(INDEX(AllCollegeAAHGR, MATCH(N263,AllCollegeNCES,0))),ROUND(INDEX(AllCollegeAAHGR, MATCH(N263,AllCollegeNCES,0))+W263*IF(INDEX(AllCollegeAAHGR, MATCH(N263,AllCollegeNCES,0))&gt;0.7,(1-INDEX(AllCollegeAAHGR, MATCH(N263,AllCollegeNCES,0)))/2,0.15),2),INDEX(AllCollegeAAHGR, MATCH(N263,AllCollegeNCES,0)))</f>
        <v>0</v>
      </c>
      <c r="Z263">
        <f>IF(OR(T263="H",T263="B"),INDEX(AllCollegeACT25, MATCH(N263,AllCollegeNCES,0)),INDEX(AllCollegeACT50, MATCH(N263,AllCollegeNCES,0)))</f>
        <v>0</v>
      </c>
      <c r="AA263">
        <f>INDEX(CustomWeightsGPA,MATCH(T263&amp;":"&amp;N263,CustomWeightsIndex,0))</f>
        <v>0</v>
      </c>
      <c r="AB263">
        <f>INDEX(CustomWeightsACT,MATCH(T263&amp;":"&amp;N263,CustomWeightsIndex,0))</f>
        <v>0</v>
      </c>
      <c r="AC263">
        <f>INDEX(CustomWeightsIntercept,MATCH(T263&amp;":"&amp;N263,CustomWeightsIndex,0))</f>
        <v>0</v>
      </c>
      <c r="AD263">
        <f>AA263*P263+AB263*Q263+AC263</f>
        <v>0</v>
      </c>
      <c r="AE263">
        <f>INDEX(CoefficientsGPA,MATCH(T263&amp;":"&amp;O263,CoefficientsIndex,0))</f>
        <v>0</v>
      </c>
      <c r="AF263">
        <f>INDEX(CoefficientsACT,MATCH(T263&amp;":"&amp;O263,CoefficientsIndex,0))</f>
        <v>0</v>
      </c>
      <c r="AG263">
        <f>INDEX(CoefficientsIntercept,MATCH(T263&amp;":"&amp;O263,CoefficientsIndex,0))</f>
        <v>0</v>
      </c>
      <c r="AH263">
        <f>AE263*P263+(Q263-Z263)*AF263+AG263</f>
        <v>0</v>
      </c>
      <c r="AI263">
        <f>IF(ISNUMBER(AD263),AD263,AH263)</f>
        <v>0</v>
      </c>
      <c r="AJ263">
        <f>IF(ISNUMBER(AI263),IF(ISNUMBER(AE263),IF(AND(AE263=1,AF263=1,AG263=1),100,ROUND(100*EXP(AI263)/(1+EXP(AI263)),2)),ROUND(100*EXP(AI263)/(1+EXP(AI263)),2)),IF(ISTEXT(O263),IF(LEFT(O263,1)="2",100,"N/A"),"N/A"))</f>
        <v>0</v>
      </c>
      <c r="AK263">
        <f>IF(ISNUMBER(AJ263),IF(AJ263&gt;=99,IF(OR(R263=10,R263=11),MatchLabel,SureThingLabel),IF(AJ263&gt;=95,SecureLabel,IF(AJ263&gt;=80,SafetyLabel,IF(AJ263&gt;=50,MatchLabel,IF(AJ263&gt;=20,ReachLabel,IF(AJ263&gt;=10,LongshotLabel,HailMaryLabel)))))),"Other")</f>
        <v>0</v>
      </c>
      <c r="AL263">
        <f>IF(OR(I263="accepted",I263="cond. accept",I263="summer admit"),IF(J263="yes","CHOICE!","Accepted!"),IF(I263="denied","Denied",IF(K263=1,"Waitlist",IF(L263=1,"Deferred",IF(G263="pending","Pending",IF(OR(G263="initial materials submitted",G263="mid-year submitted",G263="final submitted"),"Submitted",IF(H263="interest","Interest","?")))))))</f>
        <v>0</v>
      </c>
      <c r="AM263">
        <f>IF(OR(AK263=ReachLabel,AK263=LongshotLabel,AK263=HailMaryLabel),1,0)</f>
        <v>0</v>
      </c>
      <c r="AN263">
        <f>IF(OR(AM263=1,AK263=MatchLabel),1,0)</f>
        <v>0</v>
      </c>
      <c r="AO263">
        <f>IF(OR(AK263=MatchLabel,AK263=SafetyLabel,AK263=SecureLabel,AK263=SureThingLabel),1,0)</f>
        <v>0</v>
      </c>
      <c r="AP263">
        <f>IF(OR(T263="H",T263="B"),IF(ISNUMBER(Y263),ROUND(Y263,2),0),IF(ISNUMBER(X263),ROUND(X263,2),0))</f>
        <v>0</v>
      </c>
      <c r="AQ263">
        <f>IF(AP263&gt;=U263,1,0)</f>
        <v>0</v>
      </c>
      <c r="AR263">
        <f>IF(AP263&gt;=V263,1,0)</f>
        <v>0</v>
      </c>
      <c r="AS263">
        <f>IF(AP263&lt;(U263-0.10),1,0)</f>
        <v>0</v>
      </c>
      <c r="AT263">
        <f>1-AJ263/100</f>
        <v>0</v>
      </c>
      <c r="AU263">
        <f>IF(AN263=1,AT263,1)</f>
        <v>0</v>
      </c>
      <c r="AV263">
        <f>IF(AM263=1,AT263,1)</f>
        <v>0</v>
      </c>
      <c r="AW263">
        <f>IF(AND(AQ263=1,ISNUMBER(AT263)),$AT263,1)</f>
        <v>0</v>
      </c>
      <c r="AX263">
        <f>IF(AND(AR263=1,ISNUMBER(AT263)),$AT263,1)</f>
        <v>0</v>
      </c>
      <c r="AY263">
        <f>IF(ISNUMBER(Y263),INDEX(AllCollegeMoney, MATCH(N263,AllCollegeNCES,0)),0)</f>
        <v>0</v>
      </c>
      <c r="AZ263">
        <f>IF(AND(AQ263=1,ISNUMBER(AT263),AY263=1),$AT263,1)</f>
        <v>0</v>
      </c>
      <c r="BA263">
        <f>IF(AND(AR263=1,ISNUMBER(AT263),AY263=1),$AT263,1)</f>
        <v>0</v>
      </c>
      <c r="BB263">
        <f>IF(ISNUMBER(Y263),INDEX(AllCollegeILPub, MATCH(N263,AllCollegeNCES,0)),0)</f>
        <v>0</v>
      </c>
      <c r="BC263">
        <f>IF(AK263=ReachLabel,AP263,0)</f>
        <v>0</v>
      </c>
      <c r="BD263">
        <f>IF(AK263=MatchLabel,AP263,0)</f>
        <v>0</v>
      </c>
      <c r="BE263">
        <f>IF(AK263=SafetyLabel,AP263,0)</f>
        <v>0</v>
      </c>
      <c r="BF263">
        <f>IF(AK263=SecureLabel,AP263,0)</f>
        <v>0</v>
      </c>
      <c r="BG263">
        <f>IF(AK263=SureThingLabel,AP263,0)</f>
        <v>0</v>
      </c>
      <c r="BH263">
        <f>MAX(BC263:BG263)</f>
        <v>0</v>
      </c>
      <c r="BI263">
        <f>MAX(BD263:BG263)</f>
        <v>0</v>
      </c>
      <c r="BJ263">
        <f>MAX(BE263:BG263)</f>
        <v>0</v>
      </c>
      <c r="BK263">
        <f>IF(AND(AK263=ReachLabel,AY263=1),AP263,0)</f>
        <v>0</v>
      </c>
      <c r="BL263">
        <f>IF(AND(AK263=MatchLabel,AY263=1),AP263,0)</f>
        <v>0</v>
      </c>
      <c r="BM263">
        <f>IF(AND(AK263=SafetyLabel,AY263=1),AP263,0)</f>
        <v>0</v>
      </c>
      <c r="BN263">
        <f>IF(AND(AK263=SecureLabel,AY263=1),AP263,0)</f>
        <v>0</v>
      </c>
      <c r="BO263">
        <f>IF(AND(AK263=SureThingLabel,AY263=1),AP263,0)</f>
        <v>0</v>
      </c>
      <c r="BP263">
        <f>MAX(BK263:BO263)</f>
        <v>0</v>
      </c>
      <c r="BQ263">
        <f>MAX(BL263:BO263)</f>
        <v>0</v>
      </c>
      <c r="BR263">
        <f>MAX(BM263:BO263)</f>
        <v>0</v>
      </c>
      <c r="BS263">
        <f>IF(ISNUMBER(Y263),INDEX(AllCollegeChicago, MATCH(N263,AllCollegeNCES,0))*AY263,0)</f>
        <v>0</v>
      </c>
      <c r="BT263">
        <f>IF(ISNUMBER(Y263),INDEX(AllCollegeMoneyCode, MATCH(N263,AllCollegeNCES,0)),"?")</f>
        <v>0</v>
      </c>
      <c r="BU263">
        <f>IF(OR(BT263="---",BT263="--",BT263="+/--",BT263="+/---"),1,0)</f>
        <v>0</v>
      </c>
      <c r="BV263">
        <f>AY263*AO263*AQ263</f>
        <v>0</v>
      </c>
    </row>
    <row r="264" spans="1:74">
      <c r="A264" t="s">
        <v>86</v>
      </c>
      <c r="B264">
        <v>23036214</v>
      </c>
      <c r="C264" t="s">
        <v>126</v>
      </c>
      <c r="D264" t="s">
        <v>127</v>
      </c>
      <c r="E264" t="s">
        <v>428</v>
      </c>
      <c r="F264" t="s">
        <v>466</v>
      </c>
      <c r="G264" t="s">
        <v>430</v>
      </c>
      <c r="H264" t="s">
        <v>431</v>
      </c>
      <c r="I264" t="s">
        <v>432</v>
      </c>
      <c r="J264" t="s">
        <v>432</v>
      </c>
      <c r="K264">
        <v>0</v>
      </c>
      <c r="L264" t="s">
        <v>428</v>
      </c>
      <c r="M264" t="s">
        <v>428</v>
      </c>
      <c r="N264">
        <v>213385</v>
      </c>
      <c r="O264">
        <f>INDEX(AllCollegeBarrons,MATCH(N264,AllCollegeNCES,0))</f>
        <v>0</v>
      </c>
      <c r="P264">
        <f>INDEX(KidGPAs,MATCH(B264,KidIDs,0))</f>
        <v>0</v>
      </c>
      <c r="Q264">
        <f>INDEX(KidACTs,MATCH(B264,KidIDs,0))</f>
        <v>0</v>
      </c>
      <c r="R264">
        <f>INDEX(Strats,MATCH(B264,KidIDs,0))</f>
        <v>0</v>
      </c>
      <c r="S264">
        <f>INDEX(KidRace,MATCH(B264,KidIDs,0))</f>
        <v>0</v>
      </c>
      <c r="T264">
        <f>IF(OR(S264="M",S264="I"),"H",S264)</f>
        <v>0</v>
      </c>
      <c r="U264">
        <f>INDEX(StudentTargets,MATCH(B264,KidIDs,0))</f>
        <v>0</v>
      </c>
      <c r="V264">
        <f>INDEX(ReachStudentTargets,MATCH(B264,KidIDs,0))</f>
        <v>0</v>
      </c>
      <c r="W264">
        <f>IF(OR(M264="Posse"),1,0)</f>
        <v>0</v>
      </c>
      <c r="X264">
        <f>IF(ISNUMBER(INDEX(AllCollegeGR, MATCH(N264,AllCollegeNCES,0))),ROUND(INDEX(AllCollegeGR, MATCH(N264,AllCollegeNCES,0))+W264*IF(INDEX(AllCollegeGR, MATCH(N264,AllCollegeNCES,0))&gt;0.7,(1-INDEX(AllCollegeGR, MATCH(N264,AllCollegeNCES,0)))/2,0.15),2),INDEX(AllCollegeGR, MATCH(N264,AllCollegeNCES,0)))</f>
        <v>0</v>
      </c>
      <c r="Y264">
        <f>IF(ISNUMBER(INDEX(AllCollegeAAHGR, MATCH(N264,AllCollegeNCES,0))),ROUND(INDEX(AllCollegeAAHGR, MATCH(N264,AllCollegeNCES,0))+W264*IF(INDEX(AllCollegeAAHGR, MATCH(N264,AllCollegeNCES,0))&gt;0.7,(1-INDEX(AllCollegeAAHGR, MATCH(N264,AllCollegeNCES,0)))/2,0.15),2),INDEX(AllCollegeAAHGR, MATCH(N264,AllCollegeNCES,0)))</f>
        <v>0</v>
      </c>
      <c r="Z264">
        <f>IF(OR(T264="H",T264="B"),INDEX(AllCollegeACT25, MATCH(N264,AllCollegeNCES,0)),INDEX(AllCollegeACT50, MATCH(N264,AllCollegeNCES,0)))</f>
        <v>0</v>
      </c>
      <c r="AA264">
        <f>INDEX(CustomWeightsGPA,MATCH(T264&amp;":"&amp;N264,CustomWeightsIndex,0))</f>
        <v>0</v>
      </c>
      <c r="AB264">
        <f>INDEX(CustomWeightsACT,MATCH(T264&amp;":"&amp;N264,CustomWeightsIndex,0))</f>
        <v>0</v>
      </c>
      <c r="AC264">
        <f>INDEX(CustomWeightsIntercept,MATCH(T264&amp;":"&amp;N264,CustomWeightsIndex,0))</f>
        <v>0</v>
      </c>
      <c r="AD264">
        <f>AA264*P264+AB264*Q264+AC264</f>
        <v>0</v>
      </c>
      <c r="AE264">
        <f>INDEX(CoefficientsGPA,MATCH(T264&amp;":"&amp;O264,CoefficientsIndex,0))</f>
        <v>0</v>
      </c>
      <c r="AF264">
        <f>INDEX(CoefficientsACT,MATCH(T264&amp;":"&amp;O264,CoefficientsIndex,0))</f>
        <v>0</v>
      </c>
      <c r="AG264">
        <f>INDEX(CoefficientsIntercept,MATCH(T264&amp;":"&amp;O264,CoefficientsIndex,0))</f>
        <v>0</v>
      </c>
      <c r="AH264">
        <f>AE264*P264+(Q264-Z264)*AF264+AG264</f>
        <v>0</v>
      </c>
      <c r="AI264">
        <f>IF(ISNUMBER(AD264),AD264,AH264)</f>
        <v>0</v>
      </c>
      <c r="AJ264">
        <f>IF(ISNUMBER(AI264),IF(ISNUMBER(AE264),IF(AND(AE264=1,AF264=1,AG264=1),100,ROUND(100*EXP(AI264)/(1+EXP(AI264)),2)),ROUND(100*EXP(AI264)/(1+EXP(AI264)),2)),IF(ISTEXT(O264),IF(LEFT(O264,1)="2",100,"N/A"),"N/A"))</f>
        <v>0</v>
      </c>
      <c r="AK264">
        <f>IF(ISNUMBER(AJ264),IF(AJ264&gt;=99,IF(OR(R264=10,R264=11),MatchLabel,SureThingLabel),IF(AJ264&gt;=95,SecureLabel,IF(AJ264&gt;=80,SafetyLabel,IF(AJ264&gt;=50,MatchLabel,IF(AJ264&gt;=20,ReachLabel,IF(AJ264&gt;=10,LongshotLabel,HailMaryLabel)))))),"Other")</f>
        <v>0</v>
      </c>
      <c r="AL264">
        <f>IF(OR(I264="accepted",I264="cond. accept",I264="summer admit"),IF(J264="yes","CHOICE!","Accepted!"),IF(I264="denied","Denied",IF(K264=1,"Waitlist",IF(L264=1,"Deferred",IF(G264="pending","Pending",IF(OR(G264="initial materials submitted",G264="mid-year submitted",G264="final submitted"),"Submitted",IF(H264="interest","Interest","?")))))))</f>
        <v>0</v>
      </c>
      <c r="AM264">
        <f>IF(OR(AK264=ReachLabel,AK264=LongshotLabel,AK264=HailMaryLabel),1,0)</f>
        <v>0</v>
      </c>
      <c r="AN264">
        <f>IF(OR(AM264=1,AK264=MatchLabel),1,0)</f>
        <v>0</v>
      </c>
      <c r="AO264">
        <f>IF(OR(AK264=MatchLabel,AK264=SafetyLabel,AK264=SecureLabel,AK264=SureThingLabel),1,0)</f>
        <v>0</v>
      </c>
      <c r="AP264">
        <f>IF(OR(T264="H",T264="B"),IF(ISNUMBER(Y264),ROUND(Y264,2),0),IF(ISNUMBER(X264),ROUND(X264,2),0))</f>
        <v>0</v>
      </c>
      <c r="AQ264">
        <f>IF(AP264&gt;=U264,1,0)</f>
        <v>0</v>
      </c>
      <c r="AR264">
        <f>IF(AP264&gt;=V264,1,0)</f>
        <v>0</v>
      </c>
      <c r="AS264">
        <f>IF(AP264&lt;(U264-0.10),1,0)</f>
        <v>0</v>
      </c>
      <c r="AT264">
        <f>1-AJ264/100</f>
        <v>0</v>
      </c>
      <c r="AU264">
        <f>IF(AN264=1,AT264,1)</f>
        <v>0</v>
      </c>
      <c r="AV264">
        <f>IF(AM264=1,AT264,1)</f>
        <v>0</v>
      </c>
      <c r="AW264">
        <f>IF(AND(AQ264=1,ISNUMBER(AT264)),$AT264,1)</f>
        <v>0</v>
      </c>
      <c r="AX264">
        <f>IF(AND(AR264=1,ISNUMBER(AT264)),$AT264,1)</f>
        <v>0</v>
      </c>
      <c r="AY264">
        <f>IF(ISNUMBER(Y264),INDEX(AllCollegeMoney, MATCH(N264,AllCollegeNCES,0)),0)</f>
        <v>0</v>
      </c>
      <c r="AZ264">
        <f>IF(AND(AQ264=1,ISNUMBER(AT264),AY264=1),$AT264,1)</f>
        <v>0</v>
      </c>
      <c r="BA264">
        <f>IF(AND(AR264=1,ISNUMBER(AT264),AY264=1),$AT264,1)</f>
        <v>0</v>
      </c>
      <c r="BB264">
        <f>IF(ISNUMBER(Y264),INDEX(AllCollegeILPub, MATCH(N264,AllCollegeNCES,0)),0)</f>
        <v>0</v>
      </c>
      <c r="BC264">
        <f>IF(AK264=ReachLabel,AP264,0)</f>
        <v>0</v>
      </c>
      <c r="BD264">
        <f>IF(AK264=MatchLabel,AP264,0)</f>
        <v>0</v>
      </c>
      <c r="BE264">
        <f>IF(AK264=SafetyLabel,AP264,0)</f>
        <v>0</v>
      </c>
      <c r="BF264">
        <f>IF(AK264=SecureLabel,AP264,0)</f>
        <v>0</v>
      </c>
      <c r="BG264">
        <f>IF(AK264=SureThingLabel,AP264,0)</f>
        <v>0</v>
      </c>
      <c r="BH264">
        <f>MAX(BC264:BG264)</f>
        <v>0</v>
      </c>
      <c r="BI264">
        <f>MAX(BD264:BG264)</f>
        <v>0</v>
      </c>
      <c r="BJ264">
        <f>MAX(BE264:BG264)</f>
        <v>0</v>
      </c>
      <c r="BK264">
        <f>IF(AND(AK264=ReachLabel,AY264=1),AP264,0)</f>
        <v>0</v>
      </c>
      <c r="BL264">
        <f>IF(AND(AK264=MatchLabel,AY264=1),AP264,0)</f>
        <v>0</v>
      </c>
      <c r="BM264">
        <f>IF(AND(AK264=SafetyLabel,AY264=1),AP264,0)</f>
        <v>0</v>
      </c>
      <c r="BN264">
        <f>IF(AND(AK264=SecureLabel,AY264=1),AP264,0)</f>
        <v>0</v>
      </c>
      <c r="BO264">
        <f>IF(AND(AK264=SureThingLabel,AY264=1),AP264,0)</f>
        <v>0</v>
      </c>
      <c r="BP264">
        <f>MAX(BK264:BO264)</f>
        <v>0</v>
      </c>
      <c r="BQ264">
        <f>MAX(BL264:BO264)</f>
        <v>0</v>
      </c>
      <c r="BR264">
        <f>MAX(BM264:BO264)</f>
        <v>0</v>
      </c>
      <c r="BS264">
        <f>IF(ISNUMBER(Y264),INDEX(AllCollegeChicago, MATCH(N264,AllCollegeNCES,0))*AY264,0)</f>
        <v>0</v>
      </c>
      <c r="BT264">
        <f>IF(ISNUMBER(Y264),INDEX(AllCollegeMoneyCode, MATCH(N264,AllCollegeNCES,0)),"?")</f>
        <v>0</v>
      </c>
      <c r="BU264">
        <f>IF(OR(BT264="---",BT264="--",BT264="+/--",BT264="+/---"),1,0)</f>
        <v>0</v>
      </c>
      <c r="BV264">
        <f>AY264*AO264*AQ264</f>
        <v>0</v>
      </c>
    </row>
    <row r="265" spans="1:74">
      <c r="A265" t="s">
        <v>86</v>
      </c>
      <c r="B265">
        <v>23036214</v>
      </c>
      <c r="C265" t="s">
        <v>126</v>
      </c>
      <c r="D265" t="s">
        <v>127</v>
      </c>
      <c r="E265" t="s">
        <v>428</v>
      </c>
      <c r="F265" t="s">
        <v>496</v>
      </c>
      <c r="G265" t="s">
        <v>463</v>
      </c>
      <c r="H265" t="s">
        <v>431</v>
      </c>
      <c r="I265" t="s">
        <v>432</v>
      </c>
      <c r="J265" t="s">
        <v>432</v>
      </c>
      <c r="K265">
        <v>0</v>
      </c>
      <c r="L265" t="s">
        <v>428</v>
      </c>
      <c r="M265" t="s">
        <v>428</v>
      </c>
      <c r="N265">
        <v>150400</v>
      </c>
      <c r="O265">
        <f>INDEX(AllCollegeBarrons,MATCH(N265,AllCollegeNCES,0))</f>
        <v>0</v>
      </c>
      <c r="P265">
        <f>INDEX(KidGPAs,MATCH(B265,KidIDs,0))</f>
        <v>0</v>
      </c>
      <c r="Q265">
        <f>INDEX(KidACTs,MATCH(B265,KidIDs,0))</f>
        <v>0</v>
      </c>
      <c r="R265">
        <f>INDEX(Strats,MATCH(B265,KidIDs,0))</f>
        <v>0</v>
      </c>
      <c r="S265">
        <f>INDEX(KidRace,MATCH(B265,KidIDs,0))</f>
        <v>0</v>
      </c>
      <c r="T265">
        <f>IF(OR(S265="M",S265="I"),"H",S265)</f>
        <v>0</v>
      </c>
      <c r="U265">
        <f>INDEX(StudentTargets,MATCH(B265,KidIDs,0))</f>
        <v>0</v>
      </c>
      <c r="V265">
        <f>INDEX(ReachStudentTargets,MATCH(B265,KidIDs,0))</f>
        <v>0</v>
      </c>
      <c r="W265">
        <f>IF(OR(M265="Posse"),1,0)</f>
        <v>0</v>
      </c>
      <c r="X265">
        <f>IF(ISNUMBER(INDEX(AllCollegeGR, MATCH(N265,AllCollegeNCES,0))),ROUND(INDEX(AllCollegeGR, MATCH(N265,AllCollegeNCES,0))+W265*IF(INDEX(AllCollegeGR, MATCH(N265,AllCollegeNCES,0))&gt;0.7,(1-INDEX(AllCollegeGR, MATCH(N265,AllCollegeNCES,0)))/2,0.15),2),INDEX(AllCollegeGR, MATCH(N265,AllCollegeNCES,0)))</f>
        <v>0</v>
      </c>
      <c r="Y265">
        <f>IF(ISNUMBER(INDEX(AllCollegeAAHGR, MATCH(N265,AllCollegeNCES,0))),ROUND(INDEX(AllCollegeAAHGR, MATCH(N265,AllCollegeNCES,0))+W265*IF(INDEX(AllCollegeAAHGR, MATCH(N265,AllCollegeNCES,0))&gt;0.7,(1-INDEX(AllCollegeAAHGR, MATCH(N265,AllCollegeNCES,0)))/2,0.15),2),INDEX(AllCollegeAAHGR, MATCH(N265,AllCollegeNCES,0)))</f>
        <v>0</v>
      </c>
      <c r="Z265">
        <f>IF(OR(T265="H",T265="B"),INDEX(AllCollegeACT25, MATCH(N265,AllCollegeNCES,0)),INDEX(AllCollegeACT50, MATCH(N265,AllCollegeNCES,0)))</f>
        <v>0</v>
      </c>
      <c r="AA265">
        <f>INDEX(CustomWeightsGPA,MATCH(T265&amp;":"&amp;N265,CustomWeightsIndex,0))</f>
        <v>0</v>
      </c>
      <c r="AB265">
        <f>INDEX(CustomWeightsACT,MATCH(T265&amp;":"&amp;N265,CustomWeightsIndex,0))</f>
        <v>0</v>
      </c>
      <c r="AC265">
        <f>INDEX(CustomWeightsIntercept,MATCH(T265&amp;":"&amp;N265,CustomWeightsIndex,0))</f>
        <v>0</v>
      </c>
      <c r="AD265">
        <f>AA265*P265+AB265*Q265+AC265</f>
        <v>0</v>
      </c>
      <c r="AE265">
        <f>INDEX(CoefficientsGPA,MATCH(T265&amp;":"&amp;O265,CoefficientsIndex,0))</f>
        <v>0</v>
      </c>
      <c r="AF265">
        <f>INDEX(CoefficientsACT,MATCH(T265&amp;":"&amp;O265,CoefficientsIndex,0))</f>
        <v>0</v>
      </c>
      <c r="AG265">
        <f>INDEX(CoefficientsIntercept,MATCH(T265&amp;":"&amp;O265,CoefficientsIndex,0))</f>
        <v>0</v>
      </c>
      <c r="AH265">
        <f>AE265*P265+(Q265-Z265)*AF265+AG265</f>
        <v>0</v>
      </c>
      <c r="AI265">
        <f>IF(ISNUMBER(AD265),AD265,AH265)</f>
        <v>0</v>
      </c>
      <c r="AJ265">
        <f>IF(ISNUMBER(AI265),IF(ISNUMBER(AE265),IF(AND(AE265=1,AF265=1,AG265=1),100,ROUND(100*EXP(AI265)/(1+EXP(AI265)),2)),ROUND(100*EXP(AI265)/(1+EXP(AI265)),2)),IF(ISTEXT(O265),IF(LEFT(O265,1)="2",100,"N/A"),"N/A"))</f>
        <v>0</v>
      </c>
      <c r="AK265">
        <f>IF(ISNUMBER(AJ265),IF(AJ265&gt;=99,IF(OR(R265=10,R265=11),MatchLabel,SureThingLabel),IF(AJ265&gt;=95,SecureLabel,IF(AJ265&gt;=80,SafetyLabel,IF(AJ265&gt;=50,MatchLabel,IF(AJ265&gt;=20,ReachLabel,IF(AJ265&gt;=10,LongshotLabel,HailMaryLabel)))))),"Other")</f>
        <v>0</v>
      </c>
      <c r="AL265">
        <f>IF(OR(I265="accepted",I265="cond. accept",I265="summer admit"),IF(J265="yes","CHOICE!","Accepted!"),IF(I265="denied","Denied",IF(K265=1,"Waitlist",IF(L265=1,"Deferred",IF(G265="pending","Pending",IF(OR(G265="initial materials submitted",G265="mid-year submitted",G265="final submitted"),"Submitted",IF(H265="interest","Interest","?")))))))</f>
        <v>0</v>
      </c>
      <c r="AM265">
        <f>IF(OR(AK265=ReachLabel,AK265=LongshotLabel,AK265=HailMaryLabel),1,0)</f>
        <v>0</v>
      </c>
      <c r="AN265">
        <f>IF(OR(AM265=1,AK265=MatchLabel),1,0)</f>
        <v>0</v>
      </c>
      <c r="AO265">
        <f>IF(OR(AK265=MatchLabel,AK265=SafetyLabel,AK265=SecureLabel,AK265=SureThingLabel),1,0)</f>
        <v>0</v>
      </c>
      <c r="AP265">
        <f>IF(OR(T265="H",T265="B"),IF(ISNUMBER(Y265),ROUND(Y265,2),0),IF(ISNUMBER(X265),ROUND(X265,2),0))</f>
        <v>0</v>
      </c>
      <c r="AQ265">
        <f>IF(AP265&gt;=U265,1,0)</f>
        <v>0</v>
      </c>
      <c r="AR265">
        <f>IF(AP265&gt;=V265,1,0)</f>
        <v>0</v>
      </c>
      <c r="AS265">
        <f>IF(AP265&lt;(U265-0.10),1,0)</f>
        <v>0</v>
      </c>
      <c r="AT265">
        <f>1-AJ265/100</f>
        <v>0</v>
      </c>
      <c r="AU265">
        <f>IF(AN265=1,AT265,1)</f>
        <v>0</v>
      </c>
      <c r="AV265">
        <f>IF(AM265=1,AT265,1)</f>
        <v>0</v>
      </c>
      <c r="AW265">
        <f>IF(AND(AQ265=1,ISNUMBER(AT265)),$AT265,1)</f>
        <v>0</v>
      </c>
      <c r="AX265">
        <f>IF(AND(AR265=1,ISNUMBER(AT265)),$AT265,1)</f>
        <v>0</v>
      </c>
      <c r="AY265">
        <f>IF(ISNUMBER(Y265),INDEX(AllCollegeMoney, MATCH(N265,AllCollegeNCES,0)),0)</f>
        <v>0</v>
      </c>
      <c r="AZ265">
        <f>IF(AND(AQ265=1,ISNUMBER(AT265),AY265=1),$AT265,1)</f>
        <v>0</v>
      </c>
      <c r="BA265">
        <f>IF(AND(AR265=1,ISNUMBER(AT265),AY265=1),$AT265,1)</f>
        <v>0</v>
      </c>
      <c r="BB265">
        <f>IF(ISNUMBER(Y265),INDEX(AllCollegeILPub, MATCH(N265,AllCollegeNCES,0)),0)</f>
        <v>0</v>
      </c>
      <c r="BC265">
        <f>IF(AK265=ReachLabel,AP265,0)</f>
        <v>0</v>
      </c>
      <c r="BD265">
        <f>IF(AK265=MatchLabel,AP265,0)</f>
        <v>0</v>
      </c>
      <c r="BE265">
        <f>IF(AK265=SafetyLabel,AP265,0)</f>
        <v>0</v>
      </c>
      <c r="BF265">
        <f>IF(AK265=SecureLabel,AP265,0)</f>
        <v>0</v>
      </c>
      <c r="BG265">
        <f>IF(AK265=SureThingLabel,AP265,0)</f>
        <v>0</v>
      </c>
      <c r="BH265">
        <f>MAX(BC265:BG265)</f>
        <v>0</v>
      </c>
      <c r="BI265">
        <f>MAX(BD265:BG265)</f>
        <v>0</v>
      </c>
      <c r="BJ265">
        <f>MAX(BE265:BG265)</f>
        <v>0</v>
      </c>
      <c r="BK265">
        <f>IF(AND(AK265=ReachLabel,AY265=1),AP265,0)</f>
        <v>0</v>
      </c>
      <c r="BL265">
        <f>IF(AND(AK265=MatchLabel,AY265=1),AP265,0)</f>
        <v>0</v>
      </c>
      <c r="BM265">
        <f>IF(AND(AK265=SafetyLabel,AY265=1),AP265,0)</f>
        <v>0</v>
      </c>
      <c r="BN265">
        <f>IF(AND(AK265=SecureLabel,AY265=1),AP265,0)</f>
        <v>0</v>
      </c>
      <c r="BO265">
        <f>IF(AND(AK265=SureThingLabel,AY265=1),AP265,0)</f>
        <v>0</v>
      </c>
      <c r="BP265">
        <f>MAX(BK265:BO265)</f>
        <v>0</v>
      </c>
      <c r="BQ265">
        <f>MAX(BL265:BO265)</f>
        <v>0</v>
      </c>
      <c r="BR265">
        <f>MAX(BM265:BO265)</f>
        <v>0</v>
      </c>
      <c r="BS265">
        <f>IF(ISNUMBER(Y265),INDEX(AllCollegeChicago, MATCH(N265,AllCollegeNCES,0))*AY265,0)</f>
        <v>0</v>
      </c>
      <c r="BT265">
        <f>IF(ISNUMBER(Y265),INDEX(AllCollegeMoneyCode, MATCH(N265,AllCollegeNCES,0)),"?")</f>
        <v>0</v>
      </c>
      <c r="BU265">
        <f>IF(OR(BT265="---",BT265="--",BT265="+/--",BT265="+/---"),1,0)</f>
        <v>0</v>
      </c>
      <c r="BV265">
        <f>AY265*AO265*AQ265</f>
        <v>0</v>
      </c>
    </row>
    <row r="266" spans="1:74">
      <c r="A266" t="s">
        <v>86</v>
      </c>
      <c r="B266">
        <v>23036214</v>
      </c>
      <c r="C266" t="s">
        <v>126</v>
      </c>
      <c r="D266" t="s">
        <v>127</v>
      </c>
      <c r="E266" t="s">
        <v>428</v>
      </c>
      <c r="F266" t="s">
        <v>456</v>
      </c>
      <c r="G266" t="s">
        <v>463</v>
      </c>
      <c r="H266" t="s">
        <v>431</v>
      </c>
      <c r="I266" t="s">
        <v>432</v>
      </c>
      <c r="J266" t="s">
        <v>432</v>
      </c>
      <c r="K266">
        <v>0</v>
      </c>
      <c r="L266" t="s">
        <v>428</v>
      </c>
      <c r="M266" t="s">
        <v>428</v>
      </c>
      <c r="N266">
        <v>213668</v>
      </c>
      <c r="O266">
        <f>INDEX(AllCollegeBarrons,MATCH(N266,AllCollegeNCES,0))</f>
        <v>0</v>
      </c>
      <c r="P266">
        <f>INDEX(KidGPAs,MATCH(B266,KidIDs,0))</f>
        <v>0</v>
      </c>
      <c r="Q266">
        <f>INDEX(KidACTs,MATCH(B266,KidIDs,0))</f>
        <v>0</v>
      </c>
      <c r="R266">
        <f>INDEX(Strats,MATCH(B266,KidIDs,0))</f>
        <v>0</v>
      </c>
      <c r="S266">
        <f>INDEX(KidRace,MATCH(B266,KidIDs,0))</f>
        <v>0</v>
      </c>
      <c r="T266">
        <f>IF(OR(S266="M",S266="I"),"H",S266)</f>
        <v>0</v>
      </c>
      <c r="U266">
        <f>INDEX(StudentTargets,MATCH(B266,KidIDs,0))</f>
        <v>0</v>
      </c>
      <c r="V266">
        <f>INDEX(ReachStudentTargets,MATCH(B266,KidIDs,0))</f>
        <v>0</v>
      </c>
      <c r="W266">
        <f>IF(OR(M266="Posse"),1,0)</f>
        <v>0</v>
      </c>
      <c r="X266">
        <f>IF(ISNUMBER(INDEX(AllCollegeGR, MATCH(N266,AllCollegeNCES,0))),ROUND(INDEX(AllCollegeGR, MATCH(N266,AllCollegeNCES,0))+W266*IF(INDEX(AllCollegeGR, MATCH(N266,AllCollegeNCES,0))&gt;0.7,(1-INDEX(AllCollegeGR, MATCH(N266,AllCollegeNCES,0)))/2,0.15),2),INDEX(AllCollegeGR, MATCH(N266,AllCollegeNCES,0)))</f>
        <v>0</v>
      </c>
      <c r="Y266">
        <f>IF(ISNUMBER(INDEX(AllCollegeAAHGR, MATCH(N266,AllCollegeNCES,0))),ROUND(INDEX(AllCollegeAAHGR, MATCH(N266,AllCollegeNCES,0))+W266*IF(INDEX(AllCollegeAAHGR, MATCH(N266,AllCollegeNCES,0))&gt;0.7,(1-INDEX(AllCollegeAAHGR, MATCH(N266,AllCollegeNCES,0)))/2,0.15),2),INDEX(AllCollegeAAHGR, MATCH(N266,AllCollegeNCES,0)))</f>
        <v>0</v>
      </c>
      <c r="Z266">
        <f>IF(OR(T266="H",T266="B"),INDEX(AllCollegeACT25, MATCH(N266,AllCollegeNCES,0)),INDEX(AllCollegeACT50, MATCH(N266,AllCollegeNCES,0)))</f>
        <v>0</v>
      </c>
      <c r="AA266">
        <f>INDEX(CustomWeightsGPA,MATCH(T266&amp;":"&amp;N266,CustomWeightsIndex,0))</f>
        <v>0</v>
      </c>
      <c r="AB266">
        <f>INDEX(CustomWeightsACT,MATCH(T266&amp;":"&amp;N266,CustomWeightsIndex,0))</f>
        <v>0</v>
      </c>
      <c r="AC266">
        <f>INDEX(CustomWeightsIntercept,MATCH(T266&amp;":"&amp;N266,CustomWeightsIndex,0))</f>
        <v>0</v>
      </c>
      <c r="AD266">
        <f>AA266*P266+AB266*Q266+AC266</f>
        <v>0</v>
      </c>
      <c r="AE266">
        <f>INDEX(CoefficientsGPA,MATCH(T266&amp;":"&amp;O266,CoefficientsIndex,0))</f>
        <v>0</v>
      </c>
      <c r="AF266">
        <f>INDEX(CoefficientsACT,MATCH(T266&amp;":"&amp;O266,CoefficientsIndex,0))</f>
        <v>0</v>
      </c>
      <c r="AG266">
        <f>INDEX(CoefficientsIntercept,MATCH(T266&amp;":"&amp;O266,CoefficientsIndex,0))</f>
        <v>0</v>
      </c>
      <c r="AH266">
        <f>AE266*P266+(Q266-Z266)*AF266+AG266</f>
        <v>0</v>
      </c>
      <c r="AI266">
        <f>IF(ISNUMBER(AD266),AD266,AH266)</f>
        <v>0</v>
      </c>
      <c r="AJ266">
        <f>IF(ISNUMBER(AI266),IF(ISNUMBER(AE266),IF(AND(AE266=1,AF266=1,AG266=1),100,ROUND(100*EXP(AI266)/(1+EXP(AI266)),2)),ROUND(100*EXP(AI266)/(1+EXP(AI266)),2)),IF(ISTEXT(O266),IF(LEFT(O266,1)="2",100,"N/A"),"N/A"))</f>
        <v>0</v>
      </c>
      <c r="AK266">
        <f>IF(ISNUMBER(AJ266),IF(AJ266&gt;=99,IF(OR(R266=10,R266=11),MatchLabel,SureThingLabel),IF(AJ266&gt;=95,SecureLabel,IF(AJ266&gt;=80,SafetyLabel,IF(AJ266&gt;=50,MatchLabel,IF(AJ266&gt;=20,ReachLabel,IF(AJ266&gt;=10,LongshotLabel,HailMaryLabel)))))),"Other")</f>
        <v>0</v>
      </c>
      <c r="AL266">
        <f>IF(OR(I266="accepted",I266="cond. accept",I266="summer admit"),IF(J266="yes","CHOICE!","Accepted!"),IF(I266="denied","Denied",IF(K266=1,"Waitlist",IF(L266=1,"Deferred",IF(G266="pending","Pending",IF(OR(G266="initial materials submitted",G266="mid-year submitted",G266="final submitted"),"Submitted",IF(H266="interest","Interest","?")))))))</f>
        <v>0</v>
      </c>
      <c r="AM266">
        <f>IF(OR(AK266=ReachLabel,AK266=LongshotLabel,AK266=HailMaryLabel),1,0)</f>
        <v>0</v>
      </c>
      <c r="AN266">
        <f>IF(OR(AM266=1,AK266=MatchLabel),1,0)</f>
        <v>0</v>
      </c>
      <c r="AO266">
        <f>IF(OR(AK266=MatchLabel,AK266=SafetyLabel,AK266=SecureLabel,AK266=SureThingLabel),1,0)</f>
        <v>0</v>
      </c>
      <c r="AP266">
        <f>IF(OR(T266="H",T266="B"),IF(ISNUMBER(Y266),ROUND(Y266,2),0),IF(ISNUMBER(X266),ROUND(X266,2),0))</f>
        <v>0</v>
      </c>
      <c r="AQ266">
        <f>IF(AP266&gt;=U266,1,0)</f>
        <v>0</v>
      </c>
      <c r="AR266">
        <f>IF(AP266&gt;=V266,1,0)</f>
        <v>0</v>
      </c>
      <c r="AS266">
        <f>IF(AP266&lt;(U266-0.10),1,0)</f>
        <v>0</v>
      </c>
      <c r="AT266">
        <f>1-AJ266/100</f>
        <v>0</v>
      </c>
      <c r="AU266">
        <f>IF(AN266=1,AT266,1)</f>
        <v>0</v>
      </c>
      <c r="AV266">
        <f>IF(AM266=1,AT266,1)</f>
        <v>0</v>
      </c>
      <c r="AW266">
        <f>IF(AND(AQ266=1,ISNUMBER(AT266)),$AT266,1)</f>
        <v>0</v>
      </c>
      <c r="AX266">
        <f>IF(AND(AR266=1,ISNUMBER(AT266)),$AT266,1)</f>
        <v>0</v>
      </c>
      <c r="AY266">
        <f>IF(ISNUMBER(Y266),INDEX(AllCollegeMoney, MATCH(N266,AllCollegeNCES,0)),0)</f>
        <v>0</v>
      </c>
      <c r="AZ266">
        <f>IF(AND(AQ266=1,ISNUMBER(AT266),AY266=1),$AT266,1)</f>
        <v>0</v>
      </c>
      <c r="BA266">
        <f>IF(AND(AR266=1,ISNUMBER(AT266),AY266=1),$AT266,1)</f>
        <v>0</v>
      </c>
      <c r="BB266">
        <f>IF(ISNUMBER(Y266),INDEX(AllCollegeILPub, MATCH(N266,AllCollegeNCES,0)),0)</f>
        <v>0</v>
      </c>
      <c r="BC266">
        <f>IF(AK266=ReachLabel,AP266,0)</f>
        <v>0</v>
      </c>
      <c r="BD266">
        <f>IF(AK266=MatchLabel,AP266,0)</f>
        <v>0</v>
      </c>
      <c r="BE266">
        <f>IF(AK266=SafetyLabel,AP266,0)</f>
        <v>0</v>
      </c>
      <c r="BF266">
        <f>IF(AK266=SecureLabel,AP266,0)</f>
        <v>0</v>
      </c>
      <c r="BG266">
        <f>IF(AK266=SureThingLabel,AP266,0)</f>
        <v>0</v>
      </c>
      <c r="BH266">
        <f>MAX(BC266:BG266)</f>
        <v>0</v>
      </c>
      <c r="BI266">
        <f>MAX(BD266:BG266)</f>
        <v>0</v>
      </c>
      <c r="BJ266">
        <f>MAX(BE266:BG266)</f>
        <v>0</v>
      </c>
      <c r="BK266">
        <f>IF(AND(AK266=ReachLabel,AY266=1),AP266,0)</f>
        <v>0</v>
      </c>
      <c r="BL266">
        <f>IF(AND(AK266=MatchLabel,AY266=1),AP266,0)</f>
        <v>0</v>
      </c>
      <c r="BM266">
        <f>IF(AND(AK266=SafetyLabel,AY266=1),AP266,0)</f>
        <v>0</v>
      </c>
      <c r="BN266">
        <f>IF(AND(AK266=SecureLabel,AY266=1),AP266,0)</f>
        <v>0</v>
      </c>
      <c r="BO266">
        <f>IF(AND(AK266=SureThingLabel,AY266=1),AP266,0)</f>
        <v>0</v>
      </c>
      <c r="BP266">
        <f>MAX(BK266:BO266)</f>
        <v>0</v>
      </c>
      <c r="BQ266">
        <f>MAX(BL266:BO266)</f>
        <v>0</v>
      </c>
      <c r="BR266">
        <f>MAX(BM266:BO266)</f>
        <v>0</v>
      </c>
      <c r="BS266">
        <f>IF(ISNUMBER(Y266),INDEX(AllCollegeChicago, MATCH(N266,AllCollegeNCES,0))*AY266,0)</f>
        <v>0</v>
      </c>
      <c r="BT266">
        <f>IF(ISNUMBER(Y266),INDEX(AllCollegeMoneyCode, MATCH(N266,AllCollegeNCES,0)),"?")</f>
        <v>0</v>
      </c>
      <c r="BU266">
        <f>IF(OR(BT266="---",BT266="--",BT266="+/--",BT266="+/---"),1,0)</f>
        <v>0</v>
      </c>
      <c r="BV266">
        <f>AY266*AO266*AQ266</f>
        <v>0</v>
      </c>
    </row>
    <row r="267" spans="1:74">
      <c r="A267" t="s">
        <v>86</v>
      </c>
      <c r="B267">
        <v>23036214</v>
      </c>
      <c r="C267" t="s">
        <v>126</v>
      </c>
      <c r="D267" t="s">
        <v>127</v>
      </c>
      <c r="E267" t="s">
        <v>428</v>
      </c>
      <c r="F267" t="s">
        <v>469</v>
      </c>
      <c r="G267" t="s">
        <v>430</v>
      </c>
      <c r="H267" t="s">
        <v>431</v>
      </c>
      <c r="I267" t="s">
        <v>432</v>
      </c>
      <c r="J267" t="s">
        <v>432</v>
      </c>
      <c r="K267">
        <v>0</v>
      </c>
      <c r="L267" t="s">
        <v>428</v>
      </c>
      <c r="M267" t="s">
        <v>428</v>
      </c>
      <c r="N267">
        <v>174844</v>
      </c>
      <c r="O267">
        <f>INDEX(AllCollegeBarrons,MATCH(N267,AllCollegeNCES,0))</f>
        <v>0</v>
      </c>
      <c r="P267">
        <f>INDEX(KidGPAs,MATCH(B267,KidIDs,0))</f>
        <v>0</v>
      </c>
      <c r="Q267">
        <f>INDEX(KidACTs,MATCH(B267,KidIDs,0))</f>
        <v>0</v>
      </c>
      <c r="R267">
        <f>INDEX(Strats,MATCH(B267,KidIDs,0))</f>
        <v>0</v>
      </c>
      <c r="S267">
        <f>INDEX(KidRace,MATCH(B267,KidIDs,0))</f>
        <v>0</v>
      </c>
      <c r="T267">
        <f>IF(OR(S267="M",S267="I"),"H",S267)</f>
        <v>0</v>
      </c>
      <c r="U267">
        <f>INDEX(StudentTargets,MATCH(B267,KidIDs,0))</f>
        <v>0</v>
      </c>
      <c r="V267">
        <f>INDEX(ReachStudentTargets,MATCH(B267,KidIDs,0))</f>
        <v>0</v>
      </c>
      <c r="W267">
        <f>IF(OR(M267="Posse"),1,0)</f>
        <v>0</v>
      </c>
      <c r="X267">
        <f>IF(ISNUMBER(INDEX(AllCollegeGR, MATCH(N267,AllCollegeNCES,0))),ROUND(INDEX(AllCollegeGR, MATCH(N267,AllCollegeNCES,0))+W267*IF(INDEX(AllCollegeGR, MATCH(N267,AllCollegeNCES,0))&gt;0.7,(1-INDEX(AllCollegeGR, MATCH(N267,AllCollegeNCES,0)))/2,0.15),2),INDEX(AllCollegeGR, MATCH(N267,AllCollegeNCES,0)))</f>
        <v>0</v>
      </c>
      <c r="Y267">
        <f>IF(ISNUMBER(INDEX(AllCollegeAAHGR, MATCH(N267,AllCollegeNCES,0))),ROUND(INDEX(AllCollegeAAHGR, MATCH(N267,AllCollegeNCES,0))+W267*IF(INDEX(AllCollegeAAHGR, MATCH(N267,AllCollegeNCES,0))&gt;0.7,(1-INDEX(AllCollegeAAHGR, MATCH(N267,AllCollegeNCES,0)))/2,0.15),2),INDEX(AllCollegeAAHGR, MATCH(N267,AllCollegeNCES,0)))</f>
        <v>0</v>
      </c>
      <c r="Z267">
        <f>IF(OR(T267="H",T267="B"),INDEX(AllCollegeACT25, MATCH(N267,AllCollegeNCES,0)),INDEX(AllCollegeACT50, MATCH(N267,AllCollegeNCES,0)))</f>
        <v>0</v>
      </c>
      <c r="AA267">
        <f>INDEX(CustomWeightsGPA,MATCH(T267&amp;":"&amp;N267,CustomWeightsIndex,0))</f>
        <v>0</v>
      </c>
      <c r="AB267">
        <f>INDEX(CustomWeightsACT,MATCH(T267&amp;":"&amp;N267,CustomWeightsIndex,0))</f>
        <v>0</v>
      </c>
      <c r="AC267">
        <f>INDEX(CustomWeightsIntercept,MATCH(T267&amp;":"&amp;N267,CustomWeightsIndex,0))</f>
        <v>0</v>
      </c>
      <c r="AD267">
        <f>AA267*P267+AB267*Q267+AC267</f>
        <v>0</v>
      </c>
      <c r="AE267">
        <f>INDEX(CoefficientsGPA,MATCH(T267&amp;":"&amp;O267,CoefficientsIndex,0))</f>
        <v>0</v>
      </c>
      <c r="AF267">
        <f>INDEX(CoefficientsACT,MATCH(T267&amp;":"&amp;O267,CoefficientsIndex,0))</f>
        <v>0</v>
      </c>
      <c r="AG267">
        <f>INDEX(CoefficientsIntercept,MATCH(T267&amp;":"&amp;O267,CoefficientsIndex,0))</f>
        <v>0</v>
      </c>
      <c r="AH267">
        <f>AE267*P267+(Q267-Z267)*AF267+AG267</f>
        <v>0</v>
      </c>
      <c r="AI267">
        <f>IF(ISNUMBER(AD267),AD267,AH267)</f>
        <v>0</v>
      </c>
      <c r="AJ267">
        <f>IF(ISNUMBER(AI267),IF(ISNUMBER(AE267),IF(AND(AE267=1,AF267=1,AG267=1),100,ROUND(100*EXP(AI267)/(1+EXP(AI267)),2)),ROUND(100*EXP(AI267)/(1+EXP(AI267)),2)),IF(ISTEXT(O267),IF(LEFT(O267,1)="2",100,"N/A"),"N/A"))</f>
        <v>0</v>
      </c>
      <c r="AK267">
        <f>IF(ISNUMBER(AJ267),IF(AJ267&gt;=99,IF(OR(R267=10,R267=11),MatchLabel,SureThingLabel),IF(AJ267&gt;=95,SecureLabel,IF(AJ267&gt;=80,SafetyLabel,IF(AJ267&gt;=50,MatchLabel,IF(AJ267&gt;=20,ReachLabel,IF(AJ267&gt;=10,LongshotLabel,HailMaryLabel)))))),"Other")</f>
        <v>0</v>
      </c>
      <c r="AL267">
        <f>IF(OR(I267="accepted",I267="cond. accept",I267="summer admit"),IF(J267="yes","CHOICE!","Accepted!"),IF(I267="denied","Denied",IF(K267=1,"Waitlist",IF(L267=1,"Deferred",IF(G267="pending","Pending",IF(OR(G267="initial materials submitted",G267="mid-year submitted",G267="final submitted"),"Submitted",IF(H267="interest","Interest","?")))))))</f>
        <v>0</v>
      </c>
      <c r="AM267">
        <f>IF(OR(AK267=ReachLabel,AK267=LongshotLabel,AK267=HailMaryLabel),1,0)</f>
        <v>0</v>
      </c>
      <c r="AN267">
        <f>IF(OR(AM267=1,AK267=MatchLabel),1,0)</f>
        <v>0</v>
      </c>
      <c r="AO267">
        <f>IF(OR(AK267=MatchLabel,AK267=SafetyLabel,AK267=SecureLabel,AK267=SureThingLabel),1,0)</f>
        <v>0</v>
      </c>
      <c r="AP267">
        <f>IF(OR(T267="H",T267="B"),IF(ISNUMBER(Y267),ROUND(Y267,2),0),IF(ISNUMBER(X267),ROUND(X267,2),0))</f>
        <v>0</v>
      </c>
      <c r="AQ267">
        <f>IF(AP267&gt;=U267,1,0)</f>
        <v>0</v>
      </c>
      <c r="AR267">
        <f>IF(AP267&gt;=V267,1,0)</f>
        <v>0</v>
      </c>
      <c r="AS267">
        <f>IF(AP267&lt;(U267-0.10),1,0)</f>
        <v>0</v>
      </c>
      <c r="AT267">
        <f>1-AJ267/100</f>
        <v>0</v>
      </c>
      <c r="AU267">
        <f>IF(AN267=1,AT267,1)</f>
        <v>0</v>
      </c>
      <c r="AV267">
        <f>IF(AM267=1,AT267,1)</f>
        <v>0</v>
      </c>
      <c r="AW267">
        <f>IF(AND(AQ267=1,ISNUMBER(AT267)),$AT267,1)</f>
        <v>0</v>
      </c>
      <c r="AX267">
        <f>IF(AND(AR267=1,ISNUMBER(AT267)),$AT267,1)</f>
        <v>0</v>
      </c>
      <c r="AY267">
        <f>IF(ISNUMBER(Y267),INDEX(AllCollegeMoney, MATCH(N267,AllCollegeNCES,0)),0)</f>
        <v>0</v>
      </c>
      <c r="AZ267">
        <f>IF(AND(AQ267=1,ISNUMBER(AT267),AY267=1),$AT267,1)</f>
        <v>0</v>
      </c>
      <c r="BA267">
        <f>IF(AND(AR267=1,ISNUMBER(AT267),AY267=1),$AT267,1)</f>
        <v>0</v>
      </c>
      <c r="BB267">
        <f>IF(ISNUMBER(Y267),INDEX(AllCollegeILPub, MATCH(N267,AllCollegeNCES,0)),0)</f>
        <v>0</v>
      </c>
      <c r="BC267">
        <f>IF(AK267=ReachLabel,AP267,0)</f>
        <v>0</v>
      </c>
      <c r="BD267">
        <f>IF(AK267=MatchLabel,AP267,0)</f>
        <v>0</v>
      </c>
      <c r="BE267">
        <f>IF(AK267=SafetyLabel,AP267,0)</f>
        <v>0</v>
      </c>
      <c r="BF267">
        <f>IF(AK267=SecureLabel,AP267,0)</f>
        <v>0</v>
      </c>
      <c r="BG267">
        <f>IF(AK267=SureThingLabel,AP267,0)</f>
        <v>0</v>
      </c>
      <c r="BH267">
        <f>MAX(BC267:BG267)</f>
        <v>0</v>
      </c>
      <c r="BI267">
        <f>MAX(BD267:BG267)</f>
        <v>0</v>
      </c>
      <c r="BJ267">
        <f>MAX(BE267:BG267)</f>
        <v>0</v>
      </c>
      <c r="BK267">
        <f>IF(AND(AK267=ReachLabel,AY267=1),AP267,0)</f>
        <v>0</v>
      </c>
      <c r="BL267">
        <f>IF(AND(AK267=MatchLabel,AY267=1),AP267,0)</f>
        <v>0</v>
      </c>
      <c r="BM267">
        <f>IF(AND(AK267=SafetyLabel,AY267=1),AP267,0)</f>
        <v>0</v>
      </c>
      <c r="BN267">
        <f>IF(AND(AK267=SecureLabel,AY267=1),AP267,0)</f>
        <v>0</v>
      </c>
      <c r="BO267">
        <f>IF(AND(AK267=SureThingLabel,AY267=1),AP267,0)</f>
        <v>0</v>
      </c>
      <c r="BP267">
        <f>MAX(BK267:BO267)</f>
        <v>0</v>
      </c>
      <c r="BQ267">
        <f>MAX(BL267:BO267)</f>
        <v>0</v>
      </c>
      <c r="BR267">
        <f>MAX(BM267:BO267)</f>
        <v>0</v>
      </c>
      <c r="BS267">
        <f>IF(ISNUMBER(Y267),INDEX(AllCollegeChicago, MATCH(N267,AllCollegeNCES,0))*AY267,0)</f>
        <v>0</v>
      </c>
      <c r="BT267">
        <f>IF(ISNUMBER(Y267),INDEX(AllCollegeMoneyCode, MATCH(N267,AllCollegeNCES,0)),"?")</f>
        <v>0</v>
      </c>
      <c r="BU267">
        <f>IF(OR(BT267="---",BT267="--",BT267="+/--",BT267="+/---"),1,0)</f>
        <v>0</v>
      </c>
      <c r="BV267">
        <f>AY267*AO267*AQ267</f>
        <v>0</v>
      </c>
    </row>
    <row r="268" spans="1:74">
      <c r="A268" t="s">
        <v>86</v>
      </c>
      <c r="B268">
        <v>23036214</v>
      </c>
      <c r="C268" t="s">
        <v>126</v>
      </c>
      <c r="D268" t="s">
        <v>127</v>
      </c>
      <c r="E268" t="s">
        <v>428</v>
      </c>
      <c r="F268" t="s">
        <v>459</v>
      </c>
      <c r="G268" t="s">
        <v>430</v>
      </c>
      <c r="H268" t="s">
        <v>431</v>
      </c>
      <c r="I268" t="s">
        <v>432</v>
      </c>
      <c r="J268" t="s">
        <v>432</v>
      </c>
      <c r="K268">
        <v>0</v>
      </c>
      <c r="L268" t="s">
        <v>428</v>
      </c>
      <c r="M268" t="s">
        <v>428</v>
      </c>
      <c r="N268">
        <v>146427</v>
      </c>
      <c r="O268">
        <f>INDEX(AllCollegeBarrons,MATCH(N268,AllCollegeNCES,0))</f>
        <v>0</v>
      </c>
      <c r="P268">
        <f>INDEX(KidGPAs,MATCH(B268,KidIDs,0))</f>
        <v>0</v>
      </c>
      <c r="Q268">
        <f>INDEX(KidACTs,MATCH(B268,KidIDs,0))</f>
        <v>0</v>
      </c>
      <c r="R268">
        <f>INDEX(Strats,MATCH(B268,KidIDs,0))</f>
        <v>0</v>
      </c>
      <c r="S268">
        <f>INDEX(KidRace,MATCH(B268,KidIDs,0))</f>
        <v>0</v>
      </c>
      <c r="T268">
        <f>IF(OR(S268="M",S268="I"),"H",S268)</f>
        <v>0</v>
      </c>
      <c r="U268">
        <f>INDEX(StudentTargets,MATCH(B268,KidIDs,0))</f>
        <v>0</v>
      </c>
      <c r="V268">
        <f>INDEX(ReachStudentTargets,MATCH(B268,KidIDs,0))</f>
        <v>0</v>
      </c>
      <c r="W268">
        <f>IF(OR(M268="Posse"),1,0)</f>
        <v>0</v>
      </c>
      <c r="X268">
        <f>IF(ISNUMBER(INDEX(AllCollegeGR, MATCH(N268,AllCollegeNCES,0))),ROUND(INDEX(AllCollegeGR, MATCH(N268,AllCollegeNCES,0))+W268*IF(INDEX(AllCollegeGR, MATCH(N268,AllCollegeNCES,0))&gt;0.7,(1-INDEX(AllCollegeGR, MATCH(N268,AllCollegeNCES,0)))/2,0.15),2),INDEX(AllCollegeGR, MATCH(N268,AllCollegeNCES,0)))</f>
        <v>0</v>
      </c>
      <c r="Y268">
        <f>IF(ISNUMBER(INDEX(AllCollegeAAHGR, MATCH(N268,AllCollegeNCES,0))),ROUND(INDEX(AllCollegeAAHGR, MATCH(N268,AllCollegeNCES,0))+W268*IF(INDEX(AllCollegeAAHGR, MATCH(N268,AllCollegeNCES,0))&gt;0.7,(1-INDEX(AllCollegeAAHGR, MATCH(N268,AllCollegeNCES,0)))/2,0.15),2),INDEX(AllCollegeAAHGR, MATCH(N268,AllCollegeNCES,0)))</f>
        <v>0</v>
      </c>
      <c r="Z268">
        <f>IF(OR(T268="H",T268="B"),INDEX(AllCollegeACT25, MATCH(N268,AllCollegeNCES,0)),INDEX(AllCollegeACT50, MATCH(N268,AllCollegeNCES,0)))</f>
        <v>0</v>
      </c>
      <c r="AA268">
        <f>INDEX(CustomWeightsGPA,MATCH(T268&amp;":"&amp;N268,CustomWeightsIndex,0))</f>
        <v>0</v>
      </c>
      <c r="AB268">
        <f>INDEX(CustomWeightsACT,MATCH(T268&amp;":"&amp;N268,CustomWeightsIndex,0))</f>
        <v>0</v>
      </c>
      <c r="AC268">
        <f>INDEX(CustomWeightsIntercept,MATCH(T268&amp;":"&amp;N268,CustomWeightsIndex,0))</f>
        <v>0</v>
      </c>
      <c r="AD268">
        <f>AA268*P268+AB268*Q268+AC268</f>
        <v>0</v>
      </c>
      <c r="AE268">
        <f>INDEX(CoefficientsGPA,MATCH(T268&amp;":"&amp;O268,CoefficientsIndex,0))</f>
        <v>0</v>
      </c>
      <c r="AF268">
        <f>INDEX(CoefficientsACT,MATCH(T268&amp;":"&amp;O268,CoefficientsIndex,0))</f>
        <v>0</v>
      </c>
      <c r="AG268">
        <f>INDEX(CoefficientsIntercept,MATCH(T268&amp;":"&amp;O268,CoefficientsIndex,0))</f>
        <v>0</v>
      </c>
      <c r="AH268">
        <f>AE268*P268+(Q268-Z268)*AF268+AG268</f>
        <v>0</v>
      </c>
      <c r="AI268">
        <f>IF(ISNUMBER(AD268),AD268,AH268)</f>
        <v>0</v>
      </c>
      <c r="AJ268">
        <f>IF(ISNUMBER(AI268),IF(ISNUMBER(AE268),IF(AND(AE268=1,AF268=1,AG268=1),100,ROUND(100*EXP(AI268)/(1+EXP(AI268)),2)),ROUND(100*EXP(AI268)/(1+EXP(AI268)),2)),IF(ISTEXT(O268),IF(LEFT(O268,1)="2",100,"N/A"),"N/A"))</f>
        <v>0</v>
      </c>
      <c r="AK268">
        <f>IF(ISNUMBER(AJ268),IF(AJ268&gt;=99,IF(OR(R268=10,R268=11),MatchLabel,SureThingLabel),IF(AJ268&gt;=95,SecureLabel,IF(AJ268&gt;=80,SafetyLabel,IF(AJ268&gt;=50,MatchLabel,IF(AJ268&gt;=20,ReachLabel,IF(AJ268&gt;=10,LongshotLabel,HailMaryLabel)))))),"Other")</f>
        <v>0</v>
      </c>
      <c r="AL268">
        <f>IF(OR(I268="accepted",I268="cond. accept",I268="summer admit"),IF(J268="yes","CHOICE!","Accepted!"),IF(I268="denied","Denied",IF(K268=1,"Waitlist",IF(L268=1,"Deferred",IF(G268="pending","Pending",IF(OR(G268="initial materials submitted",G268="mid-year submitted",G268="final submitted"),"Submitted",IF(H268="interest","Interest","?")))))))</f>
        <v>0</v>
      </c>
      <c r="AM268">
        <f>IF(OR(AK268=ReachLabel,AK268=LongshotLabel,AK268=HailMaryLabel),1,0)</f>
        <v>0</v>
      </c>
      <c r="AN268">
        <f>IF(OR(AM268=1,AK268=MatchLabel),1,0)</f>
        <v>0</v>
      </c>
      <c r="AO268">
        <f>IF(OR(AK268=MatchLabel,AK268=SafetyLabel,AK268=SecureLabel,AK268=SureThingLabel),1,0)</f>
        <v>0</v>
      </c>
      <c r="AP268">
        <f>IF(OR(T268="H",T268="B"),IF(ISNUMBER(Y268),ROUND(Y268,2),0),IF(ISNUMBER(X268),ROUND(X268,2),0))</f>
        <v>0</v>
      </c>
      <c r="AQ268">
        <f>IF(AP268&gt;=U268,1,0)</f>
        <v>0</v>
      </c>
      <c r="AR268">
        <f>IF(AP268&gt;=V268,1,0)</f>
        <v>0</v>
      </c>
      <c r="AS268">
        <f>IF(AP268&lt;(U268-0.10),1,0)</f>
        <v>0</v>
      </c>
      <c r="AT268">
        <f>1-AJ268/100</f>
        <v>0</v>
      </c>
      <c r="AU268">
        <f>IF(AN268=1,AT268,1)</f>
        <v>0</v>
      </c>
      <c r="AV268">
        <f>IF(AM268=1,AT268,1)</f>
        <v>0</v>
      </c>
      <c r="AW268">
        <f>IF(AND(AQ268=1,ISNUMBER(AT268)),$AT268,1)</f>
        <v>0</v>
      </c>
      <c r="AX268">
        <f>IF(AND(AR268=1,ISNUMBER(AT268)),$AT268,1)</f>
        <v>0</v>
      </c>
      <c r="AY268">
        <f>IF(ISNUMBER(Y268),INDEX(AllCollegeMoney, MATCH(N268,AllCollegeNCES,0)),0)</f>
        <v>0</v>
      </c>
      <c r="AZ268">
        <f>IF(AND(AQ268=1,ISNUMBER(AT268),AY268=1),$AT268,1)</f>
        <v>0</v>
      </c>
      <c r="BA268">
        <f>IF(AND(AR268=1,ISNUMBER(AT268),AY268=1),$AT268,1)</f>
        <v>0</v>
      </c>
      <c r="BB268">
        <f>IF(ISNUMBER(Y268),INDEX(AllCollegeILPub, MATCH(N268,AllCollegeNCES,0)),0)</f>
        <v>0</v>
      </c>
      <c r="BC268">
        <f>IF(AK268=ReachLabel,AP268,0)</f>
        <v>0</v>
      </c>
      <c r="BD268">
        <f>IF(AK268=MatchLabel,AP268,0)</f>
        <v>0</v>
      </c>
      <c r="BE268">
        <f>IF(AK268=SafetyLabel,AP268,0)</f>
        <v>0</v>
      </c>
      <c r="BF268">
        <f>IF(AK268=SecureLabel,AP268,0)</f>
        <v>0</v>
      </c>
      <c r="BG268">
        <f>IF(AK268=SureThingLabel,AP268,0)</f>
        <v>0</v>
      </c>
      <c r="BH268">
        <f>MAX(BC268:BG268)</f>
        <v>0</v>
      </c>
      <c r="BI268">
        <f>MAX(BD268:BG268)</f>
        <v>0</v>
      </c>
      <c r="BJ268">
        <f>MAX(BE268:BG268)</f>
        <v>0</v>
      </c>
      <c r="BK268">
        <f>IF(AND(AK268=ReachLabel,AY268=1),AP268,0)</f>
        <v>0</v>
      </c>
      <c r="BL268">
        <f>IF(AND(AK268=MatchLabel,AY268=1),AP268,0)</f>
        <v>0</v>
      </c>
      <c r="BM268">
        <f>IF(AND(AK268=SafetyLabel,AY268=1),AP268,0)</f>
        <v>0</v>
      </c>
      <c r="BN268">
        <f>IF(AND(AK268=SecureLabel,AY268=1),AP268,0)</f>
        <v>0</v>
      </c>
      <c r="BO268">
        <f>IF(AND(AK268=SureThingLabel,AY268=1),AP268,0)</f>
        <v>0</v>
      </c>
      <c r="BP268">
        <f>MAX(BK268:BO268)</f>
        <v>0</v>
      </c>
      <c r="BQ268">
        <f>MAX(BL268:BO268)</f>
        <v>0</v>
      </c>
      <c r="BR268">
        <f>MAX(BM268:BO268)</f>
        <v>0</v>
      </c>
      <c r="BS268">
        <f>IF(ISNUMBER(Y268),INDEX(AllCollegeChicago, MATCH(N268,AllCollegeNCES,0))*AY268,0)</f>
        <v>0</v>
      </c>
      <c r="BT268">
        <f>IF(ISNUMBER(Y268),INDEX(AllCollegeMoneyCode, MATCH(N268,AllCollegeNCES,0)),"?")</f>
        <v>0</v>
      </c>
      <c r="BU268">
        <f>IF(OR(BT268="---",BT268="--",BT268="+/--",BT268="+/---"),1,0)</f>
        <v>0</v>
      </c>
      <c r="BV268">
        <f>AY268*AO268*AQ268</f>
        <v>0</v>
      </c>
    </row>
    <row r="269" spans="1:74">
      <c r="A269" t="s">
        <v>86</v>
      </c>
      <c r="B269">
        <v>23036214</v>
      </c>
      <c r="C269" t="s">
        <v>126</v>
      </c>
      <c r="D269" t="s">
        <v>127</v>
      </c>
      <c r="E269" t="s">
        <v>428</v>
      </c>
      <c r="F269" t="s">
        <v>470</v>
      </c>
      <c r="G269" t="s">
        <v>430</v>
      </c>
      <c r="H269" t="s">
        <v>431</v>
      </c>
      <c r="I269" t="s">
        <v>432</v>
      </c>
      <c r="J269" t="s">
        <v>432</v>
      </c>
      <c r="K269">
        <v>0</v>
      </c>
      <c r="L269" t="s">
        <v>428</v>
      </c>
      <c r="M269" t="s">
        <v>428</v>
      </c>
      <c r="N269">
        <v>206589</v>
      </c>
      <c r="O269">
        <f>INDEX(AllCollegeBarrons,MATCH(N269,AllCollegeNCES,0))</f>
        <v>0</v>
      </c>
      <c r="P269">
        <f>INDEX(KidGPAs,MATCH(B269,KidIDs,0))</f>
        <v>0</v>
      </c>
      <c r="Q269">
        <f>INDEX(KidACTs,MATCH(B269,KidIDs,0))</f>
        <v>0</v>
      </c>
      <c r="R269">
        <f>INDEX(Strats,MATCH(B269,KidIDs,0))</f>
        <v>0</v>
      </c>
      <c r="S269">
        <f>INDEX(KidRace,MATCH(B269,KidIDs,0))</f>
        <v>0</v>
      </c>
      <c r="T269">
        <f>IF(OR(S269="M",S269="I"),"H",S269)</f>
        <v>0</v>
      </c>
      <c r="U269">
        <f>INDEX(StudentTargets,MATCH(B269,KidIDs,0))</f>
        <v>0</v>
      </c>
      <c r="V269">
        <f>INDEX(ReachStudentTargets,MATCH(B269,KidIDs,0))</f>
        <v>0</v>
      </c>
      <c r="W269">
        <f>IF(OR(M269="Posse"),1,0)</f>
        <v>0</v>
      </c>
      <c r="X269">
        <f>IF(ISNUMBER(INDEX(AllCollegeGR, MATCH(N269,AllCollegeNCES,0))),ROUND(INDEX(AllCollegeGR, MATCH(N269,AllCollegeNCES,0))+W269*IF(INDEX(AllCollegeGR, MATCH(N269,AllCollegeNCES,0))&gt;0.7,(1-INDEX(AllCollegeGR, MATCH(N269,AllCollegeNCES,0)))/2,0.15),2),INDEX(AllCollegeGR, MATCH(N269,AllCollegeNCES,0)))</f>
        <v>0</v>
      </c>
      <c r="Y269">
        <f>IF(ISNUMBER(INDEX(AllCollegeAAHGR, MATCH(N269,AllCollegeNCES,0))),ROUND(INDEX(AllCollegeAAHGR, MATCH(N269,AllCollegeNCES,0))+W269*IF(INDEX(AllCollegeAAHGR, MATCH(N269,AllCollegeNCES,0))&gt;0.7,(1-INDEX(AllCollegeAAHGR, MATCH(N269,AllCollegeNCES,0)))/2,0.15),2),INDEX(AllCollegeAAHGR, MATCH(N269,AllCollegeNCES,0)))</f>
        <v>0</v>
      </c>
      <c r="Z269">
        <f>IF(OR(T269="H",T269="B"),INDEX(AllCollegeACT25, MATCH(N269,AllCollegeNCES,0)),INDEX(AllCollegeACT50, MATCH(N269,AllCollegeNCES,0)))</f>
        <v>0</v>
      </c>
      <c r="AA269">
        <f>INDEX(CustomWeightsGPA,MATCH(T269&amp;":"&amp;N269,CustomWeightsIndex,0))</f>
        <v>0</v>
      </c>
      <c r="AB269">
        <f>INDEX(CustomWeightsACT,MATCH(T269&amp;":"&amp;N269,CustomWeightsIndex,0))</f>
        <v>0</v>
      </c>
      <c r="AC269">
        <f>INDEX(CustomWeightsIntercept,MATCH(T269&amp;":"&amp;N269,CustomWeightsIndex,0))</f>
        <v>0</v>
      </c>
      <c r="AD269">
        <f>AA269*P269+AB269*Q269+AC269</f>
        <v>0</v>
      </c>
      <c r="AE269">
        <f>INDEX(CoefficientsGPA,MATCH(T269&amp;":"&amp;O269,CoefficientsIndex,0))</f>
        <v>0</v>
      </c>
      <c r="AF269">
        <f>INDEX(CoefficientsACT,MATCH(T269&amp;":"&amp;O269,CoefficientsIndex,0))</f>
        <v>0</v>
      </c>
      <c r="AG269">
        <f>INDEX(CoefficientsIntercept,MATCH(T269&amp;":"&amp;O269,CoefficientsIndex,0))</f>
        <v>0</v>
      </c>
      <c r="AH269">
        <f>AE269*P269+(Q269-Z269)*AF269+AG269</f>
        <v>0</v>
      </c>
      <c r="AI269">
        <f>IF(ISNUMBER(AD269),AD269,AH269)</f>
        <v>0</v>
      </c>
      <c r="AJ269">
        <f>IF(ISNUMBER(AI269),IF(ISNUMBER(AE269),IF(AND(AE269=1,AF269=1,AG269=1),100,ROUND(100*EXP(AI269)/(1+EXP(AI269)),2)),ROUND(100*EXP(AI269)/(1+EXP(AI269)),2)),IF(ISTEXT(O269),IF(LEFT(O269,1)="2",100,"N/A"),"N/A"))</f>
        <v>0</v>
      </c>
      <c r="AK269">
        <f>IF(ISNUMBER(AJ269),IF(AJ269&gt;=99,IF(OR(R269=10,R269=11),MatchLabel,SureThingLabel),IF(AJ269&gt;=95,SecureLabel,IF(AJ269&gt;=80,SafetyLabel,IF(AJ269&gt;=50,MatchLabel,IF(AJ269&gt;=20,ReachLabel,IF(AJ269&gt;=10,LongshotLabel,HailMaryLabel)))))),"Other")</f>
        <v>0</v>
      </c>
      <c r="AL269">
        <f>IF(OR(I269="accepted",I269="cond. accept",I269="summer admit"),IF(J269="yes","CHOICE!","Accepted!"),IF(I269="denied","Denied",IF(K269=1,"Waitlist",IF(L269=1,"Deferred",IF(G269="pending","Pending",IF(OR(G269="initial materials submitted",G269="mid-year submitted",G269="final submitted"),"Submitted",IF(H269="interest","Interest","?")))))))</f>
        <v>0</v>
      </c>
      <c r="AM269">
        <f>IF(OR(AK269=ReachLabel,AK269=LongshotLabel,AK269=HailMaryLabel),1,0)</f>
        <v>0</v>
      </c>
      <c r="AN269">
        <f>IF(OR(AM269=1,AK269=MatchLabel),1,0)</f>
        <v>0</v>
      </c>
      <c r="AO269">
        <f>IF(OR(AK269=MatchLabel,AK269=SafetyLabel,AK269=SecureLabel,AK269=SureThingLabel),1,0)</f>
        <v>0</v>
      </c>
      <c r="AP269">
        <f>IF(OR(T269="H",T269="B"),IF(ISNUMBER(Y269),ROUND(Y269,2),0),IF(ISNUMBER(X269),ROUND(X269,2),0))</f>
        <v>0</v>
      </c>
      <c r="AQ269">
        <f>IF(AP269&gt;=U269,1,0)</f>
        <v>0</v>
      </c>
      <c r="AR269">
        <f>IF(AP269&gt;=V269,1,0)</f>
        <v>0</v>
      </c>
      <c r="AS269">
        <f>IF(AP269&lt;(U269-0.10),1,0)</f>
        <v>0</v>
      </c>
      <c r="AT269">
        <f>1-AJ269/100</f>
        <v>0</v>
      </c>
      <c r="AU269">
        <f>IF(AN269=1,AT269,1)</f>
        <v>0</v>
      </c>
      <c r="AV269">
        <f>IF(AM269=1,AT269,1)</f>
        <v>0</v>
      </c>
      <c r="AW269">
        <f>IF(AND(AQ269=1,ISNUMBER(AT269)),$AT269,1)</f>
        <v>0</v>
      </c>
      <c r="AX269">
        <f>IF(AND(AR269=1,ISNUMBER(AT269)),$AT269,1)</f>
        <v>0</v>
      </c>
      <c r="AY269">
        <f>IF(ISNUMBER(Y269),INDEX(AllCollegeMoney, MATCH(N269,AllCollegeNCES,0)),0)</f>
        <v>0</v>
      </c>
      <c r="AZ269">
        <f>IF(AND(AQ269=1,ISNUMBER(AT269),AY269=1),$AT269,1)</f>
        <v>0</v>
      </c>
      <c r="BA269">
        <f>IF(AND(AR269=1,ISNUMBER(AT269),AY269=1),$AT269,1)</f>
        <v>0</v>
      </c>
      <c r="BB269">
        <f>IF(ISNUMBER(Y269),INDEX(AllCollegeILPub, MATCH(N269,AllCollegeNCES,0)),0)</f>
        <v>0</v>
      </c>
      <c r="BC269">
        <f>IF(AK269=ReachLabel,AP269,0)</f>
        <v>0</v>
      </c>
      <c r="BD269">
        <f>IF(AK269=MatchLabel,AP269,0)</f>
        <v>0</v>
      </c>
      <c r="BE269">
        <f>IF(AK269=SafetyLabel,AP269,0)</f>
        <v>0</v>
      </c>
      <c r="BF269">
        <f>IF(AK269=SecureLabel,AP269,0)</f>
        <v>0</v>
      </c>
      <c r="BG269">
        <f>IF(AK269=SureThingLabel,AP269,0)</f>
        <v>0</v>
      </c>
      <c r="BH269">
        <f>MAX(BC269:BG269)</f>
        <v>0</v>
      </c>
      <c r="BI269">
        <f>MAX(BD269:BG269)</f>
        <v>0</v>
      </c>
      <c r="BJ269">
        <f>MAX(BE269:BG269)</f>
        <v>0</v>
      </c>
      <c r="BK269">
        <f>IF(AND(AK269=ReachLabel,AY269=1),AP269,0)</f>
        <v>0</v>
      </c>
      <c r="BL269">
        <f>IF(AND(AK269=MatchLabel,AY269=1),AP269,0)</f>
        <v>0</v>
      </c>
      <c r="BM269">
        <f>IF(AND(AK269=SafetyLabel,AY269=1),AP269,0)</f>
        <v>0</v>
      </c>
      <c r="BN269">
        <f>IF(AND(AK269=SecureLabel,AY269=1),AP269,0)</f>
        <v>0</v>
      </c>
      <c r="BO269">
        <f>IF(AND(AK269=SureThingLabel,AY269=1),AP269,0)</f>
        <v>0</v>
      </c>
      <c r="BP269">
        <f>MAX(BK269:BO269)</f>
        <v>0</v>
      </c>
      <c r="BQ269">
        <f>MAX(BL269:BO269)</f>
        <v>0</v>
      </c>
      <c r="BR269">
        <f>MAX(BM269:BO269)</f>
        <v>0</v>
      </c>
      <c r="BS269">
        <f>IF(ISNUMBER(Y269),INDEX(AllCollegeChicago, MATCH(N269,AllCollegeNCES,0))*AY269,0)</f>
        <v>0</v>
      </c>
      <c r="BT269">
        <f>IF(ISNUMBER(Y269),INDEX(AllCollegeMoneyCode, MATCH(N269,AllCollegeNCES,0)),"?")</f>
        <v>0</v>
      </c>
      <c r="BU269">
        <f>IF(OR(BT269="---",BT269="--",BT269="+/--",BT269="+/---"),1,0)</f>
        <v>0</v>
      </c>
      <c r="BV269">
        <f>AY269*AO269*AQ269</f>
        <v>0</v>
      </c>
    </row>
    <row r="270" spans="1:74">
      <c r="A270" t="s">
        <v>86</v>
      </c>
      <c r="B270">
        <v>23036214</v>
      </c>
      <c r="C270" t="s">
        <v>126</v>
      </c>
      <c r="D270" t="s">
        <v>127</v>
      </c>
      <c r="E270" t="s">
        <v>428</v>
      </c>
      <c r="F270" t="s">
        <v>461</v>
      </c>
      <c r="G270" t="s">
        <v>430</v>
      </c>
      <c r="H270" t="s">
        <v>431</v>
      </c>
      <c r="I270" t="s">
        <v>432</v>
      </c>
      <c r="J270" t="s">
        <v>432</v>
      </c>
      <c r="K270">
        <v>0</v>
      </c>
      <c r="L270" t="s">
        <v>428</v>
      </c>
      <c r="M270" t="s">
        <v>428</v>
      </c>
      <c r="N270">
        <v>153834</v>
      </c>
      <c r="O270">
        <f>INDEX(AllCollegeBarrons,MATCH(N270,AllCollegeNCES,0))</f>
        <v>0</v>
      </c>
      <c r="P270">
        <f>INDEX(KidGPAs,MATCH(B270,KidIDs,0))</f>
        <v>0</v>
      </c>
      <c r="Q270">
        <f>INDEX(KidACTs,MATCH(B270,KidIDs,0))</f>
        <v>0</v>
      </c>
      <c r="R270">
        <f>INDEX(Strats,MATCH(B270,KidIDs,0))</f>
        <v>0</v>
      </c>
      <c r="S270">
        <f>INDEX(KidRace,MATCH(B270,KidIDs,0))</f>
        <v>0</v>
      </c>
      <c r="T270">
        <f>IF(OR(S270="M",S270="I"),"H",S270)</f>
        <v>0</v>
      </c>
      <c r="U270">
        <f>INDEX(StudentTargets,MATCH(B270,KidIDs,0))</f>
        <v>0</v>
      </c>
      <c r="V270">
        <f>INDEX(ReachStudentTargets,MATCH(B270,KidIDs,0))</f>
        <v>0</v>
      </c>
      <c r="W270">
        <f>IF(OR(M270="Posse"),1,0)</f>
        <v>0</v>
      </c>
      <c r="X270">
        <f>IF(ISNUMBER(INDEX(AllCollegeGR, MATCH(N270,AllCollegeNCES,0))),ROUND(INDEX(AllCollegeGR, MATCH(N270,AllCollegeNCES,0))+W270*IF(INDEX(AllCollegeGR, MATCH(N270,AllCollegeNCES,0))&gt;0.7,(1-INDEX(AllCollegeGR, MATCH(N270,AllCollegeNCES,0)))/2,0.15),2),INDEX(AllCollegeGR, MATCH(N270,AllCollegeNCES,0)))</f>
        <v>0</v>
      </c>
      <c r="Y270">
        <f>IF(ISNUMBER(INDEX(AllCollegeAAHGR, MATCH(N270,AllCollegeNCES,0))),ROUND(INDEX(AllCollegeAAHGR, MATCH(N270,AllCollegeNCES,0))+W270*IF(INDEX(AllCollegeAAHGR, MATCH(N270,AllCollegeNCES,0))&gt;0.7,(1-INDEX(AllCollegeAAHGR, MATCH(N270,AllCollegeNCES,0)))/2,0.15),2),INDEX(AllCollegeAAHGR, MATCH(N270,AllCollegeNCES,0)))</f>
        <v>0</v>
      </c>
      <c r="Z270">
        <f>IF(OR(T270="H",T270="B"),INDEX(AllCollegeACT25, MATCH(N270,AllCollegeNCES,0)),INDEX(AllCollegeACT50, MATCH(N270,AllCollegeNCES,0)))</f>
        <v>0</v>
      </c>
      <c r="AA270">
        <f>INDEX(CustomWeightsGPA,MATCH(T270&amp;":"&amp;N270,CustomWeightsIndex,0))</f>
        <v>0</v>
      </c>
      <c r="AB270">
        <f>INDEX(CustomWeightsACT,MATCH(T270&amp;":"&amp;N270,CustomWeightsIndex,0))</f>
        <v>0</v>
      </c>
      <c r="AC270">
        <f>INDEX(CustomWeightsIntercept,MATCH(T270&amp;":"&amp;N270,CustomWeightsIndex,0))</f>
        <v>0</v>
      </c>
      <c r="AD270">
        <f>AA270*P270+AB270*Q270+AC270</f>
        <v>0</v>
      </c>
      <c r="AE270">
        <f>INDEX(CoefficientsGPA,MATCH(T270&amp;":"&amp;O270,CoefficientsIndex,0))</f>
        <v>0</v>
      </c>
      <c r="AF270">
        <f>INDEX(CoefficientsACT,MATCH(T270&amp;":"&amp;O270,CoefficientsIndex,0))</f>
        <v>0</v>
      </c>
      <c r="AG270">
        <f>INDEX(CoefficientsIntercept,MATCH(T270&amp;":"&amp;O270,CoefficientsIndex,0))</f>
        <v>0</v>
      </c>
      <c r="AH270">
        <f>AE270*P270+(Q270-Z270)*AF270+AG270</f>
        <v>0</v>
      </c>
      <c r="AI270">
        <f>IF(ISNUMBER(AD270),AD270,AH270)</f>
        <v>0</v>
      </c>
      <c r="AJ270">
        <f>IF(ISNUMBER(AI270),IF(ISNUMBER(AE270),IF(AND(AE270=1,AF270=1,AG270=1),100,ROUND(100*EXP(AI270)/(1+EXP(AI270)),2)),ROUND(100*EXP(AI270)/(1+EXP(AI270)),2)),IF(ISTEXT(O270),IF(LEFT(O270,1)="2",100,"N/A"),"N/A"))</f>
        <v>0</v>
      </c>
      <c r="AK270">
        <f>IF(ISNUMBER(AJ270),IF(AJ270&gt;=99,IF(OR(R270=10,R270=11),MatchLabel,SureThingLabel),IF(AJ270&gt;=95,SecureLabel,IF(AJ270&gt;=80,SafetyLabel,IF(AJ270&gt;=50,MatchLabel,IF(AJ270&gt;=20,ReachLabel,IF(AJ270&gt;=10,LongshotLabel,HailMaryLabel)))))),"Other")</f>
        <v>0</v>
      </c>
      <c r="AL270">
        <f>IF(OR(I270="accepted",I270="cond. accept",I270="summer admit"),IF(J270="yes","CHOICE!","Accepted!"),IF(I270="denied","Denied",IF(K270=1,"Waitlist",IF(L270=1,"Deferred",IF(G270="pending","Pending",IF(OR(G270="initial materials submitted",G270="mid-year submitted",G270="final submitted"),"Submitted",IF(H270="interest","Interest","?")))))))</f>
        <v>0</v>
      </c>
      <c r="AM270">
        <f>IF(OR(AK270=ReachLabel,AK270=LongshotLabel,AK270=HailMaryLabel),1,0)</f>
        <v>0</v>
      </c>
      <c r="AN270">
        <f>IF(OR(AM270=1,AK270=MatchLabel),1,0)</f>
        <v>0</v>
      </c>
      <c r="AO270">
        <f>IF(OR(AK270=MatchLabel,AK270=SafetyLabel,AK270=SecureLabel,AK270=SureThingLabel),1,0)</f>
        <v>0</v>
      </c>
      <c r="AP270">
        <f>IF(OR(T270="H",T270="B"),IF(ISNUMBER(Y270),ROUND(Y270,2),0),IF(ISNUMBER(X270),ROUND(X270,2),0))</f>
        <v>0</v>
      </c>
      <c r="AQ270">
        <f>IF(AP270&gt;=U270,1,0)</f>
        <v>0</v>
      </c>
      <c r="AR270">
        <f>IF(AP270&gt;=V270,1,0)</f>
        <v>0</v>
      </c>
      <c r="AS270">
        <f>IF(AP270&lt;(U270-0.10),1,0)</f>
        <v>0</v>
      </c>
      <c r="AT270">
        <f>1-AJ270/100</f>
        <v>0</v>
      </c>
      <c r="AU270">
        <f>IF(AN270=1,AT270,1)</f>
        <v>0</v>
      </c>
      <c r="AV270">
        <f>IF(AM270=1,AT270,1)</f>
        <v>0</v>
      </c>
      <c r="AW270">
        <f>IF(AND(AQ270=1,ISNUMBER(AT270)),$AT270,1)</f>
        <v>0</v>
      </c>
      <c r="AX270">
        <f>IF(AND(AR270=1,ISNUMBER(AT270)),$AT270,1)</f>
        <v>0</v>
      </c>
      <c r="AY270">
        <f>IF(ISNUMBER(Y270),INDEX(AllCollegeMoney, MATCH(N270,AllCollegeNCES,0)),0)</f>
        <v>0</v>
      </c>
      <c r="AZ270">
        <f>IF(AND(AQ270=1,ISNUMBER(AT270),AY270=1),$AT270,1)</f>
        <v>0</v>
      </c>
      <c r="BA270">
        <f>IF(AND(AR270=1,ISNUMBER(AT270),AY270=1),$AT270,1)</f>
        <v>0</v>
      </c>
      <c r="BB270">
        <f>IF(ISNUMBER(Y270),INDEX(AllCollegeILPub, MATCH(N270,AllCollegeNCES,0)),0)</f>
        <v>0</v>
      </c>
      <c r="BC270">
        <f>IF(AK270=ReachLabel,AP270,0)</f>
        <v>0</v>
      </c>
      <c r="BD270">
        <f>IF(AK270=MatchLabel,AP270,0)</f>
        <v>0</v>
      </c>
      <c r="BE270">
        <f>IF(AK270=SafetyLabel,AP270,0)</f>
        <v>0</v>
      </c>
      <c r="BF270">
        <f>IF(AK270=SecureLabel,AP270,0)</f>
        <v>0</v>
      </c>
      <c r="BG270">
        <f>IF(AK270=SureThingLabel,AP270,0)</f>
        <v>0</v>
      </c>
      <c r="BH270">
        <f>MAX(BC270:BG270)</f>
        <v>0</v>
      </c>
      <c r="BI270">
        <f>MAX(BD270:BG270)</f>
        <v>0</v>
      </c>
      <c r="BJ270">
        <f>MAX(BE270:BG270)</f>
        <v>0</v>
      </c>
      <c r="BK270">
        <f>IF(AND(AK270=ReachLabel,AY270=1),AP270,0)</f>
        <v>0</v>
      </c>
      <c r="BL270">
        <f>IF(AND(AK270=MatchLabel,AY270=1),AP270,0)</f>
        <v>0</v>
      </c>
      <c r="BM270">
        <f>IF(AND(AK270=SafetyLabel,AY270=1),AP270,0)</f>
        <v>0</v>
      </c>
      <c r="BN270">
        <f>IF(AND(AK270=SecureLabel,AY270=1),AP270,0)</f>
        <v>0</v>
      </c>
      <c r="BO270">
        <f>IF(AND(AK270=SureThingLabel,AY270=1),AP270,0)</f>
        <v>0</v>
      </c>
      <c r="BP270">
        <f>MAX(BK270:BO270)</f>
        <v>0</v>
      </c>
      <c r="BQ270">
        <f>MAX(BL270:BO270)</f>
        <v>0</v>
      </c>
      <c r="BR270">
        <f>MAX(BM270:BO270)</f>
        <v>0</v>
      </c>
      <c r="BS270">
        <f>IF(ISNUMBER(Y270),INDEX(AllCollegeChicago, MATCH(N270,AllCollegeNCES,0))*AY270,0)</f>
        <v>0</v>
      </c>
      <c r="BT270">
        <f>IF(ISNUMBER(Y270),INDEX(AllCollegeMoneyCode, MATCH(N270,AllCollegeNCES,0)),"?")</f>
        <v>0</v>
      </c>
      <c r="BU270">
        <f>IF(OR(BT270="---",BT270="--",BT270="+/--",BT270="+/---"),1,0)</f>
        <v>0</v>
      </c>
      <c r="BV270">
        <f>AY270*AO270*AQ270</f>
        <v>0</v>
      </c>
    </row>
    <row r="271" spans="1:74">
      <c r="A271" t="s">
        <v>86</v>
      </c>
      <c r="B271">
        <v>23036214</v>
      </c>
      <c r="C271" t="s">
        <v>126</v>
      </c>
      <c r="D271" t="s">
        <v>127</v>
      </c>
      <c r="E271" t="s">
        <v>428</v>
      </c>
      <c r="F271" t="s">
        <v>501</v>
      </c>
      <c r="G271" t="s">
        <v>430</v>
      </c>
      <c r="H271" t="s">
        <v>431</v>
      </c>
      <c r="I271" t="s">
        <v>432</v>
      </c>
      <c r="J271" t="s">
        <v>432</v>
      </c>
      <c r="K271">
        <v>0</v>
      </c>
      <c r="L271" t="s">
        <v>428</v>
      </c>
      <c r="M271" t="s">
        <v>428</v>
      </c>
      <c r="N271">
        <v>145725</v>
      </c>
      <c r="O271">
        <f>INDEX(AllCollegeBarrons,MATCH(N271,AllCollegeNCES,0))</f>
        <v>0</v>
      </c>
      <c r="P271">
        <f>INDEX(KidGPAs,MATCH(B271,KidIDs,0))</f>
        <v>0</v>
      </c>
      <c r="Q271">
        <f>INDEX(KidACTs,MATCH(B271,KidIDs,0))</f>
        <v>0</v>
      </c>
      <c r="R271">
        <f>INDEX(Strats,MATCH(B271,KidIDs,0))</f>
        <v>0</v>
      </c>
      <c r="S271">
        <f>INDEX(KidRace,MATCH(B271,KidIDs,0))</f>
        <v>0</v>
      </c>
      <c r="T271">
        <f>IF(OR(S271="M",S271="I"),"H",S271)</f>
        <v>0</v>
      </c>
      <c r="U271">
        <f>INDEX(StudentTargets,MATCH(B271,KidIDs,0))</f>
        <v>0</v>
      </c>
      <c r="V271">
        <f>INDEX(ReachStudentTargets,MATCH(B271,KidIDs,0))</f>
        <v>0</v>
      </c>
      <c r="W271">
        <f>IF(OR(M271="Posse"),1,0)</f>
        <v>0</v>
      </c>
      <c r="X271">
        <f>IF(ISNUMBER(INDEX(AllCollegeGR, MATCH(N271,AllCollegeNCES,0))),ROUND(INDEX(AllCollegeGR, MATCH(N271,AllCollegeNCES,0))+W271*IF(INDEX(AllCollegeGR, MATCH(N271,AllCollegeNCES,0))&gt;0.7,(1-INDEX(AllCollegeGR, MATCH(N271,AllCollegeNCES,0)))/2,0.15),2),INDEX(AllCollegeGR, MATCH(N271,AllCollegeNCES,0)))</f>
        <v>0</v>
      </c>
      <c r="Y271">
        <f>IF(ISNUMBER(INDEX(AllCollegeAAHGR, MATCH(N271,AllCollegeNCES,0))),ROUND(INDEX(AllCollegeAAHGR, MATCH(N271,AllCollegeNCES,0))+W271*IF(INDEX(AllCollegeAAHGR, MATCH(N271,AllCollegeNCES,0))&gt;0.7,(1-INDEX(AllCollegeAAHGR, MATCH(N271,AllCollegeNCES,0)))/2,0.15),2),INDEX(AllCollegeAAHGR, MATCH(N271,AllCollegeNCES,0)))</f>
        <v>0</v>
      </c>
      <c r="Z271">
        <f>IF(OR(T271="H",T271="B"),INDEX(AllCollegeACT25, MATCH(N271,AllCollegeNCES,0)),INDEX(AllCollegeACT50, MATCH(N271,AllCollegeNCES,0)))</f>
        <v>0</v>
      </c>
      <c r="AA271">
        <f>INDEX(CustomWeightsGPA,MATCH(T271&amp;":"&amp;N271,CustomWeightsIndex,0))</f>
        <v>0</v>
      </c>
      <c r="AB271">
        <f>INDEX(CustomWeightsACT,MATCH(T271&amp;":"&amp;N271,CustomWeightsIndex,0))</f>
        <v>0</v>
      </c>
      <c r="AC271">
        <f>INDEX(CustomWeightsIntercept,MATCH(T271&amp;":"&amp;N271,CustomWeightsIndex,0))</f>
        <v>0</v>
      </c>
      <c r="AD271">
        <f>AA271*P271+AB271*Q271+AC271</f>
        <v>0</v>
      </c>
      <c r="AE271">
        <f>INDEX(CoefficientsGPA,MATCH(T271&amp;":"&amp;O271,CoefficientsIndex,0))</f>
        <v>0</v>
      </c>
      <c r="AF271">
        <f>INDEX(CoefficientsACT,MATCH(T271&amp;":"&amp;O271,CoefficientsIndex,0))</f>
        <v>0</v>
      </c>
      <c r="AG271">
        <f>INDEX(CoefficientsIntercept,MATCH(T271&amp;":"&amp;O271,CoefficientsIndex,0))</f>
        <v>0</v>
      </c>
      <c r="AH271">
        <f>AE271*P271+(Q271-Z271)*AF271+AG271</f>
        <v>0</v>
      </c>
      <c r="AI271">
        <f>IF(ISNUMBER(AD271),AD271,AH271)</f>
        <v>0</v>
      </c>
      <c r="AJ271">
        <f>IF(ISNUMBER(AI271),IF(ISNUMBER(AE271),IF(AND(AE271=1,AF271=1,AG271=1),100,ROUND(100*EXP(AI271)/(1+EXP(AI271)),2)),ROUND(100*EXP(AI271)/(1+EXP(AI271)),2)),IF(ISTEXT(O271),IF(LEFT(O271,1)="2",100,"N/A"),"N/A"))</f>
        <v>0</v>
      </c>
      <c r="AK271">
        <f>IF(ISNUMBER(AJ271),IF(AJ271&gt;=99,IF(OR(R271=10,R271=11),MatchLabel,SureThingLabel),IF(AJ271&gt;=95,SecureLabel,IF(AJ271&gt;=80,SafetyLabel,IF(AJ271&gt;=50,MatchLabel,IF(AJ271&gt;=20,ReachLabel,IF(AJ271&gt;=10,LongshotLabel,HailMaryLabel)))))),"Other")</f>
        <v>0</v>
      </c>
      <c r="AL271">
        <f>IF(OR(I271="accepted",I271="cond. accept",I271="summer admit"),IF(J271="yes","CHOICE!","Accepted!"),IF(I271="denied","Denied",IF(K271=1,"Waitlist",IF(L271=1,"Deferred",IF(G271="pending","Pending",IF(OR(G271="initial materials submitted",G271="mid-year submitted",G271="final submitted"),"Submitted",IF(H271="interest","Interest","?")))))))</f>
        <v>0</v>
      </c>
      <c r="AM271">
        <f>IF(OR(AK271=ReachLabel,AK271=LongshotLabel,AK271=HailMaryLabel),1,0)</f>
        <v>0</v>
      </c>
      <c r="AN271">
        <f>IF(OR(AM271=1,AK271=MatchLabel),1,0)</f>
        <v>0</v>
      </c>
      <c r="AO271">
        <f>IF(OR(AK271=MatchLabel,AK271=SafetyLabel,AK271=SecureLabel,AK271=SureThingLabel),1,0)</f>
        <v>0</v>
      </c>
      <c r="AP271">
        <f>IF(OR(T271="H",T271="B"),IF(ISNUMBER(Y271),ROUND(Y271,2),0),IF(ISNUMBER(X271),ROUND(X271,2),0))</f>
        <v>0</v>
      </c>
      <c r="AQ271">
        <f>IF(AP271&gt;=U271,1,0)</f>
        <v>0</v>
      </c>
      <c r="AR271">
        <f>IF(AP271&gt;=V271,1,0)</f>
        <v>0</v>
      </c>
      <c r="AS271">
        <f>IF(AP271&lt;(U271-0.10),1,0)</f>
        <v>0</v>
      </c>
      <c r="AT271">
        <f>1-AJ271/100</f>
        <v>0</v>
      </c>
      <c r="AU271">
        <f>IF(AN271=1,AT271,1)</f>
        <v>0</v>
      </c>
      <c r="AV271">
        <f>IF(AM271=1,AT271,1)</f>
        <v>0</v>
      </c>
      <c r="AW271">
        <f>IF(AND(AQ271=1,ISNUMBER(AT271)),$AT271,1)</f>
        <v>0</v>
      </c>
      <c r="AX271">
        <f>IF(AND(AR271=1,ISNUMBER(AT271)),$AT271,1)</f>
        <v>0</v>
      </c>
      <c r="AY271">
        <f>IF(ISNUMBER(Y271),INDEX(AllCollegeMoney, MATCH(N271,AllCollegeNCES,0)),0)</f>
        <v>0</v>
      </c>
      <c r="AZ271">
        <f>IF(AND(AQ271=1,ISNUMBER(AT271),AY271=1),$AT271,1)</f>
        <v>0</v>
      </c>
      <c r="BA271">
        <f>IF(AND(AR271=1,ISNUMBER(AT271),AY271=1),$AT271,1)</f>
        <v>0</v>
      </c>
      <c r="BB271">
        <f>IF(ISNUMBER(Y271),INDEX(AllCollegeILPub, MATCH(N271,AllCollegeNCES,0)),0)</f>
        <v>0</v>
      </c>
      <c r="BC271">
        <f>IF(AK271=ReachLabel,AP271,0)</f>
        <v>0</v>
      </c>
      <c r="BD271">
        <f>IF(AK271=MatchLabel,AP271,0)</f>
        <v>0</v>
      </c>
      <c r="BE271">
        <f>IF(AK271=SafetyLabel,AP271,0)</f>
        <v>0</v>
      </c>
      <c r="BF271">
        <f>IF(AK271=SecureLabel,AP271,0)</f>
        <v>0</v>
      </c>
      <c r="BG271">
        <f>IF(AK271=SureThingLabel,AP271,0)</f>
        <v>0</v>
      </c>
      <c r="BH271">
        <f>MAX(BC271:BG271)</f>
        <v>0</v>
      </c>
      <c r="BI271">
        <f>MAX(BD271:BG271)</f>
        <v>0</v>
      </c>
      <c r="BJ271">
        <f>MAX(BE271:BG271)</f>
        <v>0</v>
      </c>
      <c r="BK271">
        <f>IF(AND(AK271=ReachLabel,AY271=1),AP271,0)</f>
        <v>0</v>
      </c>
      <c r="BL271">
        <f>IF(AND(AK271=MatchLabel,AY271=1),AP271,0)</f>
        <v>0</v>
      </c>
      <c r="BM271">
        <f>IF(AND(AK271=SafetyLabel,AY271=1),AP271,0)</f>
        <v>0</v>
      </c>
      <c r="BN271">
        <f>IF(AND(AK271=SecureLabel,AY271=1),AP271,0)</f>
        <v>0</v>
      </c>
      <c r="BO271">
        <f>IF(AND(AK271=SureThingLabel,AY271=1),AP271,0)</f>
        <v>0</v>
      </c>
      <c r="BP271">
        <f>MAX(BK271:BO271)</f>
        <v>0</v>
      </c>
      <c r="BQ271">
        <f>MAX(BL271:BO271)</f>
        <v>0</v>
      </c>
      <c r="BR271">
        <f>MAX(BM271:BO271)</f>
        <v>0</v>
      </c>
      <c r="BS271">
        <f>IF(ISNUMBER(Y271),INDEX(AllCollegeChicago, MATCH(N271,AllCollegeNCES,0))*AY271,0)</f>
        <v>0</v>
      </c>
      <c r="BT271">
        <f>IF(ISNUMBER(Y271),INDEX(AllCollegeMoneyCode, MATCH(N271,AllCollegeNCES,0)),"?")</f>
        <v>0</v>
      </c>
      <c r="BU271">
        <f>IF(OR(BT271="---",BT271="--",BT271="+/--",BT271="+/---"),1,0)</f>
        <v>0</v>
      </c>
      <c r="BV271">
        <f>AY271*AO271*AQ271</f>
        <v>0</v>
      </c>
    </row>
    <row r="272" spans="1:74">
      <c r="A272" t="s">
        <v>86</v>
      </c>
      <c r="B272">
        <v>23036214</v>
      </c>
      <c r="C272" t="s">
        <v>126</v>
      </c>
      <c r="D272" t="s">
        <v>127</v>
      </c>
      <c r="E272" t="s">
        <v>428</v>
      </c>
      <c r="F272" t="s">
        <v>519</v>
      </c>
      <c r="G272" t="s">
        <v>430</v>
      </c>
      <c r="H272" t="s">
        <v>431</v>
      </c>
      <c r="I272" t="s">
        <v>432</v>
      </c>
      <c r="J272" t="s">
        <v>432</v>
      </c>
      <c r="K272">
        <v>0</v>
      </c>
      <c r="L272" t="s">
        <v>428</v>
      </c>
      <c r="M272" t="s">
        <v>428</v>
      </c>
      <c r="N272">
        <v>239628</v>
      </c>
      <c r="O272">
        <f>INDEX(AllCollegeBarrons,MATCH(N272,AllCollegeNCES,0))</f>
        <v>0</v>
      </c>
      <c r="P272">
        <f>INDEX(KidGPAs,MATCH(B272,KidIDs,0))</f>
        <v>0</v>
      </c>
      <c r="Q272">
        <f>INDEX(KidACTs,MATCH(B272,KidIDs,0))</f>
        <v>0</v>
      </c>
      <c r="R272">
        <f>INDEX(Strats,MATCH(B272,KidIDs,0))</f>
        <v>0</v>
      </c>
      <c r="S272">
        <f>INDEX(KidRace,MATCH(B272,KidIDs,0))</f>
        <v>0</v>
      </c>
      <c r="T272">
        <f>IF(OR(S272="M",S272="I"),"H",S272)</f>
        <v>0</v>
      </c>
      <c r="U272">
        <f>INDEX(StudentTargets,MATCH(B272,KidIDs,0))</f>
        <v>0</v>
      </c>
      <c r="V272">
        <f>INDEX(ReachStudentTargets,MATCH(B272,KidIDs,0))</f>
        <v>0</v>
      </c>
      <c r="W272">
        <f>IF(OR(M272="Posse"),1,0)</f>
        <v>0</v>
      </c>
      <c r="X272">
        <f>IF(ISNUMBER(INDEX(AllCollegeGR, MATCH(N272,AllCollegeNCES,0))),ROUND(INDEX(AllCollegeGR, MATCH(N272,AllCollegeNCES,0))+W272*IF(INDEX(AllCollegeGR, MATCH(N272,AllCollegeNCES,0))&gt;0.7,(1-INDEX(AllCollegeGR, MATCH(N272,AllCollegeNCES,0)))/2,0.15),2),INDEX(AllCollegeGR, MATCH(N272,AllCollegeNCES,0)))</f>
        <v>0</v>
      </c>
      <c r="Y272">
        <f>IF(ISNUMBER(INDEX(AllCollegeAAHGR, MATCH(N272,AllCollegeNCES,0))),ROUND(INDEX(AllCollegeAAHGR, MATCH(N272,AllCollegeNCES,0))+W272*IF(INDEX(AllCollegeAAHGR, MATCH(N272,AllCollegeNCES,0))&gt;0.7,(1-INDEX(AllCollegeAAHGR, MATCH(N272,AllCollegeNCES,0)))/2,0.15),2),INDEX(AllCollegeAAHGR, MATCH(N272,AllCollegeNCES,0)))</f>
        <v>0</v>
      </c>
      <c r="Z272">
        <f>IF(OR(T272="H",T272="B"),INDEX(AllCollegeACT25, MATCH(N272,AllCollegeNCES,0)),INDEX(AllCollegeACT50, MATCH(N272,AllCollegeNCES,0)))</f>
        <v>0</v>
      </c>
      <c r="AA272">
        <f>INDEX(CustomWeightsGPA,MATCH(T272&amp;":"&amp;N272,CustomWeightsIndex,0))</f>
        <v>0</v>
      </c>
      <c r="AB272">
        <f>INDEX(CustomWeightsACT,MATCH(T272&amp;":"&amp;N272,CustomWeightsIndex,0))</f>
        <v>0</v>
      </c>
      <c r="AC272">
        <f>INDEX(CustomWeightsIntercept,MATCH(T272&amp;":"&amp;N272,CustomWeightsIndex,0))</f>
        <v>0</v>
      </c>
      <c r="AD272">
        <f>AA272*P272+AB272*Q272+AC272</f>
        <v>0</v>
      </c>
      <c r="AE272">
        <f>INDEX(CoefficientsGPA,MATCH(T272&amp;":"&amp;O272,CoefficientsIndex,0))</f>
        <v>0</v>
      </c>
      <c r="AF272">
        <f>INDEX(CoefficientsACT,MATCH(T272&amp;":"&amp;O272,CoefficientsIndex,0))</f>
        <v>0</v>
      </c>
      <c r="AG272">
        <f>INDEX(CoefficientsIntercept,MATCH(T272&amp;":"&amp;O272,CoefficientsIndex,0))</f>
        <v>0</v>
      </c>
      <c r="AH272">
        <f>AE272*P272+(Q272-Z272)*AF272+AG272</f>
        <v>0</v>
      </c>
      <c r="AI272">
        <f>IF(ISNUMBER(AD272),AD272,AH272)</f>
        <v>0</v>
      </c>
      <c r="AJ272">
        <f>IF(ISNUMBER(AI272),IF(ISNUMBER(AE272),IF(AND(AE272=1,AF272=1,AG272=1),100,ROUND(100*EXP(AI272)/(1+EXP(AI272)),2)),ROUND(100*EXP(AI272)/(1+EXP(AI272)),2)),IF(ISTEXT(O272),IF(LEFT(O272,1)="2",100,"N/A"),"N/A"))</f>
        <v>0</v>
      </c>
      <c r="AK272">
        <f>IF(ISNUMBER(AJ272),IF(AJ272&gt;=99,IF(OR(R272=10,R272=11),MatchLabel,SureThingLabel),IF(AJ272&gt;=95,SecureLabel,IF(AJ272&gt;=80,SafetyLabel,IF(AJ272&gt;=50,MatchLabel,IF(AJ272&gt;=20,ReachLabel,IF(AJ272&gt;=10,LongshotLabel,HailMaryLabel)))))),"Other")</f>
        <v>0</v>
      </c>
      <c r="AL272">
        <f>IF(OR(I272="accepted",I272="cond. accept",I272="summer admit"),IF(J272="yes","CHOICE!","Accepted!"),IF(I272="denied","Denied",IF(K272=1,"Waitlist",IF(L272=1,"Deferred",IF(G272="pending","Pending",IF(OR(G272="initial materials submitted",G272="mid-year submitted",G272="final submitted"),"Submitted",IF(H272="interest","Interest","?")))))))</f>
        <v>0</v>
      </c>
      <c r="AM272">
        <f>IF(OR(AK272=ReachLabel,AK272=LongshotLabel,AK272=HailMaryLabel),1,0)</f>
        <v>0</v>
      </c>
      <c r="AN272">
        <f>IF(OR(AM272=1,AK272=MatchLabel),1,0)</f>
        <v>0</v>
      </c>
      <c r="AO272">
        <f>IF(OR(AK272=MatchLabel,AK272=SafetyLabel,AK272=SecureLabel,AK272=SureThingLabel),1,0)</f>
        <v>0</v>
      </c>
      <c r="AP272">
        <f>IF(OR(T272="H",T272="B"),IF(ISNUMBER(Y272),ROUND(Y272,2),0),IF(ISNUMBER(X272),ROUND(X272,2),0))</f>
        <v>0</v>
      </c>
      <c r="AQ272">
        <f>IF(AP272&gt;=U272,1,0)</f>
        <v>0</v>
      </c>
      <c r="AR272">
        <f>IF(AP272&gt;=V272,1,0)</f>
        <v>0</v>
      </c>
      <c r="AS272">
        <f>IF(AP272&lt;(U272-0.10),1,0)</f>
        <v>0</v>
      </c>
      <c r="AT272">
        <f>1-AJ272/100</f>
        <v>0</v>
      </c>
      <c r="AU272">
        <f>IF(AN272=1,AT272,1)</f>
        <v>0</v>
      </c>
      <c r="AV272">
        <f>IF(AM272=1,AT272,1)</f>
        <v>0</v>
      </c>
      <c r="AW272">
        <f>IF(AND(AQ272=1,ISNUMBER(AT272)),$AT272,1)</f>
        <v>0</v>
      </c>
      <c r="AX272">
        <f>IF(AND(AR272=1,ISNUMBER(AT272)),$AT272,1)</f>
        <v>0</v>
      </c>
      <c r="AY272">
        <f>IF(ISNUMBER(Y272),INDEX(AllCollegeMoney, MATCH(N272,AllCollegeNCES,0)),0)</f>
        <v>0</v>
      </c>
      <c r="AZ272">
        <f>IF(AND(AQ272=1,ISNUMBER(AT272),AY272=1),$AT272,1)</f>
        <v>0</v>
      </c>
      <c r="BA272">
        <f>IF(AND(AR272=1,ISNUMBER(AT272),AY272=1),$AT272,1)</f>
        <v>0</v>
      </c>
      <c r="BB272">
        <f>IF(ISNUMBER(Y272),INDEX(AllCollegeILPub, MATCH(N272,AllCollegeNCES,0)),0)</f>
        <v>0</v>
      </c>
      <c r="BC272">
        <f>IF(AK272=ReachLabel,AP272,0)</f>
        <v>0</v>
      </c>
      <c r="BD272">
        <f>IF(AK272=MatchLabel,AP272,0)</f>
        <v>0</v>
      </c>
      <c r="BE272">
        <f>IF(AK272=SafetyLabel,AP272,0)</f>
        <v>0</v>
      </c>
      <c r="BF272">
        <f>IF(AK272=SecureLabel,AP272,0)</f>
        <v>0</v>
      </c>
      <c r="BG272">
        <f>IF(AK272=SureThingLabel,AP272,0)</f>
        <v>0</v>
      </c>
      <c r="BH272">
        <f>MAX(BC272:BG272)</f>
        <v>0</v>
      </c>
      <c r="BI272">
        <f>MAX(BD272:BG272)</f>
        <v>0</v>
      </c>
      <c r="BJ272">
        <f>MAX(BE272:BG272)</f>
        <v>0</v>
      </c>
      <c r="BK272">
        <f>IF(AND(AK272=ReachLabel,AY272=1),AP272,0)</f>
        <v>0</v>
      </c>
      <c r="BL272">
        <f>IF(AND(AK272=MatchLabel,AY272=1),AP272,0)</f>
        <v>0</v>
      </c>
      <c r="BM272">
        <f>IF(AND(AK272=SafetyLabel,AY272=1),AP272,0)</f>
        <v>0</v>
      </c>
      <c r="BN272">
        <f>IF(AND(AK272=SecureLabel,AY272=1),AP272,0)</f>
        <v>0</v>
      </c>
      <c r="BO272">
        <f>IF(AND(AK272=SureThingLabel,AY272=1),AP272,0)</f>
        <v>0</v>
      </c>
      <c r="BP272">
        <f>MAX(BK272:BO272)</f>
        <v>0</v>
      </c>
      <c r="BQ272">
        <f>MAX(BL272:BO272)</f>
        <v>0</v>
      </c>
      <c r="BR272">
        <f>MAX(BM272:BO272)</f>
        <v>0</v>
      </c>
      <c r="BS272">
        <f>IF(ISNUMBER(Y272),INDEX(AllCollegeChicago, MATCH(N272,AllCollegeNCES,0))*AY272,0)</f>
        <v>0</v>
      </c>
      <c r="BT272">
        <f>IF(ISNUMBER(Y272),INDEX(AllCollegeMoneyCode, MATCH(N272,AllCollegeNCES,0)),"?")</f>
        <v>0</v>
      </c>
      <c r="BU272">
        <f>IF(OR(BT272="---",BT272="--",BT272="+/--",BT272="+/---"),1,0)</f>
        <v>0</v>
      </c>
      <c r="BV272">
        <f>AY272*AO272*AQ272</f>
        <v>0</v>
      </c>
    </row>
    <row r="273" spans="1:74">
      <c r="A273" t="s">
        <v>86</v>
      </c>
      <c r="B273">
        <v>23036214</v>
      </c>
      <c r="C273" t="s">
        <v>126</v>
      </c>
      <c r="D273" t="s">
        <v>127</v>
      </c>
      <c r="E273" t="s">
        <v>428</v>
      </c>
      <c r="F273" t="s">
        <v>462</v>
      </c>
      <c r="G273" t="s">
        <v>463</v>
      </c>
      <c r="H273" t="s">
        <v>431</v>
      </c>
      <c r="I273" t="s">
        <v>432</v>
      </c>
      <c r="J273" t="s">
        <v>432</v>
      </c>
      <c r="K273">
        <v>0</v>
      </c>
      <c r="L273" t="s">
        <v>428</v>
      </c>
      <c r="M273" t="s">
        <v>428</v>
      </c>
      <c r="N273">
        <v>168546</v>
      </c>
      <c r="O273">
        <f>INDEX(AllCollegeBarrons,MATCH(N273,AllCollegeNCES,0))</f>
        <v>0</v>
      </c>
      <c r="P273">
        <f>INDEX(KidGPAs,MATCH(B273,KidIDs,0))</f>
        <v>0</v>
      </c>
      <c r="Q273">
        <f>INDEX(KidACTs,MATCH(B273,KidIDs,0))</f>
        <v>0</v>
      </c>
      <c r="R273">
        <f>INDEX(Strats,MATCH(B273,KidIDs,0))</f>
        <v>0</v>
      </c>
      <c r="S273">
        <f>INDEX(KidRace,MATCH(B273,KidIDs,0))</f>
        <v>0</v>
      </c>
      <c r="T273">
        <f>IF(OR(S273="M",S273="I"),"H",S273)</f>
        <v>0</v>
      </c>
      <c r="U273">
        <f>INDEX(StudentTargets,MATCH(B273,KidIDs,0))</f>
        <v>0</v>
      </c>
      <c r="V273">
        <f>INDEX(ReachStudentTargets,MATCH(B273,KidIDs,0))</f>
        <v>0</v>
      </c>
      <c r="W273">
        <f>IF(OR(M273="Posse"),1,0)</f>
        <v>0</v>
      </c>
      <c r="X273">
        <f>IF(ISNUMBER(INDEX(AllCollegeGR, MATCH(N273,AllCollegeNCES,0))),ROUND(INDEX(AllCollegeGR, MATCH(N273,AllCollegeNCES,0))+W273*IF(INDEX(AllCollegeGR, MATCH(N273,AllCollegeNCES,0))&gt;0.7,(1-INDEX(AllCollegeGR, MATCH(N273,AllCollegeNCES,0)))/2,0.15),2),INDEX(AllCollegeGR, MATCH(N273,AllCollegeNCES,0)))</f>
        <v>0</v>
      </c>
      <c r="Y273">
        <f>IF(ISNUMBER(INDEX(AllCollegeAAHGR, MATCH(N273,AllCollegeNCES,0))),ROUND(INDEX(AllCollegeAAHGR, MATCH(N273,AllCollegeNCES,0))+W273*IF(INDEX(AllCollegeAAHGR, MATCH(N273,AllCollegeNCES,0))&gt;0.7,(1-INDEX(AllCollegeAAHGR, MATCH(N273,AllCollegeNCES,0)))/2,0.15),2),INDEX(AllCollegeAAHGR, MATCH(N273,AllCollegeNCES,0)))</f>
        <v>0</v>
      </c>
      <c r="Z273">
        <f>IF(OR(T273="H",T273="B"),INDEX(AllCollegeACT25, MATCH(N273,AllCollegeNCES,0)),INDEX(AllCollegeACT50, MATCH(N273,AllCollegeNCES,0)))</f>
        <v>0</v>
      </c>
      <c r="AA273">
        <f>INDEX(CustomWeightsGPA,MATCH(T273&amp;":"&amp;N273,CustomWeightsIndex,0))</f>
        <v>0</v>
      </c>
      <c r="AB273">
        <f>INDEX(CustomWeightsACT,MATCH(T273&amp;":"&amp;N273,CustomWeightsIndex,0))</f>
        <v>0</v>
      </c>
      <c r="AC273">
        <f>INDEX(CustomWeightsIntercept,MATCH(T273&amp;":"&amp;N273,CustomWeightsIndex,0))</f>
        <v>0</v>
      </c>
      <c r="AD273">
        <f>AA273*P273+AB273*Q273+AC273</f>
        <v>0</v>
      </c>
      <c r="AE273">
        <f>INDEX(CoefficientsGPA,MATCH(T273&amp;":"&amp;O273,CoefficientsIndex,0))</f>
        <v>0</v>
      </c>
      <c r="AF273">
        <f>INDEX(CoefficientsACT,MATCH(T273&amp;":"&amp;O273,CoefficientsIndex,0))</f>
        <v>0</v>
      </c>
      <c r="AG273">
        <f>INDEX(CoefficientsIntercept,MATCH(T273&amp;":"&amp;O273,CoefficientsIndex,0))</f>
        <v>0</v>
      </c>
      <c r="AH273">
        <f>AE273*P273+(Q273-Z273)*AF273+AG273</f>
        <v>0</v>
      </c>
      <c r="AI273">
        <f>IF(ISNUMBER(AD273),AD273,AH273)</f>
        <v>0</v>
      </c>
      <c r="AJ273">
        <f>IF(ISNUMBER(AI273),IF(ISNUMBER(AE273),IF(AND(AE273=1,AF273=1,AG273=1),100,ROUND(100*EXP(AI273)/(1+EXP(AI273)),2)),ROUND(100*EXP(AI273)/(1+EXP(AI273)),2)),IF(ISTEXT(O273),IF(LEFT(O273,1)="2",100,"N/A"),"N/A"))</f>
        <v>0</v>
      </c>
      <c r="AK273">
        <f>IF(ISNUMBER(AJ273),IF(AJ273&gt;=99,IF(OR(R273=10,R273=11),MatchLabel,SureThingLabel),IF(AJ273&gt;=95,SecureLabel,IF(AJ273&gt;=80,SafetyLabel,IF(AJ273&gt;=50,MatchLabel,IF(AJ273&gt;=20,ReachLabel,IF(AJ273&gt;=10,LongshotLabel,HailMaryLabel)))))),"Other")</f>
        <v>0</v>
      </c>
      <c r="AL273">
        <f>IF(OR(I273="accepted",I273="cond. accept",I273="summer admit"),IF(J273="yes","CHOICE!","Accepted!"),IF(I273="denied","Denied",IF(K273=1,"Waitlist",IF(L273=1,"Deferred",IF(G273="pending","Pending",IF(OR(G273="initial materials submitted",G273="mid-year submitted",G273="final submitted"),"Submitted",IF(H273="interest","Interest","?")))))))</f>
        <v>0</v>
      </c>
      <c r="AM273">
        <f>IF(OR(AK273=ReachLabel,AK273=LongshotLabel,AK273=HailMaryLabel),1,0)</f>
        <v>0</v>
      </c>
      <c r="AN273">
        <f>IF(OR(AM273=1,AK273=MatchLabel),1,0)</f>
        <v>0</v>
      </c>
      <c r="AO273">
        <f>IF(OR(AK273=MatchLabel,AK273=SafetyLabel,AK273=SecureLabel,AK273=SureThingLabel),1,0)</f>
        <v>0</v>
      </c>
      <c r="AP273">
        <f>IF(OR(T273="H",T273="B"),IF(ISNUMBER(Y273),ROUND(Y273,2),0),IF(ISNUMBER(X273),ROUND(X273,2),0))</f>
        <v>0</v>
      </c>
      <c r="AQ273">
        <f>IF(AP273&gt;=U273,1,0)</f>
        <v>0</v>
      </c>
      <c r="AR273">
        <f>IF(AP273&gt;=V273,1,0)</f>
        <v>0</v>
      </c>
      <c r="AS273">
        <f>IF(AP273&lt;(U273-0.10),1,0)</f>
        <v>0</v>
      </c>
      <c r="AT273">
        <f>1-AJ273/100</f>
        <v>0</v>
      </c>
      <c r="AU273">
        <f>IF(AN273=1,AT273,1)</f>
        <v>0</v>
      </c>
      <c r="AV273">
        <f>IF(AM273=1,AT273,1)</f>
        <v>0</v>
      </c>
      <c r="AW273">
        <f>IF(AND(AQ273=1,ISNUMBER(AT273)),$AT273,1)</f>
        <v>0</v>
      </c>
      <c r="AX273">
        <f>IF(AND(AR273=1,ISNUMBER(AT273)),$AT273,1)</f>
        <v>0</v>
      </c>
      <c r="AY273">
        <f>IF(ISNUMBER(Y273),INDEX(AllCollegeMoney, MATCH(N273,AllCollegeNCES,0)),0)</f>
        <v>0</v>
      </c>
      <c r="AZ273">
        <f>IF(AND(AQ273=1,ISNUMBER(AT273),AY273=1),$AT273,1)</f>
        <v>0</v>
      </c>
      <c r="BA273">
        <f>IF(AND(AR273=1,ISNUMBER(AT273),AY273=1),$AT273,1)</f>
        <v>0</v>
      </c>
      <c r="BB273">
        <f>IF(ISNUMBER(Y273),INDEX(AllCollegeILPub, MATCH(N273,AllCollegeNCES,0)),0)</f>
        <v>0</v>
      </c>
      <c r="BC273">
        <f>IF(AK273=ReachLabel,AP273,0)</f>
        <v>0</v>
      </c>
      <c r="BD273">
        <f>IF(AK273=MatchLabel,AP273,0)</f>
        <v>0</v>
      </c>
      <c r="BE273">
        <f>IF(AK273=SafetyLabel,AP273,0)</f>
        <v>0</v>
      </c>
      <c r="BF273">
        <f>IF(AK273=SecureLabel,AP273,0)</f>
        <v>0</v>
      </c>
      <c r="BG273">
        <f>IF(AK273=SureThingLabel,AP273,0)</f>
        <v>0</v>
      </c>
      <c r="BH273">
        <f>MAX(BC273:BG273)</f>
        <v>0</v>
      </c>
      <c r="BI273">
        <f>MAX(BD273:BG273)</f>
        <v>0</v>
      </c>
      <c r="BJ273">
        <f>MAX(BE273:BG273)</f>
        <v>0</v>
      </c>
      <c r="BK273">
        <f>IF(AND(AK273=ReachLabel,AY273=1),AP273,0)</f>
        <v>0</v>
      </c>
      <c r="BL273">
        <f>IF(AND(AK273=MatchLabel,AY273=1),AP273,0)</f>
        <v>0</v>
      </c>
      <c r="BM273">
        <f>IF(AND(AK273=SafetyLabel,AY273=1),AP273,0)</f>
        <v>0</v>
      </c>
      <c r="BN273">
        <f>IF(AND(AK273=SecureLabel,AY273=1),AP273,0)</f>
        <v>0</v>
      </c>
      <c r="BO273">
        <f>IF(AND(AK273=SureThingLabel,AY273=1),AP273,0)</f>
        <v>0</v>
      </c>
      <c r="BP273">
        <f>MAX(BK273:BO273)</f>
        <v>0</v>
      </c>
      <c r="BQ273">
        <f>MAX(BL273:BO273)</f>
        <v>0</v>
      </c>
      <c r="BR273">
        <f>MAX(BM273:BO273)</f>
        <v>0</v>
      </c>
      <c r="BS273">
        <f>IF(ISNUMBER(Y273),INDEX(AllCollegeChicago, MATCH(N273,AllCollegeNCES,0))*AY273,0)</f>
        <v>0</v>
      </c>
      <c r="BT273">
        <f>IF(ISNUMBER(Y273),INDEX(AllCollegeMoneyCode, MATCH(N273,AllCollegeNCES,0)),"?")</f>
        <v>0</v>
      </c>
      <c r="BU273">
        <f>IF(OR(BT273="---",BT273="--",BT273="+/--",BT273="+/---"),1,0)</f>
        <v>0</v>
      </c>
      <c r="BV273">
        <f>AY273*AO273*AQ273</f>
        <v>0</v>
      </c>
    </row>
    <row r="274" spans="1:74">
      <c r="A274" t="s">
        <v>86</v>
      </c>
      <c r="B274">
        <v>23036214</v>
      </c>
      <c r="C274" t="s">
        <v>126</v>
      </c>
      <c r="D274" t="s">
        <v>127</v>
      </c>
      <c r="E274" t="s">
        <v>428</v>
      </c>
      <c r="F274" t="s">
        <v>512</v>
      </c>
      <c r="G274" t="s">
        <v>430</v>
      </c>
      <c r="H274" t="s">
        <v>431</v>
      </c>
      <c r="I274" t="s">
        <v>432</v>
      </c>
      <c r="J274" t="s">
        <v>432</v>
      </c>
      <c r="K274">
        <v>0</v>
      </c>
      <c r="L274" t="s">
        <v>428</v>
      </c>
      <c r="M274" t="s">
        <v>428</v>
      </c>
      <c r="N274">
        <v>145691</v>
      </c>
      <c r="O274">
        <f>INDEX(AllCollegeBarrons,MATCH(N274,AllCollegeNCES,0))</f>
        <v>0</v>
      </c>
      <c r="P274">
        <f>INDEX(KidGPAs,MATCH(B274,KidIDs,0))</f>
        <v>0</v>
      </c>
      <c r="Q274">
        <f>INDEX(KidACTs,MATCH(B274,KidIDs,0))</f>
        <v>0</v>
      </c>
      <c r="R274">
        <f>INDEX(Strats,MATCH(B274,KidIDs,0))</f>
        <v>0</v>
      </c>
      <c r="S274">
        <f>INDEX(KidRace,MATCH(B274,KidIDs,0))</f>
        <v>0</v>
      </c>
      <c r="T274">
        <f>IF(OR(S274="M",S274="I"),"H",S274)</f>
        <v>0</v>
      </c>
      <c r="U274">
        <f>INDEX(StudentTargets,MATCH(B274,KidIDs,0))</f>
        <v>0</v>
      </c>
      <c r="V274">
        <f>INDEX(ReachStudentTargets,MATCH(B274,KidIDs,0))</f>
        <v>0</v>
      </c>
      <c r="W274">
        <f>IF(OR(M274="Posse"),1,0)</f>
        <v>0</v>
      </c>
      <c r="X274">
        <f>IF(ISNUMBER(INDEX(AllCollegeGR, MATCH(N274,AllCollegeNCES,0))),ROUND(INDEX(AllCollegeGR, MATCH(N274,AllCollegeNCES,0))+W274*IF(INDEX(AllCollegeGR, MATCH(N274,AllCollegeNCES,0))&gt;0.7,(1-INDEX(AllCollegeGR, MATCH(N274,AllCollegeNCES,0)))/2,0.15),2),INDEX(AllCollegeGR, MATCH(N274,AllCollegeNCES,0)))</f>
        <v>0</v>
      </c>
      <c r="Y274">
        <f>IF(ISNUMBER(INDEX(AllCollegeAAHGR, MATCH(N274,AllCollegeNCES,0))),ROUND(INDEX(AllCollegeAAHGR, MATCH(N274,AllCollegeNCES,0))+W274*IF(INDEX(AllCollegeAAHGR, MATCH(N274,AllCollegeNCES,0))&gt;0.7,(1-INDEX(AllCollegeAAHGR, MATCH(N274,AllCollegeNCES,0)))/2,0.15),2),INDEX(AllCollegeAAHGR, MATCH(N274,AllCollegeNCES,0)))</f>
        <v>0</v>
      </c>
      <c r="Z274">
        <f>IF(OR(T274="H",T274="B"),INDEX(AllCollegeACT25, MATCH(N274,AllCollegeNCES,0)),INDEX(AllCollegeACT50, MATCH(N274,AllCollegeNCES,0)))</f>
        <v>0</v>
      </c>
      <c r="AA274">
        <f>INDEX(CustomWeightsGPA,MATCH(T274&amp;":"&amp;N274,CustomWeightsIndex,0))</f>
        <v>0</v>
      </c>
      <c r="AB274">
        <f>INDEX(CustomWeightsACT,MATCH(T274&amp;":"&amp;N274,CustomWeightsIndex,0))</f>
        <v>0</v>
      </c>
      <c r="AC274">
        <f>INDEX(CustomWeightsIntercept,MATCH(T274&amp;":"&amp;N274,CustomWeightsIndex,0))</f>
        <v>0</v>
      </c>
      <c r="AD274">
        <f>AA274*P274+AB274*Q274+AC274</f>
        <v>0</v>
      </c>
      <c r="AE274">
        <f>INDEX(CoefficientsGPA,MATCH(T274&amp;":"&amp;O274,CoefficientsIndex,0))</f>
        <v>0</v>
      </c>
      <c r="AF274">
        <f>INDEX(CoefficientsACT,MATCH(T274&amp;":"&amp;O274,CoefficientsIndex,0))</f>
        <v>0</v>
      </c>
      <c r="AG274">
        <f>INDEX(CoefficientsIntercept,MATCH(T274&amp;":"&amp;O274,CoefficientsIndex,0))</f>
        <v>0</v>
      </c>
      <c r="AH274">
        <f>AE274*P274+(Q274-Z274)*AF274+AG274</f>
        <v>0</v>
      </c>
      <c r="AI274">
        <f>IF(ISNUMBER(AD274),AD274,AH274)</f>
        <v>0</v>
      </c>
      <c r="AJ274">
        <f>IF(ISNUMBER(AI274),IF(ISNUMBER(AE274),IF(AND(AE274=1,AF274=1,AG274=1),100,ROUND(100*EXP(AI274)/(1+EXP(AI274)),2)),ROUND(100*EXP(AI274)/(1+EXP(AI274)),2)),IF(ISTEXT(O274),IF(LEFT(O274,1)="2",100,"N/A"),"N/A"))</f>
        <v>0</v>
      </c>
      <c r="AK274">
        <f>IF(ISNUMBER(AJ274),IF(AJ274&gt;=99,IF(OR(R274=10,R274=11),MatchLabel,SureThingLabel),IF(AJ274&gt;=95,SecureLabel,IF(AJ274&gt;=80,SafetyLabel,IF(AJ274&gt;=50,MatchLabel,IF(AJ274&gt;=20,ReachLabel,IF(AJ274&gt;=10,LongshotLabel,HailMaryLabel)))))),"Other")</f>
        <v>0</v>
      </c>
      <c r="AL274">
        <f>IF(OR(I274="accepted",I274="cond. accept",I274="summer admit"),IF(J274="yes","CHOICE!","Accepted!"),IF(I274="denied","Denied",IF(K274=1,"Waitlist",IF(L274=1,"Deferred",IF(G274="pending","Pending",IF(OR(G274="initial materials submitted",G274="mid-year submitted",G274="final submitted"),"Submitted",IF(H274="interest","Interest","?")))))))</f>
        <v>0</v>
      </c>
      <c r="AM274">
        <f>IF(OR(AK274=ReachLabel,AK274=LongshotLabel,AK274=HailMaryLabel),1,0)</f>
        <v>0</v>
      </c>
      <c r="AN274">
        <f>IF(OR(AM274=1,AK274=MatchLabel),1,0)</f>
        <v>0</v>
      </c>
      <c r="AO274">
        <f>IF(OR(AK274=MatchLabel,AK274=SafetyLabel,AK274=SecureLabel,AK274=SureThingLabel),1,0)</f>
        <v>0</v>
      </c>
      <c r="AP274">
        <f>IF(OR(T274="H",T274="B"),IF(ISNUMBER(Y274),ROUND(Y274,2),0),IF(ISNUMBER(X274),ROUND(X274,2),0))</f>
        <v>0</v>
      </c>
      <c r="AQ274">
        <f>IF(AP274&gt;=U274,1,0)</f>
        <v>0</v>
      </c>
      <c r="AR274">
        <f>IF(AP274&gt;=V274,1,0)</f>
        <v>0</v>
      </c>
      <c r="AS274">
        <f>IF(AP274&lt;(U274-0.10),1,0)</f>
        <v>0</v>
      </c>
      <c r="AT274">
        <f>1-AJ274/100</f>
        <v>0</v>
      </c>
      <c r="AU274">
        <f>IF(AN274=1,AT274,1)</f>
        <v>0</v>
      </c>
      <c r="AV274">
        <f>IF(AM274=1,AT274,1)</f>
        <v>0</v>
      </c>
      <c r="AW274">
        <f>IF(AND(AQ274=1,ISNUMBER(AT274)),$AT274,1)</f>
        <v>0</v>
      </c>
      <c r="AX274">
        <f>IF(AND(AR274=1,ISNUMBER(AT274)),$AT274,1)</f>
        <v>0</v>
      </c>
      <c r="AY274">
        <f>IF(ISNUMBER(Y274),INDEX(AllCollegeMoney, MATCH(N274,AllCollegeNCES,0)),0)</f>
        <v>0</v>
      </c>
      <c r="AZ274">
        <f>IF(AND(AQ274=1,ISNUMBER(AT274),AY274=1),$AT274,1)</f>
        <v>0</v>
      </c>
      <c r="BA274">
        <f>IF(AND(AR274=1,ISNUMBER(AT274),AY274=1),$AT274,1)</f>
        <v>0</v>
      </c>
      <c r="BB274">
        <f>IF(ISNUMBER(Y274),INDEX(AllCollegeILPub, MATCH(N274,AllCollegeNCES,0)),0)</f>
        <v>0</v>
      </c>
      <c r="BC274">
        <f>IF(AK274=ReachLabel,AP274,0)</f>
        <v>0</v>
      </c>
      <c r="BD274">
        <f>IF(AK274=MatchLabel,AP274,0)</f>
        <v>0</v>
      </c>
      <c r="BE274">
        <f>IF(AK274=SafetyLabel,AP274,0)</f>
        <v>0</v>
      </c>
      <c r="BF274">
        <f>IF(AK274=SecureLabel,AP274,0)</f>
        <v>0</v>
      </c>
      <c r="BG274">
        <f>IF(AK274=SureThingLabel,AP274,0)</f>
        <v>0</v>
      </c>
      <c r="BH274">
        <f>MAX(BC274:BG274)</f>
        <v>0</v>
      </c>
      <c r="BI274">
        <f>MAX(BD274:BG274)</f>
        <v>0</v>
      </c>
      <c r="BJ274">
        <f>MAX(BE274:BG274)</f>
        <v>0</v>
      </c>
      <c r="BK274">
        <f>IF(AND(AK274=ReachLabel,AY274=1),AP274,0)</f>
        <v>0</v>
      </c>
      <c r="BL274">
        <f>IF(AND(AK274=MatchLabel,AY274=1),AP274,0)</f>
        <v>0</v>
      </c>
      <c r="BM274">
        <f>IF(AND(AK274=SafetyLabel,AY274=1),AP274,0)</f>
        <v>0</v>
      </c>
      <c r="BN274">
        <f>IF(AND(AK274=SecureLabel,AY274=1),AP274,0)</f>
        <v>0</v>
      </c>
      <c r="BO274">
        <f>IF(AND(AK274=SureThingLabel,AY274=1),AP274,0)</f>
        <v>0</v>
      </c>
      <c r="BP274">
        <f>MAX(BK274:BO274)</f>
        <v>0</v>
      </c>
      <c r="BQ274">
        <f>MAX(BL274:BO274)</f>
        <v>0</v>
      </c>
      <c r="BR274">
        <f>MAX(BM274:BO274)</f>
        <v>0</v>
      </c>
      <c r="BS274">
        <f>IF(ISNUMBER(Y274),INDEX(AllCollegeChicago, MATCH(N274,AllCollegeNCES,0))*AY274,0)</f>
        <v>0</v>
      </c>
      <c r="BT274">
        <f>IF(ISNUMBER(Y274),INDEX(AllCollegeMoneyCode, MATCH(N274,AllCollegeNCES,0)),"?")</f>
        <v>0</v>
      </c>
      <c r="BU274">
        <f>IF(OR(BT274="---",BT274="--",BT274="+/--",BT274="+/---"),1,0)</f>
        <v>0</v>
      </c>
      <c r="BV274">
        <f>AY274*AO274*AQ274</f>
        <v>0</v>
      </c>
    </row>
    <row r="275" spans="1:74">
      <c r="A275" t="s">
        <v>86</v>
      </c>
      <c r="B275">
        <v>23036214</v>
      </c>
      <c r="C275" t="s">
        <v>126</v>
      </c>
      <c r="D275" t="s">
        <v>127</v>
      </c>
      <c r="E275" t="s">
        <v>428</v>
      </c>
      <c r="F275" t="s">
        <v>433</v>
      </c>
      <c r="G275" t="s">
        <v>430</v>
      </c>
      <c r="H275" t="s">
        <v>431</v>
      </c>
      <c r="I275" t="s">
        <v>432</v>
      </c>
      <c r="J275" t="s">
        <v>432</v>
      </c>
      <c r="K275">
        <v>0</v>
      </c>
      <c r="L275" t="s">
        <v>428</v>
      </c>
      <c r="M275" t="s">
        <v>428</v>
      </c>
      <c r="N275">
        <v>148496</v>
      </c>
      <c r="O275">
        <f>INDEX(AllCollegeBarrons,MATCH(N275,AllCollegeNCES,0))</f>
        <v>0</v>
      </c>
      <c r="P275">
        <f>INDEX(KidGPAs,MATCH(B275,KidIDs,0))</f>
        <v>0</v>
      </c>
      <c r="Q275">
        <f>INDEX(KidACTs,MATCH(B275,KidIDs,0))</f>
        <v>0</v>
      </c>
      <c r="R275">
        <f>INDEX(Strats,MATCH(B275,KidIDs,0))</f>
        <v>0</v>
      </c>
      <c r="S275">
        <f>INDEX(KidRace,MATCH(B275,KidIDs,0))</f>
        <v>0</v>
      </c>
      <c r="T275">
        <f>IF(OR(S275="M",S275="I"),"H",S275)</f>
        <v>0</v>
      </c>
      <c r="U275">
        <f>INDEX(StudentTargets,MATCH(B275,KidIDs,0))</f>
        <v>0</v>
      </c>
      <c r="V275">
        <f>INDEX(ReachStudentTargets,MATCH(B275,KidIDs,0))</f>
        <v>0</v>
      </c>
      <c r="W275">
        <f>IF(OR(M275="Posse"),1,0)</f>
        <v>0</v>
      </c>
      <c r="X275">
        <f>IF(ISNUMBER(INDEX(AllCollegeGR, MATCH(N275,AllCollegeNCES,0))),ROUND(INDEX(AllCollegeGR, MATCH(N275,AllCollegeNCES,0))+W275*IF(INDEX(AllCollegeGR, MATCH(N275,AllCollegeNCES,0))&gt;0.7,(1-INDEX(AllCollegeGR, MATCH(N275,AllCollegeNCES,0)))/2,0.15),2),INDEX(AllCollegeGR, MATCH(N275,AllCollegeNCES,0)))</f>
        <v>0</v>
      </c>
      <c r="Y275">
        <f>IF(ISNUMBER(INDEX(AllCollegeAAHGR, MATCH(N275,AllCollegeNCES,0))),ROUND(INDEX(AllCollegeAAHGR, MATCH(N275,AllCollegeNCES,0))+W275*IF(INDEX(AllCollegeAAHGR, MATCH(N275,AllCollegeNCES,0))&gt;0.7,(1-INDEX(AllCollegeAAHGR, MATCH(N275,AllCollegeNCES,0)))/2,0.15),2),INDEX(AllCollegeAAHGR, MATCH(N275,AllCollegeNCES,0)))</f>
        <v>0</v>
      </c>
      <c r="Z275">
        <f>IF(OR(T275="H",T275="B"),INDEX(AllCollegeACT25, MATCH(N275,AllCollegeNCES,0)),INDEX(AllCollegeACT50, MATCH(N275,AllCollegeNCES,0)))</f>
        <v>0</v>
      </c>
      <c r="AA275">
        <f>INDEX(CustomWeightsGPA,MATCH(T275&amp;":"&amp;N275,CustomWeightsIndex,0))</f>
        <v>0</v>
      </c>
      <c r="AB275">
        <f>INDEX(CustomWeightsACT,MATCH(T275&amp;":"&amp;N275,CustomWeightsIndex,0))</f>
        <v>0</v>
      </c>
      <c r="AC275">
        <f>INDEX(CustomWeightsIntercept,MATCH(T275&amp;":"&amp;N275,CustomWeightsIndex,0))</f>
        <v>0</v>
      </c>
      <c r="AD275">
        <f>AA275*P275+AB275*Q275+AC275</f>
        <v>0</v>
      </c>
      <c r="AE275">
        <f>INDEX(CoefficientsGPA,MATCH(T275&amp;":"&amp;O275,CoefficientsIndex,0))</f>
        <v>0</v>
      </c>
      <c r="AF275">
        <f>INDEX(CoefficientsACT,MATCH(T275&amp;":"&amp;O275,CoefficientsIndex,0))</f>
        <v>0</v>
      </c>
      <c r="AG275">
        <f>INDEX(CoefficientsIntercept,MATCH(T275&amp;":"&amp;O275,CoefficientsIndex,0))</f>
        <v>0</v>
      </c>
      <c r="AH275">
        <f>AE275*P275+(Q275-Z275)*AF275+AG275</f>
        <v>0</v>
      </c>
      <c r="AI275">
        <f>IF(ISNUMBER(AD275),AD275,AH275)</f>
        <v>0</v>
      </c>
      <c r="AJ275">
        <f>IF(ISNUMBER(AI275),IF(ISNUMBER(AE275),IF(AND(AE275=1,AF275=1,AG275=1),100,ROUND(100*EXP(AI275)/(1+EXP(AI275)),2)),ROUND(100*EXP(AI275)/(1+EXP(AI275)),2)),IF(ISTEXT(O275),IF(LEFT(O275,1)="2",100,"N/A"),"N/A"))</f>
        <v>0</v>
      </c>
      <c r="AK275">
        <f>IF(ISNUMBER(AJ275),IF(AJ275&gt;=99,IF(OR(R275=10,R275=11),MatchLabel,SureThingLabel),IF(AJ275&gt;=95,SecureLabel,IF(AJ275&gt;=80,SafetyLabel,IF(AJ275&gt;=50,MatchLabel,IF(AJ275&gt;=20,ReachLabel,IF(AJ275&gt;=10,LongshotLabel,HailMaryLabel)))))),"Other")</f>
        <v>0</v>
      </c>
      <c r="AL275">
        <f>IF(OR(I275="accepted",I275="cond. accept",I275="summer admit"),IF(J275="yes","CHOICE!","Accepted!"),IF(I275="denied","Denied",IF(K275=1,"Waitlist",IF(L275=1,"Deferred",IF(G275="pending","Pending",IF(OR(G275="initial materials submitted",G275="mid-year submitted",G275="final submitted"),"Submitted",IF(H275="interest","Interest","?")))))))</f>
        <v>0</v>
      </c>
      <c r="AM275">
        <f>IF(OR(AK275=ReachLabel,AK275=LongshotLabel,AK275=HailMaryLabel),1,0)</f>
        <v>0</v>
      </c>
      <c r="AN275">
        <f>IF(OR(AM275=1,AK275=MatchLabel),1,0)</f>
        <v>0</v>
      </c>
      <c r="AO275">
        <f>IF(OR(AK275=MatchLabel,AK275=SafetyLabel,AK275=SecureLabel,AK275=SureThingLabel),1,0)</f>
        <v>0</v>
      </c>
      <c r="AP275">
        <f>IF(OR(T275="H",T275="B"),IF(ISNUMBER(Y275),ROUND(Y275,2),0),IF(ISNUMBER(X275),ROUND(X275,2),0))</f>
        <v>0</v>
      </c>
      <c r="AQ275">
        <f>IF(AP275&gt;=U275,1,0)</f>
        <v>0</v>
      </c>
      <c r="AR275">
        <f>IF(AP275&gt;=V275,1,0)</f>
        <v>0</v>
      </c>
      <c r="AS275">
        <f>IF(AP275&lt;(U275-0.10),1,0)</f>
        <v>0</v>
      </c>
      <c r="AT275">
        <f>1-AJ275/100</f>
        <v>0</v>
      </c>
      <c r="AU275">
        <f>IF(AN275=1,AT275,1)</f>
        <v>0</v>
      </c>
      <c r="AV275">
        <f>IF(AM275=1,AT275,1)</f>
        <v>0</v>
      </c>
      <c r="AW275">
        <f>IF(AND(AQ275=1,ISNUMBER(AT275)),$AT275,1)</f>
        <v>0</v>
      </c>
      <c r="AX275">
        <f>IF(AND(AR275=1,ISNUMBER(AT275)),$AT275,1)</f>
        <v>0</v>
      </c>
      <c r="AY275">
        <f>IF(ISNUMBER(Y275),INDEX(AllCollegeMoney, MATCH(N275,AllCollegeNCES,0)),0)</f>
        <v>0</v>
      </c>
      <c r="AZ275">
        <f>IF(AND(AQ275=1,ISNUMBER(AT275),AY275=1),$AT275,1)</f>
        <v>0</v>
      </c>
      <c r="BA275">
        <f>IF(AND(AR275=1,ISNUMBER(AT275),AY275=1),$AT275,1)</f>
        <v>0</v>
      </c>
      <c r="BB275">
        <f>IF(ISNUMBER(Y275),INDEX(AllCollegeILPub, MATCH(N275,AllCollegeNCES,0)),0)</f>
        <v>0</v>
      </c>
      <c r="BC275">
        <f>IF(AK275=ReachLabel,AP275,0)</f>
        <v>0</v>
      </c>
      <c r="BD275">
        <f>IF(AK275=MatchLabel,AP275,0)</f>
        <v>0</v>
      </c>
      <c r="BE275">
        <f>IF(AK275=SafetyLabel,AP275,0)</f>
        <v>0</v>
      </c>
      <c r="BF275">
        <f>IF(AK275=SecureLabel,AP275,0)</f>
        <v>0</v>
      </c>
      <c r="BG275">
        <f>IF(AK275=SureThingLabel,AP275,0)</f>
        <v>0</v>
      </c>
      <c r="BH275">
        <f>MAX(BC275:BG275)</f>
        <v>0</v>
      </c>
      <c r="BI275">
        <f>MAX(BD275:BG275)</f>
        <v>0</v>
      </c>
      <c r="BJ275">
        <f>MAX(BE275:BG275)</f>
        <v>0</v>
      </c>
      <c r="BK275">
        <f>IF(AND(AK275=ReachLabel,AY275=1),AP275,0)</f>
        <v>0</v>
      </c>
      <c r="BL275">
        <f>IF(AND(AK275=MatchLabel,AY275=1),AP275,0)</f>
        <v>0</v>
      </c>
      <c r="BM275">
        <f>IF(AND(AK275=SafetyLabel,AY275=1),AP275,0)</f>
        <v>0</v>
      </c>
      <c r="BN275">
        <f>IF(AND(AK275=SecureLabel,AY275=1),AP275,0)</f>
        <v>0</v>
      </c>
      <c r="BO275">
        <f>IF(AND(AK275=SureThingLabel,AY275=1),AP275,0)</f>
        <v>0</v>
      </c>
      <c r="BP275">
        <f>MAX(BK275:BO275)</f>
        <v>0</v>
      </c>
      <c r="BQ275">
        <f>MAX(BL275:BO275)</f>
        <v>0</v>
      </c>
      <c r="BR275">
        <f>MAX(BM275:BO275)</f>
        <v>0</v>
      </c>
      <c r="BS275">
        <f>IF(ISNUMBER(Y275),INDEX(AllCollegeChicago, MATCH(N275,AllCollegeNCES,0))*AY275,0)</f>
        <v>0</v>
      </c>
      <c r="BT275">
        <f>IF(ISNUMBER(Y275),INDEX(AllCollegeMoneyCode, MATCH(N275,AllCollegeNCES,0)),"?")</f>
        <v>0</v>
      </c>
      <c r="BU275">
        <f>IF(OR(BT275="---",BT275="--",BT275="+/--",BT275="+/---"),1,0)</f>
        <v>0</v>
      </c>
      <c r="BV275">
        <f>AY275*AO275*AQ275</f>
        <v>0</v>
      </c>
    </row>
    <row r="276" spans="1:74">
      <c r="A276" t="s">
        <v>86</v>
      </c>
      <c r="B276">
        <v>23036214</v>
      </c>
      <c r="C276" t="s">
        <v>126</v>
      </c>
      <c r="D276" t="s">
        <v>127</v>
      </c>
      <c r="E276" t="s">
        <v>428</v>
      </c>
      <c r="F276" t="s">
        <v>447</v>
      </c>
      <c r="G276" t="s">
        <v>430</v>
      </c>
      <c r="H276" t="s">
        <v>431</v>
      </c>
      <c r="I276" t="s">
        <v>432</v>
      </c>
      <c r="J276" t="s">
        <v>432</v>
      </c>
      <c r="K276">
        <v>0</v>
      </c>
      <c r="L276" t="s">
        <v>428</v>
      </c>
      <c r="M276" t="s">
        <v>428</v>
      </c>
      <c r="N276">
        <v>145600</v>
      </c>
      <c r="O276">
        <f>INDEX(AllCollegeBarrons,MATCH(N276,AllCollegeNCES,0))</f>
        <v>0</v>
      </c>
      <c r="P276">
        <f>INDEX(KidGPAs,MATCH(B276,KidIDs,0))</f>
        <v>0</v>
      </c>
      <c r="Q276">
        <f>INDEX(KidACTs,MATCH(B276,KidIDs,0))</f>
        <v>0</v>
      </c>
      <c r="R276">
        <f>INDEX(Strats,MATCH(B276,KidIDs,0))</f>
        <v>0</v>
      </c>
      <c r="S276">
        <f>INDEX(KidRace,MATCH(B276,KidIDs,0))</f>
        <v>0</v>
      </c>
      <c r="T276">
        <f>IF(OR(S276="M",S276="I"),"H",S276)</f>
        <v>0</v>
      </c>
      <c r="U276">
        <f>INDEX(StudentTargets,MATCH(B276,KidIDs,0))</f>
        <v>0</v>
      </c>
      <c r="V276">
        <f>INDEX(ReachStudentTargets,MATCH(B276,KidIDs,0))</f>
        <v>0</v>
      </c>
      <c r="W276">
        <f>IF(OR(M276="Posse"),1,0)</f>
        <v>0</v>
      </c>
      <c r="X276">
        <f>IF(ISNUMBER(INDEX(AllCollegeGR, MATCH(N276,AllCollegeNCES,0))),ROUND(INDEX(AllCollegeGR, MATCH(N276,AllCollegeNCES,0))+W276*IF(INDEX(AllCollegeGR, MATCH(N276,AllCollegeNCES,0))&gt;0.7,(1-INDEX(AllCollegeGR, MATCH(N276,AllCollegeNCES,0)))/2,0.15),2),INDEX(AllCollegeGR, MATCH(N276,AllCollegeNCES,0)))</f>
        <v>0</v>
      </c>
      <c r="Y276">
        <f>IF(ISNUMBER(INDEX(AllCollegeAAHGR, MATCH(N276,AllCollegeNCES,0))),ROUND(INDEX(AllCollegeAAHGR, MATCH(N276,AllCollegeNCES,0))+W276*IF(INDEX(AllCollegeAAHGR, MATCH(N276,AllCollegeNCES,0))&gt;0.7,(1-INDEX(AllCollegeAAHGR, MATCH(N276,AllCollegeNCES,0)))/2,0.15),2),INDEX(AllCollegeAAHGR, MATCH(N276,AllCollegeNCES,0)))</f>
        <v>0</v>
      </c>
      <c r="Z276">
        <f>IF(OR(T276="H",T276="B"),INDEX(AllCollegeACT25, MATCH(N276,AllCollegeNCES,0)),INDEX(AllCollegeACT50, MATCH(N276,AllCollegeNCES,0)))</f>
        <v>0</v>
      </c>
      <c r="AA276">
        <f>INDEX(CustomWeightsGPA,MATCH(T276&amp;":"&amp;N276,CustomWeightsIndex,0))</f>
        <v>0</v>
      </c>
      <c r="AB276">
        <f>INDEX(CustomWeightsACT,MATCH(T276&amp;":"&amp;N276,CustomWeightsIndex,0))</f>
        <v>0</v>
      </c>
      <c r="AC276">
        <f>INDEX(CustomWeightsIntercept,MATCH(T276&amp;":"&amp;N276,CustomWeightsIndex,0))</f>
        <v>0</v>
      </c>
      <c r="AD276">
        <f>AA276*P276+AB276*Q276+AC276</f>
        <v>0</v>
      </c>
      <c r="AE276">
        <f>INDEX(CoefficientsGPA,MATCH(T276&amp;":"&amp;O276,CoefficientsIndex,0))</f>
        <v>0</v>
      </c>
      <c r="AF276">
        <f>INDEX(CoefficientsACT,MATCH(T276&amp;":"&amp;O276,CoefficientsIndex,0))</f>
        <v>0</v>
      </c>
      <c r="AG276">
        <f>INDEX(CoefficientsIntercept,MATCH(T276&amp;":"&amp;O276,CoefficientsIndex,0))</f>
        <v>0</v>
      </c>
      <c r="AH276">
        <f>AE276*P276+(Q276-Z276)*AF276+AG276</f>
        <v>0</v>
      </c>
      <c r="AI276">
        <f>IF(ISNUMBER(AD276),AD276,AH276)</f>
        <v>0</v>
      </c>
      <c r="AJ276">
        <f>IF(ISNUMBER(AI276),IF(ISNUMBER(AE276),IF(AND(AE276=1,AF276=1,AG276=1),100,ROUND(100*EXP(AI276)/(1+EXP(AI276)),2)),ROUND(100*EXP(AI276)/(1+EXP(AI276)),2)),IF(ISTEXT(O276),IF(LEFT(O276,1)="2",100,"N/A"),"N/A"))</f>
        <v>0</v>
      </c>
      <c r="AK276">
        <f>IF(ISNUMBER(AJ276),IF(AJ276&gt;=99,IF(OR(R276=10,R276=11),MatchLabel,SureThingLabel),IF(AJ276&gt;=95,SecureLabel,IF(AJ276&gt;=80,SafetyLabel,IF(AJ276&gt;=50,MatchLabel,IF(AJ276&gt;=20,ReachLabel,IF(AJ276&gt;=10,LongshotLabel,HailMaryLabel)))))),"Other")</f>
        <v>0</v>
      </c>
      <c r="AL276">
        <f>IF(OR(I276="accepted",I276="cond. accept",I276="summer admit"),IF(J276="yes","CHOICE!","Accepted!"),IF(I276="denied","Denied",IF(K276=1,"Waitlist",IF(L276=1,"Deferred",IF(G276="pending","Pending",IF(OR(G276="initial materials submitted",G276="mid-year submitted",G276="final submitted"),"Submitted",IF(H276="interest","Interest","?")))))))</f>
        <v>0</v>
      </c>
      <c r="AM276">
        <f>IF(OR(AK276=ReachLabel,AK276=LongshotLabel,AK276=HailMaryLabel),1,0)</f>
        <v>0</v>
      </c>
      <c r="AN276">
        <f>IF(OR(AM276=1,AK276=MatchLabel),1,0)</f>
        <v>0</v>
      </c>
      <c r="AO276">
        <f>IF(OR(AK276=MatchLabel,AK276=SafetyLabel,AK276=SecureLabel,AK276=SureThingLabel),1,0)</f>
        <v>0</v>
      </c>
      <c r="AP276">
        <f>IF(OR(T276="H",T276="B"),IF(ISNUMBER(Y276),ROUND(Y276,2),0),IF(ISNUMBER(X276),ROUND(X276,2),0))</f>
        <v>0</v>
      </c>
      <c r="AQ276">
        <f>IF(AP276&gt;=U276,1,0)</f>
        <v>0</v>
      </c>
      <c r="AR276">
        <f>IF(AP276&gt;=V276,1,0)</f>
        <v>0</v>
      </c>
      <c r="AS276">
        <f>IF(AP276&lt;(U276-0.10),1,0)</f>
        <v>0</v>
      </c>
      <c r="AT276">
        <f>1-AJ276/100</f>
        <v>0</v>
      </c>
      <c r="AU276">
        <f>IF(AN276=1,AT276,1)</f>
        <v>0</v>
      </c>
      <c r="AV276">
        <f>IF(AM276=1,AT276,1)</f>
        <v>0</v>
      </c>
      <c r="AW276">
        <f>IF(AND(AQ276=1,ISNUMBER(AT276)),$AT276,1)</f>
        <v>0</v>
      </c>
      <c r="AX276">
        <f>IF(AND(AR276=1,ISNUMBER(AT276)),$AT276,1)</f>
        <v>0</v>
      </c>
      <c r="AY276">
        <f>IF(ISNUMBER(Y276),INDEX(AllCollegeMoney, MATCH(N276,AllCollegeNCES,0)),0)</f>
        <v>0</v>
      </c>
      <c r="AZ276">
        <f>IF(AND(AQ276=1,ISNUMBER(AT276),AY276=1),$AT276,1)</f>
        <v>0</v>
      </c>
      <c r="BA276">
        <f>IF(AND(AR276=1,ISNUMBER(AT276),AY276=1),$AT276,1)</f>
        <v>0</v>
      </c>
      <c r="BB276">
        <f>IF(ISNUMBER(Y276),INDEX(AllCollegeILPub, MATCH(N276,AllCollegeNCES,0)),0)</f>
        <v>0</v>
      </c>
      <c r="BC276">
        <f>IF(AK276=ReachLabel,AP276,0)</f>
        <v>0</v>
      </c>
      <c r="BD276">
        <f>IF(AK276=MatchLabel,AP276,0)</f>
        <v>0</v>
      </c>
      <c r="BE276">
        <f>IF(AK276=SafetyLabel,AP276,0)</f>
        <v>0</v>
      </c>
      <c r="BF276">
        <f>IF(AK276=SecureLabel,AP276,0)</f>
        <v>0</v>
      </c>
      <c r="BG276">
        <f>IF(AK276=SureThingLabel,AP276,0)</f>
        <v>0</v>
      </c>
      <c r="BH276">
        <f>MAX(BC276:BG276)</f>
        <v>0</v>
      </c>
      <c r="BI276">
        <f>MAX(BD276:BG276)</f>
        <v>0</v>
      </c>
      <c r="BJ276">
        <f>MAX(BE276:BG276)</f>
        <v>0</v>
      </c>
      <c r="BK276">
        <f>IF(AND(AK276=ReachLabel,AY276=1),AP276,0)</f>
        <v>0</v>
      </c>
      <c r="BL276">
        <f>IF(AND(AK276=MatchLabel,AY276=1),AP276,0)</f>
        <v>0</v>
      </c>
      <c r="BM276">
        <f>IF(AND(AK276=SafetyLabel,AY276=1),AP276,0)</f>
        <v>0</v>
      </c>
      <c r="BN276">
        <f>IF(AND(AK276=SecureLabel,AY276=1),AP276,0)</f>
        <v>0</v>
      </c>
      <c r="BO276">
        <f>IF(AND(AK276=SureThingLabel,AY276=1),AP276,0)</f>
        <v>0</v>
      </c>
      <c r="BP276">
        <f>MAX(BK276:BO276)</f>
        <v>0</v>
      </c>
      <c r="BQ276">
        <f>MAX(BL276:BO276)</f>
        <v>0</v>
      </c>
      <c r="BR276">
        <f>MAX(BM276:BO276)</f>
        <v>0</v>
      </c>
      <c r="BS276">
        <f>IF(ISNUMBER(Y276),INDEX(AllCollegeChicago, MATCH(N276,AllCollegeNCES,0))*AY276,0)</f>
        <v>0</v>
      </c>
      <c r="BT276">
        <f>IF(ISNUMBER(Y276),INDEX(AllCollegeMoneyCode, MATCH(N276,AllCollegeNCES,0)),"?")</f>
        <v>0</v>
      </c>
      <c r="BU276">
        <f>IF(OR(BT276="---",BT276="--",BT276="+/--",BT276="+/---"),1,0)</f>
        <v>0</v>
      </c>
      <c r="BV276">
        <f>AY276*AO276*AQ276</f>
        <v>0</v>
      </c>
    </row>
    <row r="277" spans="1:74">
      <c r="A277" t="s">
        <v>86</v>
      </c>
      <c r="B277">
        <v>23036214</v>
      </c>
      <c r="C277" t="s">
        <v>126</v>
      </c>
      <c r="D277" t="s">
        <v>127</v>
      </c>
      <c r="E277" t="s">
        <v>428</v>
      </c>
      <c r="F277" t="s">
        <v>489</v>
      </c>
      <c r="G277" t="s">
        <v>430</v>
      </c>
      <c r="H277" t="s">
        <v>431</v>
      </c>
      <c r="I277" t="s">
        <v>432</v>
      </c>
      <c r="J277" t="s">
        <v>432</v>
      </c>
      <c r="K277">
        <v>0</v>
      </c>
      <c r="L277" t="s">
        <v>428</v>
      </c>
      <c r="M277" t="s">
        <v>428</v>
      </c>
      <c r="N277">
        <v>147679</v>
      </c>
      <c r="O277">
        <f>INDEX(AllCollegeBarrons,MATCH(N277,AllCollegeNCES,0))</f>
        <v>0</v>
      </c>
      <c r="P277">
        <f>INDEX(KidGPAs,MATCH(B277,KidIDs,0))</f>
        <v>0</v>
      </c>
      <c r="Q277">
        <f>INDEX(KidACTs,MATCH(B277,KidIDs,0))</f>
        <v>0</v>
      </c>
      <c r="R277">
        <f>INDEX(Strats,MATCH(B277,KidIDs,0))</f>
        <v>0</v>
      </c>
      <c r="S277">
        <f>INDEX(KidRace,MATCH(B277,KidIDs,0))</f>
        <v>0</v>
      </c>
      <c r="T277">
        <f>IF(OR(S277="M",S277="I"),"H",S277)</f>
        <v>0</v>
      </c>
      <c r="U277">
        <f>INDEX(StudentTargets,MATCH(B277,KidIDs,0))</f>
        <v>0</v>
      </c>
      <c r="V277">
        <f>INDEX(ReachStudentTargets,MATCH(B277,KidIDs,0))</f>
        <v>0</v>
      </c>
      <c r="W277">
        <f>IF(OR(M277="Posse"),1,0)</f>
        <v>0</v>
      </c>
      <c r="X277">
        <f>IF(ISNUMBER(INDEX(AllCollegeGR, MATCH(N277,AllCollegeNCES,0))),ROUND(INDEX(AllCollegeGR, MATCH(N277,AllCollegeNCES,0))+W277*IF(INDEX(AllCollegeGR, MATCH(N277,AllCollegeNCES,0))&gt;0.7,(1-INDEX(AllCollegeGR, MATCH(N277,AllCollegeNCES,0)))/2,0.15),2),INDEX(AllCollegeGR, MATCH(N277,AllCollegeNCES,0)))</f>
        <v>0</v>
      </c>
      <c r="Y277">
        <f>IF(ISNUMBER(INDEX(AllCollegeAAHGR, MATCH(N277,AllCollegeNCES,0))),ROUND(INDEX(AllCollegeAAHGR, MATCH(N277,AllCollegeNCES,0))+W277*IF(INDEX(AllCollegeAAHGR, MATCH(N277,AllCollegeNCES,0))&gt;0.7,(1-INDEX(AllCollegeAAHGR, MATCH(N277,AllCollegeNCES,0)))/2,0.15),2),INDEX(AllCollegeAAHGR, MATCH(N277,AllCollegeNCES,0)))</f>
        <v>0</v>
      </c>
      <c r="Z277">
        <f>IF(OR(T277="H",T277="B"),INDEX(AllCollegeACT25, MATCH(N277,AllCollegeNCES,0)),INDEX(AllCollegeACT50, MATCH(N277,AllCollegeNCES,0)))</f>
        <v>0</v>
      </c>
      <c r="AA277">
        <f>INDEX(CustomWeightsGPA,MATCH(T277&amp;":"&amp;N277,CustomWeightsIndex,0))</f>
        <v>0</v>
      </c>
      <c r="AB277">
        <f>INDEX(CustomWeightsACT,MATCH(T277&amp;":"&amp;N277,CustomWeightsIndex,0))</f>
        <v>0</v>
      </c>
      <c r="AC277">
        <f>INDEX(CustomWeightsIntercept,MATCH(T277&amp;":"&amp;N277,CustomWeightsIndex,0))</f>
        <v>0</v>
      </c>
      <c r="AD277">
        <f>AA277*P277+AB277*Q277+AC277</f>
        <v>0</v>
      </c>
      <c r="AE277">
        <f>INDEX(CoefficientsGPA,MATCH(T277&amp;":"&amp;O277,CoefficientsIndex,0))</f>
        <v>0</v>
      </c>
      <c r="AF277">
        <f>INDEX(CoefficientsACT,MATCH(T277&amp;":"&amp;O277,CoefficientsIndex,0))</f>
        <v>0</v>
      </c>
      <c r="AG277">
        <f>INDEX(CoefficientsIntercept,MATCH(T277&amp;":"&amp;O277,CoefficientsIndex,0))</f>
        <v>0</v>
      </c>
      <c r="AH277">
        <f>AE277*P277+(Q277-Z277)*AF277+AG277</f>
        <v>0</v>
      </c>
      <c r="AI277">
        <f>IF(ISNUMBER(AD277),AD277,AH277)</f>
        <v>0</v>
      </c>
      <c r="AJ277">
        <f>IF(ISNUMBER(AI277),IF(ISNUMBER(AE277),IF(AND(AE277=1,AF277=1,AG277=1),100,ROUND(100*EXP(AI277)/(1+EXP(AI277)),2)),ROUND(100*EXP(AI277)/(1+EXP(AI277)),2)),IF(ISTEXT(O277),IF(LEFT(O277,1)="2",100,"N/A"),"N/A"))</f>
        <v>0</v>
      </c>
      <c r="AK277">
        <f>IF(ISNUMBER(AJ277),IF(AJ277&gt;=99,IF(OR(R277=10,R277=11),MatchLabel,SureThingLabel),IF(AJ277&gt;=95,SecureLabel,IF(AJ277&gt;=80,SafetyLabel,IF(AJ277&gt;=50,MatchLabel,IF(AJ277&gt;=20,ReachLabel,IF(AJ277&gt;=10,LongshotLabel,HailMaryLabel)))))),"Other")</f>
        <v>0</v>
      </c>
      <c r="AL277">
        <f>IF(OR(I277="accepted",I277="cond. accept",I277="summer admit"),IF(J277="yes","CHOICE!","Accepted!"),IF(I277="denied","Denied",IF(K277=1,"Waitlist",IF(L277=1,"Deferred",IF(G277="pending","Pending",IF(OR(G277="initial materials submitted",G277="mid-year submitted",G277="final submitted"),"Submitted",IF(H277="interest","Interest","?")))))))</f>
        <v>0</v>
      </c>
      <c r="AM277">
        <f>IF(OR(AK277=ReachLabel,AK277=LongshotLabel,AK277=HailMaryLabel),1,0)</f>
        <v>0</v>
      </c>
      <c r="AN277">
        <f>IF(OR(AM277=1,AK277=MatchLabel),1,0)</f>
        <v>0</v>
      </c>
      <c r="AO277">
        <f>IF(OR(AK277=MatchLabel,AK277=SafetyLabel,AK277=SecureLabel,AK277=SureThingLabel),1,0)</f>
        <v>0</v>
      </c>
      <c r="AP277">
        <f>IF(OR(T277="H",T277="B"),IF(ISNUMBER(Y277),ROUND(Y277,2),0),IF(ISNUMBER(X277),ROUND(X277,2),0))</f>
        <v>0</v>
      </c>
      <c r="AQ277">
        <f>IF(AP277&gt;=U277,1,0)</f>
        <v>0</v>
      </c>
      <c r="AR277">
        <f>IF(AP277&gt;=V277,1,0)</f>
        <v>0</v>
      </c>
      <c r="AS277">
        <f>IF(AP277&lt;(U277-0.10),1,0)</f>
        <v>0</v>
      </c>
      <c r="AT277">
        <f>1-AJ277/100</f>
        <v>0</v>
      </c>
      <c r="AU277">
        <f>IF(AN277=1,AT277,1)</f>
        <v>0</v>
      </c>
      <c r="AV277">
        <f>IF(AM277=1,AT277,1)</f>
        <v>0</v>
      </c>
      <c r="AW277">
        <f>IF(AND(AQ277=1,ISNUMBER(AT277)),$AT277,1)</f>
        <v>0</v>
      </c>
      <c r="AX277">
        <f>IF(AND(AR277=1,ISNUMBER(AT277)),$AT277,1)</f>
        <v>0</v>
      </c>
      <c r="AY277">
        <f>IF(ISNUMBER(Y277),INDEX(AllCollegeMoney, MATCH(N277,AllCollegeNCES,0)),0)</f>
        <v>0</v>
      </c>
      <c r="AZ277">
        <f>IF(AND(AQ277=1,ISNUMBER(AT277),AY277=1),$AT277,1)</f>
        <v>0</v>
      </c>
      <c r="BA277">
        <f>IF(AND(AR277=1,ISNUMBER(AT277),AY277=1),$AT277,1)</f>
        <v>0</v>
      </c>
      <c r="BB277">
        <f>IF(ISNUMBER(Y277),INDEX(AllCollegeILPub, MATCH(N277,AllCollegeNCES,0)),0)</f>
        <v>0</v>
      </c>
      <c r="BC277">
        <f>IF(AK277=ReachLabel,AP277,0)</f>
        <v>0</v>
      </c>
      <c r="BD277">
        <f>IF(AK277=MatchLabel,AP277,0)</f>
        <v>0</v>
      </c>
      <c r="BE277">
        <f>IF(AK277=SafetyLabel,AP277,0)</f>
        <v>0</v>
      </c>
      <c r="BF277">
        <f>IF(AK277=SecureLabel,AP277,0)</f>
        <v>0</v>
      </c>
      <c r="BG277">
        <f>IF(AK277=SureThingLabel,AP277,0)</f>
        <v>0</v>
      </c>
      <c r="BH277">
        <f>MAX(BC277:BG277)</f>
        <v>0</v>
      </c>
      <c r="BI277">
        <f>MAX(BD277:BG277)</f>
        <v>0</v>
      </c>
      <c r="BJ277">
        <f>MAX(BE277:BG277)</f>
        <v>0</v>
      </c>
      <c r="BK277">
        <f>IF(AND(AK277=ReachLabel,AY277=1),AP277,0)</f>
        <v>0</v>
      </c>
      <c r="BL277">
        <f>IF(AND(AK277=MatchLabel,AY277=1),AP277,0)</f>
        <v>0</v>
      </c>
      <c r="BM277">
        <f>IF(AND(AK277=SafetyLabel,AY277=1),AP277,0)</f>
        <v>0</v>
      </c>
      <c r="BN277">
        <f>IF(AND(AK277=SecureLabel,AY277=1),AP277,0)</f>
        <v>0</v>
      </c>
      <c r="BO277">
        <f>IF(AND(AK277=SureThingLabel,AY277=1),AP277,0)</f>
        <v>0</v>
      </c>
      <c r="BP277">
        <f>MAX(BK277:BO277)</f>
        <v>0</v>
      </c>
      <c r="BQ277">
        <f>MAX(BL277:BO277)</f>
        <v>0</v>
      </c>
      <c r="BR277">
        <f>MAX(BM277:BO277)</f>
        <v>0</v>
      </c>
      <c r="BS277">
        <f>IF(ISNUMBER(Y277),INDEX(AllCollegeChicago, MATCH(N277,AllCollegeNCES,0))*AY277,0)</f>
        <v>0</v>
      </c>
      <c r="BT277">
        <f>IF(ISNUMBER(Y277),INDEX(AllCollegeMoneyCode, MATCH(N277,AllCollegeNCES,0)),"?")</f>
        <v>0</v>
      </c>
      <c r="BU277">
        <f>IF(OR(BT277="---",BT277="--",BT277="+/--",BT277="+/---"),1,0)</f>
        <v>0</v>
      </c>
      <c r="BV277">
        <f>AY277*AO277*AQ277</f>
        <v>0</v>
      </c>
    </row>
    <row r="278" spans="1:74">
      <c r="A278" t="s">
        <v>86</v>
      </c>
      <c r="B278">
        <v>23036214</v>
      </c>
      <c r="C278" t="s">
        <v>126</v>
      </c>
      <c r="D278" t="s">
        <v>127</v>
      </c>
      <c r="E278" t="s">
        <v>428</v>
      </c>
      <c r="F278" t="s">
        <v>509</v>
      </c>
      <c r="G278" t="s">
        <v>430</v>
      </c>
      <c r="H278" t="s">
        <v>431</v>
      </c>
      <c r="I278" t="s">
        <v>432</v>
      </c>
      <c r="J278" t="s">
        <v>432</v>
      </c>
      <c r="K278">
        <v>0</v>
      </c>
      <c r="L278" t="s">
        <v>428</v>
      </c>
      <c r="M278" t="s">
        <v>428</v>
      </c>
      <c r="N278">
        <v>147341</v>
      </c>
      <c r="O278">
        <f>INDEX(AllCollegeBarrons,MATCH(N278,AllCollegeNCES,0))</f>
        <v>0</v>
      </c>
      <c r="P278">
        <f>INDEX(KidGPAs,MATCH(B278,KidIDs,0))</f>
        <v>0</v>
      </c>
      <c r="Q278">
        <f>INDEX(KidACTs,MATCH(B278,KidIDs,0))</f>
        <v>0</v>
      </c>
      <c r="R278">
        <f>INDEX(Strats,MATCH(B278,KidIDs,0))</f>
        <v>0</v>
      </c>
      <c r="S278">
        <f>INDEX(KidRace,MATCH(B278,KidIDs,0))</f>
        <v>0</v>
      </c>
      <c r="T278">
        <f>IF(OR(S278="M",S278="I"),"H",S278)</f>
        <v>0</v>
      </c>
      <c r="U278">
        <f>INDEX(StudentTargets,MATCH(B278,KidIDs,0))</f>
        <v>0</v>
      </c>
      <c r="V278">
        <f>INDEX(ReachStudentTargets,MATCH(B278,KidIDs,0))</f>
        <v>0</v>
      </c>
      <c r="W278">
        <f>IF(OR(M278="Posse"),1,0)</f>
        <v>0</v>
      </c>
      <c r="X278">
        <f>IF(ISNUMBER(INDEX(AllCollegeGR, MATCH(N278,AllCollegeNCES,0))),ROUND(INDEX(AllCollegeGR, MATCH(N278,AllCollegeNCES,0))+W278*IF(INDEX(AllCollegeGR, MATCH(N278,AllCollegeNCES,0))&gt;0.7,(1-INDEX(AllCollegeGR, MATCH(N278,AllCollegeNCES,0)))/2,0.15),2),INDEX(AllCollegeGR, MATCH(N278,AllCollegeNCES,0)))</f>
        <v>0</v>
      </c>
      <c r="Y278">
        <f>IF(ISNUMBER(INDEX(AllCollegeAAHGR, MATCH(N278,AllCollegeNCES,0))),ROUND(INDEX(AllCollegeAAHGR, MATCH(N278,AllCollegeNCES,0))+W278*IF(INDEX(AllCollegeAAHGR, MATCH(N278,AllCollegeNCES,0))&gt;0.7,(1-INDEX(AllCollegeAAHGR, MATCH(N278,AllCollegeNCES,0)))/2,0.15),2),INDEX(AllCollegeAAHGR, MATCH(N278,AllCollegeNCES,0)))</f>
        <v>0</v>
      </c>
      <c r="Z278">
        <f>IF(OR(T278="H",T278="B"),INDEX(AllCollegeACT25, MATCH(N278,AllCollegeNCES,0)),INDEX(AllCollegeACT50, MATCH(N278,AllCollegeNCES,0)))</f>
        <v>0</v>
      </c>
      <c r="AA278">
        <f>INDEX(CustomWeightsGPA,MATCH(T278&amp;":"&amp;N278,CustomWeightsIndex,0))</f>
        <v>0</v>
      </c>
      <c r="AB278">
        <f>INDEX(CustomWeightsACT,MATCH(T278&amp;":"&amp;N278,CustomWeightsIndex,0))</f>
        <v>0</v>
      </c>
      <c r="AC278">
        <f>INDEX(CustomWeightsIntercept,MATCH(T278&amp;":"&amp;N278,CustomWeightsIndex,0))</f>
        <v>0</v>
      </c>
      <c r="AD278">
        <f>AA278*P278+AB278*Q278+AC278</f>
        <v>0</v>
      </c>
      <c r="AE278">
        <f>INDEX(CoefficientsGPA,MATCH(T278&amp;":"&amp;O278,CoefficientsIndex,0))</f>
        <v>0</v>
      </c>
      <c r="AF278">
        <f>INDEX(CoefficientsACT,MATCH(T278&amp;":"&amp;O278,CoefficientsIndex,0))</f>
        <v>0</v>
      </c>
      <c r="AG278">
        <f>INDEX(CoefficientsIntercept,MATCH(T278&amp;":"&amp;O278,CoefficientsIndex,0))</f>
        <v>0</v>
      </c>
      <c r="AH278">
        <f>AE278*P278+(Q278-Z278)*AF278+AG278</f>
        <v>0</v>
      </c>
      <c r="AI278">
        <f>IF(ISNUMBER(AD278),AD278,AH278)</f>
        <v>0</v>
      </c>
      <c r="AJ278">
        <f>IF(ISNUMBER(AI278),IF(ISNUMBER(AE278),IF(AND(AE278=1,AF278=1,AG278=1),100,ROUND(100*EXP(AI278)/(1+EXP(AI278)),2)),ROUND(100*EXP(AI278)/(1+EXP(AI278)),2)),IF(ISTEXT(O278),IF(LEFT(O278,1)="2",100,"N/A"),"N/A"))</f>
        <v>0</v>
      </c>
      <c r="AK278">
        <f>IF(ISNUMBER(AJ278),IF(AJ278&gt;=99,IF(OR(R278=10,R278=11),MatchLabel,SureThingLabel),IF(AJ278&gt;=95,SecureLabel,IF(AJ278&gt;=80,SafetyLabel,IF(AJ278&gt;=50,MatchLabel,IF(AJ278&gt;=20,ReachLabel,IF(AJ278&gt;=10,LongshotLabel,HailMaryLabel)))))),"Other")</f>
        <v>0</v>
      </c>
      <c r="AL278">
        <f>IF(OR(I278="accepted",I278="cond. accept",I278="summer admit"),IF(J278="yes","CHOICE!","Accepted!"),IF(I278="denied","Denied",IF(K278=1,"Waitlist",IF(L278=1,"Deferred",IF(G278="pending","Pending",IF(OR(G278="initial materials submitted",G278="mid-year submitted",G278="final submitted"),"Submitted",IF(H278="interest","Interest","?")))))))</f>
        <v>0</v>
      </c>
      <c r="AM278">
        <f>IF(OR(AK278=ReachLabel,AK278=LongshotLabel,AK278=HailMaryLabel),1,0)</f>
        <v>0</v>
      </c>
      <c r="AN278">
        <f>IF(OR(AM278=1,AK278=MatchLabel),1,0)</f>
        <v>0</v>
      </c>
      <c r="AO278">
        <f>IF(OR(AK278=MatchLabel,AK278=SafetyLabel,AK278=SecureLabel,AK278=SureThingLabel),1,0)</f>
        <v>0</v>
      </c>
      <c r="AP278">
        <f>IF(OR(T278="H",T278="B"),IF(ISNUMBER(Y278),ROUND(Y278,2),0),IF(ISNUMBER(X278),ROUND(X278,2),0))</f>
        <v>0</v>
      </c>
      <c r="AQ278">
        <f>IF(AP278&gt;=U278,1,0)</f>
        <v>0</v>
      </c>
      <c r="AR278">
        <f>IF(AP278&gt;=V278,1,0)</f>
        <v>0</v>
      </c>
      <c r="AS278">
        <f>IF(AP278&lt;(U278-0.10),1,0)</f>
        <v>0</v>
      </c>
      <c r="AT278">
        <f>1-AJ278/100</f>
        <v>0</v>
      </c>
      <c r="AU278">
        <f>IF(AN278=1,AT278,1)</f>
        <v>0</v>
      </c>
      <c r="AV278">
        <f>IF(AM278=1,AT278,1)</f>
        <v>0</v>
      </c>
      <c r="AW278">
        <f>IF(AND(AQ278=1,ISNUMBER(AT278)),$AT278,1)</f>
        <v>0</v>
      </c>
      <c r="AX278">
        <f>IF(AND(AR278=1,ISNUMBER(AT278)),$AT278,1)</f>
        <v>0</v>
      </c>
      <c r="AY278">
        <f>IF(ISNUMBER(Y278),INDEX(AllCollegeMoney, MATCH(N278,AllCollegeNCES,0)),0)</f>
        <v>0</v>
      </c>
      <c r="AZ278">
        <f>IF(AND(AQ278=1,ISNUMBER(AT278),AY278=1),$AT278,1)</f>
        <v>0</v>
      </c>
      <c r="BA278">
        <f>IF(AND(AR278=1,ISNUMBER(AT278),AY278=1),$AT278,1)</f>
        <v>0</v>
      </c>
      <c r="BB278">
        <f>IF(ISNUMBER(Y278),INDEX(AllCollegeILPub, MATCH(N278,AllCollegeNCES,0)),0)</f>
        <v>0</v>
      </c>
      <c r="BC278">
        <f>IF(AK278=ReachLabel,AP278,0)</f>
        <v>0</v>
      </c>
      <c r="BD278">
        <f>IF(AK278=MatchLabel,AP278,0)</f>
        <v>0</v>
      </c>
      <c r="BE278">
        <f>IF(AK278=SafetyLabel,AP278,0)</f>
        <v>0</v>
      </c>
      <c r="BF278">
        <f>IF(AK278=SecureLabel,AP278,0)</f>
        <v>0</v>
      </c>
      <c r="BG278">
        <f>IF(AK278=SureThingLabel,AP278,0)</f>
        <v>0</v>
      </c>
      <c r="BH278">
        <f>MAX(BC278:BG278)</f>
        <v>0</v>
      </c>
      <c r="BI278">
        <f>MAX(BD278:BG278)</f>
        <v>0</v>
      </c>
      <c r="BJ278">
        <f>MAX(BE278:BG278)</f>
        <v>0</v>
      </c>
      <c r="BK278">
        <f>IF(AND(AK278=ReachLabel,AY278=1),AP278,0)</f>
        <v>0</v>
      </c>
      <c r="BL278">
        <f>IF(AND(AK278=MatchLabel,AY278=1),AP278,0)</f>
        <v>0</v>
      </c>
      <c r="BM278">
        <f>IF(AND(AK278=SafetyLabel,AY278=1),AP278,0)</f>
        <v>0</v>
      </c>
      <c r="BN278">
        <f>IF(AND(AK278=SecureLabel,AY278=1),AP278,0)</f>
        <v>0</v>
      </c>
      <c r="BO278">
        <f>IF(AND(AK278=SureThingLabel,AY278=1),AP278,0)</f>
        <v>0</v>
      </c>
      <c r="BP278">
        <f>MAX(BK278:BO278)</f>
        <v>0</v>
      </c>
      <c r="BQ278">
        <f>MAX(BL278:BO278)</f>
        <v>0</v>
      </c>
      <c r="BR278">
        <f>MAX(BM278:BO278)</f>
        <v>0</v>
      </c>
      <c r="BS278">
        <f>IF(ISNUMBER(Y278),INDEX(AllCollegeChicago, MATCH(N278,AllCollegeNCES,0))*AY278,0)</f>
        <v>0</v>
      </c>
      <c r="BT278">
        <f>IF(ISNUMBER(Y278),INDEX(AllCollegeMoneyCode, MATCH(N278,AllCollegeNCES,0)),"?")</f>
        <v>0</v>
      </c>
      <c r="BU278">
        <f>IF(OR(BT278="---",BT278="--",BT278="+/--",BT278="+/---"),1,0)</f>
        <v>0</v>
      </c>
      <c r="BV278">
        <f>AY278*AO278*AQ278</f>
        <v>0</v>
      </c>
    </row>
    <row r="279" spans="1:74">
      <c r="A279" t="s">
        <v>86</v>
      </c>
      <c r="B279">
        <v>23036214</v>
      </c>
      <c r="C279" t="s">
        <v>126</v>
      </c>
      <c r="D279" t="s">
        <v>127</v>
      </c>
      <c r="E279" t="s">
        <v>428</v>
      </c>
      <c r="F279" t="s">
        <v>438</v>
      </c>
      <c r="G279" t="s">
        <v>430</v>
      </c>
      <c r="H279" t="s">
        <v>431</v>
      </c>
      <c r="I279" t="s">
        <v>432</v>
      </c>
      <c r="J279" t="s">
        <v>432</v>
      </c>
      <c r="K279">
        <v>0</v>
      </c>
      <c r="L279" t="s">
        <v>428</v>
      </c>
      <c r="M279" t="s">
        <v>439</v>
      </c>
      <c r="N279">
        <v>150774</v>
      </c>
      <c r="O279">
        <f>INDEX(AllCollegeBarrons,MATCH(N279,AllCollegeNCES,0))</f>
        <v>0</v>
      </c>
      <c r="P279">
        <f>INDEX(KidGPAs,MATCH(B279,KidIDs,0))</f>
        <v>0</v>
      </c>
      <c r="Q279">
        <f>INDEX(KidACTs,MATCH(B279,KidIDs,0))</f>
        <v>0</v>
      </c>
      <c r="R279">
        <f>INDEX(Strats,MATCH(B279,KidIDs,0))</f>
        <v>0</v>
      </c>
      <c r="S279">
        <f>INDEX(KidRace,MATCH(B279,KidIDs,0))</f>
        <v>0</v>
      </c>
      <c r="T279">
        <f>IF(OR(S279="M",S279="I"),"H",S279)</f>
        <v>0</v>
      </c>
      <c r="U279">
        <f>INDEX(StudentTargets,MATCH(B279,KidIDs,0))</f>
        <v>0</v>
      </c>
      <c r="V279">
        <f>INDEX(ReachStudentTargets,MATCH(B279,KidIDs,0))</f>
        <v>0</v>
      </c>
      <c r="W279">
        <f>IF(OR(M279="Posse"),1,0)</f>
        <v>0</v>
      </c>
      <c r="X279">
        <f>IF(ISNUMBER(INDEX(AllCollegeGR, MATCH(N279,AllCollegeNCES,0))),ROUND(INDEX(AllCollegeGR, MATCH(N279,AllCollegeNCES,0))+W279*IF(INDEX(AllCollegeGR, MATCH(N279,AllCollegeNCES,0))&gt;0.7,(1-INDEX(AllCollegeGR, MATCH(N279,AllCollegeNCES,0)))/2,0.15),2),INDEX(AllCollegeGR, MATCH(N279,AllCollegeNCES,0)))</f>
        <v>0</v>
      </c>
      <c r="Y279">
        <f>IF(ISNUMBER(INDEX(AllCollegeAAHGR, MATCH(N279,AllCollegeNCES,0))),ROUND(INDEX(AllCollegeAAHGR, MATCH(N279,AllCollegeNCES,0))+W279*IF(INDEX(AllCollegeAAHGR, MATCH(N279,AllCollegeNCES,0))&gt;0.7,(1-INDEX(AllCollegeAAHGR, MATCH(N279,AllCollegeNCES,0)))/2,0.15),2),INDEX(AllCollegeAAHGR, MATCH(N279,AllCollegeNCES,0)))</f>
        <v>0</v>
      </c>
      <c r="Z279">
        <f>IF(OR(T279="H",T279="B"),INDEX(AllCollegeACT25, MATCH(N279,AllCollegeNCES,0)),INDEX(AllCollegeACT50, MATCH(N279,AllCollegeNCES,0)))</f>
        <v>0</v>
      </c>
      <c r="AA279">
        <f>INDEX(CustomWeightsGPA,MATCH(T279&amp;":"&amp;N279,CustomWeightsIndex,0))</f>
        <v>0</v>
      </c>
      <c r="AB279">
        <f>INDEX(CustomWeightsACT,MATCH(T279&amp;":"&amp;N279,CustomWeightsIndex,0))</f>
        <v>0</v>
      </c>
      <c r="AC279">
        <f>INDEX(CustomWeightsIntercept,MATCH(T279&amp;":"&amp;N279,CustomWeightsIndex,0))</f>
        <v>0</v>
      </c>
      <c r="AD279">
        <f>AA279*P279+AB279*Q279+AC279</f>
        <v>0</v>
      </c>
      <c r="AE279">
        <f>INDEX(CoefficientsGPA,MATCH(T279&amp;":"&amp;O279,CoefficientsIndex,0))</f>
        <v>0</v>
      </c>
      <c r="AF279">
        <f>INDEX(CoefficientsACT,MATCH(T279&amp;":"&amp;O279,CoefficientsIndex,0))</f>
        <v>0</v>
      </c>
      <c r="AG279">
        <f>INDEX(CoefficientsIntercept,MATCH(T279&amp;":"&amp;O279,CoefficientsIndex,0))</f>
        <v>0</v>
      </c>
      <c r="AH279">
        <f>AE279*P279+(Q279-Z279)*AF279+AG279</f>
        <v>0</v>
      </c>
      <c r="AI279">
        <f>IF(ISNUMBER(AD279),AD279,AH279)</f>
        <v>0</v>
      </c>
      <c r="AJ279">
        <f>IF(ISNUMBER(AI279),IF(ISNUMBER(AE279),IF(AND(AE279=1,AF279=1,AG279=1),100,ROUND(100*EXP(AI279)/(1+EXP(AI279)),2)),ROUND(100*EXP(AI279)/(1+EXP(AI279)),2)),IF(ISTEXT(O279),IF(LEFT(O279,1)="2",100,"N/A"),"N/A"))</f>
        <v>0</v>
      </c>
      <c r="AK279">
        <f>IF(ISNUMBER(AJ279),IF(AJ279&gt;=99,IF(OR(R279=10,R279=11),MatchLabel,SureThingLabel),IF(AJ279&gt;=95,SecureLabel,IF(AJ279&gt;=80,SafetyLabel,IF(AJ279&gt;=50,MatchLabel,IF(AJ279&gt;=20,ReachLabel,IF(AJ279&gt;=10,LongshotLabel,HailMaryLabel)))))),"Other")</f>
        <v>0</v>
      </c>
      <c r="AL279">
        <f>IF(OR(I279="accepted",I279="cond. accept",I279="summer admit"),IF(J279="yes","CHOICE!","Accepted!"),IF(I279="denied","Denied",IF(K279=1,"Waitlist",IF(L279=1,"Deferred",IF(G279="pending","Pending",IF(OR(G279="initial materials submitted",G279="mid-year submitted",G279="final submitted"),"Submitted",IF(H279="interest","Interest","?")))))))</f>
        <v>0</v>
      </c>
      <c r="AM279">
        <f>IF(OR(AK279=ReachLabel,AK279=LongshotLabel,AK279=HailMaryLabel),1,0)</f>
        <v>0</v>
      </c>
      <c r="AN279">
        <f>IF(OR(AM279=1,AK279=MatchLabel),1,0)</f>
        <v>0</v>
      </c>
      <c r="AO279">
        <f>IF(OR(AK279=MatchLabel,AK279=SafetyLabel,AK279=SecureLabel,AK279=SureThingLabel),1,0)</f>
        <v>0</v>
      </c>
      <c r="AP279">
        <f>IF(OR(T279="H",T279="B"),IF(ISNUMBER(Y279),ROUND(Y279,2),0),IF(ISNUMBER(X279),ROUND(X279,2),0))</f>
        <v>0</v>
      </c>
      <c r="AQ279">
        <f>IF(AP279&gt;=U279,1,0)</f>
        <v>0</v>
      </c>
      <c r="AR279">
        <f>IF(AP279&gt;=V279,1,0)</f>
        <v>0</v>
      </c>
      <c r="AS279">
        <f>IF(AP279&lt;(U279-0.10),1,0)</f>
        <v>0</v>
      </c>
      <c r="AT279">
        <f>1-AJ279/100</f>
        <v>0</v>
      </c>
      <c r="AU279">
        <f>IF(AN279=1,AT279,1)</f>
        <v>0</v>
      </c>
      <c r="AV279">
        <f>IF(AM279=1,AT279,1)</f>
        <v>0</v>
      </c>
      <c r="AW279">
        <f>IF(AND(AQ279=1,ISNUMBER(AT279)),$AT279,1)</f>
        <v>0</v>
      </c>
      <c r="AX279">
        <f>IF(AND(AR279=1,ISNUMBER(AT279)),$AT279,1)</f>
        <v>0</v>
      </c>
      <c r="AY279">
        <f>IF(ISNUMBER(Y279),INDEX(AllCollegeMoney, MATCH(N279,AllCollegeNCES,0)),0)</f>
        <v>0</v>
      </c>
      <c r="AZ279">
        <f>IF(AND(AQ279=1,ISNUMBER(AT279),AY279=1),$AT279,1)</f>
        <v>0</v>
      </c>
      <c r="BA279">
        <f>IF(AND(AR279=1,ISNUMBER(AT279),AY279=1),$AT279,1)</f>
        <v>0</v>
      </c>
      <c r="BB279">
        <f>IF(ISNUMBER(Y279),INDEX(AllCollegeILPub, MATCH(N279,AllCollegeNCES,0)),0)</f>
        <v>0</v>
      </c>
      <c r="BC279">
        <f>IF(AK279=ReachLabel,AP279,0)</f>
        <v>0</v>
      </c>
      <c r="BD279">
        <f>IF(AK279=MatchLabel,AP279,0)</f>
        <v>0</v>
      </c>
      <c r="BE279">
        <f>IF(AK279=SafetyLabel,AP279,0)</f>
        <v>0</v>
      </c>
      <c r="BF279">
        <f>IF(AK279=SecureLabel,AP279,0)</f>
        <v>0</v>
      </c>
      <c r="BG279">
        <f>IF(AK279=SureThingLabel,AP279,0)</f>
        <v>0</v>
      </c>
      <c r="BH279">
        <f>MAX(BC279:BG279)</f>
        <v>0</v>
      </c>
      <c r="BI279">
        <f>MAX(BD279:BG279)</f>
        <v>0</v>
      </c>
      <c r="BJ279">
        <f>MAX(BE279:BG279)</f>
        <v>0</v>
      </c>
      <c r="BK279">
        <f>IF(AND(AK279=ReachLabel,AY279=1),AP279,0)</f>
        <v>0</v>
      </c>
      <c r="BL279">
        <f>IF(AND(AK279=MatchLabel,AY279=1),AP279,0)</f>
        <v>0</v>
      </c>
      <c r="BM279">
        <f>IF(AND(AK279=SafetyLabel,AY279=1),AP279,0)</f>
        <v>0</v>
      </c>
      <c r="BN279">
        <f>IF(AND(AK279=SecureLabel,AY279=1),AP279,0)</f>
        <v>0</v>
      </c>
      <c r="BO279">
        <f>IF(AND(AK279=SureThingLabel,AY279=1),AP279,0)</f>
        <v>0</v>
      </c>
      <c r="BP279">
        <f>MAX(BK279:BO279)</f>
        <v>0</v>
      </c>
      <c r="BQ279">
        <f>MAX(BL279:BO279)</f>
        <v>0</v>
      </c>
      <c r="BR279">
        <f>MAX(BM279:BO279)</f>
        <v>0</v>
      </c>
      <c r="BS279">
        <f>IF(ISNUMBER(Y279),INDEX(AllCollegeChicago, MATCH(N279,AllCollegeNCES,0))*AY279,0)</f>
        <v>0</v>
      </c>
      <c r="BT279">
        <f>IF(ISNUMBER(Y279),INDEX(AllCollegeMoneyCode, MATCH(N279,AllCollegeNCES,0)),"?")</f>
        <v>0</v>
      </c>
      <c r="BU279">
        <f>IF(OR(BT279="---",BT279="--",BT279="+/--",BT279="+/---"),1,0)</f>
        <v>0</v>
      </c>
      <c r="BV279">
        <f>AY279*AO279*AQ279</f>
        <v>0</v>
      </c>
    </row>
    <row r="280" spans="1:74">
      <c r="A280" t="s">
        <v>86</v>
      </c>
      <c r="B280">
        <v>23038357</v>
      </c>
      <c r="C280" t="s">
        <v>293</v>
      </c>
      <c r="D280" t="s">
        <v>294</v>
      </c>
      <c r="E280" t="s">
        <v>428</v>
      </c>
      <c r="F280" t="s">
        <v>476</v>
      </c>
      <c r="G280" t="s">
        <v>430</v>
      </c>
      <c r="H280" t="s">
        <v>431</v>
      </c>
      <c r="I280" t="s">
        <v>432</v>
      </c>
      <c r="J280" t="s">
        <v>432</v>
      </c>
      <c r="K280">
        <v>0</v>
      </c>
      <c r="L280" t="s">
        <v>428</v>
      </c>
      <c r="M280" t="s">
        <v>428</v>
      </c>
      <c r="N280">
        <v>152080</v>
      </c>
      <c r="O280">
        <f>INDEX(AllCollegeBarrons,MATCH(N280,AllCollegeNCES,0))</f>
        <v>0</v>
      </c>
      <c r="P280">
        <f>INDEX(KidGPAs,MATCH(B280,KidIDs,0))</f>
        <v>0</v>
      </c>
      <c r="Q280">
        <f>INDEX(KidACTs,MATCH(B280,KidIDs,0))</f>
        <v>0</v>
      </c>
      <c r="R280">
        <f>INDEX(Strats,MATCH(B280,KidIDs,0))</f>
        <v>0</v>
      </c>
      <c r="S280">
        <f>INDEX(KidRace,MATCH(B280,KidIDs,0))</f>
        <v>0</v>
      </c>
      <c r="T280">
        <f>IF(OR(S280="M",S280="I"),"H",S280)</f>
        <v>0</v>
      </c>
      <c r="U280">
        <f>INDEX(StudentTargets,MATCH(B280,KidIDs,0))</f>
        <v>0</v>
      </c>
      <c r="V280">
        <f>INDEX(ReachStudentTargets,MATCH(B280,KidIDs,0))</f>
        <v>0</v>
      </c>
      <c r="W280">
        <f>IF(OR(M280="Posse"),1,0)</f>
        <v>0</v>
      </c>
      <c r="X280">
        <f>IF(ISNUMBER(INDEX(AllCollegeGR, MATCH(N280,AllCollegeNCES,0))),ROUND(INDEX(AllCollegeGR, MATCH(N280,AllCollegeNCES,0))+W280*IF(INDEX(AllCollegeGR, MATCH(N280,AllCollegeNCES,0))&gt;0.7,(1-INDEX(AllCollegeGR, MATCH(N280,AllCollegeNCES,0)))/2,0.15),2),INDEX(AllCollegeGR, MATCH(N280,AllCollegeNCES,0)))</f>
        <v>0</v>
      </c>
      <c r="Y280">
        <f>IF(ISNUMBER(INDEX(AllCollegeAAHGR, MATCH(N280,AllCollegeNCES,0))),ROUND(INDEX(AllCollegeAAHGR, MATCH(N280,AllCollegeNCES,0))+W280*IF(INDEX(AllCollegeAAHGR, MATCH(N280,AllCollegeNCES,0))&gt;0.7,(1-INDEX(AllCollegeAAHGR, MATCH(N280,AllCollegeNCES,0)))/2,0.15),2),INDEX(AllCollegeAAHGR, MATCH(N280,AllCollegeNCES,0)))</f>
        <v>0</v>
      </c>
      <c r="Z280">
        <f>IF(OR(T280="H",T280="B"),INDEX(AllCollegeACT25, MATCH(N280,AllCollegeNCES,0)),INDEX(AllCollegeACT50, MATCH(N280,AllCollegeNCES,0)))</f>
        <v>0</v>
      </c>
      <c r="AA280">
        <f>INDEX(CustomWeightsGPA,MATCH(T280&amp;":"&amp;N280,CustomWeightsIndex,0))</f>
        <v>0</v>
      </c>
      <c r="AB280">
        <f>INDEX(CustomWeightsACT,MATCH(T280&amp;":"&amp;N280,CustomWeightsIndex,0))</f>
        <v>0</v>
      </c>
      <c r="AC280">
        <f>INDEX(CustomWeightsIntercept,MATCH(T280&amp;":"&amp;N280,CustomWeightsIndex,0))</f>
        <v>0</v>
      </c>
      <c r="AD280">
        <f>AA280*P280+AB280*Q280+AC280</f>
        <v>0</v>
      </c>
      <c r="AE280">
        <f>INDEX(CoefficientsGPA,MATCH(T280&amp;":"&amp;O280,CoefficientsIndex,0))</f>
        <v>0</v>
      </c>
      <c r="AF280">
        <f>INDEX(CoefficientsACT,MATCH(T280&amp;":"&amp;O280,CoefficientsIndex,0))</f>
        <v>0</v>
      </c>
      <c r="AG280">
        <f>INDEX(CoefficientsIntercept,MATCH(T280&amp;":"&amp;O280,CoefficientsIndex,0))</f>
        <v>0</v>
      </c>
      <c r="AH280">
        <f>AE280*P280+(Q280-Z280)*AF280+AG280</f>
        <v>0</v>
      </c>
      <c r="AI280">
        <f>IF(ISNUMBER(AD280),AD280,AH280)</f>
        <v>0</v>
      </c>
      <c r="AJ280">
        <f>IF(ISNUMBER(AI280),IF(ISNUMBER(AE280),IF(AND(AE280=1,AF280=1,AG280=1),100,ROUND(100*EXP(AI280)/(1+EXP(AI280)),2)),ROUND(100*EXP(AI280)/(1+EXP(AI280)),2)),IF(ISTEXT(O280),IF(LEFT(O280,1)="2",100,"N/A"),"N/A"))</f>
        <v>0</v>
      </c>
      <c r="AK280">
        <f>IF(ISNUMBER(AJ280),IF(AJ280&gt;=99,IF(OR(R280=10,R280=11),MatchLabel,SureThingLabel),IF(AJ280&gt;=95,SecureLabel,IF(AJ280&gt;=80,SafetyLabel,IF(AJ280&gt;=50,MatchLabel,IF(AJ280&gt;=20,ReachLabel,IF(AJ280&gt;=10,LongshotLabel,HailMaryLabel)))))),"Other")</f>
        <v>0</v>
      </c>
      <c r="AL280">
        <f>IF(OR(I280="accepted",I280="cond. accept",I280="summer admit"),IF(J280="yes","CHOICE!","Accepted!"),IF(I280="denied","Denied",IF(K280=1,"Waitlist",IF(L280=1,"Deferred",IF(G280="pending","Pending",IF(OR(G280="initial materials submitted",G280="mid-year submitted",G280="final submitted"),"Submitted",IF(H280="interest","Interest","?")))))))</f>
        <v>0</v>
      </c>
      <c r="AM280">
        <f>IF(OR(AK280=ReachLabel,AK280=LongshotLabel,AK280=HailMaryLabel),1,0)</f>
        <v>0</v>
      </c>
      <c r="AN280">
        <f>IF(OR(AM280=1,AK280=MatchLabel),1,0)</f>
        <v>0</v>
      </c>
      <c r="AO280">
        <f>IF(OR(AK280=MatchLabel,AK280=SafetyLabel,AK280=SecureLabel,AK280=SureThingLabel),1,0)</f>
        <v>0</v>
      </c>
      <c r="AP280">
        <f>IF(OR(T280="H",T280="B"),IF(ISNUMBER(Y280),ROUND(Y280,2),0),IF(ISNUMBER(X280),ROUND(X280,2),0))</f>
        <v>0</v>
      </c>
      <c r="AQ280">
        <f>IF(AP280&gt;=U280,1,0)</f>
        <v>0</v>
      </c>
      <c r="AR280">
        <f>IF(AP280&gt;=V280,1,0)</f>
        <v>0</v>
      </c>
      <c r="AS280">
        <f>IF(AP280&lt;(U280-0.10),1,0)</f>
        <v>0</v>
      </c>
      <c r="AT280">
        <f>1-AJ280/100</f>
        <v>0</v>
      </c>
      <c r="AU280">
        <f>IF(AN280=1,AT280,1)</f>
        <v>0</v>
      </c>
      <c r="AV280">
        <f>IF(AM280=1,AT280,1)</f>
        <v>0</v>
      </c>
      <c r="AW280">
        <f>IF(AND(AQ280=1,ISNUMBER(AT280)),$AT280,1)</f>
        <v>0</v>
      </c>
      <c r="AX280">
        <f>IF(AND(AR280=1,ISNUMBER(AT280)),$AT280,1)</f>
        <v>0</v>
      </c>
      <c r="AY280">
        <f>IF(ISNUMBER(Y280),INDEX(AllCollegeMoney, MATCH(N280,AllCollegeNCES,0)),0)</f>
        <v>0</v>
      </c>
      <c r="AZ280">
        <f>IF(AND(AQ280=1,ISNUMBER(AT280),AY280=1),$AT280,1)</f>
        <v>0</v>
      </c>
      <c r="BA280">
        <f>IF(AND(AR280=1,ISNUMBER(AT280),AY280=1),$AT280,1)</f>
        <v>0</v>
      </c>
      <c r="BB280">
        <f>IF(ISNUMBER(Y280),INDEX(AllCollegeILPub, MATCH(N280,AllCollegeNCES,0)),0)</f>
        <v>0</v>
      </c>
      <c r="BC280">
        <f>IF(AK280=ReachLabel,AP280,0)</f>
        <v>0</v>
      </c>
      <c r="BD280">
        <f>IF(AK280=MatchLabel,AP280,0)</f>
        <v>0</v>
      </c>
      <c r="BE280">
        <f>IF(AK280=SafetyLabel,AP280,0)</f>
        <v>0</v>
      </c>
      <c r="BF280">
        <f>IF(AK280=SecureLabel,AP280,0)</f>
        <v>0</v>
      </c>
      <c r="BG280">
        <f>IF(AK280=SureThingLabel,AP280,0)</f>
        <v>0</v>
      </c>
      <c r="BH280">
        <f>MAX(BC280:BG280)</f>
        <v>0</v>
      </c>
      <c r="BI280">
        <f>MAX(BD280:BG280)</f>
        <v>0</v>
      </c>
      <c r="BJ280">
        <f>MAX(BE280:BG280)</f>
        <v>0</v>
      </c>
      <c r="BK280">
        <f>IF(AND(AK280=ReachLabel,AY280=1),AP280,0)</f>
        <v>0</v>
      </c>
      <c r="BL280">
        <f>IF(AND(AK280=MatchLabel,AY280=1),AP280,0)</f>
        <v>0</v>
      </c>
      <c r="BM280">
        <f>IF(AND(AK280=SafetyLabel,AY280=1),AP280,0)</f>
        <v>0</v>
      </c>
      <c r="BN280">
        <f>IF(AND(AK280=SecureLabel,AY280=1),AP280,0)</f>
        <v>0</v>
      </c>
      <c r="BO280">
        <f>IF(AND(AK280=SureThingLabel,AY280=1),AP280,0)</f>
        <v>0</v>
      </c>
      <c r="BP280">
        <f>MAX(BK280:BO280)</f>
        <v>0</v>
      </c>
      <c r="BQ280">
        <f>MAX(BL280:BO280)</f>
        <v>0</v>
      </c>
      <c r="BR280">
        <f>MAX(BM280:BO280)</f>
        <v>0</v>
      </c>
      <c r="BS280">
        <f>IF(ISNUMBER(Y280),INDEX(AllCollegeChicago, MATCH(N280,AllCollegeNCES,0))*AY280,0)</f>
        <v>0</v>
      </c>
      <c r="BT280">
        <f>IF(ISNUMBER(Y280),INDEX(AllCollegeMoneyCode, MATCH(N280,AllCollegeNCES,0)),"?")</f>
        <v>0</v>
      </c>
      <c r="BU280">
        <f>IF(OR(BT280="---",BT280="--",BT280="+/--",BT280="+/---"),1,0)</f>
        <v>0</v>
      </c>
      <c r="BV280">
        <f>AY280*AO280*AQ280</f>
        <v>0</v>
      </c>
    </row>
    <row r="281" spans="1:74">
      <c r="A281" t="s">
        <v>86</v>
      </c>
      <c r="B281">
        <v>23038357</v>
      </c>
      <c r="C281" t="s">
        <v>293</v>
      </c>
      <c r="D281" t="s">
        <v>294</v>
      </c>
      <c r="E281" t="s">
        <v>428</v>
      </c>
      <c r="F281" t="s">
        <v>477</v>
      </c>
      <c r="G281" t="s">
        <v>430</v>
      </c>
      <c r="H281" t="s">
        <v>431</v>
      </c>
      <c r="I281" t="s">
        <v>432</v>
      </c>
      <c r="J281" t="s">
        <v>432</v>
      </c>
      <c r="K281">
        <v>0</v>
      </c>
      <c r="L281" t="s">
        <v>428</v>
      </c>
      <c r="M281" t="s">
        <v>428</v>
      </c>
      <c r="N281">
        <v>147767</v>
      </c>
      <c r="O281">
        <f>INDEX(AllCollegeBarrons,MATCH(N281,AllCollegeNCES,0))</f>
        <v>0</v>
      </c>
      <c r="P281">
        <f>INDEX(KidGPAs,MATCH(B281,KidIDs,0))</f>
        <v>0</v>
      </c>
      <c r="Q281">
        <f>INDEX(KidACTs,MATCH(B281,KidIDs,0))</f>
        <v>0</v>
      </c>
      <c r="R281">
        <f>INDEX(Strats,MATCH(B281,KidIDs,0))</f>
        <v>0</v>
      </c>
      <c r="S281">
        <f>INDEX(KidRace,MATCH(B281,KidIDs,0))</f>
        <v>0</v>
      </c>
      <c r="T281">
        <f>IF(OR(S281="M",S281="I"),"H",S281)</f>
        <v>0</v>
      </c>
      <c r="U281">
        <f>INDEX(StudentTargets,MATCH(B281,KidIDs,0))</f>
        <v>0</v>
      </c>
      <c r="V281">
        <f>INDEX(ReachStudentTargets,MATCH(B281,KidIDs,0))</f>
        <v>0</v>
      </c>
      <c r="W281">
        <f>IF(OR(M281="Posse"),1,0)</f>
        <v>0</v>
      </c>
      <c r="X281">
        <f>IF(ISNUMBER(INDEX(AllCollegeGR, MATCH(N281,AllCollegeNCES,0))),ROUND(INDEX(AllCollegeGR, MATCH(N281,AllCollegeNCES,0))+W281*IF(INDEX(AllCollegeGR, MATCH(N281,AllCollegeNCES,0))&gt;0.7,(1-INDEX(AllCollegeGR, MATCH(N281,AllCollegeNCES,0)))/2,0.15),2),INDEX(AllCollegeGR, MATCH(N281,AllCollegeNCES,0)))</f>
        <v>0</v>
      </c>
      <c r="Y281">
        <f>IF(ISNUMBER(INDEX(AllCollegeAAHGR, MATCH(N281,AllCollegeNCES,0))),ROUND(INDEX(AllCollegeAAHGR, MATCH(N281,AllCollegeNCES,0))+W281*IF(INDEX(AllCollegeAAHGR, MATCH(N281,AllCollegeNCES,0))&gt;0.7,(1-INDEX(AllCollegeAAHGR, MATCH(N281,AllCollegeNCES,0)))/2,0.15),2),INDEX(AllCollegeAAHGR, MATCH(N281,AllCollegeNCES,0)))</f>
        <v>0</v>
      </c>
      <c r="Z281">
        <f>IF(OR(T281="H",T281="B"),INDEX(AllCollegeACT25, MATCH(N281,AllCollegeNCES,0)),INDEX(AllCollegeACT50, MATCH(N281,AllCollegeNCES,0)))</f>
        <v>0</v>
      </c>
      <c r="AA281">
        <f>INDEX(CustomWeightsGPA,MATCH(T281&amp;":"&amp;N281,CustomWeightsIndex,0))</f>
        <v>0</v>
      </c>
      <c r="AB281">
        <f>INDEX(CustomWeightsACT,MATCH(T281&amp;":"&amp;N281,CustomWeightsIndex,0))</f>
        <v>0</v>
      </c>
      <c r="AC281">
        <f>INDEX(CustomWeightsIntercept,MATCH(T281&amp;":"&amp;N281,CustomWeightsIndex,0))</f>
        <v>0</v>
      </c>
      <c r="AD281">
        <f>AA281*P281+AB281*Q281+AC281</f>
        <v>0</v>
      </c>
      <c r="AE281">
        <f>INDEX(CoefficientsGPA,MATCH(T281&amp;":"&amp;O281,CoefficientsIndex,0))</f>
        <v>0</v>
      </c>
      <c r="AF281">
        <f>INDEX(CoefficientsACT,MATCH(T281&amp;":"&amp;O281,CoefficientsIndex,0))</f>
        <v>0</v>
      </c>
      <c r="AG281">
        <f>INDEX(CoefficientsIntercept,MATCH(T281&amp;":"&amp;O281,CoefficientsIndex,0))</f>
        <v>0</v>
      </c>
      <c r="AH281">
        <f>AE281*P281+(Q281-Z281)*AF281+AG281</f>
        <v>0</v>
      </c>
      <c r="AI281">
        <f>IF(ISNUMBER(AD281),AD281,AH281)</f>
        <v>0</v>
      </c>
      <c r="AJ281">
        <f>IF(ISNUMBER(AI281),IF(ISNUMBER(AE281),IF(AND(AE281=1,AF281=1,AG281=1),100,ROUND(100*EXP(AI281)/(1+EXP(AI281)),2)),ROUND(100*EXP(AI281)/(1+EXP(AI281)),2)),IF(ISTEXT(O281),IF(LEFT(O281,1)="2",100,"N/A"),"N/A"))</f>
        <v>0</v>
      </c>
      <c r="AK281">
        <f>IF(ISNUMBER(AJ281),IF(AJ281&gt;=99,IF(OR(R281=10,R281=11),MatchLabel,SureThingLabel),IF(AJ281&gt;=95,SecureLabel,IF(AJ281&gt;=80,SafetyLabel,IF(AJ281&gt;=50,MatchLabel,IF(AJ281&gt;=20,ReachLabel,IF(AJ281&gt;=10,LongshotLabel,HailMaryLabel)))))),"Other")</f>
        <v>0</v>
      </c>
      <c r="AL281">
        <f>IF(OR(I281="accepted",I281="cond. accept",I281="summer admit"),IF(J281="yes","CHOICE!","Accepted!"),IF(I281="denied","Denied",IF(K281=1,"Waitlist",IF(L281=1,"Deferred",IF(G281="pending","Pending",IF(OR(G281="initial materials submitted",G281="mid-year submitted",G281="final submitted"),"Submitted",IF(H281="interest","Interest","?")))))))</f>
        <v>0</v>
      </c>
      <c r="AM281">
        <f>IF(OR(AK281=ReachLabel,AK281=LongshotLabel,AK281=HailMaryLabel),1,0)</f>
        <v>0</v>
      </c>
      <c r="AN281">
        <f>IF(OR(AM281=1,AK281=MatchLabel),1,0)</f>
        <v>0</v>
      </c>
      <c r="AO281">
        <f>IF(OR(AK281=MatchLabel,AK281=SafetyLabel,AK281=SecureLabel,AK281=SureThingLabel),1,0)</f>
        <v>0</v>
      </c>
      <c r="AP281">
        <f>IF(OR(T281="H",T281="B"),IF(ISNUMBER(Y281),ROUND(Y281,2),0),IF(ISNUMBER(X281),ROUND(X281,2),0))</f>
        <v>0</v>
      </c>
      <c r="AQ281">
        <f>IF(AP281&gt;=U281,1,0)</f>
        <v>0</v>
      </c>
      <c r="AR281">
        <f>IF(AP281&gt;=V281,1,0)</f>
        <v>0</v>
      </c>
      <c r="AS281">
        <f>IF(AP281&lt;(U281-0.10),1,0)</f>
        <v>0</v>
      </c>
      <c r="AT281">
        <f>1-AJ281/100</f>
        <v>0</v>
      </c>
      <c r="AU281">
        <f>IF(AN281=1,AT281,1)</f>
        <v>0</v>
      </c>
      <c r="AV281">
        <f>IF(AM281=1,AT281,1)</f>
        <v>0</v>
      </c>
      <c r="AW281">
        <f>IF(AND(AQ281=1,ISNUMBER(AT281)),$AT281,1)</f>
        <v>0</v>
      </c>
      <c r="AX281">
        <f>IF(AND(AR281=1,ISNUMBER(AT281)),$AT281,1)</f>
        <v>0</v>
      </c>
      <c r="AY281">
        <f>IF(ISNUMBER(Y281),INDEX(AllCollegeMoney, MATCH(N281,AllCollegeNCES,0)),0)</f>
        <v>0</v>
      </c>
      <c r="AZ281">
        <f>IF(AND(AQ281=1,ISNUMBER(AT281),AY281=1),$AT281,1)</f>
        <v>0</v>
      </c>
      <c r="BA281">
        <f>IF(AND(AR281=1,ISNUMBER(AT281),AY281=1),$AT281,1)</f>
        <v>0</v>
      </c>
      <c r="BB281">
        <f>IF(ISNUMBER(Y281),INDEX(AllCollegeILPub, MATCH(N281,AllCollegeNCES,0)),0)</f>
        <v>0</v>
      </c>
      <c r="BC281">
        <f>IF(AK281=ReachLabel,AP281,0)</f>
        <v>0</v>
      </c>
      <c r="BD281">
        <f>IF(AK281=MatchLabel,AP281,0)</f>
        <v>0</v>
      </c>
      <c r="BE281">
        <f>IF(AK281=SafetyLabel,AP281,0)</f>
        <v>0</v>
      </c>
      <c r="BF281">
        <f>IF(AK281=SecureLabel,AP281,0)</f>
        <v>0</v>
      </c>
      <c r="BG281">
        <f>IF(AK281=SureThingLabel,AP281,0)</f>
        <v>0</v>
      </c>
      <c r="BH281">
        <f>MAX(BC281:BG281)</f>
        <v>0</v>
      </c>
      <c r="BI281">
        <f>MAX(BD281:BG281)</f>
        <v>0</v>
      </c>
      <c r="BJ281">
        <f>MAX(BE281:BG281)</f>
        <v>0</v>
      </c>
      <c r="BK281">
        <f>IF(AND(AK281=ReachLabel,AY281=1),AP281,0)</f>
        <v>0</v>
      </c>
      <c r="BL281">
        <f>IF(AND(AK281=MatchLabel,AY281=1),AP281,0)</f>
        <v>0</v>
      </c>
      <c r="BM281">
        <f>IF(AND(AK281=SafetyLabel,AY281=1),AP281,0)</f>
        <v>0</v>
      </c>
      <c r="BN281">
        <f>IF(AND(AK281=SecureLabel,AY281=1),AP281,0)</f>
        <v>0</v>
      </c>
      <c r="BO281">
        <f>IF(AND(AK281=SureThingLabel,AY281=1),AP281,0)</f>
        <v>0</v>
      </c>
      <c r="BP281">
        <f>MAX(BK281:BO281)</f>
        <v>0</v>
      </c>
      <c r="BQ281">
        <f>MAX(BL281:BO281)</f>
        <v>0</v>
      </c>
      <c r="BR281">
        <f>MAX(BM281:BO281)</f>
        <v>0</v>
      </c>
      <c r="BS281">
        <f>IF(ISNUMBER(Y281),INDEX(AllCollegeChicago, MATCH(N281,AllCollegeNCES,0))*AY281,0)</f>
        <v>0</v>
      </c>
      <c r="BT281">
        <f>IF(ISNUMBER(Y281),INDEX(AllCollegeMoneyCode, MATCH(N281,AllCollegeNCES,0)),"?")</f>
        <v>0</v>
      </c>
      <c r="BU281">
        <f>IF(OR(BT281="---",BT281="--",BT281="+/--",BT281="+/---"),1,0)</f>
        <v>0</v>
      </c>
      <c r="BV281">
        <f>AY281*AO281*AQ281</f>
        <v>0</v>
      </c>
    </row>
    <row r="282" spans="1:74">
      <c r="A282" t="s">
        <v>86</v>
      </c>
      <c r="B282">
        <v>23038357</v>
      </c>
      <c r="C282" t="s">
        <v>293</v>
      </c>
      <c r="D282" t="s">
        <v>294</v>
      </c>
      <c r="E282" t="s">
        <v>428</v>
      </c>
      <c r="F282" t="s">
        <v>523</v>
      </c>
      <c r="G282" t="s">
        <v>463</v>
      </c>
      <c r="H282" t="s">
        <v>431</v>
      </c>
      <c r="I282" t="s">
        <v>432</v>
      </c>
      <c r="J282" t="s">
        <v>432</v>
      </c>
      <c r="K282">
        <v>0</v>
      </c>
      <c r="L282" t="s">
        <v>428</v>
      </c>
      <c r="M282" t="s">
        <v>428</v>
      </c>
      <c r="N282">
        <v>152390</v>
      </c>
      <c r="O282">
        <f>INDEX(AllCollegeBarrons,MATCH(N282,AllCollegeNCES,0))</f>
        <v>0</v>
      </c>
      <c r="P282">
        <f>INDEX(KidGPAs,MATCH(B282,KidIDs,0))</f>
        <v>0</v>
      </c>
      <c r="Q282">
        <f>INDEX(KidACTs,MATCH(B282,KidIDs,0))</f>
        <v>0</v>
      </c>
      <c r="R282">
        <f>INDEX(Strats,MATCH(B282,KidIDs,0))</f>
        <v>0</v>
      </c>
      <c r="S282">
        <f>INDEX(KidRace,MATCH(B282,KidIDs,0))</f>
        <v>0</v>
      </c>
      <c r="T282">
        <f>IF(OR(S282="M",S282="I"),"H",S282)</f>
        <v>0</v>
      </c>
      <c r="U282">
        <f>INDEX(StudentTargets,MATCH(B282,KidIDs,0))</f>
        <v>0</v>
      </c>
      <c r="V282">
        <f>INDEX(ReachStudentTargets,MATCH(B282,KidIDs,0))</f>
        <v>0</v>
      </c>
      <c r="W282">
        <f>IF(OR(M282="Posse"),1,0)</f>
        <v>0</v>
      </c>
      <c r="X282">
        <f>IF(ISNUMBER(INDEX(AllCollegeGR, MATCH(N282,AllCollegeNCES,0))),ROUND(INDEX(AllCollegeGR, MATCH(N282,AllCollegeNCES,0))+W282*IF(INDEX(AllCollegeGR, MATCH(N282,AllCollegeNCES,0))&gt;0.7,(1-INDEX(AllCollegeGR, MATCH(N282,AllCollegeNCES,0)))/2,0.15),2),INDEX(AllCollegeGR, MATCH(N282,AllCollegeNCES,0)))</f>
        <v>0</v>
      </c>
      <c r="Y282">
        <f>IF(ISNUMBER(INDEX(AllCollegeAAHGR, MATCH(N282,AllCollegeNCES,0))),ROUND(INDEX(AllCollegeAAHGR, MATCH(N282,AllCollegeNCES,0))+W282*IF(INDEX(AllCollegeAAHGR, MATCH(N282,AllCollegeNCES,0))&gt;0.7,(1-INDEX(AllCollegeAAHGR, MATCH(N282,AllCollegeNCES,0)))/2,0.15),2),INDEX(AllCollegeAAHGR, MATCH(N282,AllCollegeNCES,0)))</f>
        <v>0</v>
      </c>
      <c r="Z282">
        <f>IF(OR(T282="H",T282="B"),INDEX(AllCollegeACT25, MATCH(N282,AllCollegeNCES,0)),INDEX(AllCollegeACT50, MATCH(N282,AllCollegeNCES,0)))</f>
        <v>0</v>
      </c>
      <c r="AA282">
        <f>INDEX(CustomWeightsGPA,MATCH(T282&amp;":"&amp;N282,CustomWeightsIndex,0))</f>
        <v>0</v>
      </c>
      <c r="AB282">
        <f>INDEX(CustomWeightsACT,MATCH(T282&amp;":"&amp;N282,CustomWeightsIndex,0))</f>
        <v>0</v>
      </c>
      <c r="AC282">
        <f>INDEX(CustomWeightsIntercept,MATCH(T282&amp;":"&amp;N282,CustomWeightsIndex,0))</f>
        <v>0</v>
      </c>
      <c r="AD282">
        <f>AA282*P282+AB282*Q282+AC282</f>
        <v>0</v>
      </c>
      <c r="AE282">
        <f>INDEX(CoefficientsGPA,MATCH(T282&amp;":"&amp;O282,CoefficientsIndex,0))</f>
        <v>0</v>
      </c>
      <c r="AF282">
        <f>INDEX(CoefficientsACT,MATCH(T282&amp;":"&amp;O282,CoefficientsIndex,0))</f>
        <v>0</v>
      </c>
      <c r="AG282">
        <f>INDEX(CoefficientsIntercept,MATCH(T282&amp;":"&amp;O282,CoefficientsIndex,0))</f>
        <v>0</v>
      </c>
      <c r="AH282">
        <f>AE282*P282+(Q282-Z282)*AF282+AG282</f>
        <v>0</v>
      </c>
      <c r="AI282">
        <f>IF(ISNUMBER(AD282),AD282,AH282)</f>
        <v>0</v>
      </c>
      <c r="AJ282">
        <f>IF(ISNUMBER(AI282),IF(ISNUMBER(AE282),IF(AND(AE282=1,AF282=1,AG282=1),100,ROUND(100*EXP(AI282)/(1+EXP(AI282)),2)),ROUND(100*EXP(AI282)/(1+EXP(AI282)),2)),IF(ISTEXT(O282),IF(LEFT(O282,1)="2",100,"N/A"),"N/A"))</f>
        <v>0</v>
      </c>
      <c r="AK282">
        <f>IF(ISNUMBER(AJ282),IF(AJ282&gt;=99,IF(OR(R282=10,R282=11),MatchLabel,SureThingLabel),IF(AJ282&gt;=95,SecureLabel,IF(AJ282&gt;=80,SafetyLabel,IF(AJ282&gt;=50,MatchLabel,IF(AJ282&gt;=20,ReachLabel,IF(AJ282&gt;=10,LongshotLabel,HailMaryLabel)))))),"Other")</f>
        <v>0</v>
      </c>
      <c r="AL282">
        <f>IF(OR(I282="accepted",I282="cond. accept",I282="summer admit"),IF(J282="yes","CHOICE!","Accepted!"),IF(I282="denied","Denied",IF(K282=1,"Waitlist",IF(L282=1,"Deferred",IF(G282="pending","Pending",IF(OR(G282="initial materials submitted",G282="mid-year submitted",G282="final submitted"),"Submitted",IF(H282="interest","Interest","?")))))))</f>
        <v>0</v>
      </c>
      <c r="AM282">
        <f>IF(OR(AK282=ReachLabel,AK282=LongshotLabel,AK282=HailMaryLabel),1,0)</f>
        <v>0</v>
      </c>
      <c r="AN282">
        <f>IF(OR(AM282=1,AK282=MatchLabel),1,0)</f>
        <v>0</v>
      </c>
      <c r="AO282">
        <f>IF(OR(AK282=MatchLabel,AK282=SafetyLabel,AK282=SecureLabel,AK282=SureThingLabel),1,0)</f>
        <v>0</v>
      </c>
      <c r="AP282">
        <f>IF(OR(T282="H",T282="B"),IF(ISNUMBER(Y282),ROUND(Y282,2),0),IF(ISNUMBER(X282),ROUND(X282,2),0))</f>
        <v>0</v>
      </c>
      <c r="AQ282">
        <f>IF(AP282&gt;=U282,1,0)</f>
        <v>0</v>
      </c>
      <c r="AR282">
        <f>IF(AP282&gt;=V282,1,0)</f>
        <v>0</v>
      </c>
      <c r="AS282">
        <f>IF(AP282&lt;(U282-0.10),1,0)</f>
        <v>0</v>
      </c>
      <c r="AT282">
        <f>1-AJ282/100</f>
        <v>0</v>
      </c>
      <c r="AU282">
        <f>IF(AN282=1,AT282,1)</f>
        <v>0</v>
      </c>
      <c r="AV282">
        <f>IF(AM282=1,AT282,1)</f>
        <v>0</v>
      </c>
      <c r="AW282">
        <f>IF(AND(AQ282=1,ISNUMBER(AT282)),$AT282,1)</f>
        <v>0</v>
      </c>
      <c r="AX282">
        <f>IF(AND(AR282=1,ISNUMBER(AT282)),$AT282,1)</f>
        <v>0</v>
      </c>
      <c r="AY282">
        <f>IF(ISNUMBER(Y282),INDEX(AllCollegeMoney, MATCH(N282,AllCollegeNCES,0)),0)</f>
        <v>0</v>
      </c>
      <c r="AZ282">
        <f>IF(AND(AQ282=1,ISNUMBER(AT282),AY282=1),$AT282,1)</f>
        <v>0</v>
      </c>
      <c r="BA282">
        <f>IF(AND(AR282=1,ISNUMBER(AT282),AY282=1),$AT282,1)</f>
        <v>0</v>
      </c>
      <c r="BB282">
        <f>IF(ISNUMBER(Y282),INDEX(AllCollegeILPub, MATCH(N282,AllCollegeNCES,0)),0)</f>
        <v>0</v>
      </c>
      <c r="BC282">
        <f>IF(AK282=ReachLabel,AP282,0)</f>
        <v>0</v>
      </c>
      <c r="BD282">
        <f>IF(AK282=MatchLabel,AP282,0)</f>
        <v>0</v>
      </c>
      <c r="BE282">
        <f>IF(AK282=SafetyLabel,AP282,0)</f>
        <v>0</v>
      </c>
      <c r="BF282">
        <f>IF(AK282=SecureLabel,AP282,0)</f>
        <v>0</v>
      </c>
      <c r="BG282">
        <f>IF(AK282=SureThingLabel,AP282,0)</f>
        <v>0</v>
      </c>
      <c r="BH282">
        <f>MAX(BC282:BG282)</f>
        <v>0</v>
      </c>
      <c r="BI282">
        <f>MAX(BD282:BG282)</f>
        <v>0</v>
      </c>
      <c r="BJ282">
        <f>MAX(BE282:BG282)</f>
        <v>0</v>
      </c>
      <c r="BK282">
        <f>IF(AND(AK282=ReachLabel,AY282=1),AP282,0)</f>
        <v>0</v>
      </c>
      <c r="BL282">
        <f>IF(AND(AK282=MatchLabel,AY282=1),AP282,0)</f>
        <v>0</v>
      </c>
      <c r="BM282">
        <f>IF(AND(AK282=SafetyLabel,AY282=1),AP282,0)</f>
        <v>0</v>
      </c>
      <c r="BN282">
        <f>IF(AND(AK282=SecureLabel,AY282=1),AP282,0)</f>
        <v>0</v>
      </c>
      <c r="BO282">
        <f>IF(AND(AK282=SureThingLabel,AY282=1),AP282,0)</f>
        <v>0</v>
      </c>
      <c r="BP282">
        <f>MAX(BK282:BO282)</f>
        <v>0</v>
      </c>
      <c r="BQ282">
        <f>MAX(BL282:BO282)</f>
        <v>0</v>
      </c>
      <c r="BR282">
        <f>MAX(BM282:BO282)</f>
        <v>0</v>
      </c>
      <c r="BS282">
        <f>IF(ISNUMBER(Y282),INDEX(AllCollegeChicago, MATCH(N282,AllCollegeNCES,0))*AY282,0)</f>
        <v>0</v>
      </c>
      <c r="BT282">
        <f>IF(ISNUMBER(Y282),INDEX(AllCollegeMoneyCode, MATCH(N282,AllCollegeNCES,0)),"?")</f>
        <v>0</v>
      </c>
      <c r="BU282">
        <f>IF(OR(BT282="---",BT282="--",BT282="+/--",BT282="+/---"),1,0)</f>
        <v>0</v>
      </c>
      <c r="BV282">
        <f>AY282*AO282*AQ282</f>
        <v>0</v>
      </c>
    </row>
    <row r="283" spans="1:74">
      <c r="A283" t="s">
        <v>86</v>
      </c>
      <c r="B283">
        <v>23038357</v>
      </c>
      <c r="C283" t="s">
        <v>293</v>
      </c>
      <c r="D283" t="s">
        <v>294</v>
      </c>
      <c r="E283" t="s">
        <v>428</v>
      </c>
      <c r="F283" t="s">
        <v>457</v>
      </c>
      <c r="G283" t="s">
        <v>463</v>
      </c>
      <c r="H283" t="s">
        <v>431</v>
      </c>
      <c r="I283" t="s">
        <v>432</v>
      </c>
      <c r="J283" t="s">
        <v>432</v>
      </c>
      <c r="K283">
        <v>0</v>
      </c>
      <c r="L283" t="s">
        <v>428</v>
      </c>
      <c r="M283" t="s">
        <v>428</v>
      </c>
      <c r="N283">
        <v>145637</v>
      </c>
      <c r="O283">
        <f>INDEX(AllCollegeBarrons,MATCH(N283,AllCollegeNCES,0))</f>
        <v>0</v>
      </c>
      <c r="P283">
        <f>INDEX(KidGPAs,MATCH(B283,KidIDs,0))</f>
        <v>0</v>
      </c>
      <c r="Q283">
        <f>INDEX(KidACTs,MATCH(B283,KidIDs,0))</f>
        <v>0</v>
      </c>
      <c r="R283">
        <f>INDEX(Strats,MATCH(B283,KidIDs,0))</f>
        <v>0</v>
      </c>
      <c r="S283">
        <f>INDEX(KidRace,MATCH(B283,KidIDs,0))</f>
        <v>0</v>
      </c>
      <c r="T283">
        <f>IF(OR(S283="M",S283="I"),"H",S283)</f>
        <v>0</v>
      </c>
      <c r="U283">
        <f>INDEX(StudentTargets,MATCH(B283,KidIDs,0))</f>
        <v>0</v>
      </c>
      <c r="V283">
        <f>INDEX(ReachStudentTargets,MATCH(B283,KidIDs,0))</f>
        <v>0</v>
      </c>
      <c r="W283">
        <f>IF(OR(M283="Posse"),1,0)</f>
        <v>0</v>
      </c>
      <c r="X283">
        <f>IF(ISNUMBER(INDEX(AllCollegeGR, MATCH(N283,AllCollegeNCES,0))),ROUND(INDEX(AllCollegeGR, MATCH(N283,AllCollegeNCES,0))+W283*IF(INDEX(AllCollegeGR, MATCH(N283,AllCollegeNCES,0))&gt;0.7,(1-INDEX(AllCollegeGR, MATCH(N283,AllCollegeNCES,0)))/2,0.15),2),INDEX(AllCollegeGR, MATCH(N283,AllCollegeNCES,0)))</f>
        <v>0</v>
      </c>
      <c r="Y283">
        <f>IF(ISNUMBER(INDEX(AllCollegeAAHGR, MATCH(N283,AllCollegeNCES,0))),ROUND(INDEX(AllCollegeAAHGR, MATCH(N283,AllCollegeNCES,0))+W283*IF(INDEX(AllCollegeAAHGR, MATCH(N283,AllCollegeNCES,0))&gt;0.7,(1-INDEX(AllCollegeAAHGR, MATCH(N283,AllCollegeNCES,0)))/2,0.15),2),INDEX(AllCollegeAAHGR, MATCH(N283,AllCollegeNCES,0)))</f>
        <v>0</v>
      </c>
      <c r="Z283">
        <f>IF(OR(T283="H",T283="B"),INDEX(AllCollegeACT25, MATCH(N283,AllCollegeNCES,0)),INDEX(AllCollegeACT50, MATCH(N283,AllCollegeNCES,0)))</f>
        <v>0</v>
      </c>
      <c r="AA283">
        <f>INDEX(CustomWeightsGPA,MATCH(T283&amp;":"&amp;N283,CustomWeightsIndex,0))</f>
        <v>0</v>
      </c>
      <c r="AB283">
        <f>INDEX(CustomWeightsACT,MATCH(T283&amp;":"&amp;N283,CustomWeightsIndex,0))</f>
        <v>0</v>
      </c>
      <c r="AC283">
        <f>INDEX(CustomWeightsIntercept,MATCH(T283&amp;":"&amp;N283,CustomWeightsIndex,0))</f>
        <v>0</v>
      </c>
      <c r="AD283">
        <f>AA283*P283+AB283*Q283+AC283</f>
        <v>0</v>
      </c>
      <c r="AE283">
        <f>INDEX(CoefficientsGPA,MATCH(T283&amp;":"&amp;O283,CoefficientsIndex,0))</f>
        <v>0</v>
      </c>
      <c r="AF283">
        <f>INDEX(CoefficientsACT,MATCH(T283&amp;":"&amp;O283,CoefficientsIndex,0))</f>
        <v>0</v>
      </c>
      <c r="AG283">
        <f>INDEX(CoefficientsIntercept,MATCH(T283&amp;":"&amp;O283,CoefficientsIndex,0))</f>
        <v>0</v>
      </c>
      <c r="AH283">
        <f>AE283*P283+(Q283-Z283)*AF283+AG283</f>
        <v>0</v>
      </c>
      <c r="AI283">
        <f>IF(ISNUMBER(AD283),AD283,AH283)</f>
        <v>0</v>
      </c>
      <c r="AJ283">
        <f>IF(ISNUMBER(AI283),IF(ISNUMBER(AE283),IF(AND(AE283=1,AF283=1,AG283=1),100,ROUND(100*EXP(AI283)/(1+EXP(AI283)),2)),ROUND(100*EXP(AI283)/(1+EXP(AI283)),2)),IF(ISTEXT(O283),IF(LEFT(O283,1)="2",100,"N/A"),"N/A"))</f>
        <v>0</v>
      </c>
      <c r="AK283">
        <f>IF(ISNUMBER(AJ283),IF(AJ283&gt;=99,IF(OR(R283=10,R283=11),MatchLabel,SureThingLabel),IF(AJ283&gt;=95,SecureLabel,IF(AJ283&gt;=80,SafetyLabel,IF(AJ283&gt;=50,MatchLabel,IF(AJ283&gt;=20,ReachLabel,IF(AJ283&gt;=10,LongshotLabel,HailMaryLabel)))))),"Other")</f>
        <v>0</v>
      </c>
      <c r="AL283">
        <f>IF(OR(I283="accepted",I283="cond. accept",I283="summer admit"),IF(J283="yes","CHOICE!","Accepted!"),IF(I283="denied","Denied",IF(K283=1,"Waitlist",IF(L283=1,"Deferred",IF(G283="pending","Pending",IF(OR(G283="initial materials submitted",G283="mid-year submitted",G283="final submitted"),"Submitted",IF(H283="interest","Interest","?")))))))</f>
        <v>0</v>
      </c>
      <c r="AM283">
        <f>IF(OR(AK283=ReachLabel,AK283=LongshotLabel,AK283=HailMaryLabel),1,0)</f>
        <v>0</v>
      </c>
      <c r="AN283">
        <f>IF(OR(AM283=1,AK283=MatchLabel),1,0)</f>
        <v>0</v>
      </c>
      <c r="AO283">
        <f>IF(OR(AK283=MatchLabel,AK283=SafetyLabel,AK283=SecureLabel,AK283=SureThingLabel),1,0)</f>
        <v>0</v>
      </c>
      <c r="AP283">
        <f>IF(OR(T283="H",T283="B"),IF(ISNUMBER(Y283),ROUND(Y283,2),0),IF(ISNUMBER(X283),ROUND(X283,2),0))</f>
        <v>0</v>
      </c>
      <c r="AQ283">
        <f>IF(AP283&gt;=U283,1,0)</f>
        <v>0</v>
      </c>
      <c r="AR283">
        <f>IF(AP283&gt;=V283,1,0)</f>
        <v>0</v>
      </c>
      <c r="AS283">
        <f>IF(AP283&lt;(U283-0.10),1,0)</f>
        <v>0</v>
      </c>
      <c r="AT283">
        <f>1-AJ283/100</f>
        <v>0</v>
      </c>
      <c r="AU283">
        <f>IF(AN283=1,AT283,1)</f>
        <v>0</v>
      </c>
      <c r="AV283">
        <f>IF(AM283=1,AT283,1)</f>
        <v>0</v>
      </c>
      <c r="AW283">
        <f>IF(AND(AQ283=1,ISNUMBER(AT283)),$AT283,1)</f>
        <v>0</v>
      </c>
      <c r="AX283">
        <f>IF(AND(AR283=1,ISNUMBER(AT283)),$AT283,1)</f>
        <v>0</v>
      </c>
      <c r="AY283">
        <f>IF(ISNUMBER(Y283),INDEX(AllCollegeMoney, MATCH(N283,AllCollegeNCES,0)),0)</f>
        <v>0</v>
      </c>
      <c r="AZ283">
        <f>IF(AND(AQ283=1,ISNUMBER(AT283),AY283=1),$AT283,1)</f>
        <v>0</v>
      </c>
      <c r="BA283">
        <f>IF(AND(AR283=1,ISNUMBER(AT283),AY283=1),$AT283,1)</f>
        <v>0</v>
      </c>
      <c r="BB283">
        <f>IF(ISNUMBER(Y283),INDEX(AllCollegeILPub, MATCH(N283,AllCollegeNCES,0)),0)</f>
        <v>0</v>
      </c>
      <c r="BC283">
        <f>IF(AK283=ReachLabel,AP283,0)</f>
        <v>0</v>
      </c>
      <c r="BD283">
        <f>IF(AK283=MatchLabel,AP283,0)</f>
        <v>0</v>
      </c>
      <c r="BE283">
        <f>IF(AK283=SafetyLabel,AP283,0)</f>
        <v>0</v>
      </c>
      <c r="BF283">
        <f>IF(AK283=SecureLabel,AP283,0)</f>
        <v>0</v>
      </c>
      <c r="BG283">
        <f>IF(AK283=SureThingLabel,AP283,0)</f>
        <v>0</v>
      </c>
      <c r="BH283">
        <f>MAX(BC283:BG283)</f>
        <v>0</v>
      </c>
      <c r="BI283">
        <f>MAX(BD283:BG283)</f>
        <v>0</v>
      </c>
      <c r="BJ283">
        <f>MAX(BE283:BG283)</f>
        <v>0</v>
      </c>
      <c r="BK283">
        <f>IF(AND(AK283=ReachLabel,AY283=1),AP283,0)</f>
        <v>0</v>
      </c>
      <c r="BL283">
        <f>IF(AND(AK283=MatchLabel,AY283=1),AP283,0)</f>
        <v>0</v>
      </c>
      <c r="BM283">
        <f>IF(AND(AK283=SafetyLabel,AY283=1),AP283,0)</f>
        <v>0</v>
      </c>
      <c r="BN283">
        <f>IF(AND(AK283=SecureLabel,AY283=1),AP283,0)</f>
        <v>0</v>
      </c>
      <c r="BO283">
        <f>IF(AND(AK283=SureThingLabel,AY283=1),AP283,0)</f>
        <v>0</v>
      </c>
      <c r="BP283">
        <f>MAX(BK283:BO283)</f>
        <v>0</v>
      </c>
      <c r="BQ283">
        <f>MAX(BL283:BO283)</f>
        <v>0</v>
      </c>
      <c r="BR283">
        <f>MAX(BM283:BO283)</f>
        <v>0</v>
      </c>
      <c r="BS283">
        <f>IF(ISNUMBER(Y283),INDEX(AllCollegeChicago, MATCH(N283,AllCollegeNCES,0))*AY283,0)</f>
        <v>0</v>
      </c>
      <c r="BT283">
        <f>IF(ISNUMBER(Y283),INDEX(AllCollegeMoneyCode, MATCH(N283,AllCollegeNCES,0)),"?")</f>
        <v>0</v>
      </c>
      <c r="BU283">
        <f>IF(OR(BT283="---",BT283="--",BT283="+/--",BT283="+/---"),1,0)</f>
        <v>0</v>
      </c>
      <c r="BV283">
        <f>AY283*AO283*AQ283</f>
        <v>0</v>
      </c>
    </row>
    <row r="284" spans="1:74">
      <c r="A284" t="s">
        <v>86</v>
      </c>
      <c r="B284">
        <v>23038357</v>
      </c>
      <c r="C284" t="s">
        <v>293</v>
      </c>
      <c r="D284" t="s">
        <v>294</v>
      </c>
      <c r="E284" t="s">
        <v>428</v>
      </c>
      <c r="F284" t="s">
        <v>459</v>
      </c>
      <c r="G284" t="s">
        <v>463</v>
      </c>
      <c r="H284" t="s">
        <v>431</v>
      </c>
      <c r="I284" t="s">
        <v>432</v>
      </c>
      <c r="J284" t="s">
        <v>432</v>
      </c>
      <c r="K284">
        <v>0</v>
      </c>
      <c r="L284" t="s">
        <v>428</v>
      </c>
      <c r="M284" t="s">
        <v>428</v>
      </c>
      <c r="N284">
        <v>146427</v>
      </c>
      <c r="O284">
        <f>INDEX(AllCollegeBarrons,MATCH(N284,AllCollegeNCES,0))</f>
        <v>0</v>
      </c>
      <c r="P284">
        <f>INDEX(KidGPAs,MATCH(B284,KidIDs,0))</f>
        <v>0</v>
      </c>
      <c r="Q284">
        <f>INDEX(KidACTs,MATCH(B284,KidIDs,0))</f>
        <v>0</v>
      </c>
      <c r="R284">
        <f>INDEX(Strats,MATCH(B284,KidIDs,0))</f>
        <v>0</v>
      </c>
      <c r="S284">
        <f>INDEX(KidRace,MATCH(B284,KidIDs,0))</f>
        <v>0</v>
      </c>
      <c r="T284">
        <f>IF(OR(S284="M",S284="I"),"H",S284)</f>
        <v>0</v>
      </c>
      <c r="U284">
        <f>INDEX(StudentTargets,MATCH(B284,KidIDs,0))</f>
        <v>0</v>
      </c>
      <c r="V284">
        <f>INDEX(ReachStudentTargets,MATCH(B284,KidIDs,0))</f>
        <v>0</v>
      </c>
      <c r="W284">
        <f>IF(OR(M284="Posse"),1,0)</f>
        <v>0</v>
      </c>
      <c r="X284">
        <f>IF(ISNUMBER(INDEX(AllCollegeGR, MATCH(N284,AllCollegeNCES,0))),ROUND(INDEX(AllCollegeGR, MATCH(N284,AllCollegeNCES,0))+W284*IF(INDEX(AllCollegeGR, MATCH(N284,AllCollegeNCES,0))&gt;0.7,(1-INDEX(AllCollegeGR, MATCH(N284,AllCollegeNCES,0)))/2,0.15),2),INDEX(AllCollegeGR, MATCH(N284,AllCollegeNCES,0)))</f>
        <v>0</v>
      </c>
      <c r="Y284">
        <f>IF(ISNUMBER(INDEX(AllCollegeAAHGR, MATCH(N284,AllCollegeNCES,0))),ROUND(INDEX(AllCollegeAAHGR, MATCH(N284,AllCollegeNCES,0))+W284*IF(INDEX(AllCollegeAAHGR, MATCH(N284,AllCollegeNCES,0))&gt;0.7,(1-INDEX(AllCollegeAAHGR, MATCH(N284,AllCollegeNCES,0)))/2,0.15),2),INDEX(AllCollegeAAHGR, MATCH(N284,AllCollegeNCES,0)))</f>
        <v>0</v>
      </c>
      <c r="Z284">
        <f>IF(OR(T284="H",T284="B"),INDEX(AllCollegeACT25, MATCH(N284,AllCollegeNCES,0)),INDEX(AllCollegeACT50, MATCH(N284,AllCollegeNCES,0)))</f>
        <v>0</v>
      </c>
      <c r="AA284">
        <f>INDEX(CustomWeightsGPA,MATCH(T284&amp;":"&amp;N284,CustomWeightsIndex,0))</f>
        <v>0</v>
      </c>
      <c r="AB284">
        <f>INDEX(CustomWeightsACT,MATCH(T284&amp;":"&amp;N284,CustomWeightsIndex,0))</f>
        <v>0</v>
      </c>
      <c r="AC284">
        <f>INDEX(CustomWeightsIntercept,MATCH(T284&amp;":"&amp;N284,CustomWeightsIndex,0))</f>
        <v>0</v>
      </c>
      <c r="AD284">
        <f>AA284*P284+AB284*Q284+AC284</f>
        <v>0</v>
      </c>
      <c r="AE284">
        <f>INDEX(CoefficientsGPA,MATCH(T284&amp;":"&amp;O284,CoefficientsIndex,0))</f>
        <v>0</v>
      </c>
      <c r="AF284">
        <f>INDEX(CoefficientsACT,MATCH(T284&amp;":"&amp;O284,CoefficientsIndex,0))</f>
        <v>0</v>
      </c>
      <c r="AG284">
        <f>INDEX(CoefficientsIntercept,MATCH(T284&amp;":"&amp;O284,CoefficientsIndex,0))</f>
        <v>0</v>
      </c>
      <c r="AH284">
        <f>AE284*P284+(Q284-Z284)*AF284+AG284</f>
        <v>0</v>
      </c>
      <c r="AI284">
        <f>IF(ISNUMBER(AD284),AD284,AH284)</f>
        <v>0</v>
      </c>
      <c r="AJ284">
        <f>IF(ISNUMBER(AI284),IF(ISNUMBER(AE284),IF(AND(AE284=1,AF284=1,AG284=1),100,ROUND(100*EXP(AI284)/(1+EXP(AI284)),2)),ROUND(100*EXP(AI284)/(1+EXP(AI284)),2)),IF(ISTEXT(O284),IF(LEFT(O284,1)="2",100,"N/A"),"N/A"))</f>
        <v>0</v>
      </c>
      <c r="AK284">
        <f>IF(ISNUMBER(AJ284),IF(AJ284&gt;=99,IF(OR(R284=10,R284=11),MatchLabel,SureThingLabel),IF(AJ284&gt;=95,SecureLabel,IF(AJ284&gt;=80,SafetyLabel,IF(AJ284&gt;=50,MatchLabel,IF(AJ284&gt;=20,ReachLabel,IF(AJ284&gt;=10,LongshotLabel,HailMaryLabel)))))),"Other")</f>
        <v>0</v>
      </c>
      <c r="AL284">
        <f>IF(OR(I284="accepted",I284="cond. accept",I284="summer admit"),IF(J284="yes","CHOICE!","Accepted!"),IF(I284="denied","Denied",IF(K284=1,"Waitlist",IF(L284=1,"Deferred",IF(G284="pending","Pending",IF(OR(G284="initial materials submitted",G284="mid-year submitted",G284="final submitted"),"Submitted",IF(H284="interest","Interest","?")))))))</f>
        <v>0</v>
      </c>
      <c r="AM284">
        <f>IF(OR(AK284=ReachLabel,AK284=LongshotLabel,AK284=HailMaryLabel),1,0)</f>
        <v>0</v>
      </c>
      <c r="AN284">
        <f>IF(OR(AM284=1,AK284=MatchLabel),1,0)</f>
        <v>0</v>
      </c>
      <c r="AO284">
        <f>IF(OR(AK284=MatchLabel,AK284=SafetyLabel,AK284=SecureLabel,AK284=SureThingLabel),1,0)</f>
        <v>0</v>
      </c>
      <c r="AP284">
        <f>IF(OR(T284="H",T284="B"),IF(ISNUMBER(Y284),ROUND(Y284,2),0),IF(ISNUMBER(X284),ROUND(X284,2),0))</f>
        <v>0</v>
      </c>
      <c r="AQ284">
        <f>IF(AP284&gt;=U284,1,0)</f>
        <v>0</v>
      </c>
      <c r="AR284">
        <f>IF(AP284&gt;=V284,1,0)</f>
        <v>0</v>
      </c>
      <c r="AS284">
        <f>IF(AP284&lt;(U284-0.10),1,0)</f>
        <v>0</v>
      </c>
      <c r="AT284">
        <f>1-AJ284/100</f>
        <v>0</v>
      </c>
      <c r="AU284">
        <f>IF(AN284=1,AT284,1)</f>
        <v>0</v>
      </c>
      <c r="AV284">
        <f>IF(AM284=1,AT284,1)</f>
        <v>0</v>
      </c>
      <c r="AW284">
        <f>IF(AND(AQ284=1,ISNUMBER(AT284)),$AT284,1)</f>
        <v>0</v>
      </c>
      <c r="AX284">
        <f>IF(AND(AR284=1,ISNUMBER(AT284)),$AT284,1)</f>
        <v>0</v>
      </c>
      <c r="AY284">
        <f>IF(ISNUMBER(Y284),INDEX(AllCollegeMoney, MATCH(N284,AllCollegeNCES,0)),0)</f>
        <v>0</v>
      </c>
      <c r="AZ284">
        <f>IF(AND(AQ284=1,ISNUMBER(AT284),AY284=1),$AT284,1)</f>
        <v>0</v>
      </c>
      <c r="BA284">
        <f>IF(AND(AR284=1,ISNUMBER(AT284),AY284=1),$AT284,1)</f>
        <v>0</v>
      </c>
      <c r="BB284">
        <f>IF(ISNUMBER(Y284),INDEX(AllCollegeILPub, MATCH(N284,AllCollegeNCES,0)),0)</f>
        <v>0</v>
      </c>
      <c r="BC284">
        <f>IF(AK284=ReachLabel,AP284,0)</f>
        <v>0</v>
      </c>
      <c r="BD284">
        <f>IF(AK284=MatchLabel,AP284,0)</f>
        <v>0</v>
      </c>
      <c r="BE284">
        <f>IF(AK284=SafetyLabel,AP284,0)</f>
        <v>0</v>
      </c>
      <c r="BF284">
        <f>IF(AK284=SecureLabel,AP284,0)</f>
        <v>0</v>
      </c>
      <c r="BG284">
        <f>IF(AK284=SureThingLabel,AP284,0)</f>
        <v>0</v>
      </c>
      <c r="BH284">
        <f>MAX(BC284:BG284)</f>
        <v>0</v>
      </c>
      <c r="BI284">
        <f>MAX(BD284:BG284)</f>
        <v>0</v>
      </c>
      <c r="BJ284">
        <f>MAX(BE284:BG284)</f>
        <v>0</v>
      </c>
      <c r="BK284">
        <f>IF(AND(AK284=ReachLabel,AY284=1),AP284,0)</f>
        <v>0</v>
      </c>
      <c r="BL284">
        <f>IF(AND(AK284=MatchLabel,AY284=1),AP284,0)</f>
        <v>0</v>
      </c>
      <c r="BM284">
        <f>IF(AND(AK284=SafetyLabel,AY284=1),AP284,0)</f>
        <v>0</v>
      </c>
      <c r="BN284">
        <f>IF(AND(AK284=SecureLabel,AY284=1),AP284,0)</f>
        <v>0</v>
      </c>
      <c r="BO284">
        <f>IF(AND(AK284=SureThingLabel,AY284=1),AP284,0)</f>
        <v>0</v>
      </c>
      <c r="BP284">
        <f>MAX(BK284:BO284)</f>
        <v>0</v>
      </c>
      <c r="BQ284">
        <f>MAX(BL284:BO284)</f>
        <v>0</v>
      </c>
      <c r="BR284">
        <f>MAX(BM284:BO284)</f>
        <v>0</v>
      </c>
      <c r="BS284">
        <f>IF(ISNUMBER(Y284),INDEX(AllCollegeChicago, MATCH(N284,AllCollegeNCES,0))*AY284,0)</f>
        <v>0</v>
      </c>
      <c r="BT284">
        <f>IF(ISNUMBER(Y284),INDEX(AllCollegeMoneyCode, MATCH(N284,AllCollegeNCES,0)),"?")</f>
        <v>0</v>
      </c>
      <c r="BU284">
        <f>IF(OR(BT284="---",BT284="--",BT284="+/--",BT284="+/---"),1,0)</f>
        <v>0</v>
      </c>
      <c r="BV284">
        <f>AY284*AO284*AQ284</f>
        <v>0</v>
      </c>
    </row>
    <row r="285" spans="1:74">
      <c r="A285" t="s">
        <v>86</v>
      </c>
      <c r="B285">
        <v>23038357</v>
      </c>
      <c r="C285" t="s">
        <v>293</v>
      </c>
      <c r="D285" t="s">
        <v>294</v>
      </c>
      <c r="E285" t="s">
        <v>428</v>
      </c>
      <c r="F285" t="s">
        <v>471</v>
      </c>
      <c r="G285" t="s">
        <v>463</v>
      </c>
      <c r="H285" t="s">
        <v>431</v>
      </c>
      <c r="I285" t="s">
        <v>432</v>
      </c>
      <c r="J285" t="s">
        <v>432</v>
      </c>
      <c r="K285">
        <v>0</v>
      </c>
      <c r="L285" t="s">
        <v>428</v>
      </c>
      <c r="M285" t="s">
        <v>428</v>
      </c>
      <c r="N285">
        <v>170301</v>
      </c>
      <c r="O285">
        <f>INDEX(AllCollegeBarrons,MATCH(N285,AllCollegeNCES,0))</f>
        <v>0</v>
      </c>
      <c r="P285">
        <f>INDEX(KidGPAs,MATCH(B285,KidIDs,0))</f>
        <v>0</v>
      </c>
      <c r="Q285">
        <f>INDEX(KidACTs,MATCH(B285,KidIDs,0))</f>
        <v>0</v>
      </c>
      <c r="R285">
        <f>INDEX(Strats,MATCH(B285,KidIDs,0))</f>
        <v>0</v>
      </c>
      <c r="S285">
        <f>INDEX(KidRace,MATCH(B285,KidIDs,0))</f>
        <v>0</v>
      </c>
      <c r="T285">
        <f>IF(OR(S285="M",S285="I"),"H",S285)</f>
        <v>0</v>
      </c>
      <c r="U285">
        <f>INDEX(StudentTargets,MATCH(B285,KidIDs,0))</f>
        <v>0</v>
      </c>
      <c r="V285">
        <f>INDEX(ReachStudentTargets,MATCH(B285,KidIDs,0))</f>
        <v>0</v>
      </c>
      <c r="W285">
        <f>IF(OR(M285="Posse"),1,0)</f>
        <v>0</v>
      </c>
      <c r="X285">
        <f>IF(ISNUMBER(INDEX(AllCollegeGR, MATCH(N285,AllCollegeNCES,0))),ROUND(INDEX(AllCollegeGR, MATCH(N285,AllCollegeNCES,0))+W285*IF(INDEX(AllCollegeGR, MATCH(N285,AllCollegeNCES,0))&gt;0.7,(1-INDEX(AllCollegeGR, MATCH(N285,AllCollegeNCES,0)))/2,0.15),2),INDEX(AllCollegeGR, MATCH(N285,AllCollegeNCES,0)))</f>
        <v>0</v>
      </c>
      <c r="Y285">
        <f>IF(ISNUMBER(INDEX(AllCollegeAAHGR, MATCH(N285,AllCollegeNCES,0))),ROUND(INDEX(AllCollegeAAHGR, MATCH(N285,AllCollegeNCES,0))+W285*IF(INDEX(AllCollegeAAHGR, MATCH(N285,AllCollegeNCES,0))&gt;0.7,(1-INDEX(AllCollegeAAHGR, MATCH(N285,AllCollegeNCES,0)))/2,0.15),2),INDEX(AllCollegeAAHGR, MATCH(N285,AllCollegeNCES,0)))</f>
        <v>0</v>
      </c>
      <c r="Z285">
        <f>IF(OR(T285="H",T285="B"),INDEX(AllCollegeACT25, MATCH(N285,AllCollegeNCES,0)),INDEX(AllCollegeACT50, MATCH(N285,AllCollegeNCES,0)))</f>
        <v>0</v>
      </c>
      <c r="AA285">
        <f>INDEX(CustomWeightsGPA,MATCH(T285&amp;":"&amp;N285,CustomWeightsIndex,0))</f>
        <v>0</v>
      </c>
      <c r="AB285">
        <f>INDEX(CustomWeightsACT,MATCH(T285&amp;":"&amp;N285,CustomWeightsIndex,0))</f>
        <v>0</v>
      </c>
      <c r="AC285">
        <f>INDEX(CustomWeightsIntercept,MATCH(T285&amp;":"&amp;N285,CustomWeightsIndex,0))</f>
        <v>0</v>
      </c>
      <c r="AD285">
        <f>AA285*P285+AB285*Q285+AC285</f>
        <v>0</v>
      </c>
      <c r="AE285">
        <f>INDEX(CoefficientsGPA,MATCH(T285&amp;":"&amp;O285,CoefficientsIndex,0))</f>
        <v>0</v>
      </c>
      <c r="AF285">
        <f>INDEX(CoefficientsACT,MATCH(T285&amp;":"&amp;O285,CoefficientsIndex,0))</f>
        <v>0</v>
      </c>
      <c r="AG285">
        <f>INDEX(CoefficientsIntercept,MATCH(T285&amp;":"&amp;O285,CoefficientsIndex,0))</f>
        <v>0</v>
      </c>
      <c r="AH285">
        <f>AE285*P285+(Q285-Z285)*AF285+AG285</f>
        <v>0</v>
      </c>
      <c r="AI285">
        <f>IF(ISNUMBER(AD285),AD285,AH285)</f>
        <v>0</v>
      </c>
      <c r="AJ285">
        <f>IF(ISNUMBER(AI285),IF(ISNUMBER(AE285),IF(AND(AE285=1,AF285=1,AG285=1),100,ROUND(100*EXP(AI285)/(1+EXP(AI285)),2)),ROUND(100*EXP(AI285)/(1+EXP(AI285)),2)),IF(ISTEXT(O285),IF(LEFT(O285,1)="2",100,"N/A"),"N/A"))</f>
        <v>0</v>
      </c>
      <c r="AK285">
        <f>IF(ISNUMBER(AJ285),IF(AJ285&gt;=99,IF(OR(R285=10,R285=11),MatchLabel,SureThingLabel),IF(AJ285&gt;=95,SecureLabel,IF(AJ285&gt;=80,SafetyLabel,IF(AJ285&gt;=50,MatchLabel,IF(AJ285&gt;=20,ReachLabel,IF(AJ285&gt;=10,LongshotLabel,HailMaryLabel)))))),"Other")</f>
        <v>0</v>
      </c>
      <c r="AL285">
        <f>IF(OR(I285="accepted",I285="cond. accept",I285="summer admit"),IF(J285="yes","CHOICE!","Accepted!"),IF(I285="denied","Denied",IF(K285=1,"Waitlist",IF(L285=1,"Deferred",IF(G285="pending","Pending",IF(OR(G285="initial materials submitted",G285="mid-year submitted",G285="final submitted"),"Submitted",IF(H285="interest","Interest","?")))))))</f>
        <v>0</v>
      </c>
      <c r="AM285">
        <f>IF(OR(AK285=ReachLabel,AK285=LongshotLabel,AK285=HailMaryLabel),1,0)</f>
        <v>0</v>
      </c>
      <c r="AN285">
        <f>IF(OR(AM285=1,AK285=MatchLabel),1,0)</f>
        <v>0</v>
      </c>
      <c r="AO285">
        <f>IF(OR(AK285=MatchLabel,AK285=SafetyLabel,AK285=SecureLabel,AK285=SureThingLabel),1,0)</f>
        <v>0</v>
      </c>
      <c r="AP285">
        <f>IF(OR(T285="H",T285="B"),IF(ISNUMBER(Y285),ROUND(Y285,2),0),IF(ISNUMBER(X285),ROUND(X285,2),0))</f>
        <v>0</v>
      </c>
      <c r="AQ285">
        <f>IF(AP285&gt;=U285,1,0)</f>
        <v>0</v>
      </c>
      <c r="AR285">
        <f>IF(AP285&gt;=V285,1,0)</f>
        <v>0</v>
      </c>
      <c r="AS285">
        <f>IF(AP285&lt;(U285-0.10),1,0)</f>
        <v>0</v>
      </c>
      <c r="AT285">
        <f>1-AJ285/100</f>
        <v>0</v>
      </c>
      <c r="AU285">
        <f>IF(AN285=1,AT285,1)</f>
        <v>0</v>
      </c>
      <c r="AV285">
        <f>IF(AM285=1,AT285,1)</f>
        <v>0</v>
      </c>
      <c r="AW285">
        <f>IF(AND(AQ285=1,ISNUMBER(AT285)),$AT285,1)</f>
        <v>0</v>
      </c>
      <c r="AX285">
        <f>IF(AND(AR285=1,ISNUMBER(AT285)),$AT285,1)</f>
        <v>0</v>
      </c>
      <c r="AY285">
        <f>IF(ISNUMBER(Y285),INDEX(AllCollegeMoney, MATCH(N285,AllCollegeNCES,0)),0)</f>
        <v>0</v>
      </c>
      <c r="AZ285">
        <f>IF(AND(AQ285=1,ISNUMBER(AT285),AY285=1),$AT285,1)</f>
        <v>0</v>
      </c>
      <c r="BA285">
        <f>IF(AND(AR285=1,ISNUMBER(AT285),AY285=1),$AT285,1)</f>
        <v>0</v>
      </c>
      <c r="BB285">
        <f>IF(ISNUMBER(Y285),INDEX(AllCollegeILPub, MATCH(N285,AllCollegeNCES,0)),0)</f>
        <v>0</v>
      </c>
      <c r="BC285">
        <f>IF(AK285=ReachLabel,AP285,0)</f>
        <v>0</v>
      </c>
      <c r="BD285">
        <f>IF(AK285=MatchLabel,AP285,0)</f>
        <v>0</v>
      </c>
      <c r="BE285">
        <f>IF(AK285=SafetyLabel,AP285,0)</f>
        <v>0</v>
      </c>
      <c r="BF285">
        <f>IF(AK285=SecureLabel,AP285,0)</f>
        <v>0</v>
      </c>
      <c r="BG285">
        <f>IF(AK285=SureThingLabel,AP285,0)</f>
        <v>0</v>
      </c>
      <c r="BH285">
        <f>MAX(BC285:BG285)</f>
        <v>0</v>
      </c>
      <c r="BI285">
        <f>MAX(BD285:BG285)</f>
        <v>0</v>
      </c>
      <c r="BJ285">
        <f>MAX(BE285:BG285)</f>
        <v>0</v>
      </c>
      <c r="BK285">
        <f>IF(AND(AK285=ReachLabel,AY285=1),AP285,0)</f>
        <v>0</v>
      </c>
      <c r="BL285">
        <f>IF(AND(AK285=MatchLabel,AY285=1),AP285,0)</f>
        <v>0</v>
      </c>
      <c r="BM285">
        <f>IF(AND(AK285=SafetyLabel,AY285=1),AP285,0)</f>
        <v>0</v>
      </c>
      <c r="BN285">
        <f>IF(AND(AK285=SecureLabel,AY285=1),AP285,0)</f>
        <v>0</v>
      </c>
      <c r="BO285">
        <f>IF(AND(AK285=SureThingLabel,AY285=1),AP285,0)</f>
        <v>0</v>
      </c>
      <c r="BP285">
        <f>MAX(BK285:BO285)</f>
        <v>0</v>
      </c>
      <c r="BQ285">
        <f>MAX(BL285:BO285)</f>
        <v>0</v>
      </c>
      <c r="BR285">
        <f>MAX(BM285:BO285)</f>
        <v>0</v>
      </c>
      <c r="BS285">
        <f>IF(ISNUMBER(Y285),INDEX(AllCollegeChicago, MATCH(N285,AllCollegeNCES,0))*AY285,0)</f>
        <v>0</v>
      </c>
      <c r="BT285">
        <f>IF(ISNUMBER(Y285),INDEX(AllCollegeMoneyCode, MATCH(N285,AllCollegeNCES,0)),"?")</f>
        <v>0</v>
      </c>
      <c r="BU285">
        <f>IF(OR(BT285="---",BT285="--",BT285="+/--",BT285="+/---"),1,0)</f>
        <v>0</v>
      </c>
      <c r="BV285">
        <f>AY285*AO285*AQ285</f>
        <v>0</v>
      </c>
    </row>
    <row r="286" spans="1:74">
      <c r="A286" t="s">
        <v>86</v>
      </c>
      <c r="B286">
        <v>23038357</v>
      </c>
      <c r="C286" t="s">
        <v>293</v>
      </c>
      <c r="D286" t="s">
        <v>294</v>
      </c>
      <c r="E286" t="s">
        <v>428</v>
      </c>
      <c r="F286" t="s">
        <v>518</v>
      </c>
      <c r="G286" t="s">
        <v>463</v>
      </c>
      <c r="H286" t="s">
        <v>431</v>
      </c>
      <c r="I286" t="s">
        <v>432</v>
      </c>
      <c r="J286" t="s">
        <v>432</v>
      </c>
      <c r="K286">
        <v>0</v>
      </c>
      <c r="L286" t="s">
        <v>428</v>
      </c>
      <c r="M286" t="s">
        <v>428</v>
      </c>
      <c r="N286">
        <v>146719</v>
      </c>
      <c r="O286">
        <f>INDEX(AllCollegeBarrons,MATCH(N286,AllCollegeNCES,0))</f>
        <v>0</v>
      </c>
      <c r="P286">
        <f>INDEX(KidGPAs,MATCH(B286,KidIDs,0))</f>
        <v>0</v>
      </c>
      <c r="Q286">
        <f>INDEX(KidACTs,MATCH(B286,KidIDs,0))</f>
        <v>0</v>
      </c>
      <c r="R286">
        <f>INDEX(Strats,MATCH(B286,KidIDs,0))</f>
        <v>0</v>
      </c>
      <c r="S286">
        <f>INDEX(KidRace,MATCH(B286,KidIDs,0))</f>
        <v>0</v>
      </c>
      <c r="T286">
        <f>IF(OR(S286="M",S286="I"),"H",S286)</f>
        <v>0</v>
      </c>
      <c r="U286">
        <f>INDEX(StudentTargets,MATCH(B286,KidIDs,0))</f>
        <v>0</v>
      </c>
      <c r="V286">
        <f>INDEX(ReachStudentTargets,MATCH(B286,KidIDs,0))</f>
        <v>0</v>
      </c>
      <c r="W286">
        <f>IF(OR(M286="Posse"),1,0)</f>
        <v>0</v>
      </c>
      <c r="X286">
        <f>IF(ISNUMBER(INDEX(AllCollegeGR, MATCH(N286,AllCollegeNCES,0))),ROUND(INDEX(AllCollegeGR, MATCH(N286,AllCollegeNCES,0))+W286*IF(INDEX(AllCollegeGR, MATCH(N286,AllCollegeNCES,0))&gt;0.7,(1-INDEX(AllCollegeGR, MATCH(N286,AllCollegeNCES,0)))/2,0.15),2),INDEX(AllCollegeGR, MATCH(N286,AllCollegeNCES,0)))</f>
        <v>0</v>
      </c>
      <c r="Y286">
        <f>IF(ISNUMBER(INDEX(AllCollegeAAHGR, MATCH(N286,AllCollegeNCES,0))),ROUND(INDEX(AllCollegeAAHGR, MATCH(N286,AllCollegeNCES,0))+W286*IF(INDEX(AllCollegeAAHGR, MATCH(N286,AllCollegeNCES,0))&gt;0.7,(1-INDEX(AllCollegeAAHGR, MATCH(N286,AllCollegeNCES,0)))/2,0.15),2),INDEX(AllCollegeAAHGR, MATCH(N286,AllCollegeNCES,0)))</f>
        <v>0</v>
      </c>
      <c r="Z286">
        <f>IF(OR(T286="H",T286="B"),INDEX(AllCollegeACT25, MATCH(N286,AllCollegeNCES,0)),INDEX(AllCollegeACT50, MATCH(N286,AllCollegeNCES,0)))</f>
        <v>0</v>
      </c>
      <c r="AA286">
        <f>INDEX(CustomWeightsGPA,MATCH(T286&amp;":"&amp;N286,CustomWeightsIndex,0))</f>
        <v>0</v>
      </c>
      <c r="AB286">
        <f>INDEX(CustomWeightsACT,MATCH(T286&amp;":"&amp;N286,CustomWeightsIndex,0))</f>
        <v>0</v>
      </c>
      <c r="AC286">
        <f>INDEX(CustomWeightsIntercept,MATCH(T286&amp;":"&amp;N286,CustomWeightsIndex,0))</f>
        <v>0</v>
      </c>
      <c r="AD286">
        <f>AA286*P286+AB286*Q286+AC286</f>
        <v>0</v>
      </c>
      <c r="AE286">
        <f>INDEX(CoefficientsGPA,MATCH(T286&amp;":"&amp;O286,CoefficientsIndex,0))</f>
        <v>0</v>
      </c>
      <c r="AF286">
        <f>INDEX(CoefficientsACT,MATCH(T286&amp;":"&amp;O286,CoefficientsIndex,0))</f>
        <v>0</v>
      </c>
      <c r="AG286">
        <f>INDEX(CoefficientsIntercept,MATCH(T286&amp;":"&amp;O286,CoefficientsIndex,0))</f>
        <v>0</v>
      </c>
      <c r="AH286">
        <f>AE286*P286+(Q286-Z286)*AF286+AG286</f>
        <v>0</v>
      </c>
      <c r="AI286">
        <f>IF(ISNUMBER(AD286),AD286,AH286)</f>
        <v>0</v>
      </c>
      <c r="AJ286">
        <f>IF(ISNUMBER(AI286),IF(ISNUMBER(AE286),IF(AND(AE286=1,AF286=1,AG286=1),100,ROUND(100*EXP(AI286)/(1+EXP(AI286)),2)),ROUND(100*EXP(AI286)/(1+EXP(AI286)),2)),IF(ISTEXT(O286),IF(LEFT(O286,1)="2",100,"N/A"),"N/A"))</f>
        <v>0</v>
      </c>
      <c r="AK286">
        <f>IF(ISNUMBER(AJ286),IF(AJ286&gt;=99,IF(OR(R286=10,R286=11),MatchLabel,SureThingLabel),IF(AJ286&gt;=95,SecureLabel,IF(AJ286&gt;=80,SafetyLabel,IF(AJ286&gt;=50,MatchLabel,IF(AJ286&gt;=20,ReachLabel,IF(AJ286&gt;=10,LongshotLabel,HailMaryLabel)))))),"Other")</f>
        <v>0</v>
      </c>
      <c r="AL286">
        <f>IF(OR(I286="accepted",I286="cond. accept",I286="summer admit"),IF(J286="yes","CHOICE!","Accepted!"),IF(I286="denied","Denied",IF(K286=1,"Waitlist",IF(L286=1,"Deferred",IF(G286="pending","Pending",IF(OR(G286="initial materials submitted",G286="mid-year submitted",G286="final submitted"),"Submitted",IF(H286="interest","Interest","?")))))))</f>
        <v>0</v>
      </c>
      <c r="AM286">
        <f>IF(OR(AK286=ReachLabel,AK286=LongshotLabel,AK286=HailMaryLabel),1,0)</f>
        <v>0</v>
      </c>
      <c r="AN286">
        <f>IF(OR(AM286=1,AK286=MatchLabel),1,0)</f>
        <v>0</v>
      </c>
      <c r="AO286">
        <f>IF(OR(AK286=MatchLabel,AK286=SafetyLabel,AK286=SecureLabel,AK286=SureThingLabel),1,0)</f>
        <v>0</v>
      </c>
      <c r="AP286">
        <f>IF(OR(T286="H",T286="B"),IF(ISNUMBER(Y286),ROUND(Y286,2),0),IF(ISNUMBER(X286),ROUND(X286,2),0))</f>
        <v>0</v>
      </c>
      <c r="AQ286">
        <f>IF(AP286&gt;=U286,1,0)</f>
        <v>0</v>
      </c>
      <c r="AR286">
        <f>IF(AP286&gt;=V286,1,0)</f>
        <v>0</v>
      </c>
      <c r="AS286">
        <f>IF(AP286&lt;(U286-0.10),1,0)</f>
        <v>0</v>
      </c>
      <c r="AT286">
        <f>1-AJ286/100</f>
        <v>0</v>
      </c>
      <c r="AU286">
        <f>IF(AN286=1,AT286,1)</f>
        <v>0</v>
      </c>
      <c r="AV286">
        <f>IF(AM286=1,AT286,1)</f>
        <v>0</v>
      </c>
      <c r="AW286">
        <f>IF(AND(AQ286=1,ISNUMBER(AT286)),$AT286,1)</f>
        <v>0</v>
      </c>
      <c r="AX286">
        <f>IF(AND(AR286=1,ISNUMBER(AT286)),$AT286,1)</f>
        <v>0</v>
      </c>
      <c r="AY286">
        <f>IF(ISNUMBER(Y286),INDEX(AllCollegeMoney, MATCH(N286,AllCollegeNCES,0)),0)</f>
        <v>0</v>
      </c>
      <c r="AZ286">
        <f>IF(AND(AQ286=1,ISNUMBER(AT286),AY286=1),$AT286,1)</f>
        <v>0</v>
      </c>
      <c r="BA286">
        <f>IF(AND(AR286=1,ISNUMBER(AT286),AY286=1),$AT286,1)</f>
        <v>0</v>
      </c>
      <c r="BB286">
        <f>IF(ISNUMBER(Y286),INDEX(AllCollegeILPub, MATCH(N286,AllCollegeNCES,0)),0)</f>
        <v>0</v>
      </c>
      <c r="BC286">
        <f>IF(AK286=ReachLabel,AP286,0)</f>
        <v>0</v>
      </c>
      <c r="BD286">
        <f>IF(AK286=MatchLabel,AP286,0)</f>
        <v>0</v>
      </c>
      <c r="BE286">
        <f>IF(AK286=SafetyLabel,AP286,0)</f>
        <v>0</v>
      </c>
      <c r="BF286">
        <f>IF(AK286=SecureLabel,AP286,0)</f>
        <v>0</v>
      </c>
      <c r="BG286">
        <f>IF(AK286=SureThingLabel,AP286,0)</f>
        <v>0</v>
      </c>
      <c r="BH286">
        <f>MAX(BC286:BG286)</f>
        <v>0</v>
      </c>
      <c r="BI286">
        <f>MAX(BD286:BG286)</f>
        <v>0</v>
      </c>
      <c r="BJ286">
        <f>MAX(BE286:BG286)</f>
        <v>0</v>
      </c>
      <c r="BK286">
        <f>IF(AND(AK286=ReachLabel,AY286=1),AP286,0)</f>
        <v>0</v>
      </c>
      <c r="BL286">
        <f>IF(AND(AK286=MatchLabel,AY286=1),AP286,0)</f>
        <v>0</v>
      </c>
      <c r="BM286">
        <f>IF(AND(AK286=SafetyLabel,AY286=1),AP286,0)</f>
        <v>0</v>
      </c>
      <c r="BN286">
        <f>IF(AND(AK286=SecureLabel,AY286=1),AP286,0)</f>
        <v>0</v>
      </c>
      <c r="BO286">
        <f>IF(AND(AK286=SureThingLabel,AY286=1),AP286,0)</f>
        <v>0</v>
      </c>
      <c r="BP286">
        <f>MAX(BK286:BO286)</f>
        <v>0</v>
      </c>
      <c r="BQ286">
        <f>MAX(BL286:BO286)</f>
        <v>0</v>
      </c>
      <c r="BR286">
        <f>MAX(BM286:BO286)</f>
        <v>0</v>
      </c>
      <c r="BS286">
        <f>IF(ISNUMBER(Y286),INDEX(AllCollegeChicago, MATCH(N286,AllCollegeNCES,0))*AY286,0)</f>
        <v>0</v>
      </c>
      <c r="BT286">
        <f>IF(ISNUMBER(Y286),INDEX(AllCollegeMoneyCode, MATCH(N286,AllCollegeNCES,0)),"?")</f>
        <v>0</v>
      </c>
      <c r="BU286">
        <f>IF(OR(BT286="---",BT286="--",BT286="+/--",BT286="+/---"),1,0)</f>
        <v>0</v>
      </c>
      <c r="BV286">
        <f>AY286*AO286*AQ286</f>
        <v>0</v>
      </c>
    </row>
    <row r="287" spans="1:74">
      <c r="A287" t="s">
        <v>86</v>
      </c>
      <c r="B287">
        <v>23038357</v>
      </c>
      <c r="C287" t="s">
        <v>293</v>
      </c>
      <c r="D287" t="s">
        <v>294</v>
      </c>
      <c r="E287" t="s">
        <v>428</v>
      </c>
      <c r="F287" t="s">
        <v>501</v>
      </c>
      <c r="G287" t="s">
        <v>463</v>
      </c>
      <c r="H287" t="s">
        <v>431</v>
      </c>
      <c r="I287" t="s">
        <v>432</v>
      </c>
      <c r="J287" t="s">
        <v>432</v>
      </c>
      <c r="K287">
        <v>0</v>
      </c>
      <c r="L287" t="s">
        <v>428</v>
      </c>
      <c r="M287" t="s">
        <v>428</v>
      </c>
      <c r="N287">
        <v>145725</v>
      </c>
      <c r="O287">
        <f>INDEX(AllCollegeBarrons,MATCH(N287,AllCollegeNCES,0))</f>
        <v>0</v>
      </c>
      <c r="P287">
        <f>INDEX(KidGPAs,MATCH(B287,KidIDs,0))</f>
        <v>0</v>
      </c>
      <c r="Q287">
        <f>INDEX(KidACTs,MATCH(B287,KidIDs,0))</f>
        <v>0</v>
      </c>
      <c r="R287">
        <f>INDEX(Strats,MATCH(B287,KidIDs,0))</f>
        <v>0</v>
      </c>
      <c r="S287">
        <f>INDEX(KidRace,MATCH(B287,KidIDs,0))</f>
        <v>0</v>
      </c>
      <c r="T287">
        <f>IF(OR(S287="M",S287="I"),"H",S287)</f>
        <v>0</v>
      </c>
      <c r="U287">
        <f>INDEX(StudentTargets,MATCH(B287,KidIDs,0))</f>
        <v>0</v>
      </c>
      <c r="V287">
        <f>INDEX(ReachStudentTargets,MATCH(B287,KidIDs,0))</f>
        <v>0</v>
      </c>
      <c r="W287">
        <f>IF(OR(M287="Posse"),1,0)</f>
        <v>0</v>
      </c>
      <c r="X287">
        <f>IF(ISNUMBER(INDEX(AllCollegeGR, MATCH(N287,AllCollegeNCES,0))),ROUND(INDEX(AllCollegeGR, MATCH(N287,AllCollegeNCES,0))+W287*IF(INDEX(AllCollegeGR, MATCH(N287,AllCollegeNCES,0))&gt;0.7,(1-INDEX(AllCollegeGR, MATCH(N287,AllCollegeNCES,0)))/2,0.15),2),INDEX(AllCollegeGR, MATCH(N287,AllCollegeNCES,0)))</f>
        <v>0</v>
      </c>
      <c r="Y287">
        <f>IF(ISNUMBER(INDEX(AllCollegeAAHGR, MATCH(N287,AllCollegeNCES,0))),ROUND(INDEX(AllCollegeAAHGR, MATCH(N287,AllCollegeNCES,0))+W287*IF(INDEX(AllCollegeAAHGR, MATCH(N287,AllCollegeNCES,0))&gt;0.7,(1-INDEX(AllCollegeAAHGR, MATCH(N287,AllCollegeNCES,0)))/2,0.15),2),INDEX(AllCollegeAAHGR, MATCH(N287,AllCollegeNCES,0)))</f>
        <v>0</v>
      </c>
      <c r="Z287">
        <f>IF(OR(T287="H",T287="B"),INDEX(AllCollegeACT25, MATCH(N287,AllCollegeNCES,0)),INDEX(AllCollegeACT50, MATCH(N287,AllCollegeNCES,0)))</f>
        <v>0</v>
      </c>
      <c r="AA287">
        <f>INDEX(CustomWeightsGPA,MATCH(T287&amp;":"&amp;N287,CustomWeightsIndex,0))</f>
        <v>0</v>
      </c>
      <c r="AB287">
        <f>INDEX(CustomWeightsACT,MATCH(T287&amp;":"&amp;N287,CustomWeightsIndex,0))</f>
        <v>0</v>
      </c>
      <c r="AC287">
        <f>INDEX(CustomWeightsIntercept,MATCH(T287&amp;":"&amp;N287,CustomWeightsIndex,0))</f>
        <v>0</v>
      </c>
      <c r="AD287">
        <f>AA287*P287+AB287*Q287+AC287</f>
        <v>0</v>
      </c>
      <c r="AE287">
        <f>INDEX(CoefficientsGPA,MATCH(T287&amp;":"&amp;O287,CoefficientsIndex,0))</f>
        <v>0</v>
      </c>
      <c r="AF287">
        <f>INDEX(CoefficientsACT,MATCH(T287&amp;":"&amp;O287,CoefficientsIndex,0))</f>
        <v>0</v>
      </c>
      <c r="AG287">
        <f>INDEX(CoefficientsIntercept,MATCH(T287&amp;":"&amp;O287,CoefficientsIndex,0))</f>
        <v>0</v>
      </c>
      <c r="AH287">
        <f>AE287*P287+(Q287-Z287)*AF287+AG287</f>
        <v>0</v>
      </c>
      <c r="AI287">
        <f>IF(ISNUMBER(AD287),AD287,AH287)</f>
        <v>0</v>
      </c>
      <c r="AJ287">
        <f>IF(ISNUMBER(AI287),IF(ISNUMBER(AE287),IF(AND(AE287=1,AF287=1,AG287=1),100,ROUND(100*EXP(AI287)/(1+EXP(AI287)),2)),ROUND(100*EXP(AI287)/(1+EXP(AI287)),2)),IF(ISTEXT(O287),IF(LEFT(O287,1)="2",100,"N/A"),"N/A"))</f>
        <v>0</v>
      </c>
      <c r="AK287">
        <f>IF(ISNUMBER(AJ287),IF(AJ287&gt;=99,IF(OR(R287=10,R287=11),MatchLabel,SureThingLabel),IF(AJ287&gt;=95,SecureLabel,IF(AJ287&gt;=80,SafetyLabel,IF(AJ287&gt;=50,MatchLabel,IF(AJ287&gt;=20,ReachLabel,IF(AJ287&gt;=10,LongshotLabel,HailMaryLabel)))))),"Other")</f>
        <v>0</v>
      </c>
      <c r="AL287">
        <f>IF(OR(I287="accepted",I287="cond. accept",I287="summer admit"),IF(J287="yes","CHOICE!","Accepted!"),IF(I287="denied","Denied",IF(K287=1,"Waitlist",IF(L287=1,"Deferred",IF(G287="pending","Pending",IF(OR(G287="initial materials submitted",G287="mid-year submitted",G287="final submitted"),"Submitted",IF(H287="interest","Interest","?")))))))</f>
        <v>0</v>
      </c>
      <c r="AM287">
        <f>IF(OR(AK287=ReachLabel,AK287=LongshotLabel,AK287=HailMaryLabel),1,0)</f>
        <v>0</v>
      </c>
      <c r="AN287">
        <f>IF(OR(AM287=1,AK287=MatchLabel),1,0)</f>
        <v>0</v>
      </c>
      <c r="AO287">
        <f>IF(OR(AK287=MatchLabel,AK287=SafetyLabel,AK287=SecureLabel,AK287=SureThingLabel),1,0)</f>
        <v>0</v>
      </c>
      <c r="AP287">
        <f>IF(OR(T287="H",T287="B"),IF(ISNUMBER(Y287),ROUND(Y287,2),0),IF(ISNUMBER(X287),ROUND(X287,2),0))</f>
        <v>0</v>
      </c>
      <c r="AQ287">
        <f>IF(AP287&gt;=U287,1,0)</f>
        <v>0</v>
      </c>
      <c r="AR287">
        <f>IF(AP287&gt;=V287,1,0)</f>
        <v>0</v>
      </c>
      <c r="AS287">
        <f>IF(AP287&lt;(U287-0.10),1,0)</f>
        <v>0</v>
      </c>
      <c r="AT287">
        <f>1-AJ287/100</f>
        <v>0</v>
      </c>
      <c r="AU287">
        <f>IF(AN287=1,AT287,1)</f>
        <v>0</v>
      </c>
      <c r="AV287">
        <f>IF(AM287=1,AT287,1)</f>
        <v>0</v>
      </c>
      <c r="AW287">
        <f>IF(AND(AQ287=1,ISNUMBER(AT287)),$AT287,1)</f>
        <v>0</v>
      </c>
      <c r="AX287">
        <f>IF(AND(AR287=1,ISNUMBER(AT287)),$AT287,1)</f>
        <v>0</v>
      </c>
      <c r="AY287">
        <f>IF(ISNUMBER(Y287),INDEX(AllCollegeMoney, MATCH(N287,AllCollegeNCES,0)),0)</f>
        <v>0</v>
      </c>
      <c r="AZ287">
        <f>IF(AND(AQ287=1,ISNUMBER(AT287),AY287=1),$AT287,1)</f>
        <v>0</v>
      </c>
      <c r="BA287">
        <f>IF(AND(AR287=1,ISNUMBER(AT287),AY287=1),$AT287,1)</f>
        <v>0</v>
      </c>
      <c r="BB287">
        <f>IF(ISNUMBER(Y287),INDEX(AllCollegeILPub, MATCH(N287,AllCollegeNCES,0)),0)</f>
        <v>0</v>
      </c>
      <c r="BC287">
        <f>IF(AK287=ReachLabel,AP287,0)</f>
        <v>0</v>
      </c>
      <c r="BD287">
        <f>IF(AK287=MatchLabel,AP287,0)</f>
        <v>0</v>
      </c>
      <c r="BE287">
        <f>IF(AK287=SafetyLabel,AP287,0)</f>
        <v>0</v>
      </c>
      <c r="BF287">
        <f>IF(AK287=SecureLabel,AP287,0)</f>
        <v>0</v>
      </c>
      <c r="BG287">
        <f>IF(AK287=SureThingLabel,AP287,0)</f>
        <v>0</v>
      </c>
      <c r="BH287">
        <f>MAX(BC287:BG287)</f>
        <v>0</v>
      </c>
      <c r="BI287">
        <f>MAX(BD287:BG287)</f>
        <v>0</v>
      </c>
      <c r="BJ287">
        <f>MAX(BE287:BG287)</f>
        <v>0</v>
      </c>
      <c r="BK287">
        <f>IF(AND(AK287=ReachLabel,AY287=1),AP287,0)</f>
        <v>0</v>
      </c>
      <c r="BL287">
        <f>IF(AND(AK287=MatchLabel,AY287=1),AP287,0)</f>
        <v>0</v>
      </c>
      <c r="BM287">
        <f>IF(AND(AK287=SafetyLabel,AY287=1),AP287,0)</f>
        <v>0</v>
      </c>
      <c r="BN287">
        <f>IF(AND(AK287=SecureLabel,AY287=1),AP287,0)</f>
        <v>0</v>
      </c>
      <c r="BO287">
        <f>IF(AND(AK287=SureThingLabel,AY287=1),AP287,0)</f>
        <v>0</v>
      </c>
      <c r="BP287">
        <f>MAX(BK287:BO287)</f>
        <v>0</v>
      </c>
      <c r="BQ287">
        <f>MAX(BL287:BO287)</f>
        <v>0</v>
      </c>
      <c r="BR287">
        <f>MAX(BM287:BO287)</f>
        <v>0</v>
      </c>
      <c r="BS287">
        <f>IF(ISNUMBER(Y287),INDEX(AllCollegeChicago, MATCH(N287,AllCollegeNCES,0))*AY287,0)</f>
        <v>0</v>
      </c>
      <c r="BT287">
        <f>IF(ISNUMBER(Y287),INDEX(AllCollegeMoneyCode, MATCH(N287,AllCollegeNCES,0)),"?")</f>
        <v>0</v>
      </c>
      <c r="BU287">
        <f>IF(OR(BT287="---",BT287="--",BT287="+/--",BT287="+/---"),1,0)</f>
        <v>0</v>
      </c>
      <c r="BV287">
        <f>AY287*AO287*AQ287</f>
        <v>0</v>
      </c>
    </row>
    <row r="288" spans="1:74">
      <c r="A288" t="s">
        <v>86</v>
      </c>
      <c r="B288">
        <v>23038357</v>
      </c>
      <c r="C288" t="s">
        <v>293</v>
      </c>
      <c r="D288" t="s">
        <v>294</v>
      </c>
      <c r="E288" t="s">
        <v>428</v>
      </c>
      <c r="F288" t="s">
        <v>433</v>
      </c>
      <c r="G288" t="s">
        <v>463</v>
      </c>
      <c r="H288" t="s">
        <v>431</v>
      </c>
      <c r="I288" t="s">
        <v>432</v>
      </c>
      <c r="J288" t="s">
        <v>432</v>
      </c>
      <c r="K288">
        <v>0</v>
      </c>
      <c r="L288" t="s">
        <v>428</v>
      </c>
      <c r="M288" t="s">
        <v>428</v>
      </c>
      <c r="N288">
        <v>148496</v>
      </c>
      <c r="O288">
        <f>INDEX(AllCollegeBarrons,MATCH(N288,AllCollegeNCES,0))</f>
        <v>0</v>
      </c>
      <c r="P288">
        <f>INDEX(KidGPAs,MATCH(B288,KidIDs,0))</f>
        <v>0</v>
      </c>
      <c r="Q288">
        <f>INDEX(KidACTs,MATCH(B288,KidIDs,0))</f>
        <v>0</v>
      </c>
      <c r="R288">
        <f>INDEX(Strats,MATCH(B288,KidIDs,0))</f>
        <v>0</v>
      </c>
      <c r="S288">
        <f>INDEX(KidRace,MATCH(B288,KidIDs,0))</f>
        <v>0</v>
      </c>
      <c r="T288">
        <f>IF(OR(S288="M",S288="I"),"H",S288)</f>
        <v>0</v>
      </c>
      <c r="U288">
        <f>INDEX(StudentTargets,MATCH(B288,KidIDs,0))</f>
        <v>0</v>
      </c>
      <c r="V288">
        <f>INDEX(ReachStudentTargets,MATCH(B288,KidIDs,0))</f>
        <v>0</v>
      </c>
      <c r="W288">
        <f>IF(OR(M288="Posse"),1,0)</f>
        <v>0</v>
      </c>
      <c r="X288">
        <f>IF(ISNUMBER(INDEX(AllCollegeGR, MATCH(N288,AllCollegeNCES,0))),ROUND(INDEX(AllCollegeGR, MATCH(N288,AllCollegeNCES,0))+W288*IF(INDEX(AllCollegeGR, MATCH(N288,AllCollegeNCES,0))&gt;0.7,(1-INDEX(AllCollegeGR, MATCH(N288,AllCollegeNCES,0)))/2,0.15),2),INDEX(AllCollegeGR, MATCH(N288,AllCollegeNCES,0)))</f>
        <v>0</v>
      </c>
      <c r="Y288">
        <f>IF(ISNUMBER(INDEX(AllCollegeAAHGR, MATCH(N288,AllCollegeNCES,0))),ROUND(INDEX(AllCollegeAAHGR, MATCH(N288,AllCollegeNCES,0))+W288*IF(INDEX(AllCollegeAAHGR, MATCH(N288,AllCollegeNCES,0))&gt;0.7,(1-INDEX(AllCollegeAAHGR, MATCH(N288,AllCollegeNCES,0)))/2,0.15),2),INDEX(AllCollegeAAHGR, MATCH(N288,AllCollegeNCES,0)))</f>
        <v>0</v>
      </c>
      <c r="Z288">
        <f>IF(OR(T288="H",T288="B"),INDEX(AllCollegeACT25, MATCH(N288,AllCollegeNCES,0)),INDEX(AllCollegeACT50, MATCH(N288,AllCollegeNCES,0)))</f>
        <v>0</v>
      </c>
      <c r="AA288">
        <f>INDEX(CustomWeightsGPA,MATCH(T288&amp;":"&amp;N288,CustomWeightsIndex,0))</f>
        <v>0</v>
      </c>
      <c r="AB288">
        <f>INDEX(CustomWeightsACT,MATCH(T288&amp;":"&amp;N288,CustomWeightsIndex,0))</f>
        <v>0</v>
      </c>
      <c r="AC288">
        <f>INDEX(CustomWeightsIntercept,MATCH(T288&amp;":"&amp;N288,CustomWeightsIndex,0))</f>
        <v>0</v>
      </c>
      <c r="AD288">
        <f>AA288*P288+AB288*Q288+AC288</f>
        <v>0</v>
      </c>
      <c r="AE288">
        <f>INDEX(CoefficientsGPA,MATCH(T288&amp;":"&amp;O288,CoefficientsIndex,0))</f>
        <v>0</v>
      </c>
      <c r="AF288">
        <f>INDEX(CoefficientsACT,MATCH(T288&amp;":"&amp;O288,CoefficientsIndex,0))</f>
        <v>0</v>
      </c>
      <c r="AG288">
        <f>INDEX(CoefficientsIntercept,MATCH(T288&amp;":"&amp;O288,CoefficientsIndex,0))</f>
        <v>0</v>
      </c>
      <c r="AH288">
        <f>AE288*P288+(Q288-Z288)*AF288+AG288</f>
        <v>0</v>
      </c>
      <c r="AI288">
        <f>IF(ISNUMBER(AD288),AD288,AH288)</f>
        <v>0</v>
      </c>
      <c r="AJ288">
        <f>IF(ISNUMBER(AI288),IF(ISNUMBER(AE288),IF(AND(AE288=1,AF288=1,AG288=1),100,ROUND(100*EXP(AI288)/(1+EXP(AI288)),2)),ROUND(100*EXP(AI288)/(1+EXP(AI288)),2)),IF(ISTEXT(O288),IF(LEFT(O288,1)="2",100,"N/A"),"N/A"))</f>
        <v>0</v>
      </c>
      <c r="AK288">
        <f>IF(ISNUMBER(AJ288),IF(AJ288&gt;=99,IF(OR(R288=10,R288=11),MatchLabel,SureThingLabel),IF(AJ288&gt;=95,SecureLabel,IF(AJ288&gt;=80,SafetyLabel,IF(AJ288&gt;=50,MatchLabel,IF(AJ288&gt;=20,ReachLabel,IF(AJ288&gt;=10,LongshotLabel,HailMaryLabel)))))),"Other")</f>
        <v>0</v>
      </c>
      <c r="AL288">
        <f>IF(OR(I288="accepted",I288="cond. accept",I288="summer admit"),IF(J288="yes","CHOICE!","Accepted!"),IF(I288="denied","Denied",IF(K288=1,"Waitlist",IF(L288=1,"Deferred",IF(G288="pending","Pending",IF(OR(G288="initial materials submitted",G288="mid-year submitted",G288="final submitted"),"Submitted",IF(H288="interest","Interest","?")))))))</f>
        <v>0</v>
      </c>
      <c r="AM288">
        <f>IF(OR(AK288=ReachLabel,AK288=LongshotLabel,AK288=HailMaryLabel),1,0)</f>
        <v>0</v>
      </c>
      <c r="AN288">
        <f>IF(OR(AM288=1,AK288=MatchLabel),1,0)</f>
        <v>0</v>
      </c>
      <c r="AO288">
        <f>IF(OR(AK288=MatchLabel,AK288=SafetyLabel,AK288=SecureLabel,AK288=SureThingLabel),1,0)</f>
        <v>0</v>
      </c>
      <c r="AP288">
        <f>IF(OR(T288="H",T288="B"),IF(ISNUMBER(Y288),ROUND(Y288,2),0),IF(ISNUMBER(X288),ROUND(X288,2),0))</f>
        <v>0</v>
      </c>
      <c r="AQ288">
        <f>IF(AP288&gt;=U288,1,0)</f>
        <v>0</v>
      </c>
      <c r="AR288">
        <f>IF(AP288&gt;=V288,1,0)</f>
        <v>0</v>
      </c>
      <c r="AS288">
        <f>IF(AP288&lt;(U288-0.10),1,0)</f>
        <v>0</v>
      </c>
      <c r="AT288">
        <f>1-AJ288/100</f>
        <v>0</v>
      </c>
      <c r="AU288">
        <f>IF(AN288=1,AT288,1)</f>
        <v>0</v>
      </c>
      <c r="AV288">
        <f>IF(AM288=1,AT288,1)</f>
        <v>0</v>
      </c>
      <c r="AW288">
        <f>IF(AND(AQ288=1,ISNUMBER(AT288)),$AT288,1)</f>
        <v>0</v>
      </c>
      <c r="AX288">
        <f>IF(AND(AR288=1,ISNUMBER(AT288)),$AT288,1)</f>
        <v>0</v>
      </c>
      <c r="AY288">
        <f>IF(ISNUMBER(Y288),INDEX(AllCollegeMoney, MATCH(N288,AllCollegeNCES,0)),0)</f>
        <v>0</v>
      </c>
      <c r="AZ288">
        <f>IF(AND(AQ288=1,ISNUMBER(AT288),AY288=1),$AT288,1)</f>
        <v>0</v>
      </c>
      <c r="BA288">
        <f>IF(AND(AR288=1,ISNUMBER(AT288),AY288=1),$AT288,1)</f>
        <v>0</v>
      </c>
      <c r="BB288">
        <f>IF(ISNUMBER(Y288),INDEX(AllCollegeILPub, MATCH(N288,AllCollegeNCES,0)),0)</f>
        <v>0</v>
      </c>
      <c r="BC288">
        <f>IF(AK288=ReachLabel,AP288,0)</f>
        <v>0</v>
      </c>
      <c r="BD288">
        <f>IF(AK288=MatchLabel,AP288,0)</f>
        <v>0</v>
      </c>
      <c r="BE288">
        <f>IF(AK288=SafetyLabel,AP288,0)</f>
        <v>0</v>
      </c>
      <c r="BF288">
        <f>IF(AK288=SecureLabel,AP288,0)</f>
        <v>0</v>
      </c>
      <c r="BG288">
        <f>IF(AK288=SureThingLabel,AP288,0)</f>
        <v>0</v>
      </c>
      <c r="BH288">
        <f>MAX(BC288:BG288)</f>
        <v>0</v>
      </c>
      <c r="BI288">
        <f>MAX(BD288:BG288)</f>
        <v>0</v>
      </c>
      <c r="BJ288">
        <f>MAX(BE288:BG288)</f>
        <v>0</v>
      </c>
      <c r="BK288">
        <f>IF(AND(AK288=ReachLabel,AY288=1),AP288,0)</f>
        <v>0</v>
      </c>
      <c r="BL288">
        <f>IF(AND(AK288=MatchLabel,AY288=1),AP288,0)</f>
        <v>0</v>
      </c>
      <c r="BM288">
        <f>IF(AND(AK288=SafetyLabel,AY288=1),AP288,0)</f>
        <v>0</v>
      </c>
      <c r="BN288">
        <f>IF(AND(AK288=SecureLabel,AY288=1),AP288,0)</f>
        <v>0</v>
      </c>
      <c r="BO288">
        <f>IF(AND(AK288=SureThingLabel,AY288=1),AP288,0)</f>
        <v>0</v>
      </c>
      <c r="BP288">
        <f>MAX(BK288:BO288)</f>
        <v>0</v>
      </c>
      <c r="BQ288">
        <f>MAX(BL288:BO288)</f>
        <v>0</v>
      </c>
      <c r="BR288">
        <f>MAX(BM288:BO288)</f>
        <v>0</v>
      </c>
      <c r="BS288">
        <f>IF(ISNUMBER(Y288),INDEX(AllCollegeChicago, MATCH(N288,AllCollegeNCES,0))*AY288,0)</f>
        <v>0</v>
      </c>
      <c r="BT288">
        <f>IF(ISNUMBER(Y288),INDEX(AllCollegeMoneyCode, MATCH(N288,AllCollegeNCES,0)),"?")</f>
        <v>0</v>
      </c>
      <c r="BU288">
        <f>IF(OR(BT288="---",BT288="--",BT288="+/--",BT288="+/---"),1,0)</f>
        <v>0</v>
      </c>
      <c r="BV288">
        <f>AY288*AO288*AQ288</f>
        <v>0</v>
      </c>
    </row>
    <row r="289" spans="1:74">
      <c r="A289" t="s">
        <v>86</v>
      </c>
      <c r="B289">
        <v>23038357</v>
      </c>
      <c r="C289" t="s">
        <v>293</v>
      </c>
      <c r="D289" t="s">
        <v>294</v>
      </c>
      <c r="E289" t="s">
        <v>428</v>
      </c>
      <c r="F289" t="s">
        <v>447</v>
      </c>
      <c r="G289" t="s">
        <v>430</v>
      </c>
      <c r="H289" t="s">
        <v>431</v>
      </c>
      <c r="I289" t="s">
        <v>432</v>
      </c>
      <c r="J289" t="s">
        <v>432</v>
      </c>
      <c r="K289">
        <v>0</v>
      </c>
      <c r="L289" t="s">
        <v>428</v>
      </c>
      <c r="M289" t="s">
        <v>428</v>
      </c>
      <c r="N289">
        <v>145600</v>
      </c>
      <c r="O289">
        <f>INDEX(AllCollegeBarrons,MATCH(N289,AllCollegeNCES,0))</f>
        <v>0</v>
      </c>
      <c r="P289">
        <f>INDEX(KidGPAs,MATCH(B289,KidIDs,0))</f>
        <v>0</v>
      </c>
      <c r="Q289">
        <f>INDEX(KidACTs,MATCH(B289,KidIDs,0))</f>
        <v>0</v>
      </c>
      <c r="R289">
        <f>INDEX(Strats,MATCH(B289,KidIDs,0))</f>
        <v>0</v>
      </c>
      <c r="S289">
        <f>INDEX(KidRace,MATCH(B289,KidIDs,0))</f>
        <v>0</v>
      </c>
      <c r="T289">
        <f>IF(OR(S289="M",S289="I"),"H",S289)</f>
        <v>0</v>
      </c>
      <c r="U289">
        <f>INDEX(StudentTargets,MATCH(B289,KidIDs,0))</f>
        <v>0</v>
      </c>
      <c r="V289">
        <f>INDEX(ReachStudentTargets,MATCH(B289,KidIDs,0))</f>
        <v>0</v>
      </c>
      <c r="W289">
        <f>IF(OR(M289="Posse"),1,0)</f>
        <v>0</v>
      </c>
      <c r="X289">
        <f>IF(ISNUMBER(INDEX(AllCollegeGR, MATCH(N289,AllCollegeNCES,0))),ROUND(INDEX(AllCollegeGR, MATCH(N289,AllCollegeNCES,0))+W289*IF(INDEX(AllCollegeGR, MATCH(N289,AllCollegeNCES,0))&gt;0.7,(1-INDEX(AllCollegeGR, MATCH(N289,AllCollegeNCES,0)))/2,0.15),2),INDEX(AllCollegeGR, MATCH(N289,AllCollegeNCES,0)))</f>
        <v>0</v>
      </c>
      <c r="Y289">
        <f>IF(ISNUMBER(INDEX(AllCollegeAAHGR, MATCH(N289,AllCollegeNCES,0))),ROUND(INDEX(AllCollegeAAHGR, MATCH(N289,AllCollegeNCES,0))+W289*IF(INDEX(AllCollegeAAHGR, MATCH(N289,AllCollegeNCES,0))&gt;0.7,(1-INDEX(AllCollegeAAHGR, MATCH(N289,AllCollegeNCES,0)))/2,0.15),2),INDEX(AllCollegeAAHGR, MATCH(N289,AllCollegeNCES,0)))</f>
        <v>0</v>
      </c>
      <c r="Z289">
        <f>IF(OR(T289="H",T289="B"),INDEX(AllCollegeACT25, MATCH(N289,AllCollegeNCES,0)),INDEX(AllCollegeACT50, MATCH(N289,AllCollegeNCES,0)))</f>
        <v>0</v>
      </c>
      <c r="AA289">
        <f>INDEX(CustomWeightsGPA,MATCH(T289&amp;":"&amp;N289,CustomWeightsIndex,0))</f>
        <v>0</v>
      </c>
      <c r="AB289">
        <f>INDEX(CustomWeightsACT,MATCH(T289&amp;":"&amp;N289,CustomWeightsIndex,0))</f>
        <v>0</v>
      </c>
      <c r="AC289">
        <f>INDEX(CustomWeightsIntercept,MATCH(T289&amp;":"&amp;N289,CustomWeightsIndex,0))</f>
        <v>0</v>
      </c>
      <c r="AD289">
        <f>AA289*P289+AB289*Q289+AC289</f>
        <v>0</v>
      </c>
      <c r="AE289">
        <f>INDEX(CoefficientsGPA,MATCH(T289&amp;":"&amp;O289,CoefficientsIndex,0))</f>
        <v>0</v>
      </c>
      <c r="AF289">
        <f>INDEX(CoefficientsACT,MATCH(T289&amp;":"&amp;O289,CoefficientsIndex,0))</f>
        <v>0</v>
      </c>
      <c r="AG289">
        <f>INDEX(CoefficientsIntercept,MATCH(T289&amp;":"&amp;O289,CoefficientsIndex,0))</f>
        <v>0</v>
      </c>
      <c r="AH289">
        <f>AE289*P289+(Q289-Z289)*AF289+AG289</f>
        <v>0</v>
      </c>
      <c r="AI289">
        <f>IF(ISNUMBER(AD289),AD289,AH289)</f>
        <v>0</v>
      </c>
      <c r="AJ289">
        <f>IF(ISNUMBER(AI289),IF(ISNUMBER(AE289),IF(AND(AE289=1,AF289=1,AG289=1),100,ROUND(100*EXP(AI289)/(1+EXP(AI289)),2)),ROUND(100*EXP(AI289)/(1+EXP(AI289)),2)),IF(ISTEXT(O289),IF(LEFT(O289,1)="2",100,"N/A"),"N/A"))</f>
        <v>0</v>
      </c>
      <c r="AK289">
        <f>IF(ISNUMBER(AJ289),IF(AJ289&gt;=99,IF(OR(R289=10,R289=11),MatchLabel,SureThingLabel),IF(AJ289&gt;=95,SecureLabel,IF(AJ289&gt;=80,SafetyLabel,IF(AJ289&gt;=50,MatchLabel,IF(AJ289&gt;=20,ReachLabel,IF(AJ289&gt;=10,LongshotLabel,HailMaryLabel)))))),"Other")</f>
        <v>0</v>
      </c>
      <c r="AL289">
        <f>IF(OR(I289="accepted",I289="cond. accept",I289="summer admit"),IF(J289="yes","CHOICE!","Accepted!"),IF(I289="denied","Denied",IF(K289=1,"Waitlist",IF(L289=1,"Deferred",IF(G289="pending","Pending",IF(OR(G289="initial materials submitted",G289="mid-year submitted",G289="final submitted"),"Submitted",IF(H289="interest","Interest","?")))))))</f>
        <v>0</v>
      </c>
      <c r="AM289">
        <f>IF(OR(AK289=ReachLabel,AK289=LongshotLabel,AK289=HailMaryLabel),1,0)</f>
        <v>0</v>
      </c>
      <c r="AN289">
        <f>IF(OR(AM289=1,AK289=MatchLabel),1,0)</f>
        <v>0</v>
      </c>
      <c r="AO289">
        <f>IF(OR(AK289=MatchLabel,AK289=SafetyLabel,AK289=SecureLabel,AK289=SureThingLabel),1,0)</f>
        <v>0</v>
      </c>
      <c r="AP289">
        <f>IF(OR(T289="H",T289="B"),IF(ISNUMBER(Y289),ROUND(Y289,2),0),IF(ISNUMBER(X289),ROUND(X289,2),0))</f>
        <v>0</v>
      </c>
      <c r="AQ289">
        <f>IF(AP289&gt;=U289,1,0)</f>
        <v>0</v>
      </c>
      <c r="AR289">
        <f>IF(AP289&gt;=V289,1,0)</f>
        <v>0</v>
      </c>
      <c r="AS289">
        <f>IF(AP289&lt;(U289-0.10),1,0)</f>
        <v>0</v>
      </c>
      <c r="AT289">
        <f>1-AJ289/100</f>
        <v>0</v>
      </c>
      <c r="AU289">
        <f>IF(AN289=1,AT289,1)</f>
        <v>0</v>
      </c>
      <c r="AV289">
        <f>IF(AM289=1,AT289,1)</f>
        <v>0</v>
      </c>
      <c r="AW289">
        <f>IF(AND(AQ289=1,ISNUMBER(AT289)),$AT289,1)</f>
        <v>0</v>
      </c>
      <c r="AX289">
        <f>IF(AND(AR289=1,ISNUMBER(AT289)),$AT289,1)</f>
        <v>0</v>
      </c>
      <c r="AY289">
        <f>IF(ISNUMBER(Y289),INDEX(AllCollegeMoney, MATCH(N289,AllCollegeNCES,0)),0)</f>
        <v>0</v>
      </c>
      <c r="AZ289">
        <f>IF(AND(AQ289=1,ISNUMBER(AT289),AY289=1),$AT289,1)</f>
        <v>0</v>
      </c>
      <c r="BA289">
        <f>IF(AND(AR289=1,ISNUMBER(AT289),AY289=1),$AT289,1)</f>
        <v>0</v>
      </c>
      <c r="BB289">
        <f>IF(ISNUMBER(Y289),INDEX(AllCollegeILPub, MATCH(N289,AllCollegeNCES,0)),0)</f>
        <v>0</v>
      </c>
      <c r="BC289">
        <f>IF(AK289=ReachLabel,AP289,0)</f>
        <v>0</v>
      </c>
      <c r="BD289">
        <f>IF(AK289=MatchLabel,AP289,0)</f>
        <v>0</v>
      </c>
      <c r="BE289">
        <f>IF(AK289=SafetyLabel,AP289,0)</f>
        <v>0</v>
      </c>
      <c r="BF289">
        <f>IF(AK289=SecureLabel,AP289,0)</f>
        <v>0</v>
      </c>
      <c r="BG289">
        <f>IF(AK289=SureThingLabel,AP289,0)</f>
        <v>0</v>
      </c>
      <c r="BH289">
        <f>MAX(BC289:BG289)</f>
        <v>0</v>
      </c>
      <c r="BI289">
        <f>MAX(BD289:BG289)</f>
        <v>0</v>
      </c>
      <c r="BJ289">
        <f>MAX(BE289:BG289)</f>
        <v>0</v>
      </c>
      <c r="BK289">
        <f>IF(AND(AK289=ReachLabel,AY289=1),AP289,0)</f>
        <v>0</v>
      </c>
      <c r="BL289">
        <f>IF(AND(AK289=MatchLabel,AY289=1),AP289,0)</f>
        <v>0</v>
      </c>
      <c r="BM289">
        <f>IF(AND(AK289=SafetyLabel,AY289=1),AP289,0)</f>
        <v>0</v>
      </c>
      <c r="BN289">
        <f>IF(AND(AK289=SecureLabel,AY289=1),AP289,0)</f>
        <v>0</v>
      </c>
      <c r="BO289">
        <f>IF(AND(AK289=SureThingLabel,AY289=1),AP289,0)</f>
        <v>0</v>
      </c>
      <c r="BP289">
        <f>MAX(BK289:BO289)</f>
        <v>0</v>
      </c>
      <c r="BQ289">
        <f>MAX(BL289:BO289)</f>
        <v>0</v>
      </c>
      <c r="BR289">
        <f>MAX(BM289:BO289)</f>
        <v>0</v>
      </c>
      <c r="BS289">
        <f>IF(ISNUMBER(Y289),INDEX(AllCollegeChicago, MATCH(N289,AllCollegeNCES,0))*AY289,0)</f>
        <v>0</v>
      </c>
      <c r="BT289">
        <f>IF(ISNUMBER(Y289),INDEX(AllCollegeMoneyCode, MATCH(N289,AllCollegeNCES,0)),"?")</f>
        <v>0</v>
      </c>
      <c r="BU289">
        <f>IF(OR(BT289="---",BT289="--",BT289="+/--",BT289="+/---"),1,0)</f>
        <v>0</v>
      </c>
      <c r="BV289">
        <f>AY289*AO289*AQ289</f>
        <v>0</v>
      </c>
    </row>
    <row r="290" spans="1:74">
      <c r="A290" t="s">
        <v>86</v>
      </c>
      <c r="B290">
        <v>23038357</v>
      </c>
      <c r="C290" t="s">
        <v>293</v>
      </c>
      <c r="D290" t="s">
        <v>294</v>
      </c>
      <c r="E290" t="s">
        <v>428</v>
      </c>
      <c r="F290" t="s">
        <v>435</v>
      </c>
      <c r="G290" t="s">
        <v>463</v>
      </c>
      <c r="H290" t="s">
        <v>431</v>
      </c>
      <c r="I290" t="s">
        <v>432</v>
      </c>
      <c r="J290" t="s">
        <v>432</v>
      </c>
      <c r="K290">
        <v>0</v>
      </c>
      <c r="L290" t="s">
        <v>428</v>
      </c>
      <c r="M290" t="s">
        <v>428</v>
      </c>
      <c r="N290">
        <v>144892</v>
      </c>
      <c r="O290">
        <f>INDEX(AllCollegeBarrons,MATCH(N290,AllCollegeNCES,0))</f>
        <v>0</v>
      </c>
      <c r="P290">
        <f>INDEX(KidGPAs,MATCH(B290,KidIDs,0))</f>
        <v>0</v>
      </c>
      <c r="Q290">
        <f>INDEX(KidACTs,MATCH(B290,KidIDs,0))</f>
        <v>0</v>
      </c>
      <c r="R290">
        <f>INDEX(Strats,MATCH(B290,KidIDs,0))</f>
        <v>0</v>
      </c>
      <c r="S290">
        <f>INDEX(KidRace,MATCH(B290,KidIDs,0))</f>
        <v>0</v>
      </c>
      <c r="T290">
        <f>IF(OR(S290="M",S290="I"),"H",S290)</f>
        <v>0</v>
      </c>
      <c r="U290">
        <f>INDEX(StudentTargets,MATCH(B290,KidIDs,0))</f>
        <v>0</v>
      </c>
      <c r="V290">
        <f>INDEX(ReachStudentTargets,MATCH(B290,KidIDs,0))</f>
        <v>0</v>
      </c>
      <c r="W290">
        <f>IF(OR(M290="Posse"),1,0)</f>
        <v>0</v>
      </c>
      <c r="X290">
        <f>IF(ISNUMBER(INDEX(AllCollegeGR, MATCH(N290,AllCollegeNCES,0))),ROUND(INDEX(AllCollegeGR, MATCH(N290,AllCollegeNCES,0))+W290*IF(INDEX(AllCollegeGR, MATCH(N290,AllCollegeNCES,0))&gt;0.7,(1-INDEX(AllCollegeGR, MATCH(N290,AllCollegeNCES,0)))/2,0.15),2),INDEX(AllCollegeGR, MATCH(N290,AllCollegeNCES,0)))</f>
        <v>0</v>
      </c>
      <c r="Y290">
        <f>IF(ISNUMBER(INDEX(AllCollegeAAHGR, MATCH(N290,AllCollegeNCES,0))),ROUND(INDEX(AllCollegeAAHGR, MATCH(N290,AllCollegeNCES,0))+W290*IF(INDEX(AllCollegeAAHGR, MATCH(N290,AllCollegeNCES,0))&gt;0.7,(1-INDEX(AllCollegeAAHGR, MATCH(N290,AllCollegeNCES,0)))/2,0.15),2),INDEX(AllCollegeAAHGR, MATCH(N290,AllCollegeNCES,0)))</f>
        <v>0</v>
      </c>
      <c r="Z290">
        <f>IF(OR(T290="H",T290="B"),INDEX(AllCollegeACT25, MATCH(N290,AllCollegeNCES,0)),INDEX(AllCollegeACT50, MATCH(N290,AllCollegeNCES,0)))</f>
        <v>0</v>
      </c>
      <c r="AA290">
        <f>INDEX(CustomWeightsGPA,MATCH(T290&amp;":"&amp;N290,CustomWeightsIndex,0))</f>
        <v>0</v>
      </c>
      <c r="AB290">
        <f>INDEX(CustomWeightsACT,MATCH(T290&amp;":"&amp;N290,CustomWeightsIndex,0))</f>
        <v>0</v>
      </c>
      <c r="AC290">
        <f>INDEX(CustomWeightsIntercept,MATCH(T290&amp;":"&amp;N290,CustomWeightsIndex,0))</f>
        <v>0</v>
      </c>
      <c r="AD290">
        <f>AA290*P290+AB290*Q290+AC290</f>
        <v>0</v>
      </c>
      <c r="AE290">
        <f>INDEX(CoefficientsGPA,MATCH(T290&amp;":"&amp;O290,CoefficientsIndex,0))</f>
        <v>0</v>
      </c>
      <c r="AF290">
        <f>INDEX(CoefficientsACT,MATCH(T290&amp;":"&amp;O290,CoefficientsIndex,0))</f>
        <v>0</v>
      </c>
      <c r="AG290">
        <f>INDEX(CoefficientsIntercept,MATCH(T290&amp;":"&amp;O290,CoefficientsIndex,0))</f>
        <v>0</v>
      </c>
      <c r="AH290">
        <f>AE290*P290+(Q290-Z290)*AF290+AG290</f>
        <v>0</v>
      </c>
      <c r="AI290">
        <f>IF(ISNUMBER(AD290),AD290,AH290)</f>
        <v>0</v>
      </c>
      <c r="AJ290">
        <f>IF(ISNUMBER(AI290),IF(ISNUMBER(AE290),IF(AND(AE290=1,AF290=1,AG290=1),100,ROUND(100*EXP(AI290)/(1+EXP(AI290)),2)),ROUND(100*EXP(AI290)/(1+EXP(AI290)),2)),IF(ISTEXT(O290),IF(LEFT(O290,1)="2",100,"N/A"),"N/A"))</f>
        <v>0</v>
      </c>
      <c r="AK290">
        <f>IF(ISNUMBER(AJ290),IF(AJ290&gt;=99,IF(OR(R290=10,R290=11),MatchLabel,SureThingLabel),IF(AJ290&gt;=95,SecureLabel,IF(AJ290&gt;=80,SafetyLabel,IF(AJ290&gt;=50,MatchLabel,IF(AJ290&gt;=20,ReachLabel,IF(AJ290&gt;=10,LongshotLabel,HailMaryLabel)))))),"Other")</f>
        <v>0</v>
      </c>
      <c r="AL290">
        <f>IF(OR(I290="accepted",I290="cond. accept",I290="summer admit"),IF(J290="yes","CHOICE!","Accepted!"),IF(I290="denied","Denied",IF(K290=1,"Waitlist",IF(L290=1,"Deferred",IF(G290="pending","Pending",IF(OR(G290="initial materials submitted",G290="mid-year submitted",G290="final submitted"),"Submitted",IF(H290="interest","Interest","?")))))))</f>
        <v>0</v>
      </c>
      <c r="AM290">
        <f>IF(OR(AK290=ReachLabel,AK290=LongshotLabel,AK290=HailMaryLabel),1,0)</f>
        <v>0</v>
      </c>
      <c r="AN290">
        <f>IF(OR(AM290=1,AK290=MatchLabel),1,0)</f>
        <v>0</v>
      </c>
      <c r="AO290">
        <f>IF(OR(AK290=MatchLabel,AK290=SafetyLabel,AK290=SecureLabel,AK290=SureThingLabel),1,0)</f>
        <v>0</v>
      </c>
      <c r="AP290">
        <f>IF(OR(T290="H",T290="B"),IF(ISNUMBER(Y290),ROUND(Y290,2),0),IF(ISNUMBER(X290),ROUND(X290,2),0))</f>
        <v>0</v>
      </c>
      <c r="AQ290">
        <f>IF(AP290&gt;=U290,1,0)</f>
        <v>0</v>
      </c>
      <c r="AR290">
        <f>IF(AP290&gt;=V290,1,0)</f>
        <v>0</v>
      </c>
      <c r="AS290">
        <f>IF(AP290&lt;(U290-0.10),1,0)</f>
        <v>0</v>
      </c>
      <c r="AT290">
        <f>1-AJ290/100</f>
        <v>0</v>
      </c>
      <c r="AU290">
        <f>IF(AN290=1,AT290,1)</f>
        <v>0</v>
      </c>
      <c r="AV290">
        <f>IF(AM290=1,AT290,1)</f>
        <v>0</v>
      </c>
      <c r="AW290">
        <f>IF(AND(AQ290=1,ISNUMBER(AT290)),$AT290,1)</f>
        <v>0</v>
      </c>
      <c r="AX290">
        <f>IF(AND(AR290=1,ISNUMBER(AT290)),$AT290,1)</f>
        <v>0</v>
      </c>
      <c r="AY290">
        <f>IF(ISNUMBER(Y290),INDEX(AllCollegeMoney, MATCH(N290,AllCollegeNCES,0)),0)</f>
        <v>0</v>
      </c>
      <c r="AZ290">
        <f>IF(AND(AQ290=1,ISNUMBER(AT290),AY290=1),$AT290,1)</f>
        <v>0</v>
      </c>
      <c r="BA290">
        <f>IF(AND(AR290=1,ISNUMBER(AT290),AY290=1),$AT290,1)</f>
        <v>0</v>
      </c>
      <c r="BB290">
        <f>IF(ISNUMBER(Y290),INDEX(AllCollegeILPub, MATCH(N290,AllCollegeNCES,0)),0)</f>
        <v>0</v>
      </c>
      <c r="BC290">
        <f>IF(AK290=ReachLabel,AP290,0)</f>
        <v>0</v>
      </c>
      <c r="BD290">
        <f>IF(AK290=MatchLabel,AP290,0)</f>
        <v>0</v>
      </c>
      <c r="BE290">
        <f>IF(AK290=SafetyLabel,AP290,0)</f>
        <v>0</v>
      </c>
      <c r="BF290">
        <f>IF(AK290=SecureLabel,AP290,0)</f>
        <v>0</v>
      </c>
      <c r="BG290">
        <f>IF(AK290=SureThingLabel,AP290,0)</f>
        <v>0</v>
      </c>
      <c r="BH290">
        <f>MAX(BC290:BG290)</f>
        <v>0</v>
      </c>
      <c r="BI290">
        <f>MAX(BD290:BG290)</f>
        <v>0</v>
      </c>
      <c r="BJ290">
        <f>MAX(BE290:BG290)</f>
        <v>0</v>
      </c>
      <c r="BK290">
        <f>IF(AND(AK290=ReachLabel,AY290=1),AP290,0)</f>
        <v>0</v>
      </c>
      <c r="BL290">
        <f>IF(AND(AK290=MatchLabel,AY290=1),AP290,0)</f>
        <v>0</v>
      </c>
      <c r="BM290">
        <f>IF(AND(AK290=SafetyLabel,AY290=1),AP290,0)</f>
        <v>0</v>
      </c>
      <c r="BN290">
        <f>IF(AND(AK290=SecureLabel,AY290=1),AP290,0)</f>
        <v>0</v>
      </c>
      <c r="BO290">
        <f>IF(AND(AK290=SureThingLabel,AY290=1),AP290,0)</f>
        <v>0</v>
      </c>
      <c r="BP290">
        <f>MAX(BK290:BO290)</f>
        <v>0</v>
      </c>
      <c r="BQ290">
        <f>MAX(BL290:BO290)</f>
        <v>0</v>
      </c>
      <c r="BR290">
        <f>MAX(BM290:BO290)</f>
        <v>0</v>
      </c>
      <c r="BS290">
        <f>IF(ISNUMBER(Y290),INDEX(AllCollegeChicago, MATCH(N290,AllCollegeNCES,0))*AY290,0)</f>
        <v>0</v>
      </c>
      <c r="BT290">
        <f>IF(ISNUMBER(Y290),INDEX(AllCollegeMoneyCode, MATCH(N290,AllCollegeNCES,0)),"?")</f>
        <v>0</v>
      </c>
      <c r="BU290">
        <f>IF(OR(BT290="---",BT290="--",BT290="+/--",BT290="+/---"),1,0)</f>
        <v>0</v>
      </c>
      <c r="BV290">
        <f>AY290*AO290*AQ290</f>
        <v>0</v>
      </c>
    </row>
    <row r="291" spans="1:74">
      <c r="A291" t="s">
        <v>86</v>
      </c>
      <c r="B291">
        <v>23038357</v>
      </c>
      <c r="C291" t="s">
        <v>293</v>
      </c>
      <c r="D291" t="s">
        <v>294</v>
      </c>
      <c r="E291" t="s">
        <v>428</v>
      </c>
      <c r="F291" t="s">
        <v>524</v>
      </c>
      <c r="G291" t="s">
        <v>463</v>
      </c>
      <c r="H291" t="s">
        <v>431</v>
      </c>
      <c r="I291" t="s">
        <v>432</v>
      </c>
      <c r="J291" t="s">
        <v>432</v>
      </c>
      <c r="K291">
        <v>0</v>
      </c>
      <c r="L291" t="s">
        <v>428</v>
      </c>
      <c r="M291" t="s">
        <v>428</v>
      </c>
      <c r="N291">
        <v>148627</v>
      </c>
      <c r="O291">
        <f>INDEX(AllCollegeBarrons,MATCH(N291,AllCollegeNCES,0))</f>
        <v>0</v>
      </c>
      <c r="P291">
        <f>INDEX(KidGPAs,MATCH(B291,KidIDs,0))</f>
        <v>0</v>
      </c>
      <c r="Q291">
        <f>INDEX(KidACTs,MATCH(B291,KidIDs,0))</f>
        <v>0</v>
      </c>
      <c r="R291">
        <f>INDEX(Strats,MATCH(B291,KidIDs,0))</f>
        <v>0</v>
      </c>
      <c r="S291">
        <f>INDEX(KidRace,MATCH(B291,KidIDs,0))</f>
        <v>0</v>
      </c>
      <c r="T291">
        <f>IF(OR(S291="M",S291="I"),"H",S291)</f>
        <v>0</v>
      </c>
      <c r="U291">
        <f>INDEX(StudentTargets,MATCH(B291,KidIDs,0))</f>
        <v>0</v>
      </c>
      <c r="V291">
        <f>INDEX(ReachStudentTargets,MATCH(B291,KidIDs,0))</f>
        <v>0</v>
      </c>
      <c r="W291">
        <f>IF(OR(M291="Posse"),1,0)</f>
        <v>0</v>
      </c>
      <c r="X291">
        <f>IF(ISNUMBER(INDEX(AllCollegeGR, MATCH(N291,AllCollegeNCES,0))),ROUND(INDEX(AllCollegeGR, MATCH(N291,AllCollegeNCES,0))+W291*IF(INDEX(AllCollegeGR, MATCH(N291,AllCollegeNCES,0))&gt;0.7,(1-INDEX(AllCollegeGR, MATCH(N291,AllCollegeNCES,0)))/2,0.15),2),INDEX(AllCollegeGR, MATCH(N291,AllCollegeNCES,0)))</f>
        <v>0</v>
      </c>
      <c r="Y291">
        <f>IF(ISNUMBER(INDEX(AllCollegeAAHGR, MATCH(N291,AllCollegeNCES,0))),ROUND(INDEX(AllCollegeAAHGR, MATCH(N291,AllCollegeNCES,0))+W291*IF(INDEX(AllCollegeAAHGR, MATCH(N291,AllCollegeNCES,0))&gt;0.7,(1-INDEX(AllCollegeAAHGR, MATCH(N291,AllCollegeNCES,0)))/2,0.15),2),INDEX(AllCollegeAAHGR, MATCH(N291,AllCollegeNCES,0)))</f>
        <v>0</v>
      </c>
      <c r="Z291">
        <f>IF(OR(T291="H",T291="B"),INDEX(AllCollegeACT25, MATCH(N291,AllCollegeNCES,0)),INDEX(AllCollegeACT50, MATCH(N291,AllCollegeNCES,0)))</f>
        <v>0</v>
      </c>
      <c r="AA291">
        <f>INDEX(CustomWeightsGPA,MATCH(T291&amp;":"&amp;N291,CustomWeightsIndex,0))</f>
        <v>0</v>
      </c>
      <c r="AB291">
        <f>INDEX(CustomWeightsACT,MATCH(T291&amp;":"&amp;N291,CustomWeightsIndex,0))</f>
        <v>0</v>
      </c>
      <c r="AC291">
        <f>INDEX(CustomWeightsIntercept,MATCH(T291&amp;":"&amp;N291,CustomWeightsIndex,0))</f>
        <v>0</v>
      </c>
      <c r="AD291">
        <f>AA291*P291+AB291*Q291+AC291</f>
        <v>0</v>
      </c>
      <c r="AE291">
        <f>INDEX(CoefficientsGPA,MATCH(T291&amp;":"&amp;O291,CoefficientsIndex,0))</f>
        <v>0</v>
      </c>
      <c r="AF291">
        <f>INDEX(CoefficientsACT,MATCH(T291&amp;":"&amp;O291,CoefficientsIndex,0))</f>
        <v>0</v>
      </c>
      <c r="AG291">
        <f>INDEX(CoefficientsIntercept,MATCH(T291&amp;":"&amp;O291,CoefficientsIndex,0))</f>
        <v>0</v>
      </c>
      <c r="AH291">
        <f>AE291*P291+(Q291-Z291)*AF291+AG291</f>
        <v>0</v>
      </c>
      <c r="AI291">
        <f>IF(ISNUMBER(AD291),AD291,AH291)</f>
        <v>0</v>
      </c>
      <c r="AJ291">
        <f>IF(ISNUMBER(AI291),IF(ISNUMBER(AE291),IF(AND(AE291=1,AF291=1,AG291=1),100,ROUND(100*EXP(AI291)/(1+EXP(AI291)),2)),ROUND(100*EXP(AI291)/(1+EXP(AI291)),2)),IF(ISTEXT(O291),IF(LEFT(O291,1)="2",100,"N/A"),"N/A"))</f>
        <v>0</v>
      </c>
      <c r="AK291">
        <f>IF(ISNUMBER(AJ291),IF(AJ291&gt;=99,IF(OR(R291=10,R291=11),MatchLabel,SureThingLabel),IF(AJ291&gt;=95,SecureLabel,IF(AJ291&gt;=80,SafetyLabel,IF(AJ291&gt;=50,MatchLabel,IF(AJ291&gt;=20,ReachLabel,IF(AJ291&gt;=10,LongshotLabel,HailMaryLabel)))))),"Other")</f>
        <v>0</v>
      </c>
      <c r="AL291">
        <f>IF(OR(I291="accepted",I291="cond. accept",I291="summer admit"),IF(J291="yes","CHOICE!","Accepted!"),IF(I291="denied","Denied",IF(K291=1,"Waitlist",IF(L291=1,"Deferred",IF(G291="pending","Pending",IF(OR(G291="initial materials submitted",G291="mid-year submitted",G291="final submitted"),"Submitted",IF(H291="interest","Interest","?")))))))</f>
        <v>0</v>
      </c>
      <c r="AM291">
        <f>IF(OR(AK291=ReachLabel,AK291=LongshotLabel,AK291=HailMaryLabel),1,0)</f>
        <v>0</v>
      </c>
      <c r="AN291">
        <f>IF(OR(AM291=1,AK291=MatchLabel),1,0)</f>
        <v>0</v>
      </c>
      <c r="AO291">
        <f>IF(OR(AK291=MatchLabel,AK291=SafetyLabel,AK291=SecureLabel,AK291=SureThingLabel),1,0)</f>
        <v>0</v>
      </c>
      <c r="AP291">
        <f>IF(OR(T291="H",T291="B"),IF(ISNUMBER(Y291),ROUND(Y291,2),0),IF(ISNUMBER(X291),ROUND(X291,2),0))</f>
        <v>0</v>
      </c>
      <c r="AQ291">
        <f>IF(AP291&gt;=U291,1,0)</f>
        <v>0</v>
      </c>
      <c r="AR291">
        <f>IF(AP291&gt;=V291,1,0)</f>
        <v>0</v>
      </c>
      <c r="AS291">
        <f>IF(AP291&lt;(U291-0.10),1,0)</f>
        <v>0</v>
      </c>
      <c r="AT291">
        <f>1-AJ291/100</f>
        <v>0</v>
      </c>
      <c r="AU291">
        <f>IF(AN291=1,AT291,1)</f>
        <v>0</v>
      </c>
      <c r="AV291">
        <f>IF(AM291=1,AT291,1)</f>
        <v>0</v>
      </c>
      <c r="AW291">
        <f>IF(AND(AQ291=1,ISNUMBER(AT291)),$AT291,1)</f>
        <v>0</v>
      </c>
      <c r="AX291">
        <f>IF(AND(AR291=1,ISNUMBER(AT291)),$AT291,1)</f>
        <v>0</v>
      </c>
      <c r="AY291">
        <f>IF(ISNUMBER(Y291),INDEX(AllCollegeMoney, MATCH(N291,AllCollegeNCES,0)),0)</f>
        <v>0</v>
      </c>
      <c r="AZ291">
        <f>IF(AND(AQ291=1,ISNUMBER(AT291),AY291=1),$AT291,1)</f>
        <v>0</v>
      </c>
      <c r="BA291">
        <f>IF(AND(AR291=1,ISNUMBER(AT291),AY291=1),$AT291,1)</f>
        <v>0</v>
      </c>
      <c r="BB291">
        <f>IF(ISNUMBER(Y291),INDEX(AllCollegeILPub, MATCH(N291,AllCollegeNCES,0)),0)</f>
        <v>0</v>
      </c>
      <c r="BC291">
        <f>IF(AK291=ReachLabel,AP291,0)</f>
        <v>0</v>
      </c>
      <c r="BD291">
        <f>IF(AK291=MatchLabel,AP291,0)</f>
        <v>0</v>
      </c>
      <c r="BE291">
        <f>IF(AK291=SafetyLabel,AP291,0)</f>
        <v>0</v>
      </c>
      <c r="BF291">
        <f>IF(AK291=SecureLabel,AP291,0)</f>
        <v>0</v>
      </c>
      <c r="BG291">
        <f>IF(AK291=SureThingLabel,AP291,0)</f>
        <v>0</v>
      </c>
      <c r="BH291">
        <f>MAX(BC291:BG291)</f>
        <v>0</v>
      </c>
      <c r="BI291">
        <f>MAX(BD291:BG291)</f>
        <v>0</v>
      </c>
      <c r="BJ291">
        <f>MAX(BE291:BG291)</f>
        <v>0</v>
      </c>
      <c r="BK291">
        <f>IF(AND(AK291=ReachLabel,AY291=1),AP291,0)</f>
        <v>0</v>
      </c>
      <c r="BL291">
        <f>IF(AND(AK291=MatchLabel,AY291=1),AP291,0)</f>
        <v>0</v>
      </c>
      <c r="BM291">
        <f>IF(AND(AK291=SafetyLabel,AY291=1),AP291,0)</f>
        <v>0</v>
      </c>
      <c r="BN291">
        <f>IF(AND(AK291=SecureLabel,AY291=1),AP291,0)</f>
        <v>0</v>
      </c>
      <c r="BO291">
        <f>IF(AND(AK291=SureThingLabel,AY291=1),AP291,0)</f>
        <v>0</v>
      </c>
      <c r="BP291">
        <f>MAX(BK291:BO291)</f>
        <v>0</v>
      </c>
      <c r="BQ291">
        <f>MAX(BL291:BO291)</f>
        <v>0</v>
      </c>
      <c r="BR291">
        <f>MAX(BM291:BO291)</f>
        <v>0</v>
      </c>
      <c r="BS291">
        <f>IF(ISNUMBER(Y291),INDEX(AllCollegeChicago, MATCH(N291,AllCollegeNCES,0))*AY291,0)</f>
        <v>0</v>
      </c>
      <c r="BT291">
        <f>IF(ISNUMBER(Y291),INDEX(AllCollegeMoneyCode, MATCH(N291,AllCollegeNCES,0)),"?")</f>
        <v>0</v>
      </c>
      <c r="BU291">
        <f>IF(OR(BT291="---",BT291="--",BT291="+/--",BT291="+/---"),1,0)</f>
        <v>0</v>
      </c>
      <c r="BV291">
        <f>AY291*AO291*AQ291</f>
        <v>0</v>
      </c>
    </row>
    <row r="292" spans="1:74">
      <c r="A292" t="s">
        <v>86</v>
      </c>
      <c r="B292">
        <v>23050586</v>
      </c>
      <c r="C292" t="s">
        <v>153</v>
      </c>
      <c r="D292" t="s">
        <v>154</v>
      </c>
      <c r="E292" t="s">
        <v>428</v>
      </c>
      <c r="F292" t="s">
        <v>496</v>
      </c>
      <c r="G292" t="s">
        <v>430</v>
      </c>
      <c r="H292" t="s">
        <v>431</v>
      </c>
      <c r="I292" t="s">
        <v>432</v>
      </c>
      <c r="J292" t="s">
        <v>432</v>
      </c>
      <c r="K292">
        <v>0</v>
      </c>
      <c r="L292" t="s">
        <v>428</v>
      </c>
      <c r="M292" t="s">
        <v>428</v>
      </c>
      <c r="N292">
        <v>150400</v>
      </c>
      <c r="O292">
        <f>INDEX(AllCollegeBarrons,MATCH(N292,AllCollegeNCES,0))</f>
        <v>0</v>
      </c>
      <c r="P292">
        <f>INDEX(KidGPAs,MATCH(B292,KidIDs,0))</f>
        <v>0</v>
      </c>
      <c r="Q292">
        <f>INDEX(KidACTs,MATCH(B292,KidIDs,0))</f>
        <v>0</v>
      </c>
      <c r="R292">
        <f>INDEX(Strats,MATCH(B292,KidIDs,0))</f>
        <v>0</v>
      </c>
      <c r="S292">
        <f>INDEX(KidRace,MATCH(B292,KidIDs,0))</f>
        <v>0</v>
      </c>
      <c r="T292">
        <f>IF(OR(S292="M",S292="I"),"H",S292)</f>
        <v>0</v>
      </c>
      <c r="U292">
        <f>INDEX(StudentTargets,MATCH(B292,KidIDs,0))</f>
        <v>0</v>
      </c>
      <c r="V292">
        <f>INDEX(ReachStudentTargets,MATCH(B292,KidIDs,0))</f>
        <v>0</v>
      </c>
      <c r="W292">
        <f>IF(OR(M292="Posse"),1,0)</f>
        <v>0</v>
      </c>
      <c r="X292">
        <f>IF(ISNUMBER(INDEX(AllCollegeGR, MATCH(N292,AllCollegeNCES,0))),ROUND(INDEX(AllCollegeGR, MATCH(N292,AllCollegeNCES,0))+W292*IF(INDEX(AllCollegeGR, MATCH(N292,AllCollegeNCES,0))&gt;0.7,(1-INDEX(AllCollegeGR, MATCH(N292,AllCollegeNCES,0)))/2,0.15),2),INDEX(AllCollegeGR, MATCH(N292,AllCollegeNCES,0)))</f>
        <v>0</v>
      </c>
      <c r="Y292">
        <f>IF(ISNUMBER(INDEX(AllCollegeAAHGR, MATCH(N292,AllCollegeNCES,0))),ROUND(INDEX(AllCollegeAAHGR, MATCH(N292,AllCollegeNCES,0))+W292*IF(INDEX(AllCollegeAAHGR, MATCH(N292,AllCollegeNCES,0))&gt;0.7,(1-INDEX(AllCollegeAAHGR, MATCH(N292,AllCollegeNCES,0)))/2,0.15),2),INDEX(AllCollegeAAHGR, MATCH(N292,AllCollegeNCES,0)))</f>
        <v>0</v>
      </c>
      <c r="Z292">
        <f>IF(OR(T292="H",T292="B"),INDEX(AllCollegeACT25, MATCH(N292,AllCollegeNCES,0)),INDEX(AllCollegeACT50, MATCH(N292,AllCollegeNCES,0)))</f>
        <v>0</v>
      </c>
      <c r="AA292">
        <f>INDEX(CustomWeightsGPA,MATCH(T292&amp;":"&amp;N292,CustomWeightsIndex,0))</f>
        <v>0</v>
      </c>
      <c r="AB292">
        <f>INDEX(CustomWeightsACT,MATCH(T292&amp;":"&amp;N292,CustomWeightsIndex,0))</f>
        <v>0</v>
      </c>
      <c r="AC292">
        <f>INDEX(CustomWeightsIntercept,MATCH(T292&amp;":"&amp;N292,CustomWeightsIndex,0))</f>
        <v>0</v>
      </c>
      <c r="AD292">
        <f>AA292*P292+AB292*Q292+AC292</f>
        <v>0</v>
      </c>
      <c r="AE292">
        <f>INDEX(CoefficientsGPA,MATCH(T292&amp;":"&amp;O292,CoefficientsIndex,0))</f>
        <v>0</v>
      </c>
      <c r="AF292">
        <f>INDEX(CoefficientsACT,MATCH(T292&amp;":"&amp;O292,CoefficientsIndex,0))</f>
        <v>0</v>
      </c>
      <c r="AG292">
        <f>INDEX(CoefficientsIntercept,MATCH(T292&amp;":"&amp;O292,CoefficientsIndex,0))</f>
        <v>0</v>
      </c>
      <c r="AH292">
        <f>AE292*P292+(Q292-Z292)*AF292+AG292</f>
        <v>0</v>
      </c>
      <c r="AI292">
        <f>IF(ISNUMBER(AD292),AD292,AH292)</f>
        <v>0</v>
      </c>
      <c r="AJ292">
        <f>IF(ISNUMBER(AI292),IF(ISNUMBER(AE292),IF(AND(AE292=1,AF292=1,AG292=1),100,ROUND(100*EXP(AI292)/(1+EXP(AI292)),2)),ROUND(100*EXP(AI292)/(1+EXP(AI292)),2)),IF(ISTEXT(O292),IF(LEFT(O292,1)="2",100,"N/A"),"N/A"))</f>
        <v>0</v>
      </c>
      <c r="AK292">
        <f>IF(ISNUMBER(AJ292),IF(AJ292&gt;=99,IF(OR(R292=10,R292=11),MatchLabel,SureThingLabel),IF(AJ292&gt;=95,SecureLabel,IF(AJ292&gt;=80,SafetyLabel,IF(AJ292&gt;=50,MatchLabel,IF(AJ292&gt;=20,ReachLabel,IF(AJ292&gt;=10,LongshotLabel,HailMaryLabel)))))),"Other")</f>
        <v>0</v>
      </c>
      <c r="AL292">
        <f>IF(OR(I292="accepted",I292="cond. accept",I292="summer admit"),IF(J292="yes","CHOICE!","Accepted!"),IF(I292="denied","Denied",IF(K292=1,"Waitlist",IF(L292=1,"Deferred",IF(G292="pending","Pending",IF(OR(G292="initial materials submitted",G292="mid-year submitted",G292="final submitted"),"Submitted",IF(H292="interest","Interest","?")))))))</f>
        <v>0</v>
      </c>
      <c r="AM292">
        <f>IF(OR(AK292=ReachLabel,AK292=LongshotLabel,AK292=HailMaryLabel),1,0)</f>
        <v>0</v>
      </c>
      <c r="AN292">
        <f>IF(OR(AM292=1,AK292=MatchLabel),1,0)</f>
        <v>0</v>
      </c>
      <c r="AO292">
        <f>IF(OR(AK292=MatchLabel,AK292=SafetyLabel,AK292=SecureLabel,AK292=SureThingLabel),1,0)</f>
        <v>0</v>
      </c>
      <c r="AP292">
        <f>IF(OR(T292="H",T292="B"),IF(ISNUMBER(Y292),ROUND(Y292,2),0),IF(ISNUMBER(X292),ROUND(X292,2),0))</f>
        <v>0</v>
      </c>
      <c r="AQ292">
        <f>IF(AP292&gt;=U292,1,0)</f>
        <v>0</v>
      </c>
      <c r="AR292">
        <f>IF(AP292&gt;=V292,1,0)</f>
        <v>0</v>
      </c>
      <c r="AS292">
        <f>IF(AP292&lt;(U292-0.10),1,0)</f>
        <v>0</v>
      </c>
      <c r="AT292">
        <f>1-AJ292/100</f>
        <v>0</v>
      </c>
      <c r="AU292">
        <f>IF(AN292=1,AT292,1)</f>
        <v>0</v>
      </c>
      <c r="AV292">
        <f>IF(AM292=1,AT292,1)</f>
        <v>0</v>
      </c>
      <c r="AW292">
        <f>IF(AND(AQ292=1,ISNUMBER(AT292)),$AT292,1)</f>
        <v>0</v>
      </c>
      <c r="AX292">
        <f>IF(AND(AR292=1,ISNUMBER(AT292)),$AT292,1)</f>
        <v>0</v>
      </c>
      <c r="AY292">
        <f>IF(ISNUMBER(Y292),INDEX(AllCollegeMoney, MATCH(N292,AllCollegeNCES,0)),0)</f>
        <v>0</v>
      </c>
      <c r="AZ292">
        <f>IF(AND(AQ292=1,ISNUMBER(AT292),AY292=1),$AT292,1)</f>
        <v>0</v>
      </c>
      <c r="BA292">
        <f>IF(AND(AR292=1,ISNUMBER(AT292),AY292=1),$AT292,1)</f>
        <v>0</v>
      </c>
      <c r="BB292">
        <f>IF(ISNUMBER(Y292),INDEX(AllCollegeILPub, MATCH(N292,AllCollegeNCES,0)),0)</f>
        <v>0</v>
      </c>
      <c r="BC292">
        <f>IF(AK292=ReachLabel,AP292,0)</f>
        <v>0</v>
      </c>
      <c r="BD292">
        <f>IF(AK292=MatchLabel,AP292,0)</f>
        <v>0</v>
      </c>
      <c r="BE292">
        <f>IF(AK292=SafetyLabel,AP292,0)</f>
        <v>0</v>
      </c>
      <c r="BF292">
        <f>IF(AK292=SecureLabel,AP292,0)</f>
        <v>0</v>
      </c>
      <c r="BG292">
        <f>IF(AK292=SureThingLabel,AP292,0)</f>
        <v>0</v>
      </c>
      <c r="BH292">
        <f>MAX(BC292:BG292)</f>
        <v>0</v>
      </c>
      <c r="BI292">
        <f>MAX(BD292:BG292)</f>
        <v>0</v>
      </c>
      <c r="BJ292">
        <f>MAX(BE292:BG292)</f>
        <v>0</v>
      </c>
      <c r="BK292">
        <f>IF(AND(AK292=ReachLabel,AY292=1),AP292,0)</f>
        <v>0</v>
      </c>
      <c r="BL292">
        <f>IF(AND(AK292=MatchLabel,AY292=1),AP292,0)</f>
        <v>0</v>
      </c>
      <c r="BM292">
        <f>IF(AND(AK292=SafetyLabel,AY292=1),AP292,0)</f>
        <v>0</v>
      </c>
      <c r="BN292">
        <f>IF(AND(AK292=SecureLabel,AY292=1),AP292,0)</f>
        <v>0</v>
      </c>
      <c r="BO292">
        <f>IF(AND(AK292=SureThingLabel,AY292=1),AP292,0)</f>
        <v>0</v>
      </c>
      <c r="BP292">
        <f>MAX(BK292:BO292)</f>
        <v>0</v>
      </c>
      <c r="BQ292">
        <f>MAX(BL292:BO292)</f>
        <v>0</v>
      </c>
      <c r="BR292">
        <f>MAX(BM292:BO292)</f>
        <v>0</v>
      </c>
      <c r="BS292">
        <f>IF(ISNUMBER(Y292),INDEX(AllCollegeChicago, MATCH(N292,AllCollegeNCES,0))*AY292,0)</f>
        <v>0</v>
      </c>
      <c r="BT292">
        <f>IF(ISNUMBER(Y292),INDEX(AllCollegeMoneyCode, MATCH(N292,AllCollegeNCES,0)),"?")</f>
        <v>0</v>
      </c>
      <c r="BU292">
        <f>IF(OR(BT292="---",BT292="--",BT292="+/--",BT292="+/---"),1,0)</f>
        <v>0</v>
      </c>
      <c r="BV292">
        <f>AY292*AO292*AQ292</f>
        <v>0</v>
      </c>
    </row>
    <row r="293" spans="1:74">
      <c r="A293" t="s">
        <v>86</v>
      </c>
      <c r="B293">
        <v>23050586</v>
      </c>
      <c r="C293" t="s">
        <v>153</v>
      </c>
      <c r="D293" t="s">
        <v>154</v>
      </c>
      <c r="E293" t="s">
        <v>428</v>
      </c>
      <c r="F293" t="s">
        <v>525</v>
      </c>
      <c r="G293" t="s">
        <v>526</v>
      </c>
      <c r="H293" t="s">
        <v>526</v>
      </c>
      <c r="I293" t="s">
        <v>527</v>
      </c>
      <c r="J293" t="s">
        <v>428</v>
      </c>
      <c r="K293" t="s">
        <v>428</v>
      </c>
      <c r="L293" t="s">
        <v>428</v>
      </c>
      <c r="M293" t="s">
        <v>428</v>
      </c>
      <c r="N293">
        <v>150400</v>
      </c>
      <c r="O293">
        <f>INDEX(AllCollegeBarrons,MATCH(N293,AllCollegeNCES,0))</f>
        <v>0</v>
      </c>
      <c r="P293">
        <f>INDEX(KidGPAs,MATCH(B293,KidIDs,0))</f>
        <v>0</v>
      </c>
      <c r="Q293">
        <f>INDEX(KidACTs,MATCH(B293,KidIDs,0))</f>
        <v>0</v>
      </c>
      <c r="R293">
        <f>INDEX(Strats,MATCH(B293,KidIDs,0))</f>
        <v>0</v>
      </c>
      <c r="S293">
        <f>INDEX(KidRace,MATCH(B293,KidIDs,0))</f>
        <v>0</v>
      </c>
      <c r="T293">
        <f>IF(OR(S293="M",S293="I"),"H",S293)</f>
        <v>0</v>
      </c>
      <c r="U293">
        <f>INDEX(StudentTargets,MATCH(B293,KidIDs,0))</f>
        <v>0</v>
      </c>
      <c r="V293">
        <f>INDEX(ReachStudentTargets,MATCH(B293,KidIDs,0))</f>
        <v>0</v>
      </c>
      <c r="W293">
        <f>IF(OR(M293="Posse"),1,0)</f>
        <v>0</v>
      </c>
      <c r="X293">
        <f>IF(ISNUMBER(INDEX(AllCollegeGR, MATCH(N293,AllCollegeNCES,0))),ROUND(INDEX(AllCollegeGR, MATCH(N293,AllCollegeNCES,0))+W293*IF(INDEX(AllCollegeGR, MATCH(N293,AllCollegeNCES,0))&gt;0.7,(1-INDEX(AllCollegeGR, MATCH(N293,AllCollegeNCES,0)))/2,0.15),2),INDEX(AllCollegeGR, MATCH(N293,AllCollegeNCES,0)))</f>
        <v>0</v>
      </c>
      <c r="Y293">
        <f>IF(ISNUMBER(INDEX(AllCollegeAAHGR, MATCH(N293,AllCollegeNCES,0))),ROUND(INDEX(AllCollegeAAHGR, MATCH(N293,AllCollegeNCES,0))+W293*IF(INDEX(AllCollegeAAHGR, MATCH(N293,AllCollegeNCES,0))&gt;0.7,(1-INDEX(AllCollegeAAHGR, MATCH(N293,AllCollegeNCES,0)))/2,0.15),2),INDEX(AllCollegeAAHGR, MATCH(N293,AllCollegeNCES,0)))</f>
        <v>0</v>
      </c>
      <c r="Z293">
        <f>IF(OR(T293="H",T293="B"),INDEX(AllCollegeACT25, MATCH(N293,AllCollegeNCES,0)),INDEX(AllCollegeACT50, MATCH(N293,AllCollegeNCES,0)))</f>
        <v>0</v>
      </c>
      <c r="AA293">
        <f>INDEX(CustomWeightsGPA,MATCH(T293&amp;":"&amp;N293,CustomWeightsIndex,0))</f>
        <v>0</v>
      </c>
      <c r="AB293">
        <f>INDEX(CustomWeightsACT,MATCH(T293&amp;":"&amp;N293,CustomWeightsIndex,0))</f>
        <v>0</v>
      </c>
      <c r="AC293">
        <f>INDEX(CustomWeightsIntercept,MATCH(T293&amp;":"&amp;N293,CustomWeightsIndex,0))</f>
        <v>0</v>
      </c>
      <c r="AD293">
        <f>AA293*P293+AB293*Q293+AC293</f>
        <v>0</v>
      </c>
      <c r="AE293">
        <f>INDEX(CoefficientsGPA,MATCH(T293&amp;":"&amp;O293,CoefficientsIndex,0))</f>
        <v>0</v>
      </c>
      <c r="AF293">
        <f>INDEX(CoefficientsACT,MATCH(T293&amp;":"&amp;O293,CoefficientsIndex,0))</f>
        <v>0</v>
      </c>
      <c r="AG293">
        <f>INDEX(CoefficientsIntercept,MATCH(T293&amp;":"&amp;O293,CoefficientsIndex,0))</f>
        <v>0</v>
      </c>
      <c r="AH293">
        <f>AE293*P293+(Q293-Z293)*AF293+AG293</f>
        <v>0</v>
      </c>
      <c r="AI293">
        <f>IF(ISNUMBER(AD293),AD293,AH293)</f>
        <v>0</v>
      </c>
      <c r="AJ293">
        <f>IF(ISNUMBER(AI293),IF(ISNUMBER(AE293),IF(AND(AE293=1,AF293=1,AG293=1),100,ROUND(100*EXP(AI293)/(1+EXP(AI293)),2)),ROUND(100*EXP(AI293)/(1+EXP(AI293)),2)),IF(ISTEXT(O293),IF(LEFT(O293,1)="2",100,"N/A"),"N/A"))</f>
        <v>0</v>
      </c>
      <c r="AK293">
        <f>IF(ISNUMBER(AJ293),IF(AJ293&gt;=99,IF(OR(R293=10,R293=11),MatchLabel,SureThingLabel),IF(AJ293&gt;=95,SecureLabel,IF(AJ293&gt;=80,SafetyLabel,IF(AJ293&gt;=50,MatchLabel,IF(AJ293&gt;=20,ReachLabel,IF(AJ293&gt;=10,LongshotLabel,HailMaryLabel)))))),"Other")</f>
        <v>0</v>
      </c>
      <c r="AL293">
        <f>IF(OR(I293="accepted",I293="cond. accept",I293="summer admit"),IF(J293="yes","CHOICE!","Accepted!"),IF(I293="denied","Denied",IF(K293=1,"Waitlist",IF(L293=1,"Deferred",IF(G293="pending","Pending",IF(OR(G293="initial materials submitted",G293="mid-year submitted",G293="final submitted"),"Submitted",IF(H293="interest","Interest","?")))))))</f>
        <v>0</v>
      </c>
      <c r="AM293">
        <f>IF(OR(AK293=ReachLabel,AK293=LongshotLabel,AK293=HailMaryLabel),1,0)</f>
        <v>0</v>
      </c>
      <c r="AN293">
        <f>IF(OR(AM293=1,AK293=MatchLabel),1,0)</f>
        <v>0</v>
      </c>
      <c r="AO293">
        <f>IF(OR(AK293=MatchLabel,AK293=SafetyLabel,AK293=SecureLabel,AK293=SureThingLabel),1,0)</f>
        <v>0</v>
      </c>
      <c r="AP293">
        <f>IF(OR(T293="H",T293="B"),IF(ISNUMBER(Y293),ROUND(Y293,2),0),IF(ISNUMBER(X293),ROUND(X293,2),0))</f>
        <v>0</v>
      </c>
      <c r="AQ293">
        <f>IF(AP293&gt;=U293,1,0)</f>
        <v>0</v>
      </c>
      <c r="AR293">
        <f>IF(AP293&gt;=V293,1,0)</f>
        <v>0</v>
      </c>
      <c r="AS293">
        <f>IF(AP293&lt;(U293-0.10),1,0)</f>
        <v>0</v>
      </c>
      <c r="AT293">
        <f>1-AJ293/100</f>
        <v>0</v>
      </c>
      <c r="AU293">
        <f>IF(AN293=1,AT293,1)</f>
        <v>0</v>
      </c>
      <c r="AV293">
        <f>IF(AM293=1,AT293,1)</f>
        <v>0</v>
      </c>
      <c r="AW293">
        <f>IF(AND(AQ293=1,ISNUMBER(AT293)),$AT293,1)</f>
        <v>0</v>
      </c>
      <c r="AX293">
        <f>IF(AND(AR293=1,ISNUMBER(AT293)),$AT293,1)</f>
        <v>0</v>
      </c>
      <c r="AY293">
        <f>IF(ISNUMBER(Y293),INDEX(AllCollegeMoney, MATCH(N293,AllCollegeNCES,0)),0)</f>
        <v>0</v>
      </c>
      <c r="AZ293">
        <f>IF(AND(AQ293=1,ISNUMBER(AT293),AY293=1),$AT293,1)</f>
        <v>0</v>
      </c>
      <c r="BA293">
        <f>IF(AND(AR293=1,ISNUMBER(AT293),AY293=1),$AT293,1)</f>
        <v>0</v>
      </c>
      <c r="BB293">
        <f>IF(ISNUMBER(Y293),INDEX(AllCollegeILPub, MATCH(N293,AllCollegeNCES,0)),0)</f>
        <v>0</v>
      </c>
      <c r="BC293">
        <f>IF(AK293=ReachLabel,AP293,0)</f>
        <v>0</v>
      </c>
      <c r="BD293">
        <f>IF(AK293=MatchLabel,AP293,0)</f>
        <v>0</v>
      </c>
      <c r="BE293">
        <f>IF(AK293=SafetyLabel,AP293,0)</f>
        <v>0</v>
      </c>
      <c r="BF293">
        <f>IF(AK293=SecureLabel,AP293,0)</f>
        <v>0</v>
      </c>
      <c r="BG293">
        <f>IF(AK293=SureThingLabel,AP293,0)</f>
        <v>0</v>
      </c>
      <c r="BH293">
        <f>MAX(BC293:BG293)</f>
        <v>0</v>
      </c>
      <c r="BI293">
        <f>MAX(BD293:BG293)</f>
        <v>0</v>
      </c>
      <c r="BJ293">
        <f>MAX(BE293:BG293)</f>
        <v>0</v>
      </c>
      <c r="BK293">
        <f>IF(AND(AK293=ReachLabel,AY293=1),AP293,0)</f>
        <v>0</v>
      </c>
      <c r="BL293">
        <f>IF(AND(AK293=MatchLabel,AY293=1),AP293,0)</f>
        <v>0</v>
      </c>
      <c r="BM293">
        <f>IF(AND(AK293=SafetyLabel,AY293=1),AP293,0)</f>
        <v>0</v>
      </c>
      <c r="BN293">
        <f>IF(AND(AK293=SecureLabel,AY293=1),AP293,0)</f>
        <v>0</v>
      </c>
      <c r="BO293">
        <f>IF(AND(AK293=SureThingLabel,AY293=1),AP293,0)</f>
        <v>0</v>
      </c>
      <c r="BP293">
        <f>MAX(BK293:BO293)</f>
        <v>0</v>
      </c>
      <c r="BQ293">
        <f>MAX(BL293:BO293)</f>
        <v>0</v>
      </c>
      <c r="BR293">
        <f>MAX(BM293:BO293)</f>
        <v>0</v>
      </c>
      <c r="BS293">
        <f>IF(ISNUMBER(Y293),INDEX(AllCollegeChicago, MATCH(N293,AllCollegeNCES,0))*AY293,0)</f>
        <v>0</v>
      </c>
      <c r="BT293">
        <f>IF(ISNUMBER(Y293),INDEX(AllCollegeMoneyCode, MATCH(N293,AllCollegeNCES,0)),"?")</f>
        <v>0</v>
      </c>
      <c r="BU293">
        <f>IF(OR(BT293="---",BT293="--",BT293="+/--",BT293="+/---"),1,0)</f>
        <v>0</v>
      </c>
      <c r="BV293">
        <f>AY293*AO293*AQ293</f>
        <v>0</v>
      </c>
    </row>
    <row r="294" spans="1:74">
      <c r="A294" t="s">
        <v>86</v>
      </c>
      <c r="B294">
        <v>23050586</v>
      </c>
      <c r="C294" t="s">
        <v>153</v>
      </c>
      <c r="D294" t="s">
        <v>154</v>
      </c>
      <c r="E294" t="s">
        <v>428</v>
      </c>
      <c r="F294" t="s">
        <v>456</v>
      </c>
      <c r="G294" t="s">
        <v>463</v>
      </c>
      <c r="H294" t="s">
        <v>431</v>
      </c>
      <c r="I294" t="s">
        <v>432</v>
      </c>
      <c r="J294" t="s">
        <v>432</v>
      </c>
      <c r="K294">
        <v>0</v>
      </c>
      <c r="L294" t="s">
        <v>428</v>
      </c>
      <c r="M294" t="s">
        <v>428</v>
      </c>
      <c r="N294">
        <v>213668</v>
      </c>
      <c r="O294">
        <f>INDEX(AllCollegeBarrons,MATCH(N294,AllCollegeNCES,0))</f>
        <v>0</v>
      </c>
      <c r="P294">
        <f>INDEX(KidGPAs,MATCH(B294,KidIDs,0))</f>
        <v>0</v>
      </c>
      <c r="Q294">
        <f>INDEX(KidACTs,MATCH(B294,KidIDs,0))</f>
        <v>0</v>
      </c>
      <c r="R294">
        <f>INDEX(Strats,MATCH(B294,KidIDs,0))</f>
        <v>0</v>
      </c>
      <c r="S294">
        <f>INDEX(KidRace,MATCH(B294,KidIDs,0))</f>
        <v>0</v>
      </c>
      <c r="T294">
        <f>IF(OR(S294="M",S294="I"),"H",S294)</f>
        <v>0</v>
      </c>
      <c r="U294">
        <f>INDEX(StudentTargets,MATCH(B294,KidIDs,0))</f>
        <v>0</v>
      </c>
      <c r="V294">
        <f>INDEX(ReachStudentTargets,MATCH(B294,KidIDs,0))</f>
        <v>0</v>
      </c>
      <c r="W294">
        <f>IF(OR(M294="Posse"),1,0)</f>
        <v>0</v>
      </c>
      <c r="X294">
        <f>IF(ISNUMBER(INDEX(AllCollegeGR, MATCH(N294,AllCollegeNCES,0))),ROUND(INDEX(AllCollegeGR, MATCH(N294,AllCollegeNCES,0))+W294*IF(INDEX(AllCollegeGR, MATCH(N294,AllCollegeNCES,0))&gt;0.7,(1-INDEX(AllCollegeGR, MATCH(N294,AllCollegeNCES,0)))/2,0.15),2),INDEX(AllCollegeGR, MATCH(N294,AllCollegeNCES,0)))</f>
        <v>0</v>
      </c>
      <c r="Y294">
        <f>IF(ISNUMBER(INDEX(AllCollegeAAHGR, MATCH(N294,AllCollegeNCES,0))),ROUND(INDEX(AllCollegeAAHGR, MATCH(N294,AllCollegeNCES,0))+W294*IF(INDEX(AllCollegeAAHGR, MATCH(N294,AllCollegeNCES,0))&gt;0.7,(1-INDEX(AllCollegeAAHGR, MATCH(N294,AllCollegeNCES,0)))/2,0.15),2),INDEX(AllCollegeAAHGR, MATCH(N294,AllCollegeNCES,0)))</f>
        <v>0</v>
      </c>
      <c r="Z294">
        <f>IF(OR(T294="H",T294="B"),INDEX(AllCollegeACT25, MATCH(N294,AllCollegeNCES,0)),INDEX(AllCollegeACT50, MATCH(N294,AllCollegeNCES,0)))</f>
        <v>0</v>
      </c>
      <c r="AA294">
        <f>INDEX(CustomWeightsGPA,MATCH(T294&amp;":"&amp;N294,CustomWeightsIndex,0))</f>
        <v>0</v>
      </c>
      <c r="AB294">
        <f>INDEX(CustomWeightsACT,MATCH(T294&amp;":"&amp;N294,CustomWeightsIndex,0))</f>
        <v>0</v>
      </c>
      <c r="AC294">
        <f>INDEX(CustomWeightsIntercept,MATCH(T294&amp;":"&amp;N294,CustomWeightsIndex,0))</f>
        <v>0</v>
      </c>
      <c r="AD294">
        <f>AA294*P294+AB294*Q294+AC294</f>
        <v>0</v>
      </c>
      <c r="AE294">
        <f>INDEX(CoefficientsGPA,MATCH(T294&amp;":"&amp;O294,CoefficientsIndex,0))</f>
        <v>0</v>
      </c>
      <c r="AF294">
        <f>INDEX(CoefficientsACT,MATCH(T294&amp;":"&amp;O294,CoefficientsIndex,0))</f>
        <v>0</v>
      </c>
      <c r="AG294">
        <f>INDEX(CoefficientsIntercept,MATCH(T294&amp;":"&amp;O294,CoefficientsIndex,0))</f>
        <v>0</v>
      </c>
      <c r="AH294">
        <f>AE294*P294+(Q294-Z294)*AF294+AG294</f>
        <v>0</v>
      </c>
      <c r="AI294">
        <f>IF(ISNUMBER(AD294),AD294,AH294)</f>
        <v>0</v>
      </c>
      <c r="AJ294">
        <f>IF(ISNUMBER(AI294),IF(ISNUMBER(AE294),IF(AND(AE294=1,AF294=1,AG294=1),100,ROUND(100*EXP(AI294)/(1+EXP(AI294)),2)),ROUND(100*EXP(AI294)/(1+EXP(AI294)),2)),IF(ISTEXT(O294),IF(LEFT(O294,1)="2",100,"N/A"),"N/A"))</f>
        <v>0</v>
      </c>
      <c r="AK294">
        <f>IF(ISNUMBER(AJ294),IF(AJ294&gt;=99,IF(OR(R294=10,R294=11),MatchLabel,SureThingLabel),IF(AJ294&gt;=95,SecureLabel,IF(AJ294&gt;=80,SafetyLabel,IF(AJ294&gt;=50,MatchLabel,IF(AJ294&gt;=20,ReachLabel,IF(AJ294&gt;=10,LongshotLabel,HailMaryLabel)))))),"Other")</f>
        <v>0</v>
      </c>
      <c r="AL294">
        <f>IF(OR(I294="accepted",I294="cond. accept",I294="summer admit"),IF(J294="yes","CHOICE!","Accepted!"),IF(I294="denied","Denied",IF(K294=1,"Waitlist",IF(L294=1,"Deferred",IF(G294="pending","Pending",IF(OR(G294="initial materials submitted",G294="mid-year submitted",G294="final submitted"),"Submitted",IF(H294="interest","Interest","?")))))))</f>
        <v>0</v>
      </c>
      <c r="AM294">
        <f>IF(OR(AK294=ReachLabel,AK294=LongshotLabel,AK294=HailMaryLabel),1,0)</f>
        <v>0</v>
      </c>
      <c r="AN294">
        <f>IF(OR(AM294=1,AK294=MatchLabel),1,0)</f>
        <v>0</v>
      </c>
      <c r="AO294">
        <f>IF(OR(AK294=MatchLabel,AK294=SafetyLabel,AK294=SecureLabel,AK294=SureThingLabel),1,0)</f>
        <v>0</v>
      </c>
      <c r="AP294">
        <f>IF(OR(T294="H",T294="B"),IF(ISNUMBER(Y294),ROUND(Y294,2),0),IF(ISNUMBER(X294),ROUND(X294,2),0))</f>
        <v>0</v>
      </c>
      <c r="AQ294">
        <f>IF(AP294&gt;=U294,1,0)</f>
        <v>0</v>
      </c>
      <c r="AR294">
        <f>IF(AP294&gt;=V294,1,0)</f>
        <v>0</v>
      </c>
      <c r="AS294">
        <f>IF(AP294&lt;(U294-0.10),1,0)</f>
        <v>0</v>
      </c>
      <c r="AT294">
        <f>1-AJ294/100</f>
        <v>0</v>
      </c>
      <c r="AU294">
        <f>IF(AN294=1,AT294,1)</f>
        <v>0</v>
      </c>
      <c r="AV294">
        <f>IF(AM294=1,AT294,1)</f>
        <v>0</v>
      </c>
      <c r="AW294">
        <f>IF(AND(AQ294=1,ISNUMBER(AT294)),$AT294,1)</f>
        <v>0</v>
      </c>
      <c r="AX294">
        <f>IF(AND(AR294=1,ISNUMBER(AT294)),$AT294,1)</f>
        <v>0</v>
      </c>
      <c r="AY294">
        <f>IF(ISNUMBER(Y294),INDEX(AllCollegeMoney, MATCH(N294,AllCollegeNCES,0)),0)</f>
        <v>0</v>
      </c>
      <c r="AZ294">
        <f>IF(AND(AQ294=1,ISNUMBER(AT294),AY294=1),$AT294,1)</f>
        <v>0</v>
      </c>
      <c r="BA294">
        <f>IF(AND(AR294=1,ISNUMBER(AT294),AY294=1),$AT294,1)</f>
        <v>0</v>
      </c>
      <c r="BB294">
        <f>IF(ISNUMBER(Y294),INDEX(AllCollegeILPub, MATCH(N294,AllCollegeNCES,0)),0)</f>
        <v>0</v>
      </c>
      <c r="BC294">
        <f>IF(AK294=ReachLabel,AP294,0)</f>
        <v>0</v>
      </c>
      <c r="BD294">
        <f>IF(AK294=MatchLabel,AP294,0)</f>
        <v>0</v>
      </c>
      <c r="BE294">
        <f>IF(AK294=SafetyLabel,AP294,0)</f>
        <v>0</v>
      </c>
      <c r="BF294">
        <f>IF(AK294=SecureLabel,AP294,0)</f>
        <v>0</v>
      </c>
      <c r="BG294">
        <f>IF(AK294=SureThingLabel,AP294,0)</f>
        <v>0</v>
      </c>
      <c r="BH294">
        <f>MAX(BC294:BG294)</f>
        <v>0</v>
      </c>
      <c r="BI294">
        <f>MAX(BD294:BG294)</f>
        <v>0</v>
      </c>
      <c r="BJ294">
        <f>MAX(BE294:BG294)</f>
        <v>0</v>
      </c>
      <c r="BK294">
        <f>IF(AND(AK294=ReachLabel,AY294=1),AP294,0)</f>
        <v>0</v>
      </c>
      <c r="BL294">
        <f>IF(AND(AK294=MatchLabel,AY294=1),AP294,0)</f>
        <v>0</v>
      </c>
      <c r="BM294">
        <f>IF(AND(AK294=SafetyLabel,AY294=1),AP294,0)</f>
        <v>0</v>
      </c>
      <c r="BN294">
        <f>IF(AND(AK294=SecureLabel,AY294=1),AP294,0)</f>
        <v>0</v>
      </c>
      <c r="BO294">
        <f>IF(AND(AK294=SureThingLabel,AY294=1),AP294,0)</f>
        <v>0</v>
      </c>
      <c r="BP294">
        <f>MAX(BK294:BO294)</f>
        <v>0</v>
      </c>
      <c r="BQ294">
        <f>MAX(BL294:BO294)</f>
        <v>0</v>
      </c>
      <c r="BR294">
        <f>MAX(BM294:BO294)</f>
        <v>0</v>
      </c>
      <c r="BS294">
        <f>IF(ISNUMBER(Y294),INDEX(AllCollegeChicago, MATCH(N294,AllCollegeNCES,0))*AY294,0)</f>
        <v>0</v>
      </c>
      <c r="BT294">
        <f>IF(ISNUMBER(Y294),INDEX(AllCollegeMoneyCode, MATCH(N294,AllCollegeNCES,0)),"?")</f>
        <v>0</v>
      </c>
      <c r="BU294">
        <f>IF(OR(BT294="---",BT294="--",BT294="+/--",BT294="+/---"),1,0)</f>
        <v>0</v>
      </c>
      <c r="BV294">
        <f>AY294*AO294*AQ294</f>
        <v>0</v>
      </c>
    </row>
    <row r="295" spans="1:74">
      <c r="A295" t="s">
        <v>86</v>
      </c>
      <c r="B295">
        <v>23050586</v>
      </c>
      <c r="C295" t="s">
        <v>153</v>
      </c>
      <c r="D295" t="s">
        <v>154</v>
      </c>
      <c r="E295" t="s">
        <v>428</v>
      </c>
      <c r="F295" t="s">
        <v>528</v>
      </c>
      <c r="G295" t="s">
        <v>526</v>
      </c>
      <c r="H295" t="s">
        <v>526</v>
      </c>
      <c r="I295" t="s">
        <v>527</v>
      </c>
      <c r="J295" t="s">
        <v>428</v>
      </c>
      <c r="K295" t="s">
        <v>428</v>
      </c>
      <c r="L295" t="s">
        <v>428</v>
      </c>
      <c r="M295" t="s">
        <v>428</v>
      </c>
      <c r="N295">
        <v>146427</v>
      </c>
      <c r="O295">
        <f>INDEX(AllCollegeBarrons,MATCH(N295,AllCollegeNCES,0))</f>
        <v>0</v>
      </c>
      <c r="P295">
        <f>INDEX(KidGPAs,MATCH(B295,KidIDs,0))</f>
        <v>0</v>
      </c>
      <c r="Q295">
        <f>INDEX(KidACTs,MATCH(B295,KidIDs,0))</f>
        <v>0</v>
      </c>
      <c r="R295">
        <f>INDEX(Strats,MATCH(B295,KidIDs,0))</f>
        <v>0</v>
      </c>
      <c r="S295">
        <f>INDEX(KidRace,MATCH(B295,KidIDs,0))</f>
        <v>0</v>
      </c>
      <c r="T295">
        <f>IF(OR(S295="M",S295="I"),"H",S295)</f>
        <v>0</v>
      </c>
      <c r="U295">
        <f>INDEX(StudentTargets,MATCH(B295,KidIDs,0))</f>
        <v>0</v>
      </c>
      <c r="V295">
        <f>INDEX(ReachStudentTargets,MATCH(B295,KidIDs,0))</f>
        <v>0</v>
      </c>
      <c r="W295">
        <f>IF(OR(M295="Posse"),1,0)</f>
        <v>0</v>
      </c>
      <c r="X295">
        <f>IF(ISNUMBER(INDEX(AllCollegeGR, MATCH(N295,AllCollegeNCES,0))),ROUND(INDEX(AllCollegeGR, MATCH(N295,AllCollegeNCES,0))+W295*IF(INDEX(AllCollegeGR, MATCH(N295,AllCollegeNCES,0))&gt;0.7,(1-INDEX(AllCollegeGR, MATCH(N295,AllCollegeNCES,0)))/2,0.15),2),INDEX(AllCollegeGR, MATCH(N295,AllCollegeNCES,0)))</f>
        <v>0</v>
      </c>
      <c r="Y295">
        <f>IF(ISNUMBER(INDEX(AllCollegeAAHGR, MATCH(N295,AllCollegeNCES,0))),ROUND(INDEX(AllCollegeAAHGR, MATCH(N295,AllCollegeNCES,0))+W295*IF(INDEX(AllCollegeAAHGR, MATCH(N295,AllCollegeNCES,0))&gt;0.7,(1-INDEX(AllCollegeAAHGR, MATCH(N295,AllCollegeNCES,0)))/2,0.15),2),INDEX(AllCollegeAAHGR, MATCH(N295,AllCollegeNCES,0)))</f>
        <v>0</v>
      </c>
      <c r="Z295">
        <f>IF(OR(T295="H",T295="B"),INDEX(AllCollegeACT25, MATCH(N295,AllCollegeNCES,0)),INDEX(AllCollegeACT50, MATCH(N295,AllCollegeNCES,0)))</f>
        <v>0</v>
      </c>
      <c r="AA295">
        <f>INDEX(CustomWeightsGPA,MATCH(T295&amp;":"&amp;N295,CustomWeightsIndex,0))</f>
        <v>0</v>
      </c>
      <c r="AB295">
        <f>INDEX(CustomWeightsACT,MATCH(T295&amp;":"&amp;N295,CustomWeightsIndex,0))</f>
        <v>0</v>
      </c>
      <c r="AC295">
        <f>INDEX(CustomWeightsIntercept,MATCH(T295&amp;":"&amp;N295,CustomWeightsIndex,0))</f>
        <v>0</v>
      </c>
      <c r="AD295">
        <f>AA295*P295+AB295*Q295+AC295</f>
        <v>0</v>
      </c>
      <c r="AE295">
        <f>INDEX(CoefficientsGPA,MATCH(T295&amp;":"&amp;O295,CoefficientsIndex,0))</f>
        <v>0</v>
      </c>
      <c r="AF295">
        <f>INDEX(CoefficientsACT,MATCH(T295&amp;":"&amp;O295,CoefficientsIndex,0))</f>
        <v>0</v>
      </c>
      <c r="AG295">
        <f>INDEX(CoefficientsIntercept,MATCH(T295&amp;":"&amp;O295,CoefficientsIndex,0))</f>
        <v>0</v>
      </c>
      <c r="AH295">
        <f>AE295*P295+(Q295-Z295)*AF295+AG295</f>
        <v>0</v>
      </c>
      <c r="AI295">
        <f>IF(ISNUMBER(AD295),AD295,AH295)</f>
        <v>0</v>
      </c>
      <c r="AJ295">
        <f>IF(ISNUMBER(AI295),IF(ISNUMBER(AE295),IF(AND(AE295=1,AF295=1,AG295=1),100,ROUND(100*EXP(AI295)/(1+EXP(AI295)),2)),ROUND(100*EXP(AI295)/(1+EXP(AI295)),2)),IF(ISTEXT(O295),IF(LEFT(O295,1)="2",100,"N/A"),"N/A"))</f>
        <v>0</v>
      </c>
      <c r="AK295">
        <f>IF(ISNUMBER(AJ295),IF(AJ295&gt;=99,IF(OR(R295=10,R295=11),MatchLabel,SureThingLabel),IF(AJ295&gt;=95,SecureLabel,IF(AJ295&gt;=80,SafetyLabel,IF(AJ295&gt;=50,MatchLabel,IF(AJ295&gt;=20,ReachLabel,IF(AJ295&gt;=10,LongshotLabel,HailMaryLabel)))))),"Other")</f>
        <v>0</v>
      </c>
      <c r="AL295">
        <f>IF(OR(I295="accepted",I295="cond. accept",I295="summer admit"),IF(J295="yes","CHOICE!","Accepted!"),IF(I295="denied","Denied",IF(K295=1,"Waitlist",IF(L295=1,"Deferred",IF(G295="pending","Pending",IF(OR(G295="initial materials submitted",G295="mid-year submitted",G295="final submitted"),"Submitted",IF(H295="interest","Interest","?")))))))</f>
        <v>0</v>
      </c>
      <c r="AM295">
        <f>IF(OR(AK295=ReachLabel,AK295=LongshotLabel,AK295=HailMaryLabel),1,0)</f>
        <v>0</v>
      </c>
      <c r="AN295">
        <f>IF(OR(AM295=1,AK295=MatchLabel),1,0)</f>
        <v>0</v>
      </c>
      <c r="AO295">
        <f>IF(OR(AK295=MatchLabel,AK295=SafetyLabel,AK295=SecureLabel,AK295=SureThingLabel),1,0)</f>
        <v>0</v>
      </c>
      <c r="AP295">
        <f>IF(OR(T295="H",T295="B"),IF(ISNUMBER(Y295),ROUND(Y295,2),0),IF(ISNUMBER(X295),ROUND(X295,2),0))</f>
        <v>0</v>
      </c>
      <c r="AQ295">
        <f>IF(AP295&gt;=U295,1,0)</f>
        <v>0</v>
      </c>
      <c r="AR295">
        <f>IF(AP295&gt;=V295,1,0)</f>
        <v>0</v>
      </c>
      <c r="AS295">
        <f>IF(AP295&lt;(U295-0.10),1,0)</f>
        <v>0</v>
      </c>
      <c r="AT295">
        <f>1-AJ295/100</f>
        <v>0</v>
      </c>
      <c r="AU295">
        <f>IF(AN295=1,AT295,1)</f>
        <v>0</v>
      </c>
      <c r="AV295">
        <f>IF(AM295=1,AT295,1)</f>
        <v>0</v>
      </c>
      <c r="AW295">
        <f>IF(AND(AQ295=1,ISNUMBER(AT295)),$AT295,1)</f>
        <v>0</v>
      </c>
      <c r="AX295">
        <f>IF(AND(AR295=1,ISNUMBER(AT295)),$AT295,1)</f>
        <v>0</v>
      </c>
      <c r="AY295">
        <f>IF(ISNUMBER(Y295),INDEX(AllCollegeMoney, MATCH(N295,AllCollegeNCES,0)),0)</f>
        <v>0</v>
      </c>
      <c r="AZ295">
        <f>IF(AND(AQ295=1,ISNUMBER(AT295),AY295=1),$AT295,1)</f>
        <v>0</v>
      </c>
      <c r="BA295">
        <f>IF(AND(AR295=1,ISNUMBER(AT295),AY295=1),$AT295,1)</f>
        <v>0</v>
      </c>
      <c r="BB295">
        <f>IF(ISNUMBER(Y295),INDEX(AllCollegeILPub, MATCH(N295,AllCollegeNCES,0)),0)</f>
        <v>0</v>
      </c>
      <c r="BC295">
        <f>IF(AK295=ReachLabel,AP295,0)</f>
        <v>0</v>
      </c>
      <c r="BD295">
        <f>IF(AK295=MatchLabel,AP295,0)</f>
        <v>0</v>
      </c>
      <c r="BE295">
        <f>IF(AK295=SafetyLabel,AP295,0)</f>
        <v>0</v>
      </c>
      <c r="BF295">
        <f>IF(AK295=SecureLabel,AP295,0)</f>
        <v>0</v>
      </c>
      <c r="BG295">
        <f>IF(AK295=SureThingLabel,AP295,0)</f>
        <v>0</v>
      </c>
      <c r="BH295">
        <f>MAX(BC295:BG295)</f>
        <v>0</v>
      </c>
      <c r="BI295">
        <f>MAX(BD295:BG295)</f>
        <v>0</v>
      </c>
      <c r="BJ295">
        <f>MAX(BE295:BG295)</f>
        <v>0</v>
      </c>
      <c r="BK295">
        <f>IF(AND(AK295=ReachLabel,AY295=1),AP295,0)</f>
        <v>0</v>
      </c>
      <c r="BL295">
        <f>IF(AND(AK295=MatchLabel,AY295=1),AP295,0)</f>
        <v>0</v>
      </c>
      <c r="BM295">
        <f>IF(AND(AK295=SafetyLabel,AY295=1),AP295,0)</f>
        <v>0</v>
      </c>
      <c r="BN295">
        <f>IF(AND(AK295=SecureLabel,AY295=1),AP295,0)</f>
        <v>0</v>
      </c>
      <c r="BO295">
        <f>IF(AND(AK295=SureThingLabel,AY295=1),AP295,0)</f>
        <v>0</v>
      </c>
      <c r="BP295">
        <f>MAX(BK295:BO295)</f>
        <v>0</v>
      </c>
      <c r="BQ295">
        <f>MAX(BL295:BO295)</f>
        <v>0</v>
      </c>
      <c r="BR295">
        <f>MAX(BM295:BO295)</f>
        <v>0</v>
      </c>
      <c r="BS295">
        <f>IF(ISNUMBER(Y295),INDEX(AllCollegeChicago, MATCH(N295,AllCollegeNCES,0))*AY295,0)</f>
        <v>0</v>
      </c>
      <c r="BT295">
        <f>IF(ISNUMBER(Y295),INDEX(AllCollegeMoneyCode, MATCH(N295,AllCollegeNCES,0)),"?")</f>
        <v>0</v>
      </c>
      <c r="BU295">
        <f>IF(OR(BT295="---",BT295="--",BT295="+/--",BT295="+/---"),1,0)</f>
        <v>0</v>
      </c>
      <c r="BV295">
        <f>AY295*AO295*AQ295</f>
        <v>0</v>
      </c>
    </row>
    <row r="296" spans="1:74">
      <c r="A296" t="s">
        <v>86</v>
      </c>
      <c r="B296">
        <v>23050586</v>
      </c>
      <c r="C296" t="s">
        <v>153</v>
      </c>
      <c r="D296" t="s">
        <v>154</v>
      </c>
      <c r="E296" t="s">
        <v>428</v>
      </c>
      <c r="F296" t="s">
        <v>470</v>
      </c>
      <c r="G296" t="s">
        <v>430</v>
      </c>
      <c r="H296" t="s">
        <v>431</v>
      </c>
      <c r="I296" t="s">
        <v>432</v>
      </c>
      <c r="J296" t="s">
        <v>432</v>
      </c>
      <c r="K296">
        <v>0</v>
      </c>
      <c r="L296" t="s">
        <v>428</v>
      </c>
      <c r="M296" t="s">
        <v>428</v>
      </c>
      <c r="N296">
        <v>206589</v>
      </c>
      <c r="O296">
        <f>INDEX(AllCollegeBarrons,MATCH(N296,AllCollegeNCES,0))</f>
        <v>0</v>
      </c>
      <c r="P296">
        <f>INDEX(KidGPAs,MATCH(B296,KidIDs,0))</f>
        <v>0</v>
      </c>
      <c r="Q296">
        <f>INDEX(KidACTs,MATCH(B296,KidIDs,0))</f>
        <v>0</v>
      </c>
      <c r="R296">
        <f>INDEX(Strats,MATCH(B296,KidIDs,0))</f>
        <v>0</v>
      </c>
      <c r="S296">
        <f>INDEX(KidRace,MATCH(B296,KidIDs,0))</f>
        <v>0</v>
      </c>
      <c r="T296">
        <f>IF(OR(S296="M",S296="I"),"H",S296)</f>
        <v>0</v>
      </c>
      <c r="U296">
        <f>INDEX(StudentTargets,MATCH(B296,KidIDs,0))</f>
        <v>0</v>
      </c>
      <c r="V296">
        <f>INDEX(ReachStudentTargets,MATCH(B296,KidIDs,0))</f>
        <v>0</v>
      </c>
      <c r="W296">
        <f>IF(OR(M296="Posse"),1,0)</f>
        <v>0</v>
      </c>
      <c r="X296">
        <f>IF(ISNUMBER(INDEX(AllCollegeGR, MATCH(N296,AllCollegeNCES,0))),ROUND(INDEX(AllCollegeGR, MATCH(N296,AllCollegeNCES,0))+W296*IF(INDEX(AllCollegeGR, MATCH(N296,AllCollegeNCES,0))&gt;0.7,(1-INDEX(AllCollegeGR, MATCH(N296,AllCollegeNCES,0)))/2,0.15),2),INDEX(AllCollegeGR, MATCH(N296,AllCollegeNCES,0)))</f>
        <v>0</v>
      </c>
      <c r="Y296">
        <f>IF(ISNUMBER(INDEX(AllCollegeAAHGR, MATCH(N296,AllCollegeNCES,0))),ROUND(INDEX(AllCollegeAAHGR, MATCH(N296,AllCollegeNCES,0))+W296*IF(INDEX(AllCollegeAAHGR, MATCH(N296,AllCollegeNCES,0))&gt;0.7,(1-INDEX(AllCollegeAAHGR, MATCH(N296,AllCollegeNCES,0)))/2,0.15),2),INDEX(AllCollegeAAHGR, MATCH(N296,AllCollegeNCES,0)))</f>
        <v>0</v>
      </c>
      <c r="Z296">
        <f>IF(OR(T296="H",T296="B"),INDEX(AllCollegeACT25, MATCH(N296,AllCollegeNCES,0)),INDEX(AllCollegeACT50, MATCH(N296,AllCollegeNCES,0)))</f>
        <v>0</v>
      </c>
      <c r="AA296">
        <f>INDEX(CustomWeightsGPA,MATCH(T296&amp;":"&amp;N296,CustomWeightsIndex,0))</f>
        <v>0</v>
      </c>
      <c r="AB296">
        <f>INDEX(CustomWeightsACT,MATCH(T296&amp;":"&amp;N296,CustomWeightsIndex,0))</f>
        <v>0</v>
      </c>
      <c r="AC296">
        <f>INDEX(CustomWeightsIntercept,MATCH(T296&amp;":"&amp;N296,CustomWeightsIndex,0))</f>
        <v>0</v>
      </c>
      <c r="AD296">
        <f>AA296*P296+AB296*Q296+AC296</f>
        <v>0</v>
      </c>
      <c r="AE296">
        <f>INDEX(CoefficientsGPA,MATCH(T296&amp;":"&amp;O296,CoefficientsIndex,0))</f>
        <v>0</v>
      </c>
      <c r="AF296">
        <f>INDEX(CoefficientsACT,MATCH(T296&amp;":"&amp;O296,CoefficientsIndex,0))</f>
        <v>0</v>
      </c>
      <c r="AG296">
        <f>INDEX(CoefficientsIntercept,MATCH(T296&amp;":"&amp;O296,CoefficientsIndex,0))</f>
        <v>0</v>
      </c>
      <c r="AH296">
        <f>AE296*P296+(Q296-Z296)*AF296+AG296</f>
        <v>0</v>
      </c>
      <c r="AI296">
        <f>IF(ISNUMBER(AD296),AD296,AH296)</f>
        <v>0</v>
      </c>
      <c r="AJ296">
        <f>IF(ISNUMBER(AI296),IF(ISNUMBER(AE296),IF(AND(AE296=1,AF296=1,AG296=1),100,ROUND(100*EXP(AI296)/(1+EXP(AI296)),2)),ROUND(100*EXP(AI296)/(1+EXP(AI296)),2)),IF(ISTEXT(O296),IF(LEFT(O296,1)="2",100,"N/A"),"N/A"))</f>
        <v>0</v>
      </c>
      <c r="AK296">
        <f>IF(ISNUMBER(AJ296),IF(AJ296&gt;=99,IF(OR(R296=10,R296=11),MatchLabel,SureThingLabel),IF(AJ296&gt;=95,SecureLabel,IF(AJ296&gt;=80,SafetyLabel,IF(AJ296&gt;=50,MatchLabel,IF(AJ296&gt;=20,ReachLabel,IF(AJ296&gt;=10,LongshotLabel,HailMaryLabel)))))),"Other")</f>
        <v>0</v>
      </c>
      <c r="AL296">
        <f>IF(OR(I296="accepted",I296="cond. accept",I296="summer admit"),IF(J296="yes","CHOICE!","Accepted!"),IF(I296="denied","Denied",IF(K296=1,"Waitlist",IF(L296=1,"Deferred",IF(G296="pending","Pending",IF(OR(G296="initial materials submitted",G296="mid-year submitted",G296="final submitted"),"Submitted",IF(H296="interest","Interest","?")))))))</f>
        <v>0</v>
      </c>
      <c r="AM296">
        <f>IF(OR(AK296=ReachLabel,AK296=LongshotLabel,AK296=HailMaryLabel),1,0)</f>
        <v>0</v>
      </c>
      <c r="AN296">
        <f>IF(OR(AM296=1,AK296=MatchLabel),1,0)</f>
        <v>0</v>
      </c>
      <c r="AO296">
        <f>IF(OR(AK296=MatchLabel,AK296=SafetyLabel,AK296=SecureLabel,AK296=SureThingLabel),1,0)</f>
        <v>0</v>
      </c>
      <c r="AP296">
        <f>IF(OR(T296="H",T296="B"),IF(ISNUMBER(Y296),ROUND(Y296,2),0),IF(ISNUMBER(X296),ROUND(X296,2),0))</f>
        <v>0</v>
      </c>
      <c r="AQ296">
        <f>IF(AP296&gt;=U296,1,0)</f>
        <v>0</v>
      </c>
      <c r="AR296">
        <f>IF(AP296&gt;=V296,1,0)</f>
        <v>0</v>
      </c>
      <c r="AS296">
        <f>IF(AP296&lt;(U296-0.10),1,0)</f>
        <v>0</v>
      </c>
      <c r="AT296">
        <f>1-AJ296/100</f>
        <v>0</v>
      </c>
      <c r="AU296">
        <f>IF(AN296=1,AT296,1)</f>
        <v>0</v>
      </c>
      <c r="AV296">
        <f>IF(AM296=1,AT296,1)</f>
        <v>0</v>
      </c>
      <c r="AW296">
        <f>IF(AND(AQ296=1,ISNUMBER(AT296)),$AT296,1)</f>
        <v>0</v>
      </c>
      <c r="AX296">
        <f>IF(AND(AR296=1,ISNUMBER(AT296)),$AT296,1)</f>
        <v>0</v>
      </c>
      <c r="AY296">
        <f>IF(ISNUMBER(Y296),INDEX(AllCollegeMoney, MATCH(N296,AllCollegeNCES,0)),0)</f>
        <v>0</v>
      </c>
      <c r="AZ296">
        <f>IF(AND(AQ296=1,ISNUMBER(AT296),AY296=1),$AT296,1)</f>
        <v>0</v>
      </c>
      <c r="BA296">
        <f>IF(AND(AR296=1,ISNUMBER(AT296),AY296=1),$AT296,1)</f>
        <v>0</v>
      </c>
      <c r="BB296">
        <f>IF(ISNUMBER(Y296),INDEX(AllCollegeILPub, MATCH(N296,AllCollegeNCES,0)),0)</f>
        <v>0</v>
      </c>
      <c r="BC296">
        <f>IF(AK296=ReachLabel,AP296,0)</f>
        <v>0</v>
      </c>
      <c r="BD296">
        <f>IF(AK296=MatchLabel,AP296,0)</f>
        <v>0</v>
      </c>
      <c r="BE296">
        <f>IF(AK296=SafetyLabel,AP296,0)</f>
        <v>0</v>
      </c>
      <c r="BF296">
        <f>IF(AK296=SecureLabel,AP296,0)</f>
        <v>0</v>
      </c>
      <c r="BG296">
        <f>IF(AK296=SureThingLabel,AP296,0)</f>
        <v>0</v>
      </c>
      <c r="BH296">
        <f>MAX(BC296:BG296)</f>
        <v>0</v>
      </c>
      <c r="BI296">
        <f>MAX(BD296:BG296)</f>
        <v>0</v>
      </c>
      <c r="BJ296">
        <f>MAX(BE296:BG296)</f>
        <v>0</v>
      </c>
      <c r="BK296">
        <f>IF(AND(AK296=ReachLabel,AY296=1),AP296,0)</f>
        <v>0</v>
      </c>
      <c r="BL296">
        <f>IF(AND(AK296=MatchLabel,AY296=1),AP296,0)</f>
        <v>0</v>
      </c>
      <c r="BM296">
        <f>IF(AND(AK296=SafetyLabel,AY296=1),AP296,0)</f>
        <v>0</v>
      </c>
      <c r="BN296">
        <f>IF(AND(AK296=SecureLabel,AY296=1),AP296,0)</f>
        <v>0</v>
      </c>
      <c r="BO296">
        <f>IF(AND(AK296=SureThingLabel,AY296=1),AP296,0)</f>
        <v>0</v>
      </c>
      <c r="BP296">
        <f>MAX(BK296:BO296)</f>
        <v>0</v>
      </c>
      <c r="BQ296">
        <f>MAX(BL296:BO296)</f>
        <v>0</v>
      </c>
      <c r="BR296">
        <f>MAX(BM296:BO296)</f>
        <v>0</v>
      </c>
      <c r="BS296">
        <f>IF(ISNUMBER(Y296),INDEX(AllCollegeChicago, MATCH(N296,AllCollegeNCES,0))*AY296,0)</f>
        <v>0</v>
      </c>
      <c r="BT296">
        <f>IF(ISNUMBER(Y296),INDEX(AllCollegeMoneyCode, MATCH(N296,AllCollegeNCES,0)),"?")</f>
        <v>0</v>
      </c>
      <c r="BU296">
        <f>IF(OR(BT296="---",BT296="--",BT296="+/--",BT296="+/---"),1,0)</f>
        <v>0</v>
      </c>
      <c r="BV296">
        <f>AY296*AO296*AQ296</f>
        <v>0</v>
      </c>
    </row>
    <row r="297" spans="1:74">
      <c r="A297" t="s">
        <v>86</v>
      </c>
      <c r="B297">
        <v>23050586</v>
      </c>
      <c r="C297" t="s">
        <v>153</v>
      </c>
      <c r="D297" t="s">
        <v>154</v>
      </c>
      <c r="E297" t="s">
        <v>428</v>
      </c>
      <c r="F297" t="s">
        <v>529</v>
      </c>
      <c r="G297" t="s">
        <v>526</v>
      </c>
      <c r="H297" t="s">
        <v>526</v>
      </c>
      <c r="I297" t="s">
        <v>527</v>
      </c>
      <c r="J297" t="s">
        <v>428</v>
      </c>
      <c r="K297" t="s">
        <v>428</v>
      </c>
      <c r="L297" t="s">
        <v>428</v>
      </c>
      <c r="M297" t="s">
        <v>428</v>
      </c>
      <c r="N297">
        <v>206589</v>
      </c>
      <c r="O297">
        <f>INDEX(AllCollegeBarrons,MATCH(N297,AllCollegeNCES,0))</f>
        <v>0</v>
      </c>
      <c r="P297">
        <f>INDEX(KidGPAs,MATCH(B297,KidIDs,0))</f>
        <v>0</v>
      </c>
      <c r="Q297">
        <f>INDEX(KidACTs,MATCH(B297,KidIDs,0))</f>
        <v>0</v>
      </c>
      <c r="R297">
        <f>INDEX(Strats,MATCH(B297,KidIDs,0))</f>
        <v>0</v>
      </c>
      <c r="S297">
        <f>INDEX(KidRace,MATCH(B297,KidIDs,0))</f>
        <v>0</v>
      </c>
      <c r="T297">
        <f>IF(OR(S297="M",S297="I"),"H",S297)</f>
        <v>0</v>
      </c>
      <c r="U297">
        <f>INDEX(StudentTargets,MATCH(B297,KidIDs,0))</f>
        <v>0</v>
      </c>
      <c r="V297">
        <f>INDEX(ReachStudentTargets,MATCH(B297,KidIDs,0))</f>
        <v>0</v>
      </c>
      <c r="W297">
        <f>IF(OR(M297="Posse"),1,0)</f>
        <v>0</v>
      </c>
      <c r="X297">
        <f>IF(ISNUMBER(INDEX(AllCollegeGR, MATCH(N297,AllCollegeNCES,0))),ROUND(INDEX(AllCollegeGR, MATCH(N297,AllCollegeNCES,0))+W297*IF(INDEX(AllCollegeGR, MATCH(N297,AllCollegeNCES,0))&gt;0.7,(1-INDEX(AllCollegeGR, MATCH(N297,AllCollegeNCES,0)))/2,0.15),2),INDEX(AllCollegeGR, MATCH(N297,AllCollegeNCES,0)))</f>
        <v>0</v>
      </c>
      <c r="Y297">
        <f>IF(ISNUMBER(INDEX(AllCollegeAAHGR, MATCH(N297,AllCollegeNCES,0))),ROUND(INDEX(AllCollegeAAHGR, MATCH(N297,AllCollegeNCES,0))+W297*IF(INDEX(AllCollegeAAHGR, MATCH(N297,AllCollegeNCES,0))&gt;0.7,(1-INDEX(AllCollegeAAHGR, MATCH(N297,AllCollegeNCES,0)))/2,0.15),2),INDEX(AllCollegeAAHGR, MATCH(N297,AllCollegeNCES,0)))</f>
        <v>0</v>
      </c>
      <c r="Z297">
        <f>IF(OR(T297="H",T297="B"),INDEX(AllCollegeACT25, MATCH(N297,AllCollegeNCES,0)),INDEX(AllCollegeACT50, MATCH(N297,AllCollegeNCES,0)))</f>
        <v>0</v>
      </c>
      <c r="AA297">
        <f>INDEX(CustomWeightsGPA,MATCH(T297&amp;":"&amp;N297,CustomWeightsIndex,0))</f>
        <v>0</v>
      </c>
      <c r="AB297">
        <f>INDEX(CustomWeightsACT,MATCH(T297&amp;":"&amp;N297,CustomWeightsIndex,0))</f>
        <v>0</v>
      </c>
      <c r="AC297">
        <f>INDEX(CustomWeightsIntercept,MATCH(T297&amp;":"&amp;N297,CustomWeightsIndex,0))</f>
        <v>0</v>
      </c>
      <c r="AD297">
        <f>AA297*P297+AB297*Q297+AC297</f>
        <v>0</v>
      </c>
      <c r="AE297">
        <f>INDEX(CoefficientsGPA,MATCH(T297&amp;":"&amp;O297,CoefficientsIndex,0))</f>
        <v>0</v>
      </c>
      <c r="AF297">
        <f>INDEX(CoefficientsACT,MATCH(T297&amp;":"&amp;O297,CoefficientsIndex,0))</f>
        <v>0</v>
      </c>
      <c r="AG297">
        <f>INDEX(CoefficientsIntercept,MATCH(T297&amp;":"&amp;O297,CoefficientsIndex,0))</f>
        <v>0</v>
      </c>
      <c r="AH297">
        <f>AE297*P297+(Q297-Z297)*AF297+AG297</f>
        <v>0</v>
      </c>
      <c r="AI297">
        <f>IF(ISNUMBER(AD297),AD297,AH297)</f>
        <v>0</v>
      </c>
      <c r="AJ297">
        <f>IF(ISNUMBER(AI297),IF(ISNUMBER(AE297),IF(AND(AE297=1,AF297=1,AG297=1),100,ROUND(100*EXP(AI297)/(1+EXP(AI297)),2)),ROUND(100*EXP(AI297)/(1+EXP(AI297)),2)),IF(ISTEXT(O297),IF(LEFT(O297,1)="2",100,"N/A"),"N/A"))</f>
        <v>0</v>
      </c>
      <c r="AK297">
        <f>IF(ISNUMBER(AJ297),IF(AJ297&gt;=99,IF(OR(R297=10,R297=11),MatchLabel,SureThingLabel),IF(AJ297&gt;=95,SecureLabel,IF(AJ297&gt;=80,SafetyLabel,IF(AJ297&gt;=50,MatchLabel,IF(AJ297&gt;=20,ReachLabel,IF(AJ297&gt;=10,LongshotLabel,HailMaryLabel)))))),"Other")</f>
        <v>0</v>
      </c>
      <c r="AL297">
        <f>IF(OR(I297="accepted",I297="cond. accept",I297="summer admit"),IF(J297="yes","CHOICE!","Accepted!"),IF(I297="denied","Denied",IF(K297=1,"Waitlist",IF(L297=1,"Deferred",IF(G297="pending","Pending",IF(OR(G297="initial materials submitted",G297="mid-year submitted",G297="final submitted"),"Submitted",IF(H297="interest","Interest","?")))))))</f>
        <v>0</v>
      </c>
      <c r="AM297">
        <f>IF(OR(AK297=ReachLabel,AK297=LongshotLabel,AK297=HailMaryLabel),1,0)</f>
        <v>0</v>
      </c>
      <c r="AN297">
        <f>IF(OR(AM297=1,AK297=MatchLabel),1,0)</f>
        <v>0</v>
      </c>
      <c r="AO297">
        <f>IF(OR(AK297=MatchLabel,AK297=SafetyLabel,AK297=SecureLabel,AK297=SureThingLabel),1,0)</f>
        <v>0</v>
      </c>
      <c r="AP297">
        <f>IF(OR(T297="H",T297="B"),IF(ISNUMBER(Y297),ROUND(Y297,2),0),IF(ISNUMBER(X297),ROUND(X297,2),0))</f>
        <v>0</v>
      </c>
      <c r="AQ297">
        <f>IF(AP297&gt;=U297,1,0)</f>
        <v>0</v>
      </c>
      <c r="AR297">
        <f>IF(AP297&gt;=V297,1,0)</f>
        <v>0</v>
      </c>
      <c r="AS297">
        <f>IF(AP297&lt;(U297-0.10),1,0)</f>
        <v>0</v>
      </c>
      <c r="AT297">
        <f>1-AJ297/100</f>
        <v>0</v>
      </c>
      <c r="AU297">
        <f>IF(AN297=1,AT297,1)</f>
        <v>0</v>
      </c>
      <c r="AV297">
        <f>IF(AM297=1,AT297,1)</f>
        <v>0</v>
      </c>
      <c r="AW297">
        <f>IF(AND(AQ297=1,ISNUMBER(AT297)),$AT297,1)</f>
        <v>0</v>
      </c>
      <c r="AX297">
        <f>IF(AND(AR297=1,ISNUMBER(AT297)),$AT297,1)</f>
        <v>0</v>
      </c>
      <c r="AY297">
        <f>IF(ISNUMBER(Y297),INDEX(AllCollegeMoney, MATCH(N297,AllCollegeNCES,0)),0)</f>
        <v>0</v>
      </c>
      <c r="AZ297">
        <f>IF(AND(AQ297=1,ISNUMBER(AT297),AY297=1),$AT297,1)</f>
        <v>0</v>
      </c>
      <c r="BA297">
        <f>IF(AND(AR297=1,ISNUMBER(AT297),AY297=1),$AT297,1)</f>
        <v>0</v>
      </c>
      <c r="BB297">
        <f>IF(ISNUMBER(Y297),INDEX(AllCollegeILPub, MATCH(N297,AllCollegeNCES,0)),0)</f>
        <v>0</v>
      </c>
      <c r="BC297">
        <f>IF(AK297=ReachLabel,AP297,0)</f>
        <v>0</v>
      </c>
      <c r="BD297">
        <f>IF(AK297=MatchLabel,AP297,0)</f>
        <v>0</v>
      </c>
      <c r="BE297">
        <f>IF(AK297=SafetyLabel,AP297,0)</f>
        <v>0</v>
      </c>
      <c r="BF297">
        <f>IF(AK297=SecureLabel,AP297,0)</f>
        <v>0</v>
      </c>
      <c r="BG297">
        <f>IF(AK297=SureThingLabel,AP297,0)</f>
        <v>0</v>
      </c>
      <c r="BH297">
        <f>MAX(BC297:BG297)</f>
        <v>0</v>
      </c>
      <c r="BI297">
        <f>MAX(BD297:BG297)</f>
        <v>0</v>
      </c>
      <c r="BJ297">
        <f>MAX(BE297:BG297)</f>
        <v>0</v>
      </c>
      <c r="BK297">
        <f>IF(AND(AK297=ReachLabel,AY297=1),AP297,0)</f>
        <v>0</v>
      </c>
      <c r="BL297">
        <f>IF(AND(AK297=MatchLabel,AY297=1),AP297,0)</f>
        <v>0</v>
      </c>
      <c r="BM297">
        <f>IF(AND(AK297=SafetyLabel,AY297=1),AP297,0)</f>
        <v>0</v>
      </c>
      <c r="BN297">
        <f>IF(AND(AK297=SecureLabel,AY297=1),AP297,0)</f>
        <v>0</v>
      </c>
      <c r="BO297">
        <f>IF(AND(AK297=SureThingLabel,AY297=1),AP297,0)</f>
        <v>0</v>
      </c>
      <c r="BP297">
        <f>MAX(BK297:BO297)</f>
        <v>0</v>
      </c>
      <c r="BQ297">
        <f>MAX(BL297:BO297)</f>
        <v>0</v>
      </c>
      <c r="BR297">
        <f>MAX(BM297:BO297)</f>
        <v>0</v>
      </c>
      <c r="BS297">
        <f>IF(ISNUMBER(Y297),INDEX(AllCollegeChicago, MATCH(N297,AllCollegeNCES,0))*AY297,0)</f>
        <v>0</v>
      </c>
      <c r="BT297">
        <f>IF(ISNUMBER(Y297),INDEX(AllCollegeMoneyCode, MATCH(N297,AllCollegeNCES,0)),"?")</f>
        <v>0</v>
      </c>
      <c r="BU297">
        <f>IF(OR(BT297="---",BT297="--",BT297="+/--",BT297="+/---"),1,0)</f>
        <v>0</v>
      </c>
      <c r="BV297">
        <f>AY297*AO297*AQ297</f>
        <v>0</v>
      </c>
    </row>
    <row r="298" spans="1:74">
      <c r="A298" t="s">
        <v>86</v>
      </c>
      <c r="B298">
        <v>23050586</v>
      </c>
      <c r="C298" t="s">
        <v>153</v>
      </c>
      <c r="D298" t="s">
        <v>154</v>
      </c>
      <c r="E298" t="s">
        <v>428</v>
      </c>
      <c r="F298" t="s">
        <v>471</v>
      </c>
      <c r="G298" t="s">
        <v>430</v>
      </c>
      <c r="H298" t="s">
        <v>431</v>
      </c>
      <c r="I298" t="s">
        <v>432</v>
      </c>
      <c r="J298" t="s">
        <v>432</v>
      </c>
      <c r="K298">
        <v>0</v>
      </c>
      <c r="L298" t="s">
        <v>428</v>
      </c>
      <c r="M298" t="s">
        <v>428</v>
      </c>
      <c r="N298">
        <v>170301</v>
      </c>
      <c r="O298">
        <f>INDEX(AllCollegeBarrons,MATCH(N298,AllCollegeNCES,0))</f>
        <v>0</v>
      </c>
      <c r="P298">
        <f>INDEX(KidGPAs,MATCH(B298,KidIDs,0))</f>
        <v>0</v>
      </c>
      <c r="Q298">
        <f>INDEX(KidACTs,MATCH(B298,KidIDs,0))</f>
        <v>0</v>
      </c>
      <c r="R298">
        <f>INDEX(Strats,MATCH(B298,KidIDs,0))</f>
        <v>0</v>
      </c>
      <c r="S298">
        <f>INDEX(KidRace,MATCH(B298,KidIDs,0))</f>
        <v>0</v>
      </c>
      <c r="T298">
        <f>IF(OR(S298="M",S298="I"),"H",S298)</f>
        <v>0</v>
      </c>
      <c r="U298">
        <f>INDEX(StudentTargets,MATCH(B298,KidIDs,0))</f>
        <v>0</v>
      </c>
      <c r="V298">
        <f>INDEX(ReachStudentTargets,MATCH(B298,KidIDs,0))</f>
        <v>0</v>
      </c>
      <c r="W298">
        <f>IF(OR(M298="Posse"),1,0)</f>
        <v>0</v>
      </c>
      <c r="X298">
        <f>IF(ISNUMBER(INDEX(AllCollegeGR, MATCH(N298,AllCollegeNCES,0))),ROUND(INDEX(AllCollegeGR, MATCH(N298,AllCollegeNCES,0))+W298*IF(INDEX(AllCollegeGR, MATCH(N298,AllCollegeNCES,0))&gt;0.7,(1-INDEX(AllCollegeGR, MATCH(N298,AllCollegeNCES,0)))/2,0.15),2),INDEX(AllCollegeGR, MATCH(N298,AllCollegeNCES,0)))</f>
        <v>0</v>
      </c>
      <c r="Y298">
        <f>IF(ISNUMBER(INDEX(AllCollegeAAHGR, MATCH(N298,AllCollegeNCES,0))),ROUND(INDEX(AllCollegeAAHGR, MATCH(N298,AllCollegeNCES,0))+W298*IF(INDEX(AllCollegeAAHGR, MATCH(N298,AllCollegeNCES,0))&gt;0.7,(1-INDEX(AllCollegeAAHGR, MATCH(N298,AllCollegeNCES,0)))/2,0.15),2),INDEX(AllCollegeAAHGR, MATCH(N298,AllCollegeNCES,0)))</f>
        <v>0</v>
      </c>
      <c r="Z298">
        <f>IF(OR(T298="H",T298="B"),INDEX(AllCollegeACT25, MATCH(N298,AllCollegeNCES,0)),INDEX(AllCollegeACT50, MATCH(N298,AllCollegeNCES,0)))</f>
        <v>0</v>
      </c>
      <c r="AA298">
        <f>INDEX(CustomWeightsGPA,MATCH(T298&amp;":"&amp;N298,CustomWeightsIndex,0))</f>
        <v>0</v>
      </c>
      <c r="AB298">
        <f>INDEX(CustomWeightsACT,MATCH(T298&amp;":"&amp;N298,CustomWeightsIndex,0))</f>
        <v>0</v>
      </c>
      <c r="AC298">
        <f>INDEX(CustomWeightsIntercept,MATCH(T298&amp;":"&amp;N298,CustomWeightsIndex,0))</f>
        <v>0</v>
      </c>
      <c r="AD298">
        <f>AA298*P298+AB298*Q298+AC298</f>
        <v>0</v>
      </c>
      <c r="AE298">
        <f>INDEX(CoefficientsGPA,MATCH(T298&amp;":"&amp;O298,CoefficientsIndex,0))</f>
        <v>0</v>
      </c>
      <c r="AF298">
        <f>INDEX(CoefficientsACT,MATCH(T298&amp;":"&amp;O298,CoefficientsIndex,0))</f>
        <v>0</v>
      </c>
      <c r="AG298">
        <f>INDEX(CoefficientsIntercept,MATCH(T298&amp;":"&amp;O298,CoefficientsIndex,0))</f>
        <v>0</v>
      </c>
      <c r="AH298">
        <f>AE298*P298+(Q298-Z298)*AF298+AG298</f>
        <v>0</v>
      </c>
      <c r="AI298">
        <f>IF(ISNUMBER(AD298),AD298,AH298)</f>
        <v>0</v>
      </c>
      <c r="AJ298">
        <f>IF(ISNUMBER(AI298),IF(ISNUMBER(AE298),IF(AND(AE298=1,AF298=1,AG298=1),100,ROUND(100*EXP(AI298)/(1+EXP(AI298)),2)),ROUND(100*EXP(AI298)/(1+EXP(AI298)),2)),IF(ISTEXT(O298),IF(LEFT(O298,1)="2",100,"N/A"),"N/A"))</f>
        <v>0</v>
      </c>
      <c r="AK298">
        <f>IF(ISNUMBER(AJ298),IF(AJ298&gt;=99,IF(OR(R298=10,R298=11),MatchLabel,SureThingLabel),IF(AJ298&gt;=95,SecureLabel,IF(AJ298&gt;=80,SafetyLabel,IF(AJ298&gt;=50,MatchLabel,IF(AJ298&gt;=20,ReachLabel,IF(AJ298&gt;=10,LongshotLabel,HailMaryLabel)))))),"Other")</f>
        <v>0</v>
      </c>
      <c r="AL298">
        <f>IF(OR(I298="accepted",I298="cond. accept",I298="summer admit"),IF(J298="yes","CHOICE!","Accepted!"),IF(I298="denied","Denied",IF(K298=1,"Waitlist",IF(L298=1,"Deferred",IF(G298="pending","Pending",IF(OR(G298="initial materials submitted",G298="mid-year submitted",G298="final submitted"),"Submitted",IF(H298="interest","Interest","?")))))))</f>
        <v>0</v>
      </c>
      <c r="AM298">
        <f>IF(OR(AK298=ReachLabel,AK298=LongshotLabel,AK298=HailMaryLabel),1,0)</f>
        <v>0</v>
      </c>
      <c r="AN298">
        <f>IF(OR(AM298=1,AK298=MatchLabel),1,0)</f>
        <v>0</v>
      </c>
      <c r="AO298">
        <f>IF(OR(AK298=MatchLabel,AK298=SafetyLabel,AK298=SecureLabel,AK298=SureThingLabel),1,0)</f>
        <v>0</v>
      </c>
      <c r="AP298">
        <f>IF(OR(T298="H",T298="B"),IF(ISNUMBER(Y298),ROUND(Y298,2),0),IF(ISNUMBER(X298),ROUND(X298,2),0))</f>
        <v>0</v>
      </c>
      <c r="AQ298">
        <f>IF(AP298&gt;=U298,1,0)</f>
        <v>0</v>
      </c>
      <c r="AR298">
        <f>IF(AP298&gt;=V298,1,0)</f>
        <v>0</v>
      </c>
      <c r="AS298">
        <f>IF(AP298&lt;(U298-0.10),1,0)</f>
        <v>0</v>
      </c>
      <c r="AT298">
        <f>1-AJ298/100</f>
        <v>0</v>
      </c>
      <c r="AU298">
        <f>IF(AN298=1,AT298,1)</f>
        <v>0</v>
      </c>
      <c r="AV298">
        <f>IF(AM298=1,AT298,1)</f>
        <v>0</v>
      </c>
      <c r="AW298">
        <f>IF(AND(AQ298=1,ISNUMBER(AT298)),$AT298,1)</f>
        <v>0</v>
      </c>
      <c r="AX298">
        <f>IF(AND(AR298=1,ISNUMBER(AT298)),$AT298,1)</f>
        <v>0</v>
      </c>
      <c r="AY298">
        <f>IF(ISNUMBER(Y298),INDEX(AllCollegeMoney, MATCH(N298,AllCollegeNCES,0)),0)</f>
        <v>0</v>
      </c>
      <c r="AZ298">
        <f>IF(AND(AQ298=1,ISNUMBER(AT298),AY298=1),$AT298,1)</f>
        <v>0</v>
      </c>
      <c r="BA298">
        <f>IF(AND(AR298=1,ISNUMBER(AT298),AY298=1),$AT298,1)</f>
        <v>0</v>
      </c>
      <c r="BB298">
        <f>IF(ISNUMBER(Y298),INDEX(AllCollegeILPub, MATCH(N298,AllCollegeNCES,0)),0)</f>
        <v>0</v>
      </c>
      <c r="BC298">
        <f>IF(AK298=ReachLabel,AP298,0)</f>
        <v>0</v>
      </c>
      <c r="BD298">
        <f>IF(AK298=MatchLabel,AP298,0)</f>
        <v>0</v>
      </c>
      <c r="BE298">
        <f>IF(AK298=SafetyLabel,AP298,0)</f>
        <v>0</v>
      </c>
      <c r="BF298">
        <f>IF(AK298=SecureLabel,AP298,0)</f>
        <v>0</v>
      </c>
      <c r="BG298">
        <f>IF(AK298=SureThingLabel,AP298,0)</f>
        <v>0</v>
      </c>
      <c r="BH298">
        <f>MAX(BC298:BG298)</f>
        <v>0</v>
      </c>
      <c r="BI298">
        <f>MAX(BD298:BG298)</f>
        <v>0</v>
      </c>
      <c r="BJ298">
        <f>MAX(BE298:BG298)</f>
        <v>0</v>
      </c>
      <c r="BK298">
        <f>IF(AND(AK298=ReachLabel,AY298=1),AP298,0)</f>
        <v>0</v>
      </c>
      <c r="BL298">
        <f>IF(AND(AK298=MatchLabel,AY298=1),AP298,0)</f>
        <v>0</v>
      </c>
      <c r="BM298">
        <f>IF(AND(AK298=SafetyLabel,AY298=1),AP298,0)</f>
        <v>0</v>
      </c>
      <c r="BN298">
        <f>IF(AND(AK298=SecureLabel,AY298=1),AP298,0)</f>
        <v>0</v>
      </c>
      <c r="BO298">
        <f>IF(AND(AK298=SureThingLabel,AY298=1),AP298,0)</f>
        <v>0</v>
      </c>
      <c r="BP298">
        <f>MAX(BK298:BO298)</f>
        <v>0</v>
      </c>
      <c r="BQ298">
        <f>MAX(BL298:BO298)</f>
        <v>0</v>
      </c>
      <c r="BR298">
        <f>MAX(BM298:BO298)</f>
        <v>0</v>
      </c>
      <c r="BS298">
        <f>IF(ISNUMBER(Y298),INDEX(AllCollegeChicago, MATCH(N298,AllCollegeNCES,0))*AY298,0)</f>
        <v>0</v>
      </c>
      <c r="BT298">
        <f>IF(ISNUMBER(Y298),INDEX(AllCollegeMoneyCode, MATCH(N298,AllCollegeNCES,0)),"?")</f>
        <v>0</v>
      </c>
      <c r="BU298">
        <f>IF(OR(BT298="---",BT298="--",BT298="+/--",BT298="+/---"),1,0)</f>
        <v>0</v>
      </c>
      <c r="BV298">
        <f>AY298*AO298*AQ298</f>
        <v>0</v>
      </c>
    </row>
    <row r="299" spans="1:74">
      <c r="A299" t="s">
        <v>86</v>
      </c>
      <c r="B299">
        <v>23050586</v>
      </c>
      <c r="C299" t="s">
        <v>153</v>
      </c>
      <c r="D299" t="s">
        <v>154</v>
      </c>
      <c r="E299" t="s">
        <v>428</v>
      </c>
      <c r="F299" t="s">
        <v>530</v>
      </c>
      <c r="G299" t="s">
        <v>526</v>
      </c>
      <c r="H299" t="s">
        <v>526</v>
      </c>
      <c r="I299" t="s">
        <v>527</v>
      </c>
      <c r="J299" t="s">
        <v>428</v>
      </c>
      <c r="K299" t="s">
        <v>428</v>
      </c>
      <c r="L299" t="s">
        <v>428</v>
      </c>
      <c r="M299" t="s">
        <v>428</v>
      </c>
      <c r="N299">
        <v>170301</v>
      </c>
      <c r="O299">
        <f>INDEX(AllCollegeBarrons,MATCH(N299,AllCollegeNCES,0))</f>
        <v>0</v>
      </c>
      <c r="P299">
        <f>INDEX(KidGPAs,MATCH(B299,KidIDs,0))</f>
        <v>0</v>
      </c>
      <c r="Q299">
        <f>INDEX(KidACTs,MATCH(B299,KidIDs,0))</f>
        <v>0</v>
      </c>
      <c r="R299">
        <f>INDEX(Strats,MATCH(B299,KidIDs,0))</f>
        <v>0</v>
      </c>
      <c r="S299">
        <f>INDEX(KidRace,MATCH(B299,KidIDs,0))</f>
        <v>0</v>
      </c>
      <c r="T299">
        <f>IF(OR(S299="M",S299="I"),"H",S299)</f>
        <v>0</v>
      </c>
      <c r="U299">
        <f>INDEX(StudentTargets,MATCH(B299,KidIDs,0))</f>
        <v>0</v>
      </c>
      <c r="V299">
        <f>INDEX(ReachStudentTargets,MATCH(B299,KidIDs,0))</f>
        <v>0</v>
      </c>
      <c r="W299">
        <f>IF(OR(M299="Posse"),1,0)</f>
        <v>0</v>
      </c>
      <c r="X299">
        <f>IF(ISNUMBER(INDEX(AllCollegeGR, MATCH(N299,AllCollegeNCES,0))),ROUND(INDEX(AllCollegeGR, MATCH(N299,AllCollegeNCES,0))+W299*IF(INDEX(AllCollegeGR, MATCH(N299,AllCollegeNCES,0))&gt;0.7,(1-INDEX(AllCollegeGR, MATCH(N299,AllCollegeNCES,0)))/2,0.15),2),INDEX(AllCollegeGR, MATCH(N299,AllCollegeNCES,0)))</f>
        <v>0</v>
      </c>
      <c r="Y299">
        <f>IF(ISNUMBER(INDEX(AllCollegeAAHGR, MATCH(N299,AllCollegeNCES,0))),ROUND(INDEX(AllCollegeAAHGR, MATCH(N299,AllCollegeNCES,0))+W299*IF(INDEX(AllCollegeAAHGR, MATCH(N299,AllCollegeNCES,0))&gt;0.7,(1-INDEX(AllCollegeAAHGR, MATCH(N299,AllCollegeNCES,0)))/2,0.15),2),INDEX(AllCollegeAAHGR, MATCH(N299,AllCollegeNCES,0)))</f>
        <v>0</v>
      </c>
      <c r="Z299">
        <f>IF(OR(T299="H",T299="B"),INDEX(AllCollegeACT25, MATCH(N299,AllCollegeNCES,0)),INDEX(AllCollegeACT50, MATCH(N299,AllCollegeNCES,0)))</f>
        <v>0</v>
      </c>
      <c r="AA299">
        <f>INDEX(CustomWeightsGPA,MATCH(T299&amp;":"&amp;N299,CustomWeightsIndex,0))</f>
        <v>0</v>
      </c>
      <c r="AB299">
        <f>INDEX(CustomWeightsACT,MATCH(T299&amp;":"&amp;N299,CustomWeightsIndex,0))</f>
        <v>0</v>
      </c>
      <c r="AC299">
        <f>INDEX(CustomWeightsIntercept,MATCH(T299&amp;":"&amp;N299,CustomWeightsIndex,0))</f>
        <v>0</v>
      </c>
      <c r="AD299">
        <f>AA299*P299+AB299*Q299+AC299</f>
        <v>0</v>
      </c>
      <c r="AE299">
        <f>INDEX(CoefficientsGPA,MATCH(T299&amp;":"&amp;O299,CoefficientsIndex,0))</f>
        <v>0</v>
      </c>
      <c r="AF299">
        <f>INDEX(CoefficientsACT,MATCH(T299&amp;":"&amp;O299,CoefficientsIndex,0))</f>
        <v>0</v>
      </c>
      <c r="AG299">
        <f>INDEX(CoefficientsIntercept,MATCH(T299&amp;":"&amp;O299,CoefficientsIndex,0))</f>
        <v>0</v>
      </c>
      <c r="AH299">
        <f>AE299*P299+(Q299-Z299)*AF299+AG299</f>
        <v>0</v>
      </c>
      <c r="AI299">
        <f>IF(ISNUMBER(AD299),AD299,AH299)</f>
        <v>0</v>
      </c>
      <c r="AJ299">
        <f>IF(ISNUMBER(AI299),IF(ISNUMBER(AE299),IF(AND(AE299=1,AF299=1,AG299=1),100,ROUND(100*EXP(AI299)/(1+EXP(AI299)),2)),ROUND(100*EXP(AI299)/(1+EXP(AI299)),2)),IF(ISTEXT(O299),IF(LEFT(O299,1)="2",100,"N/A"),"N/A"))</f>
        <v>0</v>
      </c>
      <c r="AK299">
        <f>IF(ISNUMBER(AJ299),IF(AJ299&gt;=99,IF(OR(R299=10,R299=11),MatchLabel,SureThingLabel),IF(AJ299&gt;=95,SecureLabel,IF(AJ299&gt;=80,SafetyLabel,IF(AJ299&gt;=50,MatchLabel,IF(AJ299&gt;=20,ReachLabel,IF(AJ299&gt;=10,LongshotLabel,HailMaryLabel)))))),"Other")</f>
        <v>0</v>
      </c>
      <c r="AL299">
        <f>IF(OR(I299="accepted",I299="cond. accept",I299="summer admit"),IF(J299="yes","CHOICE!","Accepted!"),IF(I299="denied","Denied",IF(K299=1,"Waitlist",IF(L299=1,"Deferred",IF(G299="pending","Pending",IF(OR(G299="initial materials submitted",G299="mid-year submitted",G299="final submitted"),"Submitted",IF(H299="interest","Interest","?")))))))</f>
        <v>0</v>
      </c>
      <c r="AM299">
        <f>IF(OR(AK299=ReachLabel,AK299=LongshotLabel,AK299=HailMaryLabel),1,0)</f>
        <v>0</v>
      </c>
      <c r="AN299">
        <f>IF(OR(AM299=1,AK299=MatchLabel),1,0)</f>
        <v>0</v>
      </c>
      <c r="AO299">
        <f>IF(OR(AK299=MatchLabel,AK299=SafetyLabel,AK299=SecureLabel,AK299=SureThingLabel),1,0)</f>
        <v>0</v>
      </c>
      <c r="AP299">
        <f>IF(OR(T299="H",T299="B"),IF(ISNUMBER(Y299),ROUND(Y299,2),0),IF(ISNUMBER(X299),ROUND(X299,2),0))</f>
        <v>0</v>
      </c>
      <c r="AQ299">
        <f>IF(AP299&gt;=U299,1,0)</f>
        <v>0</v>
      </c>
      <c r="AR299">
        <f>IF(AP299&gt;=V299,1,0)</f>
        <v>0</v>
      </c>
      <c r="AS299">
        <f>IF(AP299&lt;(U299-0.10),1,0)</f>
        <v>0</v>
      </c>
      <c r="AT299">
        <f>1-AJ299/100</f>
        <v>0</v>
      </c>
      <c r="AU299">
        <f>IF(AN299=1,AT299,1)</f>
        <v>0</v>
      </c>
      <c r="AV299">
        <f>IF(AM299=1,AT299,1)</f>
        <v>0</v>
      </c>
      <c r="AW299">
        <f>IF(AND(AQ299=1,ISNUMBER(AT299)),$AT299,1)</f>
        <v>0</v>
      </c>
      <c r="AX299">
        <f>IF(AND(AR299=1,ISNUMBER(AT299)),$AT299,1)</f>
        <v>0</v>
      </c>
      <c r="AY299">
        <f>IF(ISNUMBER(Y299),INDEX(AllCollegeMoney, MATCH(N299,AllCollegeNCES,0)),0)</f>
        <v>0</v>
      </c>
      <c r="AZ299">
        <f>IF(AND(AQ299=1,ISNUMBER(AT299),AY299=1),$AT299,1)</f>
        <v>0</v>
      </c>
      <c r="BA299">
        <f>IF(AND(AR299=1,ISNUMBER(AT299),AY299=1),$AT299,1)</f>
        <v>0</v>
      </c>
      <c r="BB299">
        <f>IF(ISNUMBER(Y299),INDEX(AllCollegeILPub, MATCH(N299,AllCollegeNCES,0)),0)</f>
        <v>0</v>
      </c>
      <c r="BC299">
        <f>IF(AK299=ReachLabel,AP299,0)</f>
        <v>0</v>
      </c>
      <c r="BD299">
        <f>IF(AK299=MatchLabel,AP299,0)</f>
        <v>0</v>
      </c>
      <c r="BE299">
        <f>IF(AK299=SafetyLabel,AP299,0)</f>
        <v>0</v>
      </c>
      <c r="BF299">
        <f>IF(AK299=SecureLabel,AP299,0)</f>
        <v>0</v>
      </c>
      <c r="BG299">
        <f>IF(AK299=SureThingLabel,AP299,0)</f>
        <v>0</v>
      </c>
      <c r="BH299">
        <f>MAX(BC299:BG299)</f>
        <v>0</v>
      </c>
      <c r="BI299">
        <f>MAX(BD299:BG299)</f>
        <v>0</v>
      </c>
      <c r="BJ299">
        <f>MAX(BE299:BG299)</f>
        <v>0</v>
      </c>
      <c r="BK299">
        <f>IF(AND(AK299=ReachLabel,AY299=1),AP299,0)</f>
        <v>0</v>
      </c>
      <c r="BL299">
        <f>IF(AND(AK299=MatchLabel,AY299=1),AP299,0)</f>
        <v>0</v>
      </c>
      <c r="BM299">
        <f>IF(AND(AK299=SafetyLabel,AY299=1),AP299,0)</f>
        <v>0</v>
      </c>
      <c r="BN299">
        <f>IF(AND(AK299=SecureLabel,AY299=1),AP299,0)</f>
        <v>0</v>
      </c>
      <c r="BO299">
        <f>IF(AND(AK299=SureThingLabel,AY299=1),AP299,0)</f>
        <v>0</v>
      </c>
      <c r="BP299">
        <f>MAX(BK299:BO299)</f>
        <v>0</v>
      </c>
      <c r="BQ299">
        <f>MAX(BL299:BO299)</f>
        <v>0</v>
      </c>
      <c r="BR299">
        <f>MAX(BM299:BO299)</f>
        <v>0</v>
      </c>
      <c r="BS299">
        <f>IF(ISNUMBER(Y299),INDEX(AllCollegeChicago, MATCH(N299,AllCollegeNCES,0))*AY299,0)</f>
        <v>0</v>
      </c>
      <c r="BT299">
        <f>IF(ISNUMBER(Y299),INDEX(AllCollegeMoneyCode, MATCH(N299,AllCollegeNCES,0)),"?")</f>
        <v>0</v>
      </c>
      <c r="BU299">
        <f>IF(OR(BT299="---",BT299="--",BT299="+/--",BT299="+/---"),1,0)</f>
        <v>0</v>
      </c>
      <c r="BV299">
        <f>AY299*AO299*AQ299</f>
        <v>0</v>
      </c>
    </row>
    <row r="300" spans="1:74">
      <c r="A300" t="s">
        <v>86</v>
      </c>
      <c r="B300">
        <v>23050586</v>
      </c>
      <c r="C300" t="s">
        <v>153</v>
      </c>
      <c r="D300" t="s">
        <v>154</v>
      </c>
      <c r="E300" t="s">
        <v>428</v>
      </c>
      <c r="F300" t="s">
        <v>461</v>
      </c>
      <c r="G300" t="s">
        <v>430</v>
      </c>
      <c r="H300" t="s">
        <v>431</v>
      </c>
      <c r="I300" t="s">
        <v>432</v>
      </c>
      <c r="J300" t="s">
        <v>432</v>
      </c>
      <c r="K300">
        <v>0</v>
      </c>
      <c r="L300" t="s">
        <v>428</v>
      </c>
      <c r="M300" t="s">
        <v>428</v>
      </c>
      <c r="N300">
        <v>153834</v>
      </c>
      <c r="O300">
        <f>INDEX(AllCollegeBarrons,MATCH(N300,AllCollegeNCES,0))</f>
        <v>0</v>
      </c>
      <c r="P300">
        <f>INDEX(KidGPAs,MATCH(B300,KidIDs,0))</f>
        <v>0</v>
      </c>
      <c r="Q300">
        <f>INDEX(KidACTs,MATCH(B300,KidIDs,0))</f>
        <v>0</v>
      </c>
      <c r="R300">
        <f>INDEX(Strats,MATCH(B300,KidIDs,0))</f>
        <v>0</v>
      </c>
      <c r="S300">
        <f>INDEX(KidRace,MATCH(B300,KidIDs,0))</f>
        <v>0</v>
      </c>
      <c r="T300">
        <f>IF(OR(S300="M",S300="I"),"H",S300)</f>
        <v>0</v>
      </c>
      <c r="U300">
        <f>INDEX(StudentTargets,MATCH(B300,KidIDs,0))</f>
        <v>0</v>
      </c>
      <c r="V300">
        <f>INDEX(ReachStudentTargets,MATCH(B300,KidIDs,0))</f>
        <v>0</v>
      </c>
      <c r="W300">
        <f>IF(OR(M300="Posse"),1,0)</f>
        <v>0</v>
      </c>
      <c r="X300">
        <f>IF(ISNUMBER(INDEX(AllCollegeGR, MATCH(N300,AllCollegeNCES,0))),ROUND(INDEX(AllCollegeGR, MATCH(N300,AllCollegeNCES,0))+W300*IF(INDEX(AllCollegeGR, MATCH(N300,AllCollegeNCES,0))&gt;0.7,(1-INDEX(AllCollegeGR, MATCH(N300,AllCollegeNCES,0)))/2,0.15),2),INDEX(AllCollegeGR, MATCH(N300,AllCollegeNCES,0)))</f>
        <v>0</v>
      </c>
      <c r="Y300">
        <f>IF(ISNUMBER(INDEX(AllCollegeAAHGR, MATCH(N300,AllCollegeNCES,0))),ROUND(INDEX(AllCollegeAAHGR, MATCH(N300,AllCollegeNCES,0))+W300*IF(INDEX(AllCollegeAAHGR, MATCH(N300,AllCollegeNCES,0))&gt;0.7,(1-INDEX(AllCollegeAAHGR, MATCH(N300,AllCollegeNCES,0)))/2,0.15),2),INDEX(AllCollegeAAHGR, MATCH(N300,AllCollegeNCES,0)))</f>
        <v>0</v>
      </c>
      <c r="Z300">
        <f>IF(OR(T300="H",T300="B"),INDEX(AllCollegeACT25, MATCH(N300,AllCollegeNCES,0)),INDEX(AllCollegeACT50, MATCH(N300,AllCollegeNCES,0)))</f>
        <v>0</v>
      </c>
      <c r="AA300">
        <f>INDEX(CustomWeightsGPA,MATCH(T300&amp;":"&amp;N300,CustomWeightsIndex,0))</f>
        <v>0</v>
      </c>
      <c r="AB300">
        <f>INDEX(CustomWeightsACT,MATCH(T300&amp;":"&amp;N300,CustomWeightsIndex,0))</f>
        <v>0</v>
      </c>
      <c r="AC300">
        <f>INDEX(CustomWeightsIntercept,MATCH(T300&amp;":"&amp;N300,CustomWeightsIndex,0))</f>
        <v>0</v>
      </c>
      <c r="AD300">
        <f>AA300*P300+AB300*Q300+AC300</f>
        <v>0</v>
      </c>
      <c r="AE300">
        <f>INDEX(CoefficientsGPA,MATCH(T300&amp;":"&amp;O300,CoefficientsIndex,0))</f>
        <v>0</v>
      </c>
      <c r="AF300">
        <f>INDEX(CoefficientsACT,MATCH(T300&amp;":"&amp;O300,CoefficientsIndex,0))</f>
        <v>0</v>
      </c>
      <c r="AG300">
        <f>INDEX(CoefficientsIntercept,MATCH(T300&amp;":"&amp;O300,CoefficientsIndex,0))</f>
        <v>0</v>
      </c>
      <c r="AH300">
        <f>AE300*P300+(Q300-Z300)*AF300+AG300</f>
        <v>0</v>
      </c>
      <c r="AI300">
        <f>IF(ISNUMBER(AD300),AD300,AH300)</f>
        <v>0</v>
      </c>
      <c r="AJ300">
        <f>IF(ISNUMBER(AI300),IF(ISNUMBER(AE300),IF(AND(AE300=1,AF300=1,AG300=1),100,ROUND(100*EXP(AI300)/(1+EXP(AI300)),2)),ROUND(100*EXP(AI300)/(1+EXP(AI300)),2)),IF(ISTEXT(O300),IF(LEFT(O300,1)="2",100,"N/A"),"N/A"))</f>
        <v>0</v>
      </c>
      <c r="AK300">
        <f>IF(ISNUMBER(AJ300),IF(AJ300&gt;=99,IF(OR(R300=10,R300=11),MatchLabel,SureThingLabel),IF(AJ300&gt;=95,SecureLabel,IF(AJ300&gt;=80,SafetyLabel,IF(AJ300&gt;=50,MatchLabel,IF(AJ300&gt;=20,ReachLabel,IF(AJ300&gt;=10,LongshotLabel,HailMaryLabel)))))),"Other")</f>
        <v>0</v>
      </c>
      <c r="AL300">
        <f>IF(OR(I300="accepted",I300="cond. accept",I300="summer admit"),IF(J300="yes","CHOICE!","Accepted!"),IF(I300="denied","Denied",IF(K300=1,"Waitlist",IF(L300=1,"Deferred",IF(G300="pending","Pending",IF(OR(G300="initial materials submitted",G300="mid-year submitted",G300="final submitted"),"Submitted",IF(H300="interest","Interest","?")))))))</f>
        <v>0</v>
      </c>
      <c r="AM300">
        <f>IF(OR(AK300=ReachLabel,AK300=LongshotLabel,AK300=HailMaryLabel),1,0)</f>
        <v>0</v>
      </c>
      <c r="AN300">
        <f>IF(OR(AM300=1,AK300=MatchLabel),1,0)</f>
        <v>0</v>
      </c>
      <c r="AO300">
        <f>IF(OR(AK300=MatchLabel,AK300=SafetyLabel,AK300=SecureLabel,AK300=SureThingLabel),1,0)</f>
        <v>0</v>
      </c>
      <c r="AP300">
        <f>IF(OR(T300="H",T300="B"),IF(ISNUMBER(Y300),ROUND(Y300,2),0),IF(ISNUMBER(X300),ROUND(X300,2),0))</f>
        <v>0</v>
      </c>
      <c r="AQ300">
        <f>IF(AP300&gt;=U300,1,0)</f>
        <v>0</v>
      </c>
      <c r="AR300">
        <f>IF(AP300&gt;=V300,1,0)</f>
        <v>0</v>
      </c>
      <c r="AS300">
        <f>IF(AP300&lt;(U300-0.10),1,0)</f>
        <v>0</v>
      </c>
      <c r="AT300">
        <f>1-AJ300/100</f>
        <v>0</v>
      </c>
      <c r="AU300">
        <f>IF(AN300=1,AT300,1)</f>
        <v>0</v>
      </c>
      <c r="AV300">
        <f>IF(AM300=1,AT300,1)</f>
        <v>0</v>
      </c>
      <c r="AW300">
        <f>IF(AND(AQ300=1,ISNUMBER(AT300)),$AT300,1)</f>
        <v>0</v>
      </c>
      <c r="AX300">
        <f>IF(AND(AR300=1,ISNUMBER(AT300)),$AT300,1)</f>
        <v>0</v>
      </c>
      <c r="AY300">
        <f>IF(ISNUMBER(Y300),INDEX(AllCollegeMoney, MATCH(N300,AllCollegeNCES,0)),0)</f>
        <v>0</v>
      </c>
      <c r="AZ300">
        <f>IF(AND(AQ300=1,ISNUMBER(AT300),AY300=1),$AT300,1)</f>
        <v>0</v>
      </c>
      <c r="BA300">
        <f>IF(AND(AR300=1,ISNUMBER(AT300),AY300=1),$AT300,1)</f>
        <v>0</v>
      </c>
      <c r="BB300">
        <f>IF(ISNUMBER(Y300),INDEX(AllCollegeILPub, MATCH(N300,AllCollegeNCES,0)),0)</f>
        <v>0</v>
      </c>
      <c r="BC300">
        <f>IF(AK300=ReachLabel,AP300,0)</f>
        <v>0</v>
      </c>
      <c r="BD300">
        <f>IF(AK300=MatchLabel,AP300,0)</f>
        <v>0</v>
      </c>
      <c r="BE300">
        <f>IF(AK300=SafetyLabel,AP300,0)</f>
        <v>0</v>
      </c>
      <c r="BF300">
        <f>IF(AK300=SecureLabel,AP300,0)</f>
        <v>0</v>
      </c>
      <c r="BG300">
        <f>IF(AK300=SureThingLabel,AP300,0)</f>
        <v>0</v>
      </c>
      <c r="BH300">
        <f>MAX(BC300:BG300)</f>
        <v>0</v>
      </c>
      <c r="BI300">
        <f>MAX(BD300:BG300)</f>
        <v>0</v>
      </c>
      <c r="BJ300">
        <f>MAX(BE300:BG300)</f>
        <v>0</v>
      </c>
      <c r="BK300">
        <f>IF(AND(AK300=ReachLabel,AY300=1),AP300,0)</f>
        <v>0</v>
      </c>
      <c r="BL300">
        <f>IF(AND(AK300=MatchLabel,AY300=1),AP300,0)</f>
        <v>0</v>
      </c>
      <c r="BM300">
        <f>IF(AND(AK300=SafetyLabel,AY300=1),AP300,0)</f>
        <v>0</v>
      </c>
      <c r="BN300">
        <f>IF(AND(AK300=SecureLabel,AY300=1),AP300,0)</f>
        <v>0</v>
      </c>
      <c r="BO300">
        <f>IF(AND(AK300=SureThingLabel,AY300=1),AP300,0)</f>
        <v>0</v>
      </c>
      <c r="BP300">
        <f>MAX(BK300:BO300)</f>
        <v>0</v>
      </c>
      <c r="BQ300">
        <f>MAX(BL300:BO300)</f>
        <v>0</v>
      </c>
      <c r="BR300">
        <f>MAX(BM300:BO300)</f>
        <v>0</v>
      </c>
      <c r="BS300">
        <f>IF(ISNUMBER(Y300),INDEX(AllCollegeChicago, MATCH(N300,AllCollegeNCES,0))*AY300,0)</f>
        <v>0</v>
      </c>
      <c r="BT300">
        <f>IF(ISNUMBER(Y300),INDEX(AllCollegeMoneyCode, MATCH(N300,AllCollegeNCES,0)),"?")</f>
        <v>0</v>
      </c>
      <c r="BU300">
        <f>IF(OR(BT300="---",BT300="--",BT300="+/--",BT300="+/---"),1,0)</f>
        <v>0</v>
      </c>
      <c r="BV300">
        <f>AY300*AO300*AQ300</f>
        <v>0</v>
      </c>
    </row>
    <row r="301" spans="1:74">
      <c r="A301" t="s">
        <v>86</v>
      </c>
      <c r="B301">
        <v>23050586</v>
      </c>
      <c r="C301" t="s">
        <v>153</v>
      </c>
      <c r="D301" t="s">
        <v>154</v>
      </c>
      <c r="E301" t="s">
        <v>428</v>
      </c>
      <c r="F301" t="s">
        <v>501</v>
      </c>
      <c r="G301" t="s">
        <v>430</v>
      </c>
      <c r="H301" t="s">
        <v>431</v>
      </c>
      <c r="I301" t="s">
        <v>432</v>
      </c>
      <c r="J301" t="s">
        <v>432</v>
      </c>
      <c r="K301">
        <v>0</v>
      </c>
      <c r="L301" t="s">
        <v>428</v>
      </c>
      <c r="M301" t="s">
        <v>428</v>
      </c>
      <c r="N301">
        <v>145725</v>
      </c>
      <c r="O301">
        <f>INDEX(AllCollegeBarrons,MATCH(N301,AllCollegeNCES,0))</f>
        <v>0</v>
      </c>
      <c r="P301">
        <f>INDEX(KidGPAs,MATCH(B301,KidIDs,0))</f>
        <v>0</v>
      </c>
      <c r="Q301">
        <f>INDEX(KidACTs,MATCH(B301,KidIDs,0))</f>
        <v>0</v>
      </c>
      <c r="R301">
        <f>INDEX(Strats,MATCH(B301,KidIDs,0))</f>
        <v>0</v>
      </c>
      <c r="S301">
        <f>INDEX(KidRace,MATCH(B301,KidIDs,0))</f>
        <v>0</v>
      </c>
      <c r="T301">
        <f>IF(OR(S301="M",S301="I"),"H",S301)</f>
        <v>0</v>
      </c>
      <c r="U301">
        <f>INDEX(StudentTargets,MATCH(B301,KidIDs,0))</f>
        <v>0</v>
      </c>
      <c r="V301">
        <f>INDEX(ReachStudentTargets,MATCH(B301,KidIDs,0))</f>
        <v>0</v>
      </c>
      <c r="W301">
        <f>IF(OR(M301="Posse"),1,0)</f>
        <v>0</v>
      </c>
      <c r="X301">
        <f>IF(ISNUMBER(INDEX(AllCollegeGR, MATCH(N301,AllCollegeNCES,0))),ROUND(INDEX(AllCollegeGR, MATCH(N301,AllCollegeNCES,0))+W301*IF(INDEX(AllCollegeGR, MATCH(N301,AllCollegeNCES,0))&gt;0.7,(1-INDEX(AllCollegeGR, MATCH(N301,AllCollegeNCES,0)))/2,0.15),2),INDEX(AllCollegeGR, MATCH(N301,AllCollegeNCES,0)))</f>
        <v>0</v>
      </c>
      <c r="Y301">
        <f>IF(ISNUMBER(INDEX(AllCollegeAAHGR, MATCH(N301,AllCollegeNCES,0))),ROUND(INDEX(AllCollegeAAHGR, MATCH(N301,AllCollegeNCES,0))+W301*IF(INDEX(AllCollegeAAHGR, MATCH(N301,AllCollegeNCES,0))&gt;0.7,(1-INDEX(AllCollegeAAHGR, MATCH(N301,AllCollegeNCES,0)))/2,0.15),2),INDEX(AllCollegeAAHGR, MATCH(N301,AllCollegeNCES,0)))</f>
        <v>0</v>
      </c>
      <c r="Z301">
        <f>IF(OR(T301="H",T301="B"),INDEX(AllCollegeACT25, MATCH(N301,AllCollegeNCES,0)),INDEX(AllCollegeACT50, MATCH(N301,AllCollegeNCES,0)))</f>
        <v>0</v>
      </c>
      <c r="AA301">
        <f>INDEX(CustomWeightsGPA,MATCH(T301&amp;":"&amp;N301,CustomWeightsIndex,0))</f>
        <v>0</v>
      </c>
      <c r="AB301">
        <f>INDEX(CustomWeightsACT,MATCH(T301&amp;":"&amp;N301,CustomWeightsIndex,0))</f>
        <v>0</v>
      </c>
      <c r="AC301">
        <f>INDEX(CustomWeightsIntercept,MATCH(T301&amp;":"&amp;N301,CustomWeightsIndex,0))</f>
        <v>0</v>
      </c>
      <c r="AD301">
        <f>AA301*P301+AB301*Q301+AC301</f>
        <v>0</v>
      </c>
      <c r="AE301">
        <f>INDEX(CoefficientsGPA,MATCH(T301&amp;":"&amp;O301,CoefficientsIndex,0))</f>
        <v>0</v>
      </c>
      <c r="AF301">
        <f>INDEX(CoefficientsACT,MATCH(T301&amp;":"&amp;O301,CoefficientsIndex,0))</f>
        <v>0</v>
      </c>
      <c r="AG301">
        <f>INDEX(CoefficientsIntercept,MATCH(T301&amp;":"&amp;O301,CoefficientsIndex,0))</f>
        <v>0</v>
      </c>
      <c r="AH301">
        <f>AE301*P301+(Q301-Z301)*AF301+AG301</f>
        <v>0</v>
      </c>
      <c r="AI301">
        <f>IF(ISNUMBER(AD301),AD301,AH301)</f>
        <v>0</v>
      </c>
      <c r="AJ301">
        <f>IF(ISNUMBER(AI301),IF(ISNUMBER(AE301),IF(AND(AE301=1,AF301=1,AG301=1),100,ROUND(100*EXP(AI301)/(1+EXP(AI301)),2)),ROUND(100*EXP(AI301)/(1+EXP(AI301)),2)),IF(ISTEXT(O301),IF(LEFT(O301,1)="2",100,"N/A"),"N/A"))</f>
        <v>0</v>
      </c>
      <c r="AK301">
        <f>IF(ISNUMBER(AJ301),IF(AJ301&gt;=99,IF(OR(R301=10,R301=11),MatchLabel,SureThingLabel),IF(AJ301&gt;=95,SecureLabel,IF(AJ301&gt;=80,SafetyLabel,IF(AJ301&gt;=50,MatchLabel,IF(AJ301&gt;=20,ReachLabel,IF(AJ301&gt;=10,LongshotLabel,HailMaryLabel)))))),"Other")</f>
        <v>0</v>
      </c>
      <c r="AL301">
        <f>IF(OR(I301="accepted",I301="cond. accept",I301="summer admit"),IF(J301="yes","CHOICE!","Accepted!"),IF(I301="denied","Denied",IF(K301=1,"Waitlist",IF(L301=1,"Deferred",IF(G301="pending","Pending",IF(OR(G301="initial materials submitted",G301="mid-year submitted",G301="final submitted"),"Submitted",IF(H301="interest","Interest","?")))))))</f>
        <v>0</v>
      </c>
      <c r="AM301">
        <f>IF(OR(AK301=ReachLabel,AK301=LongshotLabel,AK301=HailMaryLabel),1,0)</f>
        <v>0</v>
      </c>
      <c r="AN301">
        <f>IF(OR(AM301=1,AK301=MatchLabel),1,0)</f>
        <v>0</v>
      </c>
      <c r="AO301">
        <f>IF(OR(AK301=MatchLabel,AK301=SafetyLabel,AK301=SecureLabel,AK301=SureThingLabel),1,0)</f>
        <v>0</v>
      </c>
      <c r="AP301">
        <f>IF(OR(T301="H",T301="B"),IF(ISNUMBER(Y301),ROUND(Y301,2),0),IF(ISNUMBER(X301),ROUND(X301,2),0))</f>
        <v>0</v>
      </c>
      <c r="AQ301">
        <f>IF(AP301&gt;=U301,1,0)</f>
        <v>0</v>
      </c>
      <c r="AR301">
        <f>IF(AP301&gt;=V301,1,0)</f>
        <v>0</v>
      </c>
      <c r="AS301">
        <f>IF(AP301&lt;(U301-0.10),1,0)</f>
        <v>0</v>
      </c>
      <c r="AT301">
        <f>1-AJ301/100</f>
        <v>0</v>
      </c>
      <c r="AU301">
        <f>IF(AN301=1,AT301,1)</f>
        <v>0</v>
      </c>
      <c r="AV301">
        <f>IF(AM301=1,AT301,1)</f>
        <v>0</v>
      </c>
      <c r="AW301">
        <f>IF(AND(AQ301=1,ISNUMBER(AT301)),$AT301,1)</f>
        <v>0</v>
      </c>
      <c r="AX301">
        <f>IF(AND(AR301=1,ISNUMBER(AT301)),$AT301,1)</f>
        <v>0</v>
      </c>
      <c r="AY301">
        <f>IF(ISNUMBER(Y301),INDEX(AllCollegeMoney, MATCH(N301,AllCollegeNCES,0)),0)</f>
        <v>0</v>
      </c>
      <c r="AZ301">
        <f>IF(AND(AQ301=1,ISNUMBER(AT301),AY301=1),$AT301,1)</f>
        <v>0</v>
      </c>
      <c r="BA301">
        <f>IF(AND(AR301=1,ISNUMBER(AT301),AY301=1),$AT301,1)</f>
        <v>0</v>
      </c>
      <c r="BB301">
        <f>IF(ISNUMBER(Y301),INDEX(AllCollegeILPub, MATCH(N301,AllCollegeNCES,0)),0)</f>
        <v>0</v>
      </c>
      <c r="BC301">
        <f>IF(AK301=ReachLabel,AP301,0)</f>
        <v>0</v>
      </c>
      <c r="BD301">
        <f>IF(AK301=MatchLabel,AP301,0)</f>
        <v>0</v>
      </c>
      <c r="BE301">
        <f>IF(AK301=SafetyLabel,AP301,0)</f>
        <v>0</v>
      </c>
      <c r="BF301">
        <f>IF(AK301=SecureLabel,AP301,0)</f>
        <v>0</v>
      </c>
      <c r="BG301">
        <f>IF(AK301=SureThingLabel,AP301,0)</f>
        <v>0</v>
      </c>
      <c r="BH301">
        <f>MAX(BC301:BG301)</f>
        <v>0</v>
      </c>
      <c r="BI301">
        <f>MAX(BD301:BG301)</f>
        <v>0</v>
      </c>
      <c r="BJ301">
        <f>MAX(BE301:BG301)</f>
        <v>0</v>
      </c>
      <c r="BK301">
        <f>IF(AND(AK301=ReachLabel,AY301=1),AP301,0)</f>
        <v>0</v>
      </c>
      <c r="BL301">
        <f>IF(AND(AK301=MatchLabel,AY301=1),AP301,0)</f>
        <v>0</v>
      </c>
      <c r="BM301">
        <f>IF(AND(AK301=SafetyLabel,AY301=1),AP301,0)</f>
        <v>0</v>
      </c>
      <c r="BN301">
        <f>IF(AND(AK301=SecureLabel,AY301=1),AP301,0)</f>
        <v>0</v>
      </c>
      <c r="BO301">
        <f>IF(AND(AK301=SureThingLabel,AY301=1),AP301,0)</f>
        <v>0</v>
      </c>
      <c r="BP301">
        <f>MAX(BK301:BO301)</f>
        <v>0</v>
      </c>
      <c r="BQ301">
        <f>MAX(BL301:BO301)</f>
        <v>0</v>
      </c>
      <c r="BR301">
        <f>MAX(BM301:BO301)</f>
        <v>0</v>
      </c>
      <c r="BS301">
        <f>IF(ISNUMBER(Y301),INDEX(AllCollegeChicago, MATCH(N301,AllCollegeNCES,0))*AY301,0)</f>
        <v>0</v>
      </c>
      <c r="BT301">
        <f>IF(ISNUMBER(Y301),INDEX(AllCollegeMoneyCode, MATCH(N301,AllCollegeNCES,0)),"?")</f>
        <v>0</v>
      </c>
      <c r="BU301">
        <f>IF(OR(BT301="---",BT301="--",BT301="+/--",BT301="+/---"),1,0)</f>
        <v>0</v>
      </c>
      <c r="BV301">
        <f>AY301*AO301*AQ301</f>
        <v>0</v>
      </c>
    </row>
    <row r="302" spans="1:74">
      <c r="A302" t="s">
        <v>86</v>
      </c>
      <c r="B302">
        <v>23050586</v>
      </c>
      <c r="C302" t="s">
        <v>153</v>
      </c>
      <c r="D302" t="s">
        <v>154</v>
      </c>
      <c r="E302" t="s">
        <v>428</v>
      </c>
      <c r="F302" t="s">
        <v>531</v>
      </c>
      <c r="G302" t="s">
        <v>526</v>
      </c>
      <c r="H302" t="s">
        <v>526</v>
      </c>
      <c r="I302" t="s">
        <v>527</v>
      </c>
      <c r="J302" t="s">
        <v>428</v>
      </c>
      <c r="K302" t="s">
        <v>428</v>
      </c>
      <c r="L302" t="s">
        <v>428</v>
      </c>
      <c r="M302" t="s">
        <v>428</v>
      </c>
      <c r="N302">
        <v>145725</v>
      </c>
      <c r="O302">
        <f>INDEX(AllCollegeBarrons,MATCH(N302,AllCollegeNCES,0))</f>
        <v>0</v>
      </c>
      <c r="P302">
        <f>INDEX(KidGPAs,MATCH(B302,KidIDs,0))</f>
        <v>0</v>
      </c>
      <c r="Q302">
        <f>INDEX(KidACTs,MATCH(B302,KidIDs,0))</f>
        <v>0</v>
      </c>
      <c r="R302">
        <f>INDEX(Strats,MATCH(B302,KidIDs,0))</f>
        <v>0</v>
      </c>
      <c r="S302">
        <f>INDEX(KidRace,MATCH(B302,KidIDs,0))</f>
        <v>0</v>
      </c>
      <c r="T302">
        <f>IF(OR(S302="M",S302="I"),"H",S302)</f>
        <v>0</v>
      </c>
      <c r="U302">
        <f>INDEX(StudentTargets,MATCH(B302,KidIDs,0))</f>
        <v>0</v>
      </c>
      <c r="V302">
        <f>INDEX(ReachStudentTargets,MATCH(B302,KidIDs,0))</f>
        <v>0</v>
      </c>
      <c r="W302">
        <f>IF(OR(M302="Posse"),1,0)</f>
        <v>0</v>
      </c>
      <c r="X302">
        <f>IF(ISNUMBER(INDEX(AllCollegeGR, MATCH(N302,AllCollegeNCES,0))),ROUND(INDEX(AllCollegeGR, MATCH(N302,AllCollegeNCES,0))+W302*IF(INDEX(AllCollegeGR, MATCH(N302,AllCollegeNCES,0))&gt;0.7,(1-INDEX(AllCollegeGR, MATCH(N302,AllCollegeNCES,0)))/2,0.15),2),INDEX(AllCollegeGR, MATCH(N302,AllCollegeNCES,0)))</f>
        <v>0</v>
      </c>
      <c r="Y302">
        <f>IF(ISNUMBER(INDEX(AllCollegeAAHGR, MATCH(N302,AllCollegeNCES,0))),ROUND(INDEX(AllCollegeAAHGR, MATCH(N302,AllCollegeNCES,0))+W302*IF(INDEX(AllCollegeAAHGR, MATCH(N302,AllCollegeNCES,0))&gt;0.7,(1-INDEX(AllCollegeAAHGR, MATCH(N302,AllCollegeNCES,0)))/2,0.15),2),INDEX(AllCollegeAAHGR, MATCH(N302,AllCollegeNCES,0)))</f>
        <v>0</v>
      </c>
      <c r="Z302">
        <f>IF(OR(T302="H",T302="B"),INDEX(AllCollegeACT25, MATCH(N302,AllCollegeNCES,0)),INDEX(AllCollegeACT50, MATCH(N302,AllCollegeNCES,0)))</f>
        <v>0</v>
      </c>
      <c r="AA302">
        <f>INDEX(CustomWeightsGPA,MATCH(T302&amp;":"&amp;N302,CustomWeightsIndex,0))</f>
        <v>0</v>
      </c>
      <c r="AB302">
        <f>INDEX(CustomWeightsACT,MATCH(T302&amp;":"&amp;N302,CustomWeightsIndex,0))</f>
        <v>0</v>
      </c>
      <c r="AC302">
        <f>INDEX(CustomWeightsIntercept,MATCH(T302&amp;":"&amp;N302,CustomWeightsIndex,0))</f>
        <v>0</v>
      </c>
      <c r="AD302">
        <f>AA302*P302+AB302*Q302+AC302</f>
        <v>0</v>
      </c>
      <c r="AE302">
        <f>INDEX(CoefficientsGPA,MATCH(T302&amp;":"&amp;O302,CoefficientsIndex,0))</f>
        <v>0</v>
      </c>
      <c r="AF302">
        <f>INDEX(CoefficientsACT,MATCH(T302&amp;":"&amp;O302,CoefficientsIndex,0))</f>
        <v>0</v>
      </c>
      <c r="AG302">
        <f>INDEX(CoefficientsIntercept,MATCH(T302&amp;":"&amp;O302,CoefficientsIndex,0))</f>
        <v>0</v>
      </c>
      <c r="AH302">
        <f>AE302*P302+(Q302-Z302)*AF302+AG302</f>
        <v>0</v>
      </c>
      <c r="AI302">
        <f>IF(ISNUMBER(AD302),AD302,AH302)</f>
        <v>0</v>
      </c>
      <c r="AJ302">
        <f>IF(ISNUMBER(AI302),IF(ISNUMBER(AE302),IF(AND(AE302=1,AF302=1,AG302=1),100,ROUND(100*EXP(AI302)/(1+EXP(AI302)),2)),ROUND(100*EXP(AI302)/(1+EXP(AI302)),2)),IF(ISTEXT(O302),IF(LEFT(O302,1)="2",100,"N/A"),"N/A"))</f>
        <v>0</v>
      </c>
      <c r="AK302">
        <f>IF(ISNUMBER(AJ302),IF(AJ302&gt;=99,IF(OR(R302=10,R302=11),MatchLabel,SureThingLabel),IF(AJ302&gt;=95,SecureLabel,IF(AJ302&gt;=80,SafetyLabel,IF(AJ302&gt;=50,MatchLabel,IF(AJ302&gt;=20,ReachLabel,IF(AJ302&gt;=10,LongshotLabel,HailMaryLabel)))))),"Other")</f>
        <v>0</v>
      </c>
      <c r="AL302">
        <f>IF(OR(I302="accepted",I302="cond. accept",I302="summer admit"),IF(J302="yes","CHOICE!","Accepted!"),IF(I302="denied","Denied",IF(K302=1,"Waitlist",IF(L302=1,"Deferred",IF(G302="pending","Pending",IF(OR(G302="initial materials submitted",G302="mid-year submitted",G302="final submitted"),"Submitted",IF(H302="interest","Interest","?")))))))</f>
        <v>0</v>
      </c>
      <c r="AM302">
        <f>IF(OR(AK302=ReachLabel,AK302=LongshotLabel,AK302=HailMaryLabel),1,0)</f>
        <v>0</v>
      </c>
      <c r="AN302">
        <f>IF(OR(AM302=1,AK302=MatchLabel),1,0)</f>
        <v>0</v>
      </c>
      <c r="AO302">
        <f>IF(OR(AK302=MatchLabel,AK302=SafetyLabel,AK302=SecureLabel,AK302=SureThingLabel),1,0)</f>
        <v>0</v>
      </c>
      <c r="AP302">
        <f>IF(OR(T302="H",T302="B"),IF(ISNUMBER(Y302),ROUND(Y302,2),0),IF(ISNUMBER(X302),ROUND(X302,2),0))</f>
        <v>0</v>
      </c>
      <c r="AQ302">
        <f>IF(AP302&gt;=U302,1,0)</f>
        <v>0</v>
      </c>
      <c r="AR302">
        <f>IF(AP302&gt;=V302,1,0)</f>
        <v>0</v>
      </c>
      <c r="AS302">
        <f>IF(AP302&lt;(U302-0.10),1,0)</f>
        <v>0</v>
      </c>
      <c r="AT302">
        <f>1-AJ302/100</f>
        <v>0</v>
      </c>
      <c r="AU302">
        <f>IF(AN302=1,AT302,1)</f>
        <v>0</v>
      </c>
      <c r="AV302">
        <f>IF(AM302=1,AT302,1)</f>
        <v>0</v>
      </c>
      <c r="AW302">
        <f>IF(AND(AQ302=1,ISNUMBER(AT302)),$AT302,1)</f>
        <v>0</v>
      </c>
      <c r="AX302">
        <f>IF(AND(AR302=1,ISNUMBER(AT302)),$AT302,1)</f>
        <v>0</v>
      </c>
      <c r="AY302">
        <f>IF(ISNUMBER(Y302),INDEX(AllCollegeMoney, MATCH(N302,AllCollegeNCES,0)),0)</f>
        <v>0</v>
      </c>
      <c r="AZ302">
        <f>IF(AND(AQ302=1,ISNUMBER(AT302),AY302=1),$AT302,1)</f>
        <v>0</v>
      </c>
      <c r="BA302">
        <f>IF(AND(AR302=1,ISNUMBER(AT302),AY302=1),$AT302,1)</f>
        <v>0</v>
      </c>
      <c r="BB302">
        <f>IF(ISNUMBER(Y302),INDEX(AllCollegeILPub, MATCH(N302,AllCollegeNCES,0)),0)</f>
        <v>0</v>
      </c>
      <c r="BC302">
        <f>IF(AK302=ReachLabel,AP302,0)</f>
        <v>0</v>
      </c>
      <c r="BD302">
        <f>IF(AK302=MatchLabel,AP302,0)</f>
        <v>0</v>
      </c>
      <c r="BE302">
        <f>IF(AK302=SafetyLabel,AP302,0)</f>
        <v>0</v>
      </c>
      <c r="BF302">
        <f>IF(AK302=SecureLabel,AP302,0)</f>
        <v>0</v>
      </c>
      <c r="BG302">
        <f>IF(AK302=SureThingLabel,AP302,0)</f>
        <v>0</v>
      </c>
      <c r="BH302">
        <f>MAX(BC302:BG302)</f>
        <v>0</v>
      </c>
      <c r="BI302">
        <f>MAX(BD302:BG302)</f>
        <v>0</v>
      </c>
      <c r="BJ302">
        <f>MAX(BE302:BG302)</f>
        <v>0</v>
      </c>
      <c r="BK302">
        <f>IF(AND(AK302=ReachLabel,AY302=1),AP302,0)</f>
        <v>0</v>
      </c>
      <c r="BL302">
        <f>IF(AND(AK302=MatchLabel,AY302=1),AP302,0)</f>
        <v>0</v>
      </c>
      <c r="BM302">
        <f>IF(AND(AK302=SafetyLabel,AY302=1),AP302,0)</f>
        <v>0</v>
      </c>
      <c r="BN302">
        <f>IF(AND(AK302=SecureLabel,AY302=1),AP302,0)</f>
        <v>0</v>
      </c>
      <c r="BO302">
        <f>IF(AND(AK302=SureThingLabel,AY302=1),AP302,0)</f>
        <v>0</v>
      </c>
      <c r="BP302">
        <f>MAX(BK302:BO302)</f>
        <v>0</v>
      </c>
      <c r="BQ302">
        <f>MAX(BL302:BO302)</f>
        <v>0</v>
      </c>
      <c r="BR302">
        <f>MAX(BM302:BO302)</f>
        <v>0</v>
      </c>
      <c r="BS302">
        <f>IF(ISNUMBER(Y302),INDEX(AllCollegeChicago, MATCH(N302,AllCollegeNCES,0))*AY302,0)</f>
        <v>0</v>
      </c>
      <c r="BT302">
        <f>IF(ISNUMBER(Y302),INDEX(AllCollegeMoneyCode, MATCH(N302,AllCollegeNCES,0)),"?")</f>
        <v>0</v>
      </c>
      <c r="BU302">
        <f>IF(OR(BT302="---",BT302="--",BT302="+/--",BT302="+/---"),1,0)</f>
        <v>0</v>
      </c>
      <c r="BV302">
        <f>AY302*AO302*AQ302</f>
        <v>0</v>
      </c>
    </row>
    <row r="303" spans="1:74">
      <c r="A303" t="s">
        <v>86</v>
      </c>
      <c r="B303">
        <v>23050586</v>
      </c>
      <c r="C303" t="s">
        <v>153</v>
      </c>
      <c r="D303" t="s">
        <v>154</v>
      </c>
      <c r="E303" t="s">
        <v>428</v>
      </c>
      <c r="F303" t="s">
        <v>519</v>
      </c>
      <c r="G303" t="s">
        <v>430</v>
      </c>
      <c r="H303" t="s">
        <v>431</v>
      </c>
      <c r="I303" t="s">
        <v>432</v>
      </c>
      <c r="J303" t="s">
        <v>432</v>
      </c>
      <c r="K303">
        <v>0</v>
      </c>
      <c r="L303" t="s">
        <v>428</v>
      </c>
      <c r="M303" t="s">
        <v>428</v>
      </c>
      <c r="N303">
        <v>239628</v>
      </c>
      <c r="O303">
        <f>INDEX(AllCollegeBarrons,MATCH(N303,AllCollegeNCES,0))</f>
        <v>0</v>
      </c>
      <c r="P303">
        <f>INDEX(KidGPAs,MATCH(B303,KidIDs,0))</f>
        <v>0</v>
      </c>
      <c r="Q303">
        <f>INDEX(KidACTs,MATCH(B303,KidIDs,0))</f>
        <v>0</v>
      </c>
      <c r="R303">
        <f>INDEX(Strats,MATCH(B303,KidIDs,0))</f>
        <v>0</v>
      </c>
      <c r="S303">
        <f>INDEX(KidRace,MATCH(B303,KidIDs,0))</f>
        <v>0</v>
      </c>
      <c r="T303">
        <f>IF(OR(S303="M",S303="I"),"H",S303)</f>
        <v>0</v>
      </c>
      <c r="U303">
        <f>INDEX(StudentTargets,MATCH(B303,KidIDs,0))</f>
        <v>0</v>
      </c>
      <c r="V303">
        <f>INDEX(ReachStudentTargets,MATCH(B303,KidIDs,0))</f>
        <v>0</v>
      </c>
      <c r="W303">
        <f>IF(OR(M303="Posse"),1,0)</f>
        <v>0</v>
      </c>
      <c r="X303">
        <f>IF(ISNUMBER(INDEX(AllCollegeGR, MATCH(N303,AllCollegeNCES,0))),ROUND(INDEX(AllCollegeGR, MATCH(N303,AllCollegeNCES,0))+W303*IF(INDEX(AllCollegeGR, MATCH(N303,AllCollegeNCES,0))&gt;0.7,(1-INDEX(AllCollegeGR, MATCH(N303,AllCollegeNCES,0)))/2,0.15),2),INDEX(AllCollegeGR, MATCH(N303,AllCollegeNCES,0)))</f>
        <v>0</v>
      </c>
      <c r="Y303">
        <f>IF(ISNUMBER(INDEX(AllCollegeAAHGR, MATCH(N303,AllCollegeNCES,0))),ROUND(INDEX(AllCollegeAAHGR, MATCH(N303,AllCollegeNCES,0))+W303*IF(INDEX(AllCollegeAAHGR, MATCH(N303,AllCollegeNCES,0))&gt;0.7,(1-INDEX(AllCollegeAAHGR, MATCH(N303,AllCollegeNCES,0)))/2,0.15),2),INDEX(AllCollegeAAHGR, MATCH(N303,AllCollegeNCES,0)))</f>
        <v>0</v>
      </c>
      <c r="Z303">
        <f>IF(OR(T303="H",T303="B"),INDEX(AllCollegeACT25, MATCH(N303,AllCollegeNCES,0)),INDEX(AllCollegeACT50, MATCH(N303,AllCollegeNCES,0)))</f>
        <v>0</v>
      </c>
      <c r="AA303">
        <f>INDEX(CustomWeightsGPA,MATCH(T303&amp;":"&amp;N303,CustomWeightsIndex,0))</f>
        <v>0</v>
      </c>
      <c r="AB303">
        <f>INDEX(CustomWeightsACT,MATCH(T303&amp;":"&amp;N303,CustomWeightsIndex,0))</f>
        <v>0</v>
      </c>
      <c r="AC303">
        <f>INDEX(CustomWeightsIntercept,MATCH(T303&amp;":"&amp;N303,CustomWeightsIndex,0))</f>
        <v>0</v>
      </c>
      <c r="AD303">
        <f>AA303*P303+AB303*Q303+AC303</f>
        <v>0</v>
      </c>
      <c r="AE303">
        <f>INDEX(CoefficientsGPA,MATCH(T303&amp;":"&amp;O303,CoefficientsIndex,0))</f>
        <v>0</v>
      </c>
      <c r="AF303">
        <f>INDEX(CoefficientsACT,MATCH(T303&amp;":"&amp;O303,CoefficientsIndex,0))</f>
        <v>0</v>
      </c>
      <c r="AG303">
        <f>INDEX(CoefficientsIntercept,MATCH(T303&amp;":"&amp;O303,CoefficientsIndex,0))</f>
        <v>0</v>
      </c>
      <c r="AH303">
        <f>AE303*P303+(Q303-Z303)*AF303+AG303</f>
        <v>0</v>
      </c>
      <c r="AI303">
        <f>IF(ISNUMBER(AD303),AD303,AH303)</f>
        <v>0</v>
      </c>
      <c r="AJ303">
        <f>IF(ISNUMBER(AI303),IF(ISNUMBER(AE303),IF(AND(AE303=1,AF303=1,AG303=1),100,ROUND(100*EXP(AI303)/(1+EXP(AI303)),2)),ROUND(100*EXP(AI303)/(1+EXP(AI303)),2)),IF(ISTEXT(O303),IF(LEFT(O303,1)="2",100,"N/A"),"N/A"))</f>
        <v>0</v>
      </c>
      <c r="AK303">
        <f>IF(ISNUMBER(AJ303),IF(AJ303&gt;=99,IF(OR(R303=10,R303=11),MatchLabel,SureThingLabel),IF(AJ303&gt;=95,SecureLabel,IF(AJ303&gt;=80,SafetyLabel,IF(AJ303&gt;=50,MatchLabel,IF(AJ303&gt;=20,ReachLabel,IF(AJ303&gt;=10,LongshotLabel,HailMaryLabel)))))),"Other")</f>
        <v>0</v>
      </c>
      <c r="AL303">
        <f>IF(OR(I303="accepted",I303="cond. accept",I303="summer admit"),IF(J303="yes","CHOICE!","Accepted!"),IF(I303="denied","Denied",IF(K303=1,"Waitlist",IF(L303=1,"Deferred",IF(G303="pending","Pending",IF(OR(G303="initial materials submitted",G303="mid-year submitted",G303="final submitted"),"Submitted",IF(H303="interest","Interest","?")))))))</f>
        <v>0</v>
      </c>
      <c r="AM303">
        <f>IF(OR(AK303=ReachLabel,AK303=LongshotLabel,AK303=HailMaryLabel),1,0)</f>
        <v>0</v>
      </c>
      <c r="AN303">
        <f>IF(OR(AM303=1,AK303=MatchLabel),1,0)</f>
        <v>0</v>
      </c>
      <c r="AO303">
        <f>IF(OR(AK303=MatchLabel,AK303=SafetyLabel,AK303=SecureLabel,AK303=SureThingLabel),1,0)</f>
        <v>0</v>
      </c>
      <c r="AP303">
        <f>IF(OR(T303="H",T303="B"),IF(ISNUMBER(Y303),ROUND(Y303,2),0),IF(ISNUMBER(X303),ROUND(X303,2),0))</f>
        <v>0</v>
      </c>
      <c r="AQ303">
        <f>IF(AP303&gt;=U303,1,0)</f>
        <v>0</v>
      </c>
      <c r="AR303">
        <f>IF(AP303&gt;=V303,1,0)</f>
        <v>0</v>
      </c>
      <c r="AS303">
        <f>IF(AP303&lt;(U303-0.10),1,0)</f>
        <v>0</v>
      </c>
      <c r="AT303">
        <f>1-AJ303/100</f>
        <v>0</v>
      </c>
      <c r="AU303">
        <f>IF(AN303=1,AT303,1)</f>
        <v>0</v>
      </c>
      <c r="AV303">
        <f>IF(AM303=1,AT303,1)</f>
        <v>0</v>
      </c>
      <c r="AW303">
        <f>IF(AND(AQ303=1,ISNUMBER(AT303)),$AT303,1)</f>
        <v>0</v>
      </c>
      <c r="AX303">
        <f>IF(AND(AR303=1,ISNUMBER(AT303)),$AT303,1)</f>
        <v>0</v>
      </c>
      <c r="AY303">
        <f>IF(ISNUMBER(Y303),INDEX(AllCollegeMoney, MATCH(N303,AllCollegeNCES,0)),0)</f>
        <v>0</v>
      </c>
      <c r="AZ303">
        <f>IF(AND(AQ303=1,ISNUMBER(AT303),AY303=1),$AT303,1)</f>
        <v>0</v>
      </c>
      <c r="BA303">
        <f>IF(AND(AR303=1,ISNUMBER(AT303),AY303=1),$AT303,1)</f>
        <v>0</v>
      </c>
      <c r="BB303">
        <f>IF(ISNUMBER(Y303),INDEX(AllCollegeILPub, MATCH(N303,AllCollegeNCES,0)),0)</f>
        <v>0</v>
      </c>
      <c r="BC303">
        <f>IF(AK303=ReachLabel,AP303,0)</f>
        <v>0</v>
      </c>
      <c r="BD303">
        <f>IF(AK303=MatchLabel,AP303,0)</f>
        <v>0</v>
      </c>
      <c r="BE303">
        <f>IF(AK303=SafetyLabel,AP303,0)</f>
        <v>0</v>
      </c>
      <c r="BF303">
        <f>IF(AK303=SecureLabel,AP303,0)</f>
        <v>0</v>
      </c>
      <c r="BG303">
        <f>IF(AK303=SureThingLabel,AP303,0)</f>
        <v>0</v>
      </c>
      <c r="BH303">
        <f>MAX(BC303:BG303)</f>
        <v>0</v>
      </c>
      <c r="BI303">
        <f>MAX(BD303:BG303)</f>
        <v>0</v>
      </c>
      <c r="BJ303">
        <f>MAX(BE303:BG303)</f>
        <v>0</v>
      </c>
      <c r="BK303">
        <f>IF(AND(AK303=ReachLabel,AY303=1),AP303,0)</f>
        <v>0</v>
      </c>
      <c r="BL303">
        <f>IF(AND(AK303=MatchLabel,AY303=1),AP303,0)</f>
        <v>0</v>
      </c>
      <c r="BM303">
        <f>IF(AND(AK303=SafetyLabel,AY303=1),AP303,0)</f>
        <v>0</v>
      </c>
      <c r="BN303">
        <f>IF(AND(AK303=SecureLabel,AY303=1),AP303,0)</f>
        <v>0</v>
      </c>
      <c r="BO303">
        <f>IF(AND(AK303=SureThingLabel,AY303=1),AP303,0)</f>
        <v>0</v>
      </c>
      <c r="BP303">
        <f>MAX(BK303:BO303)</f>
        <v>0</v>
      </c>
      <c r="BQ303">
        <f>MAX(BL303:BO303)</f>
        <v>0</v>
      </c>
      <c r="BR303">
        <f>MAX(BM303:BO303)</f>
        <v>0</v>
      </c>
      <c r="BS303">
        <f>IF(ISNUMBER(Y303),INDEX(AllCollegeChicago, MATCH(N303,AllCollegeNCES,0))*AY303,0)</f>
        <v>0</v>
      </c>
      <c r="BT303">
        <f>IF(ISNUMBER(Y303),INDEX(AllCollegeMoneyCode, MATCH(N303,AllCollegeNCES,0)),"?")</f>
        <v>0</v>
      </c>
      <c r="BU303">
        <f>IF(OR(BT303="---",BT303="--",BT303="+/--",BT303="+/---"),1,0)</f>
        <v>0</v>
      </c>
      <c r="BV303">
        <f>AY303*AO303*AQ303</f>
        <v>0</v>
      </c>
    </row>
    <row r="304" spans="1:74">
      <c r="A304" t="s">
        <v>86</v>
      </c>
      <c r="B304">
        <v>23050586</v>
      </c>
      <c r="C304" t="s">
        <v>153</v>
      </c>
      <c r="D304" t="s">
        <v>154</v>
      </c>
      <c r="E304" t="s">
        <v>428</v>
      </c>
      <c r="F304" t="s">
        <v>462</v>
      </c>
      <c r="G304" t="s">
        <v>430</v>
      </c>
      <c r="H304" t="s">
        <v>431</v>
      </c>
      <c r="I304" t="s">
        <v>432</v>
      </c>
      <c r="J304" t="s">
        <v>432</v>
      </c>
      <c r="K304">
        <v>0</v>
      </c>
      <c r="L304" t="s">
        <v>428</v>
      </c>
      <c r="M304" t="s">
        <v>428</v>
      </c>
      <c r="N304">
        <v>168546</v>
      </c>
      <c r="O304">
        <f>INDEX(AllCollegeBarrons,MATCH(N304,AllCollegeNCES,0))</f>
        <v>0</v>
      </c>
      <c r="P304">
        <f>INDEX(KidGPAs,MATCH(B304,KidIDs,0))</f>
        <v>0</v>
      </c>
      <c r="Q304">
        <f>INDEX(KidACTs,MATCH(B304,KidIDs,0))</f>
        <v>0</v>
      </c>
      <c r="R304">
        <f>INDEX(Strats,MATCH(B304,KidIDs,0))</f>
        <v>0</v>
      </c>
      <c r="S304">
        <f>INDEX(KidRace,MATCH(B304,KidIDs,0))</f>
        <v>0</v>
      </c>
      <c r="T304">
        <f>IF(OR(S304="M",S304="I"),"H",S304)</f>
        <v>0</v>
      </c>
      <c r="U304">
        <f>INDEX(StudentTargets,MATCH(B304,KidIDs,0))</f>
        <v>0</v>
      </c>
      <c r="V304">
        <f>INDEX(ReachStudentTargets,MATCH(B304,KidIDs,0))</f>
        <v>0</v>
      </c>
      <c r="W304">
        <f>IF(OR(M304="Posse"),1,0)</f>
        <v>0</v>
      </c>
      <c r="X304">
        <f>IF(ISNUMBER(INDEX(AllCollegeGR, MATCH(N304,AllCollegeNCES,0))),ROUND(INDEX(AllCollegeGR, MATCH(N304,AllCollegeNCES,0))+W304*IF(INDEX(AllCollegeGR, MATCH(N304,AllCollegeNCES,0))&gt;0.7,(1-INDEX(AllCollegeGR, MATCH(N304,AllCollegeNCES,0)))/2,0.15),2),INDEX(AllCollegeGR, MATCH(N304,AllCollegeNCES,0)))</f>
        <v>0</v>
      </c>
      <c r="Y304">
        <f>IF(ISNUMBER(INDEX(AllCollegeAAHGR, MATCH(N304,AllCollegeNCES,0))),ROUND(INDEX(AllCollegeAAHGR, MATCH(N304,AllCollegeNCES,0))+W304*IF(INDEX(AllCollegeAAHGR, MATCH(N304,AllCollegeNCES,0))&gt;0.7,(1-INDEX(AllCollegeAAHGR, MATCH(N304,AllCollegeNCES,0)))/2,0.15),2),INDEX(AllCollegeAAHGR, MATCH(N304,AllCollegeNCES,0)))</f>
        <v>0</v>
      </c>
      <c r="Z304">
        <f>IF(OR(T304="H",T304="B"),INDEX(AllCollegeACT25, MATCH(N304,AllCollegeNCES,0)),INDEX(AllCollegeACT50, MATCH(N304,AllCollegeNCES,0)))</f>
        <v>0</v>
      </c>
      <c r="AA304">
        <f>INDEX(CustomWeightsGPA,MATCH(T304&amp;":"&amp;N304,CustomWeightsIndex,0))</f>
        <v>0</v>
      </c>
      <c r="AB304">
        <f>INDEX(CustomWeightsACT,MATCH(T304&amp;":"&amp;N304,CustomWeightsIndex,0))</f>
        <v>0</v>
      </c>
      <c r="AC304">
        <f>INDEX(CustomWeightsIntercept,MATCH(T304&amp;":"&amp;N304,CustomWeightsIndex,0))</f>
        <v>0</v>
      </c>
      <c r="AD304">
        <f>AA304*P304+AB304*Q304+AC304</f>
        <v>0</v>
      </c>
      <c r="AE304">
        <f>INDEX(CoefficientsGPA,MATCH(T304&amp;":"&amp;O304,CoefficientsIndex,0))</f>
        <v>0</v>
      </c>
      <c r="AF304">
        <f>INDEX(CoefficientsACT,MATCH(T304&amp;":"&amp;O304,CoefficientsIndex,0))</f>
        <v>0</v>
      </c>
      <c r="AG304">
        <f>INDEX(CoefficientsIntercept,MATCH(T304&amp;":"&amp;O304,CoefficientsIndex,0))</f>
        <v>0</v>
      </c>
      <c r="AH304">
        <f>AE304*P304+(Q304-Z304)*AF304+AG304</f>
        <v>0</v>
      </c>
      <c r="AI304">
        <f>IF(ISNUMBER(AD304),AD304,AH304)</f>
        <v>0</v>
      </c>
      <c r="AJ304">
        <f>IF(ISNUMBER(AI304),IF(ISNUMBER(AE304),IF(AND(AE304=1,AF304=1,AG304=1),100,ROUND(100*EXP(AI304)/(1+EXP(AI304)),2)),ROUND(100*EXP(AI304)/(1+EXP(AI304)),2)),IF(ISTEXT(O304),IF(LEFT(O304,1)="2",100,"N/A"),"N/A"))</f>
        <v>0</v>
      </c>
      <c r="AK304">
        <f>IF(ISNUMBER(AJ304),IF(AJ304&gt;=99,IF(OR(R304=10,R304=11),MatchLabel,SureThingLabel),IF(AJ304&gt;=95,SecureLabel,IF(AJ304&gt;=80,SafetyLabel,IF(AJ304&gt;=50,MatchLabel,IF(AJ304&gt;=20,ReachLabel,IF(AJ304&gt;=10,LongshotLabel,HailMaryLabel)))))),"Other")</f>
        <v>0</v>
      </c>
      <c r="AL304">
        <f>IF(OR(I304="accepted",I304="cond. accept",I304="summer admit"),IF(J304="yes","CHOICE!","Accepted!"),IF(I304="denied","Denied",IF(K304=1,"Waitlist",IF(L304=1,"Deferred",IF(G304="pending","Pending",IF(OR(G304="initial materials submitted",G304="mid-year submitted",G304="final submitted"),"Submitted",IF(H304="interest","Interest","?")))))))</f>
        <v>0</v>
      </c>
      <c r="AM304">
        <f>IF(OR(AK304=ReachLabel,AK304=LongshotLabel,AK304=HailMaryLabel),1,0)</f>
        <v>0</v>
      </c>
      <c r="AN304">
        <f>IF(OR(AM304=1,AK304=MatchLabel),1,0)</f>
        <v>0</v>
      </c>
      <c r="AO304">
        <f>IF(OR(AK304=MatchLabel,AK304=SafetyLabel,AK304=SecureLabel,AK304=SureThingLabel),1,0)</f>
        <v>0</v>
      </c>
      <c r="AP304">
        <f>IF(OR(T304="H",T304="B"),IF(ISNUMBER(Y304),ROUND(Y304,2),0),IF(ISNUMBER(X304),ROUND(X304,2),0))</f>
        <v>0</v>
      </c>
      <c r="AQ304">
        <f>IF(AP304&gt;=U304,1,0)</f>
        <v>0</v>
      </c>
      <c r="AR304">
        <f>IF(AP304&gt;=V304,1,0)</f>
        <v>0</v>
      </c>
      <c r="AS304">
        <f>IF(AP304&lt;(U304-0.10),1,0)</f>
        <v>0</v>
      </c>
      <c r="AT304">
        <f>1-AJ304/100</f>
        <v>0</v>
      </c>
      <c r="AU304">
        <f>IF(AN304=1,AT304,1)</f>
        <v>0</v>
      </c>
      <c r="AV304">
        <f>IF(AM304=1,AT304,1)</f>
        <v>0</v>
      </c>
      <c r="AW304">
        <f>IF(AND(AQ304=1,ISNUMBER(AT304)),$AT304,1)</f>
        <v>0</v>
      </c>
      <c r="AX304">
        <f>IF(AND(AR304=1,ISNUMBER(AT304)),$AT304,1)</f>
        <v>0</v>
      </c>
      <c r="AY304">
        <f>IF(ISNUMBER(Y304),INDEX(AllCollegeMoney, MATCH(N304,AllCollegeNCES,0)),0)</f>
        <v>0</v>
      </c>
      <c r="AZ304">
        <f>IF(AND(AQ304=1,ISNUMBER(AT304),AY304=1),$AT304,1)</f>
        <v>0</v>
      </c>
      <c r="BA304">
        <f>IF(AND(AR304=1,ISNUMBER(AT304),AY304=1),$AT304,1)</f>
        <v>0</v>
      </c>
      <c r="BB304">
        <f>IF(ISNUMBER(Y304),INDEX(AllCollegeILPub, MATCH(N304,AllCollegeNCES,0)),0)</f>
        <v>0</v>
      </c>
      <c r="BC304">
        <f>IF(AK304=ReachLabel,AP304,0)</f>
        <v>0</v>
      </c>
      <c r="BD304">
        <f>IF(AK304=MatchLabel,AP304,0)</f>
        <v>0</v>
      </c>
      <c r="BE304">
        <f>IF(AK304=SafetyLabel,AP304,0)</f>
        <v>0</v>
      </c>
      <c r="BF304">
        <f>IF(AK304=SecureLabel,AP304,0)</f>
        <v>0</v>
      </c>
      <c r="BG304">
        <f>IF(AK304=SureThingLabel,AP304,0)</f>
        <v>0</v>
      </c>
      <c r="BH304">
        <f>MAX(BC304:BG304)</f>
        <v>0</v>
      </c>
      <c r="BI304">
        <f>MAX(BD304:BG304)</f>
        <v>0</v>
      </c>
      <c r="BJ304">
        <f>MAX(BE304:BG304)</f>
        <v>0</v>
      </c>
      <c r="BK304">
        <f>IF(AND(AK304=ReachLabel,AY304=1),AP304,0)</f>
        <v>0</v>
      </c>
      <c r="BL304">
        <f>IF(AND(AK304=MatchLabel,AY304=1),AP304,0)</f>
        <v>0</v>
      </c>
      <c r="BM304">
        <f>IF(AND(AK304=SafetyLabel,AY304=1),AP304,0)</f>
        <v>0</v>
      </c>
      <c r="BN304">
        <f>IF(AND(AK304=SecureLabel,AY304=1),AP304,0)</f>
        <v>0</v>
      </c>
      <c r="BO304">
        <f>IF(AND(AK304=SureThingLabel,AY304=1),AP304,0)</f>
        <v>0</v>
      </c>
      <c r="BP304">
        <f>MAX(BK304:BO304)</f>
        <v>0</v>
      </c>
      <c r="BQ304">
        <f>MAX(BL304:BO304)</f>
        <v>0</v>
      </c>
      <c r="BR304">
        <f>MAX(BM304:BO304)</f>
        <v>0</v>
      </c>
      <c r="BS304">
        <f>IF(ISNUMBER(Y304),INDEX(AllCollegeChicago, MATCH(N304,AllCollegeNCES,0))*AY304,0)</f>
        <v>0</v>
      </c>
      <c r="BT304">
        <f>IF(ISNUMBER(Y304),INDEX(AllCollegeMoneyCode, MATCH(N304,AllCollegeNCES,0)),"?")</f>
        <v>0</v>
      </c>
      <c r="BU304">
        <f>IF(OR(BT304="---",BT304="--",BT304="+/--",BT304="+/---"),1,0)</f>
        <v>0</v>
      </c>
      <c r="BV304">
        <f>AY304*AO304*AQ304</f>
        <v>0</v>
      </c>
    </row>
    <row r="305" spans="1:74">
      <c r="A305" t="s">
        <v>86</v>
      </c>
      <c r="B305">
        <v>23050586</v>
      </c>
      <c r="C305" t="s">
        <v>153</v>
      </c>
      <c r="D305" t="s">
        <v>154</v>
      </c>
      <c r="E305" t="s">
        <v>428</v>
      </c>
      <c r="F305" t="s">
        <v>532</v>
      </c>
      <c r="G305" t="s">
        <v>526</v>
      </c>
      <c r="H305" t="s">
        <v>526</v>
      </c>
      <c r="I305" t="s">
        <v>527</v>
      </c>
      <c r="J305" t="s">
        <v>428</v>
      </c>
      <c r="K305" t="s">
        <v>428</v>
      </c>
      <c r="L305" t="s">
        <v>428</v>
      </c>
      <c r="M305" t="s">
        <v>428</v>
      </c>
      <c r="N305">
        <v>168546</v>
      </c>
      <c r="O305">
        <f>INDEX(AllCollegeBarrons,MATCH(N305,AllCollegeNCES,0))</f>
        <v>0</v>
      </c>
      <c r="P305">
        <f>INDEX(KidGPAs,MATCH(B305,KidIDs,0))</f>
        <v>0</v>
      </c>
      <c r="Q305">
        <f>INDEX(KidACTs,MATCH(B305,KidIDs,0))</f>
        <v>0</v>
      </c>
      <c r="R305">
        <f>INDEX(Strats,MATCH(B305,KidIDs,0))</f>
        <v>0</v>
      </c>
      <c r="S305">
        <f>INDEX(KidRace,MATCH(B305,KidIDs,0))</f>
        <v>0</v>
      </c>
      <c r="T305">
        <f>IF(OR(S305="M",S305="I"),"H",S305)</f>
        <v>0</v>
      </c>
      <c r="U305">
        <f>INDEX(StudentTargets,MATCH(B305,KidIDs,0))</f>
        <v>0</v>
      </c>
      <c r="V305">
        <f>INDEX(ReachStudentTargets,MATCH(B305,KidIDs,0))</f>
        <v>0</v>
      </c>
      <c r="W305">
        <f>IF(OR(M305="Posse"),1,0)</f>
        <v>0</v>
      </c>
      <c r="X305">
        <f>IF(ISNUMBER(INDEX(AllCollegeGR, MATCH(N305,AllCollegeNCES,0))),ROUND(INDEX(AllCollegeGR, MATCH(N305,AllCollegeNCES,0))+W305*IF(INDEX(AllCollegeGR, MATCH(N305,AllCollegeNCES,0))&gt;0.7,(1-INDEX(AllCollegeGR, MATCH(N305,AllCollegeNCES,0)))/2,0.15),2),INDEX(AllCollegeGR, MATCH(N305,AllCollegeNCES,0)))</f>
        <v>0</v>
      </c>
      <c r="Y305">
        <f>IF(ISNUMBER(INDEX(AllCollegeAAHGR, MATCH(N305,AllCollegeNCES,0))),ROUND(INDEX(AllCollegeAAHGR, MATCH(N305,AllCollegeNCES,0))+W305*IF(INDEX(AllCollegeAAHGR, MATCH(N305,AllCollegeNCES,0))&gt;0.7,(1-INDEX(AllCollegeAAHGR, MATCH(N305,AllCollegeNCES,0)))/2,0.15),2),INDEX(AllCollegeAAHGR, MATCH(N305,AllCollegeNCES,0)))</f>
        <v>0</v>
      </c>
      <c r="Z305">
        <f>IF(OR(T305="H",T305="B"),INDEX(AllCollegeACT25, MATCH(N305,AllCollegeNCES,0)),INDEX(AllCollegeACT50, MATCH(N305,AllCollegeNCES,0)))</f>
        <v>0</v>
      </c>
      <c r="AA305">
        <f>INDEX(CustomWeightsGPA,MATCH(T305&amp;":"&amp;N305,CustomWeightsIndex,0))</f>
        <v>0</v>
      </c>
      <c r="AB305">
        <f>INDEX(CustomWeightsACT,MATCH(T305&amp;":"&amp;N305,CustomWeightsIndex,0))</f>
        <v>0</v>
      </c>
      <c r="AC305">
        <f>INDEX(CustomWeightsIntercept,MATCH(T305&amp;":"&amp;N305,CustomWeightsIndex,0))</f>
        <v>0</v>
      </c>
      <c r="AD305">
        <f>AA305*P305+AB305*Q305+AC305</f>
        <v>0</v>
      </c>
      <c r="AE305">
        <f>INDEX(CoefficientsGPA,MATCH(T305&amp;":"&amp;O305,CoefficientsIndex,0))</f>
        <v>0</v>
      </c>
      <c r="AF305">
        <f>INDEX(CoefficientsACT,MATCH(T305&amp;":"&amp;O305,CoefficientsIndex,0))</f>
        <v>0</v>
      </c>
      <c r="AG305">
        <f>INDEX(CoefficientsIntercept,MATCH(T305&amp;":"&amp;O305,CoefficientsIndex,0))</f>
        <v>0</v>
      </c>
      <c r="AH305">
        <f>AE305*P305+(Q305-Z305)*AF305+AG305</f>
        <v>0</v>
      </c>
      <c r="AI305">
        <f>IF(ISNUMBER(AD305),AD305,AH305)</f>
        <v>0</v>
      </c>
      <c r="AJ305">
        <f>IF(ISNUMBER(AI305),IF(ISNUMBER(AE305),IF(AND(AE305=1,AF305=1,AG305=1),100,ROUND(100*EXP(AI305)/(1+EXP(AI305)),2)),ROUND(100*EXP(AI305)/(1+EXP(AI305)),2)),IF(ISTEXT(O305),IF(LEFT(O305,1)="2",100,"N/A"),"N/A"))</f>
        <v>0</v>
      </c>
      <c r="AK305">
        <f>IF(ISNUMBER(AJ305),IF(AJ305&gt;=99,IF(OR(R305=10,R305=11),MatchLabel,SureThingLabel),IF(AJ305&gt;=95,SecureLabel,IF(AJ305&gt;=80,SafetyLabel,IF(AJ305&gt;=50,MatchLabel,IF(AJ305&gt;=20,ReachLabel,IF(AJ305&gt;=10,LongshotLabel,HailMaryLabel)))))),"Other")</f>
        <v>0</v>
      </c>
      <c r="AL305">
        <f>IF(OR(I305="accepted",I305="cond. accept",I305="summer admit"),IF(J305="yes","CHOICE!","Accepted!"),IF(I305="denied","Denied",IF(K305=1,"Waitlist",IF(L305=1,"Deferred",IF(G305="pending","Pending",IF(OR(G305="initial materials submitted",G305="mid-year submitted",G305="final submitted"),"Submitted",IF(H305="interest","Interest","?")))))))</f>
        <v>0</v>
      </c>
      <c r="AM305">
        <f>IF(OR(AK305=ReachLabel,AK305=LongshotLabel,AK305=HailMaryLabel),1,0)</f>
        <v>0</v>
      </c>
      <c r="AN305">
        <f>IF(OR(AM305=1,AK305=MatchLabel),1,0)</f>
        <v>0</v>
      </c>
      <c r="AO305">
        <f>IF(OR(AK305=MatchLabel,AK305=SafetyLabel,AK305=SecureLabel,AK305=SureThingLabel),1,0)</f>
        <v>0</v>
      </c>
      <c r="AP305">
        <f>IF(OR(T305="H",T305="B"),IF(ISNUMBER(Y305),ROUND(Y305,2),0),IF(ISNUMBER(X305),ROUND(X305,2),0))</f>
        <v>0</v>
      </c>
      <c r="AQ305">
        <f>IF(AP305&gt;=U305,1,0)</f>
        <v>0</v>
      </c>
      <c r="AR305">
        <f>IF(AP305&gt;=V305,1,0)</f>
        <v>0</v>
      </c>
      <c r="AS305">
        <f>IF(AP305&lt;(U305-0.10),1,0)</f>
        <v>0</v>
      </c>
      <c r="AT305">
        <f>1-AJ305/100</f>
        <v>0</v>
      </c>
      <c r="AU305">
        <f>IF(AN305=1,AT305,1)</f>
        <v>0</v>
      </c>
      <c r="AV305">
        <f>IF(AM305=1,AT305,1)</f>
        <v>0</v>
      </c>
      <c r="AW305">
        <f>IF(AND(AQ305=1,ISNUMBER(AT305)),$AT305,1)</f>
        <v>0</v>
      </c>
      <c r="AX305">
        <f>IF(AND(AR305=1,ISNUMBER(AT305)),$AT305,1)</f>
        <v>0</v>
      </c>
      <c r="AY305">
        <f>IF(ISNUMBER(Y305),INDEX(AllCollegeMoney, MATCH(N305,AllCollegeNCES,0)),0)</f>
        <v>0</v>
      </c>
      <c r="AZ305">
        <f>IF(AND(AQ305=1,ISNUMBER(AT305),AY305=1),$AT305,1)</f>
        <v>0</v>
      </c>
      <c r="BA305">
        <f>IF(AND(AR305=1,ISNUMBER(AT305),AY305=1),$AT305,1)</f>
        <v>0</v>
      </c>
      <c r="BB305">
        <f>IF(ISNUMBER(Y305),INDEX(AllCollegeILPub, MATCH(N305,AllCollegeNCES,0)),0)</f>
        <v>0</v>
      </c>
      <c r="BC305">
        <f>IF(AK305=ReachLabel,AP305,0)</f>
        <v>0</v>
      </c>
      <c r="BD305">
        <f>IF(AK305=MatchLabel,AP305,0)</f>
        <v>0</v>
      </c>
      <c r="BE305">
        <f>IF(AK305=SafetyLabel,AP305,0)</f>
        <v>0</v>
      </c>
      <c r="BF305">
        <f>IF(AK305=SecureLabel,AP305,0)</f>
        <v>0</v>
      </c>
      <c r="BG305">
        <f>IF(AK305=SureThingLabel,AP305,0)</f>
        <v>0</v>
      </c>
      <c r="BH305">
        <f>MAX(BC305:BG305)</f>
        <v>0</v>
      </c>
      <c r="BI305">
        <f>MAX(BD305:BG305)</f>
        <v>0</v>
      </c>
      <c r="BJ305">
        <f>MAX(BE305:BG305)</f>
        <v>0</v>
      </c>
      <c r="BK305">
        <f>IF(AND(AK305=ReachLabel,AY305=1),AP305,0)</f>
        <v>0</v>
      </c>
      <c r="BL305">
        <f>IF(AND(AK305=MatchLabel,AY305=1),AP305,0)</f>
        <v>0</v>
      </c>
      <c r="BM305">
        <f>IF(AND(AK305=SafetyLabel,AY305=1),AP305,0)</f>
        <v>0</v>
      </c>
      <c r="BN305">
        <f>IF(AND(AK305=SecureLabel,AY305=1),AP305,0)</f>
        <v>0</v>
      </c>
      <c r="BO305">
        <f>IF(AND(AK305=SureThingLabel,AY305=1),AP305,0)</f>
        <v>0</v>
      </c>
      <c r="BP305">
        <f>MAX(BK305:BO305)</f>
        <v>0</v>
      </c>
      <c r="BQ305">
        <f>MAX(BL305:BO305)</f>
        <v>0</v>
      </c>
      <c r="BR305">
        <f>MAX(BM305:BO305)</f>
        <v>0</v>
      </c>
      <c r="BS305">
        <f>IF(ISNUMBER(Y305),INDEX(AllCollegeChicago, MATCH(N305,AllCollegeNCES,0))*AY305,0)</f>
        <v>0</v>
      </c>
      <c r="BT305">
        <f>IF(ISNUMBER(Y305),INDEX(AllCollegeMoneyCode, MATCH(N305,AllCollegeNCES,0)),"?")</f>
        <v>0</v>
      </c>
      <c r="BU305">
        <f>IF(OR(BT305="---",BT305="--",BT305="+/--",BT305="+/---"),1,0)</f>
        <v>0</v>
      </c>
      <c r="BV305">
        <f>AY305*AO305*AQ305</f>
        <v>0</v>
      </c>
    </row>
    <row r="306" spans="1:74">
      <c r="A306" t="s">
        <v>86</v>
      </c>
      <c r="B306">
        <v>23050586</v>
      </c>
      <c r="C306" t="s">
        <v>153</v>
      </c>
      <c r="D306" t="s">
        <v>154</v>
      </c>
      <c r="E306" t="s">
        <v>428</v>
      </c>
      <c r="F306" t="s">
        <v>512</v>
      </c>
      <c r="G306" t="s">
        <v>430</v>
      </c>
      <c r="H306" t="s">
        <v>431</v>
      </c>
      <c r="I306" t="s">
        <v>432</v>
      </c>
      <c r="J306" t="s">
        <v>432</v>
      </c>
      <c r="K306">
        <v>0</v>
      </c>
      <c r="L306" t="s">
        <v>428</v>
      </c>
      <c r="M306" t="s">
        <v>428</v>
      </c>
      <c r="N306">
        <v>145691</v>
      </c>
      <c r="O306">
        <f>INDEX(AllCollegeBarrons,MATCH(N306,AllCollegeNCES,0))</f>
        <v>0</v>
      </c>
      <c r="P306">
        <f>INDEX(KidGPAs,MATCH(B306,KidIDs,0))</f>
        <v>0</v>
      </c>
      <c r="Q306">
        <f>INDEX(KidACTs,MATCH(B306,KidIDs,0))</f>
        <v>0</v>
      </c>
      <c r="R306">
        <f>INDEX(Strats,MATCH(B306,KidIDs,0))</f>
        <v>0</v>
      </c>
      <c r="S306">
        <f>INDEX(KidRace,MATCH(B306,KidIDs,0))</f>
        <v>0</v>
      </c>
      <c r="T306">
        <f>IF(OR(S306="M",S306="I"),"H",S306)</f>
        <v>0</v>
      </c>
      <c r="U306">
        <f>INDEX(StudentTargets,MATCH(B306,KidIDs,0))</f>
        <v>0</v>
      </c>
      <c r="V306">
        <f>INDEX(ReachStudentTargets,MATCH(B306,KidIDs,0))</f>
        <v>0</v>
      </c>
      <c r="W306">
        <f>IF(OR(M306="Posse"),1,0)</f>
        <v>0</v>
      </c>
      <c r="X306">
        <f>IF(ISNUMBER(INDEX(AllCollegeGR, MATCH(N306,AllCollegeNCES,0))),ROUND(INDEX(AllCollegeGR, MATCH(N306,AllCollegeNCES,0))+W306*IF(INDEX(AllCollegeGR, MATCH(N306,AllCollegeNCES,0))&gt;0.7,(1-INDEX(AllCollegeGR, MATCH(N306,AllCollegeNCES,0)))/2,0.15),2),INDEX(AllCollegeGR, MATCH(N306,AllCollegeNCES,0)))</f>
        <v>0</v>
      </c>
      <c r="Y306">
        <f>IF(ISNUMBER(INDEX(AllCollegeAAHGR, MATCH(N306,AllCollegeNCES,0))),ROUND(INDEX(AllCollegeAAHGR, MATCH(N306,AllCollegeNCES,0))+W306*IF(INDEX(AllCollegeAAHGR, MATCH(N306,AllCollegeNCES,0))&gt;0.7,(1-INDEX(AllCollegeAAHGR, MATCH(N306,AllCollegeNCES,0)))/2,0.15),2),INDEX(AllCollegeAAHGR, MATCH(N306,AllCollegeNCES,0)))</f>
        <v>0</v>
      </c>
      <c r="Z306">
        <f>IF(OR(T306="H",T306="B"),INDEX(AllCollegeACT25, MATCH(N306,AllCollegeNCES,0)),INDEX(AllCollegeACT50, MATCH(N306,AllCollegeNCES,0)))</f>
        <v>0</v>
      </c>
      <c r="AA306">
        <f>INDEX(CustomWeightsGPA,MATCH(T306&amp;":"&amp;N306,CustomWeightsIndex,0))</f>
        <v>0</v>
      </c>
      <c r="AB306">
        <f>INDEX(CustomWeightsACT,MATCH(T306&amp;":"&amp;N306,CustomWeightsIndex,0))</f>
        <v>0</v>
      </c>
      <c r="AC306">
        <f>INDEX(CustomWeightsIntercept,MATCH(T306&amp;":"&amp;N306,CustomWeightsIndex,0))</f>
        <v>0</v>
      </c>
      <c r="AD306">
        <f>AA306*P306+AB306*Q306+AC306</f>
        <v>0</v>
      </c>
      <c r="AE306">
        <f>INDEX(CoefficientsGPA,MATCH(T306&amp;":"&amp;O306,CoefficientsIndex,0))</f>
        <v>0</v>
      </c>
      <c r="AF306">
        <f>INDEX(CoefficientsACT,MATCH(T306&amp;":"&amp;O306,CoefficientsIndex,0))</f>
        <v>0</v>
      </c>
      <c r="AG306">
        <f>INDEX(CoefficientsIntercept,MATCH(T306&amp;":"&amp;O306,CoefficientsIndex,0))</f>
        <v>0</v>
      </c>
      <c r="AH306">
        <f>AE306*P306+(Q306-Z306)*AF306+AG306</f>
        <v>0</v>
      </c>
      <c r="AI306">
        <f>IF(ISNUMBER(AD306),AD306,AH306)</f>
        <v>0</v>
      </c>
      <c r="AJ306">
        <f>IF(ISNUMBER(AI306),IF(ISNUMBER(AE306),IF(AND(AE306=1,AF306=1,AG306=1),100,ROUND(100*EXP(AI306)/(1+EXP(AI306)),2)),ROUND(100*EXP(AI306)/(1+EXP(AI306)),2)),IF(ISTEXT(O306),IF(LEFT(O306,1)="2",100,"N/A"),"N/A"))</f>
        <v>0</v>
      </c>
      <c r="AK306">
        <f>IF(ISNUMBER(AJ306),IF(AJ306&gt;=99,IF(OR(R306=10,R306=11),MatchLabel,SureThingLabel),IF(AJ306&gt;=95,SecureLabel,IF(AJ306&gt;=80,SafetyLabel,IF(AJ306&gt;=50,MatchLabel,IF(AJ306&gt;=20,ReachLabel,IF(AJ306&gt;=10,LongshotLabel,HailMaryLabel)))))),"Other")</f>
        <v>0</v>
      </c>
      <c r="AL306">
        <f>IF(OR(I306="accepted",I306="cond. accept",I306="summer admit"),IF(J306="yes","CHOICE!","Accepted!"),IF(I306="denied","Denied",IF(K306=1,"Waitlist",IF(L306=1,"Deferred",IF(G306="pending","Pending",IF(OR(G306="initial materials submitted",G306="mid-year submitted",G306="final submitted"),"Submitted",IF(H306="interest","Interest","?")))))))</f>
        <v>0</v>
      </c>
      <c r="AM306">
        <f>IF(OR(AK306=ReachLabel,AK306=LongshotLabel,AK306=HailMaryLabel),1,0)</f>
        <v>0</v>
      </c>
      <c r="AN306">
        <f>IF(OR(AM306=1,AK306=MatchLabel),1,0)</f>
        <v>0</v>
      </c>
      <c r="AO306">
        <f>IF(OR(AK306=MatchLabel,AK306=SafetyLabel,AK306=SecureLabel,AK306=SureThingLabel),1,0)</f>
        <v>0</v>
      </c>
      <c r="AP306">
        <f>IF(OR(T306="H",T306="B"),IF(ISNUMBER(Y306),ROUND(Y306,2),0),IF(ISNUMBER(X306),ROUND(X306,2),0))</f>
        <v>0</v>
      </c>
      <c r="AQ306">
        <f>IF(AP306&gt;=U306,1,0)</f>
        <v>0</v>
      </c>
      <c r="AR306">
        <f>IF(AP306&gt;=V306,1,0)</f>
        <v>0</v>
      </c>
      <c r="AS306">
        <f>IF(AP306&lt;(U306-0.10),1,0)</f>
        <v>0</v>
      </c>
      <c r="AT306">
        <f>1-AJ306/100</f>
        <v>0</v>
      </c>
      <c r="AU306">
        <f>IF(AN306=1,AT306,1)</f>
        <v>0</v>
      </c>
      <c r="AV306">
        <f>IF(AM306=1,AT306,1)</f>
        <v>0</v>
      </c>
      <c r="AW306">
        <f>IF(AND(AQ306=1,ISNUMBER(AT306)),$AT306,1)</f>
        <v>0</v>
      </c>
      <c r="AX306">
        <f>IF(AND(AR306=1,ISNUMBER(AT306)),$AT306,1)</f>
        <v>0</v>
      </c>
      <c r="AY306">
        <f>IF(ISNUMBER(Y306),INDEX(AllCollegeMoney, MATCH(N306,AllCollegeNCES,0)),0)</f>
        <v>0</v>
      </c>
      <c r="AZ306">
        <f>IF(AND(AQ306=1,ISNUMBER(AT306),AY306=1),$AT306,1)</f>
        <v>0</v>
      </c>
      <c r="BA306">
        <f>IF(AND(AR306=1,ISNUMBER(AT306),AY306=1),$AT306,1)</f>
        <v>0</v>
      </c>
      <c r="BB306">
        <f>IF(ISNUMBER(Y306),INDEX(AllCollegeILPub, MATCH(N306,AllCollegeNCES,0)),0)</f>
        <v>0</v>
      </c>
      <c r="BC306">
        <f>IF(AK306=ReachLabel,AP306,0)</f>
        <v>0</v>
      </c>
      <c r="BD306">
        <f>IF(AK306=MatchLabel,AP306,0)</f>
        <v>0</v>
      </c>
      <c r="BE306">
        <f>IF(AK306=SafetyLabel,AP306,0)</f>
        <v>0</v>
      </c>
      <c r="BF306">
        <f>IF(AK306=SecureLabel,AP306,0)</f>
        <v>0</v>
      </c>
      <c r="BG306">
        <f>IF(AK306=SureThingLabel,AP306,0)</f>
        <v>0</v>
      </c>
      <c r="BH306">
        <f>MAX(BC306:BG306)</f>
        <v>0</v>
      </c>
      <c r="BI306">
        <f>MAX(BD306:BG306)</f>
        <v>0</v>
      </c>
      <c r="BJ306">
        <f>MAX(BE306:BG306)</f>
        <v>0</v>
      </c>
      <c r="BK306">
        <f>IF(AND(AK306=ReachLabel,AY306=1),AP306,0)</f>
        <v>0</v>
      </c>
      <c r="BL306">
        <f>IF(AND(AK306=MatchLabel,AY306=1),AP306,0)</f>
        <v>0</v>
      </c>
      <c r="BM306">
        <f>IF(AND(AK306=SafetyLabel,AY306=1),AP306,0)</f>
        <v>0</v>
      </c>
      <c r="BN306">
        <f>IF(AND(AK306=SecureLabel,AY306=1),AP306,0)</f>
        <v>0</v>
      </c>
      <c r="BO306">
        <f>IF(AND(AK306=SureThingLabel,AY306=1),AP306,0)</f>
        <v>0</v>
      </c>
      <c r="BP306">
        <f>MAX(BK306:BO306)</f>
        <v>0</v>
      </c>
      <c r="BQ306">
        <f>MAX(BL306:BO306)</f>
        <v>0</v>
      </c>
      <c r="BR306">
        <f>MAX(BM306:BO306)</f>
        <v>0</v>
      </c>
      <c r="BS306">
        <f>IF(ISNUMBER(Y306),INDEX(AllCollegeChicago, MATCH(N306,AllCollegeNCES,0))*AY306,0)</f>
        <v>0</v>
      </c>
      <c r="BT306">
        <f>IF(ISNUMBER(Y306),INDEX(AllCollegeMoneyCode, MATCH(N306,AllCollegeNCES,0)),"?")</f>
        <v>0</v>
      </c>
      <c r="BU306">
        <f>IF(OR(BT306="---",BT306="--",BT306="+/--",BT306="+/---"),1,0)</f>
        <v>0</v>
      </c>
      <c r="BV306">
        <f>AY306*AO306*AQ306</f>
        <v>0</v>
      </c>
    </row>
    <row r="307" spans="1:74">
      <c r="A307" t="s">
        <v>86</v>
      </c>
      <c r="B307">
        <v>23050586</v>
      </c>
      <c r="C307" t="s">
        <v>153</v>
      </c>
      <c r="D307" t="s">
        <v>154</v>
      </c>
      <c r="E307" t="s">
        <v>428</v>
      </c>
      <c r="F307" t="s">
        <v>433</v>
      </c>
      <c r="G307" t="s">
        <v>463</v>
      </c>
      <c r="H307" t="s">
        <v>431</v>
      </c>
      <c r="I307" t="s">
        <v>432</v>
      </c>
      <c r="J307" t="s">
        <v>432</v>
      </c>
      <c r="K307">
        <v>0</v>
      </c>
      <c r="L307" t="s">
        <v>428</v>
      </c>
      <c r="M307" t="s">
        <v>428</v>
      </c>
      <c r="N307">
        <v>148496</v>
      </c>
      <c r="O307">
        <f>INDEX(AllCollegeBarrons,MATCH(N307,AllCollegeNCES,0))</f>
        <v>0</v>
      </c>
      <c r="P307">
        <f>INDEX(KidGPAs,MATCH(B307,KidIDs,0))</f>
        <v>0</v>
      </c>
      <c r="Q307">
        <f>INDEX(KidACTs,MATCH(B307,KidIDs,0))</f>
        <v>0</v>
      </c>
      <c r="R307">
        <f>INDEX(Strats,MATCH(B307,KidIDs,0))</f>
        <v>0</v>
      </c>
      <c r="S307">
        <f>INDEX(KidRace,MATCH(B307,KidIDs,0))</f>
        <v>0</v>
      </c>
      <c r="T307">
        <f>IF(OR(S307="M",S307="I"),"H",S307)</f>
        <v>0</v>
      </c>
      <c r="U307">
        <f>INDEX(StudentTargets,MATCH(B307,KidIDs,0))</f>
        <v>0</v>
      </c>
      <c r="V307">
        <f>INDEX(ReachStudentTargets,MATCH(B307,KidIDs,0))</f>
        <v>0</v>
      </c>
      <c r="W307">
        <f>IF(OR(M307="Posse"),1,0)</f>
        <v>0</v>
      </c>
      <c r="X307">
        <f>IF(ISNUMBER(INDEX(AllCollegeGR, MATCH(N307,AllCollegeNCES,0))),ROUND(INDEX(AllCollegeGR, MATCH(N307,AllCollegeNCES,0))+W307*IF(INDEX(AllCollegeGR, MATCH(N307,AllCollegeNCES,0))&gt;0.7,(1-INDEX(AllCollegeGR, MATCH(N307,AllCollegeNCES,0)))/2,0.15),2),INDEX(AllCollegeGR, MATCH(N307,AllCollegeNCES,0)))</f>
        <v>0</v>
      </c>
      <c r="Y307">
        <f>IF(ISNUMBER(INDEX(AllCollegeAAHGR, MATCH(N307,AllCollegeNCES,0))),ROUND(INDEX(AllCollegeAAHGR, MATCH(N307,AllCollegeNCES,0))+W307*IF(INDEX(AllCollegeAAHGR, MATCH(N307,AllCollegeNCES,0))&gt;0.7,(1-INDEX(AllCollegeAAHGR, MATCH(N307,AllCollegeNCES,0)))/2,0.15),2),INDEX(AllCollegeAAHGR, MATCH(N307,AllCollegeNCES,0)))</f>
        <v>0</v>
      </c>
      <c r="Z307">
        <f>IF(OR(T307="H",T307="B"),INDEX(AllCollegeACT25, MATCH(N307,AllCollegeNCES,0)),INDEX(AllCollegeACT50, MATCH(N307,AllCollegeNCES,0)))</f>
        <v>0</v>
      </c>
      <c r="AA307">
        <f>INDEX(CustomWeightsGPA,MATCH(T307&amp;":"&amp;N307,CustomWeightsIndex,0))</f>
        <v>0</v>
      </c>
      <c r="AB307">
        <f>INDEX(CustomWeightsACT,MATCH(T307&amp;":"&amp;N307,CustomWeightsIndex,0))</f>
        <v>0</v>
      </c>
      <c r="AC307">
        <f>INDEX(CustomWeightsIntercept,MATCH(T307&amp;":"&amp;N307,CustomWeightsIndex,0))</f>
        <v>0</v>
      </c>
      <c r="AD307">
        <f>AA307*P307+AB307*Q307+AC307</f>
        <v>0</v>
      </c>
      <c r="AE307">
        <f>INDEX(CoefficientsGPA,MATCH(T307&amp;":"&amp;O307,CoefficientsIndex,0))</f>
        <v>0</v>
      </c>
      <c r="AF307">
        <f>INDEX(CoefficientsACT,MATCH(T307&amp;":"&amp;O307,CoefficientsIndex,0))</f>
        <v>0</v>
      </c>
      <c r="AG307">
        <f>INDEX(CoefficientsIntercept,MATCH(T307&amp;":"&amp;O307,CoefficientsIndex,0))</f>
        <v>0</v>
      </c>
      <c r="AH307">
        <f>AE307*P307+(Q307-Z307)*AF307+AG307</f>
        <v>0</v>
      </c>
      <c r="AI307">
        <f>IF(ISNUMBER(AD307),AD307,AH307)</f>
        <v>0</v>
      </c>
      <c r="AJ307">
        <f>IF(ISNUMBER(AI307),IF(ISNUMBER(AE307),IF(AND(AE307=1,AF307=1,AG307=1),100,ROUND(100*EXP(AI307)/(1+EXP(AI307)),2)),ROUND(100*EXP(AI307)/(1+EXP(AI307)),2)),IF(ISTEXT(O307),IF(LEFT(O307,1)="2",100,"N/A"),"N/A"))</f>
        <v>0</v>
      </c>
      <c r="AK307">
        <f>IF(ISNUMBER(AJ307),IF(AJ307&gt;=99,IF(OR(R307=10,R307=11),MatchLabel,SureThingLabel),IF(AJ307&gt;=95,SecureLabel,IF(AJ307&gt;=80,SafetyLabel,IF(AJ307&gt;=50,MatchLabel,IF(AJ307&gt;=20,ReachLabel,IF(AJ307&gt;=10,LongshotLabel,HailMaryLabel)))))),"Other")</f>
        <v>0</v>
      </c>
      <c r="AL307">
        <f>IF(OR(I307="accepted",I307="cond. accept",I307="summer admit"),IF(J307="yes","CHOICE!","Accepted!"),IF(I307="denied","Denied",IF(K307=1,"Waitlist",IF(L307=1,"Deferred",IF(G307="pending","Pending",IF(OR(G307="initial materials submitted",G307="mid-year submitted",G307="final submitted"),"Submitted",IF(H307="interest","Interest","?")))))))</f>
        <v>0</v>
      </c>
      <c r="AM307">
        <f>IF(OR(AK307=ReachLabel,AK307=LongshotLabel,AK307=HailMaryLabel),1,0)</f>
        <v>0</v>
      </c>
      <c r="AN307">
        <f>IF(OR(AM307=1,AK307=MatchLabel),1,0)</f>
        <v>0</v>
      </c>
      <c r="AO307">
        <f>IF(OR(AK307=MatchLabel,AK307=SafetyLabel,AK307=SecureLabel,AK307=SureThingLabel),1,0)</f>
        <v>0</v>
      </c>
      <c r="AP307">
        <f>IF(OR(T307="H",T307="B"),IF(ISNUMBER(Y307),ROUND(Y307,2),0),IF(ISNUMBER(X307),ROUND(X307,2),0))</f>
        <v>0</v>
      </c>
      <c r="AQ307">
        <f>IF(AP307&gt;=U307,1,0)</f>
        <v>0</v>
      </c>
      <c r="AR307">
        <f>IF(AP307&gt;=V307,1,0)</f>
        <v>0</v>
      </c>
      <c r="AS307">
        <f>IF(AP307&lt;(U307-0.10),1,0)</f>
        <v>0</v>
      </c>
      <c r="AT307">
        <f>1-AJ307/100</f>
        <v>0</v>
      </c>
      <c r="AU307">
        <f>IF(AN307=1,AT307,1)</f>
        <v>0</v>
      </c>
      <c r="AV307">
        <f>IF(AM307=1,AT307,1)</f>
        <v>0</v>
      </c>
      <c r="AW307">
        <f>IF(AND(AQ307=1,ISNUMBER(AT307)),$AT307,1)</f>
        <v>0</v>
      </c>
      <c r="AX307">
        <f>IF(AND(AR307=1,ISNUMBER(AT307)),$AT307,1)</f>
        <v>0</v>
      </c>
      <c r="AY307">
        <f>IF(ISNUMBER(Y307),INDEX(AllCollegeMoney, MATCH(N307,AllCollegeNCES,0)),0)</f>
        <v>0</v>
      </c>
      <c r="AZ307">
        <f>IF(AND(AQ307=1,ISNUMBER(AT307),AY307=1),$AT307,1)</f>
        <v>0</v>
      </c>
      <c r="BA307">
        <f>IF(AND(AR307=1,ISNUMBER(AT307),AY307=1),$AT307,1)</f>
        <v>0</v>
      </c>
      <c r="BB307">
        <f>IF(ISNUMBER(Y307),INDEX(AllCollegeILPub, MATCH(N307,AllCollegeNCES,0)),0)</f>
        <v>0</v>
      </c>
      <c r="BC307">
        <f>IF(AK307=ReachLabel,AP307,0)</f>
        <v>0</v>
      </c>
      <c r="BD307">
        <f>IF(AK307=MatchLabel,AP307,0)</f>
        <v>0</v>
      </c>
      <c r="BE307">
        <f>IF(AK307=SafetyLabel,AP307,0)</f>
        <v>0</v>
      </c>
      <c r="BF307">
        <f>IF(AK307=SecureLabel,AP307,0)</f>
        <v>0</v>
      </c>
      <c r="BG307">
        <f>IF(AK307=SureThingLabel,AP307,0)</f>
        <v>0</v>
      </c>
      <c r="BH307">
        <f>MAX(BC307:BG307)</f>
        <v>0</v>
      </c>
      <c r="BI307">
        <f>MAX(BD307:BG307)</f>
        <v>0</v>
      </c>
      <c r="BJ307">
        <f>MAX(BE307:BG307)</f>
        <v>0</v>
      </c>
      <c r="BK307">
        <f>IF(AND(AK307=ReachLabel,AY307=1),AP307,0)</f>
        <v>0</v>
      </c>
      <c r="BL307">
        <f>IF(AND(AK307=MatchLabel,AY307=1),AP307,0)</f>
        <v>0</v>
      </c>
      <c r="BM307">
        <f>IF(AND(AK307=SafetyLabel,AY307=1),AP307,0)</f>
        <v>0</v>
      </c>
      <c r="BN307">
        <f>IF(AND(AK307=SecureLabel,AY307=1),AP307,0)</f>
        <v>0</v>
      </c>
      <c r="BO307">
        <f>IF(AND(AK307=SureThingLabel,AY307=1),AP307,0)</f>
        <v>0</v>
      </c>
      <c r="BP307">
        <f>MAX(BK307:BO307)</f>
        <v>0</v>
      </c>
      <c r="BQ307">
        <f>MAX(BL307:BO307)</f>
        <v>0</v>
      </c>
      <c r="BR307">
        <f>MAX(BM307:BO307)</f>
        <v>0</v>
      </c>
      <c r="BS307">
        <f>IF(ISNUMBER(Y307),INDEX(AllCollegeChicago, MATCH(N307,AllCollegeNCES,0))*AY307,0)</f>
        <v>0</v>
      </c>
      <c r="BT307">
        <f>IF(ISNUMBER(Y307),INDEX(AllCollegeMoneyCode, MATCH(N307,AllCollegeNCES,0)),"?")</f>
        <v>0</v>
      </c>
      <c r="BU307">
        <f>IF(OR(BT307="---",BT307="--",BT307="+/--",BT307="+/---"),1,0)</f>
        <v>0</v>
      </c>
      <c r="BV307">
        <f>AY307*AO307*AQ307</f>
        <v>0</v>
      </c>
    </row>
    <row r="308" spans="1:74">
      <c r="A308" t="s">
        <v>86</v>
      </c>
      <c r="B308">
        <v>23050586</v>
      </c>
      <c r="C308" t="s">
        <v>153</v>
      </c>
      <c r="D308" t="s">
        <v>154</v>
      </c>
      <c r="E308" t="s">
        <v>428</v>
      </c>
      <c r="F308" t="s">
        <v>533</v>
      </c>
      <c r="G308" t="s">
        <v>526</v>
      </c>
      <c r="H308" t="s">
        <v>526</v>
      </c>
      <c r="I308" t="s">
        <v>527</v>
      </c>
      <c r="J308" t="s">
        <v>428</v>
      </c>
      <c r="K308" t="s">
        <v>428</v>
      </c>
      <c r="L308" t="s">
        <v>428</v>
      </c>
      <c r="M308" t="s">
        <v>428</v>
      </c>
      <c r="N308">
        <v>145691</v>
      </c>
      <c r="O308">
        <f>INDEX(AllCollegeBarrons,MATCH(N308,AllCollegeNCES,0))</f>
        <v>0</v>
      </c>
      <c r="P308">
        <f>INDEX(KidGPAs,MATCH(B308,KidIDs,0))</f>
        <v>0</v>
      </c>
      <c r="Q308">
        <f>INDEX(KidACTs,MATCH(B308,KidIDs,0))</f>
        <v>0</v>
      </c>
      <c r="R308">
        <f>INDEX(Strats,MATCH(B308,KidIDs,0))</f>
        <v>0</v>
      </c>
      <c r="S308">
        <f>INDEX(KidRace,MATCH(B308,KidIDs,0))</f>
        <v>0</v>
      </c>
      <c r="T308">
        <f>IF(OR(S308="M",S308="I"),"H",S308)</f>
        <v>0</v>
      </c>
      <c r="U308">
        <f>INDEX(StudentTargets,MATCH(B308,KidIDs,0))</f>
        <v>0</v>
      </c>
      <c r="V308">
        <f>INDEX(ReachStudentTargets,MATCH(B308,KidIDs,0))</f>
        <v>0</v>
      </c>
      <c r="W308">
        <f>IF(OR(M308="Posse"),1,0)</f>
        <v>0</v>
      </c>
      <c r="X308">
        <f>IF(ISNUMBER(INDEX(AllCollegeGR, MATCH(N308,AllCollegeNCES,0))),ROUND(INDEX(AllCollegeGR, MATCH(N308,AllCollegeNCES,0))+W308*IF(INDEX(AllCollegeGR, MATCH(N308,AllCollegeNCES,0))&gt;0.7,(1-INDEX(AllCollegeGR, MATCH(N308,AllCollegeNCES,0)))/2,0.15),2),INDEX(AllCollegeGR, MATCH(N308,AllCollegeNCES,0)))</f>
        <v>0</v>
      </c>
      <c r="Y308">
        <f>IF(ISNUMBER(INDEX(AllCollegeAAHGR, MATCH(N308,AllCollegeNCES,0))),ROUND(INDEX(AllCollegeAAHGR, MATCH(N308,AllCollegeNCES,0))+W308*IF(INDEX(AllCollegeAAHGR, MATCH(N308,AllCollegeNCES,0))&gt;0.7,(1-INDEX(AllCollegeAAHGR, MATCH(N308,AllCollegeNCES,0)))/2,0.15),2),INDEX(AllCollegeAAHGR, MATCH(N308,AllCollegeNCES,0)))</f>
        <v>0</v>
      </c>
      <c r="Z308">
        <f>IF(OR(T308="H",T308="B"),INDEX(AllCollegeACT25, MATCH(N308,AllCollegeNCES,0)),INDEX(AllCollegeACT50, MATCH(N308,AllCollegeNCES,0)))</f>
        <v>0</v>
      </c>
      <c r="AA308">
        <f>INDEX(CustomWeightsGPA,MATCH(T308&amp;":"&amp;N308,CustomWeightsIndex,0))</f>
        <v>0</v>
      </c>
      <c r="AB308">
        <f>INDEX(CustomWeightsACT,MATCH(T308&amp;":"&amp;N308,CustomWeightsIndex,0))</f>
        <v>0</v>
      </c>
      <c r="AC308">
        <f>INDEX(CustomWeightsIntercept,MATCH(T308&amp;":"&amp;N308,CustomWeightsIndex,0))</f>
        <v>0</v>
      </c>
      <c r="AD308">
        <f>AA308*P308+AB308*Q308+AC308</f>
        <v>0</v>
      </c>
      <c r="AE308">
        <f>INDEX(CoefficientsGPA,MATCH(T308&amp;":"&amp;O308,CoefficientsIndex,0))</f>
        <v>0</v>
      </c>
      <c r="AF308">
        <f>INDEX(CoefficientsACT,MATCH(T308&amp;":"&amp;O308,CoefficientsIndex,0))</f>
        <v>0</v>
      </c>
      <c r="AG308">
        <f>INDEX(CoefficientsIntercept,MATCH(T308&amp;":"&amp;O308,CoefficientsIndex,0))</f>
        <v>0</v>
      </c>
      <c r="AH308">
        <f>AE308*P308+(Q308-Z308)*AF308+AG308</f>
        <v>0</v>
      </c>
      <c r="AI308">
        <f>IF(ISNUMBER(AD308),AD308,AH308)</f>
        <v>0</v>
      </c>
      <c r="AJ308">
        <f>IF(ISNUMBER(AI308),IF(ISNUMBER(AE308),IF(AND(AE308=1,AF308=1,AG308=1),100,ROUND(100*EXP(AI308)/(1+EXP(AI308)),2)),ROUND(100*EXP(AI308)/(1+EXP(AI308)),2)),IF(ISTEXT(O308),IF(LEFT(O308,1)="2",100,"N/A"),"N/A"))</f>
        <v>0</v>
      </c>
      <c r="AK308">
        <f>IF(ISNUMBER(AJ308),IF(AJ308&gt;=99,IF(OR(R308=10,R308=11),MatchLabel,SureThingLabel),IF(AJ308&gt;=95,SecureLabel,IF(AJ308&gt;=80,SafetyLabel,IF(AJ308&gt;=50,MatchLabel,IF(AJ308&gt;=20,ReachLabel,IF(AJ308&gt;=10,LongshotLabel,HailMaryLabel)))))),"Other")</f>
        <v>0</v>
      </c>
      <c r="AL308">
        <f>IF(OR(I308="accepted",I308="cond. accept",I308="summer admit"),IF(J308="yes","CHOICE!","Accepted!"),IF(I308="denied","Denied",IF(K308=1,"Waitlist",IF(L308=1,"Deferred",IF(G308="pending","Pending",IF(OR(G308="initial materials submitted",G308="mid-year submitted",G308="final submitted"),"Submitted",IF(H308="interest","Interest","?")))))))</f>
        <v>0</v>
      </c>
      <c r="AM308">
        <f>IF(OR(AK308=ReachLabel,AK308=LongshotLabel,AK308=HailMaryLabel),1,0)</f>
        <v>0</v>
      </c>
      <c r="AN308">
        <f>IF(OR(AM308=1,AK308=MatchLabel),1,0)</f>
        <v>0</v>
      </c>
      <c r="AO308">
        <f>IF(OR(AK308=MatchLabel,AK308=SafetyLabel,AK308=SecureLabel,AK308=SureThingLabel),1,0)</f>
        <v>0</v>
      </c>
      <c r="AP308">
        <f>IF(OR(T308="H",T308="B"),IF(ISNUMBER(Y308),ROUND(Y308,2),0),IF(ISNUMBER(X308),ROUND(X308,2),0))</f>
        <v>0</v>
      </c>
      <c r="AQ308">
        <f>IF(AP308&gt;=U308,1,0)</f>
        <v>0</v>
      </c>
      <c r="AR308">
        <f>IF(AP308&gt;=V308,1,0)</f>
        <v>0</v>
      </c>
      <c r="AS308">
        <f>IF(AP308&lt;(U308-0.10),1,0)</f>
        <v>0</v>
      </c>
      <c r="AT308">
        <f>1-AJ308/100</f>
        <v>0</v>
      </c>
      <c r="AU308">
        <f>IF(AN308=1,AT308,1)</f>
        <v>0</v>
      </c>
      <c r="AV308">
        <f>IF(AM308=1,AT308,1)</f>
        <v>0</v>
      </c>
      <c r="AW308">
        <f>IF(AND(AQ308=1,ISNUMBER(AT308)),$AT308,1)</f>
        <v>0</v>
      </c>
      <c r="AX308">
        <f>IF(AND(AR308=1,ISNUMBER(AT308)),$AT308,1)</f>
        <v>0</v>
      </c>
      <c r="AY308">
        <f>IF(ISNUMBER(Y308),INDEX(AllCollegeMoney, MATCH(N308,AllCollegeNCES,0)),0)</f>
        <v>0</v>
      </c>
      <c r="AZ308">
        <f>IF(AND(AQ308=1,ISNUMBER(AT308),AY308=1),$AT308,1)</f>
        <v>0</v>
      </c>
      <c r="BA308">
        <f>IF(AND(AR308=1,ISNUMBER(AT308),AY308=1),$AT308,1)</f>
        <v>0</v>
      </c>
      <c r="BB308">
        <f>IF(ISNUMBER(Y308),INDEX(AllCollegeILPub, MATCH(N308,AllCollegeNCES,0)),0)</f>
        <v>0</v>
      </c>
      <c r="BC308">
        <f>IF(AK308=ReachLabel,AP308,0)</f>
        <v>0</v>
      </c>
      <c r="BD308">
        <f>IF(AK308=MatchLabel,AP308,0)</f>
        <v>0</v>
      </c>
      <c r="BE308">
        <f>IF(AK308=SafetyLabel,AP308,0)</f>
        <v>0</v>
      </c>
      <c r="BF308">
        <f>IF(AK308=SecureLabel,AP308,0)</f>
        <v>0</v>
      </c>
      <c r="BG308">
        <f>IF(AK308=SureThingLabel,AP308,0)</f>
        <v>0</v>
      </c>
      <c r="BH308">
        <f>MAX(BC308:BG308)</f>
        <v>0</v>
      </c>
      <c r="BI308">
        <f>MAX(BD308:BG308)</f>
        <v>0</v>
      </c>
      <c r="BJ308">
        <f>MAX(BE308:BG308)</f>
        <v>0</v>
      </c>
      <c r="BK308">
        <f>IF(AND(AK308=ReachLabel,AY308=1),AP308,0)</f>
        <v>0</v>
      </c>
      <c r="BL308">
        <f>IF(AND(AK308=MatchLabel,AY308=1),AP308,0)</f>
        <v>0</v>
      </c>
      <c r="BM308">
        <f>IF(AND(AK308=SafetyLabel,AY308=1),AP308,0)</f>
        <v>0</v>
      </c>
      <c r="BN308">
        <f>IF(AND(AK308=SecureLabel,AY308=1),AP308,0)</f>
        <v>0</v>
      </c>
      <c r="BO308">
        <f>IF(AND(AK308=SureThingLabel,AY308=1),AP308,0)</f>
        <v>0</v>
      </c>
      <c r="BP308">
        <f>MAX(BK308:BO308)</f>
        <v>0</v>
      </c>
      <c r="BQ308">
        <f>MAX(BL308:BO308)</f>
        <v>0</v>
      </c>
      <c r="BR308">
        <f>MAX(BM308:BO308)</f>
        <v>0</v>
      </c>
      <c r="BS308">
        <f>IF(ISNUMBER(Y308),INDEX(AllCollegeChicago, MATCH(N308,AllCollegeNCES,0))*AY308,0)</f>
        <v>0</v>
      </c>
      <c r="BT308">
        <f>IF(ISNUMBER(Y308),INDEX(AllCollegeMoneyCode, MATCH(N308,AllCollegeNCES,0)),"?")</f>
        <v>0</v>
      </c>
      <c r="BU308">
        <f>IF(OR(BT308="---",BT308="--",BT308="+/--",BT308="+/---"),1,0)</f>
        <v>0</v>
      </c>
      <c r="BV308">
        <f>AY308*AO308*AQ308</f>
        <v>0</v>
      </c>
    </row>
    <row r="309" spans="1:74">
      <c r="A309" t="s">
        <v>86</v>
      </c>
      <c r="B309">
        <v>23050586</v>
      </c>
      <c r="C309" t="s">
        <v>153</v>
      </c>
      <c r="D309" t="s">
        <v>154</v>
      </c>
      <c r="E309" t="s">
        <v>428</v>
      </c>
      <c r="F309" t="s">
        <v>447</v>
      </c>
      <c r="G309" t="s">
        <v>430</v>
      </c>
      <c r="H309" t="s">
        <v>431</v>
      </c>
      <c r="I309" t="s">
        <v>432</v>
      </c>
      <c r="J309" t="s">
        <v>432</v>
      </c>
      <c r="K309">
        <v>0</v>
      </c>
      <c r="L309" t="s">
        <v>428</v>
      </c>
      <c r="M309" t="s">
        <v>428</v>
      </c>
      <c r="N309">
        <v>145600</v>
      </c>
      <c r="O309">
        <f>INDEX(AllCollegeBarrons,MATCH(N309,AllCollegeNCES,0))</f>
        <v>0</v>
      </c>
      <c r="P309">
        <f>INDEX(KidGPAs,MATCH(B309,KidIDs,0))</f>
        <v>0</v>
      </c>
      <c r="Q309">
        <f>INDEX(KidACTs,MATCH(B309,KidIDs,0))</f>
        <v>0</v>
      </c>
      <c r="R309">
        <f>INDEX(Strats,MATCH(B309,KidIDs,0))</f>
        <v>0</v>
      </c>
      <c r="S309">
        <f>INDEX(KidRace,MATCH(B309,KidIDs,0))</f>
        <v>0</v>
      </c>
      <c r="T309">
        <f>IF(OR(S309="M",S309="I"),"H",S309)</f>
        <v>0</v>
      </c>
      <c r="U309">
        <f>INDEX(StudentTargets,MATCH(B309,KidIDs,0))</f>
        <v>0</v>
      </c>
      <c r="V309">
        <f>INDEX(ReachStudentTargets,MATCH(B309,KidIDs,0))</f>
        <v>0</v>
      </c>
      <c r="W309">
        <f>IF(OR(M309="Posse"),1,0)</f>
        <v>0</v>
      </c>
      <c r="X309">
        <f>IF(ISNUMBER(INDEX(AllCollegeGR, MATCH(N309,AllCollegeNCES,0))),ROUND(INDEX(AllCollegeGR, MATCH(N309,AllCollegeNCES,0))+W309*IF(INDEX(AllCollegeGR, MATCH(N309,AllCollegeNCES,0))&gt;0.7,(1-INDEX(AllCollegeGR, MATCH(N309,AllCollegeNCES,0)))/2,0.15),2),INDEX(AllCollegeGR, MATCH(N309,AllCollegeNCES,0)))</f>
        <v>0</v>
      </c>
      <c r="Y309">
        <f>IF(ISNUMBER(INDEX(AllCollegeAAHGR, MATCH(N309,AllCollegeNCES,0))),ROUND(INDEX(AllCollegeAAHGR, MATCH(N309,AllCollegeNCES,0))+W309*IF(INDEX(AllCollegeAAHGR, MATCH(N309,AllCollegeNCES,0))&gt;0.7,(1-INDEX(AllCollegeAAHGR, MATCH(N309,AllCollegeNCES,0)))/2,0.15),2),INDEX(AllCollegeAAHGR, MATCH(N309,AllCollegeNCES,0)))</f>
        <v>0</v>
      </c>
      <c r="Z309">
        <f>IF(OR(T309="H",T309="B"),INDEX(AllCollegeACT25, MATCH(N309,AllCollegeNCES,0)),INDEX(AllCollegeACT50, MATCH(N309,AllCollegeNCES,0)))</f>
        <v>0</v>
      </c>
      <c r="AA309">
        <f>INDEX(CustomWeightsGPA,MATCH(T309&amp;":"&amp;N309,CustomWeightsIndex,0))</f>
        <v>0</v>
      </c>
      <c r="AB309">
        <f>INDEX(CustomWeightsACT,MATCH(T309&amp;":"&amp;N309,CustomWeightsIndex,0))</f>
        <v>0</v>
      </c>
      <c r="AC309">
        <f>INDEX(CustomWeightsIntercept,MATCH(T309&amp;":"&amp;N309,CustomWeightsIndex,0))</f>
        <v>0</v>
      </c>
      <c r="AD309">
        <f>AA309*P309+AB309*Q309+AC309</f>
        <v>0</v>
      </c>
      <c r="AE309">
        <f>INDEX(CoefficientsGPA,MATCH(T309&amp;":"&amp;O309,CoefficientsIndex,0))</f>
        <v>0</v>
      </c>
      <c r="AF309">
        <f>INDEX(CoefficientsACT,MATCH(T309&amp;":"&amp;O309,CoefficientsIndex,0))</f>
        <v>0</v>
      </c>
      <c r="AG309">
        <f>INDEX(CoefficientsIntercept,MATCH(T309&amp;":"&amp;O309,CoefficientsIndex,0))</f>
        <v>0</v>
      </c>
      <c r="AH309">
        <f>AE309*P309+(Q309-Z309)*AF309+AG309</f>
        <v>0</v>
      </c>
      <c r="AI309">
        <f>IF(ISNUMBER(AD309),AD309,AH309)</f>
        <v>0</v>
      </c>
      <c r="AJ309">
        <f>IF(ISNUMBER(AI309),IF(ISNUMBER(AE309),IF(AND(AE309=1,AF309=1,AG309=1),100,ROUND(100*EXP(AI309)/(1+EXP(AI309)),2)),ROUND(100*EXP(AI309)/(1+EXP(AI309)),2)),IF(ISTEXT(O309),IF(LEFT(O309,1)="2",100,"N/A"),"N/A"))</f>
        <v>0</v>
      </c>
      <c r="AK309">
        <f>IF(ISNUMBER(AJ309),IF(AJ309&gt;=99,IF(OR(R309=10,R309=11),MatchLabel,SureThingLabel),IF(AJ309&gt;=95,SecureLabel,IF(AJ309&gt;=80,SafetyLabel,IF(AJ309&gt;=50,MatchLabel,IF(AJ309&gt;=20,ReachLabel,IF(AJ309&gt;=10,LongshotLabel,HailMaryLabel)))))),"Other")</f>
        <v>0</v>
      </c>
      <c r="AL309">
        <f>IF(OR(I309="accepted",I309="cond. accept",I309="summer admit"),IF(J309="yes","CHOICE!","Accepted!"),IF(I309="denied","Denied",IF(K309=1,"Waitlist",IF(L309=1,"Deferred",IF(G309="pending","Pending",IF(OR(G309="initial materials submitted",G309="mid-year submitted",G309="final submitted"),"Submitted",IF(H309="interest","Interest","?")))))))</f>
        <v>0</v>
      </c>
      <c r="AM309">
        <f>IF(OR(AK309=ReachLabel,AK309=LongshotLabel,AK309=HailMaryLabel),1,0)</f>
        <v>0</v>
      </c>
      <c r="AN309">
        <f>IF(OR(AM309=1,AK309=MatchLabel),1,0)</f>
        <v>0</v>
      </c>
      <c r="AO309">
        <f>IF(OR(AK309=MatchLabel,AK309=SafetyLabel,AK309=SecureLabel,AK309=SureThingLabel),1,0)</f>
        <v>0</v>
      </c>
      <c r="AP309">
        <f>IF(OR(T309="H",T309="B"),IF(ISNUMBER(Y309),ROUND(Y309,2),0),IF(ISNUMBER(X309),ROUND(X309,2),0))</f>
        <v>0</v>
      </c>
      <c r="AQ309">
        <f>IF(AP309&gt;=U309,1,0)</f>
        <v>0</v>
      </c>
      <c r="AR309">
        <f>IF(AP309&gt;=V309,1,0)</f>
        <v>0</v>
      </c>
      <c r="AS309">
        <f>IF(AP309&lt;(U309-0.10),1,0)</f>
        <v>0</v>
      </c>
      <c r="AT309">
        <f>1-AJ309/100</f>
        <v>0</v>
      </c>
      <c r="AU309">
        <f>IF(AN309=1,AT309,1)</f>
        <v>0</v>
      </c>
      <c r="AV309">
        <f>IF(AM309=1,AT309,1)</f>
        <v>0</v>
      </c>
      <c r="AW309">
        <f>IF(AND(AQ309=1,ISNUMBER(AT309)),$AT309,1)</f>
        <v>0</v>
      </c>
      <c r="AX309">
        <f>IF(AND(AR309=1,ISNUMBER(AT309)),$AT309,1)</f>
        <v>0</v>
      </c>
      <c r="AY309">
        <f>IF(ISNUMBER(Y309),INDEX(AllCollegeMoney, MATCH(N309,AllCollegeNCES,0)),0)</f>
        <v>0</v>
      </c>
      <c r="AZ309">
        <f>IF(AND(AQ309=1,ISNUMBER(AT309),AY309=1),$AT309,1)</f>
        <v>0</v>
      </c>
      <c r="BA309">
        <f>IF(AND(AR309=1,ISNUMBER(AT309),AY309=1),$AT309,1)</f>
        <v>0</v>
      </c>
      <c r="BB309">
        <f>IF(ISNUMBER(Y309),INDEX(AllCollegeILPub, MATCH(N309,AllCollegeNCES,0)),0)</f>
        <v>0</v>
      </c>
      <c r="BC309">
        <f>IF(AK309=ReachLabel,AP309,0)</f>
        <v>0</v>
      </c>
      <c r="BD309">
        <f>IF(AK309=MatchLabel,AP309,0)</f>
        <v>0</v>
      </c>
      <c r="BE309">
        <f>IF(AK309=SafetyLabel,AP309,0)</f>
        <v>0</v>
      </c>
      <c r="BF309">
        <f>IF(AK309=SecureLabel,AP309,0)</f>
        <v>0</v>
      </c>
      <c r="BG309">
        <f>IF(AK309=SureThingLabel,AP309,0)</f>
        <v>0</v>
      </c>
      <c r="BH309">
        <f>MAX(BC309:BG309)</f>
        <v>0</v>
      </c>
      <c r="BI309">
        <f>MAX(BD309:BG309)</f>
        <v>0</v>
      </c>
      <c r="BJ309">
        <f>MAX(BE309:BG309)</f>
        <v>0</v>
      </c>
      <c r="BK309">
        <f>IF(AND(AK309=ReachLabel,AY309=1),AP309,0)</f>
        <v>0</v>
      </c>
      <c r="BL309">
        <f>IF(AND(AK309=MatchLabel,AY309=1),AP309,0)</f>
        <v>0</v>
      </c>
      <c r="BM309">
        <f>IF(AND(AK309=SafetyLabel,AY309=1),AP309,0)</f>
        <v>0</v>
      </c>
      <c r="BN309">
        <f>IF(AND(AK309=SecureLabel,AY309=1),AP309,0)</f>
        <v>0</v>
      </c>
      <c r="BO309">
        <f>IF(AND(AK309=SureThingLabel,AY309=1),AP309,0)</f>
        <v>0</v>
      </c>
      <c r="BP309">
        <f>MAX(BK309:BO309)</f>
        <v>0</v>
      </c>
      <c r="BQ309">
        <f>MAX(BL309:BO309)</f>
        <v>0</v>
      </c>
      <c r="BR309">
        <f>MAX(BM309:BO309)</f>
        <v>0</v>
      </c>
      <c r="BS309">
        <f>IF(ISNUMBER(Y309),INDEX(AllCollegeChicago, MATCH(N309,AllCollegeNCES,0))*AY309,0)</f>
        <v>0</v>
      </c>
      <c r="BT309">
        <f>IF(ISNUMBER(Y309),INDEX(AllCollegeMoneyCode, MATCH(N309,AllCollegeNCES,0)),"?")</f>
        <v>0</v>
      </c>
      <c r="BU309">
        <f>IF(OR(BT309="---",BT309="--",BT309="+/--",BT309="+/---"),1,0)</f>
        <v>0</v>
      </c>
      <c r="BV309">
        <f>AY309*AO309*AQ309</f>
        <v>0</v>
      </c>
    </row>
    <row r="310" spans="1:74">
      <c r="A310" t="s">
        <v>86</v>
      </c>
      <c r="B310">
        <v>23050586</v>
      </c>
      <c r="C310" t="s">
        <v>153</v>
      </c>
      <c r="D310" t="s">
        <v>154</v>
      </c>
      <c r="E310" t="s">
        <v>428</v>
      </c>
      <c r="F310" t="s">
        <v>489</v>
      </c>
      <c r="G310" t="s">
        <v>430</v>
      </c>
      <c r="H310" t="s">
        <v>431</v>
      </c>
      <c r="I310" t="s">
        <v>432</v>
      </c>
      <c r="J310" t="s">
        <v>432</v>
      </c>
      <c r="K310">
        <v>0</v>
      </c>
      <c r="L310" t="s">
        <v>428</v>
      </c>
      <c r="M310" t="s">
        <v>428</v>
      </c>
      <c r="N310">
        <v>147679</v>
      </c>
      <c r="O310">
        <f>INDEX(AllCollegeBarrons,MATCH(N310,AllCollegeNCES,0))</f>
        <v>0</v>
      </c>
      <c r="P310">
        <f>INDEX(KidGPAs,MATCH(B310,KidIDs,0))</f>
        <v>0</v>
      </c>
      <c r="Q310">
        <f>INDEX(KidACTs,MATCH(B310,KidIDs,0))</f>
        <v>0</v>
      </c>
      <c r="R310">
        <f>INDEX(Strats,MATCH(B310,KidIDs,0))</f>
        <v>0</v>
      </c>
      <c r="S310">
        <f>INDEX(KidRace,MATCH(B310,KidIDs,0))</f>
        <v>0</v>
      </c>
      <c r="T310">
        <f>IF(OR(S310="M",S310="I"),"H",S310)</f>
        <v>0</v>
      </c>
      <c r="U310">
        <f>INDEX(StudentTargets,MATCH(B310,KidIDs,0))</f>
        <v>0</v>
      </c>
      <c r="V310">
        <f>INDEX(ReachStudentTargets,MATCH(B310,KidIDs,0))</f>
        <v>0</v>
      </c>
      <c r="W310">
        <f>IF(OR(M310="Posse"),1,0)</f>
        <v>0</v>
      </c>
      <c r="X310">
        <f>IF(ISNUMBER(INDEX(AllCollegeGR, MATCH(N310,AllCollegeNCES,0))),ROUND(INDEX(AllCollegeGR, MATCH(N310,AllCollegeNCES,0))+W310*IF(INDEX(AllCollegeGR, MATCH(N310,AllCollegeNCES,0))&gt;0.7,(1-INDEX(AllCollegeGR, MATCH(N310,AllCollegeNCES,0)))/2,0.15),2),INDEX(AllCollegeGR, MATCH(N310,AllCollegeNCES,0)))</f>
        <v>0</v>
      </c>
      <c r="Y310">
        <f>IF(ISNUMBER(INDEX(AllCollegeAAHGR, MATCH(N310,AllCollegeNCES,0))),ROUND(INDEX(AllCollegeAAHGR, MATCH(N310,AllCollegeNCES,0))+W310*IF(INDEX(AllCollegeAAHGR, MATCH(N310,AllCollegeNCES,0))&gt;0.7,(1-INDEX(AllCollegeAAHGR, MATCH(N310,AllCollegeNCES,0)))/2,0.15),2),INDEX(AllCollegeAAHGR, MATCH(N310,AllCollegeNCES,0)))</f>
        <v>0</v>
      </c>
      <c r="Z310">
        <f>IF(OR(T310="H",T310="B"),INDEX(AllCollegeACT25, MATCH(N310,AllCollegeNCES,0)),INDEX(AllCollegeACT50, MATCH(N310,AllCollegeNCES,0)))</f>
        <v>0</v>
      </c>
      <c r="AA310">
        <f>INDEX(CustomWeightsGPA,MATCH(T310&amp;":"&amp;N310,CustomWeightsIndex,0))</f>
        <v>0</v>
      </c>
      <c r="AB310">
        <f>INDEX(CustomWeightsACT,MATCH(T310&amp;":"&amp;N310,CustomWeightsIndex,0))</f>
        <v>0</v>
      </c>
      <c r="AC310">
        <f>INDEX(CustomWeightsIntercept,MATCH(T310&amp;":"&amp;N310,CustomWeightsIndex,0))</f>
        <v>0</v>
      </c>
      <c r="AD310">
        <f>AA310*P310+AB310*Q310+AC310</f>
        <v>0</v>
      </c>
      <c r="AE310">
        <f>INDEX(CoefficientsGPA,MATCH(T310&amp;":"&amp;O310,CoefficientsIndex,0))</f>
        <v>0</v>
      </c>
      <c r="AF310">
        <f>INDEX(CoefficientsACT,MATCH(T310&amp;":"&amp;O310,CoefficientsIndex,0))</f>
        <v>0</v>
      </c>
      <c r="AG310">
        <f>INDEX(CoefficientsIntercept,MATCH(T310&amp;":"&amp;O310,CoefficientsIndex,0))</f>
        <v>0</v>
      </c>
      <c r="AH310">
        <f>AE310*P310+(Q310-Z310)*AF310+AG310</f>
        <v>0</v>
      </c>
      <c r="AI310">
        <f>IF(ISNUMBER(AD310),AD310,AH310)</f>
        <v>0</v>
      </c>
      <c r="AJ310">
        <f>IF(ISNUMBER(AI310),IF(ISNUMBER(AE310),IF(AND(AE310=1,AF310=1,AG310=1),100,ROUND(100*EXP(AI310)/(1+EXP(AI310)),2)),ROUND(100*EXP(AI310)/(1+EXP(AI310)),2)),IF(ISTEXT(O310),IF(LEFT(O310,1)="2",100,"N/A"),"N/A"))</f>
        <v>0</v>
      </c>
      <c r="AK310">
        <f>IF(ISNUMBER(AJ310),IF(AJ310&gt;=99,IF(OR(R310=10,R310=11),MatchLabel,SureThingLabel),IF(AJ310&gt;=95,SecureLabel,IF(AJ310&gt;=80,SafetyLabel,IF(AJ310&gt;=50,MatchLabel,IF(AJ310&gt;=20,ReachLabel,IF(AJ310&gt;=10,LongshotLabel,HailMaryLabel)))))),"Other")</f>
        <v>0</v>
      </c>
      <c r="AL310">
        <f>IF(OR(I310="accepted",I310="cond. accept",I310="summer admit"),IF(J310="yes","CHOICE!","Accepted!"),IF(I310="denied","Denied",IF(K310=1,"Waitlist",IF(L310=1,"Deferred",IF(G310="pending","Pending",IF(OR(G310="initial materials submitted",G310="mid-year submitted",G310="final submitted"),"Submitted",IF(H310="interest","Interest","?")))))))</f>
        <v>0</v>
      </c>
      <c r="AM310">
        <f>IF(OR(AK310=ReachLabel,AK310=LongshotLabel,AK310=HailMaryLabel),1,0)</f>
        <v>0</v>
      </c>
      <c r="AN310">
        <f>IF(OR(AM310=1,AK310=MatchLabel),1,0)</f>
        <v>0</v>
      </c>
      <c r="AO310">
        <f>IF(OR(AK310=MatchLabel,AK310=SafetyLabel,AK310=SecureLabel,AK310=SureThingLabel),1,0)</f>
        <v>0</v>
      </c>
      <c r="AP310">
        <f>IF(OR(T310="H",T310="B"),IF(ISNUMBER(Y310),ROUND(Y310,2),0),IF(ISNUMBER(X310),ROUND(X310,2),0))</f>
        <v>0</v>
      </c>
      <c r="AQ310">
        <f>IF(AP310&gt;=U310,1,0)</f>
        <v>0</v>
      </c>
      <c r="AR310">
        <f>IF(AP310&gt;=V310,1,0)</f>
        <v>0</v>
      </c>
      <c r="AS310">
        <f>IF(AP310&lt;(U310-0.10),1,0)</f>
        <v>0</v>
      </c>
      <c r="AT310">
        <f>1-AJ310/100</f>
        <v>0</v>
      </c>
      <c r="AU310">
        <f>IF(AN310=1,AT310,1)</f>
        <v>0</v>
      </c>
      <c r="AV310">
        <f>IF(AM310=1,AT310,1)</f>
        <v>0</v>
      </c>
      <c r="AW310">
        <f>IF(AND(AQ310=1,ISNUMBER(AT310)),$AT310,1)</f>
        <v>0</v>
      </c>
      <c r="AX310">
        <f>IF(AND(AR310=1,ISNUMBER(AT310)),$AT310,1)</f>
        <v>0</v>
      </c>
      <c r="AY310">
        <f>IF(ISNUMBER(Y310),INDEX(AllCollegeMoney, MATCH(N310,AllCollegeNCES,0)),0)</f>
        <v>0</v>
      </c>
      <c r="AZ310">
        <f>IF(AND(AQ310=1,ISNUMBER(AT310),AY310=1),$AT310,1)</f>
        <v>0</v>
      </c>
      <c r="BA310">
        <f>IF(AND(AR310=1,ISNUMBER(AT310),AY310=1),$AT310,1)</f>
        <v>0</v>
      </c>
      <c r="BB310">
        <f>IF(ISNUMBER(Y310),INDEX(AllCollegeILPub, MATCH(N310,AllCollegeNCES,0)),0)</f>
        <v>0</v>
      </c>
      <c r="BC310">
        <f>IF(AK310=ReachLabel,AP310,0)</f>
        <v>0</v>
      </c>
      <c r="BD310">
        <f>IF(AK310=MatchLabel,AP310,0)</f>
        <v>0</v>
      </c>
      <c r="BE310">
        <f>IF(AK310=SafetyLabel,AP310,0)</f>
        <v>0</v>
      </c>
      <c r="BF310">
        <f>IF(AK310=SecureLabel,AP310,0)</f>
        <v>0</v>
      </c>
      <c r="BG310">
        <f>IF(AK310=SureThingLabel,AP310,0)</f>
        <v>0</v>
      </c>
      <c r="BH310">
        <f>MAX(BC310:BG310)</f>
        <v>0</v>
      </c>
      <c r="BI310">
        <f>MAX(BD310:BG310)</f>
        <v>0</v>
      </c>
      <c r="BJ310">
        <f>MAX(BE310:BG310)</f>
        <v>0</v>
      </c>
      <c r="BK310">
        <f>IF(AND(AK310=ReachLabel,AY310=1),AP310,0)</f>
        <v>0</v>
      </c>
      <c r="BL310">
        <f>IF(AND(AK310=MatchLabel,AY310=1),AP310,0)</f>
        <v>0</v>
      </c>
      <c r="BM310">
        <f>IF(AND(AK310=SafetyLabel,AY310=1),AP310,0)</f>
        <v>0</v>
      </c>
      <c r="BN310">
        <f>IF(AND(AK310=SecureLabel,AY310=1),AP310,0)</f>
        <v>0</v>
      </c>
      <c r="BO310">
        <f>IF(AND(AK310=SureThingLabel,AY310=1),AP310,0)</f>
        <v>0</v>
      </c>
      <c r="BP310">
        <f>MAX(BK310:BO310)</f>
        <v>0</v>
      </c>
      <c r="BQ310">
        <f>MAX(BL310:BO310)</f>
        <v>0</v>
      </c>
      <c r="BR310">
        <f>MAX(BM310:BO310)</f>
        <v>0</v>
      </c>
      <c r="BS310">
        <f>IF(ISNUMBER(Y310),INDEX(AllCollegeChicago, MATCH(N310,AllCollegeNCES,0))*AY310,0)</f>
        <v>0</v>
      </c>
      <c r="BT310">
        <f>IF(ISNUMBER(Y310),INDEX(AllCollegeMoneyCode, MATCH(N310,AllCollegeNCES,0)),"?")</f>
        <v>0</v>
      </c>
      <c r="BU310">
        <f>IF(OR(BT310="---",BT310="--",BT310="+/--",BT310="+/---"),1,0)</f>
        <v>0</v>
      </c>
      <c r="BV310">
        <f>AY310*AO310*AQ310</f>
        <v>0</v>
      </c>
    </row>
    <row r="311" spans="1:74">
      <c r="A311" t="s">
        <v>86</v>
      </c>
      <c r="B311">
        <v>23050586</v>
      </c>
      <c r="C311" t="s">
        <v>153</v>
      </c>
      <c r="D311" t="s">
        <v>154</v>
      </c>
      <c r="E311" t="s">
        <v>428</v>
      </c>
      <c r="F311" t="s">
        <v>509</v>
      </c>
      <c r="G311" t="s">
        <v>463</v>
      </c>
      <c r="H311" t="s">
        <v>431</v>
      </c>
      <c r="I311" t="s">
        <v>432</v>
      </c>
      <c r="J311" t="s">
        <v>432</v>
      </c>
      <c r="K311">
        <v>0</v>
      </c>
      <c r="L311" t="s">
        <v>428</v>
      </c>
      <c r="M311" t="s">
        <v>428</v>
      </c>
      <c r="N311">
        <v>147341</v>
      </c>
      <c r="O311">
        <f>INDEX(AllCollegeBarrons,MATCH(N311,AllCollegeNCES,0))</f>
        <v>0</v>
      </c>
      <c r="P311">
        <f>INDEX(KidGPAs,MATCH(B311,KidIDs,0))</f>
        <v>0</v>
      </c>
      <c r="Q311">
        <f>INDEX(KidACTs,MATCH(B311,KidIDs,0))</f>
        <v>0</v>
      </c>
      <c r="R311">
        <f>INDEX(Strats,MATCH(B311,KidIDs,0))</f>
        <v>0</v>
      </c>
      <c r="S311">
        <f>INDEX(KidRace,MATCH(B311,KidIDs,0))</f>
        <v>0</v>
      </c>
      <c r="T311">
        <f>IF(OR(S311="M",S311="I"),"H",S311)</f>
        <v>0</v>
      </c>
      <c r="U311">
        <f>INDEX(StudentTargets,MATCH(B311,KidIDs,0))</f>
        <v>0</v>
      </c>
      <c r="V311">
        <f>INDEX(ReachStudentTargets,MATCH(B311,KidIDs,0))</f>
        <v>0</v>
      </c>
      <c r="W311">
        <f>IF(OR(M311="Posse"),1,0)</f>
        <v>0</v>
      </c>
      <c r="X311">
        <f>IF(ISNUMBER(INDEX(AllCollegeGR, MATCH(N311,AllCollegeNCES,0))),ROUND(INDEX(AllCollegeGR, MATCH(N311,AllCollegeNCES,0))+W311*IF(INDEX(AllCollegeGR, MATCH(N311,AllCollegeNCES,0))&gt;0.7,(1-INDEX(AllCollegeGR, MATCH(N311,AllCollegeNCES,0)))/2,0.15),2),INDEX(AllCollegeGR, MATCH(N311,AllCollegeNCES,0)))</f>
        <v>0</v>
      </c>
      <c r="Y311">
        <f>IF(ISNUMBER(INDEX(AllCollegeAAHGR, MATCH(N311,AllCollegeNCES,0))),ROUND(INDEX(AllCollegeAAHGR, MATCH(N311,AllCollegeNCES,0))+W311*IF(INDEX(AllCollegeAAHGR, MATCH(N311,AllCollegeNCES,0))&gt;0.7,(1-INDEX(AllCollegeAAHGR, MATCH(N311,AllCollegeNCES,0)))/2,0.15),2),INDEX(AllCollegeAAHGR, MATCH(N311,AllCollegeNCES,0)))</f>
        <v>0</v>
      </c>
      <c r="Z311">
        <f>IF(OR(T311="H",T311="B"),INDEX(AllCollegeACT25, MATCH(N311,AllCollegeNCES,0)),INDEX(AllCollegeACT50, MATCH(N311,AllCollegeNCES,0)))</f>
        <v>0</v>
      </c>
      <c r="AA311">
        <f>INDEX(CustomWeightsGPA,MATCH(T311&amp;":"&amp;N311,CustomWeightsIndex,0))</f>
        <v>0</v>
      </c>
      <c r="AB311">
        <f>INDEX(CustomWeightsACT,MATCH(T311&amp;":"&amp;N311,CustomWeightsIndex,0))</f>
        <v>0</v>
      </c>
      <c r="AC311">
        <f>INDEX(CustomWeightsIntercept,MATCH(T311&amp;":"&amp;N311,CustomWeightsIndex,0))</f>
        <v>0</v>
      </c>
      <c r="AD311">
        <f>AA311*P311+AB311*Q311+AC311</f>
        <v>0</v>
      </c>
      <c r="AE311">
        <f>INDEX(CoefficientsGPA,MATCH(T311&amp;":"&amp;O311,CoefficientsIndex,0))</f>
        <v>0</v>
      </c>
      <c r="AF311">
        <f>INDEX(CoefficientsACT,MATCH(T311&amp;":"&amp;O311,CoefficientsIndex,0))</f>
        <v>0</v>
      </c>
      <c r="AG311">
        <f>INDEX(CoefficientsIntercept,MATCH(T311&amp;":"&amp;O311,CoefficientsIndex,0))</f>
        <v>0</v>
      </c>
      <c r="AH311">
        <f>AE311*P311+(Q311-Z311)*AF311+AG311</f>
        <v>0</v>
      </c>
      <c r="AI311">
        <f>IF(ISNUMBER(AD311),AD311,AH311)</f>
        <v>0</v>
      </c>
      <c r="AJ311">
        <f>IF(ISNUMBER(AI311),IF(ISNUMBER(AE311),IF(AND(AE311=1,AF311=1,AG311=1),100,ROUND(100*EXP(AI311)/(1+EXP(AI311)),2)),ROUND(100*EXP(AI311)/(1+EXP(AI311)),2)),IF(ISTEXT(O311),IF(LEFT(O311,1)="2",100,"N/A"),"N/A"))</f>
        <v>0</v>
      </c>
      <c r="AK311">
        <f>IF(ISNUMBER(AJ311),IF(AJ311&gt;=99,IF(OR(R311=10,R311=11),MatchLabel,SureThingLabel),IF(AJ311&gt;=95,SecureLabel,IF(AJ311&gt;=80,SafetyLabel,IF(AJ311&gt;=50,MatchLabel,IF(AJ311&gt;=20,ReachLabel,IF(AJ311&gt;=10,LongshotLabel,HailMaryLabel)))))),"Other")</f>
        <v>0</v>
      </c>
      <c r="AL311">
        <f>IF(OR(I311="accepted",I311="cond. accept",I311="summer admit"),IF(J311="yes","CHOICE!","Accepted!"),IF(I311="denied","Denied",IF(K311=1,"Waitlist",IF(L311=1,"Deferred",IF(G311="pending","Pending",IF(OR(G311="initial materials submitted",G311="mid-year submitted",G311="final submitted"),"Submitted",IF(H311="interest","Interest","?")))))))</f>
        <v>0</v>
      </c>
      <c r="AM311">
        <f>IF(OR(AK311=ReachLabel,AK311=LongshotLabel,AK311=HailMaryLabel),1,0)</f>
        <v>0</v>
      </c>
      <c r="AN311">
        <f>IF(OR(AM311=1,AK311=MatchLabel),1,0)</f>
        <v>0</v>
      </c>
      <c r="AO311">
        <f>IF(OR(AK311=MatchLabel,AK311=SafetyLabel,AK311=SecureLabel,AK311=SureThingLabel),1,0)</f>
        <v>0</v>
      </c>
      <c r="AP311">
        <f>IF(OR(T311="H",T311="B"),IF(ISNUMBER(Y311),ROUND(Y311,2),0),IF(ISNUMBER(X311),ROUND(X311,2),0))</f>
        <v>0</v>
      </c>
      <c r="AQ311">
        <f>IF(AP311&gt;=U311,1,0)</f>
        <v>0</v>
      </c>
      <c r="AR311">
        <f>IF(AP311&gt;=V311,1,0)</f>
        <v>0</v>
      </c>
      <c r="AS311">
        <f>IF(AP311&lt;(U311-0.10),1,0)</f>
        <v>0</v>
      </c>
      <c r="AT311">
        <f>1-AJ311/100</f>
        <v>0</v>
      </c>
      <c r="AU311">
        <f>IF(AN311=1,AT311,1)</f>
        <v>0</v>
      </c>
      <c r="AV311">
        <f>IF(AM311=1,AT311,1)</f>
        <v>0</v>
      </c>
      <c r="AW311">
        <f>IF(AND(AQ311=1,ISNUMBER(AT311)),$AT311,1)</f>
        <v>0</v>
      </c>
      <c r="AX311">
        <f>IF(AND(AR311=1,ISNUMBER(AT311)),$AT311,1)</f>
        <v>0</v>
      </c>
      <c r="AY311">
        <f>IF(ISNUMBER(Y311),INDEX(AllCollegeMoney, MATCH(N311,AllCollegeNCES,0)),0)</f>
        <v>0</v>
      </c>
      <c r="AZ311">
        <f>IF(AND(AQ311=1,ISNUMBER(AT311),AY311=1),$AT311,1)</f>
        <v>0</v>
      </c>
      <c r="BA311">
        <f>IF(AND(AR311=1,ISNUMBER(AT311),AY311=1),$AT311,1)</f>
        <v>0</v>
      </c>
      <c r="BB311">
        <f>IF(ISNUMBER(Y311),INDEX(AllCollegeILPub, MATCH(N311,AllCollegeNCES,0)),0)</f>
        <v>0</v>
      </c>
      <c r="BC311">
        <f>IF(AK311=ReachLabel,AP311,0)</f>
        <v>0</v>
      </c>
      <c r="BD311">
        <f>IF(AK311=MatchLabel,AP311,0)</f>
        <v>0</v>
      </c>
      <c r="BE311">
        <f>IF(AK311=SafetyLabel,AP311,0)</f>
        <v>0</v>
      </c>
      <c r="BF311">
        <f>IF(AK311=SecureLabel,AP311,0)</f>
        <v>0</v>
      </c>
      <c r="BG311">
        <f>IF(AK311=SureThingLabel,AP311,0)</f>
        <v>0</v>
      </c>
      <c r="BH311">
        <f>MAX(BC311:BG311)</f>
        <v>0</v>
      </c>
      <c r="BI311">
        <f>MAX(BD311:BG311)</f>
        <v>0</v>
      </c>
      <c r="BJ311">
        <f>MAX(BE311:BG311)</f>
        <v>0</v>
      </c>
      <c r="BK311">
        <f>IF(AND(AK311=ReachLabel,AY311=1),AP311,0)</f>
        <v>0</v>
      </c>
      <c r="BL311">
        <f>IF(AND(AK311=MatchLabel,AY311=1),AP311,0)</f>
        <v>0</v>
      </c>
      <c r="BM311">
        <f>IF(AND(AK311=SafetyLabel,AY311=1),AP311,0)</f>
        <v>0</v>
      </c>
      <c r="BN311">
        <f>IF(AND(AK311=SecureLabel,AY311=1),AP311,0)</f>
        <v>0</v>
      </c>
      <c r="BO311">
        <f>IF(AND(AK311=SureThingLabel,AY311=1),AP311,0)</f>
        <v>0</v>
      </c>
      <c r="BP311">
        <f>MAX(BK311:BO311)</f>
        <v>0</v>
      </c>
      <c r="BQ311">
        <f>MAX(BL311:BO311)</f>
        <v>0</v>
      </c>
      <c r="BR311">
        <f>MAX(BM311:BO311)</f>
        <v>0</v>
      </c>
      <c r="BS311">
        <f>IF(ISNUMBER(Y311),INDEX(AllCollegeChicago, MATCH(N311,AllCollegeNCES,0))*AY311,0)</f>
        <v>0</v>
      </c>
      <c r="BT311">
        <f>IF(ISNUMBER(Y311),INDEX(AllCollegeMoneyCode, MATCH(N311,AllCollegeNCES,0)),"?")</f>
        <v>0</v>
      </c>
      <c r="BU311">
        <f>IF(OR(BT311="---",BT311="--",BT311="+/--",BT311="+/---"),1,0)</f>
        <v>0</v>
      </c>
      <c r="BV311">
        <f>AY311*AO311*AQ311</f>
        <v>0</v>
      </c>
    </row>
    <row r="312" spans="1:74">
      <c r="A312" t="s">
        <v>86</v>
      </c>
      <c r="B312">
        <v>23050586</v>
      </c>
      <c r="C312" t="s">
        <v>153</v>
      </c>
      <c r="D312" t="s">
        <v>154</v>
      </c>
      <c r="E312" t="s">
        <v>428</v>
      </c>
      <c r="F312" t="s">
        <v>534</v>
      </c>
      <c r="G312" t="s">
        <v>526</v>
      </c>
      <c r="H312" t="s">
        <v>526</v>
      </c>
      <c r="I312" t="s">
        <v>527</v>
      </c>
      <c r="J312" t="s">
        <v>428</v>
      </c>
      <c r="K312" t="s">
        <v>428</v>
      </c>
      <c r="L312" t="s">
        <v>428</v>
      </c>
      <c r="M312" t="s">
        <v>428</v>
      </c>
      <c r="N312">
        <v>150774</v>
      </c>
      <c r="O312">
        <f>INDEX(AllCollegeBarrons,MATCH(N312,AllCollegeNCES,0))</f>
        <v>0</v>
      </c>
      <c r="P312">
        <f>INDEX(KidGPAs,MATCH(B312,KidIDs,0))</f>
        <v>0</v>
      </c>
      <c r="Q312">
        <f>INDEX(KidACTs,MATCH(B312,KidIDs,0))</f>
        <v>0</v>
      </c>
      <c r="R312">
        <f>INDEX(Strats,MATCH(B312,KidIDs,0))</f>
        <v>0</v>
      </c>
      <c r="S312">
        <f>INDEX(KidRace,MATCH(B312,KidIDs,0))</f>
        <v>0</v>
      </c>
      <c r="T312">
        <f>IF(OR(S312="M",S312="I"),"H",S312)</f>
        <v>0</v>
      </c>
      <c r="U312">
        <f>INDEX(StudentTargets,MATCH(B312,KidIDs,0))</f>
        <v>0</v>
      </c>
      <c r="V312">
        <f>INDEX(ReachStudentTargets,MATCH(B312,KidIDs,0))</f>
        <v>0</v>
      </c>
      <c r="W312">
        <f>IF(OR(M312="Posse"),1,0)</f>
        <v>0</v>
      </c>
      <c r="X312">
        <f>IF(ISNUMBER(INDEX(AllCollegeGR, MATCH(N312,AllCollegeNCES,0))),ROUND(INDEX(AllCollegeGR, MATCH(N312,AllCollegeNCES,0))+W312*IF(INDEX(AllCollegeGR, MATCH(N312,AllCollegeNCES,0))&gt;0.7,(1-INDEX(AllCollegeGR, MATCH(N312,AllCollegeNCES,0)))/2,0.15),2),INDEX(AllCollegeGR, MATCH(N312,AllCollegeNCES,0)))</f>
        <v>0</v>
      </c>
      <c r="Y312">
        <f>IF(ISNUMBER(INDEX(AllCollegeAAHGR, MATCH(N312,AllCollegeNCES,0))),ROUND(INDEX(AllCollegeAAHGR, MATCH(N312,AllCollegeNCES,0))+W312*IF(INDEX(AllCollegeAAHGR, MATCH(N312,AllCollegeNCES,0))&gt;0.7,(1-INDEX(AllCollegeAAHGR, MATCH(N312,AllCollegeNCES,0)))/2,0.15),2),INDEX(AllCollegeAAHGR, MATCH(N312,AllCollegeNCES,0)))</f>
        <v>0</v>
      </c>
      <c r="Z312">
        <f>IF(OR(T312="H",T312="B"),INDEX(AllCollegeACT25, MATCH(N312,AllCollegeNCES,0)),INDEX(AllCollegeACT50, MATCH(N312,AllCollegeNCES,0)))</f>
        <v>0</v>
      </c>
      <c r="AA312">
        <f>INDEX(CustomWeightsGPA,MATCH(T312&amp;":"&amp;N312,CustomWeightsIndex,0))</f>
        <v>0</v>
      </c>
      <c r="AB312">
        <f>INDEX(CustomWeightsACT,MATCH(T312&amp;":"&amp;N312,CustomWeightsIndex,0))</f>
        <v>0</v>
      </c>
      <c r="AC312">
        <f>INDEX(CustomWeightsIntercept,MATCH(T312&amp;":"&amp;N312,CustomWeightsIndex,0))</f>
        <v>0</v>
      </c>
      <c r="AD312">
        <f>AA312*P312+AB312*Q312+AC312</f>
        <v>0</v>
      </c>
      <c r="AE312">
        <f>INDEX(CoefficientsGPA,MATCH(T312&amp;":"&amp;O312,CoefficientsIndex,0))</f>
        <v>0</v>
      </c>
      <c r="AF312">
        <f>INDEX(CoefficientsACT,MATCH(T312&amp;":"&amp;O312,CoefficientsIndex,0))</f>
        <v>0</v>
      </c>
      <c r="AG312">
        <f>INDEX(CoefficientsIntercept,MATCH(T312&amp;":"&amp;O312,CoefficientsIndex,0))</f>
        <v>0</v>
      </c>
      <c r="AH312">
        <f>AE312*P312+(Q312-Z312)*AF312+AG312</f>
        <v>0</v>
      </c>
      <c r="AI312">
        <f>IF(ISNUMBER(AD312),AD312,AH312)</f>
        <v>0</v>
      </c>
      <c r="AJ312">
        <f>IF(ISNUMBER(AI312),IF(ISNUMBER(AE312),IF(AND(AE312=1,AF312=1,AG312=1),100,ROUND(100*EXP(AI312)/(1+EXP(AI312)),2)),ROUND(100*EXP(AI312)/(1+EXP(AI312)),2)),IF(ISTEXT(O312),IF(LEFT(O312,1)="2",100,"N/A"),"N/A"))</f>
        <v>0</v>
      </c>
      <c r="AK312">
        <f>IF(ISNUMBER(AJ312),IF(AJ312&gt;=99,IF(OR(R312=10,R312=11),MatchLabel,SureThingLabel),IF(AJ312&gt;=95,SecureLabel,IF(AJ312&gt;=80,SafetyLabel,IF(AJ312&gt;=50,MatchLabel,IF(AJ312&gt;=20,ReachLabel,IF(AJ312&gt;=10,LongshotLabel,HailMaryLabel)))))),"Other")</f>
        <v>0</v>
      </c>
      <c r="AL312">
        <f>IF(OR(I312="accepted",I312="cond. accept",I312="summer admit"),IF(J312="yes","CHOICE!","Accepted!"),IF(I312="denied","Denied",IF(K312=1,"Waitlist",IF(L312=1,"Deferred",IF(G312="pending","Pending",IF(OR(G312="initial materials submitted",G312="mid-year submitted",G312="final submitted"),"Submitted",IF(H312="interest","Interest","?")))))))</f>
        <v>0</v>
      </c>
      <c r="AM312">
        <f>IF(OR(AK312=ReachLabel,AK312=LongshotLabel,AK312=HailMaryLabel),1,0)</f>
        <v>0</v>
      </c>
      <c r="AN312">
        <f>IF(OR(AM312=1,AK312=MatchLabel),1,0)</f>
        <v>0</v>
      </c>
      <c r="AO312">
        <f>IF(OR(AK312=MatchLabel,AK312=SafetyLabel,AK312=SecureLabel,AK312=SureThingLabel),1,0)</f>
        <v>0</v>
      </c>
      <c r="AP312">
        <f>IF(OR(T312="H",T312="B"),IF(ISNUMBER(Y312),ROUND(Y312,2),0),IF(ISNUMBER(X312),ROUND(X312,2),0))</f>
        <v>0</v>
      </c>
      <c r="AQ312">
        <f>IF(AP312&gt;=U312,1,0)</f>
        <v>0</v>
      </c>
      <c r="AR312">
        <f>IF(AP312&gt;=V312,1,0)</f>
        <v>0</v>
      </c>
      <c r="AS312">
        <f>IF(AP312&lt;(U312-0.10),1,0)</f>
        <v>0</v>
      </c>
      <c r="AT312">
        <f>1-AJ312/100</f>
        <v>0</v>
      </c>
      <c r="AU312">
        <f>IF(AN312=1,AT312,1)</f>
        <v>0</v>
      </c>
      <c r="AV312">
        <f>IF(AM312=1,AT312,1)</f>
        <v>0</v>
      </c>
      <c r="AW312">
        <f>IF(AND(AQ312=1,ISNUMBER(AT312)),$AT312,1)</f>
        <v>0</v>
      </c>
      <c r="AX312">
        <f>IF(AND(AR312=1,ISNUMBER(AT312)),$AT312,1)</f>
        <v>0</v>
      </c>
      <c r="AY312">
        <f>IF(ISNUMBER(Y312),INDEX(AllCollegeMoney, MATCH(N312,AllCollegeNCES,0)),0)</f>
        <v>0</v>
      </c>
      <c r="AZ312">
        <f>IF(AND(AQ312=1,ISNUMBER(AT312),AY312=1),$AT312,1)</f>
        <v>0</v>
      </c>
      <c r="BA312">
        <f>IF(AND(AR312=1,ISNUMBER(AT312),AY312=1),$AT312,1)</f>
        <v>0</v>
      </c>
      <c r="BB312">
        <f>IF(ISNUMBER(Y312),INDEX(AllCollegeILPub, MATCH(N312,AllCollegeNCES,0)),0)</f>
        <v>0</v>
      </c>
      <c r="BC312">
        <f>IF(AK312=ReachLabel,AP312,0)</f>
        <v>0</v>
      </c>
      <c r="BD312">
        <f>IF(AK312=MatchLabel,AP312,0)</f>
        <v>0</v>
      </c>
      <c r="BE312">
        <f>IF(AK312=SafetyLabel,AP312,0)</f>
        <v>0</v>
      </c>
      <c r="BF312">
        <f>IF(AK312=SecureLabel,AP312,0)</f>
        <v>0</v>
      </c>
      <c r="BG312">
        <f>IF(AK312=SureThingLabel,AP312,0)</f>
        <v>0</v>
      </c>
      <c r="BH312">
        <f>MAX(BC312:BG312)</f>
        <v>0</v>
      </c>
      <c r="BI312">
        <f>MAX(BD312:BG312)</f>
        <v>0</v>
      </c>
      <c r="BJ312">
        <f>MAX(BE312:BG312)</f>
        <v>0</v>
      </c>
      <c r="BK312">
        <f>IF(AND(AK312=ReachLabel,AY312=1),AP312,0)</f>
        <v>0</v>
      </c>
      <c r="BL312">
        <f>IF(AND(AK312=MatchLabel,AY312=1),AP312,0)</f>
        <v>0</v>
      </c>
      <c r="BM312">
        <f>IF(AND(AK312=SafetyLabel,AY312=1),AP312,0)</f>
        <v>0</v>
      </c>
      <c r="BN312">
        <f>IF(AND(AK312=SecureLabel,AY312=1),AP312,0)</f>
        <v>0</v>
      </c>
      <c r="BO312">
        <f>IF(AND(AK312=SureThingLabel,AY312=1),AP312,0)</f>
        <v>0</v>
      </c>
      <c r="BP312">
        <f>MAX(BK312:BO312)</f>
        <v>0</v>
      </c>
      <c r="BQ312">
        <f>MAX(BL312:BO312)</f>
        <v>0</v>
      </c>
      <c r="BR312">
        <f>MAX(BM312:BO312)</f>
        <v>0</v>
      </c>
      <c r="BS312">
        <f>IF(ISNUMBER(Y312),INDEX(AllCollegeChicago, MATCH(N312,AllCollegeNCES,0))*AY312,0)</f>
        <v>0</v>
      </c>
      <c r="BT312">
        <f>IF(ISNUMBER(Y312),INDEX(AllCollegeMoneyCode, MATCH(N312,AllCollegeNCES,0)),"?")</f>
        <v>0</v>
      </c>
      <c r="BU312">
        <f>IF(OR(BT312="---",BT312="--",BT312="+/--",BT312="+/---"),1,0)</f>
        <v>0</v>
      </c>
      <c r="BV312">
        <f>AY312*AO312*AQ312</f>
        <v>0</v>
      </c>
    </row>
    <row r="313" spans="1:74">
      <c r="A313" t="s">
        <v>86</v>
      </c>
      <c r="B313">
        <v>23050586</v>
      </c>
      <c r="C313" t="s">
        <v>153</v>
      </c>
      <c r="D313" t="s">
        <v>154</v>
      </c>
      <c r="E313" t="s">
        <v>428</v>
      </c>
      <c r="F313" t="s">
        <v>535</v>
      </c>
      <c r="G313" t="s">
        <v>526</v>
      </c>
      <c r="H313" t="s">
        <v>526</v>
      </c>
      <c r="I313" t="s">
        <v>527</v>
      </c>
      <c r="J313" t="s">
        <v>428</v>
      </c>
      <c r="K313" t="s">
        <v>428</v>
      </c>
      <c r="L313" t="s">
        <v>428</v>
      </c>
      <c r="M313" t="s">
        <v>428</v>
      </c>
      <c r="N313">
        <v>154493</v>
      </c>
      <c r="O313">
        <f>INDEX(AllCollegeBarrons,MATCH(N313,AllCollegeNCES,0))</f>
        <v>0</v>
      </c>
      <c r="P313">
        <f>INDEX(KidGPAs,MATCH(B313,KidIDs,0))</f>
        <v>0</v>
      </c>
      <c r="Q313">
        <f>INDEX(KidACTs,MATCH(B313,KidIDs,0))</f>
        <v>0</v>
      </c>
      <c r="R313">
        <f>INDEX(Strats,MATCH(B313,KidIDs,0))</f>
        <v>0</v>
      </c>
      <c r="S313">
        <f>INDEX(KidRace,MATCH(B313,KidIDs,0))</f>
        <v>0</v>
      </c>
      <c r="T313">
        <f>IF(OR(S313="M",S313="I"),"H",S313)</f>
        <v>0</v>
      </c>
      <c r="U313">
        <f>INDEX(StudentTargets,MATCH(B313,KidIDs,0))</f>
        <v>0</v>
      </c>
      <c r="V313">
        <f>INDEX(ReachStudentTargets,MATCH(B313,KidIDs,0))</f>
        <v>0</v>
      </c>
      <c r="W313">
        <f>IF(OR(M313="Posse"),1,0)</f>
        <v>0</v>
      </c>
      <c r="X313">
        <f>IF(ISNUMBER(INDEX(AllCollegeGR, MATCH(N313,AllCollegeNCES,0))),ROUND(INDEX(AllCollegeGR, MATCH(N313,AllCollegeNCES,0))+W313*IF(INDEX(AllCollegeGR, MATCH(N313,AllCollegeNCES,0))&gt;0.7,(1-INDEX(AllCollegeGR, MATCH(N313,AllCollegeNCES,0)))/2,0.15),2),INDEX(AllCollegeGR, MATCH(N313,AllCollegeNCES,0)))</f>
        <v>0</v>
      </c>
      <c r="Y313">
        <f>IF(ISNUMBER(INDEX(AllCollegeAAHGR, MATCH(N313,AllCollegeNCES,0))),ROUND(INDEX(AllCollegeAAHGR, MATCH(N313,AllCollegeNCES,0))+W313*IF(INDEX(AllCollegeAAHGR, MATCH(N313,AllCollegeNCES,0))&gt;0.7,(1-INDEX(AllCollegeAAHGR, MATCH(N313,AllCollegeNCES,0)))/2,0.15),2),INDEX(AllCollegeAAHGR, MATCH(N313,AllCollegeNCES,0)))</f>
        <v>0</v>
      </c>
      <c r="Z313">
        <f>IF(OR(T313="H",T313="B"),INDEX(AllCollegeACT25, MATCH(N313,AllCollegeNCES,0)),INDEX(AllCollegeACT50, MATCH(N313,AllCollegeNCES,0)))</f>
        <v>0</v>
      </c>
      <c r="AA313">
        <f>INDEX(CustomWeightsGPA,MATCH(T313&amp;":"&amp;N313,CustomWeightsIndex,0))</f>
        <v>0</v>
      </c>
      <c r="AB313">
        <f>INDEX(CustomWeightsACT,MATCH(T313&amp;":"&amp;N313,CustomWeightsIndex,0))</f>
        <v>0</v>
      </c>
      <c r="AC313">
        <f>INDEX(CustomWeightsIntercept,MATCH(T313&amp;":"&amp;N313,CustomWeightsIndex,0))</f>
        <v>0</v>
      </c>
      <c r="AD313">
        <f>AA313*P313+AB313*Q313+AC313</f>
        <v>0</v>
      </c>
      <c r="AE313">
        <f>INDEX(CoefficientsGPA,MATCH(T313&amp;":"&amp;O313,CoefficientsIndex,0))</f>
        <v>0</v>
      </c>
      <c r="AF313">
        <f>INDEX(CoefficientsACT,MATCH(T313&amp;":"&amp;O313,CoefficientsIndex,0))</f>
        <v>0</v>
      </c>
      <c r="AG313">
        <f>INDEX(CoefficientsIntercept,MATCH(T313&amp;":"&amp;O313,CoefficientsIndex,0))</f>
        <v>0</v>
      </c>
      <c r="AH313">
        <f>AE313*P313+(Q313-Z313)*AF313+AG313</f>
        <v>0</v>
      </c>
      <c r="AI313">
        <f>IF(ISNUMBER(AD313),AD313,AH313)</f>
        <v>0</v>
      </c>
      <c r="AJ313">
        <f>IF(ISNUMBER(AI313),IF(ISNUMBER(AE313),IF(AND(AE313=1,AF313=1,AG313=1),100,ROUND(100*EXP(AI313)/(1+EXP(AI313)),2)),ROUND(100*EXP(AI313)/(1+EXP(AI313)),2)),IF(ISTEXT(O313),IF(LEFT(O313,1)="2",100,"N/A"),"N/A"))</f>
        <v>0</v>
      </c>
      <c r="AK313">
        <f>IF(ISNUMBER(AJ313),IF(AJ313&gt;=99,IF(OR(R313=10,R313=11),MatchLabel,SureThingLabel),IF(AJ313&gt;=95,SecureLabel,IF(AJ313&gt;=80,SafetyLabel,IF(AJ313&gt;=50,MatchLabel,IF(AJ313&gt;=20,ReachLabel,IF(AJ313&gt;=10,LongshotLabel,HailMaryLabel)))))),"Other")</f>
        <v>0</v>
      </c>
      <c r="AL313">
        <f>IF(OR(I313="accepted",I313="cond. accept",I313="summer admit"),IF(J313="yes","CHOICE!","Accepted!"),IF(I313="denied","Denied",IF(K313=1,"Waitlist",IF(L313=1,"Deferred",IF(G313="pending","Pending",IF(OR(G313="initial materials submitted",G313="mid-year submitted",G313="final submitted"),"Submitted",IF(H313="interest","Interest","?")))))))</f>
        <v>0</v>
      </c>
      <c r="AM313">
        <f>IF(OR(AK313=ReachLabel,AK313=LongshotLabel,AK313=HailMaryLabel),1,0)</f>
        <v>0</v>
      </c>
      <c r="AN313">
        <f>IF(OR(AM313=1,AK313=MatchLabel),1,0)</f>
        <v>0</v>
      </c>
      <c r="AO313">
        <f>IF(OR(AK313=MatchLabel,AK313=SafetyLabel,AK313=SecureLabel,AK313=SureThingLabel),1,0)</f>
        <v>0</v>
      </c>
      <c r="AP313">
        <f>IF(OR(T313="H",T313="B"),IF(ISNUMBER(Y313),ROUND(Y313,2),0),IF(ISNUMBER(X313),ROUND(X313,2),0))</f>
        <v>0</v>
      </c>
      <c r="AQ313">
        <f>IF(AP313&gt;=U313,1,0)</f>
        <v>0</v>
      </c>
      <c r="AR313">
        <f>IF(AP313&gt;=V313,1,0)</f>
        <v>0</v>
      </c>
      <c r="AS313">
        <f>IF(AP313&lt;(U313-0.10),1,0)</f>
        <v>0</v>
      </c>
      <c r="AT313">
        <f>1-AJ313/100</f>
        <v>0</v>
      </c>
      <c r="AU313">
        <f>IF(AN313=1,AT313,1)</f>
        <v>0</v>
      </c>
      <c r="AV313">
        <f>IF(AM313=1,AT313,1)</f>
        <v>0</v>
      </c>
      <c r="AW313">
        <f>IF(AND(AQ313=1,ISNUMBER(AT313)),$AT313,1)</f>
        <v>0</v>
      </c>
      <c r="AX313">
        <f>IF(AND(AR313=1,ISNUMBER(AT313)),$AT313,1)</f>
        <v>0</v>
      </c>
      <c r="AY313">
        <f>IF(ISNUMBER(Y313),INDEX(AllCollegeMoney, MATCH(N313,AllCollegeNCES,0)),0)</f>
        <v>0</v>
      </c>
      <c r="AZ313">
        <f>IF(AND(AQ313=1,ISNUMBER(AT313),AY313=1),$AT313,1)</f>
        <v>0</v>
      </c>
      <c r="BA313">
        <f>IF(AND(AR313=1,ISNUMBER(AT313),AY313=1),$AT313,1)</f>
        <v>0</v>
      </c>
      <c r="BB313">
        <f>IF(ISNUMBER(Y313),INDEX(AllCollegeILPub, MATCH(N313,AllCollegeNCES,0)),0)</f>
        <v>0</v>
      </c>
      <c r="BC313">
        <f>IF(AK313=ReachLabel,AP313,0)</f>
        <v>0</v>
      </c>
      <c r="BD313">
        <f>IF(AK313=MatchLabel,AP313,0)</f>
        <v>0</v>
      </c>
      <c r="BE313">
        <f>IF(AK313=SafetyLabel,AP313,0)</f>
        <v>0</v>
      </c>
      <c r="BF313">
        <f>IF(AK313=SecureLabel,AP313,0)</f>
        <v>0</v>
      </c>
      <c r="BG313">
        <f>IF(AK313=SureThingLabel,AP313,0)</f>
        <v>0</v>
      </c>
      <c r="BH313">
        <f>MAX(BC313:BG313)</f>
        <v>0</v>
      </c>
      <c r="BI313">
        <f>MAX(BD313:BG313)</f>
        <v>0</v>
      </c>
      <c r="BJ313">
        <f>MAX(BE313:BG313)</f>
        <v>0</v>
      </c>
      <c r="BK313">
        <f>IF(AND(AK313=ReachLabel,AY313=1),AP313,0)</f>
        <v>0</v>
      </c>
      <c r="BL313">
        <f>IF(AND(AK313=MatchLabel,AY313=1),AP313,0)</f>
        <v>0</v>
      </c>
      <c r="BM313">
        <f>IF(AND(AK313=SafetyLabel,AY313=1),AP313,0)</f>
        <v>0</v>
      </c>
      <c r="BN313">
        <f>IF(AND(AK313=SecureLabel,AY313=1),AP313,0)</f>
        <v>0</v>
      </c>
      <c r="BO313">
        <f>IF(AND(AK313=SureThingLabel,AY313=1),AP313,0)</f>
        <v>0</v>
      </c>
      <c r="BP313">
        <f>MAX(BK313:BO313)</f>
        <v>0</v>
      </c>
      <c r="BQ313">
        <f>MAX(BL313:BO313)</f>
        <v>0</v>
      </c>
      <c r="BR313">
        <f>MAX(BM313:BO313)</f>
        <v>0</v>
      </c>
      <c r="BS313">
        <f>IF(ISNUMBER(Y313),INDEX(AllCollegeChicago, MATCH(N313,AllCollegeNCES,0))*AY313,0)</f>
        <v>0</v>
      </c>
      <c r="BT313">
        <f>IF(ISNUMBER(Y313),INDEX(AllCollegeMoneyCode, MATCH(N313,AllCollegeNCES,0)),"?")</f>
        <v>0</v>
      </c>
      <c r="BU313">
        <f>IF(OR(BT313="---",BT313="--",BT313="+/--",BT313="+/---"),1,0)</f>
        <v>0</v>
      </c>
      <c r="BV313">
        <f>AY313*AO313*AQ313</f>
        <v>0</v>
      </c>
    </row>
    <row r="314" spans="1:74">
      <c r="A314" t="s">
        <v>86</v>
      </c>
      <c r="B314">
        <v>23107053</v>
      </c>
      <c r="C314" t="s">
        <v>251</v>
      </c>
      <c r="D314" t="s">
        <v>252</v>
      </c>
      <c r="E314" t="s">
        <v>428</v>
      </c>
      <c r="F314" t="s">
        <v>496</v>
      </c>
      <c r="G314" t="s">
        <v>430</v>
      </c>
      <c r="H314" t="s">
        <v>431</v>
      </c>
      <c r="I314" t="s">
        <v>432</v>
      </c>
      <c r="J314" t="s">
        <v>432</v>
      </c>
      <c r="K314">
        <v>0</v>
      </c>
      <c r="L314" t="s">
        <v>428</v>
      </c>
      <c r="M314" t="s">
        <v>428</v>
      </c>
      <c r="N314">
        <v>150400</v>
      </c>
      <c r="O314">
        <f>INDEX(AllCollegeBarrons,MATCH(N314,AllCollegeNCES,0))</f>
        <v>0</v>
      </c>
      <c r="P314">
        <f>INDEX(KidGPAs,MATCH(B314,KidIDs,0))</f>
        <v>0</v>
      </c>
      <c r="Q314">
        <f>INDEX(KidACTs,MATCH(B314,KidIDs,0))</f>
        <v>0</v>
      </c>
      <c r="R314">
        <f>INDEX(Strats,MATCH(B314,KidIDs,0))</f>
        <v>0</v>
      </c>
      <c r="S314">
        <f>INDEX(KidRace,MATCH(B314,KidIDs,0))</f>
        <v>0</v>
      </c>
      <c r="T314">
        <f>IF(OR(S314="M",S314="I"),"H",S314)</f>
        <v>0</v>
      </c>
      <c r="U314">
        <f>INDEX(StudentTargets,MATCH(B314,KidIDs,0))</f>
        <v>0</v>
      </c>
      <c r="V314">
        <f>INDEX(ReachStudentTargets,MATCH(B314,KidIDs,0))</f>
        <v>0</v>
      </c>
      <c r="W314">
        <f>IF(OR(M314="Posse"),1,0)</f>
        <v>0</v>
      </c>
      <c r="X314">
        <f>IF(ISNUMBER(INDEX(AllCollegeGR, MATCH(N314,AllCollegeNCES,0))),ROUND(INDEX(AllCollegeGR, MATCH(N314,AllCollegeNCES,0))+W314*IF(INDEX(AllCollegeGR, MATCH(N314,AllCollegeNCES,0))&gt;0.7,(1-INDEX(AllCollegeGR, MATCH(N314,AllCollegeNCES,0)))/2,0.15),2),INDEX(AllCollegeGR, MATCH(N314,AllCollegeNCES,0)))</f>
        <v>0</v>
      </c>
      <c r="Y314">
        <f>IF(ISNUMBER(INDEX(AllCollegeAAHGR, MATCH(N314,AllCollegeNCES,0))),ROUND(INDEX(AllCollegeAAHGR, MATCH(N314,AllCollegeNCES,0))+W314*IF(INDEX(AllCollegeAAHGR, MATCH(N314,AllCollegeNCES,0))&gt;0.7,(1-INDEX(AllCollegeAAHGR, MATCH(N314,AllCollegeNCES,0)))/2,0.15),2),INDEX(AllCollegeAAHGR, MATCH(N314,AllCollegeNCES,0)))</f>
        <v>0</v>
      </c>
      <c r="Z314">
        <f>IF(OR(T314="H",T314="B"),INDEX(AllCollegeACT25, MATCH(N314,AllCollegeNCES,0)),INDEX(AllCollegeACT50, MATCH(N314,AllCollegeNCES,0)))</f>
        <v>0</v>
      </c>
      <c r="AA314">
        <f>INDEX(CustomWeightsGPA,MATCH(T314&amp;":"&amp;N314,CustomWeightsIndex,0))</f>
        <v>0</v>
      </c>
      <c r="AB314">
        <f>INDEX(CustomWeightsACT,MATCH(T314&amp;":"&amp;N314,CustomWeightsIndex,0))</f>
        <v>0</v>
      </c>
      <c r="AC314">
        <f>INDEX(CustomWeightsIntercept,MATCH(T314&amp;":"&amp;N314,CustomWeightsIndex,0))</f>
        <v>0</v>
      </c>
      <c r="AD314">
        <f>AA314*P314+AB314*Q314+AC314</f>
        <v>0</v>
      </c>
      <c r="AE314">
        <f>INDEX(CoefficientsGPA,MATCH(T314&amp;":"&amp;O314,CoefficientsIndex,0))</f>
        <v>0</v>
      </c>
      <c r="AF314">
        <f>INDEX(CoefficientsACT,MATCH(T314&amp;":"&amp;O314,CoefficientsIndex,0))</f>
        <v>0</v>
      </c>
      <c r="AG314">
        <f>INDEX(CoefficientsIntercept,MATCH(T314&amp;":"&amp;O314,CoefficientsIndex,0))</f>
        <v>0</v>
      </c>
      <c r="AH314">
        <f>AE314*P314+(Q314-Z314)*AF314+AG314</f>
        <v>0</v>
      </c>
      <c r="AI314">
        <f>IF(ISNUMBER(AD314),AD314,AH314)</f>
        <v>0</v>
      </c>
      <c r="AJ314">
        <f>IF(ISNUMBER(AI314),IF(ISNUMBER(AE314),IF(AND(AE314=1,AF314=1,AG314=1),100,ROUND(100*EXP(AI314)/(1+EXP(AI314)),2)),ROUND(100*EXP(AI314)/(1+EXP(AI314)),2)),IF(ISTEXT(O314),IF(LEFT(O314,1)="2",100,"N/A"),"N/A"))</f>
        <v>0</v>
      </c>
      <c r="AK314">
        <f>IF(ISNUMBER(AJ314),IF(AJ314&gt;=99,IF(OR(R314=10,R314=11),MatchLabel,SureThingLabel),IF(AJ314&gt;=95,SecureLabel,IF(AJ314&gt;=80,SafetyLabel,IF(AJ314&gt;=50,MatchLabel,IF(AJ314&gt;=20,ReachLabel,IF(AJ314&gt;=10,LongshotLabel,HailMaryLabel)))))),"Other")</f>
        <v>0</v>
      </c>
      <c r="AL314">
        <f>IF(OR(I314="accepted",I314="cond. accept",I314="summer admit"),IF(J314="yes","CHOICE!","Accepted!"),IF(I314="denied","Denied",IF(K314=1,"Waitlist",IF(L314=1,"Deferred",IF(G314="pending","Pending",IF(OR(G314="initial materials submitted",G314="mid-year submitted",G314="final submitted"),"Submitted",IF(H314="interest","Interest","?")))))))</f>
        <v>0</v>
      </c>
      <c r="AM314">
        <f>IF(OR(AK314=ReachLabel,AK314=LongshotLabel,AK314=HailMaryLabel),1,0)</f>
        <v>0</v>
      </c>
      <c r="AN314">
        <f>IF(OR(AM314=1,AK314=MatchLabel),1,0)</f>
        <v>0</v>
      </c>
      <c r="AO314">
        <f>IF(OR(AK314=MatchLabel,AK314=SafetyLabel,AK314=SecureLabel,AK314=SureThingLabel),1,0)</f>
        <v>0</v>
      </c>
      <c r="AP314">
        <f>IF(OR(T314="H",T314="B"),IF(ISNUMBER(Y314),ROUND(Y314,2),0),IF(ISNUMBER(X314),ROUND(X314,2),0))</f>
        <v>0</v>
      </c>
      <c r="AQ314">
        <f>IF(AP314&gt;=U314,1,0)</f>
        <v>0</v>
      </c>
      <c r="AR314">
        <f>IF(AP314&gt;=V314,1,0)</f>
        <v>0</v>
      </c>
      <c r="AS314">
        <f>IF(AP314&lt;(U314-0.10),1,0)</f>
        <v>0</v>
      </c>
      <c r="AT314">
        <f>1-AJ314/100</f>
        <v>0</v>
      </c>
      <c r="AU314">
        <f>IF(AN314=1,AT314,1)</f>
        <v>0</v>
      </c>
      <c r="AV314">
        <f>IF(AM314=1,AT314,1)</f>
        <v>0</v>
      </c>
      <c r="AW314">
        <f>IF(AND(AQ314=1,ISNUMBER(AT314)),$AT314,1)</f>
        <v>0</v>
      </c>
      <c r="AX314">
        <f>IF(AND(AR314=1,ISNUMBER(AT314)),$AT314,1)</f>
        <v>0</v>
      </c>
      <c r="AY314">
        <f>IF(ISNUMBER(Y314),INDEX(AllCollegeMoney, MATCH(N314,AllCollegeNCES,0)),0)</f>
        <v>0</v>
      </c>
      <c r="AZ314">
        <f>IF(AND(AQ314=1,ISNUMBER(AT314),AY314=1),$AT314,1)</f>
        <v>0</v>
      </c>
      <c r="BA314">
        <f>IF(AND(AR314=1,ISNUMBER(AT314),AY314=1),$AT314,1)</f>
        <v>0</v>
      </c>
      <c r="BB314">
        <f>IF(ISNUMBER(Y314),INDEX(AllCollegeILPub, MATCH(N314,AllCollegeNCES,0)),0)</f>
        <v>0</v>
      </c>
      <c r="BC314">
        <f>IF(AK314=ReachLabel,AP314,0)</f>
        <v>0</v>
      </c>
      <c r="BD314">
        <f>IF(AK314=MatchLabel,AP314,0)</f>
        <v>0</v>
      </c>
      <c r="BE314">
        <f>IF(AK314=SafetyLabel,AP314,0)</f>
        <v>0</v>
      </c>
      <c r="BF314">
        <f>IF(AK314=SecureLabel,AP314,0)</f>
        <v>0</v>
      </c>
      <c r="BG314">
        <f>IF(AK314=SureThingLabel,AP314,0)</f>
        <v>0</v>
      </c>
      <c r="BH314">
        <f>MAX(BC314:BG314)</f>
        <v>0</v>
      </c>
      <c r="BI314">
        <f>MAX(BD314:BG314)</f>
        <v>0</v>
      </c>
      <c r="BJ314">
        <f>MAX(BE314:BG314)</f>
        <v>0</v>
      </c>
      <c r="BK314">
        <f>IF(AND(AK314=ReachLabel,AY314=1),AP314,0)</f>
        <v>0</v>
      </c>
      <c r="BL314">
        <f>IF(AND(AK314=MatchLabel,AY314=1),AP314,0)</f>
        <v>0</v>
      </c>
      <c r="BM314">
        <f>IF(AND(AK314=SafetyLabel,AY314=1),AP314,0)</f>
        <v>0</v>
      </c>
      <c r="BN314">
        <f>IF(AND(AK314=SecureLabel,AY314=1),AP314,0)</f>
        <v>0</v>
      </c>
      <c r="BO314">
        <f>IF(AND(AK314=SureThingLabel,AY314=1),AP314,0)</f>
        <v>0</v>
      </c>
      <c r="BP314">
        <f>MAX(BK314:BO314)</f>
        <v>0</v>
      </c>
      <c r="BQ314">
        <f>MAX(BL314:BO314)</f>
        <v>0</v>
      </c>
      <c r="BR314">
        <f>MAX(BM314:BO314)</f>
        <v>0</v>
      </c>
      <c r="BS314">
        <f>IF(ISNUMBER(Y314),INDEX(AllCollegeChicago, MATCH(N314,AllCollegeNCES,0))*AY314,0)</f>
        <v>0</v>
      </c>
      <c r="BT314">
        <f>IF(ISNUMBER(Y314),INDEX(AllCollegeMoneyCode, MATCH(N314,AllCollegeNCES,0)),"?")</f>
        <v>0</v>
      </c>
      <c r="BU314">
        <f>IF(OR(BT314="---",BT314="--",BT314="+/--",BT314="+/---"),1,0)</f>
        <v>0</v>
      </c>
      <c r="BV314">
        <f>AY314*AO314*AQ314</f>
        <v>0</v>
      </c>
    </row>
    <row r="315" spans="1:74">
      <c r="A315" t="s">
        <v>86</v>
      </c>
      <c r="B315">
        <v>23107053</v>
      </c>
      <c r="C315" t="s">
        <v>251</v>
      </c>
      <c r="D315" t="s">
        <v>252</v>
      </c>
      <c r="E315" t="s">
        <v>428</v>
      </c>
      <c r="F315" t="s">
        <v>457</v>
      </c>
      <c r="G315" t="s">
        <v>430</v>
      </c>
      <c r="H315" t="s">
        <v>431</v>
      </c>
      <c r="I315" t="s">
        <v>432</v>
      </c>
      <c r="J315" t="s">
        <v>432</v>
      </c>
      <c r="K315">
        <v>0</v>
      </c>
      <c r="L315" t="s">
        <v>428</v>
      </c>
      <c r="M315" t="s">
        <v>428</v>
      </c>
      <c r="N315">
        <v>145637</v>
      </c>
      <c r="O315">
        <f>INDEX(AllCollegeBarrons,MATCH(N315,AllCollegeNCES,0))</f>
        <v>0</v>
      </c>
      <c r="P315">
        <f>INDEX(KidGPAs,MATCH(B315,KidIDs,0))</f>
        <v>0</v>
      </c>
      <c r="Q315">
        <f>INDEX(KidACTs,MATCH(B315,KidIDs,0))</f>
        <v>0</v>
      </c>
      <c r="R315">
        <f>INDEX(Strats,MATCH(B315,KidIDs,0))</f>
        <v>0</v>
      </c>
      <c r="S315">
        <f>INDEX(KidRace,MATCH(B315,KidIDs,0))</f>
        <v>0</v>
      </c>
      <c r="T315">
        <f>IF(OR(S315="M",S315="I"),"H",S315)</f>
        <v>0</v>
      </c>
      <c r="U315">
        <f>INDEX(StudentTargets,MATCH(B315,KidIDs,0))</f>
        <v>0</v>
      </c>
      <c r="V315">
        <f>INDEX(ReachStudentTargets,MATCH(B315,KidIDs,0))</f>
        <v>0</v>
      </c>
      <c r="W315">
        <f>IF(OR(M315="Posse"),1,0)</f>
        <v>0</v>
      </c>
      <c r="X315">
        <f>IF(ISNUMBER(INDEX(AllCollegeGR, MATCH(N315,AllCollegeNCES,0))),ROUND(INDEX(AllCollegeGR, MATCH(N315,AllCollegeNCES,0))+W315*IF(INDEX(AllCollegeGR, MATCH(N315,AllCollegeNCES,0))&gt;0.7,(1-INDEX(AllCollegeGR, MATCH(N315,AllCollegeNCES,0)))/2,0.15),2),INDEX(AllCollegeGR, MATCH(N315,AllCollegeNCES,0)))</f>
        <v>0</v>
      </c>
      <c r="Y315">
        <f>IF(ISNUMBER(INDEX(AllCollegeAAHGR, MATCH(N315,AllCollegeNCES,0))),ROUND(INDEX(AllCollegeAAHGR, MATCH(N315,AllCollegeNCES,0))+W315*IF(INDEX(AllCollegeAAHGR, MATCH(N315,AllCollegeNCES,0))&gt;0.7,(1-INDEX(AllCollegeAAHGR, MATCH(N315,AllCollegeNCES,0)))/2,0.15),2),INDEX(AllCollegeAAHGR, MATCH(N315,AllCollegeNCES,0)))</f>
        <v>0</v>
      </c>
      <c r="Z315">
        <f>IF(OR(T315="H",T315="B"),INDEX(AllCollegeACT25, MATCH(N315,AllCollegeNCES,0)),INDEX(AllCollegeACT50, MATCH(N315,AllCollegeNCES,0)))</f>
        <v>0</v>
      </c>
      <c r="AA315">
        <f>INDEX(CustomWeightsGPA,MATCH(T315&amp;":"&amp;N315,CustomWeightsIndex,0))</f>
        <v>0</v>
      </c>
      <c r="AB315">
        <f>INDEX(CustomWeightsACT,MATCH(T315&amp;":"&amp;N315,CustomWeightsIndex,0))</f>
        <v>0</v>
      </c>
      <c r="AC315">
        <f>INDEX(CustomWeightsIntercept,MATCH(T315&amp;":"&amp;N315,CustomWeightsIndex,0))</f>
        <v>0</v>
      </c>
      <c r="AD315">
        <f>AA315*P315+AB315*Q315+AC315</f>
        <v>0</v>
      </c>
      <c r="AE315">
        <f>INDEX(CoefficientsGPA,MATCH(T315&amp;":"&amp;O315,CoefficientsIndex,0))</f>
        <v>0</v>
      </c>
      <c r="AF315">
        <f>INDEX(CoefficientsACT,MATCH(T315&amp;":"&amp;O315,CoefficientsIndex,0))</f>
        <v>0</v>
      </c>
      <c r="AG315">
        <f>INDEX(CoefficientsIntercept,MATCH(T315&amp;":"&amp;O315,CoefficientsIndex,0))</f>
        <v>0</v>
      </c>
      <c r="AH315">
        <f>AE315*P315+(Q315-Z315)*AF315+AG315</f>
        <v>0</v>
      </c>
      <c r="AI315">
        <f>IF(ISNUMBER(AD315),AD315,AH315)</f>
        <v>0</v>
      </c>
      <c r="AJ315">
        <f>IF(ISNUMBER(AI315),IF(ISNUMBER(AE315),IF(AND(AE315=1,AF315=1,AG315=1),100,ROUND(100*EXP(AI315)/(1+EXP(AI315)),2)),ROUND(100*EXP(AI315)/(1+EXP(AI315)),2)),IF(ISTEXT(O315),IF(LEFT(O315,1)="2",100,"N/A"),"N/A"))</f>
        <v>0</v>
      </c>
      <c r="AK315">
        <f>IF(ISNUMBER(AJ315),IF(AJ315&gt;=99,IF(OR(R315=10,R315=11),MatchLabel,SureThingLabel),IF(AJ315&gt;=95,SecureLabel,IF(AJ315&gt;=80,SafetyLabel,IF(AJ315&gt;=50,MatchLabel,IF(AJ315&gt;=20,ReachLabel,IF(AJ315&gt;=10,LongshotLabel,HailMaryLabel)))))),"Other")</f>
        <v>0</v>
      </c>
      <c r="AL315">
        <f>IF(OR(I315="accepted",I315="cond. accept",I315="summer admit"),IF(J315="yes","CHOICE!","Accepted!"),IF(I315="denied","Denied",IF(K315=1,"Waitlist",IF(L315=1,"Deferred",IF(G315="pending","Pending",IF(OR(G315="initial materials submitted",G315="mid-year submitted",G315="final submitted"),"Submitted",IF(H315="interest","Interest","?")))))))</f>
        <v>0</v>
      </c>
      <c r="AM315">
        <f>IF(OR(AK315=ReachLabel,AK315=LongshotLabel,AK315=HailMaryLabel),1,0)</f>
        <v>0</v>
      </c>
      <c r="AN315">
        <f>IF(OR(AM315=1,AK315=MatchLabel),1,0)</f>
        <v>0</v>
      </c>
      <c r="AO315">
        <f>IF(OR(AK315=MatchLabel,AK315=SafetyLabel,AK315=SecureLabel,AK315=SureThingLabel),1,0)</f>
        <v>0</v>
      </c>
      <c r="AP315">
        <f>IF(OR(T315="H",T315="B"),IF(ISNUMBER(Y315),ROUND(Y315,2),0),IF(ISNUMBER(X315),ROUND(X315,2),0))</f>
        <v>0</v>
      </c>
      <c r="AQ315">
        <f>IF(AP315&gt;=U315,1,0)</f>
        <v>0</v>
      </c>
      <c r="AR315">
        <f>IF(AP315&gt;=V315,1,0)</f>
        <v>0</v>
      </c>
      <c r="AS315">
        <f>IF(AP315&lt;(U315-0.10),1,0)</f>
        <v>0</v>
      </c>
      <c r="AT315">
        <f>1-AJ315/100</f>
        <v>0</v>
      </c>
      <c r="AU315">
        <f>IF(AN315=1,AT315,1)</f>
        <v>0</v>
      </c>
      <c r="AV315">
        <f>IF(AM315=1,AT315,1)</f>
        <v>0</v>
      </c>
      <c r="AW315">
        <f>IF(AND(AQ315=1,ISNUMBER(AT315)),$AT315,1)</f>
        <v>0</v>
      </c>
      <c r="AX315">
        <f>IF(AND(AR315=1,ISNUMBER(AT315)),$AT315,1)</f>
        <v>0</v>
      </c>
      <c r="AY315">
        <f>IF(ISNUMBER(Y315),INDEX(AllCollegeMoney, MATCH(N315,AllCollegeNCES,0)),0)</f>
        <v>0</v>
      </c>
      <c r="AZ315">
        <f>IF(AND(AQ315=1,ISNUMBER(AT315),AY315=1),$AT315,1)</f>
        <v>0</v>
      </c>
      <c r="BA315">
        <f>IF(AND(AR315=1,ISNUMBER(AT315),AY315=1),$AT315,1)</f>
        <v>0</v>
      </c>
      <c r="BB315">
        <f>IF(ISNUMBER(Y315),INDEX(AllCollegeILPub, MATCH(N315,AllCollegeNCES,0)),0)</f>
        <v>0</v>
      </c>
      <c r="BC315">
        <f>IF(AK315=ReachLabel,AP315,0)</f>
        <v>0</v>
      </c>
      <c r="BD315">
        <f>IF(AK315=MatchLabel,AP315,0)</f>
        <v>0</v>
      </c>
      <c r="BE315">
        <f>IF(AK315=SafetyLabel,AP315,0)</f>
        <v>0</v>
      </c>
      <c r="BF315">
        <f>IF(AK315=SecureLabel,AP315,0)</f>
        <v>0</v>
      </c>
      <c r="BG315">
        <f>IF(AK315=SureThingLabel,AP315,0)</f>
        <v>0</v>
      </c>
      <c r="BH315">
        <f>MAX(BC315:BG315)</f>
        <v>0</v>
      </c>
      <c r="BI315">
        <f>MAX(BD315:BG315)</f>
        <v>0</v>
      </c>
      <c r="BJ315">
        <f>MAX(BE315:BG315)</f>
        <v>0</v>
      </c>
      <c r="BK315">
        <f>IF(AND(AK315=ReachLabel,AY315=1),AP315,0)</f>
        <v>0</v>
      </c>
      <c r="BL315">
        <f>IF(AND(AK315=MatchLabel,AY315=1),AP315,0)</f>
        <v>0</v>
      </c>
      <c r="BM315">
        <f>IF(AND(AK315=SafetyLabel,AY315=1),AP315,0)</f>
        <v>0</v>
      </c>
      <c r="BN315">
        <f>IF(AND(AK315=SecureLabel,AY315=1),AP315,0)</f>
        <v>0</v>
      </c>
      <c r="BO315">
        <f>IF(AND(AK315=SureThingLabel,AY315=1),AP315,0)</f>
        <v>0</v>
      </c>
      <c r="BP315">
        <f>MAX(BK315:BO315)</f>
        <v>0</v>
      </c>
      <c r="BQ315">
        <f>MAX(BL315:BO315)</f>
        <v>0</v>
      </c>
      <c r="BR315">
        <f>MAX(BM315:BO315)</f>
        <v>0</v>
      </c>
      <c r="BS315">
        <f>IF(ISNUMBER(Y315),INDEX(AllCollegeChicago, MATCH(N315,AllCollegeNCES,0))*AY315,0)</f>
        <v>0</v>
      </c>
      <c r="BT315">
        <f>IF(ISNUMBER(Y315),INDEX(AllCollegeMoneyCode, MATCH(N315,AllCollegeNCES,0)),"?")</f>
        <v>0</v>
      </c>
      <c r="BU315">
        <f>IF(OR(BT315="---",BT315="--",BT315="+/--",BT315="+/---"),1,0)</f>
        <v>0</v>
      </c>
      <c r="BV315">
        <f>AY315*AO315*AQ315</f>
        <v>0</v>
      </c>
    </row>
    <row r="316" spans="1:74">
      <c r="A316" t="s">
        <v>86</v>
      </c>
      <c r="B316">
        <v>23107053</v>
      </c>
      <c r="C316" t="s">
        <v>251</v>
      </c>
      <c r="D316" t="s">
        <v>252</v>
      </c>
      <c r="E316" t="s">
        <v>428</v>
      </c>
      <c r="F316" t="s">
        <v>507</v>
      </c>
      <c r="G316" t="s">
        <v>430</v>
      </c>
      <c r="H316" t="s">
        <v>431</v>
      </c>
      <c r="I316" t="s">
        <v>432</v>
      </c>
      <c r="J316" t="s">
        <v>432</v>
      </c>
      <c r="K316">
        <v>0</v>
      </c>
      <c r="L316" t="s">
        <v>428</v>
      </c>
      <c r="M316" t="s">
        <v>428</v>
      </c>
      <c r="N316">
        <v>236595</v>
      </c>
      <c r="O316">
        <f>INDEX(AllCollegeBarrons,MATCH(N316,AllCollegeNCES,0))</f>
        <v>0</v>
      </c>
      <c r="P316">
        <f>INDEX(KidGPAs,MATCH(B316,KidIDs,0))</f>
        <v>0</v>
      </c>
      <c r="Q316">
        <f>INDEX(KidACTs,MATCH(B316,KidIDs,0))</f>
        <v>0</v>
      </c>
      <c r="R316">
        <f>INDEX(Strats,MATCH(B316,KidIDs,0))</f>
        <v>0</v>
      </c>
      <c r="S316">
        <f>INDEX(KidRace,MATCH(B316,KidIDs,0))</f>
        <v>0</v>
      </c>
      <c r="T316">
        <f>IF(OR(S316="M",S316="I"),"H",S316)</f>
        <v>0</v>
      </c>
      <c r="U316">
        <f>INDEX(StudentTargets,MATCH(B316,KidIDs,0))</f>
        <v>0</v>
      </c>
      <c r="V316">
        <f>INDEX(ReachStudentTargets,MATCH(B316,KidIDs,0))</f>
        <v>0</v>
      </c>
      <c r="W316">
        <f>IF(OR(M316="Posse"),1,0)</f>
        <v>0</v>
      </c>
      <c r="X316">
        <f>IF(ISNUMBER(INDEX(AllCollegeGR, MATCH(N316,AllCollegeNCES,0))),ROUND(INDEX(AllCollegeGR, MATCH(N316,AllCollegeNCES,0))+W316*IF(INDEX(AllCollegeGR, MATCH(N316,AllCollegeNCES,0))&gt;0.7,(1-INDEX(AllCollegeGR, MATCH(N316,AllCollegeNCES,0)))/2,0.15),2),INDEX(AllCollegeGR, MATCH(N316,AllCollegeNCES,0)))</f>
        <v>0</v>
      </c>
      <c r="Y316">
        <f>IF(ISNUMBER(INDEX(AllCollegeAAHGR, MATCH(N316,AllCollegeNCES,0))),ROUND(INDEX(AllCollegeAAHGR, MATCH(N316,AllCollegeNCES,0))+W316*IF(INDEX(AllCollegeAAHGR, MATCH(N316,AllCollegeNCES,0))&gt;0.7,(1-INDEX(AllCollegeAAHGR, MATCH(N316,AllCollegeNCES,0)))/2,0.15),2),INDEX(AllCollegeAAHGR, MATCH(N316,AllCollegeNCES,0)))</f>
        <v>0</v>
      </c>
      <c r="Z316">
        <f>IF(OR(T316="H",T316="B"),INDEX(AllCollegeACT25, MATCH(N316,AllCollegeNCES,0)),INDEX(AllCollegeACT50, MATCH(N316,AllCollegeNCES,0)))</f>
        <v>0</v>
      </c>
      <c r="AA316">
        <f>INDEX(CustomWeightsGPA,MATCH(T316&amp;":"&amp;N316,CustomWeightsIndex,0))</f>
        <v>0</v>
      </c>
      <c r="AB316">
        <f>INDEX(CustomWeightsACT,MATCH(T316&amp;":"&amp;N316,CustomWeightsIndex,0))</f>
        <v>0</v>
      </c>
      <c r="AC316">
        <f>INDEX(CustomWeightsIntercept,MATCH(T316&amp;":"&amp;N316,CustomWeightsIndex,0))</f>
        <v>0</v>
      </c>
      <c r="AD316">
        <f>AA316*P316+AB316*Q316+AC316</f>
        <v>0</v>
      </c>
      <c r="AE316">
        <f>INDEX(CoefficientsGPA,MATCH(T316&amp;":"&amp;O316,CoefficientsIndex,0))</f>
        <v>0</v>
      </c>
      <c r="AF316">
        <f>INDEX(CoefficientsACT,MATCH(T316&amp;":"&amp;O316,CoefficientsIndex,0))</f>
        <v>0</v>
      </c>
      <c r="AG316">
        <f>INDEX(CoefficientsIntercept,MATCH(T316&amp;":"&amp;O316,CoefficientsIndex,0))</f>
        <v>0</v>
      </c>
      <c r="AH316">
        <f>AE316*P316+(Q316-Z316)*AF316+AG316</f>
        <v>0</v>
      </c>
      <c r="AI316">
        <f>IF(ISNUMBER(AD316),AD316,AH316)</f>
        <v>0</v>
      </c>
      <c r="AJ316">
        <f>IF(ISNUMBER(AI316),IF(ISNUMBER(AE316),IF(AND(AE316=1,AF316=1,AG316=1),100,ROUND(100*EXP(AI316)/(1+EXP(AI316)),2)),ROUND(100*EXP(AI316)/(1+EXP(AI316)),2)),IF(ISTEXT(O316),IF(LEFT(O316,1)="2",100,"N/A"),"N/A"))</f>
        <v>0</v>
      </c>
      <c r="AK316">
        <f>IF(ISNUMBER(AJ316),IF(AJ316&gt;=99,IF(OR(R316=10,R316=11),MatchLabel,SureThingLabel),IF(AJ316&gt;=95,SecureLabel,IF(AJ316&gt;=80,SafetyLabel,IF(AJ316&gt;=50,MatchLabel,IF(AJ316&gt;=20,ReachLabel,IF(AJ316&gt;=10,LongshotLabel,HailMaryLabel)))))),"Other")</f>
        <v>0</v>
      </c>
      <c r="AL316">
        <f>IF(OR(I316="accepted",I316="cond. accept",I316="summer admit"),IF(J316="yes","CHOICE!","Accepted!"),IF(I316="denied","Denied",IF(K316=1,"Waitlist",IF(L316=1,"Deferred",IF(G316="pending","Pending",IF(OR(G316="initial materials submitted",G316="mid-year submitted",G316="final submitted"),"Submitted",IF(H316="interest","Interest","?")))))))</f>
        <v>0</v>
      </c>
      <c r="AM316">
        <f>IF(OR(AK316=ReachLabel,AK316=LongshotLabel,AK316=HailMaryLabel),1,0)</f>
        <v>0</v>
      </c>
      <c r="AN316">
        <f>IF(OR(AM316=1,AK316=MatchLabel),1,0)</f>
        <v>0</v>
      </c>
      <c r="AO316">
        <f>IF(OR(AK316=MatchLabel,AK316=SafetyLabel,AK316=SecureLabel,AK316=SureThingLabel),1,0)</f>
        <v>0</v>
      </c>
      <c r="AP316">
        <f>IF(OR(T316="H",T316="B"),IF(ISNUMBER(Y316),ROUND(Y316,2),0),IF(ISNUMBER(X316),ROUND(X316,2),0))</f>
        <v>0</v>
      </c>
      <c r="AQ316">
        <f>IF(AP316&gt;=U316,1,0)</f>
        <v>0</v>
      </c>
      <c r="AR316">
        <f>IF(AP316&gt;=V316,1,0)</f>
        <v>0</v>
      </c>
      <c r="AS316">
        <f>IF(AP316&lt;(U316-0.10),1,0)</f>
        <v>0</v>
      </c>
      <c r="AT316">
        <f>1-AJ316/100</f>
        <v>0</v>
      </c>
      <c r="AU316">
        <f>IF(AN316=1,AT316,1)</f>
        <v>0</v>
      </c>
      <c r="AV316">
        <f>IF(AM316=1,AT316,1)</f>
        <v>0</v>
      </c>
      <c r="AW316">
        <f>IF(AND(AQ316=1,ISNUMBER(AT316)),$AT316,1)</f>
        <v>0</v>
      </c>
      <c r="AX316">
        <f>IF(AND(AR316=1,ISNUMBER(AT316)),$AT316,1)</f>
        <v>0</v>
      </c>
      <c r="AY316">
        <f>IF(ISNUMBER(Y316),INDEX(AllCollegeMoney, MATCH(N316,AllCollegeNCES,0)),0)</f>
        <v>0</v>
      </c>
      <c r="AZ316">
        <f>IF(AND(AQ316=1,ISNUMBER(AT316),AY316=1),$AT316,1)</f>
        <v>0</v>
      </c>
      <c r="BA316">
        <f>IF(AND(AR316=1,ISNUMBER(AT316),AY316=1),$AT316,1)</f>
        <v>0</v>
      </c>
      <c r="BB316">
        <f>IF(ISNUMBER(Y316),INDEX(AllCollegeILPub, MATCH(N316,AllCollegeNCES,0)),0)</f>
        <v>0</v>
      </c>
      <c r="BC316">
        <f>IF(AK316=ReachLabel,AP316,0)</f>
        <v>0</v>
      </c>
      <c r="BD316">
        <f>IF(AK316=MatchLabel,AP316,0)</f>
        <v>0</v>
      </c>
      <c r="BE316">
        <f>IF(AK316=SafetyLabel,AP316,0)</f>
        <v>0</v>
      </c>
      <c r="BF316">
        <f>IF(AK316=SecureLabel,AP316,0)</f>
        <v>0</v>
      </c>
      <c r="BG316">
        <f>IF(AK316=SureThingLabel,AP316,0)</f>
        <v>0</v>
      </c>
      <c r="BH316">
        <f>MAX(BC316:BG316)</f>
        <v>0</v>
      </c>
      <c r="BI316">
        <f>MAX(BD316:BG316)</f>
        <v>0</v>
      </c>
      <c r="BJ316">
        <f>MAX(BE316:BG316)</f>
        <v>0</v>
      </c>
      <c r="BK316">
        <f>IF(AND(AK316=ReachLabel,AY316=1),AP316,0)</f>
        <v>0</v>
      </c>
      <c r="BL316">
        <f>IF(AND(AK316=MatchLabel,AY316=1),AP316,0)</f>
        <v>0</v>
      </c>
      <c r="BM316">
        <f>IF(AND(AK316=SafetyLabel,AY316=1),AP316,0)</f>
        <v>0</v>
      </c>
      <c r="BN316">
        <f>IF(AND(AK316=SecureLabel,AY316=1),AP316,0)</f>
        <v>0</v>
      </c>
      <c r="BO316">
        <f>IF(AND(AK316=SureThingLabel,AY316=1),AP316,0)</f>
        <v>0</v>
      </c>
      <c r="BP316">
        <f>MAX(BK316:BO316)</f>
        <v>0</v>
      </c>
      <c r="BQ316">
        <f>MAX(BL316:BO316)</f>
        <v>0</v>
      </c>
      <c r="BR316">
        <f>MAX(BM316:BO316)</f>
        <v>0</v>
      </c>
      <c r="BS316">
        <f>IF(ISNUMBER(Y316),INDEX(AllCollegeChicago, MATCH(N316,AllCollegeNCES,0))*AY316,0)</f>
        <v>0</v>
      </c>
      <c r="BT316">
        <f>IF(ISNUMBER(Y316),INDEX(AllCollegeMoneyCode, MATCH(N316,AllCollegeNCES,0)),"?")</f>
        <v>0</v>
      </c>
      <c r="BU316">
        <f>IF(OR(BT316="---",BT316="--",BT316="+/--",BT316="+/---"),1,0)</f>
        <v>0</v>
      </c>
      <c r="BV316">
        <f>AY316*AO316*AQ316</f>
        <v>0</v>
      </c>
    </row>
    <row r="317" spans="1:74">
      <c r="A317" t="s">
        <v>86</v>
      </c>
      <c r="B317">
        <v>23107053</v>
      </c>
      <c r="C317" t="s">
        <v>251</v>
      </c>
      <c r="D317" t="s">
        <v>252</v>
      </c>
      <c r="E317" t="s">
        <v>428</v>
      </c>
      <c r="F317" t="s">
        <v>518</v>
      </c>
      <c r="G317" t="s">
        <v>430</v>
      </c>
      <c r="H317" t="s">
        <v>431</v>
      </c>
      <c r="I317" t="s">
        <v>432</v>
      </c>
      <c r="J317" t="s">
        <v>432</v>
      </c>
      <c r="K317">
        <v>0</v>
      </c>
      <c r="L317" t="s">
        <v>428</v>
      </c>
      <c r="M317" t="s">
        <v>428</v>
      </c>
      <c r="N317">
        <v>146719</v>
      </c>
      <c r="O317">
        <f>INDEX(AllCollegeBarrons,MATCH(N317,AllCollegeNCES,0))</f>
        <v>0</v>
      </c>
      <c r="P317">
        <f>INDEX(KidGPAs,MATCH(B317,KidIDs,0))</f>
        <v>0</v>
      </c>
      <c r="Q317">
        <f>INDEX(KidACTs,MATCH(B317,KidIDs,0))</f>
        <v>0</v>
      </c>
      <c r="R317">
        <f>INDEX(Strats,MATCH(B317,KidIDs,0))</f>
        <v>0</v>
      </c>
      <c r="S317">
        <f>INDEX(KidRace,MATCH(B317,KidIDs,0))</f>
        <v>0</v>
      </c>
      <c r="T317">
        <f>IF(OR(S317="M",S317="I"),"H",S317)</f>
        <v>0</v>
      </c>
      <c r="U317">
        <f>INDEX(StudentTargets,MATCH(B317,KidIDs,0))</f>
        <v>0</v>
      </c>
      <c r="V317">
        <f>INDEX(ReachStudentTargets,MATCH(B317,KidIDs,0))</f>
        <v>0</v>
      </c>
      <c r="W317">
        <f>IF(OR(M317="Posse"),1,0)</f>
        <v>0</v>
      </c>
      <c r="X317">
        <f>IF(ISNUMBER(INDEX(AllCollegeGR, MATCH(N317,AllCollegeNCES,0))),ROUND(INDEX(AllCollegeGR, MATCH(N317,AllCollegeNCES,0))+W317*IF(INDEX(AllCollegeGR, MATCH(N317,AllCollegeNCES,0))&gt;0.7,(1-INDEX(AllCollegeGR, MATCH(N317,AllCollegeNCES,0)))/2,0.15),2),INDEX(AllCollegeGR, MATCH(N317,AllCollegeNCES,0)))</f>
        <v>0</v>
      </c>
      <c r="Y317">
        <f>IF(ISNUMBER(INDEX(AllCollegeAAHGR, MATCH(N317,AllCollegeNCES,0))),ROUND(INDEX(AllCollegeAAHGR, MATCH(N317,AllCollegeNCES,0))+W317*IF(INDEX(AllCollegeAAHGR, MATCH(N317,AllCollegeNCES,0))&gt;0.7,(1-INDEX(AllCollegeAAHGR, MATCH(N317,AllCollegeNCES,0)))/2,0.15),2),INDEX(AllCollegeAAHGR, MATCH(N317,AllCollegeNCES,0)))</f>
        <v>0</v>
      </c>
      <c r="Z317">
        <f>IF(OR(T317="H",T317="B"),INDEX(AllCollegeACT25, MATCH(N317,AllCollegeNCES,0)),INDEX(AllCollegeACT50, MATCH(N317,AllCollegeNCES,0)))</f>
        <v>0</v>
      </c>
      <c r="AA317">
        <f>INDEX(CustomWeightsGPA,MATCH(T317&amp;":"&amp;N317,CustomWeightsIndex,0))</f>
        <v>0</v>
      </c>
      <c r="AB317">
        <f>INDEX(CustomWeightsACT,MATCH(T317&amp;":"&amp;N317,CustomWeightsIndex,0))</f>
        <v>0</v>
      </c>
      <c r="AC317">
        <f>INDEX(CustomWeightsIntercept,MATCH(T317&amp;":"&amp;N317,CustomWeightsIndex,0))</f>
        <v>0</v>
      </c>
      <c r="AD317">
        <f>AA317*P317+AB317*Q317+AC317</f>
        <v>0</v>
      </c>
      <c r="AE317">
        <f>INDEX(CoefficientsGPA,MATCH(T317&amp;":"&amp;O317,CoefficientsIndex,0))</f>
        <v>0</v>
      </c>
      <c r="AF317">
        <f>INDEX(CoefficientsACT,MATCH(T317&amp;":"&amp;O317,CoefficientsIndex,0))</f>
        <v>0</v>
      </c>
      <c r="AG317">
        <f>INDEX(CoefficientsIntercept,MATCH(T317&amp;":"&amp;O317,CoefficientsIndex,0))</f>
        <v>0</v>
      </c>
      <c r="AH317">
        <f>AE317*P317+(Q317-Z317)*AF317+AG317</f>
        <v>0</v>
      </c>
      <c r="AI317">
        <f>IF(ISNUMBER(AD317),AD317,AH317)</f>
        <v>0</v>
      </c>
      <c r="AJ317">
        <f>IF(ISNUMBER(AI317),IF(ISNUMBER(AE317),IF(AND(AE317=1,AF317=1,AG317=1),100,ROUND(100*EXP(AI317)/(1+EXP(AI317)),2)),ROUND(100*EXP(AI317)/(1+EXP(AI317)),2)),IF(ISTEXT(O317),IF(LEFT(O317,1)="2",100,"N/A"),"N/A"))</f>
        <v>0</v>
      </c>
      <c r="AK317">
        <f>IF(ISNUMBER(AJ317),IF(AJ317&gt;=99,IF(OR(R317=10,R317=11),MatchLabel,SureThingLabel),IF(AJ317&gt;=95,SecureLabel,IF(AJ317&gt;=80,SafetyLabel,IF(AJ317&gt;=50,MatchLabel,IF(AJ317&gt;=20,ReachLabel,IF(AJ317&gt;=10,LongshotLabel,HailMaryLabel)))))),"Other")</f>
        <v>0</v>
      </c>
      <c r="AL317">
        <f>IF(OR(I317="accepted",I317="cond. accept",I317="summer admit"),IF(J317="yes","CHOICE!","Accepted!"),IF(I317="denied","Denied",IF(K317=1,"Waitlist",IF(L317=1,"Deferred",IF(G317="pending","Pending",IF(OR(G317="initial materials submitted",G317="mid-year submitted",G317="final submitted"),"Submitted",IF(H317="interest","Interest","?")))))))</f>
        <v>0</v>
      </c>
      <c r="AM317">
        <f>IF(OR(AK317=ReachLabel,AK317=LongshotLabel,AK317=HailMaryLabel),1,0)</f>
        <v>0</v>
      </c>
      <c r="AN317">
        <f>IF(OR(AM317=1,AK317=MatchLabel),1,0)</f>
        <v>0</v>
      </c>
      <c r="AO317">
        <f>IF(OR(AK317=MatchLabel,AK317=SafetyLabel,AK317=SecureLabel,AK317=SureThingLabel),1,0)</f>
        <v>0</v>
      </c>
      <c r="AP317">
        <f>IF(OR(T317="H",T317="B"),IF(ISNUMBER(Y317),ROUND(Y317,2),0),IF(ISNUMBER(X317),ROUND(X317,2),0))</f>
        <v>0</v>
      </c>
      <c r="AQ317">
        <f>IF(AP317&gt;=U317,1,0)</f>
        <v>0</v>
      </c>
      <c r="AR317">
        <f>IF(AP317&gt;=V317,1,0)</f>
        <v>0</v>
      </c>
      <c r="AS317">
        <f>IF(AP317&lt;(U317-0.10),1,0)</f>
        <v>0</v>
      </c>
      <c r="AT317">
        <f>1-AJ317/100</f>
        <v>0</v>
      </c>
      <c r="AU317">
        <f>IF(AN317=1,AT317,1)</f>
        <v>0</v>
      </c>
      <c r="AV317">
        <f>IF(AM317=1,AT317,1)</f>
        <v>0</v>
      </c>
      <c r="AW317">
        <f>IF(AND(AQ317=1,ISNUMBER(AT317)),$AT317,1)</f>
        <v>0</v>
      </c>
      <c r="AX317">
        <f>IF(AND(AR317=1,ISNUMBER(AT317)),$AT317,1)</f>
        <v>0</v>
      </c>
      <c r="AY317">
        <f>IF(ISNUMBER(Y317),INDEX(AllCollegeMoney, MATCH(N317,AllCollegeNCES,0)),0)</f>
        <v>0</v>
      </c>
      <c r="AZ317">
        <f>IF(AND(AQ317=1,ISNUMBER(AT317),AY317=1),$AT317,1)</f>
        <v>0</v>
      </c>
      <c r="BA317">
        <f>IF(AND(AR317=1,ISNUMBER(AT317),AY317=1),$AT317,1)</f>
        <v>0</v>
      </c>
      <c r="BB317">
        <f>IF(ISNUMBER(Y317),INDEX(AllCollegeILPub, MATCH(N317,AllCollegeNCES,0)),0)</f>
        <v>0</v>
      </c>
      <c r="BC317">
        <f>IF(AK317=ReachLabel,AP317,0)</f>
        <v>0</v>
      </c>
      <c r="BD317">
        <f>IF(AK317=MatchLabel,AP317,0)</f>
        <v>0</v>
      </c>
      <c r="BE317">
        <f>IF(AK317=SafetyLabel,AP317,0)</f>
        <v>0</v>
      </c>
      <c r="BF317">
        <f>IF(AK317=SecureLabel,AP317,0)</f>
        <v>0</v>
      </c>
      <c r="BG317">
        <f>IF(AK317=SureThingLabel,AP317,0)</f>
        <v>0</v>
      </c>
      <c r="BH317">
        <f>MAX(BC317:BG317)</f>
        <v>0</v>
      </c>
      <c r="BI317">
        <f>MAX(BD317:BG317)</f>
        <v>0</v>
      </c>
      <c r="BJ317">
        <f>MAX(BE317:BG317)</f>
        <v>0</v>
      </c>
      <c r="BK317">
        <f>IF(AND(AK317=ReachLabel,AY317=1),AP317,0)</f>
        <v>0</v>
      </c>
      <c r="BL317">
        <f>IF(AND(AK317=MatchLabel,AY317=1),AP317,0)</f>
        <v>0</v>
      </c>
      <c r="BM317">
        <f>IF(AND(AK317=SafetyLabel,AY317=1),AP317,0)</f>
        <v>0</v>
      </c>
      <c r="BN317">
        <f>IF(AND(AK317=SecureLabel,AY317=1),AP317,0)</f>
        <v>0</v>
      </c>
      <c r="BO317">
        <f>IF(AND(AK317=SureThingLabel,AY317=1),AP317,0)</f>
        <v>0</v>
      </c>
      <c r="BP317">
        <f>MAX(BK317:BO317)</f>
        <v>0</v>
      </c>
      <c r="BQ317">
        <f>MAX(BL317:BO317)</f>
        <v>0</v>
      </c>
      <c r="BR317">
        <f>MAX(BM317:BO317)</f>
        <v>0</v>
      </c>
      <c r="BS317">
        <f>IF(ISNUMBER(Y317),INDEX(AllCollegeChicago, MATCH(N317,AllCollegeNCES,0))*AY317,0)</f>
        <v>0</v>
      </c>
      <c r="BT317">
        <f>IF(ISNUMBER(Y317),INDEX(AllCollegeMoneyCode, MATCH(N317,AllCollegeNCES,0)),"?")</f>
        <v>0</v>
      </c>
      <c r="BU317">
        <f>IF(OR(BT317="---",BT317="--",BT317="+/--",BT317="+/---"),1,0)</f>
        <v>0</v>
      </c>
      <c r="BV317">
        <f>AY317*AO317*AQ317</f>
        <v>0</v>
      </c>
    </row>
    <row r="318" spans="1:74">
      <c r="A318" t="s">
        <v>86</v>
      </c>
      <c r="B318">
        <v>23107053</v>
      </c>
      <c r="C318" t="s">
        <v>251</v>
      </c>
      <c r="D318" t="s">
        <v>252</v>
      </c>
      <c r="E318" t="s">
        <v>428</v>
      </c>
      <c r="F318" t="s">
        <v>461</v>
      </c>
      <c r="G318" t="s">
        <v>430</v>
      </c>
      <c r="H318" t="s">
        <v>431</v>
      </c>
      <c r="I318" t="s">
        <v>432</v>
      </c>
      <c r="J318" t="s">
        <v>432</v>
      </c>
      <c r="K318">
        <v>0</v>
      </c>
      <c r="L318" t="s">
        <v>428</v>
      </c>
      <c r="M318" t="s">
        <v>428</v>
      </c>
      <c r="N318">
        <v>153834</v>
      </c>
      <c r="O318">
        <f>INDEX(AllCollegeBarrons,MATCH(N318,AllCollegeNCES,0))</f>
        <v>0</v>
      </c>
      <c r="P318">
        <f>INDEX(KidGPAs,MATCH(B318,KidIDs,0))</f>
        <v>0</v>
      </c>
      <c r="Q318">
        <f>INDEX(KidACTs,MATCH(B318,KidIDs,0))</f>
        <v>0</v>
      </c>
      <c r="R318">
        <f>INDEX(Strats,MATCH(B318,KidIDs,0))</f>
        <v>0</v>
      </c>
      <c r="S318">
        <f>INDEX(KidRace,MATCH(B318,KidIDs,0))</f>
        <v>0</v>
      </c>
      <c r="T318">
        <f>IF(OR(S318="M",S318="I"),"H",S318)</f>
        <v>0</v>
      </c>
      <c r="U318">
        <f>INDEX(StudentTargets,MATCH(B318,KidIDs,0))</f>
        <v>0</v>
      </c>
      <c r="V318">
        <f>INDEX(ReachStudentTargets,MATCH(B318,KidIDs,0))</f>
        <v>0</v>
      </c>
      <c r="W318">
        <f>IF(OR(M318="Posse"),1,0)</f>
        <v>0</v>
      </c>
      <c r="X318">
        <f>IF(ISNUMBER(INDEX(AllCollegeGR, MATCH(N318,AllCollegeNCES,0))),ROUND(INDEX(AllCollegeGR, MATCH(N318,AllCollegeNCES,0))+W318*IF(INDEX(AllCollegeGR, MATCH(N318,AllCollegeNCES,0))&gt;0.7,(1-INDEX(AllCollegeGR, MATCH(N318,AllCollegeNCES,0)))/2,0.15),2),INDEX(AllCollegeGR, MATCH(N318,AllCollegeNCES,0)))</f>
        <v>0</v>
      </c>
      <c r="Y318">
        <f>IF(ISNUMBER(INDEX(AllCollegeAAHGR, MATCH(N318,AllCollegeNCES,0))),ROUND(INDEX(AllCollegeAAHGR, MATCH(N318,AllCollegeNCES,0))+W318*IF(INDEX(AllCollegeAAHGR, MATCH(N318,AllCollegeNCES,0))&gt;0.7,(1-INDEX(AllCollegeAAHGR, MATCH(N318,AllCollegeNCES,0)))/2,0.15),2),INDEX(AllCollegeAAHGR, MATCH(N318,AllCollegeNCES,0)))</f>
        <v>0</v>
      </c>
      <c r="Z318">
        <f>IF(OR(T318="H",T318="B"),INDEX(AllCollegeACT25, MATCH(N318,AllCollegeNCES,0)),INDEX(AllCollegeACT50, MATCH(N318,AllCollegeNCES,0)))</f>
        <v>0</v>
      </c>
      <c r="AA318">
        <f>INDEX(CustomWeightsGPA,MATCH(T318&amp;":"&amp;N318,CustomWeightsIndex,0))</f>
        <v>0</v>
      </c>
      <c r="AB318">
        <f>INDEX(CustomWeightsACT,MATCH(T318&amp;":"&amp;N318,CustomWeightsIndex,0))</f>
        <v>0</v>
      </c>
      <c r="AC318">
        <f>INDEX(CustomWeightsIntercept,MATCH(T318&amp;":"&amp;N318,CustomWeightsIndex,0))</f>
        <v>0</v>
      </c>
      <c r="AD318">
        <f>AA318*P318+AB318*Q318+AC318</f>
        <v>0</v>
      </c>
      <c r="AE318">
        <f>INDEX(CoefficientsGPA,MATCH(T318&amp;":"&amp;O318,CoefficientsIndex,0))</f>
        <v>0</v>
      </c>
      <c r="AF318">
        <f>INDEX(CoefficientsACT,MATCH(T318&amp;":"&amp;O318,CoefficientsIndex,0))</f>
        <v>0</v>
      </c>
      <c r="AG318">
        <f>INDEX(CoefficientsIntercept,MATCH(T318&amp;":"&amp;O318,CoefficientsIndex,0))</f>
        <v>0</v>
      </c>
      <c r="AH318">
        <f>AE318*P318+(Q318-Z318)*AF318+AG318</f>
        <v>0</v>
      </c>
      <c r="AI318">
        <f>IF(ISNUMBER(AD318),AD318,AH318)</f>
        <v>0</v>
      </c>
      <c r="AJ318">
        <f>IF(ISNUMBER(AI318),IF(ISNUMBER(AE318),IF(AND(AE318=1,AF318=1,AG318=1),100,ROUND(100*EXP(AI318)/(1+EXP(AI318)),2)),ROUND(100*EXP(AI318)/(1+EXP(AI318)),2)),IF(ISTEXT(O318),IF(LEFT(O318,1)="2",100,"N/A"),"N/A"))</f>
        <v>0</v>
      </c>
      <c r="AK318">
        <f>IF(ISNUMBER(AJ318),IF(AJ318&gt;=99,IF(OR(R318=10,R318=11),MatchLabel,SureThingLabel),IF(AJ318&gt;=95,SecureLabel,IF(AJ318&gt;=80,SafetyLabel,IF(AJ318&gt;=50,MatchLabel,IF(AJ318&gt;=20,ReachLabel,IF(AJ318&gt;=10,LongshotLabel,HailMaryLabel)))))),"Other")</f>
        <v>0</v>
      </c>
      <c r="AL318">
        <f>IF(OR(I318="accepted",I318="cond. accept",I318="summer admit"),IF(J318="yes","CHOICE!","Accepted!"),IF(I318="denied","Denied",IF(K318=1,"Waitlist",IF(L318=1,"Deferred",IF(G318="pending","Pending",IF(OR(G318="initial materials submitted",G318="mid-year submitted",G318="final submitted"),"Submitted",IF(H318="interest","Interest","?")))))))</f>
        <v>0</v>
      </c>
      <c r="AM318">
        <f>IF(OR(AK318=ReachLabel,AK318=LongshotLabel,AK318=HailMaryLabel),1,0)</f>
        <v>0</v>
      </c>
      <c r="AN318">
        <f>IF(OR(AM318=1,AK318=MatchLabel),1,0)</f>
        <v>0</v>
      </c>
      <c r="AO318">
        <f>IF(OR(AK318=MatchLabel,AK318=SafetyLabel,AK318=SecureLabel,AK318=SureThingLabel),1,0)</f>
        <v>0</v>
      </c>
      <c r="AP318">
        <f>IF(OR(T318="H",T318="B"),IF(ISNUMBER(Y318),ROUND(Y318,2),0),IF(ISNUMBER(X318),ROUND(X318,2),0))</f>
        <v>0</v>
      </c>
      <c r="AQ318">
        <f>IF(AP318&gt;=U318,1,0)</f>
        <v>0</v>
      </c>
      <c r="AR318">
        <f>IF(AP318&gt;=V318,1,0)</f>
        <v>0</v>
      </c>
      <c r="AS318">
        <f>IF(AP318&lt;(U318-0.10),1,0)</f>
        <v>0</v>
      </c>
      <c r="AT318">
        <f>1-AJ318/100</f>
        <v>0</v>
      </c>
      <c r="AU318">
        <f>IF(AN318=1,AT318,1)</f>
        <v>0</v>
      </c>
      <c r="AV318">
        <f>IF(AM318=1,AT318,1)</f>
        <v>0</v>
      </c>
      <c r="AW318">
        <f>IF(AND(AQ318=1,ISNUMBER(AT318)),$AT318,1)</f>
        <v>0</v>
      </c>
      <c r="AX318">
        <f>IF(AND(AR318=1,ISNUMBER(AT318)),$AT318,1)</f>
        <v>0</v>
      </c>
      <c r="AY318">
        <f>IF(ISNUMBER(Y318),INDEX(AllCollegeMoney, MATCH(N318,AllCollegeNCES,0)),0)</f>
        <v>0</v>
      </c>
      <c r="AZ318">
        <f>IF(AND(AQ318=1,ISNUMBER(AT318),AY318=1),$AT318,1)</f>
        <v>0</v>
      </c>
      <c r="BA318">
        <f>IF(AND(AR318=1,ISNUMBER(AT318),AY318=1),$AT318,1)</f>
        <v>0</v>
      </c>
      <c r="BB318">
        <f>IF(ISNUMBER(Y318),INDEX(AllCollegeILPub, MATCH(N318,AllCollegeNCES,0)),0)</f>
        <v>0</v>
      </c>
      <c r="BC318">
        <f>IF(AK318=ReachLabel,AP318,0)</f>
        <v>0</v>
      </c>
      <c r="BD318">
        <f>IF(AK318=MatchLabel,AP318,0)</f>
        <v>0</v>
      </c>
      <c r="BE318">
        <f>IF(AK318=SafetyLabel,AP318,0)</f>
        <v>0</v>
      </c>
      <c r="BF318">
        <f>IF(AK318=SecureLabel,AP318,0)</f>
        <v>0</v>
      </c>
      <c r="BG318">
        <f>IF(AK318=SureThingLabel,AP318,0)</f>
        <v>0</v>
      </c>
      <c r="BH318">
        <f>MAX(BC318:BG318)</f>
        <v>0</v>
      </c>
      <c r="BI318">
        <f>MAX(BD318:BG318)</f>
        <v>0</v>
      </c>
      <c r="BJ318">
        <f>MAX(BE318:BG318)</f>
        <v>0</v>
      </c>
      <c r="BK318">
        <f>IF(AND(AK318=ReachLabel,AY318=1),AP318,0)</f>
        <v>0</v>
      </c>
      <c r="BL318">
        <f>IF(AND(AK318=MatchLabel,AY318=1),AP318,0)</f>
        <v>0</v>
      </c>
      <c r="BM318">
        <f>IF(AND(AK318=SafetyLabel,AY318=1),AP318,0)</f>
        <v>0</v>
      </c>
      <c r="BN318">
        <f>IF(AND(AK318=SecureLabel,AY318=1),AP318,0)</f>
        <v>0</v>
      </c>
      <c r="BO318">
        <f>IF(AND(AK318=SureThingLabel,AY318=1),AP318,0)</f>
        <v>0</v>
      </c>
      <c r="BP318">
        <f>MAX(BK318:BO318)</f>
        <v>0</v>
      </c>
      <c r="BQ318">
        <f>MAX(BL318:BO318)</f>
        <v>0</v>
      </c>
      <c r="BR318">
        <f>MAX(BM318:BO318)</f>
        <v>0</v>
      </c>
      <c r="BS318">
        <f>IF(ISNUMBER(Y318),INDEX(AllCollegeChicago, MATCH(N318,AllCollegeNCES,0))*AY318,0)</f>
        <v>0</v>
      </c>
      <c r="BT318">
        <f>IF(ISNUMBER(Y318),INDEX(AllCollegeMoneyCode, MATCH(N318,AllCollegeNCES,0)),"?")</f>
        <v>0</v>
      </c>
      <c r="BU318">
        <f>IF(OR(BT318="---",BT318="--",BT318="+/--",BT318="+/---"),1,0)</f>
        <v>0</v>
      </c>
      <c r="BV318">
        <f>AY318*AO318*AQ318</f>
        <v>0</v>
      </c>
    </row>
    <row r="319" spans="1:74">
      <c r="A319" t="s">
        <v>86</v>
      </c>
      <c r="B319">
        <v>23107053</v>
      </c>
      <c r="C319" t="s">
        <v>251</v>
      </c>
      <c r="D319" t="s">
        <v>252</v>
      </c>
      <c r="E319" t="s">
        <v>428</v>
      </c>
      <c r="F319" t="s">
        <v>462</v>
      </c>
      <c r="G319" t="s">
        <v>430</v>
      </c>
      <c r="H319" t="s">
        <v>431</v>
      </c>
      <c r="I319" t="s">
        <v>432</v>
      </c>
      <c r="J319" t="s">
        <v>432</v>
      </c>
      <c r="K319">
        <v>0</v>
      </c>
      <c r="L319" t="s">
        <v>428</v>
      </c>
      <c r="M319" t="s">
        <v>428</v>
      </c>
      <c r="N319">
        <v>168546</v>
      </c>
      <c r="O319">
        <f>INDEX(AllCollegeBarrons,MATCH(N319,AllCollegeNCES,0))</f>
        <v>0</v>
      </c>
      <c r="P319">
        <f>INDEX(KidGPAs,MATCH(B319,KidIDs,0))</f>
        <v>0</v>
      </c>
      <c r="Q319">
        <f>INDEX(KidACTs,MATCH(B319,KidIDs,0))</f>
        <v>0</v>
      </c>
      <c r="R319">
        <f>INDEX(Strats,MATCH(B319,KidIDs,0))</f>
        <v>0</v>
      </c>
      <c r="S319">
        <f>INDEX(KidRace,MATCH(B319,KidIDs,0))</f>
        <v>0</v>
      </c>
      <c r="T319">
        <f>IF(OR(S319="M",S319="I"),"H",S319)</f>
        <v>0</v>
      </c>
      <c r="U319">
        <f>INDEX(StudentTargets,MATCH(B319,KidIDs,0))</f>
        <v>0</v>
      </c>
      <c r="V319">
        <f>INDEX(ReachStudentTargets,MATCH(B319,KidIDs,0))</f>
        <v>0</v>
      </c>
      <c r="W319">
        <f>IF(OR(M319="Posse"),1,0)</f>
        <v>0</v>
      </c>
      <c r="X319">
        <f>IF(ISNUMBER(INDEX(AllCollegeGR, MATCH(N319,AllCollegeNCES,0))),ROUND(INDEX(AllCollegeGR, MATCH(N319,AllCollegeNCES,0))+W319*IF(INDEX(AllCollegeGR, MATCH(N319,AllCollegeNCES,0))&gt;0.7,(1-INDEX(AllCollegeGR, MATCH(N319,AllCollegeNCES,0)))/2,0.15),2),INDEX(AllCollegeGR, MATCH(N319,AllCollegeNCES,0)))</f>
        <v>0</v>
      </c>
      <c r="Y319">
        <f>IF(ISNUMBER(INDEX(AllCollegeAAHGR, MATCH(N319,AllCollegeNCES,0))),ROUND(INDEX(AllCollegeAAHGR, MATCH(N319,AllCollegeNCES,0))+W319*IF(INDEX(AllCollegeAAHGR, MATCH(N319,AllCollegeNCES,0))&gt;0.7,(1-INDEX(AllCollegeAAHGR, MATCH(N319,AllCollegeNCES,0)))/2,0.15),2),INDEX(AllCollegeAAHGR, MATCH(N319,AllCollegeNCES,0)))</f>
        <v>0</v>
      </c>
      <c r="Z319">
        <f>IF(OR(T319="H",T319="B"),INDEX(AllCollegeACT25, MATCH(N319,AllCollegeNCES,0)),INDEX(AllCollegeACT50, MATCH(N319,AllCollegeNCES,0)))</f>
        <v>0</v>
      </c>
      <c r="AA319">
        <f>INDEX(CustomWeightsGPA,MATCH(T319&amp;":"&amp;N319,CustomWeightsIndex,0))</f>
        <v>0</v>
      </c>
      <c r="AB319">
        <f>INDEX(CustomWeightsACT,MATCH(T319&amp;":"&amp;N319,CustomWeightsIndex,0))</f>
        <v>0</v>
      </c>
      <c r="AC319">
        <f>INDEX(CustomWeightsIntercept,MATCH(T319&amp;":"&amp;N319,CustomWeightsIndex,0))</f>
        <v>0</v>
      </c>
      <c r="AD319">
        <f>AA319*P319+AB319*Q319+AC319</f>
        <v>0</v>
      </c>
      <c r="AE319">
        <f>INDEX(CoefficientsGPA,MATCH(T319&amp;":"&amp;O319,CoefficientsIndex,0))</f>
        <v>0</v>
      </c>
      <c r="AF319">
        <f>INDEX(CoefficientsACT,MATCH(T319&amp;":"&amp;O319,CoefficientsIndex,0))</f>
        <v>0</v>
      </c>
      <c r="AG319">
        <f>INDEX(CoefficientsIntercept,MATCH(T319&amp;":"&amp;O319,CoefficientsIndex,0))</f>
        <v>0</v>
      </c>
      <c r="AH319">
        <f>AE319*P319+(Q319-Z319)*AF319+AG319</f>
        <v>0</v>
      </c>
      <c r="AI319">
        <f>IF(ISNUMBER(AD319),AD319,AH319)</f>
        <v>0</v>
      </c>
      <c r="AJ319">
        <f>IF(ISNUMBER(AI319),IF(ISNUMBER(AE319),IF(AND(AE319=1,AF319=1,AG319=1),100,ROUND(100*EXP(AI319)/(1+EXP(AI319)),2)),ROUND(100*EXP(AI319)/(1+EXP(AI319)),2)),IF(ISTEXT(O319),IF(LEFT(O319,1)="2",100,"N/A"),"N/A"))</f>
        <v>0</v>
      </c>
      <c r="AK319">
        <f>IF(ISNUMBER(AJ319),IF(AJ319&gt;=99,IF(OR(R319=10,R319=11),MatchLabel,SureThingLabel),IF(AJ319&gt;=95,SecureLabel,IF(AJ319&gt;=80,SafetyLabel,IF(AJ319&gt;=50,MatchLabel,IF(AJ319&gt;=20,ReachLabel,IF(AJ319&gt;=10,LongshotLabel,HailMaryLabel)))))),"Other")</f>
        <v>0</v>
      </c>
      <c r="AL319">
        <f>IF(OR(I319="accepted",I319="cond. accept",I319="summer admit"),IF(J319="yes","CHOICE!","Accepted!"),IF(I319="denied","Denied",IF(K319=1,"Waitlist",IF(L319=1,"Deferred",IF(G319="pending","Pending",IF(OR(G319="initial materials submitted",G319="mid-year submitted",G319="final submitted"),"Submitted",IF(H319="interest","Interest","?")))))))</f>
        <v>0</v>
      </c>
      <c r="AM319">
        <f>IF(OR(AK319=ReachLabel,AK319=LongshotLabel,AK319=HailMaryLabel),1,0)</f>
        <v>0</v>
      </c>
      <c r="AN319">
        <f>IF(OR(AM319=1,AK319=MatchLabel),1,0)</f>
        <v>0</v>
      </c>
      <c r="AO319">
        <f>IF(OR(AK319=MatchLabel,AK319=SafetyLabel,AK319=SecureLabel,AK319=SureThingLabel),1,0)</f>
        <v>0</v>
      </c>
      <c r="AP319">
        <f>IF(OR(T319="H",T319="B"),IF(ISNUMBER(Y319),ROUND(Y319,2),0),IF(ISNUMBER(X319),ROUND(X319,2),0))</f>
        <v>0</v>
      </c>
      <c r="AQ319">
        <f>IF(AP319&gt;=U319,1,0)</f>
        <v>0</v>
      </c>
      <c r="AR319">
        <f>IF(AP319&gt;=V319,1,0)</f>
        <v>0</v>
      </c>
      <c r="AS319">
        <f>IF(AP319&lt;(U319-0.10),1,0)</f>
        <v>0</v>
      </c>
      <c r="AT319">
        <f>1-AJ319/100</f>
        <v>0</v>
      </c>
      <c r="AU319">
        <f>IF(AN319=1,AT319,1)</f>
        <v>0</v>
      </c>
      <c r="AV319">
        <f>IF(AM319=1,AT319,1)</f>
        <v>0</v>
      </c>
      <c r="AW319">
        <f>IF(AND(AQ319=1,ISNUMBER(AT319)),$AT319,1)</f>
        <v>0</v>
      </c>
      <c r="AX319">
        <f>IF(AND(AR319=1,ISNUMBER(AT319)),$AT319,1)</f>
        <v>0</v>
      </c>
      <c r="AY319">
        <f>IF(ISNUMBER(Y319),INDEX(AllCollegeMoney, MATCH(N319,AllCollegeNCES,0)),0)</f>
        <v>0</v>
      </c>
      <c r="AZ319">
        <f>IF(AND(AQ319=1,ISNUMBER(AT319),AY319=1),$AT319,1)</f>
        <v>0</v>
      </c>
      <c r="BA319">
        <f>IF(AND(AR319=1,ISNUMBER(AT319),AY319=1),$AT319,1)</f>
        <v>0</v>
      </c>
      <c r="BB319">
        <f>IF(ISNUMBER(Y319),INDEX(AllCollegeILPub, MATCH(N319,AllCollegeNCES,0)),0)</f>
        <v>0</v>
      </c>
      <c r="BC319">
        <f>IF(AK319=ReachLabel,AP319,0)</f>
        <v>0</v>
      </c>
      <c r="BD319">
        <f>IF(AK319=MatchLabel,AP319,0)</f>
        <v>0</v>
      </c>
      <c r="BE319">
        <f>IF(AK319=SafetyLabel,AP319,0)</f>
        <v>0</v>
      </c>
      <c r="BF319">
        <f>IF(AK319=SecureLabel,AP319,0)</f>
        <v>0</v>
      </c>
      <c r="BG319">
        <f>IF(AK319=SureThingLabel,AP319,0)</f>
        <v>0</v>
      </c>
      <c r="BH319">
        <f>MAX(BC319:BG319)</f>
        <v>0</v>
      </c>
      <c r="BI319">
        <f>MAX(BD319:BG319)</f>
        <v>0</v>
      </c>
      <c r="BJ319">
        <f>MAX(BE319:BG319)</f>
        <v>0</v>
      </c>
      <c r="BK319">
        <f>IF(AND(AK319=ReachLabel,AY319=1),AP319,0)</f>
        <v>0</v>
      </c>
      <c r="BL319">
        <f>IF(AND(AK319=MatchLabel,AY319=1),AP319,0)</f>
        <v>0</v>
      </c>
      <c r="BM319">
        <f>IF(AND(AK319=SafetyLabel,AY319=1),AP319,0)</f>
        <v>0</v>
      </c>
      <c r="BN319">
        <f>IF(AND(AK319=SecureLabel,AY319=1),AP319,0)</f>
        <v>0</v>
      </c>
      <c r="BO319">
        <f>IF(AND(AK319=SureThingLabel,AY319=1),AP319,0)</f>
        <v>0</v>
      </c>
      <c r="BP319">
        <f>MAX(BK319:BO319)</f>
        <v>0</v>
      </c>
      <c r="BQ319">
        <f>MAX(BL319:BO319)</f>
        <v>0</v>
      </c>
      <c r="BR319">
        <f>MAX(BM319:BO319)</f>
        <v>0</v>
      </c>
      <c r="BS319">
        <f>IF(ISNUMBER(Y319),INDEX(AllCollegeChicago, MATCH(N319,AllCollegeNCES,0))*AY319,0)</f>
        <v>0</v>
      </c>
      <c r="BT319">
        <f>IF(ISNUMBER(Y319),INDEX(AllCollegeMoneyCode, MATCH(N319,AllCollegeNCES,0)),"?")</f>
        <v>0</v>
      </c>
      <c r="BU319">
        <f>IF(OR(BT319="---",BT319="--",BT319="+/--",BT319="+/---"),1,0)</f>
        <v>0</v>
      </c>
      <c r="BV319">
        <f>AY319*AO319*AQ319</f>
        <v>0</v>
      </c>
    </row>
    <row r="320" spans="1:74">
      <c r="A320" t="s">
        <v>86</v>
      </c>
      <c r="B320">
        <v>23107053</v>
      </c>
      <c r="C320" t="s">
        <v>251</v>
      </c>
      <c r="D320" t="s">
        <v>252</v>
      </c>
      <c r="E320" t="s">
        <v>428</v>
      </c>
      <c r="F320" t="s">
        <v>433</v>
      </c>
      <c r="G320" t="s">
        <v>430</v>
      </c>
      <c r="H320" t="s">
        <v>431</v>
      </c>
      <c r="I320" t="s">
        <v>432</v>
      </c>
      <c r="J320" t="s">
        <v>432</v>
      </c>
      <c r="K320">
        <v>0</v>
      </c>
      <c r="L320" t="s">
        <v>428</v>
      </c>
      <c r="M320" t="s">
        <v>428</v>
      </c>
      <c r="N320">
        <v>148496</v>
      </c>
      <c r="O320">
        <f>INDEX(AllCollegeBarrons,MATCH(N320,AllCollegeNCES,0))</f>
        <v>0</v>
      </c>
      <c r="P320">
        <f>INDEX(KidGPAs,MATCH(B320,KidIDs,0))</f>
        <v>0</v>
      </c>
      <c r="Q320">
        <f>INDEX(KidACTs,MATCH(B320,KidIDs,0))</f>
        <v>0</v>
      </c>
      <c r="R320">
        <f>INDEX(Strats,MATCH(B320,KidIDs,0))</f>
        <v>0</v>
      </c>
      <c r="S320">
        <f>INDEX(KidRace,MATCH(B320,KidIDs,0))</f>
        <v>0</v>
      </c>
      <c r="T320">
        <f>IF(OR(S320="M",S320="I"),"H",S320)</f>
        <v>0</v>
      </c>
      <c r="U320">
        <f>INDEX(StudentTargets,MATCH(B320,KidIDs,0))</f>
        <v>0</v>
      </c>
      <c r="V320">
        <f>INDEX(ReachStudentTargets,MATCH(B320,KidIDs,0))</f>
        <v>0</v>
      </c>
      <c r="W320">
        <f>IF(OR(M320="Posse"),1,0)</f>
        <v>0</v>
      </c>
      <c r="X320">
        <f>IF(ISNUMBER(INDEX(AllCollegeGR, MATCH(N320,AllCollegeNCES,0))),ROUND(INDEX(AllCollegeGR, MATCH(N320,AllCollegeNCES,0))+W320*IF(INDEX(AllCollegeGR, MATCH(N320,AllCollegeNCES,0))&gt;0.7,(1-INDEX(AllCollegeGR, MATCH(N320,AllCollegeNCES,0)))/2,0.15),2),INDEX(AllCollegeGR, MATCH(N320,AllCollegeNCES,0)))</f>
        <v>0</v>
      </c>
      <c r="Y320">
        <f>IF(ISNUMBER(INDEX(AllCollegeAAHGR, MATCH(N320,AllCollegeNCES,0))),ROUND(INDEX(AllCollegeAAHGR, MATCH(N320,AllCollegeNCES,0))+W320*IF(INDEX(AllCollegeAAHGR, MATCH(N320,AllCollegeNCES,0))&gt;0.7,(1-INDEX(AllCollegeAAHGR, MATCH(N320,AllCollegeNCES,0)))/2,0.15),2),INDEX(AllCollegeAAHGR, MATCH(N320,AllCollegeNCES,0)))</f>
        <v>0</v>
      </c>
      <c r="Z320">
        <f>IF(OR(T320="H",T320="B"),INDEX(AllCollegeACT25, MATCH(N320,AllCollegeNCES,0)),INDEX(AllCollegeACT50, MATCH(N320,AllCollegeNCES,0)))</f>
        <v>0</v>
      </c>
      <c r="AA320">
        <f>INDEX(CustomWeightsGPA,MATCH(T320&amp;":"&amp;N320,CustomWeightsIndex,0))</f>
        <v>0</v>
      </c>
      <c r="AB320">
        <f>INDEX(CustomWeightsACT,MATCH(T320&amp;":"&amp;N320,CustomWeightsIndex,0))</f>
        <v>0</v>
      </c>
      <c r="AC320">
        <f>INDEX(CustomWeightsIntercept,MATCH(T320&amp;":"&amp;N320,CustomWeightsIndex,0))</f>
        <v>0</v>
      </c>
      <c r="AD320">
        <f>AA320*P320+AB320*Q320+AC320</f>
        <v>0</v>
      </c>
      <c r="AE320">
        <f>INDEX(CoefficientsGPA,MATCH(T320&amp;":"&amp;O320,CoefficientsIndex,0))</f>
        <v>0</v>
      </c>
      <c r="AF320">
        <f>INDEX(CoefficientsACT,MATCH(T320&amp;":"&amp;O320,CoefficientsIndex,0))</f>
        <v>0</v>
      </c>
      <c r="AG320">
        <f>INDEX(CoefficientsIntercept,MATCH(T320&amp;":"&amp;O320,CoefficientsIndex,0))</f>
        <v>0</v>
      </c>
      <c r="AH320">
        <f>AE320*P320+(Q320-Z320)*AF320+AG320</f>
        <v>0</v>
      </c>
      <c r="AI320">
        <f>IF(ISNUMBER(AD320),AD320,AH320)</f>
        <v>0</v>
      </c>
      <c r="AJ320">
        <f>IF(ISNUMBER(AI320),IF(ISNUMBER(AE320),IF(AND(AE320=1,AF320=1,AG320=1),100,ROUND(100*EXP(AI320)/(1+EXP(AI320)),2)),ROUND(100*EXP(AI320)/(1+EXP(AI320)),2)),IF(ISTEXT(O320),IF(LEFT(O320,1)="2",100,"N/A"),"N/A"))</f>
        <v>0</v>
      </c>
      <c r="AK320">
        <f>IF(ISNUMBER(AJ320),IF(AJ320&gt;=99,IF(OR(R320=10,R320=11),MatchLabel,SureThingLabel),IF(AJ320&gt;=95,SecureLabel,IF(AJ320&gt;=80,SafetyLabel,IF(AJ320&gt;=50,MatchLabel,IF(AJ320&gt;=20,ReachLabel,IF(AJ320&gt;=10,LongshotLabel,HailMaryLabel)))))),"Other")</f>
        <v>0</v>
      </c>
      <c r="AL320">
        <f>IF(OR(I320="accepted",I320="cond. accept",I320="summer admit"),IF(J320="yes","CHOICE!","Accepted!"),IF(I320="denied","Denied",IF(K320=1,"Waitlist",IF(L320=1,"Deferred",IF(G320="pending","Pending",IF(OR(G320="initial materials submitted",G320="mid-year submitted",G320="final submitted"),"Submitted",IF(H320="interest","Interest","?")))))))</f>
        <v>0</v>
      </c>
      <c r="AM320">
        <f>IF(OR(AK320=ReachLabel,AK320=LongshotLabel,AK320=HailMaryLabel),1,0)</f>
        <v>0</v>
      </c>
      <c r="AN320">
        <f>IF(OR(AM320=1,AK320=MatchLabel),1,0)</f>
        <v>0</v>
      </c>
      <c r="AO320">
        <f>IF(OR(AK320=MatchLabel,AK320=SafetyLabel,AK320=SecureLabel,AK320=SureThingLabel),1,0)</f>
        <v>0</v>
      </c>
      <c r="AP320">
        <f>IF(OR(T320="H",T320="B"),IF(ISNUMBER(Y320),ROUND(Y320,2),0),IF(ISNUMBER(X320),ROUND(X320,2),0))</f>
        <v>0</v>
      </c>
      <c r="AQ320">
        <f>IF(AP320&gt;=U320,1,0)</f>
        <v>0</v>
      </c>
      <c r="AR320">
        <f>IF(AP320&gt;=V320,1,0)</f>
        <v>0</v>
      </c>
      <c r="AS320">
        <f>IF(AP320&lt;(U320-0.10),1,0)</f>
        <v>0</v>
      </c>
      <c r="AT320">
        <f>1-AJ320/100</f>
        <v>0</v>
      </c>
      <c r="AU320">
        <f>IF(AN320=1,AT320,1)</f>
        <v>0</v>
      </c>
      <c r="AV320">
        <f>IF(AM320=1,AT320,1)</f>
        <v>0</v>
      </c>
      <c r="AW320">
        <f>IF(AND(AQ320=1,ISNUMBER(AT320)),$AT320,1)</f>
        <v>0</v>
      </c>
      <c r="AX320">
        <f>IF(AND(AR320=1,ISNUMBER(AT320)),$AT320,1)</f>
        <v>0</v>
      </c>
      <c r="AY320">
        <f>IF(ISNUMBER(Y320),INDEX(AllCollegeMoney, MATCH(N320,AllCollegeNCES,0)),0)</f>
        <v>0</v>
      </c>
      <c r="AZ320">
        <f>IF(AND(AQ320=1,ISNUMBER(AT320),AY320=1),$AT320,1)</f>
        <v>0</v>
      </c>
      <c r="BA320">
        <f>IF(AND(AR320=1,ISNUMBER(AT320),AY320=1),$AT320,1)</f>
        <v>0</v>
      </c>
      <c r="BB320">
        <f>IF(ISNUMBER(Y320),INDEX(AllCollegeILPub, MATCH(N320,AllCollegeNCES,0)),0)</f>
        <v>0</v>
      </c>
      <c r="BC320">
        <f>IF(AK320=ReachLabel,AP320,0)</f>
        <v>0</v>
      </c>
      <c r="BD320">
        <f>IF(AK320=MatchLabel,AP320,0)</f>
        <v>0</v>
      </c>
      <c r="BE320">
        <f>IF(AK320=SafetyLabel,AP320,0)</f>
        <v>0</v>
      </c>
      <c r="BF320">
        <f>IF(AK320=SecureLabel,AP320,0)</f>
        <v>0</v>
      </c>
      <c r="BG320">
        <f>IF(AK320=SureThingLabel,AP320,0)</f>
        <v>0</v>
      </c>
      <c r="BH320">
        <f>MAX(BC320:BG320)</f>
        <v>0</v>
      </c>
      <c r="BI320">
        <f>MAX(BD320:BG320)</f>
        <v>0</v>
      </c>
      <c r="BJ320">
        <f>MAX(BE320:BG320)</f>
        <v>0</v>
      </c>
      <c r="BK320">
        <f>IF(AND(AK320=ReachLabel,AY320=1),AP320,0)</f>
        <v>0</v>
      </c>
      <c r="BL320">
        <f>IF(AND(AK320=MatchLabel,AY320=1),AP320,0)</f>
        <v>0</v>
      </c>
      <c r="BM320">
        <f>IF(AND(AK320=SafetyLabel,AY320=1),AP320,0)</f>
        <v>0</v>
      </c>
      <c r="BN320">
        <f>IF(AND(AK320=SecureLabel,AY320=1),AP320,0)</f>
        <v>0</v>
      </c>
      <c r="BO320">
        <f>IF(AND(AK320=SureThingLabel,AY320=1),AP320,0)</f>
        <v>0</v>
      </c>
      <c r="BP320">
        <f>MAX(BK320:BO320)</f>
        <v>0</v>
      </c>
      <c r="BQ320">
        <f>MAX(BL320:BO320)</f>
        <v>0</v>
      </c>
      <c r="BR320">
        <f>MAX(BM320:BO320)</f>
        <v>0</v>
      </c>
      <c r="BS320">
        <f>IF(ISNUMBER(Y320),INDEX(AllCollegeChicago, MATCH(N320,AllCollegeNCES,0))*AY320,0)</f>
        <v>0</v>
      </c>
      <c r="BT320">
        <f>IF(ISNUMBER(Y320),INDEX(AllCollegeMoneyCode, MATCH(N320,AllCollegeNCES,0)),"?")</f>
        <v>0</v>
      </c>
      <c r="BU320">
        <f>IF(OR(BT320="---",BT320="--",BT320="+/--",BT320="+/---"),1,0)</f>
        <v>0</v>
      </c>
      <c r="BV320">
        <f>AY320*AO320*AQ320</f>
        <v>0</v>
      </c>
    </row>
    <row r="321" spans="1:74">
      <c r="A321" t="s">
        <v>86</v>
      </c>
      <c r="B321">
        <v>23107053</v>
      </c>
      <c r="C321" t="s">
        <v>251</v>
      </c>
      <c r="D321" t="s">
        <v>252</v>
      </c>
      <c r="E321" t="s">
        <v>428</v>
      </c>
      <c r="F321" t="s">
        <v>485</v>
      </c>
      <c r="G321" t="s">
        <v>430</v>
      </c>
      <c r="H321" t="s">
        <v>431</v>
      </c>
      <c r="I321" t="s">
        <v>432</v>
      </c>
      <c r="J321" t="s">
        <v>432</v>
      </c>
      <c r="K321">
        <v>0</v>
      </c>
      <c r="L321" t="s">
        <v>428</v>
      </c>
      <c r="M321" t="s">
        <v>428</v>
      </c>
      <c r="N321">
        <v>170082</v>
      </c>
      <c r="O321">
        <f>INDEX(AllCollegeBarrons,MATCH(N321,AllCollegeNCES,0))</f>
        <v>0</v>
      </c>
      <c r="P321">
        <f>INDEX(KidGPAs,MATCH(B321,KidIDs,0))</f>
        <v>0</v>
      </c>
      <c r="Q321">
        <f>INDEX(KidACTs,MATCH(B321,KidIDs,0))</f>
        <v>0</v>
      </c>
      <c r="R321">
        <f>INDEX(Strats,MATCH(B321,KidIDs,0))</f>
        <v>0</v>
      </c>
      <c r="S321">
        <f>INDEX(KidRace,MATCH(B321,KidIDs,0))</f>
        <v>0</v>
      </c>
      <c r="T321">
        <f>IF(OR(S321="M",S321="I"),"H",S321)</f>
        <v>0</v>
      </c>
      <c r="U321">
        <f>INDEX(StudentTargets,MATCH(B321,KidIDs,0))</f>
        <v>0</v>
      </c>
      <c r="V321">
        <f>INDEX(ReachStudentTargets,MATCH(B321,KidIDs,0))</f>
        <v>0</v>
      </c>
      <c r="W321">
        <f>IF(OR(M321="Posse"),1,0)</f>
        <v>0</v>
      </c>
      <c r="X321">
        <f>IF(ISNUMBER(INDEX(AllCollegeGR, MATCH(N321,AllCollegeNCES,0))),ROUND(INDEX(AllCollegeGR, MATCH(N321,AllCollegeNCES,0))+W321*IF(INDEX(AllCollegeGR, MATCH(N321,AllCollegeNCES,0))&gt;0.7,(1-INDEX(AllCollegeGR, MATCH(N321,AllCollegeNCES,0)))/2,0.15),2),INDEX(AllCollegeGR, MATCH(N321,AllCollegeNCES,0)))</f>
        <v>0</v>
      </c>
      <c r="Y321">
        <f>IF(ISNUMBER(INDEX(AllCollegeAAHGR, MATCH(N321,AllCollegeNCES,0))),ROUND(INDEX(AllCollegeAAHGR, MATCH(N321,AllCollegeNCES,0))+W321*IF(INDEX(AllCollegeAAHGR, MATCH(N321,AllCollegeNCES,0))&gt;0.7,(1-INDEX(AllCollegeAAHGR, MATCH(N321,AllCollegeNCES,0)))/2,0.15),2),INDEX(AllCollegeAAHGR, MATCH(N321,AllCollegeNCES,0)))</f>
        <v>0</v>
      </c>
      <c r="Z321">
        <f>IF(OR(T321="H",T321="B"),INDEX(AllCollegeACT25, MATCH(N321,AllCollegeNCES,0)),INDEX(AllCollegeACT50, MATCH(N321,AllCollegeNCES,0)))</f>
        <v>0</v>
      </c>
      <c r="AA321">
        <f>INDEX(CustomWeightsGPA,MATCH(T321&amp;":"&amp;N321,CustomWeightsIndex,0))</f>
        <v>0</v>
      </c>
      <c r="AB321">
        <f>INDEX(CustomWeightsACT,MATCH(T321&amp;":"&amp;N321,CustomWeightsIndex,0))</f>
        <v>0</v>
      </c>
      <c r="AC321">
        <f>INDEX(CustomWeightsIntercept,MATCH(T321&amp;":"&amp;N321,CustomWeightsIndex,0))</f>
        <v>0</v>
      </c>
      <c r="AD321">
        <f>AA321*P321+AB321*Q321+AC321</f>
        <v>0</v>
      </c>
      <c r="AE321">
        <f>INDEX(CoefficientsGPA,MATCH(T321&amp;":"&amp;O321,CoefficientsIndex,0))</f>
        <v>0</v>
      </c>
      <c r="AF321">
        <f>INDEX(CoefficientsACT,MATCH(T321&amp;":"&amp;O321,CoefficientsIndex,0))</f>
        <v>0</v>
      </c>
      <c r="AG321">
        <f>INDEX(CoefficientsIntercept,MATCH(T321&amp;":"&amp;O321,CoefficientsIndex,0))</f>
        <v>0</v>
      </c>
      <c r="AH321">
        <f>AE321*P321+(Q321-Z321)*AF321+AG321</f>
        <v>0</v>
      </c>
      <c r="AI321">
        <f>IF(ISNUMBER(AD321),AD321,AH321)</f>
        <v>0</v>
      </c>
      <c r="AJ321">
        <f>IF(ISNUMBER(AI321),IF(ISNUMBER(AE321),IF(AND(AE321=1,AF321=1,AG321=1),100,ROUND(100*EXP(AI321)/(1+EXP(AI321)),2)),ROUND(100*EXP(AI321)/(1+EXP(AI321)),2)),IF(ISTEXT(O321),IF(LEFT(O321,1)="2",100,"N/A"),"N/A"))</f>
        <v>0</v>
      </c>
      <c r="AK321">
        <f>IF(ISNUMBER(AJ321),IF(AJ321&gt;=99,IF(OR(R321=10,R321=11),MatchLabel,SureThingLabel),IF(AJ321&gt;=95,SecureLabel,IF(AJ321&gt;=80,SafetyLabel,IF(AJ321&gt;=50,MatchLabel,IF(AJ321&gt;=20,ReachLabel,IF(AJ321&gt;=10,LongshotLabel,HailMaryLabel)))))),"Other")</f>
        <v>0</v>
      </c>
      <c r="AL321">
        <f>IF(OR(I321="accepted",I321="cond. accept",I321="summer admit"),IF(J321="yes","CHOICE!","Accepted!"),IF(I321="denied","Denied",IF(K321=1,"Waitlist",IF(L321=1,"Deferred",IF(G321="pending","Pending",IF(OR(G321="initial materials submitted",G321="mid-year submitted",G321="final submitted"),"Submitted",IF(H321="interest","Interest","?")))))))</f>
        <v>0</v>
      </c>
      <c r="AM321">
        <f>IF(OR(AK321=ReachLabel,AK321=LongshotLabel,AK321=HailMaryLabel),1,0)</f>
        <v>0</v>
      </c>
      <c r="AN321">
        <f>IF(OR(AM321=1,AK321=MatchLabel),1,0)</f>
        <v>0</v>
      </c>
      <c r="AO321">
        <f>IF(OR(AK321=MatchLabel,AK321=SafetyLabel,AK321=SecureLabel,AK321=SureThingLabel),1,0)</f>
        <v>0</v>
      </c>
      <c r="AP321">
        <f>IF(OR(T321="H",T321="B"),IF(ISNUMBER(Y321),ROUND(Y321,2),0),IF(ISNUMBER(X321),ROUND(X321,2),0))</f>
        <v>0</v>
      </c>
      <c r="AQ321">
        <f>IF(AP321&gt;=U321,1,0)</f>
        <v>0</v>
      </c>
      <c r="AR321">
        <f>IF(AP321&gt;=V321,1,0)</f>
        <v>0</v>
      </c>
      <c r="AS321">
        <f>IF(AP321&lt;(U321-0.10),1,0)</f>
        <v>0</v>
      </c>
      <c r="AT321">
        <f>1-AJ321/100</f>
        <v>0</v>
      </c>
      <c r="AU321">
        <f>IF(AN321=1,AT321,1)</f>
        <v>0</v>
      </c>
      <c r="AV321">
        <f>IF(AM321=1,AT321,1)</f>
        <v>0</v>
      </c>
      <c r="AW321">
        <f>IF(AND(AQ321=1,ISNUMBER(AT321)),$AT321,1)</f>
        <v>0</v>
      </c>
      <c r="AX321">
        <f>IF(AND(AR321=1,ISNUMBER(AT321)),$AT321,1)</f>
        <v>0</v>
      </c>
      <c r="AY321">
        <f>IF(ISNUMBER(Y321),INDEX(AllCollegeMoney, MATCH(N321,AllCollegeNCES,0)),0)</f>
        <v>0</v>
      </c>
      <c r="AZ321">
        <f>IF(AND(AQ321=1,ISNUMBER(AT321),AY321=1),$AT321,1)</f>
        <v>0</v>
      </c>
      <c r="BA321">
        <f>IF(AND(AR321=1,ISNUMBER(AT321),AY321=1),$AT321,1)</f>
        <v>0</v>
      </c>
      <c r="BB321">
        <f>IF(ISNUMBER(Y321),INDEX(AllCollegeILPub, MATCH(N321,AllCollegeNCES,0)),0)</f>
        <v>0</v>
      </c>
      <c r="BC321">
        <f>IF(AK321=ReachLabel,AP321,0)</f>
        <v>0</v>
      </c>
      <c r="BD321">
        <f>IF(AK321=MatchLabel,AP321,0)</f>
        <v>0</v>
      </c>
      <c r="BE321">
        <f>IF(AK321=SafetyLabel,AP321,0)</f>
        <v>0</v>
      </c>
      <c r="BF321">
        <f>IF(AK321=SecureLabel,AP321,0)</f>
        <v>0</v>
      </c>
      <c r="BG321">
        <f>IF(AK321=SureThingLabel,AP321,0)</f>
        <v>0</v>
      </c>
      <c r="BH321">
        <f>MAX(BC321:BG321)</f>
        <v>0</v>
      </c>
      <c r="BI321">
        <f>MAX(BD321:BG321)</f>
        <v>0</v>
      </c>
      <c r="BJ321">
        <f>MAX(BE321:BG321)</f>
        <v>0</v>
      </c>
      <c r="BK321">
        <f>IF(AND(AK321=ReachLabel,AY321=1),AP321,0)</f>
        <v>0</v>
      </c>
      <c r="BL321">
        <f>IF(AND(AK321=MatchLabel,AY321=1),AP321,0)</f>
        <v>0</v>
      </c>
      <c r="BM321">
        <f>IF(AND(AK321=SafetyLabel,AY321=1),AP321,0)</f>
        <v>0</v>
      </c>
      <c r="BN321">
        <f>IF(AND(AK321=SecureLabel,AY321=1),AP321,0)</f>
        <v>0</v>
      </c>
      <c r="BO321">
        <f>IF(AND(AK321=SureThingLabel,AY321=1),AP321,0)</f>
        <v>0</v>
      </c>
      <c r="BP321">
        <f>MAX(BK321:BO321)</f>
        <v>0</v>
      </c>
      <c r="BQ321">
        <f>MAX(BL321:BO321)</f>
        <v>0</v>
      </c>
      <c r="BR321">
        <f>MAX(BM321:BO321)</f>
        <v>0</v>
      </c>
      <c r="BS321">
        <f>IF(ISNUMBER(Y321),INDEX(AllCollegeChicago, MATCH(N321,AllCollegeNCES,0))*AY321,0)</f>
        <v>0</v>
      </c>
      <c r="BT321">
        <f>IF(ISNUMBER(Y321),INDEX(AllCollegeMoneyCode, MATCH(N321,AllCollegeNCES,0)),"?")</f>
        <v>0</v>
      </c>
      <c r="BU321">
        <f>IF(OR(BT321="---",BT321="--",BT321="+/--",BT321="+/---"),1,0)</f>
        <v>0</v>
      </c>
      <c r="BV321">
        <f>AY321*AO321*AQ321</f>
        <v>0</v>
      </c>
    </row>
    <row r="322" spans="1:74">
      <c r="A322" t="s">
        <v>86</v>
      </c>
      <c r="B322">
        <v>23107053</v>
      </c>
      <c r="C322" t="s">
        <v>251</v>
      </c>
      <c r="D322" t="s">
        <v>252</v>
      </c>
      <c r="E322" t="s">
        <v>428</v>
      </c>
      <c r="F322" t="s">
        <v>502</v>
      </c>
      <c r="G322" t="s">
        <v>430</v>
      </c>
      <c r="H322" t="s">
        <v>431</v>
      </c>
      <c r="I322" t="s">
        <v>432</v>
      </c>
      <c r="J322" t="s">
        <v>432</v>
      </c>
      <c r="K322">
        <v>0</v>
      </c>
      <c r="L322" t="s">
        <v>428</v>
      </c>
      <c r="M322" t="s">
        <v>428</v>
      </c>
      <c r="N322">
        <v>145813</v>
      </c>
      <c r="O322">
        <f>INDEX(AllCollegeBarrons,MATCH(N322,AllCollegeNCES,0))</f>
        <v>0</v>
      </c>
      <c r="P322">
        <f>INDEX(KidGPAs,MATCH(B322,KidIDs,0))</f>
        <v>0</v>
      </c>
      <c r="Q322">
        <f>INDEX(KidACTs,MATCH(B322,KidIDs,0))</f>
        <v>0</v>
      </c>
      <c r="R322">
        <f>INDEX(Strats,MATCH(B322,KidIDs,0))</f>
        <v>0</v>
      </c>
      <c r="S322">
        <f>INDEX(KidRace,MATCH(B322,KidIDs,0))</f>
        <v>0</v>
      </c>
      <c r="T322">
        <f>IF(OR(S322="M",S322="I"),"H",S322)</f>
        <v>0</v>
      </c>
      <c r="U322">
        <f>INDEX(StudentTargets,MATCH(B322,KidIDs,0))</f>
        <v>0</v>
      </c>
      <c r="V322">
        <f>INDEX(ReachStudentTargets,MATCH(B322,KidIDs,0))</f>
        <v>0</v>
      </c>
      <c r="W322">
        <f>IF(OR(M322="Posse"),1,0)</f>
        <v>0</v>
      </c>
      <c r="X322">
        <f>IF(ISNUMBER(INDEX(AllCollegeGR, MATCH(N322,AllCollegeNCES,0))),ROUND(INDEX(AllCollegeGR, MATCH(N322,AllCollegeNCES,0))+W322*IF(INDEX(AllCollegeGR, MATCH(N322,AllCollegeNCES,0))&gt;0.7,(1-INDEX(AllCollegeGR, MATCH(N322,AllCollegeNCES,0)))/2,0.15),2),INDEX(AllCollegeGR, MATCH(N322,AllCollegeNCES,0)))</f>
        <v>0</v>
      </c>
      <c r="Y322">
        <f>IF(ISNUMBER(INDEX(AllCollegeAAHGR, MATCH(N322,AllCollegeNCES,0))),ROUND(INDEX(AllCollegeAAHGR, MATCH(N322,AllCollegeNCES,0))+W322*IF(INDEX(AllCollegeAAHGR, MATCH(N322,AllCollegeNCES,0))&gt;0.7,(1-INDEX(AllCollegeAAHGR, MATCH(N322,AllCollegeNCES,0)))/2,0.15),2),INDEX(AllCollegeAAHGR, MATCH(N322,AllCollegeNCES,0)))</f>
        <v>0</v>
      </c>
      <c r="Z322">
        <f>IF(OR(T322="H",T322="B"),INDEX(AllCollegeACT25, MATCH(N322,AllCollegeNCES,0)),INDEX(AllCollegeACT50, MATCH(N322,AllCollegeNCES,0)))</f>
        <v>0</v>
      </c>
      <c r="AA322">
        <f>INDEX(CustomWeightsGPA,MATCH(T322&amp;":"&amp;N322,CustomWeightsIndex,0))</f>
        <v>0</v>
      </c>
      <c r="AB322">
        <f>INDEX(CustomWeightsACT,MATCH(T322&amp;":"&amp;N322,CustomWeightsIndex,0))</f>
        <v>0</v>
      </c>
      <c r="AC322">
        <f>INDEX(CustomWeightsIntercept,MATCH(T322&amp;":"&amp;N322,CustomWeightsIndex,0))</f>
        <v>0</v>
      </c>
      <c r="AD322">
        <f>AA322*P322+AB322*Q322+AC322</f>
        <v>0</v>
      </c>
      <c r="AE322">
        <f>INDEX(CoefficientsGPA,MATCH(T322&amp;":"&amp;O322,CoefficientsIndex,0))</f>
        <v>0</v>
      </c>
      <c r="AF322">
        <f>INDEX(CoefficientsACT,MATCH(T322&amp;":"&amp;O322,CoefficientsIndex,0))</f>
        <v>0</v>
      </c>
      <c r="AG322">
        <f>INDEX(CoefficientsIntercept,MATCH(T322&amp;":"&amp;O322,CoefficientsIndex,0))</f>
        <v>0</v>
      </c>
      <c r="AH322">
        <f>AE322*P322+(Q322-Z322)*AF322+AG322</f>
        <v>0</v>
      </c>
      <c r="AI322">
        <f>IF(ISNUMBER(AD322),AD322,AH322)</f>
        <v>0</v>
      </c>
      <c r="AJ322">
        <f>IF(ISNUMBER(AI322),IF(ISNUMBER(AE322),IF(AND(AE322=1,AF322=1,AG322=1),100,ROUND(100*EXP(AI322)/(1+EXP(AI322)),2)),ROUND(100*EXP(AI322)/(1+EXP(AI322)),2)),IF(ISTEXT(O322),IF(LEFT(O322,1)="2",100,"N/A"),"N/A"))</f>
        <v>0</v>
      </c>
      <c r="AK322">
        <f>IF(ISNUMBER(AJ322),IF(AJ322&gt;=99,IF(OR(R322=10,R322=11),MatchLabel,SureThingLabel),IF(AJ322&gt;=95,SecureLabel,IF(AJ322&gt;=80,SafetyLabel,IF(AJ322&gt;=50,MatchLabel,IF(AJ322&gt;=20,ReachLabel,IF(AJ322&gt;=10,LongshotLabel,HailMaryLabel)))))),"Other")</f>
        <v>0</v>
      </c>
      <c r="AL322">
        <f>IF(OR(I322="accepted",I322="cond. accept",I322="summer admit"),IF(J322="yes","CHOICE!","Accepted!"),IF(I322="denied","Denied",IF(K322=1,"Waitlist",IF(L322=1,"Deferred",IF(G322="pending","Pending",IF(OR(G322="initial materials submitted",G322="mid-year submitted",G322="final submitted"),"Submitted",IF(H322="interest","Interest","?")))))))</f>
        <v>0</v>
      </c>
      <c r="AM322">
        <f>IF(OR(AK322=ReachLabel,AK322=LongshotLabel,AK322=HailMaryLabel),1,0)</f>
        <v>0</v>
      </c>
      <c r="AN322">
        <f>IF(OR(AM322=1,AK322=MatchLabel),1,0)</f>
        <v>0</v>
      </c>
      <c r="AO322">
        <f>IF(OR(AK322=MatchLabel,AK322=SafetyLabel,AK322=SecureLabel,AK322=SureThingLabel),1,0)</f>
        <v>0</v>
      </c>
      <c r="AP322">
        <f>IF(OR(T322="H",T322="B"),IF(ISNUMBER(Y322),ROUND(Y322,2),0),IF(ISNUMBER(X322),ROUND(X322,2),0))</f>
        <v>0</v>
      </c>
      <c r="AQ322">
        <f>IF(AP322&gt;=U322,1,0)</f>
        <v>0</v>
      </c>
      <c r="AR322">
        <f>IF(AP322&gt;=V322,1,0)</f>
        <v>0</v>
      </c>
      <c r="AS322">
        <f>IF(AP322&lt;(U322-0.10),1,0)</f>
        <v>0</v>
      </c>
      <c r="AT322">
        <f>1-AJ322/100</f>
        <v>0</v>
      </c>
      <c r="AU322">
        <f>IF(AN322=1,AT322,1)</f>
        <v>0</v>
      </c>
      <c r="AV322">
        <f>IF(AM322=1,AT322,1)</f>
        <v>0</v>
      </c>
      <c r="AW322">
        <f>IF(AND(AQ322=1,ISNUMBER(AT322)),$AT322,1)</f>
        <v>0</v>
      </c>
      <c r="AX322">
        <f>IF(AND(AR322=1,ISNUMBER(AT322)),$AT322,1)</f>
        <v>0</v>
      </c>
      <c r="AY322">
        <f>IF(ISNUMBER(Y322),INDEX(AllCollegeMoney, MATCH(N322,AllCollegeNCES,0)),0)</f>
        <v>0</v>
      </c>
      <c r="AZ322">
        <f>IF(AND(AQ322=1,ISNUMBER(AT322),AY322=1),$AT322,1)</f>
        <v>0</v>
      </c>
      <c r="BA322">
        <f>IF(AND(AR322=1,ISNUMBER(AT322),AY322=1),$AT322,1)</f>
        <v>0</v>
      </c>
      <c r="BB322">
        <f>IF(ISNUMBER(Y322),INDEX(AllCollegeILPub, MATCH(N322,AllCollegeNCES,0)),0)</f>
        <v>0</v>
      </c>
      <c r="BC322">
        <f>IF(AK322=ReachLabel,AP322,0)</f>
        <v>0</v>
      </c>
      <c r="BD322">
        <f>IF(AK322=MatchLabel,AP322,0)</f>
        <v>0</v>
      </c>
      <c r="BE322">
        <f>IF(AK322=SafetyLabel,AP322,0)</f>
        <v>0</v>
      </c>
      <c r="BF322">
        <f>IF(AK322=SecureLabel,AP322,0)</f>
        <v>0</v>
      </c>
      <c r="BG322">
        <f>IF(AK322=SureThingLabel,AP322,0)</f>
        <v>0</v>
      </c>
      <c r="BH322">
        <f>MAX(BC322:BG322)</f>
        <v>0</v>
      </c>
      <c r="BI322">
        <f>MAX(BD322:BG322)</f>
        <v>0</v>
      </c>
      <c r="BJ322">
        <f>MAX(BE322:BG322)</f>
        <v>0</v>
      </c>
      <c r="BK322">
        <f>IF(AND(AK322=ReachLabel,AY322=1),AP322,0)</f>
        <v>0</v>
      </c>
      <c r="BL322">
        <f>IF(AND(AK322=MatchLabel,AY322=1),AP322,0)</f>
        <v>0</v>
      </c>
      <c r="BM322">
        <f>IF(AND(AK322=SafetyLabel,AY322=1),AP322,0)</f>
        <v>0</v>
      </c>
      <c r="BN322">
        <f>IF(AND(AK322=SecureLabel,AY322=1),AP322,0)</f>
        <v>0</v>
      </c>
      <c r="BO322">
        <f>IF(AND(AK322=SureThingLabel,AY322=1),AP322,0)</f>
        <v>0</v>
      </c>
      <c r="BP322">
        <f>MAX(BK322:BO322)</f>
        <v>0</v>
      </c>
      <c r="BQ322">
        <f>MAX(BL322:BO322)</f>
        <v>0</v>
      </c>
      <c r="BR322">
        <f>MAX(BM322:BO322)</f>
        <v>0</v>
      </c>
      <c r="BS322">
        <f>IF(ISNUMBER(Y322),INDEX(AllCollegeChicago, MATCH(N322,AllCollegeNCES,0))*AY322,0)</f>
        <v>0</v>
      </c>
      <c r="BT322">
        <f>IF(ISNUMBER(Y322),INDEX(AllCollegeMoneyCode, MATCH(N322,AllCollegeNCES,0)),"?")</f>
        <v>0</v>
      </c>
      <c r="BU322">
        <f>IF(OR(BT322="---",BT322="--",BT322="+/--",BT322="+/---"),1,0)</f>
        <v>0</v>
      </c>
      <c r="BV322">
        <f>AY322*AO322*AQ322</f>
        <v>0</v>
      </c>
    </row>
    <row r="323" spans="1:74">
      <c r="A323" t="s">
        <v>86</v>
      </c>
      <c r="B323">
        <v>23107053</v>
      </c>
      <c r="C323" t="s">
        <v>251</v>
      </c>
      <c r="D323" t="s">
        <v>252</v>
      </c>
      <c r="E323" t="s">
        <v>428</v>
      </c>
      <c r="F323" t="s">
        <v>447</v>
      </c>
      <c r="G323" t="s">
        <v>430</v>
      </c>
      <c r="H323" t="s">
        <v>431</v>
      </c>
      <c r="I323" t="s">
        <v>432</v>
      </c>
      <c r="J323" t="s">
        <v>432</v>
      </c>
      <c r="K323">
        <v>0</v>
      </c>
      <c r="L323" t="s">
        <v>428</v>
      </c>
      <c r="M323" t="s">
        <v>428</v>
      </c>
      <c r="N323">
        <v>145600</v>
      </c>
      <c r="O323">
        <f>INDEX(AllCollegeBarrons,MATCH(N323,AllCollegeNCES,0))</f>
        <v>0</v>
      </c>
      <c r="P323">
        <f>INDEX(KidGPAs,MATCH(B323,KidIDs,0))</f>
        <v>0</v>
      </c>
      <c r="Q323">
        <f>INDEX(KidACTs,MATCH(B323,KidIDs,0))</f>
        <v>0</v>
      </c>
      <c r="R323">
        <f>INDEX(Strats,MATCH(B323,KidIDs,0))</f>
        <v>0</v>
      </c>
      <c r="S323">
        <f>INDEX(KidRace,MATCH(B323,KidIDs,0))</f>
        <v>0</v>
      </c>
      <c r="T323">
        <f>IF(OR(S323="M",S323="I"),"H",S323)</f>
        <v>0</v>
      </c>
      <c r="U323">
        <f>INDEX(StudentTargets,MATCH(B323,KidIDs,0))</f>
        <v>0</v>
      </c>
      <c r="V323">
        <f>INDEX(ReachStudentTargets,MATCH(B323,KidIDs,0))</f>
        <v>0</v>
      </c>
      <c r="W323">
        <f>IF(OR(M323="Posse"),1,0)</f>
        <v>0</v>
      </c>
      <c r="X323">
        <f>IF(ISNUMBER(INDEX(AllCollegeGR, MATCH(N323,AllCollegeNCES,0))),ROUND(INDEX(AllCollegeGR, MATCH(N323,AllCollegeNCES,0))+W323*IF(INDEX(AllCollegeGR, MATCH(N323,AllCollegeNCES,0))&gt;0.7,(1-INDEX(AllCollegeGR, MATCH(N323,AllCollegeNCES,0)))/2,0.15),2),INDEX(AllCollegeGR, MATCH(N323,AllCollegeNCES,0)))</f>
        <v>0</v>
      </c>
      <c r="Y323">
        <f>IF(ISNUMBER(INDEX(AllCollegeAAHGR, MATCH(N323,AllCollegeNCES,0))),ROUND(INDEX(AllCollegeAAHGR, MATCH(N323,AllCollegeNCES,0))+W323*IF(INDEX(AllCollegeAAHGR, MATCH(N323,AllCollegeNCES,0))&gt;0.7,(1-INDEX(AllCollegeAAHGR, MATCH(N323,AllCollegeNCES,0)))/2,0.15),2),INDEX(AllCollegeAAHGR, MATCH(N323,AllCollegeNCES,0)))</f>
        <v>0</v>
      </c>
      <c r="Z323">
        <f>IF(OR(T323="H",T323="B"),INDEX(AllCollegeACT25, MATCH(N323,AllCollegeNCES,0)),INDEX(AllCollegeACT50, MATCH(N323,AllCollegeNCES,0)))</f>
        <v>0</v>
      </c>
      <c r="AA323">
        <f>INDEX(CustomWeightsGPA,MATCH(T323&amp;":"&amp;N323,CustomWeightsIndex,0))</f>
        <v>0</v>
      </c>
      <c r="AB323">
        <f>INDEX(CustomWeightsACT,MATCH(T323&amp;":"&amp;N323,CustomWeightsIndex,0))</f>
        <v>0</v>
      </c>
      <c r="AC323">
        <f>INDEX(CustomWeightsIntercept,MATCH(T323&amp;":"&amp;N323,CustomWeightsIndex,0))</f>
        <v>0</v>
      </c>
      <c r="AD323">
        <f>AA323*P323+AB323*Q323+AC323</f>
        <v>0</v>
      </c>
      <c r="AE323">
        <f>INDEX(CoefficientsGPA,MATCH(T323&amp;":"&amp;O323,CoefficientsIndex,0))</f>
        <v>0</v>
      </c>
      <c r="AF323">
        <f>INDEX(CoefficientsACT,MATCH(T323&amp;":"&amp;O323,CoefficientsIndex,0))</f>
        <v>0</v>
      </c>
      <c r="AG323">
        <f>INDEX(CoefficientsIntercept,MATCH(T323&amp;":"&amp;O323,CoefficientsIndex,0))</f>
        <v>0</v>
      </c>
      <c r="AH323">
        <f>AE323*P323+(Q323-Z323)*AF323+AG323</f>
        <v>0</v>
      </c>
      <c r="AI323">
        <f>IF(ISNUMBER(AD323),AD323,AH323)</f>
        <v>0</v>
      </c>
      <c r="AJ323">
        <f>IF(ISNUMBER(AI323),IF(ISNUMBER(AE323),IF(AND(AE323=1,AF323=1,AG323=1),100,ROUND(100*EXP(AI323)/(1+EXP(AI323)),2)),ROUND(100*EXP(AI323)/(1+EXP(AI323)),2)),IF(ISTEXT(O323),IF(LEFT(O323,1)="2",100,"N/A"),"N/A"))</f>
        <v>0</v>
      </c>
      <c r="AK323">
        <f>IF(ISNUMBER(AJ323),IF(AJ323&gt;=99,IF(OR(R323=10,R323=11),MatchLabel,SureThingLabel),IF(AJ323&gt;=95,SecureLabel,IF(AJ323&gt;=80,SafetyLabel,IF(AJ323&gt;=50,MatchLabel,IF(AJ323&gt;=20,ReachLabel,IF(AJ323&gt;=10,LongshotLabel,HailMaryLabel)))))),"Other")</f>
        <v>0</v>
      </c>
      <c r="AL323">
        <f>IF(OR(I323="accepted",I323="cond. accept",I323="summer admit"),IF(J323="yes","CHOICE!","Accepted!"),IF(I323="denied","Denied",IF(K323=1,"Waitlist",IF(L323=1,"Deferred",IF(G323="pending","Pending",IF(OR(G323="initial materials submitted",G323="mid-year submitted",G323="final submitted"),"Submitted",IF(H323="interest","Interest","?")))))))</f>
        <v>0</v>
      </c>
      <c r="AM323">
        <f>IF(OR(AK323=ReachLabel,AK323=LongshotLabel,AK323=HailMaryLabel),1,0)</f>
        <v>0</v>
      </c>
      <c r="AN323">
        <f>IF(OR(AM323=1,AK323=MatchLabel),1,0)</f>
        <v>0</v>
      </c>
      <c r="AO323">
        <f>IF(OR(AK323=MatchLabel,AK323=SafetyLabel,AK323=SecureLabel,AK323=SureThingLabel),1,0)</f>
        <v>0</v>
      </c>
      <c r="AP323">
        <f>IF(OR(T323="H",T323="B"),IF(ISNUMBER(Y323),ROUND(Y323,2),0),IF(ISNUMBER(X323),ROUND(X323,2),0))</f>
        <v>0</v>
      </c>
      <c r="AQ323">
        <f>IF(AP323&gt;=U323,1,0)</f>
        <v>0</v>
      </c>
      <c r="AR323">
        <f>IF(AP323&gt;=V323,1,0)</f>
        <v>0</v>
      </c>
      <c r="AS323">
        <f>IF(AP323&lt;(U323-0.10),1,0)</f>
        <v>0</v>
      </c>
      <c r="AT323">
        <f>1-AJ323/100</f>
        <v>0</v>
      </c>
      <c r="AU323">
        <f>IF(AN323=1,AT323,1)</f>
        <v>0</v>
      </c>
      <c r="AV323">
        <f>IF(AM323=1,AT323,1)</f>
        <v>0</v>
      </c>
      <c r="AW323">
        <f>IF(AND(AQ323=1,ISNUMBER(AT323)),$AT323,1)</f>
        <v>0</v>
      </c>
      <c r="AX323">
        <f>IF(AND(AR323=1,ISNUMBER(AT323)),$AT323,1)</f>
        <v>0</v>
      </c>
      <c r="AY323">
        <f>IF(ISNUMBER(Y323),INDEX(AllCollegeMoney, MATCH(N323,AllCollegeNCES,0)),0)</f>
        <v>0</v>
      </c>
      <c r="AZ323">
        <f>IF(AND(AQ323=1,ISNUMBER(AT323),AY323=1),$AT323,1)</f>
        <v>0</v>
      </c>
      <c r="BA323">
        <f>IF(AND(AR323=1,ISNUMBER(AT323),AY323=1),$AT323,1)</f>
        <v>0</v>
      </c>
      <c r="BB323">
        <f>IF(ISNUMBER(Y323),INDEX(AllCollegeILPub, MATCH(N323,AllCollegeNCES,0)),0)</f>
        <v>0</v>
      </c>
      <c r="BC323">
        <f>IF(AK323=ReachLabel,AP323,0)</f>
        <v>0</v>
      </c>
      <c r="BD323">
        <f>IF(AK323=MatchLabel,AP323,0)</f>
        <v>0</v>
      </c>
      <c r="BE323">
        <f>IF(AK323=SafetyLabel,AP323,0)</f>
        <v>0</v>
      </c>
      <c r="BF323">
        <f>IF(AK323=SecureLabel,AP323,0)</f>
        <v>0</v>
      </c>
      <c r="BG323">
        <f>IF(AK323=SureThingLabel,AP323,0)</f>
        <v>0</v>
      </c>
      <c r="BH323">
        <f>MAX(BC323:BG323)</f>
        <v>0</v>
      </c>
      <c r="BI323">
        <f>MAX(BD323:BG323)</f>
        <v>0</v>
      </c>
      <c r="BJ323">
        <f>MAX(BE323:BG323)</f>
        <v>0</v>
      </c>
      <c r="BK323">
        <f>IF(AND(AK323=ReachLabel,AY323=1),AP323,0)</f>
        <v>0</v>
      </c>
      <c r="BL323">
        <f>IF(AND(AK323=MatchLabel,AY323=1),AP323,0)</f>
        <v>0</v>
      </c>
      <c r="BM323">
        <f>IF(AND(AK323=SafetyLabel,AY323=1),AP323,0)</f>
        <v>0</v>
      </c>
      <c r="BN323">
        <f>IF(AND(AK323=SecureLabel,AY323=1),AP323,0)</f>
        <v>0</v>
      </c>
      <c r="BO323">
        <f>IF(AND(AK323=SureThingLabel,AY323=1),AP323,0)</f>
        <v>0</v>
      </c>
      <c r="BP323">
        <f>MAX(BK323:BO323)</f>
        <v>0</v>
      </c>
      <c r="BQ323">
        <f>MAX(BL323:BO323)</f>
        <v>0</v>
      </c>
      <c r="BR323">
        <f>MAX(BM323:BO323)</f>
        <v>0</v>
      </c>
      <c r="BS323">
        <f>IF(ISNUMBER(Y323),INDEX(AllCollegeChicago, MATCH(N323,AllCollegeNCES,0))*AY323,0)</f>
        <v>0</v>
      </c>
      <c r="BT323">
        <f>IF(ISNUMBER(Y323),INDEX(AllCollegeMoneyCode, MATCH(N323,AllCollegeNCES,0)),"?")</f>
        <v>0</v>
      </c>
      <c r="BU323">
        <f>IF(OR(BT323="---",BT323="--",BT323="+/--",BT323="+/---"),1,0)</f>
        <v>0</v>
      </c>
      <c r="BV323">
        <f>AY323*AO323*AQ323</f>
        <v>0</v>
      </c>
    </row>
    <row r="324" spans="1:74">
      <c r="A324" t="s">
        <v>86</v>
      </c>
      <c r="B324">
        <v>23107053</v>
      </c>
      <c r="C324" t="s">
        <v>251</v>
      </c>
      <c r="D324" t="s">
        <v>252</v>
      </c>
      <c r="E324" t="s">
        <v>428</v>
      </c>
      <c r="F324" t="s">
        <v>464</v>
      </c>
      <c r="G324" t="s">
        <v>430</v>
      </c>
      <c r="H324" t="s">
        <v>431</v>
      </c>
      <c r="I324" t="s">
        <v>432</v>
      </c>
      <c r="J324" t="s">
        <v>432</v>
      </c>
      <c r="K324">
        <v>0</v>
      </c>
      <c r="L324" t="s">
        <v>428</v>
      </c>
      <c r="M324" t="s">
        <v>428</v>
      </c>
      <c r="N324">
        <v>169248</v>
      </c>
      <c r="O324">
        <f>INDEX(AllCollegeBarrons,MATCH(N324,AllCollegeNCES,0))</f>
        <v>0</v>
      </c>
      <c r="P324">
        <f>INDEX(KidGPAs,MATCH(B324,KidIDs,0))</f>
        <v>0</v>
      </c>
      <c r="Q324">
        <f>INDEX(KidACTs,MATCH(B324,KidIDs,0))</f>
        <v>0</v>
      </c>
      <c r="R324">
        <f>INDEX(Strats,MATCH(B324,KidIDs,0))</f>
        <v>0</v>
      </c>
      <c r="S324">
        <f>INDEX(KidRace,MATCH(B324,KidIDs,0))</f>
        <v>0</v>
      </c>
      <c r="T324">
        <f>IF(OR(S324="M",S324="I"),"H",S324)</f>
        <v>0</v>
      </c>
      <c r="U324">
        <f>INDEX(StudentTargets,MATCH(B324,KidIDs,0))</f>
        <v>0</v>
      </c>
      <c r="V324">
        <f>INDEX(ReachStudentTargets,MATCH(B324,KidIDs,0))</f>
        <v>0</v>
      </c>
      <c r="W324">
        <f>IF(OR(M324="Posse"),1,0)</f>
        <v>0</v>
      </c>
      <c r="X324">
        <f>IF(ISNUMBER(INDEX(AllCollegeGR, MATCH(N324,AllCollegeNCES,0))),ROUND(INDEX(AllCollegeGR, MATCH(N324,AllCollegeNCES,0))+W324*IF(INDEX(AllCollegeGR, MATCH(N324,AllCollegeNCES,0))&gt;0.7,(1-INDEX(AllCollegeGR, MATCH(N324,AllCollegeNCES,0)))/2,0.15),2),INDEX(AllCollegeGR, MATCH(N324,AllCollegeNCES,0)))</f>
        <v>0</v>
      </c>
      <c r="Y324">
        <f>IF(ISNUMBER(INDEX(AllCollegeAAHGR, MATCH(N324,AllCollegeNCES,0))),ROUND(INDEX(AllCollegeAAHGR, MATCH(N324,AllCollegeNCES,0))+W324*IF(INDEX(AllCollegeAAHGR, MATCH(N324,AllCollegeNCES,0))&gt;0.7,(1-INDEX(AllCollegeAAHGR, MATCH(N324,AllCollegeNCES,0)))/2,0.15),2),INDEX(AllCollegeAAHGR, MATCH(N324,AllCollegeNCES,0)))</f>
        <v>0</v>
      </c>
      <c r="Z324">
        <f>IF(OR(T324="H",T324="B"),INDEX(AllCollegeACT25, MATCH(N324,AllCollegeNCES,0)),INDEX(AllCollegeACT50, MATCH(N324,AllCollegeNCES,0)))</f>
        <v>0</v>
      </c>
      <c r="AA324">
        <f>INDEX(CustomWeightsGPA,MATCH(T324&amp;":"&amp;N324,CustomWeightsIndex,0))</f>
        <v>0</v>
      </c>
      <c r="AB324">
        <f>INDEX(CustomWeightsACT,MATCH(T324&amp;":"&amp;N324,CustomWeightsIndex,0))</f>
        <v>0</v>
      </c>
      <c r="AC324">
        <f>INDEX(CustomWeightsIntercept,MATCH(T324&amp;":"&amp;N324,CustomWeightsIndex,0))</f>
        <v>0</v>
      </c>
      <c r="AD324">
        <f>AA324*P324+AB324*Q324+AC324</f>
        <v>0</v>
      </c>
      <c r="AE324">
        <f>INDEX(CoefficientsGPA,MATCH(T324&amp;":"&amp;O324,CoefficientsIndex,0))</f>
        <v>0</v>
      </c>
      <c r="AF324">
        <f>INDEX(CoefficientsACT,MATCH(T324&amp;":"&amp;O324,CoefficientsIndex,0))</f>
        <v>0</v>
      </c>
      <c r="AG324">
        <f>INDEX(CoefficientsIntercept,MATCH(T324&amp;":"&amp;O324,CoefficientsIndex,0))</f>
        <v>0</v>
      </c>
      <c r="AH324">
        <f>AE324*P324+(Q324-Z324)*AF324+AG324</f>
        <v>0</v>
      </c>
      <c r="AI324">
        <f>IF(ISNUMBER(AD324),AD324,AH324)</f>
        <v>0</v>
      </c>
      <c r="AJ324">
        <f>IF(ISNUMBER(AI324),IF(ISNUMBER(AE324),IF(AND(AE324=1,AF324=1,AG324=1),100,ROUND(100*EXP(AI324)/(1+EXP(AI324)),2)),ROUND(100*EXP(AI324)/(1+EXP(AI324)),2)),IF(ISTEXT(O324),IF(LEFT(O324,1)="2",100,"N/A"),"N/A"))</f>
        <v>0</v>
      </c>
      <c r="AK324">
        <f>IF(ISNUMBER(AJ324),IF(AJ324&gt;=99,IF(OR(R324=10,R324=11),MatchLabel,SureThingLabel),IF(AJ324&gt;=95,SecureLabel,IF(AJ324&gt;=80,SafetyLabel,IF(AJ324&gt;=50,MatchLabel,IF(AJ324&gt;=20,ReachLabel,IF(AJ324&gt;=10,LongshotLabel,HailMaryLabel)))))),"Other")</f>
        <v>0</v>
      </c>
      <c r="AL324">
        <f>IF(OR(I324="accepted",I324="cond. accept",I324="summer admit"),IF(J324="yes","CHOICE!","Accepted!"),IF(I324="denied","Denied",IF(K324=1,"Waitlist",IF(L324=1,"Deferred",IF(G324="pending","Pending",IF(OR(G324="initial materials submitted",G324="mid-year submitted",G324="final submitted"),"Submitted",IF(H324="interest","Interest","?")))))))</f>
        <v>0</v>
      </c>
      <c r="AM324">
        <f>IF(OR(AK324=ReachLabel,AK324=LongshotLabel,AK324=HailMaryLabel),1,0)</f>
        <v>0</v>
      </c>
      <c r="AN324">
        <f>IF(OR(AM324=1,AK324=MatchLabel),1,0)</f>
        <v>0</v>
      </c>
      <c r="AO324">
        <f>IF(OR(AK324=MatchLabel,AK324=SafetyLabel,AK324=SecureLabel,AK324=SureThingLabel),1,0)</f>
        <v>0</v>
      </c>
      <c r="AP324">
        <f>IF(OR(T324="H",T324="B"),IF(ISNUMBER(Y324),ROUND(Y324,2),0),IF(ISNUMBER(X324),ROUND(X324,2),0))</f>
        <v>0</v>
      </c>
      <c r="AQ324">
        <f>IF(AP324&gt;=U324,1,0)</f>
        <v>0</v>
      </c>
      <c r="AR324">
        <f>IF(AP324&gt;=V324,1,0)</f>
        <v>0</v>
      </c>
      <c r="AS324">
        <f>IF(AP324&lt;(U324-0.10),1,0)</f>
        <v>0</v>
      </c>
      <c r="AT324">
        <f>1-AJ324/100</f>
        <v>0</v>
      </c>
      <c r="AU324">
        <f>IF(AN324=1,AT324,1)</f>
        <v>0</v>
      </c>
      <c r="AV324">
        <f>IF(AM324=1,AT324,1)</f>
        <v>0</v>
      </c>
      <c r="AW324">
        <f>IF(AND(AQ324=1,ISNUMBER(AT324)),$AT324,1)</f>
        <v>0</v>
      </c>
      <c r="AX324">
        <f>IF(AND(AR324=1,ISNUMBER(AT324)),$AT324,1)</f>
        <v>0</v>
      </c>
      <c r="AY324">
        <f>IF(ISNUMBER(Y324),INDEX(AllCollegeMoney, MATCH(N324,AllCollegeNCES,0)),0)</f>
        <v>0</v>
      </c>
      <c r="AZ324">
        <f>IF(AND(AQ324=1,ISNUMBER(AT324),AY324=1),$AT324,1)</f>
        <v>0</v>
      </c>
      <c r="BA324">
        <f>IF(AND(AR324=1,ISNUMBER(AT324),AY324=1),$AT324,1)</f>
        <v>0</v>
      </c>
      <c r="BB324">
        <f>IF(ISNUMBER(Y324),INDEX(AllCollegeILPub, MATCH(N324,AllCollegeNCES,0)),0)</f>
        <v>0</v>
      </c>
      <c r="BC324">
        <f>IF(AK324=ReachLabel,AP324,0)</f>
        <v>0</v>
      </c>
      <c r="BD324">
        <f>IF(AK324=MatchLabel,AP324,0)</f>
        <v>0</v>
      </c>
      <c r="BE324">
        <f>IF(AK324=SafetyLabel,AP324,0)</f>
        <v>0</v>
      </c>
      <c r="BF324">
        <f>IF(AK324=SecureLabel,AP324,0)</f>
        <v>0</v>
      </c>
      <c r="BG324">
        <f>IF(AK324=SureThingLabel,AP324,0)</f>
        <v>0</v>
      </c>
      <c r="BH324">
        <f>MAX(BC324:BG324)</f>
        <v>0</v>
      </c>
      <c r="BI324">
        <f>MAX(BD324:BG324)</f>
        <v>0</v>
      </c>
      <c r="BJ324">
        <f>MAX(BE324:BG324)</f>
        <v>0</v>
      </c>
      <c r="BK324">
        <f>IF(AND(AK324=ReachLabel,AY324=1),AP324,0)</f>
        <v>0</v>
      </c>
      <c r="BL324">
        <f>IF(AND(AK324=MatchLabel,AY324=1),AP324,0)</f>
        <v>0</v>
      </c>
      <c r="BM324">
        <f>IF(AND(AK324=SafetyLabel,AY324=1),AP324,0)</f>
        <v>0</v>
      </c>
      <c r="BN324">
        <f>IF(AND(AK324=SecureLabel,AY324=1),AP324,0)</f>
        <v>0</v>
      </c>
      <c r="BO324">
        <f>IF(AND(AK324=SureThingLabel,AY324=1),AP324,0)</f>
        <v>0</v>
      </c>
      <c r="BP324">
        <f>MAX(BK324:BO324)</f>
        <v>0</v>
      </c>
      <c r="BQ324">
        <f>MAX(BL324:BO324)</f>
        <v>0</v>
      </c>
      <c r="BR324">
        <f>MAX(BM324:BO324)</f>
        <v>0</v>
      </c>
      <c r="BS324">
        <f>IF(ISNUMBER(Y324),INDEX(AllCollegeChicago, MATCH(N324,AllCollegeNCES,0))*AY324,0)</f>
        <v>0</v>
      </c>
      <c r="BT324">
        <f>IF(ISNUMBER(Y324),INDEX(AllCollegeMoneyCode, MATCH(N324,AllCollegeNCES,0)),"?")</f>
        <v>0</v>
      </c>
      <c r="BU324">
        <f>IF(OR(BT324="---",BT324="--",BT324="+/--",BT324="+/---"),1,0)</f>
        <v>0</v>
      </c>
      <c r="BV324">
        <f>AY324*AO324*AQ324</f>
        <v>0</v>
      </c>
    </row>
    <row r="325" spans="1:74">
      <c r="A325" t="s">
        <v>86</v>
      </c>
      <c r="B325">
        <v>23107053</v>
      </c>
      <c r="C325" t="s">
        <v>251</v>
      </c>
      <c r="D325" t="s">
        <v>252</v>
      </c>
      <c r="E325" t="s">
        <v>428</v>
      </c>
      <c r="F325" t="s">
        <v>438</v>
      </c>
      <c r="G325" t="s">
        <v>430</v>
      </c>
      <c r="H325" t="s">
        <v>431</v>
      </c>
      <c r="I325" t="s">
        <v>432</v>
      </c>
      <c r="J325" t="s">
        <v>432</v>
      </c>
      <c r="K325">
        <v>0</v>
      </c>
      <c r="L325" t="s">
        <v>428</v>
      </c>
      <c r="M325" t="s">
        <v>439</v>
      </c>
      <c r="N325">
        <v>150774</v>
      </c>
      <c r="O325">
        <f>INDEX(AllCollegeBarrons,MATCH(N325,AllCollegeNCES,0))</f>
        <v>0</v>
      </c>
      <c r="P325">
        <f>INDEX(KidGPAs,MATCH(B325,KidIDs,0))</f>
        <v>0</v>
      </c>
      <c r="Q325">
        <f>INDEX(KidACTs,MATCH(B325,KidIDs,0))</f>
        <v>0</v>
      </c>
      <c r="R325">
        <f>INDEX(Strats,MATCH(B325,KidIDs,0))</f>
        <v>0</v>
      </c>
      <c r="S325">
        <f>INDEX(KidRace,MATCH(B325,KidIDs,0))</f>
        <v>0</v>
      </c>
      <c r="T325">
        <f>IF(OR(S325="M",S325="I"),"H",S325)</f>
        <v>0</v>
      </c>
      <c r="U325">
        <f>INDEX(StudentTargets,MATCH(B325,KidIDs,0))</f>
        <v>0</v>
      </c>
      <c r="V325">
        <f>INDEX(ReachStudentTargets,MATCH(B325,KidIDs,0))</f>
        <v>0</v>
      </c>
      <c r="W325">
        <f>IF(OR(M325="Posse"),1,0)</f>
        <v>0</v>
      </c>
      <c r="X325">
        <f>IF(ISNUMBER(INDEX(AllCollegeGR, MATCH(N325,AllCollegeNCES,0))),ROUND(INDEX(AllCollegeGR, MATCH(N325,AllCollegeNCES,0))+W325*IF(INDEX(AllCollegeGR, MATCH(N325,AllCollegeNCES,0))&gt;0.7,(1-INDEX(AllCollegeGR, MATCH(N325,AllCollegeNCES,0)))/2,0.15),2),INDEX(AllCollegeGR, MATCH(N325,AllCollegeNCES,0)))</f>
        <v>0</v>
      </c>
      <c r="Y325">
        <f>IF(ISNUMBER(INDEX(AllCollegeAAHGR, MATCH(N325,AllCollegeNCES,0))),ROUND(INDEX(AllCollegeAAHGR, MATCH(N325,AllCollegeNCES,0))+W325*IF(INDEX(AllCollegeAAHGR, MATCH(N325,AllCollegeNCES,0))&gt;0.7,(1-INDEX(AllCollegeAAHGR, MATCH(N325,AllCollegeNCES,0)))/2,0.15),2),INDEX(AllCollegeAAHGR, MATCH(N325,AllCollegeNCES,0)))</f>
        <v>0</v>
      </c>
      <c r="Z325">
        <f>IF(OR(T325="H",T325="B"),INDEX(AllCollegeACT25, MATCH(N325,AllCollegeNCES,0)),INDEX(AllCollegeACT50, MATCH(N325,AllCollegeNCES,0)))</f>
        <v>0</v>
      </c>
      <c r="AA325">
        <f>INDEX(CustomWeightsGPA,MATCH(T325&amp;":"&amp;N325,CustomWeightsIndex,0))</f>
        <v>0</v>
      </c>
      <c r="AB325">
        <f>INDEX(CustomWeightsACT,MATCH(T325&amp;":"&amp;N325,CustomWeightsIndex,0))</f>
        <v>0</v>
      </c>
      <c r="AC325">
        <f>INDEX(CustomWeightsIntercept,MATCH(T325&amp;":"&amp;N325,CustomWeightsIndex,0))</f>
        <v>0</v>
      </c>
      <c r="AD325">
        <f>AA325*P325+AB325*Q325+AC325</f>
        <v>0</v>
      </c>
      <c r="AE325">
        <f>INDEX(CoefficientsGPA,MATCH(T325&amp;":"&amp;O325,CoefficientsIndex,0))</f>
        <v>0</v>
      </c>
      <c r="AF325">
        <f>INDEX(CoefficientsACT,MATCH(T325&amp;":"&amp;O325,CoefficientsIndex,0))</f>
        <v>0</v>
      </c>
      <c r="AG325">
        <f>INDEX(CoefficientsIntercept,MATCH(T325&amp;":"&amp;O325,CoefficientsIndex,0))</f>
        <v>0</v>
      </c>
      <c r="AH325">
        <f>AE325*P325+(Q325-Z325)*AF325+AG325</f>
        <v>0</v>
      </c>
      <c r="AI325">
        <f>IF(ISNUMBER(AD325),AD325,AH325)</f>
        <v>0</v>
      </c>
      <c r="AJ325">
        <f>IF(ISNUMBER(AI325),IF(ISNUMBER(AE325),IF(AND(AE325=1,AF325=1,AG325=1),100,ROUND(100*EXP(AI325)/(1+EXP(AI325)),2)),ROUND(100*EXP(AI325)/(1+EXP(AI325)),2)),IF(ISTEXT(O325),IF(LEFT(O325,1)="2",100,"N/A"),"N/A"))</f>
        <v>0</v>
      </c>
      <c r="AK325">
        <f>IF(ISNUMBER(AJ325),IF(AJ325&gt;=99,IF(OR(R325=10,R325=11),MatchLabel,SureThingLabel),IF(AJ325&gt;=95,SecureLabel,IF(AJ325&gt;=80,SafetyLabel,IF(AJ325&gt;=50,MatchLabel,IF(AJ325&gt;=20,ReachLabel,IF(AJ325&gt;=10,LongshotLabel,HailMaryLabel)))))),"Other")</f>
        <v>0</v>
      </c>
      <c r="AL325">
        <f>IF(OR(I325="accepted",I325="cond. accept",I325="summer admit"),IF(J325="yes","CHOICE!","Accepted!"),IF(I325="denied","Denied",IF(K325=1,"Waitlist",IF(L325=1,"Deferred",IF(G325="pending","Pending",IF(OR(G325="initial materials submitted",G325="mid-year submitted",G325="final submitted"),"Submitted",IF(H325="interest","Interest","?")))))))</f>
        <v>0</v>
      </c>
      <c r="AM325">
        <f>IF(OR(AK325=ReachLabel,AK325=LongshotLabel,AK325=HailMaryLabel),1,0)</f>
        <v>0</v>
      </c>
      <c r="AN325">
        <f>IF(OR(AM325=1,AK325=MatchLabel),1,0)</f>
        <v>0</v>
      </c>
      <c r="AO325">
        <f>IF(OR(AK325=MatchLabel,AK325=SafetyLabel,AK325=SecureLabel,AK325=SureThingLabel),1,0)</f>
        <v>0</v>
      </c>
      <c r="AP325">
        <f>IF(OR(T325="H",T325="B"),IF(ISNUMBER(Y325),ROUND(Y325,2),0),IF(ISNUMBER(X325),ROUND(X325,2),0))</f>
        <v>0</v>
      </c>
      <c r="AQ325">
        <f>IF(AP325&gt;=U325,1,0)</f>
        <v>0</v>
      </c>
      <c r="AR325">
        <f>IF(AP325&gt;=V325,1,0)</f>
        <v>0</v>
      </c>
      <c r="AS325">
        <f>IF(AP325&lt;(U325-0.10),1,0)</f>
        <v>0</v>
      </c>
      <c r="AT325">
        <f>1-AJ325/100</f>
        <v>0</v>
      </c>
      <c r="AU325">
        <f>IF(AN325=1,AT325,1)</f>
        <v>0</v>
      </c>
      <c r="AV325">
        <f>IF(AM325=1,AT325,1)</f>
        <v>0</v>
      </c>
      <c r="AW325">
        <f>IF(AND(AQ325=1,ISNUMBER(AT325)),$AT325,1)</f>
        <v>0</v>
      </c>
      <c r="AX325">
        <f>IF(AND(AR325=1,ISNUMBER(AT325)),$AT325,1)</f>
        <v>0</v>
      </c>
      <c r="AY325">
        <f>IF(ISNUMBER(Y325),INDEX(AllCollegeMoney, MATCH(N325,AllCollegeNCES,0)),0)</f>
        <v>0</v>
      </c>
      <c r="AZ325">
        <f>IF(AND(AQ325=1,ISNUMBER(AT325),AY325=1),$AT325,1)</f>
        <v>0</v>
      </c>
      <c r="BA325">
        <f>IF(AND(AR325=1,ISNUMBER(AT325),AY325=1),$AT325,1)</f>
        <v>0</v>
      </c>
      <c r="BB325">
        <f>IF(ISNUMBER(Y325),INDEX(AllCollegeILPub, MATCH(N325,AllCollegeNCES,0)),0)</f>
        <v>0</v>
      </c>
      <c r="BC325">
        <f>IF(AK325=ReachLabel,AP325,0)</f>
        <v>0</v>
      </c>
      <c r="BD325">
        <f>IF(AK325=MatchLabel,AP325,0)</f>
        <v>0</v>
      </c>
      <c r="BE325">
        <f>IF(AK325=SafetyLabel,AP325,0)</f>
        <v>0</v>
      </c>
      <c r="BF325">
        <f>IF(AK325=SecureLabel,AP325,0)</f>
        <v>0</v>
      </c>
      <c r="BG325">
        <f>IF(AK325=SureThingLabel,AP325,0)</f>
        <v>0</v>
      </c>
      <c r="BH325">
        <f>MAX(BC325:BG325)</f>
        <v>0</v>
      </c>
      <c r="BI325">
        <f>MAX(BD325:BG325)</f>
        <v>0</v>
      </c>
      <c r="BJ325">
        <f>MAX(BE325:BG325)</f>
        <v>0</v>
      </c>
      <c r="BK325">
        <f>IF(AND(AK325=ReachLabel,AY325=1),AP325,0)</f>
        <v>0</v>
      </c>
      <c r="BL325">
        <f>IF(AND(AK325=MatchLabel,AY325=1),AP325,0)</f>
        <v>0</v>
      </c>
      <c r="BM325">
        <f>IF(AND(AK325=SafetyLabel,AY325=1),AP325,0)</f>
        <v>0</v>
      </c>
      <c r="BN325">
        <f>IF(AND(AK325=SecureLabel,AY325=1),AP325,0)</f>
        <v>0</v>
      </c>
      <c r="BO325">
        <f>IF(AND(AK325=SureThingLabel,AY325=1),AP325,0)</f>
        <v>0</v>
      </c>
      <c r="BP325">
        <f>MAX(BK325:BO325)</f>
        <v>0</v>
      </c>
      <c r="BQ325">
        <f>MAX(BL325:BO325)</f>
        <v>0</v>
      </c>
      <c r="BR325">
        <f>MAX(BM325:BO325)</f>
        <v>0</v>
      </c>
      <c r="BS325">
        <f>IF(ISNUMBER(Y325),INDEX(AllCollegeChicago, MATCH(N325,AllCollegeNCES,0))*AY325,0)</f>
        <v>0</v>
      </c>
      <c r="BT325">
        <f>IF(ISNUMBER(Y325),INDEX(AllCollegeMoneyCode, MATCH(N325,AllCollegeNCES,0)),"?")</f>
        <v>0</v>
      </c>
      <c r="BU325">
        <f>IF(OR(BT325="---",BT325="--",BT325="+/--",BT325="+/---"),1,0)</f>
        <v>0</v>
      </c>
      <c r="BV325">
        <f>AY325*AO325*AQ325</f>
        <v>0</v>
      </c>
    </row>
    <row r="326" spans="1:74">
      <c r="A326" t="s">
        <v>86</v>
      </c>
      <c r="B326">
        <v>23152737</v>
      </c>
      <c r="C326" t="s">
        <v>206</v>
      </c>
      <c r="D326" t="s">
        <v>207</v>
      </c>
      <c r="E326" t="s">
        <v>428</v>
      </c>
      <c r="F326" t="s">
        <v>462</v>
      </c>
      <c r="G326" t="s">
        <v>430</v>
      </c>
      <c r="H326" t="s">
        <v>431</v>
      </c>
      <c r="I326" t="s">
        <v>432</v>
      </c>
      <c r="J326" t="s">
        <v>432</v>
      </c>
      <c r="K326">
        <v>0</v>
      </c>
      <c r="L326" t="s">
        <v>428</v>
      </c>
      <c r="M326" t="s">
        <v>428</v>
      </c>
      <c r="N326">
        <v>168546</v>
      </c>
      <c r="O326">
        <f>INDEX(AllCollegeBarrons,MATCH(N326,AllCollegeNCES,0))</f>
        <v>0</v>
      </c>
      <c r="P326">
        <f>INDEX(KidGPAs,MATCH(B326,KidIDs,0))</f>
        <v>0</v>
      </c>
      <c r="Q326">
        <f>INDEX(KidACTs,MATCH(B326,KidIDs,0))</f>
        <v>0</v>
      </c>
      <c r="R326">
        <f>INDEX(Strats,MATCH(B326,KidIDs,0))</f>
        <v>0</v>
      </c>
      <c r="S326">
        <f>INDEX(KidRace,MATCH(B326,KidIDs,0))</f>
        <v>0</v>
      </c>
      <c r="T326">
        <f>IF(OR(S326="M",S326="I"),"H",S326)</f>
        <v>0</v>
      </c>
      <c r="U326">
        <f>INDEX(StudentTargets,MATCH(B326,KidIDs,0))</f>
        <v>0</v>
      </c>
      <c r="V326">
        <f>INDEX(ReachStudentTargets,MATCH(B326,KidIDs,0))</f>
        <v>0</v>
      </c>
      <c r="W326">
        <f>IF(OR(M326="Posse"),1,0)</f>
        <v>0</v>
      </c>
      <c r="X326">
        <f>IF(ISNUMBER(INDEX(AllCollegeGR, MATCH(N326,AllCollegeNCES,0))),ROUND(INDEX(AllCollegeGR, MATCH(N326,AllCollegeNCES,0))+W326*IF(INDEX(AllCollegeGR, MATCH(N326,AllCollegeNCES,0))&gt;0.7,(1-INDEX(AllCollegeGR, MATCH(N326,AllCollegeNCES,0)))/2,0.15),2),INDEX(AllCollegeGR, MATCH(N326,AllCollegeNCES,0)))</f>
        <v>0</v>
      </c>
      <c r="Y326">
        <f>IF(ISNUMBER(INDEX(AllCollegeAAHGR, MATCH(N326,AllCollegeNCES,0))),ROUND(INDEX(AllCollegeAAHGR, MATCH(N326,AllCollegeNCES,0))+W326*IF(INDEX(AllCollegeAAHGR, MATCH(N326,AllCollegeNCES,0))&gt;0.7,(1-INDEX(AllCollegeAAHGR, MATCH(N326,AllCollegeNCES,0)))/2,0.15),2),INDEX(AllCollegeAAHGR, MATCH(N326,AllCollegeNCES,0)))</f>
        <v>0</v>
      </c>
      <c r="Z326">
        <f>IF(OR(T326="H",T326="B"),INDEX(AllCollegeACT25, MATCH(N326,AllCollegeNCES,0)),INDEX(AllCollegeACT50, MATCH(N326,AllCollegeNCES,0)))</f>
        <v>0</v>
      </c>
      <c r="AA326">
        <f>INDEX(CustomWeightsGPA,MATCH(T326&amp;":"&amp;N326,CustomWeightsIndex,0))</f>
        <v>0</v>
      </c>
      <c r="AB326">
        <f>INDEX(CustomWeightsACT,MATCH(T326&amp;":"&amp;N326,CustomWeightsIndex,0))</f>
        <v>0</v>
      </c>
      <c r="AC326">
        <f>INDEX(CustomWeightsIntercept,MATCH(T326&amp;":"&amp;N326,CustomWeightsIndex,0))</f>
        <v>0</v>
      </c>
      <c r="AD326">
        <f>AA326*P326+AB326*Q326+AC326</f>
        <v>0</v>
      </c>
      <c r="AE326">
        <f>INDEX(CoefficientsGPA,MATCH(T326&amp;":"&amp;O326,CoefficientsIndex,0))</f>
        <v>0</v>
      </c>
      <c r="AF326">
        <f>INDEX(CoefficientsACT,MATCH(T326&amp;":"&amp;O326,CoefficientsIndex,0))</f>
        <v>0</v>
      </c>
      <c r="AG326">
        <f>INDEX(CoefficientsIntercept,MATCH(T326&amp;":"&amp;O326,CoefficientsIndex,0))</f>
        <v>0</v>
      </c>
      <c r="AH326">
        <f>AE326*P326+(Q326-Z326)*AF326+AG326</f>
        <v>0</v>
      </c>
      <c r="AI326">
        <f>IF(ISNUMBER(AD326),AD326,AH326)</f>
        <v>0</v>
      </c>
      <c r="AJ326">
        <f>IF(ISNUMBER(AI326),IF(ISNUMBER(AE326),IF(AND(AE326=1,AF326=1,AG326=1),100,ROUND(100*EXP(AI326)/(1+EXP(AI326)),2)),ROUND(100*EXP(AI326)/(1+EXP(AI326)),2)),IF(ISTEXT(O326),IF(LEFT(O326,1)="2",100,"N/A"),"N/A"))</f>
        <v>0</v>
      </c>
      <c r="AK326">
        <f>IF(ISNUMBER(AJ326),IF(AJ326&gt;=99,IF(OR(R326=10,R326=11),MatchLabel,SureThingLabel),IF(AJ326&gt;=95,SecureLabel,IF(AJ326&gt;=80,SafetyLabel,IF(AJ326&gt;=50,MatchLabel,IF(AJ326&gt;=20,ReachLabel,IF(AJ326&gt;=10,LongshotLabel,HailMaryLabel)))))),"Other")</f>
        <v>0</v>
      </c>
      <c r="AL326">
        <f>IF(OR(I326="accepted",I326="cond. accept",I326="summer admit"),IF(J326="yes","CHOICE!","Accepted!"),IF(I326="denied","Denied",IF(K326=1,"Waitlist",IF(L326=1,"Deferred",IF(G326="pending","Pending",IF(OR(G326="initial materials submitted",G326="mid-year submitted",G326="final submitted"),"Submitted",IF(H326="interest","Interest","?")))))))</f>
        <v>0</v>
      </c>
      <c r="AM326">
        <f>IF(OR(AK326=ReachLabel,AK326=LongshotLabel,AK326=HailMaryLabel),1,0)</f>
        <v>0</v>
      </c>
      <c r="AN326">
        <f>IF(OR(AM326=1,AK326=MatchLabel),1,0)</f>
        <v>0</v>
      </c>
      <c r="AO326">
        <f>IF(OR(AK326=MatchLabel,AK326=SafetyLabel,AK326=SecureLabel,AK326=SureThingLabel),1,0)</f>
        <v>0</v>
      </c>
      <c r="AP326">
        <f>IF(OR(T326="H",T326="B"),IF(ISNUMBER(Y326),ROUND(Y326,2),0),IF(ISNUMBER(X326),ROUND(X326,2),0))</f>
        <v>0</v>
      </c>
      <c r="AQ326">
        <f>IF(AP326&gt;=U326,1,0)</f>
        <v>0</v>
      </c>
      <c r="AR326">
        <f>IF(AP326&gt;=V326,1,0)</f>
        <v>0</v>
      </c>
      <c r="AS326">
        <f>IF(AP326&lt;(U326-0.10),1,0)</f>
        <v>0</v>
      </c>
      <c r="AT326">
        <f>1-AJ326/100</f>
        <v>0</v>
      </c>
      <c r="AU326">
        <f>IF(AN326=1,AT326,1)</f>
        <v>0</v>
      </c>
      <c r="AV326">
        <f>IF(AM326=1,AT326,1)</f>
        <v>0</v>
      </c>
      <c r="AW326">
        <f>IF(AND(AQ326=1,ISNUMBER(AT326)),$AT326,1)</f>
        <v>0</v>
      </c>
      <c r="AX326">
        <f>IF(AND(AR326=1,ISNUMBER(AT326)),$AT326,1)</f>
        <v>0</v>
      </c>
      <c r="AY326">
        <f>IF(ISNUMBER(Y326),INDEX(AllCollegeMoney, MATCH(N326,AllCollegeNCES,0)),0)</f>
        <v>0</v>
      </c>
      <c r="AZ326">
        <f>IF(AND(AQ326=1,ISNUMBER(AT326),AY326=1),$AT326,1)</f>
        <v>0</v>
      </c>
      <c r="BA326">
        <f>IF(AND(AR326=1,ISNUMBER(AT326),AY326=1),$AT326,1)</f>
        <v>0</v>
      </c>
      <c r="BB326">
        <f>IF(ISNUMBER(Y326),INDEX(AllCollegeILPub, MATCH(N326,AllCollegeNCES,0)),0)</f>
        <v>0</v>
      </c>
      <c r="BC326">
        <f>IF(AK326=ReachLabel,AP326,0)</f>
        <v>0</v>
      </c>
      <c r="BD326">
        <f>IF(AK326=MatchLabel,AP326,0)</f>
        <v>0</v>
      </c>
      <c r="BE326">
        <f>IF(AK326=SafetyLabel,AP326,0)</f>
        <v>0</v>
      </c>
      <c r="BF326">
        <f>IF(AK326=SecureLabel,AP326,0)</f>
        <v>0</v>
      </c>
      <c r="BG326">
        <f>IF(AK326=SureThingLabel,AP326,0)</f>
        <v>0</v>
      </c>
      <c r="BH326">
        <f>MAX(BC326:BG326)</f>
        <v>0</v>
      </c>
      <c r="BI326">
        <f>MAX(BD326:BG326)</f>
        <v>0</v>
      </c>
      <c r="BJ326">
        <f>MAX(BE326:BG326)</f>
        <v>0</v>
      </c>
      <c r="BK326">
        <f>IF(AND(AK326=ReachLabel,AY326=1),AP326,0)</f>
        <v>0</v>
      </c>
      <c r="BL326">
        <f>IF(AND(AK326=MatchLabel,AY326=1),AP326,0)</f>
        <v>0</v>
      </c>
      <c r="BM326">
        <f>IF(AND(AK326=SafetyLabel,AY326=1),AP326,0)</f>
        <v>0</v>
      </c>
      <c r="BN326">
        <f>IF(AND(AK326=SecureLabel,AY326=1),AP326,0)</f>
        <v>0</v>
      </c>
      <c r="BO326">
        <f>IF(AND(AK326=SureThingLabel,AY326=1),AP326,0)</f>
        <v>0</v>
      </c>
      <c r="BP326">
        <f>MAX(BK326:BO326)</f>
        <v>0</v>
      </c>
      <c r="BQ326">
        <f>MAX(BL326:BO326)</f>
        <v>0</v>
      </c>
      <c r="BR326">
        <f>MAX(BM326:BO326)</f>
        <v>0</v>
      </c>
      <c r="BS326">
        <f>IF(ISNUMBER(Y326),INDEX(AllCollegeChicago, MATCH(N326,AllCollegeNCES,0))*AY326,0)</f>
        <v>0</v>
      </c>
      <c r="BT326">
        <f>IF(ISNUMBER(Y326),INDEX(AllCollegeMoneyCode, MATCH(N326,AllCollegeNCES,0)),"?")</f>
        <v>0</v>
      </c>
      <c r="BU326">
        <f>IF(OR(BT326="---",BT326="--",BT326="+/--",BT326="+/---"),1,0)</f>
        <v>0</v>
      </c>
      <c r="BV326">
        <f>AY326*AO326*AQ326</f>
        <v>0</v>
      </c>
    </row>
    <row r="327" spans="1:74">
      <c r="A327" t="s">
        <v>86</v>
      </c>
      <c r="B327">
        <v>23152737</v>
      </c>
      <c r="C327" t="s">
        <v>206</v>
      </c>
      <c r="D327" t="s">
        <v>207</v>
      </c>
      <c r="E327" t="s">
        <v>428</v>
      </c>
      <c r="F327" t="s">
        <v>429</v>
      </c>
      <c r="G327" t="s">
        <v>430</v>
      </c>
      <c r="H327" t="s">
        <v>431</v>
      </c>
      <c r="I327" t="s">
        <v>432</v>
      </c>
      <c r="J327" t="s">
        <v>432</v>
      </c>
      <c r="K327">
        <v>0</v>
      </c>
      <c r="L327" t="s">
        <v>428</v>
      </c>
      <c r="M327" t="s">
        <v>428</v>
      </c>
      <c r="N327">
        <v>144962</v>
      </c>
      <c r="O327">
        <f>INDEX(AllCollegeBarrons,MATCH(N327,AllCollegeNCES,0))</f>
        <v>0</v>
      </c>
      <c r="P327">
        <f>INDEX(KidGPAs,MATCH(B327,KidIDs,0))</f>
        <v>0</v>
      </c>
      <c r="Q327">
        <f>INDEX(KidACTs,MATCH(B327,KidIDs,0))</f>
        <v>0</v>
      </c>
      <c r="R327">
        <f>INDEX(Strats,MATCH(B327,KidIDs,0))</f>
        <v>0</v>
      </c>
      <c r="S327">
        <f>INDEX(KidRace,MATCH(B327,KidIDs,0))</f>
        <v>0</v>
      </c>
      <c r="T327">
        <f>IF(OR(S327="M",S327="I"),"H",S327)</f>
        <v>0</v>
      </c>
      <c r="U327">
        <f>INDEX(StudentTargets,MATCH(B327,KidIDs,0))</f>
        <v>0</v>
      </c>
      <c r="V327">
        <f>INDEX(ReachStudentTargets,MATCH(B327,KidIDs,0))</f>
        <v>0</v>
      </c>
      <c r="W327">
        <f>IF(OR(M327="Posse"),1,0)</f>
        <v>0</v>
      </c>
      <c r="X327">
        <f>IF(ISNUMBER(INDEX(AllCollegeGR, MATCH(N327,AllCollegeNCES,0))),ROUND(INDEX(AllCollegeGR, MATCH(N327,AllCollegeNCES,0))+W327*IF(INDEX(AllCollegeGR, MATCH(N327,AllCollegeNCES,0))&gt;0.7,(1-INDEX(AllCollegeGR, MATCH(N327,AllCollegeNCES,0)))/2,0.15),2),INDEX(AllCollegeGR, MATCH(N327,AllCollegeNCES,0)))</f>
        <v>0</v>
      </c>
      <c r="Y327">
        <f>IF(ISNUMBER(INDEX(AllCollegeAAHGR, MATCH(N327,AllCollegeNCES,0))),ROUND(INDEX(AllCollegeAAHGR, MATCH(N327,AllCollegeNCES,0))+W327*IF(INDEX(AllCollegeAAHGR, MATCH(N327,AllCollegeNCES,0))&gt;0.7,(1-INDEX(AllCollegeAAHGR, MATCH(N327,AllCollegeNCES,0)))/2,0.15),2),INDEX(AllCollegeAAHGR, MATCH(N327,AllCollegeNCES,0)))</f>
        <v>0</v>
      </c>
      <c r="Z327">
        <f>IF(OR(T327="H",T327="B"),INDEX(AllCollegeACT25, MATCH(N327,AllCollegeNCES,0)),INDEX(AllCollegeACT50, MATCH(N327,AllCollegeNCES,0)))</f>
        <v>0</v>
      </c>
      <c r="AA327">
        <f>INDEX(CustomWeightsGPA,MATCH(T327&amp;":"&amp;N327,CustomWeightsIndex,0))</f>
        <v>0</v>
      </c>
      <c r="AB327">
        <f>INDEX(CustomWeightsACT,MATCH(T327&amp;":"&amp;N327,CustomWeightsIndex,0))</f>
        <v>0</v>
      </c>
      <c r="AC327">
        <f>INDEX(CustomWeightsIntercept,MATCH(T327&amp;":"&amp;N327,CustomWeightsIndex,0))</f>
        <v>0</v>
      </c>
      <c r="AD327">
        <f>AA327*P327+AB327*Q327+AC327</f>
        <v>0</v>
      </c>
      <c r="AE327">
        <f>INDEX(CoefficientsGPA,MATCH(T327&amp;":"&amp;O327,CoefficientsIndex,0))</f>
        <v>0</v>
      </c>
      <c r="AF327">
        <f>INDEX(CoefficientsACT,MATCH(T327&amp;":"&amp;O327,CoefficientsIndex,0))</f>
        <v>0</v>
      </c>
      <c r="AG327">
        <f>INDEX(CoefficientsIntercept,MATCH(T327&amp;":"&amp;O327,CoefficientsIndex,0))</f>
        <v>0</v>
      </c>
      <c r="AH327">
        <f>AE327*P327+(Q327-Z327)*AF327+AG327</f>
        <v>0</v>
      </c>
      <c r="AI327">
        <f>IF(ISNUMBER(AD327),AD327,AH327)</f>
        <v>0</v>
      </c>
      <c r="AJ327">
        <f>IF(ISNUMBER(AI327),IF(ISNUMBER(AE327),IF(AND(AE327=1,AF327=1,AG327=1),100,ROUND(100*EXP(AI327)/(1+EXP(AI327)),2)),ROUND(100*EXP(AI327)/(1+EXP(AI327)),2)),IF(ISTEXT(O327),IF(LEFT(O327,1)="2",100,"N/A"),"N/A"))</f>
        <v>0</v>
      </c>
      <c r="AK327">
        <f>IF(ISNUMBER(AJ327),IF(AJ327&gt;=99,IF(OR(R327=10,R327=11),MatchLabel,SureThingLabel),IF(AJ327&gt;=95,SecureLabel,IF(AJ327&gt;=80,SafetyLabel,IF(AJ327&gt;=50,MatchLabel,IF(AJ327&gt;=20,ReachLabel,IF(AJ327&gt;=10,LongshotLabel,HailMaryLabel)))))),"Other")</f>
        <v>0</v>
      </c>
      <c r="AL327">
        <f>IF(OR(I327="accepted",I327="cond. accept",I327="summer admit"),IF(J327="yes","CHOICE!","Accepted!"),IF(I327="denied","Denied",IF(K327=1,"Waitlist",IF(L327=1,"Deferred",IF(G327="pending","Pending",IF(OR(G327="initial materials submitted",G327="mid-year submitted",G327="final submitted"),"Submitted",IF(H327="interest","Interest","?")))))))</f>
        <v>0</v>
      </c>
      <c r="AM327">
        <f>IF(OR(AK327=ReachLabel,AK327=LongshotLabel,AK327=HailMaryLabel),1,0)</f>
        <v>0</v>
      </c>
      <c r="AN327">
        <f>IF(OR(AM327=1,AK327=MatchLabel),1,0)</f>
        <v>0</v>
      </c>
      <c r="AO327">
        <f>IF(OR(AK327=MatchLabel,AK327=SafetyLabel,AK327=SecureLabel,AK327=SureThingLabel),1,0)</f>
        <v>0</v>
      </c>
      <c r="AP327">
        <f>IF(OR(T327="H",T327="B"),IF(ISNUMBER(Y327),ROUND(Y327,2),0),IF(ISNUMBER(X327),ROUND(X327,2),0))</f>
        <v>0</v>
      </c>
      <c r="AQ327">
        <f>IF(AP327&gt;=U327,1,0)</f>
        <v>0</v>
      </c>
      <c r="AR327">
        <f>IF(AP327&gt;=V327,1,0)</f>
        <v>0</v>
      </c>
      <c r="AS327">
        <f>IF(AP327&lt;(U327-0.10),1,0)</f>
        <v>0</v>
      </c>
      <c r="AT327">
        <f>1-AJ327/100</f>
        <v>0</v>
      </c>
      <c r="AU327">
        <f>IF(AN327=1,AT327,1)</f>
        <v>0</v>
      </c>
      <c r="AV327">
        <f>IF(AM327=1,AT327,1)</f>
        <v>0</v>
      </c>
      <c r="AW327">
        <f>IF(AND(AQ327=1,ISNUMBER(AT327)),$AT327,1)</f>
        <v>0</v>
      </c>
      <c r="AX327">
        <f>IF(AND(AR327=1,ISNUMBER(AT327)),$AT327,1)</f>
        <v>0</v>
      </c>
      <c r="AY327">
        <f>IF(ISNUMBER(Y327),INDEX(AllCollegeMoney, MATCH(N327,AllCollegeNCES,0)),0)</f>
        <v>0</v>
      </c>
      <c r="AZ327">
        <f>IF(AND(AQ327=1,ISNUMBER(AT327),AY327=1),$AT327,1)</f>
        <v>0</v>
      </c>
      <c r="BA327">
        <f>IF(AND(AR327=1,ISNUMBER(AT327),AY327=1),$AT327,1)</f>
        <v>0</v>
      </c>
      <c r="BB327">
        <f>IF(ISNUMBER(Y327),INDEX(AllCollegeILPub, MATCH(N327,AllCollegeNCES,0)),0)</f>
        <v>0</v>
      </c>
      <c r="BC327">
        <f>IF(AK327=ReachLabel,AP327,0)</f>
        <v>0</v>
      </c>
      <c r="BD327">
        <f>IF(AK327=MatchLabel,AP327,0)</f>
        <v>0</v>
      </c>
      <c r="BE327">
        <f>IF(AK327=SafetyLabel,AP327,0)</f>
        <v>0</v>
      </c>
      <c r="BF327">
        <f>IF(AK327=SecureLabel,AP327,0)</f>
        <v>0</v>
      </c>
      <c r="BG327">
        <f>IF(AK327=SureThingLabel,AP327,0)</f>
        <v>0</v>
      </c>
      <c r="BH327">
        <f>MAX(BC327:BG327)</f>
        <v>0</v>
      </c>
      <c r="BI327">
        <f>MAX(BD327:BG327)</f>
        <v>0</v>
      </c>
      <c r="BJ327">
        <f>MAX(BE327:BG327)</f>
        <v>0</v>
      </c>
      <c r="BK327">
        <f>IF(AND(AK327=ReachLabel,AY327=1),AP327,0)</f>
        <v>0</v>
      </c>
      <c r="BL327">
        <f>IF(AND(AK327=MatchLabel,AY327=1),AP327,0)</f>
        <v>0</v>
      </c>
      <c r="BM327">
        <f>IF(AND(AK327=SafetyLabel,AY327=1),AP327,0)</f>
        <v>0</v>
      </c>
      <c r="BN327">
        <f>IF(AND(AK327=SecureLabel,AY327=1),AP327,0)</f>
        <v>0</v>
      </c>
      <c r="BO327">
        <f>IF(AND(AK327=SureThingLabel,AY327=1),AP327,0)</f>
        <v>0</v>
      </c>
      <c r="BP327">
        <f>MAX(BK327:BO327)</f>
        <v>0</v>
      </c>
      <c r="BQ327">
        <f>MAX(BL327:BO327)</f>
        <v>0</v>
      </c>
      <c r="BR327">
        <f>MAX(BM327:BO327)</f>
        <v>0</v>
      </c>
      <c r="BS327">
        <f>IF(ISNUMBER(Y327),INDEX(AllCollegeChicago, MATCH(N327,AllCollegeNCES,0))*AY327,0)</f>
        <v>0</v>
      </c>
      <c r="BT327">
        <f>IF(ISNUMBER(Y327),INDEX(AllCollegeMoneyCode, MATCH(N327,AllCollegeNCES,0)),"?")</f>
        <v>0</v>
      </c>
      <c r="BU327">
        <f>IF(OR(BT327="---",BT327="--",BT327="+/--",BT327="+/---"),1,0)</f>
        <v>0</v>
      </c>
      <c r="BV327">
        <f>AY327*AO327*AQ327</f>
        <v>0</v>
      </c>
    </row>
    <row r="328" spans="1:74">
      <c r="A328" t="s">
        <v>86</v>
      </c>
      <c r="B328">
        <v>23152737</v>
      </c>
      <c r="C328" t="s">
        <v>206</v>
      </c>
      <c r="D328" t="s">
        <v>207</v>
      </c>
      <c r="E328" t="s">
        <v>428</v>
      </c>
      <c r="F328" t="s">
        <v>433</v>
      </c>
      <c r="G328" t="s">
        <v>430</v>
      </c>
      <c r="H328" t="s">
        <v>431</v>
      </c>
      <c r="I328" t="s">
        <v>432</v>
      </c>
      <c r="J328" t="s">
        <v>432</v>
      </c>
      <c r="K328">
        <v>0</v>
      </c>
      <c r="L328" t="s">
        <v>428</v>
      </c>
      <c r="M328" t="s">
        <v>428</v>
      </c>
      <c r="N328">
        <v>148496</v>
      </c>
      <c r="O328">
        <f>INDEX(AllCollegeBarrons,MATCH(N328,AllCollegeNCES,0))</f>
        <v>0</v>
      </c>
      <c r="P328">
        <f>INDEX(KidGPAs,MATCH(B328,KidIDs,0))</f>
        <v>0</v>
      </c>
      <c r="Q328">
        <f>INDEX(KidACTs,MATCH(B328,KidIDs,0))</f>
        <v>0</v>
      </c>
      <c r="R328">
        <f>INDEX(Strats,MATCH(B328,KidIDs,0))</f>
        <v>0</v>
      </c>
      <c r="S328">
        <f>INDEX(KidRace,MATCH(B328,KidIDs,0))</f>
        <v>0</v>
      </c>
      <c r="T328">
        <f>IF(OR(S328="M",S328="I"),"H",S328)</f>
        <v>0</v>
      </c>
      <c r="U328">
        <f>INDEX(StudentTargets,MATCH(B328,KidIDs,0))</f>
        <v>0</v>
      </c>
      <c r="V328">
        <f>INDEX(ReachStudentTargets,MATCH(B328,KidIDs,0))</f>
        <v>0</v>
      </c>
      <c r="W328">
        <f>IF(OR(M328="Posse"),1,0)</f>
        <v>0</v>
      </c>
      <c r="X328">
        <f>IF(ISNUMBER(INDEX(AllCollegeGR, MATCH(N328,AllCollegeNCES,0))),ROUND(INDEX(AllCollegeGR, MATCH(N328,AllCollegeNCES,0))+W328*IF(INDEX(AllCollegeGR, MATCH(N328,AllCollegeNCES,0))&gt;0.7,(1-INDEX(AllCollegeGR, MATCH(N328,AllCollegeNCES,0)))/2,0.15),2),INDEX(AllCollegeGR, MATCH(N328,AllCollegeNCES,0)))</f>
        <v>0</v>
      </c>
      <c r="Y328">
        <f>IF(ISNUMBER(INDEX(AllCollegeAAHGR, MATCH(N328,AllCollegeNCES,0))),ROUND(INDEX(AllCollegeAAHGR, MATCH(N328,AllCollegeNCES,0))+W328*IF(INDEX(AllCollegeAAHGR, MATCH(N328,AllCollegeNCES,0))&gt;0.7,(1-INDEX(AllCollegeAAHGR, MATCH(N328,AllCollegeNCES,0)))/2,0.15),2),INDEX(AllCollegeAAHGR, MATCH(N328,AllCollegeNCES,0)))</f>
        <v>0</v>
      </c>
      <c r="Z328">
        <f>IF(OR(T328="H",T328="B"),INDEX(AllCollegeACT25, MATCH(N328,AllCollegeNCES,0)),INDEX(AllCollegeACT50, MATCH(N328,AllCollegeNCES,0)))</f>
        <v>0</v>
      </c>
      <c r="AA328">
        <f>INDEX(CustomWeightsGPA,MATCH(T328&amp;":"&amp;N328,CustomWeightsIndex,0))</f>
        <v>0</v>
      </c>
      <c r="AB328">
        <f>INDEX(CustomWeightsACT,MATCH(T328&amp;":"&amp;N328,CustomWeightsIndex,0))</f>
        <v>0</v>
      </c>
      <c r="AC328">
        <f>INDEX(CustomWeightsIntercept,MATCH(T328&amp;":"&amp;N328,CustomWeightsIndex,0))</f>
        <v>0</v>
      </c>
      <c r="AD328">
        <f>AA328*P328+AB328*Q328+AC328</f>
        <v>0</v>
      </c>
      <c r="AE328">
        <f>INDEX(CoefficientsGPA,MATCH(T328&amp;":"&amp;O328,CoefficientsIndex,0))</f>
        <v>0</v>
      </c>
      <c r="AF328">
        <f>INDEX(CoefficientsACT,MATCH(T328&amp;":"&amp;O328,CoefficientsIndex,0))</f>
        <v>0</v>
      </c>
      <c r="AG328">
        <f>INDEX(CoefficientsIntercept,MATCH(T328&amp;":"&amp;O328,CoefficientsIndex,0))</f>
        <v>0</v>
      </c>
      <c r="AH328">
        <f>AE328*P328+(Q328-Z328)*AF328+AG328</f>
        <v>0</v>
      </c>
      <c r="AI328">
        <f>IF(ISNUMBER(AD328),AD328,AH328)</f>
        <v>0</v>
      </c>
      <c r="AJ328">
        <f>IF(ISNUMBER(AI328),IF(ISNUMBER(AE328),IF(AND(AE328=1,AF328=1,AG328=1),100,ROUND(100*EXP(AI328)/(1+EXP(AI328)),2)),ROUND(100*EXP(AI328)/(1+EXP(AI328)),2)),IF(ISTEXT(O328),IF(LEFT(O328,1)="2",100,"N/A"),"N/A"))</f>
        <v>0</v>
      </c>
      <c r="AK328">
        <f>IF(ISNUMBER(AJ328),IF(AJ328&gt;=99,IF(OR(R328=10,R328=11),MatchLabel,SureThingLabel),IF(AJ328&gt;=95,SecureLabel,IF(AJ328&gt;=80,SafetyLabel,IF(AJ328&gt;=50,MatchLabel,IF(AJ328&gt;=20,ReachLabel,IF(AJ328&gt;=10,LongshotLabel,HailMaryLabel)))))),"Other")</f>
        <v>0</v>
      </c>
      <c r="AL328">
        <f>IF(OR(I328="accepted",I328="cond. accept",I328="summer admit"),IF(J328="yes","CHOICE!","Accepted!"),IF(I328="denied","Denied",IF(K328=1,"Waitlist",IF(L328=1,"Deferred",IF(G328="pending","Pending",IF(OR(G328="initial materials submitted",G328="mid-year submitted",G328="final submitted"),"Submitted",IF(H328="interest","Interest","?")))))))</f>
        <v>0</v>
      </c>
      <c r="AM328">
        <f>IF(OR(AK328=ReachLabel,AK328=LongshotLabel,AK328=HailMaryLabel),1,0)</f>
        <v>0</v>
      </c>
      <c r="AN328">
        <f>IF(OR(AM328=1,AK328=MatchLabel),1,0)</f>
        <v>0</v>
      </c>
      <c r="AO328">
        <f>IF(OR(AK328=MatchLabel,AK328=SafetyLabel,AK328=SecureLabel,AK328=SureThingLabel),1,0)</f>
        <v>0</v>
      </c>
      <c r="AP328">
        <f>IF(OR(T328="H",T328="B"),IF(ISNUMBER(Y328),ROUND(Y328,2),0),IF(ISNUMBER(X328),ROUND(X328,2),0))</f>
        <v>0</v>
      </c>
      <c r="AQ328">
        <f>IF(AP328&gt;=U328,1,0)</f>
        <v>0</v>
      </c>
      <c r="AR328">
        <f>IF(AP328&gt;=V328,1,0)</f>
        <v>0</v>
      </c>
      <c r="AS328">
        <f>IF(AP328&lt;(U328-0.10),1,0)</f>
        <v>0</v>
      </c>
      <c r="AT328">
        <f>1-AJ328/100</f>
        <v>0</v>
      </c>
      <c r="AU328">
        <f>IF(AN328=1,AT328,1)</f>
        <v>0</v>
      </c>
      <c r="AV328">
        <f>IF(AM328=1,AT328,1)</f>
        <v>0</v>
      </c>
      <c r="AW328">
        <f>IF(AND(AQ328=1,ISNUMBER(AT328)),$AT328,1)</f>
        <v>0</v>
      </c>
      <c r="AX328">
        <f>IF(AND(AR328=1,ISNUMBER(AT328)),$AT328,1)</f>
        <v>0</v>
      </c>
      <c r="AY328">
        <f>IF(ISNUMBER(Y328),INDEX(AllCollegeMoney, MATCH(N328,AllCollegeNCES,0)),0)</f>
        <v>0</v>
      </c>
      <c r="AZ328">
        <f>IF(AND(AQ328=1,ISNUMBER(AT328),AY328=1),$AT328,1)</f>
        <v>0</v>
      </c>
      <c r="BA328">
        <f>IF(AND(AR328=1,ISNUMBER(AT328),AY328=1),$AT328,1)</f>
        <v>0</v>
      </c>
      <c r="BB328">
        <f>IF(ISNUMBER(Y328),INDEX(AllCollegeILPub, MATCH(N328,AllCollegeNCES,0)),0)</f>
        <v>0</v>
      </c>
      <c r="BC328">
        <f>IF(AK328=ReachLabel,AP328,0)</f>
        <v>0</v>
      </c>
      <c r="BD328">
        <f>IF(AK328=MatchLabel,AP328,0)</f>
        <v>0</v>
      </c>
      <c r="BE328">
        <f>IF(AK328=SafetyLabel,AP328,0)</f>
        <v>0</v>
      </c>
      <c r="BF328">
        <f>IF(AK328=SecureLabel,AP328,0)</f>
        <v>0</v>
      </c>
      <c r="BG328">
        <f>IF(AK328=SureThingLabel,AP328,0)</f>
        <v>0</v>
      </c>
      <c r="BH328">
        <f>MAX(BC328:BG328)</f>
        <v>0</v>
      </c>
      <c r="BI328">
        <f>MAX(BD328:BG328)</f>
        <v>0</v>
      </c>
      <c r="BJ328">
        <f>MAX(BE328:BG328)</f>
        <v>0</v>
      </c>
      <c r="BK328">
        <f>IF(AND(AK328=ReachLabel,AY328=1),AP328,0)</f>
        <v>0</v>
      </c>
      <c r="BL328">
        <f>IF(AND(AK328=MatchLabel,AY328=1),AP328,0)</f>
        <v>0</v>
      </c>
      <c r="BM328">
        <f>IF(AND(AK328=SafetyLabel,AY328=1),AP328,0)</f>
        <v>0</v>
      </c>
      <c r="BN328">
        <f>IF(AND(AK328=SecureLabel,AY328=1),AP328,0)</f>
        <v>0</v>
      </c>
      <c r="BO328">
        <f>IF(AND(AK328=SureThingLabel,AY328=1),AP328,0)</f>
        <v>0</v>
      </c>
      <c r="BP328">
        <f>MAX(BK328:BO328)</f>
        <v>0</v>
      </c>
      <c r="BQ328">
        <f>MAX(BL328:BO328)</f>
        <v>0</v>
      </c>
      <c r="BR328">
        <f>MAX(BM328:BO328)</f>
        <v>0</v>
      </c>
      <c r="BS328">
        <f>IF(ISNUMBER(Y328),INDEX(AllCollegeChicago, MATCH(N328,AllCollegeNCES,0))*AY328,0)</f>
        <v>0</v>
      </c>
      <c r="BT328">
        <f>IF(ISNUMBER(Y328),INDEX(AllCollegeMoneyCode, MATCH(N328,AllCollegeNCES,0)),"?")</f>
        <v>0</v>
      </c>
      <c r="BU328">
        <f>IF(OR(BT328="---",BT328="--",BT328="+/--",BT328="+/---"),1,0)</f>
        <v>0</v>
      </c>
      <c r="BV328">
        <f>AY328*AO328*AQ328</f>
        <v>0</v>
      </c>
    </row>
    <row r="329" spans="1:74">
      <c r="A329" t="s">
        <v>86</v>
      </c>
      <c r="B329">
        <v>23152737</v>
      </c>
      <c r="C329" t="s">
        <v>206</v>
      </c>
      <c r="D329" t="s">
        <v>207</v>
      </c>
      <c r="E329" t="s">
        <v>428</v>
      </c>
      <c r="F329" t="s">
        <v>447</v>
      </c>
      <c r="G329" t="s">
        <v>430</v>
      </c>
      <c r="H329" t="s">
        <v>431</v>
      </c>
      <c r="I329" t="s">
        <v>432</v>
      </c>
      <c r="J329" t="s">
        <v>432</v>
      </c>
      <c r="K329">
        <v>0</v>
      </c>
      <c r="L329" t="s">
        <v>428</v>
      </c>
      <c r="M329" t="s">
        <v>428</v>
      </c>
      <c r="N329">
        <v>145600</v>
      </c>
      <c r="O329">
        <f>INDEX(AllCollegeBarrons,MATCH(N329,AllCollegeNCES,0))</f>
        <v>0</v>
      </c>
      <c r="P329">
        <f>INDEX(KidGPAs,MATCH(B329,KidIDs,0))</f>
        <v>0</v>
      </c>
      <c r="Q329">
        <f>INDEX(KidACTs,MATCH(B329,KidIDs,0))</f>
        <v>0</v>
      </c>
      <c r="R329">
        <f>INDEX(Strats,MATCH(B329,KidIDs,0))</f>
        <v>0</v>
      </c>
      <c r="S329">
        <f>INDEX(KidRace,MATCH(B329,KidIDs,0))</f>
        <v>0</v>
      </c>
      <c r="T329">
        <f>IF(OR(S329="M",S329="I"),"H",S329)</f>
        <v>0</v>
      </c>
      <c r="U329">
        <f>INDEX(StudentTargets,MATCH(B329,KidIDs,0))</f>
        <v>0</v>
      </c>
      <c r="V329">
        <f>INDEX(ReachStudentTargets,MATCH(B329,KidIDs,0))</f>
        <v>0</v>
      </c>
      <c r="W329">
        <f>IF(OR(M329="Posse"),1,0)</f>
        <v>0</v>
      </c>
      <c r="X329">
        <f>IF(ISNUMBER(INDEX(AllCollegeGR, MATCH(N329,AllCollegeNCES,0))),ROUND(INDEX(AllCollegeGR, MATCH(N329,AllCollegeNCES,0))+W329*IF(INDEX(AllCollegeGR, MATCH(N329,AllCollegeNCES,0))&gt;0.7,(1-INDEX(AllCollegeGR, MATCH(N329,AllCollegeNCES,0)))/2,0.15),2),INDEX(AllCollegeGR, MATCH(N329,AllCollegeNCES,0)))</f>
        <v>0</v>
      </c>
      <c r="Y329">
        <f>IF(ISNUMBER(INDEX(AllCollegeAAHGR, MATCH(N329,AllCollegeNCES,0))),ROUND(INDEX(AllCollegeAAHGR, MATCH(N329,AllCollegeNCES,0))+W329*IF(INDEX(AllCollegeAAHGR, MATCH(N329,AllCollegeNCES,0))&gt;0.7,(1-INDEX(AllCollegeAAHGR, MATCH(N329,AllCollegeNCES,0)))/2,0.15),2),INDEX(AllCollegeAAHGR, MATCH(N329,AllCollegeNCES,0)))</f>
        <v>0</v>
      </c>
      <c r="Z329">
        <f>IF(OR(T329="H",T329="B"),INDEX(AllCollegeACT25, MATCH(N329,AllCollegeNCES,0)),INDEX(AllCollegeACT50, MATCH(N329,AllCollegeNCES,0)))</f>
        <v>0</v>
      </c>
      <c r="AA329">
        <f>INDEX(CustomWeightsGPA,MATCH(T329&amp;":"&amp;N329,CustomWeightsIndex,0))</f>
        <v>0</v>
      </c>
      <c r="AB329">
        <f>INDEX(CustomWeightsACT,MATCH(T329&amp;":"&amp;N329,CustomWeightsIndex,0))</f>
        <v>0</v>
      </c>
      <c r="AC329">
        <f>INDEX(CustomWeightsIntercept,MATCH(T329&amp;":"&amp;N329,CustomWeightsIndex,0))</f>
        <v>0</v>
      </c>
      <c r="AD329">
        <f>AA329*P329+AB329*Q329+AC329</f>
        <v>0</v>
      </c>
      <c r="AE329">
        <f>INDEX(CoefficientsGPA,MATCH(T329&amp;":"&amp;O329,CoefficientsIndex,0))</f>
        <v>0</v>
      </c>
      <c r="AF329">
        <f>INDEX(CoefficientsACT,MATCH(T329&amp;":"&amp;O329,CoefficientsIndex,0))</f>
        <v>0</v>
      </c>
      <c r="AG329">
        <f>INDEX(CoefficientsIntercept,MATCH(T329&amp;":"&amp;O329,CoefficientsIndex,0))</f>
        <v>0</v>
      </c>
      <c r="AH329">
        <f>AE329*P329+(Q329-Z329)*AF329+AG329</f>
        <v>0</v>
      </c>
      <c r="AI329">
        <f>IF(ISNUMBER(AD329),AD329,AH329)</f>
        <v>0</v>
      </c>
      <c r="AJ329">
        <f>IF(ISNUMBER(AI329),IF(ISNUMBER(AE329),IF(AND(AE329=1,AF329=1,AG329=1),100,ROUND(100*EXP(AI329)/(1+EXP(AI329)),2)),ROUND(100*EXP(AI329)/(1+EXP(AI329)),2)),IF(ISTEXT(O329),IF(LEFT(O329,1)="2",100,"N/A"),"N/A"))</f>
        <v>0</v>
      </c>
      <c r="AK329">
        <f>IF(ISNUMBER(AJ329),IF(AJ329&gt;=99,IF(OR(R329=10,R329=11),MatchLabel,SureThingLabel),IF(AJ329&gt;=95,SecureLabel,IF(AJ329&gt;=80,SafetyLabel,IF(AJ329&gt;=50,MatchLabel,IF(AJ329&gt;=20,ReachLabel,IF(AJ329&gt;=10,LongshotLabel,HailMaryLabel)))))),"Other")</f>
        <v>0</v>
      </c>
      <c r="AL329">
        <f>IF(OR(I329="accepted",I329="cond. accept",I329="summer admit"),IF(J329="yes","CHOICE!","Accepted!"),IF(I329="denied","Denied",IF(K329=1,"Waitlist",IF(L329=1,"Deferred",IF(G329="pending","Pending",IF(OR(G329="initial materials submitted",G329="mid-year submitted",G329="final submitted"),"Submitted",IF(H329="interest","Interest","?")))))))</f>
        <v>0</v>
      </c>
      <c r="AM329">
        <f>IF(OR(AK329=ReachLabel,AK329=LongshotLabel,AK329=HailMaryLabel),1,0)</f>
        <v>0</v>
      </c>
      <c r="AN329">
        <f>IF(OR(AM329=1,AK329=MatchLabel),1,0)</f>
        <v>0</v>
      </c>
      <c r="AO329">
        <f>IF(OR(AK329=MatchLabel,AK329=SafetyLabel,AK329=SecureLabel,AK329=SureThingLabel),1,0)</f>
        <v>0</v>
      </c>
      <c r="AP329">
        <f>IF(OR(T329="H",T329="B"),IF(ISNUMBER(Y329),ROUND(Y329,2),0),IF(ISNUMBER(X329),ROUND(X329,2),0))</f>
        <v>0</v>
      </c>
      <c r="AQ329">
        <f>IF(AP329&gt;=U329,1,0)</f>
        <v>0</v>
      </c>
      <c r="AR329">
        <f>IF(AP329&gt;=V329,1,0)</f>
        <v>0</v>
      </c>
      <c r="AS329">
        <f>IF(AP329&lt;(U329-0.10),1,0)</f>
        <v>0</v>
      </c>
      <c r="AT329">
        <f>1-AJ329/100</f>
        <v>0</v>
      </c>
      <c r="AU329">
        <f>IF(AN329=1,AT329,1)</f>
        <v>0</v>
      </c>
      <c r="AV329">
        <f>IF(AM329=1,AT329,1)</f>
        <v>0</v>
      </c>
      <c r="AW329">
        <f>IF(AND(AQ329=1,ISNUMBER(AT329)),$AT329,1)</f>
        <v>0</v>
      </c>
      <c r="AX329">
        <f>IF(AND(AR329=1,ISNUMBER(AT329)),$AT329,1)</f>
        <v>0</v>
      </c>
      <c r="AY329">
        <f>IF(ISNUMBER(Y329),INDEX(AllCollegeMoney, MATCH(N329,AllCollegeNCES,0)),0)</f>
        <v>0</v>
      </c>
      <c r="AZ329">
        <f>IF(AND(AQ329=1,ISNUMBER(AT329),AY329=1),$AT329,1)</f>
        <v>0</v>
      </c>
      <c r="BA329">
        <f>IF(AND(AR329=1,ISNUMBER(AT329),AY329=1),$AT329,1)</f>
        <v>0</v>
      </c>
      <c r="BB329">
        <f>IF(ISNUMBER(Y329),INDEX(AllCollegeILPub, MATCH(N329,AllCollegeNCES,0)),0)</f>
        <v>0</v>
      </c>
      <c r="BC329">
        <f>IF(AK329=ReachLabel,AP329,0)</f>
        <v>0</v>
      </c>
      <c r="BD329">
        <f>IF(AK329=MatchLabel,AP329,0)</f>
        <v>0</v>
      </c>
      <c r="BE329">
        <f>IF(AK329=SafetyLabel,AP329,0)</f>
        <v>0</v>
      </c>
      <c r="BF329">
        <f>IF(AK329=SecureLabel,AP329,0)</f>
        <v>0</v>
      </c>
      <c r="BG329">
        <f>IF(AK329=SureThingLabel,AP329,0)</f>
        <v>0</v>
      </c>
      <c r="BH329">
        <f>MAX(BC329:BG329)</f>
        <v>0</v>
      </c>
      <c r="BI329">
        <f>MAX(BD329:BG329)</f>
        <v>0</v>
      </c>
      <c r="BJ329">
        <f>MAX(BE329:BG329)</f>
        <v>0</v>
      </c>
      <c r="BK329">
        <f>IF(AND(AK329=ReachLabel,AY329=1),AP329,0)</f>
        <v>0</v>
      </c>
      <c r="BL329">
        <f>IF(AND(AK329=MatchLabel,AY329=1),AP329,0)</f>
        <v>0</v>
      </c>
      <c r="BM329">
        <f>IF(AND(AK329=SafetyLabel,AY329=1),AP329,0)</f>
        <v>0</v>
      </c>
      <c r="BN329">
        <f>IF(AND(AK329=SecureLabel,AY329=1),AP329,0)</f>
        <v>0</v>
      </c>
      <c r="BO329">
        <f>IF(AND(AK329=SureThingLabel,AY329=1),AP329,0)</f>
        <v>0</v>
      </c>
      <c r="BP329">
        <f>MAX(BK329:BO329)</f>
        <v>0</v>
      </c>
      <c r="BQ329">
        <f>MAX(BL329:BO329)</f>
        <v>0</v>
      </c>
      <c r="BR329">
        <f>MAX(BM329:BO329)</f>
        <v>0</v>
      </c>
      <c r="BS329">
        <f>IF(ISNUMBER(Y329),INDEX(AllCollegeChicago, MATCH(N329,AllCollegeNCES,0))*AY329,0)</f>
        <v>0</v>
      </c>
      <c r="BT329">
        <f>IF(ISNUMBER(Y329),INDEX(AllCollegeMoneyCode, MATCH(N329,AllCollegeNCES,0)),"?")</f>
        <v>0</v>
      </c>
      <c r="BU329">
        <f>IF(OR(BT329="---",BT329="--",BT329="+/--",BT329="+/---"),1,0)</f>
        <v>0</v>
      </c>
      <c r="BV329">
        <f>AY329*AO329*AQ329</f>
        <v>0</v>
      </c>
    </row>
    <row r="330" spans="1:74">
      <c r="A330" t="s">
        <v>86</v>
      </c>
      <c r="B330">
        <v>23152737</v>
      </c>
      <c r="C330" t="s">
        <v>206</v>
      </c>
      <c r="D330" t="s">
        <v>207</v>
      </c>
      <c r="E330" t="s">
        <v>428</v>
      </c>
      <c r="F330" t="s">
        <v>435</v>
      </c>
      <c r="G330" t="s">
        <v>430</v>
      </c>
      <c r="H330" t="s">
        <v>431</v>
      </c>
      <c r="I330" t="s">
        <v>432</v>
      </c>
      <c r="J330" t="s">
        <v>432</v>
      </c>
      <c r="K330">
        <v>0</v>
      </c>
      <c r="L330" t="s">
        <v>428</v>
      </c>
      <c r="M330" t="s">
        <v>428</v>
      </c>
      <c r="N330">
        <v>144892</v>
      </c>
      <c r="O330">
        <f>INDEX(AllCollegeBarrons,MATCH(N330,AllCollegeNCES,0))</f>
        <v>0</v>
      </c>
      <c r="P330">
        <f>INDEX(KidGPAs,MATCH(B330,KidIDs,0))</f>
        <v>0</v>
      </c>
      <c r="Q330">
        <f>INDEX(KidACTs,MATCH(B330,KidIDs,0))</f>
        <v>0</v>
      </c>
      <c r="R330">
        <f>INDEX(Strats,MATCH(B330,KidIDs,0))</f>
        <v>0</v>
      </c>
      <c r="S330">
        <f>INDEX(KidRace,MATCH(B330,KidIDs,0))</f>
        <v>0</v>
      </c>
      <c r="T330">
        <f>IF(OR(S330="M",S330="I"),"H",S330)</f>
        <v>0</v>
      </c>
      <c r="U330">
        <f>INDEX(StudentTargets,MATCH(B330,KidIDs,0))</f>
        <v>0</v>
      </c>
      <c r="V330">
        <f>INDEX(ReachStudentTargets,MATCH(B330,KidIDs,0))</f>
        <v>0</v>
      </c>
      <c r="W330">
        <f>IF(OR(M330="Posse"),1,0)</f>
        <v>0</v>
      </c>
      <c r="X330">
        <f>IF(ISNUMBER(INDEX(AllCollegeGR, MATCH(N330,AllCollegeNCES,0))),ROUND(INDEX(AllCollegeGR, MATCH(N330,AllCollegeNCES,0))+W330*IF(INDEX(AllCollegeGR, MATCH(N330,AllCollegeNCES,0))&gt;0.7,(1-INDEX(AllCollegeGR, MATCH(N330,AllCollegeNCES,0)))/2,0.15),2),INDEX(AllCollegeGR, MATCH(N330,AllCollegeNCES,0)))</f>
        <v>0</v>
      </c>
      <c r="Y330">
        <f>IF(ISNUMBER(INDEX(AllCollegeAAHGR, MATCH(N330,AllCollegeNCES,0))),ROUND(INDEX(AllCollegeAAHGR, MATCH(N330,AllCollegeNCES,0))+W330*IF(INDEX(AllCollegeAAHGR, MATCH(N330,AllCollegeNCES,0))&gt;0.7,(1-INDEX(AllCollegeAAHGR, MATCH(N330,AllCollegeNCES,0)))/2,0.15),2),INDEX(AllCollegeAAHGR, MATCH(N330,AllCollegeNCES,0)))</f>
        <v>0</v>
      </c>
      <c r="Z330">
        <f>IF(OR(T330="H",T330="B"),INDEX(AllCollegeACT25, MATCH(N330,AllCollegeNCES,0)),INDEX(AllCollegeACT50, MATCH(N330,AllCollegeNCES,0)))</f>
        <v>0</v>
      </c>
      <c r="AA330">
        <f>INDEX(CustomWeightsGPA,MATCH(T330&amp;":"&amp;N330,CustomWeightsIndex,0))</f>
        <v>0</v>
      </c>
      <c r="AB330">
        <f>INDEX(CustomWeightsACT,MATCH(T330&amp;":"&amp;N330,CustomWeightsIndex,0))</f>
        <v>0</v>
      </c>
      <c r="AC330">
        <f>INDEX(CustomWeightsIntercept,MATCH(T330&amp;":"&amp;N330,CustomWeightsIndex,0))</f>
        <v>0</v>
      </c>
      <c r="AD330">
        <f>AA330*P330+AB330*Q330+AC330</f>
        <v>0</v>
      </c>
      <c r="AE330">
        <f>INDEX(CoefficientsGPA,MATCH(T330&amp;":"&amp;O330,CoefficientsIndex,0))</f>
        <v>0</v>
      </c>
      <c r="AF330">
        <f>INDEX(CoefficientsACT,MATCH(T330&amp;":"&amp;O330,CoefficientsIndex,0))</f>
        <v>0</v>
      </c>
      <c r="AG330">
        <f>INDEX(CoefficientsIntercept,MATCH(T330&amp;":"&amp;O330,CoefficientsIndex,0))</f>
        <v>0</v>
      </c>
      <c r="AH330">
        <f>AE330*P330+(Q330-Z330)*AF330+AG330</f>
        <v>0</v>
      </c>
      <c r="AI330">
        <f>IF(ISNUMBER(AD330),AD330,AH330)</f>
        <v>0</v>
      </c>
      <c r="AJ330">
        <f>IF(ISNUMBER(AI330),IF(ISNUMBER(AE330),IF(AND(AE330=1,AF330=1,AG330=1),100,ROUND(100*EXP(AI330)/(1+EXP(AI330)),2)),ROUND(100*EXP(AI330)/(1+EXP(AI330)),2)),IF(ISTEXT(O330),IF(LEFT(O330,1)="2",100,"N/A"),"N/A"))</f>
        <v>0</v>
      </c>
      <c r="AK330">
        <f>IF(ISNUMBER(AJ330),IF(AJ330&gt;=99,IF(OR(R330=10,R330=11),MatchLabel,SureThingLabel),IF(AJ330&gt;=95,SecureLabel,IF(AJ330&gt;=80,SafetyLabel,IF(AJ330&gt;=50,MatchLabel,IF(AJ330&gt;=20,ReachLabel,IF(AJ330&gt;=10,LongshotLabel,HailMaryLabel)))))),"Other")</f>
        <v>0</v>
      </c>
      <c r="AL330">
        <f>IF(OR(I330="accepted",I330="cond. accept",I330="summer admit"),IF(J330="yes","CHOICE!","Accepted!"),IF(I330="denied","Denied",IF(K330=1,"Waitlist",IF(L330=1,"Deferred",IF(G330="pending","Pending",IF(OR(G330="initial materials submitted",G330="mid-year submitted",G330="final submitted"),"Submitted",IF(H330="interest","Interest","?")))))))</f>
        <v>0</v>
      </c>
      <c r="AM330">
        <f>IF(OR(AK330=ReachLabel,AK330=LongshotLabel,AK330=HailMaryLabel),1,0)</f>
        <v>0</v>
      </c>
      <c r="AN330">
        <f>IF(OR(AM330=1,AK330=MatchLabel),1,0)</f>
        <v>0</v>
      </c>
      <c r="AO330">
        <f>IF(OR(AK330=MatchLabel,AK330=SafetyLabel,AK330=SecureLabel,AK330=SureThingLabel),1,0)</f>
        <v>0</v>
      </c>
      <c r="AP330">
        <f>IF(OR(T330="H",T330="B"),IF(ISNUMBER(Y330),ROUND(Y330,2),0),IF(ISNUMBER(X330),ROUND(X330,2),0))</f>
        <v>0</v>
      </c>
      <c r="AQ330">
        <f>IF(AP330&gt;=U330,1,0)</f>
        <v>0</v>
      </c>
      <c r="AR330">
        <f>IF(AP330&gt;=V330,1,0)</f>
        <v>0</v>
      </c>
      <c r="AS330">
        <f>IF(AP330&lt;(U330-0.10),1,0)</f>
        <v>0</v>
      </c>
      <c r="AT330">
        <f>1-AJ330/100</f>
        <v>0</v>
      </c>
      <c r="AU330">
        <f>IF(AN330=1,AT330,1)</f>
        <v>0</v>
      </c>
      <c r="AV330">
        <f>IF(AM330=1,AT330,1)</f>
        <v>0</v>
      </c>
      <c r="AW330">
        <f>IF(AND(AQ330=1,ISNUMBER(AT330)),$AT330,1)</f>
        <v>0</v>
      </c>
      <c r="AX330">
        <f>IF(AND(AR330=1,ISNUMBER(AT330)),$AT330,1)</f>
        <v>0</v>
      </c>
      <c r="AY330">
        <f>IF(ISNUMBER(Y330),INDEX(AllCollegeMoney, MATCH(N330,AllCollegeNCES,0)),0)</f>
        <v>0</v>
      </c>
      <c r="AZ330">
        <f>IF(AND(AQ330=1,ISNUMBER(AT330),AY330=1),$AT330,1)</f>
        <v>0</v>
      </c>
      <c r="BA330">
        <f>IF(AND(AR330=1,ISNUMBER(AT330),AY330=1),$AT330,1)</f>
        <v>0</v>
      </c>
      <c r="BB330">
        <f>IF(ISNUMBER(Y330),INDEX(AllCollegeILPub, MATCH(N330,AllCollegeNCES,0)),0)</f>
        <v>0</v>
      </c>
      <c r="BC330">
        <f>IF(AK330=ReachLabel,AP330,0)</f>
        <v>0</v>
      </c>
      <c r="BD330">
        <f>IF(AK330=MatchLabel,AP330,0)</f>
        <v>0</v>
      </c>
      <c r="BE330">
        <f>IF(AK330=SafetyLabel,AP330,0)</f>
        <v>0</v>
      </c>
      <c r="BF330">
        <f>IF(AK330=SecureLabel,AP330,0)</f>
        <v>0</v>
      </c>
      <c r="BG330">
        <f>IF(AK330=SureThingLabel,AP330,0)</f>
        <v>0</v>
      </c>
      <c r="BH330">
        <f>MAX(BC330:BG330)</f>
        <v>0</v>
      </c>
      <c r="BI330">
        <f>MAX(BD330:BG330)</f>
        <v>0</v>
      </c>
      <c r="BJ330">
        <f>MAX(BE330:BG330)</f>
        <v>0</v>
      </c>
      <c r="BK330">
        <f>IF(AND(AK330=ReachLabel,AY330=1),AP330,0)</f>
        <v>0</v>
      </c>
      <c r="BL330">
        <f>IF(AND(AK330=MatchLabel,AY330=1),AP330,0)</f>
        <v>0</v>
      </c>
      <c r="BM330">
        <f>IF(AND(AK330=SafetyLabel,AY330=1),AP330,0)</f>
        <v>0</v>
      </c>
      <c r="BN330">
        <f>IF(AND(AK330=SecureLabel,AY330=1),AP330,0)</f>
        <v>0</v>
      </c>
      <c r="BO330">
        <f>IF(AND(AK330=SureThingLabel,AY330=1),AP330,0)</f>
        <v>0</v>
      </c>
      <c r="BP330">
        <f>MAX(BK330:BO330)</f>
        <v>0</v>
      </c>
      <c r="BQ330">
        <f>MAX(BL330:BO330)</f>
        <v>0</v>
      </c>
      <c r="BR330">
        <f>MAX(BM330:BO330)</f>
        <v>0</v>
      </c>
      <c r="BS330">
        <f>IF(ISNUMBER(Y330),INDEX(AllCollegeChicago, MATCH(N330,AllCollegeNCES,0))*AY330,0)</f>
        <v>0</v>
      </c>
      <c r="BT330">
        <f>IF(ISNUMBER(Y330),INDEX(AllCollegeMoneyCode, MATCH(N330,AllCollegeNCES,0)),"?")</f>
        <v>0</v>
      </c>
      <c r="BU330">
        <f>IF(OR(BT330="---",BT330="--",BT330="+/--",BT330="+/---"),1,0)</f>
        <v>0</v>
      </c>
      <c r="BV330">
        <f>AY330*AO330*AQ330</f>
        <v>0</v>
      </c>
    </row>
    <row r="331" spans="1:74">
      <c r="A331" t="s">
        <v>86</v>
      </c>
      <c r="B331">
        <v>23152737</v>
      </c>
      <c r="C331" t="s">
        <v>206</v>
      </c>
      <c r="D331" t="s">
        <v>207</v>
      </c>
      <c r="E331" t="s">
        <v>428</v>
      </c>
      <c r="F331" t="s">
        <v>437</v>
      </c>
      <c r="G331" t="s">
        <v>430</v>
      </c>
      <c r="H331" t="s">
        <v>431</v>
      </c>
      <c r="I331" t="s">
        <v>432</v>
      </c>
      <c r="J331" t="s">
        <v>432</v>
      </c>
      <c r="K331">
        <v>0</v>
      </c>
      <c r="L331" t="s">
        <v>428</v>
      </c>
      <c r="M331" t="s">
        <v>428</v>
      </c>
      <c r="N331">
        <v>149772</v>
      </c>
      <c r="O331">
        <f>INDEX(AllCollegeBarrons,MATCH(N331,AllCollegeNCES,0))</f>
        <v>0</v>
      </c>
      <c r="P331">
        <f>INDEX(KidGPAs,MATCH(B331,KidIDs,0))</f>
        <v>0</v>
      </c>
      <c r="Q331">
        <f>INDEX(KidACTs,MATCH(B331,KidIDs,0))</f>
        <v>0</v>
      </c>
      <c r="R331">
        <f>INDEX(Strats,MATCH(B331,KidIDs,0))</f>
        <v>0</v>
      </c>
      <c r="S331">
        <f>INDEX(KidRace,MATCH(B331,KidIDs,0))</f>
        <v>0</v>
      </c>
      <c r="T331">
        <f>IF(OR(S331="M",S331="I"),"H",S331)</f>
        <v>0</v>
      </c>
      <c r="U331">
        <f>INDEX(StudentTargets,MATCH(B331,KidIDs,0))</f>
        <v>0</v>
      </c>
      <c r="V331">
        <f>INDEX(ReachStudentTargets,MATCH(B331,KidIDs,0))</f>
        <v>0</v>
      </c>
      <c r="W331">
        <f>IF(OR(M331="Posse"),1,0)</f>
        <v>0</v>
      </c>
      <c r="X331">
        <f>IF(ISNUMBER(INDEX(AllCollegeGR, MATCH(N331,AllCollegeNCES,0))),ROUND(INDEX(AllCollegeGR, MATCH(N331,AllCollegeNCES,0))+W331*IF(INDEX(AllCollegeGR, MATCH(N331,AllCollegeNCES,0))&gt;0.7,(1-INDEX(AllCollegeGR, MATCH(N331,AllCollegeNCES,0)))/2,0.15),2),INDEX(AllCollegeGR, MATCH(N331,AllCollegeNCES,0)))</f>
        <v>0</v>
      </c>
      <c r="Y331">
        <f>IF(ISNUMBER(INDEX(AllCollegeAAHGR, MATCH(N331,AllCollegeNCES,0))),ROUND(INDEX(AllCollegeAAHGR, MATCH(N331,AllCollegeNCES,0))+W331*IF(INDEX(AllCollegeAAHGR, MATCH(N331,AllCollegeNCES,0))&gt;0.7,(1-INDEX(AllCollegeAAHGR, MATCH(N331,AllCollegeNCES,0)))/2,0.15),2),INDEX(AllCollegeAAHGR, MATCH(N331,AllCollegeNCES,0)))</f>
        <v>0</v>
      </c>
      <c r="Z331">
        <f>IF(OR(T331="H",T331="B"),INDEX(AllCollegeACT25, MATCH(N331,AllCollegeNCES,0)),INDEX(AllCollegeACT50, MATCH(N331,AllCollegeNCES,0)))</f>
        <v>0</v>
      </c>
      <c r="AA331">
        <f>INDEX(CustomWeightsGPA,MATCH(T331&amp;":"&amp;N331,CustomWeightsIndex,0))</f>
        <v>0</v>
      </c>
      <c r="AB331">
        <f>INDEX(CustomWeightsACT,MATCH(T331&amp;":"&amp;N331,CustomWeightsIndex,0))</f>
        <v>0</v>
      </c>
      <c r="AC331">
        <f>INDEX(CustomWeightsIntercept,MATCH(T331&amp;":"&amp;N331,CustomWeightsIndex,0))</f>
        <v>0</v>
      </c>
      <c r="AD331">
        <f>AA331*P331+AB331*Q331+AC331</f>
        <v>0</v>
      </c>
      <c r="AE331">
        <f>INDEX(CoefficientsGPA,MATCH(T331&amp;":"&amp;O331,CoefficientsIndex,0))</f>
        <v>0</v>
      </c>
      <c r="AF331">
        <f>INDEX(CoefficientsACT,MATCH(T331&amp;":"&amp;O331,CoefficientsIndex,0))</f>
        <v>0</v>
      </c>
      <c r="AG331">
        <f>INDEX(CoefficientsIntercept,MATCH(T331&amp;":"&amp;O331,CoefficientsIndex,0))</f>
        <v>0</v>
      </c>
      <c r="AH331">
        <f>AE331*P331+(Q331-Z331)*AF331+AG331</f>
        <v>0</v>
      </c>
      <c r="AI331">
        <f>IF(ISNUMBER(AD331),AD331,AH331)</f>
        <v>0</v>
      </c>
      <c r="AJ331">
        <f>IF(ISNUMBER(AI331),IF(ISNUMBER(AE331),IF(AND(AE331=1,AF331=1,AG331=1),100,ROUND(100*EXP(AI331)/(1+EXP(AI331)),2)),ROUND(100*EXP(AI331)/(1+EXP(AI331)),2)),IF(ISTEXT(O331),IF(LEFT(O331,1)="2",100,"N/A"),"N/A"))</f>
        <v>0</v>
      </c>
      <c r="AK331">
        <f>IF(ISNUMBER(AJ331),IF(AJ331&gt;=99,IF(OR(R331=10,R331=11),MatchLabel,SureThingLabel),IF(AJ331&gt;=95,SecureLabel,IF(AJ331&gt;=80,SafetyLabel,IF(AJ331&gt;=50,MatchLabel,IF(AJ331&gt;=20,ReachLabel,IF(AJ331&gt;=10,LongshotLabel,HailMaryLabel)))))),"Other")</f>
        <v>0</v>
      </c>
      <c r="AL331">
        <f>IF(OR(I331="accepted",I331="cond. accept",I331="summer admit"),IF(J331="yes","CHOICE!","Accepted!"),IF(I331="denied","Denied",IF(K331=1,"Waitlist",IF(L331=1,"Deferred",IF(G331="pending","Pending",IF(OR(G331="initial materials submitted",G331="mid-year submitted",G331="final submitted"),"Submitted",IF(H331="interest","Interest","?")))))))</f>
        <v>0</v>
      </c>
      <c r="AM331">
        <f>IF(OR(AK331=ReachLabel,AK331=LongshotLabel,AK331=HailMaryLabel),1,0)</f>
        <v>0</v>
      </c>
      <c r="AN331">
        <f>IF(OR(AM331=1,AK331=MatchLabel),1,0)</f>
        <v>0</v>
      </c>
      <c r="AO331">
        <f>IF(OR(AK331=MatchLabel,AK331=SafetyLabel,AK331=SecureLabel,AK331=SureThingLabel),1,0)</f>
        <v>0</v>
      </c>
      <c r="AP331">
        <f>IF(OR(T331="H",T331="B"),IF(ISNUMBER(Y331),ROUND(Y331,2),0),IF(ISNUMBER(X331),ROUND(X331,2),0))</f>
        <v>0</v>
      </c>
      <c r="AQ331">
        <f>IF(AP331&gt;=U331,1,0)</f>
        <v>0</v>
      </c>
      <c r="AR331">
        <f>IF(AP331&gt;=V331,1,0)</f>
        <v>0</v>
      </c>
      <c r="AS331">
        <f>IF(AP331&lt;(U331-0.10),1,0)</f>
        <v>0</v>
      </c>
      <c r="AT331">
        <f>1-AJ331/100</f>
        <v>0</v>
      </c>
      <c r="AU331">
        <f>IF(AN331=1,AT331,1)</f>
        <v>0</v>
      </c>
      <c r="AV331">
        <f>IF(AM331=1,AT331,1)</f>
        <v>0</v>
      </c>
      <c r="AW331">
        <f>IF(AND(AQ331=1,ISNUMBER(AT331)),$AT331,1)</f>
        <v>0</v>
      </c>
      <c r="AX331">
        <f>IF(AND(AR331=1,ISNUMBER(AT331)),$AT331,1)</f>
        <v>0</v>
      </c>
      <c r="AY331">
        <f>IF(ISNUMBER(Y331),INDEX(AllCollegeMoney, MATCH(N331,AllCollegeNCES,0)),0)</f>
        <v>0</v>
      </c>
      <c r="AZ331">
        <f>IF(AND(AQ331=1,ISNUMBER(AT331),AY331=1),$AT331,1)</f>
        <v>0</v>
      </c>
      <c r="BA331">
        <f>IF(AND(AR331=1,ISNUMBER(AT331),AY331=1),$AT331,1)</f>
        <v>0</v>
      </c>
      <c r="BB331">
        <f>IF(ISNUMBER(Y331),INDEX(AllCollegeILPub, MATCH(N331,AllCollegeNCES,0)),0)</f>
        <v>0</v>
      </c>
      <c r="BC331">
        <f>IF(AK331=ReachLabel,AP331,0)</f>
        <v>0</v>
      </c>
      <c r="BD331">
        <f>IF(AK331=MatchLabel,AP331,0)</f>
        <v>0</v>
      </c>
      <c r="BE331">
        <f>IF(AK331=SafetyLabel,AP331,0)</f>
        <v>0</v>
      </c>
      <c r="BF331">
        <f>IF(AK331=SecureLabel,AP331,0)</f>
        <v>0</v>
      </c>
      <c r="BG331">
        <f>IF(AK331=SureThingLabel,AP331,0)</f>
        <v>0</v>
      </c>
      <c r="BH331">
        <f>MAX(BC331:BG331)</f>
        <v>0</v>
      </c>
      <c r="BI331">
        <f>MAX(BD331:BG331)</f>
        <v>0</v>
      </c>
      <c r="BJ331">
        <f>MAX(BE331:BG331)</f>
        <v>0</v>
      </c>
      <c r="BK331">
        <f>IF(AND(AK331=ReachLabel,AY331=1),AP331,0)</f>
        <v>0</v>
      </c>
      <c r="BL331">
        <f>IF(AND(AK331=MatchLabel,AY331=1),AP331,0)</f>
        <v>0</v>
      </c>
      <c r="BM331">
        <f>IF(AND(AK331=SafetyLabel,AY331=1),AP331,0)</f>
        <v>0</v>
      </c>
      <c r="BN331">
        <f>IF(AND(AK331=SecureLabel,AY331=1),AP331,0)</f>
        <v>0</v>
      </c>
      <c r="BO331">
        <f>IF(AND(AK331=SureThingLabel,AY331=1),AP331,0)</f>
        <v>0</v>
      </c>
      <c r="BP331">
        <f>MAX(BK331:BO331)</f>
        <v>0</v>
      </c>
      <c r="BQ331">
        <f>MAX(BL331:BO331)</f>
        <v>0</v>
      </c>
      <c r="BR331">
        <f>MAX(BM331:BO331)</f>
        <v>0</v>
      </c>
      <c r="BS331">
        <f>IF(ISNUMBER(Y331),INDEX(AllCollegeChicago, MATCH(N331,AllCollegeNCES,0))*AY331,0)</f>
        <v>0</v>
      </c>
      <c r="BT331">
        <f>IF(ISNUMBER(Y331),INDEX(AllCollegeMoneyCode, MATCH(N331,AllCollegeNCES,0)),"?")</f>
        <v>0</v>
      </c>
      <c r="BU331">
        <f>IF(OR(BT331="---",BT331="--",BT331="+/--",BT331="+/---"),1,0)</f>
        <v>0</v>
      </c>
      <c r="BV331">
        <f>AY331*AO331*AQ331</f>
        <v>0</v>
      </c>
    </row>
    <row r="332" spans="1:74">
      <c r="A332" t="s">
        <v>86</v>
      </c>
      <c r="B332">
        <v>23152737</v>
      </c>
      <c r="C332" t="s">
        <v>206</v>
      </c>
      <c r="D332" t="s">
        <v>207</v>
      </c>
      <c r="E332" t="s">
        <v>428</v>
      </c>
      <c r="F332" t="s">
        <v>490</v>
      </c>
      <c r="G332" t="s">
        <v>430</v>
      </c>
      <c r="H332" t="s">
        <v>431</v>
      </c>
      <c r="I332" t="s">
        <v>432</v>
      </c>
      <c r="J332" t="s">
        <v>432</v>
      </c>
      <c r="K332">
        <v>0</v>
      </c>
      <c r="L332" t="s">
        <v>428</v>
      </c>
      <c r="M332" t="s">
        <v>428</v>
      </c>
      <c r="N332">
        <v>147411</v>
      </c>
      <c r="O332">
        <f>INDEX(AllCollegeBarrons,MATCH(N332,AllCollegeNCES,0))</f>
        <v>0</v>
      </c>
      <c r="P332">
        <f>INDEX(KidGPAs,MATCH(B332,KidIDs,0))</f>
        <v>0</v>
      </c>
      <c r="Q332">
        <f>INDEX(KidACTs,MATCH(B332,KidIDs,0))</f>
        <v>0</v>
      </c>
      <c r="R332">
        <f>INDEX(Strats,MATCH(B332,KidIDs,0))</f>
        <v>0</v>
      </c>
      <c r="S332">
        <f>INDEX(KidRace,MATCH(B332,KidIDs,0))</f>
        <v>0</v>
      </c>
      <c r="T332">
        <f>IF(OR(S332="M",S332="I"),"H",S332)</f>
        <v>0</v>
      </c>
      <c r="U332">
        <f>INDEX(StudentTargets,MATCH(B332,KidIDs,0))</f>
        <v>0</v>
      </c>
      <c r="V332">
        <f>INDEX(ReachStudentTargets,MATCH(B332,KidIDs,0))</f>
        <v>0</v>
      </c>
      <c r="W332">
        <f>IF(OR(M332="Posse"),1,0)</f>
        <v>0</v>
      </c>
      <c r="X332">
        <f>IF(ISNUMBER(INDEX(AllCollegeGR, MATCH(N332,AllCollegeNCES,0))),ROUND(INDEX(AllCollegeGR, MATCH(N332,AllCollegeNCES,0))+W332*IF(INDEX(AllCollegeGR, MATCH(N332,AllCollegeNCES,0))&gt;0.7,(1-INDEX(AllCollegeGR, MATCH(N332,AllCollegeNCES,0)))/2,0.15),2),INDEX(AllCollegeGR, MATCH(N332,AllCollegeNCES,0)))</f>
        <v>0</v>
      </c>
      <c r="Y332">
        <f>IF(ISNUMBER(INDEX(AllCollegeAAHGR, MATCH(N332,AllCollegeNCES,0))),ROUND(INDEX(AllCollegeAAHGR, MATCH(N332,AllCollegeNCES,0))+W332*IF(INDEX(AllCollegeAAHGR, MATCH(N332,AllCollegeNCES,0))&gt;0.7,(1-INDEX(AllCollegeAAHGR, MATCH(N332,AllCollegeNCES,0)))/2,0.15),2),INDEX(AllCollegeAAHGR, MATCH(N332,AllCollegeNCES,0)))</f>
        <v>0</v>
      </c>
      <c r="Z332">
        <f>IF(OR(T332="H",T332="B"),INDEX(AllCollegeACT25, MATCH(N332,AllCollegeNCES,0)),INDEX(AllCollegeACT50, MATCH(N332,AllCollegeNCES,0)))</f>
        <v>0</v>
      </c>
      <c r="AA332">
        <f>INDEX(CustomWeightsGPA,MATCH(T332&amp;":"&amp;N332,CustomWeightsIndex,0))</f>
        <v>0</v>
      </c>
      <c r="AB332">
        <f>INDEX(CustomWeightsACT,MATCH(T332&amp;":"&amp;N332,CustomWeightsIndex,0))</f>
        <v>0</v>
      </c>
      <c r="AC332">
        <f>INDEX(CustomWeightsIntercept,MATCH(T332&amp;":"&amp;N332,CustomWeightsIndex,0))</f>
        <v>0</v>
      </c>
      <c r="AD332">
        <f>AA332*P332+AB332*Q332+AC332</f>
        <v>0</v>
      </c>
      <c r="AE332">
        <f>INDEX(CoefficientsGPA,MATCH(T332&amp;":"&amp;O332,CoefficientsIndex,0))</f>
        <v>0</v>
      </c>
      <c r="AF332">
        <f>INDEX(CoefficientsACT,MATCH(T332&amp;":"&amp;O332,CoefficientsIndex,0))</f>
        <v>0</v>
      </c>
      <c r="AG332">
        <f>INDEX(CoefficientsIntercept,MATCH(T332&amp;":"&amp;O332,CoefficientsIndex,0))</f>
        <v>0</v>
      </c>
      <c r="AH332">
        <f>AE332*P332+(Q332-Z332)*AF332+AG332</f>
        <v>0</v>
      </c>
      <c r="AI332">
        <f>IF(ISNUMBER(AD332),AD332,AH332)</f>
        <v>0</v>
      </c>
      <c r="AJ332">
        <f>IF(ISNUMBER(AI332),IF(ISNUMBER(AE332),IF(AND(AE332=1,AF332=1,AG332=1),100,ROUND(100*EXP(AI332)/(1+EXP(AI332)),2)),ROUND(100*EXP(AI332)/(1+EXP(AI332)),2)),IF(ISTEXT(O332),IF(LEFT(O332,1)="2",100,"N/A"),"N/A"))</f>
        <v>0</v>
      </c>
      <c r="AK332">
        <f>IF(ISNUMBER(AJ332),IF(AJ332&gt;=99,IF(OR(R332=10,R332=11),MatchLabel,SureThingLabel),IF(AJ332&gt;=95,SecureLabel,IF(AJ332&gt;=80,SafetyLabel,IF(AJ332&gt;=50,MatchLabel,IF(AJ332&gt;=20,ReachLabel,IF(AJ332&gt;=10,LongshotLabel,HailMaryLabel)))))),"Other")</f>
        <v>0</v>
      </c>
      <c r="AL332">
        <f>IF(OR(I332="accepted",I332="cond. accept",I332="summer admit"),IF(J332="yes","CHOICE!","Accepted!"),IF(I332="denied","Denied",IF(K332=1,"Waitlist",IF(L332=1,"Deferred",IF(G332="pending","Pending",IF(OR(G332="initial materials submitted",G332="mid-year submitted",G332="final submitted"),"Submitted",IF(H332="interest","Interest","?")))))))</f>
        <v>0</v>
      </c>
      <c r="AM332">
        <f>IF(OR(AK332=ReachLabel,AK332=LongshotLabel,AK332=HailMaryLabel),1,0)</f>
        <v>0</v>
      </c>
      <c r="AN332">
        <f>IF(OR(AM332=1,AK332=MatchLabel),1,0)</f>
        <v>0</v>
      </c>
      <c r="AO332">
        <f>IF(OR(AK332=MatchLabel,AK332=SafetyLabel,AK332=SecureLabel,AK332=SureThingLabel),1,0)</f>
        <v>0</v>
      </c>
      <c r="AP332">
        <f>IF(OR(T332="H",T332="B"),IF(ISNUMBER(Y332),ROUND(Y332,2),0),IF(ISNUMBER(X332),ROUND(X332,2),0))</f>
        <v>0</v>
      </c>
      <c r="AQ332">
        <f>IF(AP332&gt;=U332,1,0)</f>
        <v>0</v>
      </c>
      <c r="AR332">
        <f>IF(AP332&gt;=V332,1,0)</f>
        <v>0</v>
      </c>
      <c r="AS332">
        <f>IF(AP332&lt;(U332-0.10),1,0)</f>
        <v>0</v>
      </c>
      <c r="AT332">
        <f>1-AJ332/100</f>
        <v>0</v>
      </c>
      <c r="AU332">
        <f>IF(AN332=1,AT332,1)</f>
        <v>0</v>
      </c>
      <c r="AV332">
        <f>IF(AM332=1,AT332,1)</f>
        <v>0</v>
      </c>
      <c r="AW332">
        <f>IF(AND(AQ332=1,ISNUMBER(AT332)),$AT332,1)</f>
        <v>0</v>
      </c>
      <c r="AX332">
        <f>IF(AND(AR332=1,ISNUMBER(AT332)),$AT332,1)</f>
        <v>0</v>
      </c>
      <c r="AY332">
        <f>IF(ISNUMBER(Y332),INDEX(AllCollegeMoney, MATCH(N332,AllCollegeNCES,0)),0)</f>
        <v>0</v>
      </c>
      <c r="AZ332">
        <f>IF(AND(AQ332=1,ISNUMBER(AT332),AY332=1),$AT332,1)</f>
        <v>0</v>
      </c>
      <c r="BA332">
        <f>IF(AND(AR332=1,ISNUMBER(AT332),AY332=1),$AT332,1)</f>
        <v>0</v>
      </c>
      <c r="BB332">
        <f>IF(ISNUMBER(Y332),INDEX(AllCollegeILPub, MATCH(N332,AllCollegeNCES,0)),0)</f>
        <v>0</v>
      </c>
      <c r="BC332">
        <f>IF(AK332=ReachLabel,AP332,0)</f>
        <v>0</v>
      </c>
      <c r="BD332">
        <f>IF(AK332=MatchLabel,AP332,0)</f>
        <v>0</v>
      </c>
      <c r="BE332">
        <f>IF(AK332=SafetyLabel,AP332,0)</f>
        <v>0</v>
      </c>
      <c r="BF332">
        <f>IF(AK332=SecureLabel,AP332,0)</f>
        <v>0</v>
      </c>
      <c r="BG332">
        <f>IF(AK332=SureThingLabel,AP332,0)</f>
        <v>0</v>
      </c>
      <c r="BH332">
        <f>MAX(BC332:BG332)</f>
        <v>0</v>
      </c>
      <c r="BI332">
        <f>MAX(BD332:BG332)</f>
        <v>0</v>
      </c>
      <c r="BJ332">
        <f>MAX(BE332:BG332)</f>
        <v>0</v>
      </c>
      <c r="BK332">
        <f>IF(AND(AK332=ReachLabel,AY332=1),AP332,0)</f>
        <v>0</v>
      </c>
      <c r="BL332">
        <f>IF(AND(AK332=MatchLabel,AY332=1),AP332,0)</f>
        <v>0</v>
      </c>
      <c r="BM332">
        <f>IF(AND(AK332=SafetyLabel,AY332=1),AP332,0)</f>
        <v>0</v>
      </c>
      <c r="BN332">
        <f>IF(AND(AK332=SecureLabel,AY332=1),AP332,0)</f>
        <v>0</v>
      </c>
      <c r="BO332">
        <f>IF(AND(AK332=SureThingLabel,AY332=1),AP332,0)</f>
        <v>0</v>
      </c>
      <c r="BP332">
        <f>MAX(BK332:BO332)</f>
        <v>0</v>
      </c>
      <c r="BQ332">
        <f>MAX(BL332:BO332)</f>
        <v>0</v>
      </c>
      <c r="BR332">
        <f>MAX(BM332:BO332)</f>
        <v>0</v>
      </c>
      <c r="BS332">
        <f>IF(ISNUMBER(Y332),INDEX(AllCollegeChicago, MATCH(N332,AllCollegeNCES,0))*AY332,0)</f>
        <v>0</v>
      </c>
      <c r="BT332">
        <f>IF(ISNUMBER(Y332),INDEX(AllCollegeMoneyCode, MATCH(N332,AllCollegeNCES,0)),"?")</f>
        <v>0</v>
      </c>
      <c r="BU332">
        <f>IF(OR(BT332="---",BT332="--",BT332="+/--",BT332="+/---"),1,0)</f>
        <v>0</v>
      </c>
      <c r="BV332">
        <f>AY332*AO332*AQ332</f>
        <v>0</v>
      </c>
    </row>
    <row r="333" spans="1:74">
      <c r="A333" t="s">
        <v>86</v>
      </c>
      <c r="B333">
        <v>23152737</v>
      </c>
      <c r="C333" t="s">
        <v>206</v>
      </c>
      <c r="D333" t="s">
        <v>207</v>
      </c>
      <c r="E333" t="s">
        <v>428</v>
      </c>
      <c r="F333" t="s">
        <v>443</v>
      </c>
      <c r="G333" t="s">
        <v>430</v>
      </c>
      <c r="H333" t="s">
        <v>431</v>
      </c>
      <c r="I333" t="s">
        <v>432</v>
      </c>
      <c r="J333" t="s">
        <v>432</v>
      </c>
      <c r="K333">
        <v>0</v>
      </c>
      <c r="L333" t="s">
        <v>428</v>
      </c>
      <c r="M333" t="s">
        <v>428</v>
      </c>
      <c r="N333">
        <v>144209</v>
      </c>
      <c r="O333">
        <f>INDEX(AllCollegeBarrons,MATCH(N333,AllCollegeNCES,0))</f>
        <v>0</v>
      </c>
      <c r="P333">
        <f>INDEX(KidGPAs,MATCH(B333,KidIDs,0))</f>
        <v>0</v>
      </c>
      <c r="Q333">
        <f>INDEX(KidACTs,MATCH(B333,KidIDs,0))</f>
        <v>0</v>
      </c>
      <c r="R333">
        <f>INDEX(Strats,MATCH(B333,KidIDs,0))</f>
        <v>0</v>
      </c>
      <c r="S333">
        <f>INDEX(KidRace,MATCH(B333,KidIDs,0))</f>
        <v>0</v>
      </c>
      <c r="T333">
        <f>IF(OR(S333="M",S333="I"),"H",S333)</f>
        <v>0</v>
      </c>
      <c r="U333">
        <f>INDEX(StudentTargets,MATCH(B333,KidIDs,0))</f>
        <v>0</v>
      </c>
      <c r="V333">
        <f>INDEX(ReachStudentTargets,MATCH(B333,KidIDs,0))</f>
        <v>0</v>
      </c>
      <c r="W333">
        <f>IF(OR(M333="Posse"),1,0)</f>
        <v>0</v>
      </c>
      <c r="X333">
        <f>IF(ISNUMBER(INDEX(AllCollegeGR, MATCH(N333,AllCollegeNCES,0))),ROUND(INDEX(AllCollegeGR, MATCH(N333,AllCollegeNCES,0))+W333*IF(INDEX(AllCollegeGR, MATCH(N333,AllCollegeNCES,0))&gt;0.7,(1-INDEX(AllCollegeGR, MATCH(N333,AllCollegeNCES,0)))/2,0.15),2),INDEX(AllCollegeGR, MATCH(N333,AllCollegeNCES,0)))</f>
        <v>0</v>
      </c>
      <c r="Y333">
        <f>IF(ISNUMBER(INDEX(AllCollegeAAHGR, MATCH(N333,AllCollegeNCES,0))),ROUND(INDEX(AllCollegeAAHGR, MATCH(N333,AllCollegeNCES,0))+W333*IF(INDEX(AllCollegeAAHGR, MATCH(N333,AllCollegeNCES,0))&gt;0.7,(1-INDEX(AllCollegeAAHGR, MATCH(N333,AllCollegeNCES,0)))/2,0.15),2),INDEX(AllCollegeAAHGR, MATCH(N333,AllCollegeNCES,0)))</f>
        <v>0</v>
      </c>
      <c r="Z333">
        <f>IF(OR(T333="H",T333="B"),INDEX(AllCollegeACT25, MATCH(N333,AllCollegeNCES,0)),INDEX(AllCollegeACT50, MATCH(N333,AllCollegeNCES,0)))</f>
        <v>0</v>
      </c>
      <c r="AA333">
        <f>INDEX(CustomWeightsGPA,MATCH(T333&amp;":"&amp;N333,CustomWeightsIndex,0))</f>
        <v>0</v>
      </c>
      <c r="AB333">
        <f>INDEX(CustomWeightsACT,MATCH(T333&amp;":"&amp;N333,CustomWeightsIndex,0))</f>
        <v>0</v>
      </c>
      <c r="AC333">
        <f>INDEX(CustomWeightsIntercept,MATCH(T333&amp;":"&amp;N333,CustomWeightsIndex,0))</f>
        <v>0</v>
      </c>
      <c r="AD333">
        <f>AA333*P333+AB333*Q333+AC333</f>
        <v>0</v>
      </c>
      <c r="AE333">
        <f>INDEX(CoefficientsGPA,MATCH(T333&amp;":"&amp;O333,CoefficientsIndex,0))</f>
        <v>0</v>
      </c>
      <c r="AF333">
        <f>INDEX(CoefficientsACT,MATCH(T333&amp;":"&amp;O333,CoefficientsIndex,0))</f>
        <v>0</v>
      </c>
      <c r="AG333">
        <f>INDEX(CoefficientsIntercept,MATCH(T333&amp;":"&amp;O333,CoefficientsIndex,0))</f>
        <v>0</v>
      </c>
      <c r="AH333">
        <f>AE333*P333+(Q333-Z333)*AF333+AG333</f>
        <v>0</v>
      </c>
      <c r="AI333">
        <f>IF(ISNUMBER(AD333),AD333,AH333)</f>
        <v>0</v>
      </c>
      <c r="AJ333">
        <f>IF(ISNUMBER(AI333),IF(ISNUMBER(AE333),IF(AND(AE333=1,AF333=1,AG333=1),100,ROUND(100*EXP(AI333)/(1+EXP(AI333)),2)),ROUND(100*EXP(AI333)/(1+EXP(AI333)),2)),IF(ISTEXT(O333),IF(LEFT(O333,1)="2",100,"N/A"),"N/A"))</f>
        <v>0</v>
      </c>
      <c r="AK333">
        <f>IF(ISNUMBER(AJ333),IF(AJ333&gt;=99,IF(OR(R333=10,R333=11),MatchLabel,SureThingLabel),IF(AJ333&gt;=95,SecureLabel,IF(AJ333&gt;=80,SafetyLabel,IF(AJ333&gt;=50,MatchLabel,IF(AJ333&gt;=20,ReachLabel,IF(AJ333&gt;=10,LongshotLabel,HailMaryLabel)))))),"Other")</f>
        <v>0</v>
      </c>
      <c r="AL333">
        <f>IF(OR(I333="accepted",I333="cond. accept",I333="summer admit"),IF(J333="yes","CHOICE!","Accepted!"),IF(I333="denied","Denied",IF(K333=1,"Waitlist",IF(L333=1,"Deferred",IF(G333="pending","Pending",IF(OR(G333="initial materials submitted",G333="mid-year submitted",G333="final submitted"),"Submitted",IF(H333="interest","Interest","?")))))))</f>
        <v>0</v>
      </c>
      <c r="AM333">
        <f>IF(OR(AK333=ReachLabel,AK333=LongshotLabel,AK333=HailMaryLabel),1,0)</f>
        <v>0</v>
      </c>
      <c r="AN333">
        <f>IF(OR(AM333=1,AK333=MatchLabel),1,0)</f>
        <v>0</v>
      </c>
      <c r="AO333">
        <f>IF(OR(AK333=MatchLabel,AK333=SafetyLabel,AK333=SecureLabel,AK333=SureThingLabel),1,0)</f>
        <v>0</v>
      </c>
      <c r="AP333">
        <f>IF(OR(T333="H",T333="B"),IF(ISNUMBER(Y333),ROUND(Y333,2),0),IF(ISNUMBER(X333),ROUND(X333,2),0))</f>
        <v>0</v>
      </c>
      <c r="AQ333">
        <f>IF(AP333&gt;=U333,1,0)</f>
        <v>0</v>
      </c>
      <c r="AR333">
        <f>IF(AP333&gt;=V333,1,0)</f>
        <v>0</v>
      </c>
      <c r="AS333">
        <f>IF(AP333&lt;(U333-0.10),1,0)</f>
        <v>0</v>
      </c>
      <c r="AT333">
        <f>1-AJ333/100</f>
        <v>0</v>
      </c>
      <c r="AU333">
        <f>IF(AN333=1,AT333,1)</f>
        <v>0</v>
      </c>
      <c r="AV333">
        <f>IF(AM333=1,AT333,1)</f>
        <v>0</v>
      </c>
      <c r="AW333">
        <f>IF(AND(AQ333=1,ISNUMBER(AT333)),$AT333,1)</f>
        <v>0</v>
      </c>
      <c r="AX333">
        <f>IF(AND(AR333=1,ISNUMBER(AT333)),$AT333,1)</f>
        <v>0</v>
      </c>
      <c r="AY333">
        <f>IF(ISNUMBER(Y333),INDEX(AllCollegeMoney, MATCH(N333,AllCollegeNCES,0)),0)</f>
        <v>0</v>
      </c>
      <c r="AZ333">
        <f>IF(AND(AQ333=1,ISNUMBER(AT333),AY333=1),$AT333,1)</f>
        <v>0</v>
      </c>
      <c r="BA333">
        <f>IF(AND(AR333=1,ISNUMBER(AT333),AY333=1),$AT333,1)</f>
        <v>0</v>
      </c>
      <c r="BB333">
        <f>IF(ISNUMBER(Y333),INDEX(AllCollegeILPub, MATCH(N333,AllCollegeNCES,0)),0)</f>
        <v>0</v>
      </c>
      <c r="BC333">
        <f>IF(AK333=ReachLabel,AP333,0)</f>
        <v>0</v>
      </c>
      <c r="BD333">
        <f>IF(AK333=MatchLabel,AP333,0)</f>
        <v>0</v>
      </c>
      <c r="BE333">
        <f>IF(AK333=SafetyLabel,AP333,0)</f>
        <v>0</v>
      </c>
      <c r="BF333">
        <f>IF(AK333=SecureLabel,AP333,0)</f>
        <v>0</v>
      </c>
      <c r="BG333">
        <f>IF(AK333=SureThingLabel,AP333,0)</f>
        <v>0</v>
      </c>
      <c r="BH333">
        <f>MAX(BC333:BG333)</f>
        <v>0</v>
      </c>
      <c r="BI333">
        <f>MAX(BD333:BG333)</f>
        <v>0</v>
      </c>
      <c r="BJ333">
        <f>MAX(BE333:BG333)</f>
        <v>0</v>
      </c>
      <c r="BK333">
        <f>IF(AND(AK333=ReachLabel,AY333=1),AP333,0)</f>
        <v>0</v>
      </c>
      <c r="BL333">
        <f>IF(AND(AK333=MatchLabel,AY333=1),AP333,0)</f>
        <v>0</v>
      </c>
      <c r="BM333">
        <f>IF(AND(AK333=SafetyLabel,AY333=1),AP333,0)</f>
        <v>0</v>
      </c>
      <c r="BN333">
        <f>IF(AND(AK333=SecureLabel,AY333=1),AP333,0)</f>
        <v>0</v>
      </c>
      <c r="BO333">
        <f>IF(AND(AK333=SureThingLabel,AY333=1),AP333,0)</f>
        <v>0</v>
      </c>
      <c r="BP333">
        <f>MAX(BK333:BO333)</f>
        <v>0</v>
      </c>
      <c r="BQ333">
        <f>MAX(BL333:BO333)</f>
        <v>0</v>
      </c>
      <c r="BR333">
        <f>MAX(BM333:BO333)</f>
        <v>0</v>
      </c>
      <c r="BS333">
        <f>IF(ISNUMBER(Y333),INDEX(AllCollegeChicago, MATCH(N333,AllCollegeNCES,0))*AY333,0)</f>
        <v>0</v>
      </c>
      <c r="BT333">
        <f>IF(ISNUMBER(Y333),INDEX(AllCollegeMoneyCode, MATCH(N333,AllCollegeNCES,0)),"?")</f>
        <v>0</v>
      </c>
      <c r="BU333">
        <f>IF(OR(BT333="---",BT333="--",BT333="+/--",BT333="+/---"),1,0)</f>
        <v>0</v>
      </c>
      <c r="BV333">
        <f>AY333*AO333*AQ333</f>
        <v>0</v>
      </c>
    </row>
    <row r="334" spans="1:74">
      <c r="A334" t="s">
        <v>86</v>
      </c>
      <c r="B334">
        <v>23207280</v>
      </c>
      <c r="C334" t="s">
        <v>106</v>
      </c>
      <c r="D334" t="s">
        <v>107</v>
      </c>
      <c r="E334" t="s">
        <v>428</v>
      </c>
      <c r="F334" t="s">
        <v>462</v>
      </c>
      <c r="G334" t="s">
        <v>463</v>
      </c>
      <c r="H334" t="s">
        <v>431</v>
      </c>
      <c r="I334" t="s">
        <v>432</v>
      </c>
      <c r="J334" t="s">
        <v>432</v>
      </c>
      <c r="K334">
        <v>0</v>
      </c>
      <c r="L334" t="s">
        <v>428</v>
      </c>
      <c r="M334" t="s">
        <v>428</v>
      </c>
      <c r="N334">
        <v>168546</v>
      </c>
      <c r="O334">
        <f>INDEX(AllCollegeBarrons,MATCH(N334,AllCollegeNCES,0))</f>
        <v>0</v>
      </c>
      <c r="P334">
        <f>INDEX(KidGPAs,MATCH(B334,KidIDs,0))</f>
        <v>0</v>
      </c>
      <c r="Q334">
        <f>INDEX(KidACTs,MATCH(B334,KidIDs,0))</f>
        <v>0</v>
      </c>
      <c r="R334">
        <f>INDEX(Strats,MATCH(B334,KidIDs,0))</f>
        <v>0</v>
      </c>
      <c r="S334">
        <f>INDEX(KidRace,MATCH(B334,KidIDs,0))</f>
        <v>0</v>
      </c>
      <c r="T334">
        <f>IF(OR(S334="M",S334="I"),"H",S334)</f>
        <v>0</v>
      </c>
      <c r="U334">
        <f>INDEX(StudentTargets,MATCH(B334,KidIDs,0))</f>
        <v>0</v>
      </c>
      <c r="V334">
        <f>INDEX(ReachStudentTargets,MATCH(B334,KidIDs,0))</f>
        <v>0</v>
      </c>
      <c r="W334">
        <f>IF(OR(M334="Posse"),1,0)</f>
        <v>0</v>
      </c>
      <c r="X334">
        <f>IF(ISNUMBER(INDEX(AllCollegeGR, MATCH(N334,AllCollegeNCES,0))),ROUND(INDEX(AllCollegeGR, MATCH(N334,AllCollegeNCES,0))+W334*IF(INDEX(AllCollegeGR, MATCH(N334,AllCollegeNCES,0))&gt;0.7,(1-INDEX(AllCollegeGR, MATCH(N334,AllCollegeNCES,0)))/2,0.15),2),INDEX(AllCollegeGR, MATCH(N334,AllCollegeNCES,0)))</f>
        <v>0</v>
      </c>
      <c r="Y334">
        <f>IF(ISNUMBER(INDEX(AllCollegeAAHGR, MATCH(N334,AllCollegeNCES,0))),ROUND(INDEX(AllCollegeAAHGR, MATCH(N334,AllCollegeNCES,0))+W334*IF(INDEX(AllCollegeAAHGR, MATCH(N334,AllCollegeNCES,0))&gt;0.7,(1-INDEX(AllCollegeAAHGR, MATCH(N334,AllCollegeNCES,0)))/2,0.15),2),INDEX(AllCollegeAAHGR, MATCH(N334,AllCollegeNCES,0)))</f>
        <v>0</v>
      </c>
      <c r="Z334">
        <f>IF(OR(T334="H",T334="B"),INDEX(AllCollegeACT25, MATCH(N334,AllCollegeNCES,0)),INDEX(AllCollegeACT50, MATCH(N334,AllCollegeNCES,0)))</f>
        <v>0</v>
      </c>
      <c r="AA334">
        <f>INDEX(CustomWeightsGPA,MATCH(T334&amp;":"&amp;N334,CustomWeightsIndex,0))</f>
        <v>0</v>
      </c>
      <c r="AB334">
        <f>INDEX(CustomWeightsACT,MATCH(T334&amp;":"&amp;N334,CustomWeightsIndex,0))</f>
        <v>0</v>
      </c>
      <c r="AC334">
        <f>INDEX(CustomWeightsIntercept,MATCH(T334&amp;":"&amp;N334,CustomWeightsIndex,0))</f>
        <v>0</v>
      </c>
      <c r="AD334">
        <f>AA334*P334+AB334*Q334+AC334</f>
        <v>0</v>
      </c>
      <c r="AE334">
        <f>INDEX(CoefficientsGPA,MATCH(T334&amp;":"&amp;O334,CoefficientsIndex,0))</f>
        <v>0</v>
      </c>
      <c r="AF334">
        <f>INDEX(CoefficientsACT,MATCH(T334&amp;":"&amp;O334,CoefficientsIndex,0))</f>
        <v>0</v>
      </c>
      <c r="AG334">
        <f>INDEX(CoefficientsIntercept,MATCH(T334&amp;":"&amp;O334,CoefficientsIndex,0))</f>
        <v>0</v>
      </c>
      <c r="AH334">
        <f>AE334*P334+(Q334-Z334)*AF334+AG334</f>
        <v>0</v>
      </c>
      <c r="AI334">
        <f>IF(ISNUMBER(AD334),AD334,AH334)</f>
        <v>0</v>
      </c>
      <c r="AJ334">
        <f>IF(ISNUMBER(AI334),IF(ISNUMBER(AE334),IF(AND(AE334=1,AF334=1,AG334=1),100,ROUND(100*EXP(AI334)/(1+EXP(AI334)),2)),ROUND(100*EXP(AI334)/(1+EXP(AI334)),2)),IF(ISTEXT(O334),IF(LEFT(O334,1)="2",100,"N/A"),"N/A"))</f>
        <v>0</v>
      </c>
      <c r="AK334">
        <f>IF(ISNUMBER(AJ334),IF(AJ334&gt;=99,IF(OR(R334=10,R334=11),MatchLabel,SureThingLabel),IF(AJ334&gt;=95,SecureLabel,IF(AJ334&gt;=80,SafetyLabel,IF(AJ334&gt;=50,MatchLabel,IF(AJ334&gt;=20,ReachLabel,IF(AJ334&gt;=10,LongshotLabel,HailMaryLabel)))))),"Other")</f>
        <v>0</v>
      </c>
      <c r="AL334">
        <f>IF(OR(I334="accepted",I334="cond. accept",I334="summer admit"),IF(J334="yes","CHOICE!","Accepted!"),IF(I334="denied","Denied",IF(K334=1,"Waitlist",IF(L334=1,"Deferred",IF(G334="pending","Pending",IF(OR(G334="initial materials submitted",G334="mid-year submitted",G334="final submitted"),"Submitted",IF(H334="interest","Interest","?")))))))</f>
        <v>0</v>
      </c>
      <c r="AM334">
        <f>IF(OR(AK334=ReachLabel,AK334=LongshotLabel,AK334=HailMaryLabel),1,0)</f>
        <v>0</v>
      </c>
      <c r="AN334">
        <f>IF(OR(AM334=1,AK334=MatchLabel),1,0)</f>
        <v>0</v>
      </c>
      <c r="AO334">
        <f>IF(OR(AK334=MatchLabel,AK334=SafetyLabel,AK334=SecureLabel,AK334=SureThingLabel),1,0)</f>
        <v>0</v>
      </c>
      <c r="AP334">
        <f>IF(OR(T334="H",T334="B"),IF(ISNUMBER(Y334),ROUND(Y334,2),0),IF(ISNUMBER(X334),ROUND(X334,2),0))</f>
        <v>0</v>
      </c>
      <c r="AQ334">
        <f>IF(AP334&gt;=U334,1,0)</f>
        <v>0</v>
      </c>
      <c r="AR334">
        <f>IF(AP334&gt;=V334,1,0)</f>
        <v>0</v>
      </c>
      <c r="AS334">
        <f>IF(AP334&lt;(U334-0.10),1,0)</f>
        <v>0</v>
      </c>
      <c r="AT334">
        <f>1-AJ334/100</f>
        <v>0</v>
      </c>
      <c r="AU334">
        <f>IF(AN334=1,AT334,1)</f>
        <v>0</v>
      </c>
      <c r="AV334">
        <f>IF(AM334=1,AT334,1)</f>
        <v>0</v>
      </c>
      <c r="AW334">
        <f>IF(AND(AQ334=1,ISNUMBER(AT334)),$AT334,1)</f>
        <v>0</v>
      </c>
      <c r="AX334">
        <f>IF(AND(AR334=1,ISNUMBER(AT334)),$AT334,1)</f>
        <v>0</v>
      </c>
      <c r="AY334">
        <f>IF(ISNUMBER(Y334),INDEX(AllCollegeMoney, MATCH(N334,AllCollegeNCES,0)),0)</f>
        <v>0</v>
      </c>
      <c r="AZ334">
        <f>IF(AND(AQ334=1,ISNUMBER(AT334),AY334=1),$AT334,1)</f>
        <v>0</v>
      </c>
      <c r="BA334">
        <f>IF(AND(AR334=1,ISNUMBER(AT334),AY334=1),$AT334,1)</f>
        <v>0</v>
      </c>
      <c r="BB334">
        <f>IF(ISNUMBER(Y334),INDEX(AllCollegeILPub, MATCH(N334,AllCollegeNCES,0)),0)</f>
        <v>0</v>
      </c>
      <c r="BC334">
        <f>IF(AK334=ReachLabel,AP334,0)</f>
        <v>0</v>
      </c>
      <c r="BD334">
        <f>IF(AK334=MatchLabel,AP334,0)</f>
        <v>0</v>
      </c>
      <c r="BE334">
        <f>IF(AK334=SafetyLabel,AP334,0)</f>
        <v>0</v>
      </c>
      <c r="BF334">
        <f>IF(AK334=SecureLabel,AP334,0)</f>
        <v>0</v>
      </c>
      <c r="BG334">
        <f>IF(AK334=SureThingLabel,AP334,0)</f>
        <v>0</v>
      </c>
      <c r="BH334">
        <f>MAX(BC334:BG334)</f>
        <v>0</v>
      </c>
      <c r="BI334">
        <f>MAX(BD334:BG334)</f>
        <v>0</v>
      </c>
      <c r="BJ334">
        <f>MAX(BE334:BG334)</f>
        <v>0</v>
      </c>
      <c r="BK334">
        <f>IF(AND(AK334=ReachLabel,AY334=1),AP334,0)</f>
        <v>0</v>
      </c>
      <c r="BL334">
        <f>IF(AND(AK334=MatchLabel,AY334=1),AP334,0)</f>
        <v>0</v>
      </c>
      <c r="BM334">
        <f>IF(AND(AK334=SafetyLabel,AY334=1),AP334,0)</f>
        <v>0</v>
      </c>
      <c r="BN334">
        <f>IF(AND(AK334=SecureLabel,AY334=1),AP334,0)</f>
        <v>0</v>
      </c>
      <c r="BO334">
        <f>IF(AND(AK334=SureThingLabel,AY334=1),AP334,0)</f>
        <v>0</v>
      </c>
      <c r="BP334">
        <f>MAX(BK334:BO334)</f>
        <v>0</v>
      </c>
      <c r="BQ334">
        <f>MAX(BL334:BO334)</f>
        <v>0</v>
      </c>
      <c r="BR334">
        <f>MAX(BM334:BO334)</f>
        <v>0</v>
      </c>
      <c r="BS334">
        <f>IF(ISNUMBER(Y334),INDEX(AllCollegeChicago, MATCH(N334,AllCollegeNCES,0))*AY334,0)</f>
        <v>0</v>
      </c>
      <c r="BT334">
        <f>IF(ISNUMBER(Y334),INDEX(AllCollegeMoneyCode, MATCH(N334,AllCollegeNCES,0)),"?")</f>
        <v>0</v>
      </c>
      <c r="BU334">
        <f>IF(OR(BT334="---",BT334="--",BT334="+/--",BT334="+/---"),1,0)</f>
        <v>0</v>
      </c>
      <c r="BV334">
        <f>AY334*AO334*AQ334</f>
        <v>0</v>
      </c>
    </row>
    <row r="335" spans="1:74">
      <c r="A335" t="s">
        <v>86</v>
      </c>
      <c r="B335">
        <v>23207280</v>
      </c>
      <c r="C335" t="s">
        <v>106</v>
      </c>
      <c r="D335" t="s">
        <v>107</v>
      </c>
      <c r="E335" t="s">
        <v>428</v>
      </c>
      <c r="F335" t="s">
        <v>429</v>
      </c>
      <c r="G335" t="s">
        <v>430</v>
      </c>
      <c r="H335" t="s">
        <v>431</v>
      </c>
      <c r="I335" t="s">
        <v>432</v>
      </c>
      <c r="J335" t="s">
        <v>432</v>
      </c>
      <c r="K335">
        <v>0</v>
      </c>
      <c r="L335" t="s">
        <v>428</v>
      </c>
      <c r="M335" t="s">
        <v>428</v>
      </c>
      <c r="N335">
        <v>144962</v>
      </c>
      <c r="O335">
        <f>INDEX(AllCollegeBarrons,MATCH(N335,AllCollegeNCES,0))</f>
        <v>0</v>
      </c>
      <c r="P335">
        <f>INDEX(KidGPAs,MATCH(B335,KidIDs,0))</f>
        <v>0</v>
      </c>
      <c r="Q335">
        <f>INDEX(KidACTs,MATCH(B335,KidIDs,0))</f>
        <v>0</v>
      </c>
      <c r="R335">
        <f>INDEX(Strats,MATCH(B335,KidIDs,0))</f>
        <v>0</v>
      </c>
      <c r="S335">
        <f>INDEX(KidRace,MATCH(B335,KidIDs,0))</f>
        <v>0</v>
      </c>
      <c r="T335">
        <f>IF(OR(S335="M",S335="I"),"H",S335)</f>
        <v>0</v>
      </c>
      <c r="U335">
        <f>INDEX(StudentTargets,MATCH(B335,KidIDs,0))</f>
        <v>0</v>
      </c>
      <c r="V335">
        <f>INDEX(ReachStudentTargets,MATCH(B335,KidIDs,0))</f>
        <v>0</v>
      </c>
      <c r="W335">
        <f>IF(OR(M335="Posse"),1,0)</f>
        <v>0</v>
      </c>
      <c r="X335">
        <f>IF(ISNUMBER(INDEX(AllCollegeGR, MATCH(N335,AllCollegeNCES,0))),ROUND(INDEX(AllCollegeGR, MATCH(N335,AllCollegeNCES,0))+W335*IF(INDEX(AllCollegeGR, MATCH(N335,AllCollegeNCES,0))&gt;0.7,(1-INDEX(AllCollegeGR, MATCH(N335,AllCollegeNCES,0)))/2,0.15),2),INDEX(AllCollegeGR, MATCH(N335,AllCollegeNCES,0)))</f>
        <v>0</v>
      </c>
      <c r="Y335">
        <f>IF(ISNUMBER(INDEX(AllCollegeAAHGR, MATCH(N335,AllCollegeNCES,0))),ROUND(INDEX(AllCollegeAAHGR, MATCH(N335,AllCollegeNCES,0))+W335*IF(INDEX(AllCollegeAAHGR, MATCH(N335,AllCollegeNCES,0))&gt;0.7,(1-INDEX(AllCollegeAAHGR, MATCH(N335,AllCollegeNCES,0)))/2,0.15),2),INDEX(AllCollegeAAHGR, MATCH(N335,AllCollegeNCES,0)))</f>
        <v>0</v>
      </c>
      <c r="Z335">
        <f>IF(OR(T335="H",T335="B"),INDEX(AllCollegeACT25, MATCH(N335,AllCollegeNCES,0)),INDEX(AllCollegeACT50, MATCH(N335,AllCollegeNCES,0)))</f>
        <v>0</v>
      </c>
      <c r="AA335">
        <f>INDEX(CustomWeightsGPA,MATCH(T335&amp;":"&amp;N335,CustomWeightsIndex,0))</f>
        <v>0</v>
      </c>
      <c r="AB335">
        <f>INDEX(CustomWeightsACT,MATCH(T335&amp;":"&amp;N335,CustomWeightsIndex,0))</f>
        <v>0</v>
      </c>
      <c r="AC335">
        <f>INDEX(CustomWeightsIntercept,MATCH(T335&amp;":"&amp;N335,CustomWeightsIndex,0))</f>
        <v>0</v>
      </c>
      <c r="AD335">
        <f>AA335*P335+AB335*Q335+AC335</f>
        <v>0</v>
      </c>
      <c r="AE335">
        <f>INDEX(CoefficientsGPA,MATCH(T335&amp;":"&amp;O335,CoefficientsIndex,0))</f>
        <v>0</v>
      </c>
      <c r="AF335">
        <f>INDEX(CoefficientsACT,MATCH(T335&amp;":"&amp;O335,CoefficientsIndex,0))</f>
        <v>0</v>
      </c>
      <c r="AG335">
        <f>INDEX(CoefficientsIntercept,MATCH(T335&amp;":"&amp;O335,CoefficientsIndex,0))</f>
        <v>0</v>
      </c>
      <c r="AH335">
        <f>AE335*P335+(Q335-Z335)*AF335+AG335</f>
        <v>0</v>
      </c>
      <c r="AI335">
        <f>IF(ISNUMBER(AD335),AD335,AH335)</f>
        <v>0</v>
      </c>
      <c r="AJ335">
        <f>IF(ISNUMBER(AI335),IF(ISNUMBER(AE335),IF(AND(AE335=1,AF335=1,AG335=1),100,ROUND(100*EXP(AI335)/(1+EXP(AI335)),2)),ROUND(100*EXP(AI335)/(1+EXP(AI335)),2)),IF(ISTEXT(O335),IF(LEFT(O335,1)="2",100,"N/A"),"N/A"))</f>
        <v>0</v>
      </c>
      <c r="AK335">
        <f>IF(ISNUMBER(AJ335),IF(AJ335&gt;=99,IF(OR(R335=10,R335=11),MatchLabel,SureThingLabel),IF(AJ335&gt;=95,SecureLabel,IF(AJ335&gt;=80,SafetyLabel,IF(AJ335&gt;=50,MatchLabel,IF(AJ335&gt;=20,ReachLabel,IF(AJ335&gt;=10,LongshotLabel,HailMaryLabel)))))),"Other")</f>
        <v>0</v>
      </c>
      <c r="AL335">
        <f>IF(OR(I335="accepted",I335="cond. accept",I335="summer admit"),IF(J335="yes","CHOICE!","Accepted!"),IF(I335="denied","Denied",IF(K335=1,"Waitlist",IF(L335=1,"Deferred",IF(G335="pending","Pending",IF(OR(G335="initial materials submitted",G335="mid-year submitted",G335="final submitted"),"Submitted",IF(H335="interest","Interest","?")))))))</f>
        <v>0</v>
      </c>
      <c r="AM335">
        <f>IF(OR(AK335=ReachLabel,AK335=LongshotLabel,AK335=HailMaryLabel),1,0)</f>
        <v>0</v>
      </c>
      <c r="AN335">
        <f>IF(OR(AM335=1,AK335=MatchLabel),1,0)</f>
        <v>0</v>
      </c>
      <c r="AO335">
        <f>IF(OR(AK335=MatchLabel,AK335=SafetyLabel,AK335=SecureLabel,AK335=SureThingLabel),1,0)</f>
        <v>0</v>
      </c>
      <c r="AP335">
        <f>IF(OR(T335="H",T335="B"),IF(ISNUMBER(Y335),ROUND(Y335,2),0),IF(ISNUMBER(X335),ROUND(X335,2),0))</f>
        <v>0</v>
      </c>
      <c r="AQ335">
        <f>IF(AP335&gt;=U335,1,0)</f>
        <v>0</v>
      </c>
      <c r="AR335">
        <f>IF(AP335&gt;=V335,1,0)</f>
        <v>0</v>
      </c>
      <c r="AS335">
        <f>IF(AP335&lt;(U335-0.10),1,0)</f>
        <v>0</v>
      </c>
      <c r="AT335">
        <f>1-AJ335/100</f>
        <v>0</v>
      </c>
      <c r="AU335">
        <f>IF(AN335=1,AT335,1)</f>
        <v>0</v>
      </c>
      <c r="AV335">
        <f>IF(AM335=1,AT335,1)</f>
        <v>0</v>
      </c>
      <c r="AW335">
        <f>IF(AND(AQ335=1,ISNUMBER(AT335)),$AT335,1)</f>
        <v>0</v>
      </c>
      <c r="AX335">
        <f>IF(AND(AR335=1,ISNUMBER(AT335)),$AT335,1)</f>
        <v>0</v>
      </c>
      <c r="AY335">
        <f>IF(ISNUMBER(Y335),INDEX(AllCollegeMoney, MATCH(N335,AllCollegeNCES,0)),0)</f>
        <v>0</v>
      </c>
      <c r="AZ335">
        <f>IF(AND(AQ335=1,ISNUMBER(AT335),AY335=1),$AT335,1)</f>
        <v>0</v>
      </c>
      <c r="BA335">
        <f>IF(AND(AR335=1,ISNUMBER(AT335),AY335=1),$AT335,1)</f>
        <v>0</v>
      </c>
      <c r="BB335">
        <f>IF(ISNUMBER(Y335),INDEX(AllCollegeILPub, MATCH(N335,AllCollegeNCES,0)),0)</f>
        <v>0</v>
      </c>
      <c r="BC335">
        <f>IF(AK335=ReachLabel,AP335,0)</f>
        <v>0</v>
      </c>
      <c r="BD335">
        <f>IF(AK335=MatchLabel,AP335,0)</f>
        <v>0</v>
      </c>
      <c r="BE335">
        <f>IF(AK335=SafetyLabel,AP335,0)</f>
        <v>0</v>
      </c>
      <c r="BF335">
        <f>IF(AK335=SecureLabel,AP335,0)</f>
        <v>0</v>
      </c>
      <c r="BG335">
        <f>IF(AK335=SureThingLabel,AP335,0)</f>
        <v>0</v>
      </c>
      <c r="BH335">
        <f>MAX(BC335:BG335)</f>
        <v>0</v>
      </c>
      <c r="BI335">
        <f>MAX(BD335:BG335)</f>
        <v>0</v>
      </c>
      <c r="BJ335">
        <f>MAX(BE335:BG335)</f>
        <v>0</v>
      </c>
      <c r="BK335">
        <f>IF(AND(AK335=ReachLabel,AY335=1),AP335,0)</f>
        <v>0</v>
      </c>
      <c r="BL335">
        <f>IF(AND(AK335=MatchLabel,AY335=1),AP335,0)</f>
        <v>0</v>
      </c>
      <c r="BM335">
        <f>IF(AND(AK335=SafetyLabel,AY335=1),AP335,0)</f>
        <v>0</v>
      </c>
      <c r="BN335">
        <f>IF(AND(AK335=SecureLabel,AY335=1),AP335,0)</f>
        <v>0</v>
      </c>
      <c r="BO335">
        <f>IF(AND(AK335=SureThingLabel,AY335=1),AP335,0)</f>
        <v>0</v>
      </c>
      <c r="BP335">
        <f>MAX(BK335:BO335)</f>
        <v>0</v>
      </c>
      <c r="BQ335">
        <f>MAX(BL335:BO335)</f>
        <v>0</v>
      </c>
      <c r="BR335">
        <f>MAX(BM335:BO335)</f>
        <v>0</v>
      </c>
      <c r="BS335">
        <f>IF(ISNUMBER(Y335),INDEX(AllCollegeChicago, MATCH(N335,AllCollegeNCES,0))*AY335,0)</f>
        <v>0</v>
      </c>
      <c r="BT335">
        <f>IF(ISNUMBER(Y335),INDEX(AllCollegeMoneyCode, MATCH(N335,AllCollegeNCES,0)),"?")</f>
        <v>0</v>
      </c>
      <c r="BU335">
        <f>IF(OR(BT335="---",BT335="--",BT335="+/--",BT335="+/---"),1,0)</f>
        <v>0</v>
      </c>
      <c r="BV335">
        <f>AY335*AO335*AQ335</f>
        <v>0</v>
      </c>
    </row>
    <row r="336" spans="1:74">
      <c r="A336" t="s">
        <v>86</v>
      </c>
      <c r="B336">
        <v>23207280</v>
      </c>
      <c r="C336" t="s">
        <v>106</v>
      </c>
      <c r="D336" t="s">
        <v>107</v>
      </c>
      <c r="E336" t="s">
        <v>428</v>
      </c>
      <c r="F336" t="s">
        <v>512</v>
      </c>
      <c r="G336" t="s">
        <v>463</v>
      </c>
      <c r="H336" t="s">
        <v>431</v>
      </c>
      <c r="I336" t="s">
        <v>432</v>
      </c>
      <c r="J336" t="s">
        <v>432</v>
      </c>
      <c r="K336">
        <v>0</v>
      </c>
      <c r="L336" t="s">
        <v>428</v>
      </c>
      <c r="M336" t="s">
        <v>428</v>
      </c>
      <c r="N336">
        <v>145691</v>
      </c>
      <c r="O336">
        <f>INDEX(AllCollegeBarrons,MATCH(N336,AllCollegeNCES,0))</f>
        <v>0</v>
      </c>
      <c r="P336">
        <f>INDEX(KidGPAs,MATCH(B336,KidIDs,0))</f>
        <v>0</v>
      </c>
      <c r="Q336">
        <f>INDEX(KidACTs,MATCH(B336,KidIDs,0))</f>
        <v>0</v>
      </c>
      <c r="R336">
        <f>INDEX(Strats,MATCH(B336,KidIDs,0))</f>
        <v>0</v>
      </c>
      <c r="S336">
        <f>INDEX(KidRace,MATCH(B336,KidIDs,0))</f>
        <v>0</v>
      </c>
      <c r="T336">
        <f>IF(OR(S336="M",S336="I"),"H",S336)</f>
        <v>0</v>
      </c>
      <c r="U336">
        <f>INDEX(StudentTargets,MATCH(B336,KidIDs,0))</f>
        <v>0</v>
      </c>
      <c r="V336">
        <f>INDEX(ReachStudentTargets,MATCH(B336,KidIDs,0))</f>
        <v>0</v>
      </c>
      <c r="W336">
        <f>IF(OR(M336="Posse"),1,0)</f>
        <v>0</v>
      </c>
      <c r="X336">
        <f>IF(ISNUMBER(INDEX(AllCollegeGR, MATCH(N336,AllCollegeNCES,0))),ROUND(INDEX(AllCollegeGR, MATCH(N336,AllCollegeNCES,0))+W336*IF(INDEX(AllCollegeGR, MATCH(N336,AllCollegeNCES,0))&gt;0.7,(1-INDEX(AllCollegeGR, MATCH(N336,AllCollegeNCES,0)))/2,0.15),2),INDEX(AllCollegeGR, MATCH(N336,AllCollegeNCES,0)))</f>
        <v>0</v>
      </c>
      <c r="Y336">
        <f>IF(ISNUMBER(INDEX(AllCollegeAAHGR, MATCH(N336,AllCollegeNCES,0))),ROUND(INDEX(AllCollegeAAHGR, MATCH(N336,AllCollegeNCES,0))+W336*IF(INDEX(AllCollegeAAHGR, MATCH(N336,AllCollegeNCES,0))&gt;0.7,(1-INDEX(AllCollegeAAHGR, MATCH(N336,AllCollegeNCES,0)))/2,0.15),2),INDEX(AllCollegeAAHGR, MATCH(N336,AllCollegeNCES,0)))</f>
        <v>0</v>
      </c>
      <c r="Z336">
        <f>IF(OR(T336="H",T336="B"),INDEX(AllCollegeACT25, MATCH(N336,AllCollegeNCES,0)),INDEX(AllCollegeACT50, MATCH(N336,AllCollegeNCES,0)))</f>
        <v>0</v>
      </c>
      <c r="AA336">
        <f>INDEX(CustomWeightsGPA,MATCH(T336&amp;":"&amp;N336,CustomWeightsIndex,0))</f>
        <v>0</v>
      </c>
      <c r="AB336">
        <f>INDEX(CustomWeightsACT,MATCH(T336&amp;":"&amp;N336,CustomWeightsIndex,0))</f>
        <v>0</v>
      </c>
      <c r="AC336">
        <f>INDEX(CustomWeightsIntercept,MATCH(T336&amp;":"&amp;N336,CustomWeightsIndex,0))</f>
        <v>0</v>
      </c>
      <c r="AD336">
        <f>AA336*P336+AB336*Q336+AC336</f>
        <v>0</v>
      </c>
      <c r="AE336">
        <f>INDEX(CoefficientsGPA,MATCH(T336&amp;":"&amp;O336,CoefficientsIndex,0))</f>
        <v>0</v>
      </c>
      <c r="AF336">
        <f>INDEX(CoefficientsACT,MATCH(T336&amp;":"&amp;O336,CoefficientsIndex,0))</f>
        <v>0</v>
      </c>
      <c r="AG336">
        <f>INDEX(CoefficientsIntercept,MATCH(T336&amp;":"&amp;O336,CoefficientsIndex,0))</f>
        <v>0</v>
      </c>
      <c r="AH336">
        <f>AE336*P336+(Q336-Z336)*AF336+AG336</f>
        <v>0</v>
      </c>
      <c r="AI336">
        <f>IF(ISNUMBER(AD336),AD336,AH336)</f>
        <v>0</v>
      </c>
      <c r="AJ336">
        <f>IF(ISNUMBER(AI336),IF(ISNUMBER(AE336),IF(AND(AE336=1,AF336=1,AG336=1),100,ROUND(100*EXP(AI336)/(1+EXP(AI336)),2)),ROUND(100*EXP(AI336)/(1+EXP(AI336)),2)),IF(ISTEXT(O336),IF(LEFT(O336,1)="2",100,"N/A"),"N/A"))</f>
        <v>0</v>
      </c>
      <c r="AK336">
        <f>IF(ISNUMBER(AJ336),IF(AJ336&gt;=99,IF(OR(R336=10,R336=11),MatchLabel,SureThingLabel),IF(AJ336&gt;=95,SecureLabel,IF(AJ336&gt;=80,SafetyLabel,IF(AJ336&gt;=50,MatchLabel,IF(AJ336&gt;=20,ReachLabel,IF(AJ336&gt;=10,LongshotLabel,HailMaryLabel)))))),"Other")</f>
        <v>0</v>
      </c>
      <c r="AL336">
        <f>IF(OR(I336="accepted",I336="cond. accept",I336="summer admit"),IF(J336="yes","CHOICE!","Accepted!"),IF(I336="denied","Denied",IF(K336=1,"Waitlist",IF(L336=1,"Deferred",IF(G336="pending","Pending",IF(OR(G336="initial materials submitted",G336="mid-year submitted",G336="final submitted"),"Submitted",IF(H336="interest","Interest","?")))))))</f>
        <v>0</v>
      </c>
      <c r="AM336">
        <f>IF(OR(AK336=ReachLabel,AK336=LongshotLabel,AK336=HailMaryLabel),1,0)</f>
        <v>0</v>
      </c>
      <c r="AN336">
        <f>IF(OR(AM336=1,AK336=MatchLabel),1,0)</f>
        <v>0</v>
      </c>
      <c r="AO336">
        <f>IF(OR(AK336=MatchLabel,AK336=SafetyLabel,AK336=SecureLabel,AK336=SureThingLabel),1,0)</f>
        <v>0</v>
      </c>
      <c r="AP336">
        <f>IF(OR(T336="H",T336="B"),IF(ISNUMBER(Y336),ROUND(Y336,2),0),IF(ISNUMBER(X336),ROUND(X336,2),0))</f>
        <v>0</v>
      </c>
      <c r="AQ336">
        <f>IF(AP336&gt;=U336,1,0)</f>
        <v>0</v>
      </c>
      <c r="AR336">
        <f>IF(AP336&gt;=V336,1,0)</f>
        <v>0</v>
      </c>
      <c r="AS336">
        <f>IF(AP336&lt;(U336-0.10),1,0)</f>
        <v>0</v>
      </c>
      <c r="AT336">
        <f>1-AJ336/100</f>
        <v>0</v>
      </c>
      <c r="AU336">
        <f>IF(AN336=1,AT336,1)</f>
        <v>0</v>
      </c>
      <c r="AV336">
        <f>IF(AM336=1,AT336,1)</f>
        <v>0</v>
      </c>
      <c r="AW336">
        <f>IF(AND(AQ336=1,ISNUMBER(AT336)),$AT336,1)</f>
        <v>0</v>
      </c>
      <c r="AX336">
        <f>IF(AND(AR336=1,ISNUMBER(AT336)),$AT336,1)</f>
        <v>0</v>
      </c>
      <c r="AY336">
        <f>IF(ISNUMBER(Y336),INDEX(AllCollegeMoney, MATCH(N336,AllCollegeNCES,0)),0)</f>
        <v>0</v>
      </c>
      <c r="AZ336">
        <f>IF(AND(AQ336=1,ISNUMBER(AT336),AY336=1),$AT336,1)</f>
        <v>0</v>
      </c>
      <c r="BA336">
        <f>IF(AND(AR336=1,ISNUMBER(AT336),AY336=1),$AT336,1)</f>
        <v>0</v>
      </c>
      <c r="BB336">
        <f>IF(ISNUMBER(Y336),INDEX(AllCollegeILPub, MATCH(N336,AllCollegeNCES,0)),0)</f>
        <v>0</v>
      </c>
      <c r="BC336">
        <f>IF(AK336=ReachLabel,AP336,0)</f>
        <v>0</v>
      </c>
      <c r="BD336">
        <f>IF(AK336=MatchLabel,AP336,0)</f>
        <v>0</v>
      </c>
      <c r="BE336">
        <f>IF(AK336=SafetyLabel,AP336,0)</f>
        <v>0</v>
      </c>
      <c r="BF336">
        <f>IF(AK336=SecureLabel,AP336,0)</f>
        <v>0</v>
      </c>
      <c r="BG336">
        <f>IF(AK336=SureThingLabel,AP336,0)</f>
        <v>0</v>
      </c>
      <c r="BH336">
        <f>MAX(BC336:BG336)</f>
        <v>0</v>
      </c>
      <c r="BI336">
        <f>MAX(BD336:BG336)</f>
        <v>0</v>
      </c>
      <c r="BJ336">
        <f>MAX(BE336:BG336)</f>
        <v>0</v>
      </c>
      <c r="BK336">
        <f>IF(AND(AK336=ReachLabel,AY336=1),AP336,0)</f>
        <v>0</v>
      </c>
      <c r="BL336">
        <f>IF(AND(AK336=MatchLabel,AY336=1),AP336,0)</f>
        <v>0</v>
      </c>
      <c r="BM336">
        <f>IF(AND(AK336=SafetyLabel,AY336=1),AP336,0)</f>
        <v>0</v>
      </c>
      <c r="BN336">
        <f>IF(AND(AK336=SecureLabel,AY336=1),AP336,0)</f>
        <v>0</v>
      </c>
      <c r="BO336">
        <f>IF(AND(AK336=SureThingLabel,AY336=1),AP336,0)</f>
        <v>0</v>
      </c>
      <c r="BP336">
        <f>MAX(BK336:BO336)</f>
        <v>0</v>
      </c>
      <c r="BQ336">
        <f>MAX(BL336:BO336)</f>
        <v>0</v>
      </c>
      <c r="BR336">
        <f>MAX(BM336:BO336)</f>
        <v>0</v>
      </c>
      <c r="BS336">
        <f>IF(ISNUMBER(Y336),INDEX(AllCollegeChicago, MATCH(N336,AllCollegeNCES,0))*AY336,0)</f>
        <v>0</v>
      </c>
      <c r="BT336">
        <f>IF(ISNUMBER(Y336),INDEX(AllCollegeMoneyCode, MATCH(N336,AllCollegeNCES,0)),"?")</f>
        <v>0</v>
      </c>
      <c r="BU336">
        <f>IF(OR(BT336="---",BT336="--",BT336="+/--",BT336="+/---"),1,0)</f>
        <v>0</v>
      </c>
      <c r="BV336">
        <f>AY336*AO336*AQ336</f>
        <v>0</v>
      </c>
    </row>
    <row r="337" spans="1:74">
      <c r="A337" t="s">
        <v>86</v>
      </c>
      <c r="B337">
        <v>23207280</v>
      </c>
      <c r="C337" t="s">
        <v>106</v>
      </c>
      <c r="D337" t="s">
        <v>107</v>
      </c>
      <c r="E337" t="s">
        <v>428</v>
      </c>
      <c r="F337" t="s">
        <v>433</v>
      </c>
      <c r="G337" t="s">
        <v>430</v>
      </c>
      <c r="H337" t="s">
        <v>431</v>
      </c>
      <c r="I337" t="s">
        <v>432</v>
      </c>
      <c r="J337" t="s">
        <v>432</v>
      </c>
      <c r="K337">
        <v>0</v>
      </c>
      <c r="L337" t="s">
        <v>428</v>
      </c>
      <c r="M337" t="s">
        <v>428</v>
      </c>
      <c r="N337">
        <v>148496</v>
      </c>
      <c r="O337">
        <f>INDEX(AllCollegeBarrons,MATCH(N337,AllCollegeNCES,0))</f>
        <v>0</v>
      </c>
      <c r="P337">
        <f>INDEX(KidGPAs,MATCH(B337,KidIDs,0))</f>
        <v>0</v>
      </c>
      <c r="Q337">
        <f>INDEX(KidACTs,MATCH(B337,KidIDs,0))</f>
        <v>0</v>
      </c>
      <c r="R337">
        <f>INDEX(Strats,MATCH(B337,KidIDs,0))</f>
        <v>0</v>
      </c>
      <c r="S337">
        <f>INDEX(KidRace,MATCH(B337,KidIDs,0))</f>
        <v>0</v>
      </c>
      <c r="T337">
        <f>IF(OR(S337="M",S337="I"),"H",S337)</f>
        <v>0</v>
      </c>
      <c r="U337">
        <f>INDEX(StudentTargets,MATCH(B337,KidIDs,0))</f>
        <v>0</v>
      </c>
      <c r="V337">
        <f>INDEX(ReachStudentTargets,MATCH(B337,KidIDs,0))</f>
        <v>0</v>
      </c>
      <c r="W337">
        <f>IF(OR(M337="Posse"),1,0)</f>
        <v>0</v>
      </c>
      <c r="X337">
        <f>IF(ISNUMBER(INDEX(AllCollegeGR, MATCH(N337,AllCollegeNCES,0))),ROUND(INDEX(AllCollegeGR, MATCH(N337,AllCollegeNCES,0))+W337*IF(INDEX(AllCollegeGR, MATCH(N337,AllCollegeNCES,0))&gt;0.7,(1-INDEX(AllCollegeGR, MATCH(N337,AllCollegeNCES,0)))/2,0.15),2),INDEX(AllCollegeGR, MATCH(N337,AllCollegeNCES,0)))</f>
        <v>0</v>
      </c>
      <c r="Y337">
        <f>IF(ISNUMBER(INDEX(AllCollegeAAHGR, MATCH(N337,AllCollegeNCES,0))),ROUND(INDEX(AllCollegeAAHGR, MATCH(N337,AllCollegeNCES,0))+W337*IF(INDEX(AllCollegeAAHGR, MATCH(N337,AllCollegeNCES,0))&gt;0.7,(1-INDEX(AllCollegeAAHGR, MATCH(N337,AllCollegeNCES,0)))/2,0.15),2),INDEX(AllCollegeAAHGR, MATCH(N337,AllCollegeNCES,0)))</f>
        <v>0</v>
      </c>
      <c r="Z337">
        <f>IF(OR(T337="H",T337="B"),INDEX(AllCollegeACT25, MATCH(N337,AllCollegeNCES,0)),INDEX(AllCollegeACT50, MATCH(N337,AllCollegeNCES,0)))</f>
        <v>0</v>
      </c>
      <c r="AA337">
        <f>INDEX(CustomWeightsGPA,MATCH(T337&amp;":"&amp;N337,CustomWeightsIndex,0))</f>
        <v>0</v>
      </c>
      <c r="AB337">
        <f>INDEX(CustomWeightsACT,MATCH(T337&amp;":"&amp;N337,CustomWeightsIndex,0))</f>
        <v>0</v>
      </c>
      <c r="AC337">
        <f>INDEX(CustomWeightsIntercept,MATCH(T337&amp;":"&amp;N337,CustomWeightsIndex,0))</f>
        <v>0</v>
      </c>
      <c r="AD337">
        <f>AA337*P337+AB337*Q337+AC337</f>
        <v>0</v>
      </c>
      <c r="AE337">
        <f>INDEX(CoefficientsGPA,MATCH(T337&amp;":"&amp;O337,CoefficientsIndex,0))</f>
        <v>0</v>
      </c>
      <c r="AF337">
        <f>INDEX(CoefficientsACT,MATCH(T337&amp;":"&amp;O337,CoefficientsIndex,0))</f>
        <v>0</v>
      </c>
      <c r="AG337">
        <f>INDEX(CoefficientsIntercept,MATCH(T337&amp;":"&amp;O337,CoefficientsIndex,0))</f>
        <v>0</v>
      </c>
      <c r="AH337">
        <f>AE337*P337+(Q337-Z337)*AF337+AG337</f>
        <v>0</v>
      </c>
      <c r="AI337">
        <f>IF(ISNUMBER(AD337),AD337,AH337)</f>
        <v>0</v>
      </c>
      <c r="AJ337">
        <f>IF(ISNUMBER(AI337),IF(ISNUMBER(AE337),IF(AND(AE337=1,AF337=1,AG337=1),100,ROUND(100*EXP(AI337)/(1+EXP(AI337)),2)),ROUND(100*EXP(AI337)/(1+EXP(AI337)),2)),IF(ISTEXT(O337),IF(LEFT(O337,1)="2",100,"N/A"),"N/A"))</f>
        <v>0</v>
      </c>
      <c r="AK337">
        <f>IF(ISNUMBER(AJ337),IF(AJ337&gt;=99,IF(OR(R337=10,R337=11),MatchLabel,SureThingLabel),IF(AJ337&gt;=95,SecureLabel,IF(AJ337&gt;=80,SafetyLabel,IF(AJ337&gt;=50,MatchLabel,IF(AJ337&gt;=20,ReachLabel,IF(AJ337&gt;=10,LongshotLabel,HailMaryLabel)))))),"Other")</f>
        <v>0</v>
      </c>
      <c r="AL337">
        <f>IF(OR(I337="accepted",I337="cond. accept",I337="summer admit"),IF(J337="yes","CHOICE!","Accepted!"),IF(I337="denied","Denied",IF(K337=1,"Waitlist",IF(L337=1,"Deferred",IF(G337="pending","Pending",IF(OR(G337="initial materials submitted",G337="mid-year submitted",G337="final submitted"),"Submitted",IF(H337="interest","Interest","?")))))))</f>
        <v>0</v>
      </c>
      <c r="AM337">
        <f>IF(OR(AK337=ReachLabel,AK337=LongshotLabel,AK337=HailMaryLabel),1,0)</f>
        <v>0</v>
      </c>
      <c r="AN337">
        <f>IF(OR(AM337=1,AK337=MatchLabel),1,0)</f>
        <v>0</v>
      </c>
      <c r="AO337">
        <f>IF(OR(AK337=MatchLabel,AK337=SafetyLabel,AK337=SecureLabel,AK337=SureThingLabel),1,0)</f>
        <v>0</v>
      </c>
      <c r="AP337">
        <f>IF(OR(T337="H",T337="B"),IF(ISNUMBER(Y337),ROUND(Y337,2),0),IF(ISNUMBER(X337),ROUND(X337,2),0))</f>
        <v>0</v>
      </c>
      <c r="AQ337">
        <f>IF(AP337&gt;=U337,1,0)</f>
        <v>0</v>
      </c>
      <c r="AR337">
        <f>IF(AP337&gt;=V337,1,0)</f>
        <v>0</v>
      </c>
      <c r="AS337">
        <f>IF(AP337&lt;(U337-0.10),1,0)</f>
        <v>0</v>
      </c>
      <c r="AT337">
        <f>1-AJ337/100</f>
        <v>0</v>
      </c>
      <c r="AU337">
        <f>IF(AN337=1,AT337,1)</f>
        <v>0</v>
      </c>
      <c r="AV337">
        <f>IF(AM337=1,AT337,1)</f>
        <v>0</v>
      </c>
      <c r="AW337">
        <f>IF(AND(AQ337=1,ISNUMBER(AT337)),$AT337,1)</f>
        <v>0</v>
      </c>
      <c r="AX337">
        <f>IF(AND(AR337=1,ISNUMBER(AT337)),$AT337,1)</f>
        <v>0</v>
      </c>
      <c r="AY337">
        <f>IF(ISNUMBER(Y337),INDEX(AllCollegeMoney, MATCH(N337,AllCollegeNCES,0)),0)</f>
        <v>0</v>
      </c>
      <c r="AZ337">
        <f>IF(AND(AQ337=1,ISNUMBER(AT337),AY337=1),$AT337,1)</f>
        <v>0</v>
      </c>
      <c r="BA337">
        <f>IF(AND(AR337=1,ISNUMBER(AT337),AY337=1),$AT337,1)</f>
        <v>0</v>
      </c>
      <c r="BB337">
        <f>IF(ISNUMBER(Y337),INDEX(AllCollegeILPub, MATCH(N337,AllCollegeNCES,0)),0)</f>
        <v>0</v>
      </c>
      <c r="BC337">
        <f>IF(AK337=ReachLabel,AP337,0)</f>
        <v>0</v>
      </c>
      <c r="BD337">
        <f>IF(AK337=MatchLabel,AP337,0)</f>
        <v>0</v>
      </c>
      <c r="BE337">
        <f>IF(AK337=SafetyLabel,AP337,0)</f>
        <v>0</v>
      </c>
      <c r="BF337">
        <f>IF(AK337=SecureLabel,AP337,0)</f>
        <v>0</v>
      </c>
      <c r="BG337">
        <f>IF(AK337=SureThingLabel,AP337,0)</f>
        <v>0</v>
      </c>
      <c r="BH337">
        <f>MAX(BC337:BG337)</f>
        <v>0</v>
      </c>
      <c r="BI337">
        <f>MAX(BD337:BG337)</f>
        <v>0</v>
      </c>
      <c r="BJ337">
        <f>MAX(BE337:BG337)</f>
        <v>0</v>
      </c>
      <c r="BK337">
        <f>IF(AND(AK337=ReachLabel,AY337=1),AP337,0)</f>
        <v>0</v>
      </c>
      <c r="BL337">
        <f>IF(AND(AK337=MatchLabel,AY337=1),AP337,0)</f>
        <v>0</v>
      </c>
      <c r="BM337">
        <f>IF(AND(AK337=SafetyLabel,AY337=1),AP337,0)</f>
        <v>0</v>
      </c>
      <c r="BN337">
        <f>IF(AND(AK337=SecureLabel,AY337=1),AP337,0)</f>
        <v>0</v>
      </c>
      <c r="BO337">
        <f>IF(AND(AK337=SureThingLabel,AY337=1),AP337,0)</f>
        <v>0</v>
      </c>
      <c r="BP337">
        <f>MAX(BK337:BO337)</f>
        <v>0</v>
      </c>
      <c r="BQ337">
        <f>MAX(BL337:BO337)</f>
        <v>0</v>
      </c>
      <c r="BR337">
        <f>MAX(BM337:BO337)</f>
        <v>0</v>
      </c>
      <c r="BS337">
        <f>IF(ISNUMBER(Y337),INDEX(AllCollegeChicago, MATCH(N337,AllCollegeNCES,0))*AY337,0)</f>
        <v>0</v>
      </c>
      <c r="BT337">
        <f>IF(ISNUMBER(Y337),INDEX(AllCollegeMoneyCode, MATCH(N337,AllCollegeNCES,0)),"?")</f>
        <v>0</v>
      </c>
      <c r="BU337">
        <f>IF(OR(BT337="---",BT337="--",BT337="+/--",BT337="+/---"),1,0)</f>
        <v>0</v>
      </c>
      <c r="BV337">
        <f>AY337*AO337*AQ337</f>
        <v>0</v>
      </c>
    </row>
    <row r="338" spans="1:74">
      <c r="A338" t="s">
        <v>86</v>
      </c>
      <c r="B338">
        <v>23207280</v>
      </c>
      <c r="C338" t="s">
        <v>106</v>
      </c>
      <c r="D338" t="s">
        <v>107</v>
      </c>
      <c r="E338" t="s">
        <v>428</v>
      </c>
      <c r="F338" t="s">
        <v>435</v>
      </c>
      <c r="G338" t="s">
        <v>430</v>
      </c>
      <c r="H338" t="s">
        <v>431</v>
      </c>
      <c r="I338" t="s">
        <v>432</v>
      </c>
      <c r="J338" t="s">
        <v>432</v>
      </c>
      <c r="K338">
        <v>0</v>
      </c>
      <c r="L338" t="s">
        <v>428</v>
      </c>
      <c r="M338" t="s">
        <v>428</v>
      </c>
      <c r="N338">
        <v>144892</v>
      </c>
      <c r="O338">
        <f>INDEX(AllCollegeBarrons,MATCH(N338,AllCollegeNCES,0))</f>
        <v>0</v>
      </c>
      <c r="P338">
        <f>INDEX(KidGPAs,MATCH(B338,KidIDs,0))</f>
        <v>0</v>
      </c>
      <c r="Q338">
        <f>INDEX(KidACTs,MATCH(B338,KidIDs,0))</f>
        <v>0</v>
      </c>
      <c r="R338">
        <f>INDEX(Strats,MATCH(B338,KidIDs,0))</f>
        <v>0</v>
      </c>
      <c r="S338">
        <f>INDEX(KidRace,MATCH(B338,KidIDs,0))</f>
        <v>0</v>
      </c>
      <c r="T338">
        <f>IF(OR(S338="M",S338="I"),"H",S338)</f>
        <v>0</v>
      </c>
      <c r="U338">
        <f>INDEX(StudentTargets,MATCH(B338,KidIDs,0))</f>
        <v>0</v>
      </c>
      <c r="V338">
        <f>INDEX(ReachStudentTargets,MATCH(B338,KidIDs,0))</f>
        <v>0</v>
      </c>
      <c r="W338">
        <f>IF(OR(M338="Posse"),1,0)</f>
        <v>0</v>
      </c>
      <c r="X338">
        <f>IF(ISNUMBER(INDEX(AllCollegeGR, MATCH(N338,AllCollegeNCES,0))),ROUND(INDEX(AllCollegeGR, MATCH(N338,AllCollegeNCES,0))+W338*IF(INDEX(AllCollegeGR, MATCH(N338,AllCollegeNCES,0))&gt;0.7,(1-INDEX(AllCollegeGR, MATCH(N338,AllCollegeNCES,0)))/2,0.15),2),INDEX(AllCollegeGR, MATCH(N338,AllCollegeNCES,0)))</f>
        <v>0</v>
      </c>
      <c r="Y338">
        <f>IF(ISNUMBER(INDEX(AllCollegeAAHGR, MATCH(N338,AllCollegeNCES,0))),ROUND(INDEX(AllCollegeAAHGR, MATCH(N338,AllCollegeNCES,0))+W338*IF(INDEX(AllCollegeAAHGR, MATCH(N338,AllCollegeNCES,0))&gt;0.7,(1-INDEX(AllCollegeAAHGR, MATCH(N338,AllCollegeNCES,0)))/2,0.15),2),INDEX(AllCollegeAAHGR, MATCH(N338,AllCollegeNCES,0)))</f>
        <v>0</v>
      </c>
      <c r="Z338">
        <f>IF(OR(T338="H",T338="B"),INDEX(AllCollegeACT25, MATCH(N338,AllCollegeNCES,0)),INDEX(AllCollegeACT50, MATCH(N338,AllCollegeNCES,0)))</f>
        <v>0</v>
      </c>
      <c r="AA338">
        <f>INDEX(CustomWeightsGPA,MATCH(T338&amp;":"&amp;N338,CustomWeightsIndex,0))</f>
        <v>0</v>
      </c>
      <c r="AB338">
        <f>INDEX(CustomWeightsACT,MATCH(T338&amp;":"&amp;N338,CustomWeightsIndex,0))</f>
        <v>0</v>
      </c>
      <c r="AC338">
        <f>INDEX(CustomWeightsIntercept,MATCH(T338&amp;":"&amp;N338,CustomWeightsIndex,0))</f>
        <v>0</v>
      </c>
      <c r="AD338">
        <f>AA338*P338+AB338*Q338+AC338</f>
        <v>0</v>
      </c>
      <c r="AE338">
        <f>INDEX(CoefficientsGPA,MATCH(T338&amp;":"&amp;O338,CoefficientsIndex,0))</f>
        <v>0</v>
      </c>
      <c r="AF338">
        <f>INDEX(CoefficientsACT,MATCH(T338&amp;":"&amp;O338,CoefficientsIndex,0))</f>
        <v>0</v>
      </c>
      <c r="AG338">
        <f>INDEX(CoefficientsIntercept,MATCH(T338&amp;":"&amp;O338,CoefficientsIndex,0))</f>
        <v>0</v>
      </c>
      <c r="AH338">
        <f>AE338*P338+(Q338-Z338)*AF338+AG338</f>
        <v>0</v>
      </c>
      <c r="AI338">
        <f>IF(ISNUMBER(AD338),AD338,AH338)</f>
        <v>0</v>
      </c>
      <c r="AJ338">
        <f>IF(ISNUMBER(AI338),IF(ISNUMBER(AE338),IF(AND(AE338=1,AF338=1,AG338=1),100,ROUND(100*EXP(AI338)/(1+EXP(AI338)),2)),ROUND(100*EXP(AI338)/(1+EXP(AI338)),2)),IF(ISTEXT(O338),IF(LEFT(O338,1)="2",100,"N/A"),"N/A"))</f>
        <v>0</v>
      </c>
      <c r="AK338">
        <f>IF(ISNUMBER(AJ338),IF(AJ338&gt;=99,IF(OR(R338=10,R338=11),MatchLabel,SureThingLabel),IF(AJ338&gt;=95,SecureLabel,IF(AJ338&gt;=80,SafetyLabel,IF(AJ338&gt;=50,MatchLabel,IF(AJ338&gt;=20,ReachLabel,IF(AJ338&gt;=10,LongshotLabel,HailMaryLabel)))))),"Other")</f>
        <v>0</v>
      </c>
      <c r="AL338">
        <f>IF(OR(I338="accepted",I338="cond. accept",I338="summer admit"),IF(J338="yes","CHOICE!","Accepted!"),IF(I338="denied","Denied",IF(K338=1,"Waitlist",IF(L338=1,"Deferred",IF(G338="pending","Pending",IF(OR(G338="initial materials submitted",G338="mid-year submitted",G338="final submitted"),"Submitted",IF(H338="interest","Interest","?")))))))</f>
        <v>0</v>
      </c>
      <c r="AM338">
        <f>IF(OR(AK338=ReachLabel,AK338=LongshotLabel,AK338=HailMaryLabel),1,0)</f>
        <v>0</v>
      </c>
      <c r="AN338">
        <f>IF(OR(AM338=1,AK338=MatchLabel),1,0)</f>
        <v>0</v>
      </c>
      <c r="AO338">
        <f>IF(OR(AK338=MatchLabel,AK338=SafetyLabel,AK338=SecureLabel,AK338=SureThingLabel),1,0)</f>
        <v>0</v>
      </c>
      <c r="AP338">
        <f>IF(OR(T338="H",T338="B"),IF(ISNUMBER(Y338),ROUND(Y338,2),0),IF(ISNUMBER(X338),ROUND(X338,2),0))</f>
        <v>0</v>
      </c>
      <c r="AQ338">
        <f>IF(AP338&gt;=U338,1,0)</f>
        <v>0</v>
      </c>
      <c r="AR338">
        <f>IF(AP338&gt;=V338,1,0)</f>
        <v>0</v>
      </c>
      <c r="AS338">
        <f>IF(AP338&lt;(U338-0.10),1,0)</f>
        <v>0</v>
      </c>
      <c r="AT338">
        <f>1-AJ338/100</f>
        <v>0</v>
      </c>
      <c r="AU338">
        <f>IF(AN338=1,AT338,1)</f>
        <v>0</v>
      </c>
      <c r="AV338">
        <f>IF(AM338=1,AT338,1)</f>
        <v>0</v>
      </c>
      <c r="AW338">
        <f>IF(AND(AQ338=1,ISNUMBER(AT338)),$AT338,1)</f>
        <v>0</v>
      </c>
      <c r="AX338">
        <f>IF(AND(AR338=1,ISNUMBER(AT338)),$AT338,1)</f>
        <v>0</v>
      </c>
      <c r="AY338">
        <f>IF(ISNUMBER(Y338),INDEX(AllCollegeMoney, MATCH(N338,AllCollegeNCES,0)),0)</f>
        <v>0</v>
      </c>
      <c r="AZ338">
        <f>IF(AND(AQ338=1,ISNUMBER(AT338),AY338=1),$AT338,1)</f>
        <v>0</v>
      </c>
      <c r="BA338">
        <f>IF(AND(AR338=1,ISNUMBER(AT338),AY338=1),$AT338,1)</f>
        <v>0</v>
      </c>
      <c r="BB338">
        <f>IF(ISNUMBER(Y338),INDEX(AllCollegeILPub, MATCH(N338,AllCollegeNCES,0)),0)</f>
        <v>0</v>
      </c>
      <c r="BC338">
        <f>IF(AK338=ReachLabel,AP338,0)</f>
        <v>0</v>
      </c>
      <c r="BD338">
        <f>IF(AK338=MatchLabel,AP338,0)</f>
        <v>0</v>
      </c>
      <c r="BE338">
        <f>IF(AK338=SafetyLabel,AP338,0)</f>
        <v>0</v>
      </c>
      <c r="BF338">
        <f>IF(AK338=SecureLabel,AP338,0)</f>
        <v>0</v>
      </c>
      <c r="BG338">
        <f>IF(AK338=SureThingLabel,AP338,0)</f>
        <v>0</v>
      </c>
      <c r="BH338">
        <f>MAX(BC338:BG338)</f>
        <v>0</v>
      </c>
      <c r="BI338">
        <f>MAX(BD338:BG338)</f>
        <v>0</v>
      </c>
      <c r="BJ338">
        <f>MAX(BE338:BG338)</f>
        <v>0</v>
      </c>
      <c r="BK338">
        <f>IF(AND(AK338=ReachLabel,AY338=1),AP338,0)</f>
        <v>0</v>
      </c>
      <c r="BL338">
        <f>IF(AND(AK338=MatchLabel,AY338=1),AP338,0)</f>
        <v>0</v>
      </c>
      <c r="BM338">
        <f>IF(AND(AK338=SafetyLabel,AY338=1),AP338,0)</f>
        <v>0</v>
      </c>
      <c r="BN338">
        <f>IF(AND(AK338=SecureLabel,AY338=1),AP338,0)</f>
        <v>0</v>
      </c>
      <c r="BO338">
        <f>IF(AND(AK338=SureThingLabel,AY338=1),AP338,0)</f>
        <v>0</v>
      </c>
      <c r="BP338">
        <f>MAX(BK338:BO338)</f>
        <v>0</v>
      </c>
      <c r="BQ338">
        <f>MAX(BL338:BO338)</f>
        <v>0</v>
      </c>
      <c r="BR338">
        <f>MAX(BM338:BO338)</f>
        <v>0</v>
      </c>
      <c r="BS338">
        <f>IF(ISNUMBER(Y338),INDEX(AllCollegeChicago, MATCH(N338,AllCollegeNCES,0))*AY338,0)</f>
        <v>0</v>
      </c>
      <c r="BT338">
        <f>IF(ISNUMBER(Y338),INDEX(AllCollegeMoneyCode, MATCH(N338,AllCollegeNCES,0)),"?")</f>
        <v>0</v>
      </c>
      <c r="BU338">
        <f>IF(OR(BT338="---",BT338="--",BT338="+/--",BT338="+/---"),1,0)</f>
        <v>0</v>
      </c>
      <c r="BV338">
        <f>AY338*AO338*AQ338</f>
        <v>0</v>
      </c>
    </row>
    <row r="339" spans="1:74">
      <c r="A339" t="s">
        <v>86</v>
      </c>
      <c r="B339">
        <v>23207280</v>
      </c>
      <c r="C339" t="s">
        <v>106</v>
      </c>
      <c r="D339" t="s">
        <v>107</v>
      </c>
      <c r="E339" t="s">
        <v>428</v>
      </c>
      <c r="F339" t="s">
        <v>448</v>
      </c>
      <c r="G339" t="s">
        <v>430</v>
      </c>
      <c r="H339" t="s">
        <v>431</v>
      </c>
      <c r="I339" t="s">
        <v>432</v>
      </c>
      <c r="J339" t="s">
        <v>432</v>
      </c>
      <c r="K339">
        <v>0</v>
      </c>
      <c r="L339" t="s">
        <v>428</v>
      </c>
      <c r="M339" t="s">
        <v>428</v>
      </c>
      <c r="N339" t="s">
        <v>449</v>
      </c>
      <c r="O339">
        <f>INDEX(AllCollegeBarrons,MATCH(N339,AllCollegeNCES,0))</f>
        <v>0</v>
      </c>
      <c r="P339">
        <f>INDEX(KidGPAs,MATCH(B339,KidIDs,0))</f>
        <v>0</v>
      </c>
      <c r="Q339">
        <f>INDEX(KidACTs,MATCH(B339,KidIDs,0))</f>
        <v>0</v>
      </c>
      <c r="R339">
        <f>INDEX(Strats,MATCH(B339,KidIDs,0))</f>
        <v>0</v>
      </c>
      <c r="S339">
        <f>INDEX(KidRace,MATCH(B339,KidIDs,0))</f>
        <v>0</v>
      </c>
      <c r="T339">
        <f>IF(OR(S339="M",S339="I"),"H",S339)</f>
        <v>0</v>
      </c>
      <c r="U339">
        <f>INDEX(StudentTargets,MATCH(B339,KidIDs,0))</f>
        <v>0</v>
      </c>
      <c r="V339">
        <f>INDEX(ReachStudentTargets,MATCH(B339,KidIDs,0))</f>
        <v>0</v>
      </c>
      <c r="W339">
        <f>IF(OR(M339="Posse"),1,0)</f>
        <v>0</v>
      </c>
      <c r="X339">
        <f>IF(ISNUMBER(INDEX(AllCollegeGR, MATCH(N339,AllCollegeNCES,0))),ROUND(INDEX(AllCollegeGR, MATCH(N339,AllCollegeNCES,0))+W339*IF(INDEX(AllCollegeGR, MATCH(N339,AllCollegeNCES,0))&gt;0.7,(1-INDEX(AllCollegeGR, MATCH(N339,AllCollegeNCES,0)))/2,0.15),2),INDEX(AllCollegeGR, MATCH(N339,AllCollegeNCES,0)))</f>
        <v>0</v>
      </c>
      <c r="Y339">
        <f>IF(ISNUMBER(INDEX(AllCollegeAAHGR, MATCH(N339,AllCollegeNCES,0))),ROUND(INDEX(AllCollegeAAHGR, MATCH(N339,AllCollegeNCES,0))+W339*IF(INDEX(AllCollegeAAHGR, MATCH(N339,AllCollegeNCES,0))&gt;0.7,(1-INDEX(AllCollegeAAHGR, MATCH(N339,AllCollegeNCES,0)))/2,0.15),2),INDEX(AllCollegeAAHGR, MATCH(N339,AllCollegeNCES,0)))</f>
        <v>0</v>
      </c>
      <c r="Z339">
        <f>IF(OR(T339="H",T339="B"),INDEX(AllCollegeACT25, MATCH(N339,AllCollegeNCES,0)),INDEX(AllCollegeACT50, MATCH(N339,AllCollegeNCES,0)))</f>
        <v>0</v>
      </c>
      <c r="AA339">
        <f>INDEX(CustomWeightsGPA,MATCH(T339&amp;":"&amp;N339,CustomWeightsIndex,0))</f>
        <v>0</v>
      </c>
      <c r="AB339">
        <f>INDEX(CustomWeightsACT,MATCH(T339&amp;":"&amp;N339,CustomWeightsIndex,0))</f>
        <v>0</v>
      </c>
      <c r="AC339">
        <f>INDEX(CustomWeightsIntercept,MATCH(T339&amp;":"&amp;N339,CustomWeightsIndex,0))</f>
        <v>0</v>
      </c>
      <c r="AD339">
        <f>AA339*P339+AB339*Q339+AC339</f>
        <v>0</v>
      </c>
      <c r="AE339">
        <f>INDEX(CoefficientsGPA,MATCH(T339&amp;":"&amp;O339,CoefficientsIndex,0))</f>
        <v>0</v>
      </c>
      <c r="AF339">
        <f>INDEX(CoefficientsACT,MATCH(T339&amp;":"&amp;O339,CoefficientsIndex,0))</f>
        <v>0</v>
      </c>
      <c r="AG339">
        <f>INDEX(CoefficientsIntercept,MATCH(T339&amp;":"&amp;O339,CoefficientsIndex,0))</f>
        <v>0</v>
      </c>
      <c r="AH339">
        <f>AE339*P339+(Q339-Z339)*AF339+AG339</f>
        <v>0</v>
      </c>
      <c r="AI339">
        <f>IF(ISNUMBER(AD339),AD339,AH339)</f>
        <v>0</v>
      </c>
      <c r="AJ339">
        <f>IF(ISNUMBER(AI339),IF(ISNUMBER(AE339),IF(AND(AE339=1,AF339=1,AG339=1),100,ROUND(100*EXP(AI339)/(1+EXP(AI339)),2)),ROUND(100*EXP(AI339)/(1+EXP(AI339)),2)),IF(ISTEXT(O339),IF(LEFT(O339,1)="2",100,"N/A"),"N/A"))</f>
        <v>0</v>
      </c>
      <c r="AK339">
        <f>IF(ISNUMBER(AJ339),IF(AJ339&gt;=99,IF(OR(R339=10,R339=11),MatchLabel,SureThingLabel),IF(AJ339&gt;=95,SecureLabel,IF(AJ339&gt;=80,SafetyLabel,IF(AJ339&gt;=50,MatchLabel,IF(AJ339&gt;=20,ReachLabel,IF(AJ339&gt;=10,LongshotLabel,HailMaryLabel)))))),"Other")</f>
        <v>0</v>
      </c>
      <c r="AL339">
        <f>IF(OR(I339="accepted",I339="cond. accept",I339="summer admit"),IF(J339="yes","CHOICE!","Accepted!"),IF(I339="denied","Denied",IF(K339=1,"Waitlist",IF(L339=1,"Deferred",IF(G339="pending","Pending",IF(OR(G339="initial materials submitted",G339="mid-year submitted",G339="final submitted"),"Submitted",IF(H339="interest","Interest","?")))))))</f>
        <v>0</v>
      </c>
      <c r="AM339">
        <f>IF(OR(AK339=ReachLabel,AK339=LongshotLabel,AK339=HailMaryLabel),1,0)</f>
        <v>0</v>
      </c>
      <c r="AN339">
        <f>IF(OR(AM339=1,AK339=MatchLabel),1,0)</f>
        <v>0</v>
      </c>
      <c r="AO339">
        <f>IF(OR(AK339=MatchLabel,AK339=SafetyLabel,AK339=SecureLabel,AK339=SureThingLabel),1,0)</f>
        <v>0</v>
      </c>
      <c r="AP339">
        <f>IF(OR(T339="H",T339="B"),IF(ISNUMBER(Y339),ROUND(Y339,2),0),IF(ISNUMBER(X339),ROUND(X339,2),0))</f>
        <v>0</v>
      </c>
      <c r="AQ339">
        <f>IF(AP339&gt;=U339,1,0)</f>
        <v>0</v>
      </c>
      <c r="AR339">
        <f>IF(AP339&gt;=V339,1,0)</f>
        <v>0</v>
      </c>
      <c r="AS339">
        <f>IF(AP339&lt;(U339-0.10),1,0)</f>
        <v>0</v>
      </c>
      <c r="AT339">
        <f>1-AJ339/100</f>
        <v>0</v>
      </c>
      <c r="AU339">
        <f>IF(AN339=1,AT339,1)</f>
        <v>0</v>
      </c>
      <c r="AV339">
        <f>IF(AM339=1,AT339,1)</f>
        <v>0</v>
      </c>
      <c r="AW339">
        <f>IF(AND(AQ339=1,ISNUMBER(AT339)),$AT339,1)</f>
        <v>0</v>
      </c>
      <c r="AX339">
        <f>IF(AND(AR339=1,ISNUMBER(AT339)),$AT339,1)</f>
        <v>0</v>
      </c>
      <c r="AY339">
        <f>IF(ISNUMBER(Y339),INDEX(AllCollegeMoney, MATCH(N339,AllCollegeNCES,0)),0)</f>
        <v>0</v>
      </c>
      <c r="AZ339">
        <f>IF(AND(AQ339=1,ISNUMBER(AT339),AY339=1),$AT339,1)</f>
        <v>0</v>
      </c>
      <c r="BA339">
        <f>IF(AND(AR339=1,ISNUMBER(AT339),AY339=1),$AT339,1)</f>
        <v>0</v>
      </c>
      <c r="BB339">
        <f>IF(ISNUMBER(Y339),INDEX(AllCollegeILPub, MATCH(N339,AllCollegeNCES,0)),0)</f>
        <v>0</v>
      </c>
      <c r="BC339">
        <f>IF(AK339=ReachLabel,AP339,0)</f>
        <v>0</v>
      </c>
      <c r="BD339">
        <f>IF(AK339=MatchLabel,AP339,0)</f>
        <v>0</v>
      </c>
      <c r="BE339">
        <f>IF(AK339=SafetyLabel,AP339,0)</f>
        <v>0</v>
      </c>
      <c r="BF339">
        <f>IF(AK339=SecureLabel,AP339,0)</f>
        <v>0</v>
      </c>
      <c r="BG339">
        <f>IF(AK339=SureThingLabel,AP339,0)</f>
        <v>0</v>
      </c>
      <c r="BH339">
        <f>MAX(BC339:BG339)</f>
        <v>0</v>
      </c>
      <c r="BI339">
        <f>MAX(BD339:BG339)</f>
        <v>0</v>
      </c>
      <c r="BJ339">
        <f>MAX(BE339:BG339)</f>
        <v>0</v>
      </c>
      <c r="BK339">
        <f>IF(AND(AK339=ReachLabel,AY339=1),AP339,0)</f>
        <v>0</v>
      </c>
      <c r="BL339">
        <f>IF(AND(AK339=MatchLabel,AY339=1),AP339,0)</f>
        <v>0</v>
      </c>
      <c r="BM339">
        <f>IF(AND(AK339=SafetyLabel,AY339=1),AP339,0)</f>
        <v>0</v>
      </c>
      <c r="BN339">
        <f>IF(AND(AK339=SecureLabel,AY339=1),AP339,0)</f>
        <v>0</v>
      </c>
      <c r="BO339">
        <f>IF(AND(AK339=SureThingLabel,AY339=1),AP339,0)</f>
        <v>0</v>
      </c>
      <c r="BP339">
        <f>MAX(BK339:BO339)</f>
        <v>0</v>
      </c>
      <c r="BQ339">
        <f>MAX(BL339:BO339)</f>
        <v>0</v>
      </c>
      <c r="BR339">
        <f>MAX(BM339:BO339)</f>
        <v>0</v>
      </c>
      <c r="BS339">
        <f>IF(ISNUMBER(Y339),INDEX(AllCollegeChicago, MATCH(N339,AllCollegeNCES,0))*AY339,0)</f>
        <v>0</v>
      </c>
      <c r="BT339">
        <f>IF(ISNUMBER(Y339),INDEX(AllCollegeMoneyCode, MATCH(N339,AllCollegeNCES,0)),"?")</f>
        <v>0</v>
      </c>
      <c r="BU339">
        <f>IF(OR(BT339="---",BT339="--",BT339="+/--",BT339="+/---"),1,0)</f>
        <v>0</v>
      </c>
      <c r="BV339">
        <f>AY339*AO339*AQ339</f>
        <v>0</v>
      </c>
    </row>
    <row r="340" spans="1:74">
      <c r="A340" t="s">
        <v>86</v>
      </c>
      <c r="B340">
        <v>23207280</v>
      </c>
      <c r="C340" t="s">
        <v>106</v>
      </c>
      <c r="D340" t="s">
        <v>107</v>
      </c>
      <c r="E340" t="s">
        <v>428</v>
      </c>
      <c r="F340" t="s">
        <v>436</v>
      </c>
      <c r="G340" t="s">
        <v>430</v>
      </c>
      <c r="H340" t="s">
        <v>431</v>
      </c>
      <c r="I340" t="s">
        <v>432</v>
      </c>
      <c r="J340" t="s">
        <v>432</v>
      </c>
      <c r="K340">
        <v>0</v>
      </c>
      <c r="L340" t="s">
        <v>428</v>
      </c>
      <c r="M340" t="s">
        <v>428</v>
      </c>
      <c r="N340">
        <v>147536</v>
      </c>
      <c r="O340">
        <f>INDEX(AllCollegeBarrons,MATCH(N340,AllCollegeNCES,0))</f>
        <v>0</v>
      </c>
      <c r="P340">
        <f>INDEX(KidGPAs,MATCH(B340,KidIDs,0))</f>
        <v>0</v>
      </c>
      <c r="Q340">
        <f>INDEX(KidACTs,MATCH(B340,KidIDs,0))</f>
        <v>0</v>
      </c>
      <c r="R340">
        <f>INDEX(Strats,MATCH(B340,KidIDs,0))</f>
        <v>0</v>
      </c>
      <c r="S340">
        <f>INDEX(KidRace,MATCH(B340,KidIDs,0))</f>
        <v>0</v>
      </c>
      <c r="T340">
        <f>IF(OR(S340="M",S340="I"),"H",S340)</f>
        <v>0</v>
      </c>
      <c r="U340">
        <f>INDEX(StudentTargets,MATCH(B340,KidIDs,0))</f>
        <v>0</v>
      </c>
      <c r="V340">
        <f>INDEX(ReachStudentTargets,MATCH(B340,KidIDs,0))</f>
        <v>0</v>
      </c>
      <c r="W340">
        <f>IF(OR(M340="Posse"),1,0)</f>
        <v>0</v>
      </c>
      <c r="X340">
        <f>IF(ISNUMBER(INDEX(AllCollegeGR, MATCH(N340,AllCollegeNCES,0))),ROUND(INDEX(AllCollegeGR, MATCH(N340,AllCollegeNCES,0))+W340*IF(INDEX(AllCollegeGR, MATCH(N340,AllCollegeNCES,0))&gt;0.7,(1-INDEX(AllCollegeGR, MATCH(N340,AllCollegeNCES,0)))/2,0.15),2),INDEX(AllCollegeGR, MATCH(N340,AllCollegeNCES,0)))</f>
        <v>0</v>
      </c>
      <c r="Y340">
        <f>IF(ISNUMBER(INDEX(AllCollegeAAHGR, MATCH(N340,AllCollegeNCES,0))),ROUND(INDEX(AllCollegeAAHGR, MATCH(N340,AllCollegeNCES,0))+W340*IF(INDEX(AllCollegeAAHGR, MATCH(N340,AllCollegeNCES,0))&gt;0.7,(1-INDEX(AllCollegeAAHGR, MATCH(N340,AllCollegeNCES,0)))/2,0.15),2),INDEX(AllCollegeAAHGR, MATCH(N340,AllCollegeNCES,0)))</f>
        <v>0</v>
      </c>
      <c r="Z340">
        <f>IF(OR(T340="H",T340="B"),INDEX(AllCollegeACT25, MATCH(N340,AllCollegeNCES,0)),INDEX(AllCollegeACT50, MATCH(N340,AllCollegeNCES,0)))</f>
        <v>0</v>
      </c>
      <c r="AA340">
        <f>INDEX(CustomWeightsGPA,MATCH(T340&amp;":"&amp;N340,CustomWeightsIndex,0))</f>
        <v>0</v>
      </c>
      <c r="AB340">
        <f>INDEX(CustomWeightsACT,MATCH(T340&amp;":"&amp;N340,CustomWeightsIndex,0))</f>
        <v>0</v>
      </c>
      <c r="AC340">
        <f>INDEX(CustomWeightsIntercept,MATCH(T340&amp;":"&amp;N340,CustomWeightsIndex,0))</f>
        <v>0</v>
      </c>
      <c r="AD340">
        <f>AA340*P340+AB340*Q340+AC340</f>
        <v>0</v>
      </c>
      <c r="AE340">
        <f>INDEX(CoefficientsGPA,MATCH(T340&amp;":"&amp;O340,CoefficientsIndex,0))</f>
        <v>0</v>
      </c>
      <c r="AF340">
        <f>INDEX(CoefficientsACT,MATCH(T340&amp;":"&amp;O340,CoefficientsIndex,0))</f>
        <v>0</v>
      </c>
      <c r="AG340">
        <f>INDEX(CoefficientsIntercept,MATCH(T340&amp;":"&amp;O340,CoefficientsIndex,0))</f>
        <v>0</v>
      </c>
      <c r="AH340">
        <f>AE340*P340+(Q340-Z340)*AF340+AG340</f>
        <v>0</v>
      </c>
      <c r="AI340">
        <f>IF(ISNUMBER(AD340),AD340,AH340)</f>
        <v>0</v>
      </c>
      <c r="AJ340">
        <f>IF(ISNUMBER(AI340),IF(ISNUMBER(AE340),IF(AND(AE340=1,AF340=1,AG340=1),100,ROUND(100*EXP(AI340)/(1+EXP(AI340)),2)),ROUND(100*EXP(AI340)/(1+EXP(AI340)),2)),IF(ISTEXT(O340),IF(LEFT(O340,1)="2",100,"N/A"),"N/A"))</f>
        <v>0</v>
      </c>
      <c r="AK340">
        <f>IF(ISNUMBER(AJ340),IF(AJ340&gt;=99,IF(OR(R340=10,R340=11),MatchLabel,SureThingLabel),IF(AJ340&gt;=95,SecureLabel,IF(AJ340&gt;=80,SafetyLabel,IF(AJ340&gt;=50,MatchLabel,IF(AJ340&gt;=20,ReachLabel,IF(AJ340&gt;=10,LongshotLabel,HailMaryLabel)))))),"Other")</f>
        <v>0</v>
      </c>
      <c r="AL340">
        <f>IF(OR(I340="accepted",I340="cond. accept",I340="summer admit"),IF(J340="yes","CHOICE!","Accepted!"),IF(I340="denied","Denied",IF(K340=1,"Waitlist",IF(L340=1,"Deferred",IF(G340="pending","Pending",IF(OR(G340="initial materials submitted",G340="mid-year submitted",G340="final submitted"),"Submitted",IF(H340="interest","Interest","?")))))))</f>
        <v>0</v>
      </c>
      <c r="AM340">
        <f>IF(OR(AK340=ReachLabel,AK340=LongshotLabel,AK340=HailMaryLabel),1,0)</f>
        <v>0</v>
      </c>
      <c r="AN340">
        <f>IF(OR(AM340=1,AK340=MatchLabel),1,0)</f>
        <v>0</v>
      </c>
      <c r="AO340">
        <f>IF(OR(AK340=MatchLabel,AK340=SafetyLabel,AK340=SecureLabel,AK340=SureThingLabel),1,0)</f>
        <v>0</v>
      </c>
      <c r="AP340">
        <f>IF(OR(T340="H",T340="B"),IF(ISNUMBER(Y340),ROUND(Y340,2),0),IF(ISNUMBER(X340),ROUND(X340,2),0))</f>
        <v>0</v>
      </c>
      <c r="AQ340">
        <f>IF(AP340&gt;=U340,1,0)</f>
        <v>0</v>
      </c>
      <c r="AR340">
        <f>IF(AP340&gt;=V340,1,0)</f>
        <v>0</v>
      </c>
      <c r="AS340">
        <f>IF(AP340&lt;(U340-0.10),1,0)</f>
        <v>0</v>
      </c>
      <c r="AT340">
        <f>1-AJ340/100</f>
        <v>0</v>
      </c>
      <c r="AU340">
        <f>IF(AN340=1,AT340,1)</f>
        <v>0</v>
      </c>
      <c r="AV340">
        <f>IF(AM340=1,AT340,1)</f>
        <v>0</v>
      </c>
      <c r="AW340">
        <f>IF(AND(AQ340=1,ISNUMBER(AT340)),$AT340,1)</f>
        <v>0</v>
      </c>
      <c r="AX340">
        <f>IF(AND(AR340=1,ISNUMBER(AT340)),$AT340,1)</f>
        <v>0</v>
      </c>
      <c r="AY340">
        <f>IF(ISNUMBER(Y340),INDEX(AllCollegeMoney, MATCH(N340,AllCollegeNCES,0)),0)</f>
        <v>0</v>
      </c>
      <c r="AZ340">
        <f>IF(AND(AQ340=1,ISNUMBER(AT340),AY340=1),$AT340,1)</f>
        <v>0</v>
      </c>
      <c r="BA340">
        <f>IF(AND(AR340=1,ISNUMBER(AT340),AY340=1),$AT340,1)</f>
        <v>0</v>
      </c>
      <c r="BB340">
        <f>IF(ISNUMBER(Y340),INDEX(AllCollegeILPub, MATCH(N340,AllCollegeNCES,0)),0)</f>
        <v>0</v>
      </c>
      <c r="BC340">
        <f>IF(AK340=ReachLabel,AP340,0)</f>
        <v>0</v>
      </c>
      <c r="BD340">
        <f>IF(AK340=MatchLabel,AP340,0)</f>
        <v>0</v>
      </c>
      <c r="BE340">
        <f>IF(AK340=SafetyLabel,AP340,0)</f>
        <v>0</v>
      </c>
      <c r="BF340">
        <f>IF(AK340=SecureLabel,AP340,0)</f>
        <v>0</v>
      </c>
      <c r="BG340">
        <f>IF(AK340=SureThingLabel,AP340,0)</f>
        <v>0</v>
      </c>
      <c r="BH340">
        <f>MAX(BC340:BG340)</f>
        <v>0</v>
      </c>
      <c r="BI340">
        <f>MAX(BD340:BG340)</f>
        <v>0</v>
      </c>
      <c r="BJ340">
        <f>MAX(BE340:BG340)</f>
        <v>0</v>
      </c>
      <c r="BK340">
        <f>IF(AND(AK340=ReachLabel,AY340=1),AP340,0)</f>
        <v>0</v>
      </c>
      <c r="BL340">
        <f>IF(AND(AK340=MatchLabel,AY340=1),AP340,0)</f>
        <v>0</v>
      </c>
      <c r="BM340">
        <f>IF(AND(AK340=SafetyLabel,AY340=1),AP340,0)</f>
        <v>0</v>
      </c>
      <c r="BN340">
        <f>IF(AND(AK340=SecureLabel,AY340=1),AP340,0)</f>
        <v>0</v>
      </c>
      <c r="BO340">
        <f>IF(AND(AK340=SureThingLabel,AY340=1),AP340,0)</f>
        <v>0</v>
      </c>
      <c r="BP340">
        <f>MAX(BK340:BO340)</f>
        <v>0</v>
      </c>
      <c r="BQ340">
        <f>MAX(BL340:BO340)</f>
        <v>0</v>
      </c>
      <c r="BR340">
        <f>MAX(BM340:BO340)</f>
        <v>0</v>
      </c>
      <c r="BS340">
        <f>IF(ISNUMBER(Y340),INDEX(AllCollegeChicago, MATCH(N340,AllCollegeNCES,0))*AY340,0)</f>
        <v>0</v>
      </c>
      <c r="BT340">
        <f>IF(ISNUMBER(Y340),INDEX(AllCollegeMoneyCode, MATCH(N340,AllCollegeNCES,0)),"?")</f>
        <v>0</v>
      </c>
      <c r="BU340">
        <f>IF(OR(BT340="---",BT340="--",BT340="+/--",BT340="+/---"),1,0)</f>
        <v>0</v>
      </c>
      <c r="BV340">
        <f>AY340*AO340*AQ340</f>
        <v>0</v>
      </c>
    </row>
    <row r="341" spans="1:74">
      <c r="A341" t="s">
        <v>86</v>
      </c>
      <c r="B341">
        <v>23207280</v>
      </c>
      <c r="C341" t="s">
        <v>106</v>
      </c>
      <c r="D341" t="s">
        <v>107</v>
      </c>
      <c r="E341" t="s">
        <v>428</v>
      </c>
      <c r="F341" t="s">
        <v>437</v>
      </c>
      <c r="G341" t="s">
        <v>463</v>
      </c>
      <c r="H341" t="s">
        <v>431</v>
      </c>
      <c r="I341" t="s">
        <v>432</v>
      </c>
      <c r="J341" t="s">
        <v>432</v>
      </c>
      <c r="K341">
        <v>0</v>
      </c>
      <c r="L341" t="s">
        <v>428</v>
      </c>
      <c r="M341" t="s">
        <v>428</v>
      </c>
      <c r="N341">
        <v>149772</v>
      </c>
      <c r="O341">
        <f>INDEX(AllCollegeBarrons,MATCH(N341,AllCollegeNCES,0))</f>
        <v>0</v>
      </c>
      <c r="P341">
        <f>INDEX(KidGPAs,MATCH(B341,KidIDs,0))</f>
        <v>0</v>
      </c>
      <c r="Q341">
        <f>INDEX(KidACTs,MATCH(B341,KidIDs,0))</f>
        <v>0</v>
      </c>
      <c r="R341">
        <f>INDEX(Strats,MATCH(B341,KidIDs,0))</f>
        <v>0</v>
      </c>
      <c r="S341">
        <f>INDEX(KidRace,MATCH(B341,KidIDs,0))</f>
        <v>0</v>
      </c>
      <c r="T341">
        <f>IF(OR(S341="M",S341="I"),"H",S341)</f>
        <v>0</v>
      </c>
      <c r="U341">
        <f>INDEX(StudentTargets,MATCH(B341,KidIDs,0))</f>
        <v>0</v>
      </c>
      <c r="V341">
        <f>INDEX(ReachStudentTargets,MATCH(B341,KidIDs,0))</f>
        <v>0</v>
      </c>
      <c r="W341">
        <f>IF(OR(M341="Posse"),1,0)</f>
        <v>0</v>
      </c>
      <c r="X341">
        <f>IF(ISNUMBER(INDEX(AllCollegeGR, MATCH(N341,AllCollegeNCES,0))),ROUND(INDEX(AllCollegeGR, MATCH(N341,AllCollegeNCES,0))+W341*IF(INDEX(AllCollegeGR, MATCH(N341,AllCollegeNCES,0))&gt;0.7,(1-INDEX(AllCollegeGR, MATCH(N341,AllCollegeNCES,0)))/2,0.15),2),INDEX(AllCollegeGR, MATCH(N341,AllCollegeNCES,0)))</f>
        <v>0</v>
      </c>
      <c r="Y341">
        <f>IF(ISNUMBER(INDEX(AllCollegeAAHGR, MATCH(N341,AllCollegeNCES,0))),ROUND(INDEX(AllCollegeAAHGR, MATCH(N341,AllCollegeNCES,0))+W341*IF(INDEX(AllCollegeAAHGR, MATCH(N341,AllCollegeNCES,0))&gt;0.7,(1-INDEX(AllCollegeAAHGR, MATCH(N341,AllCollegeNCES,0)))/2,0.15),2),INDEX(AllCollegeAAHGR, MATCH(N341,AllCollegeNCES,0)))</f>
        <v>0</v>
      </c>
      <c r="Z341">
        <f>IF(OR(T341="H",T341="B"),INDEX(AllCollegeACT25, MATCH(N341,AllCollegeNCES,0)),INDEX(AllCollegeACT50, MATCH(N341,AllCollegeNCES,0)))</f>
        <v>0</v>
      </c>
      <c r="AA341">
        <f>INDEX(CustomWeightsGPA,MATCH(T341&amp;":"&amp;N341,CustomWeightsIndex,0))</f>
        <v>0</v>
      </c>
      <c r="AB341">
        <f>INDEX(CustomWeightsACT,MATCH(T341&amp;":"&amp;N341,CustomWeightsIndex,0))</f>
        <v>0</v>
      </c>
      <c r="AC341">
        <f>INDEX(CustomWeightsIntercept,MATCH(T341&amp;":"&amp;N341,CustomWeightsIndex,0))</f>
        <v>0</v>
      </c>
      <c r="AD341">
        <f>AA341*P341+AB341*Q341+AC341</f>
        <v>0</v>
      </c>
      <c r="AE341">
        <f>INDEX(CoefficientsGPA,MATCH(T341&amp;":"&amp;O341,CoefficientsIndex,0))</f>
        <v>0</v>
      </c>
      <c r="AF341">
        <f>INDEX(CoefficientsACT,MATCH(T341&amp;":"&amp;O341,CoefficientsIndex,0))</f>
        <v>0</v>
      </c>
      <c r="AG341">
        <f>INDEX(CoefficientsIntercept,MATCH(T341&amp;":"&amp;O341,CoefficientsIndex,0))</f>
        <v>0</v>
      </c>
      <c r="AH341">
        <f>AE341*P341+(Q341-Z341)*AF341+AG341</f>
        <v>0</v>
      </c>
      <c r="AI341">
        <f>IF(ISNUMBER(AD341),AD341,AH341)</f>
        <v>0</v>
      </c>
      <c r="AJ341">
        <f>IF(ISNUMBER(AI341),IF(ISNUMBER(AE341),IF(AND(AE341=1,AF341=1,AG341=1),100,ROUND(100*EXP(AI341)/(1+EXP(AI341)),2)),ROUND(100*EXP(AI341)/(1+EXP(AI341)),2)),IF(ISTEXT(O341),IF(LEFT(O341,1)="2",100,"N/A"),"N/A"))</f>
        <v>0</v>
      </c>
      <c r="AK341">
        <f>IF(ISNUMBER(AJ341),IF(AJ341&gt;=99,IF(OR(R341=10,R341=11),MatchLabel,SureThingLabel),IF(AJ341&gt;=95,SecureLabel,IF(AJ341&gt;=80,SafetyLabel,IF(AJ341&gt;=50,MatchLabel,IF(AJ341&gt;=20,ReachLabel,IF(AJ341&gt;=10,LongshotLabel,HailMaryLabel)))))),"Other")</f>
        <v>0</v>
      </c>
      <c r="AL341">
        <f>IF(OR(I341="accepted",I341="cond. accept",I341="summer admit"),IF(J341="yes","CHOICE!","Accepted!"),IF(I341="denied","Denied",IF(K341=1,"Waitlist",IF(L341=1,"Deferred",IF(G341="pending","Pending",IF(OR(G341="initial materials submitted",G341="mid-year submitted",G341="final submitted"),"Submitted",IF(H341="interest","Interest","?")))))))</f>
        <v>0</v>
      </c>
      <c r="AM341">
        <f>IF(OR(AK341=ReachLabel,AK341=LongshotLabel,AK341=HailMaryLabel),1,0)</f>
        <v>0</v>
      </c>
      <c r="AN341">
        <f>IF(OR(AM341=1,AK341=MatchLabel),1,0)</f>
        <v>0</v>
      </c>
      <c r="AO341">
        <f>IF(OR(AK341=MatchLabel,AK341=SafetyLabel,AK341=SecureLabel,AK341=SureThingLabel),1,0)</f>
        <v>0</v>
      </c>
      <c r="AP341">
        <f>IF(OR(T341="H",T341="B"),IF(ISNUMBER(Y341),ROUND(Y341,2),0),IF(ISNUMBER(X341),ROUND(X341,2),0))</f>
        <v>0</v>
      </c>
      <c r="AQ341">
        <f>IF(AP341&gt;=U341,1,0)</f>
        <v>0</v>
      </c>
      <c r="AR341">
        <f>IF(AP341&gt;=V341,1,0)</f>
        <v>0</v>
      </c>
      <c r="AS341">
        <f>IF(AP341&lt;(U341-0.10),1,0)</f>
        <v>0</v>
      </c>
      <c r="AT341">
        <f>1-AJ341/100</f>
        <v>0</v>
      </c>
      <c r="AU341">
        <f>IF(AN341=1,AT341,1)</f>
        <v>0</v>
      </c>
      <c r="AV341">
        <f>IF(AM341=1,AT341,1)</f>
        <v>0</v>
      </c>
      <c r="AW341">
        <f>IF(AND(AQ341=1,ISNUMBER(AT341)),$AT341,1)</f>
        <v>0</v>
      </c>
      <c r="AX341">
        <f>IF(AND(AR341=1,ISNUMBER(AT341)),$AT341,1)</f>
        <v>0</v>
      </c>
      <c r="AY341">
        <f>IF(ISNUMBER(Y341),INDEX(AllCollegeMoney, MATCH(N341,AllCollegeNCES,0)),0)</f>
        <v>0</v>
      </c>
      <c r="AZ341">
        <f>IF(AND(AQ341=1,ISNUMBER(AT341),AY341=1),$AT341,1)</f>
        <v>0</v>
      </c>
      <c r="BA341">
        <f>IF(AND(AR341=1,ISNUMBER(AT341),AY341=1),$AT341,1)</f>
        <v>0</v>
      </c>
      <c r="BB341">
        <f>IF(ISNUMBER(Y341),INDEX(AllCollegeILPub, MATCH(N341,AllCollegeNCES,0)),0)</f>
        <v>0</v>
      </c>
      <c r="BC341">
        <f>IF(AK341=ReachLabel,AP341,0)</f>
        <v>0</v>
      </c>
      <c r="BD341">
        <f>IF(AK341=MatchLabel,AP341,0)</f>
        <v>0</v>
      </c>
      <c r="BE341">
        <f>IF(AK341=SafetyLabel,AP341,0)</f>
        <v>0</v>
      </c>
      <c r="BF341">
        <f>IF(AK341=SecureLabel,AP341,0)</f>
        <v>0</v>
      </c>
      <c r="BG341">
        <f>IF(AK341=SureThingLabel,AP341,0)</f>
        <v>0</v>
      </c>
      <c r="BH341">
        <f>MAX(BC341:BG341)</f>
        <v>0</v>
      </c>
      <c r="BI341">
        <f>MAX(BD341:BG341)</f>
        <v>0</v>
      </c>
      <c r="BJ341">
        <f>MAX(BE341:BG341)</f>
        <v>0</v>
      </c>
      <c r="BK341">
        <f>IF(AND(AK341=ReachLabel,AY341=1),AP341,0)</f>
        <v>0</v>
      </c>
      <c r="BL341">
        <f>IF(AND(AK341=MatchLabel,AY341=1),AP341,0)</f>
        <v>0</v>
      </c>
      <c r="BM341">
        <f>IF(AND(AK341=SafetyLabel,AY341=1),AP341,0)</f>
        <v>0</v>
      </c>
      <c r="BN341">
        <f>IF(AND(AK341=SecureLabel,AY341=1),AP341,0)</f>
        <v>0</v>
      </c>
      <c r="BO341">
        <f>IF(AND(AK341=SureThingLabel,AY341=1),AP341,0)</f>
        <v>0</v>
      </c>
      <c r="BP341">
        <f>MAX(BK341:BO341)</f>
        <v>0</v>
      </c>
      <c r="BQ341">
        <f>MAX(BL341:BO341)</f>
        <v>0</v>
      </c>
      <c r="BR341">
        <f>MAX(BM341:BO341)</f>
        <v>0</v>
      </c>
      <c r="BS341">
        <f>IF(ISNUMBER(Y341),INDEX(AllCollegeChicago, MATCH(N341,AllCollegeNCES,0))*AY341,0)</f>
        <v>0</v>
      </c>
      <c r="BT341">
        <f>IF(ISNUMBER(Y341),INDEX(AllCollegeMoneyCode, MATCH(N341,AllCollegeNCES,0)),"?")</f>
        <v>0</v>
      </c>
      <c r="BU341">
        <f>IF(OR(BT341="---",BT341="--",BT341="+/--",BT341="+/---"),1,0)</f>
        <v>0</v>
      </c>
      <c r="BV341">
        <f>AY341*AO341*AQ341</f>
        <v>0</v>
      </c>
    </row>
    <row r="342" spans="1:74">
      <c r="A342" t="s">
        <v>86</v>
      </c>
      <c r="B342">
        <v>23207280</v>
      </c>
      <c r="C342" t="s">
        <v>106</v>
      </c>
      <c r="D342" t="s">
        <v>107</v>
      </c>
      <c r="E342" t="s">
        <v>428</v>
      </c>
      <c r="F342" t="s">
        <v>438</v>
      </c>
      <c r="G342" t="s">
        <v>430</v>
      </c>
      <c r="H342" t="s">
        <v>431</v>
      </c>
      <c r="I342" t="s">
        <v>432</v>
      </c>
      <c r="J342" t="s">
        <v>432</v>
      </c>
      <c r="K342">
        <v>0</v>
      </c>
      <c r="L342" t="s">
        <v>428</v>
      </c>
      <c r="M342" t="s">
        <v>439</v>
      </c>
      <c r="N342">
        <v>150774</v>
      </c>
      <c r="O342">
        <f>INDEX(AllCollegeBarrons,MATCH(N342,AllCollegeNCES,0))</f>
        <v>0</v>
      </c>
      <c r="P342">
        <f>INDEX(KidGPAs,MATCH(B342,KidIDs,0))</f>
        <v>0</v>
      </c>
      <c r="Q342">
        <f>INDEX(KidACTs,MATCH(B342,KidIDs,0))</f>
        <v>0</v>
      </c>
      <c r="R342">
        <f>INDEX(Strats,MATCH(B342,KidIDs,0))</f>
        <v>0</v>
      </c>
      <c r="S342">
        <f>INDEX(KidRace,MATCH(B342,KidIDs,0))</f>
        <v>0</v>
      </c>
      <c r="T342">
        <f>IF(OR(S342="M",S342="I"),"H",S342)</f>
        <v>0</v>
      </c>
      <c r="U342">
        <f>INDEX(StudentTargets,MATCH(B342,KidIDs,0))</f>
        <v>0</v>
      </c>
      <c r="V342">
        <f>INDEX(ReachStudentTargets,MATCH(B342,KidIDs,0))</f>
        <v>0</v>
      </c>
      <c r="W342">
        <f>IF(OR(M342="Posse"),1,0)</f>
        <v>0</v>
      </c>
      <c r="X342">
        <f>IF(ISNUMBER(INDEX(AllCollegeGR, MATCH(N342,AllCollegeNCES,0))),ROUND(INDEX(AllCollegeGR, MATCH(N342,AllCollegeNCES,0))+W342*IF(INDEX(AllCollegeGR, MATCH(N342,AllCollegeNCES,0))&gt;0.7,(1-INDEX(AllCollegeGR, MATCH(N342,AllCollegeNCES,0)))/2,0.15),2),INDEX(AllCollegeGR, MATCH(N342,AllCollegeNCES,0)))</f>
        <v>0</v>
      </c>
      <c r="Y342">
        <f>IF(ISNUMBER(INDEX(AllCollegeAAHGR, MATCH(N342,AllCollegeNCES,0))),ROUND(INDEX(AllCollegeAAHGR, MATCH(N342,AllCollegeNCES,0))+W342*IF(INDEX(AllCollegeAAHGR, MATCH(N342,AllCollegeNCES,0))&gt;0.7,(1-INDEX(AllCollegeAAHGR, MATCH(N342,AllCollegeNCES,0)))/2,0.15),2),INDEX(AllCollegeAAHGR, MATCH(N342,AllCollegeNCES,0)))</f>
        <v>0</v>
      </c>
      <c r="Z342">
        <f>IF(OR(T342="H",T342="B"),INDEX(AllCollegeACT25, MATCH(N342,AllCollegeNCES,0)),INDEX(AllCollegeACT50, MATCH(N342,AllCollegeNCES,0)))</f>
        <v>0</v>
      </c>
      <c r="AA342">
        <f>INDEX(CustomWeightsGPA,MATCH(T342&amp;":"&amp;N342,CustomWeightsIndex,0))</f>
        <v>0</v>
      </c>
      <c r="AB342">
        <f>INDEX(CustomWeightsACT,MATCH(T342&amp;":"&amp;N342,CustomWeightsIndex,0))</f>
        <v>0</v>
      </c>
      <c r="AC342">
        <f>INDEX(CustomWeightsIntercept,MATCH(T342&amp;":"&amp;N342,CustomWeightsIndex,0))</f>
        <v>0</v>
      </c>
      <c r="AD342">
        <f>AA342*P342+AB342*Q342+AC342</f>
        <v>0</v>
      </c>
      <c r="AE342">
        <f>INDEX(CoefficientsGPA,MATCH(T342&amp;":"&amp;O342,CoefficientsIndex,0))</f>
        <v>0</v>
      </c>
      <c r="AF342">
        <f>INDEX(CoefficientsACT,MATCH(T342&amp;":"&amp;O342,CoefficientsIndex,0))</f>
        <v>0</v>
      </c>
      <c r="AG342">
        <f>INDEX(CoefficientsIntercept,MATCH(T342&amp;":"&amp;O342,CoefficientsIndex,0))</f>
        <v>0</v>
      </c>
      <c r="AH342">
        <f>AE342*P342+(Q342-Z342)*AF342+AG342</f>
        <v>0</v>
      </c>
      <c r="AI342">
        <f>IF(ISNUMBER(AD342),AD342,AH342)</f>
        <v>0</v>
      </c>
      <c r="AJ342">
        <f>IF(ISNUMBER(AI342),IF(ISNUMBER(AE342),IF(AND(AE342=1,AF342=1,AG342=1),100,ROUND(100*EXP(AI342)/(1+EXP(AI342)),2)),ROUND(100*EXP(AI342)/(1+EXP(AI342)),2)),IF(ISTEXT(O342),IF(LEFT(O342,1)="2",100,"N/A"),"N/A"))</f>
        <v>0</v>
      </c>
      <c r="AK342">
        <f>IF(ISNUMBER(AJ342),IF(AJ342&gt;=99,IF(OR(R342=10,R342=11),MatchLabel,SureThingLabel),IF(AJ342&gt;=95,SecureLabel,IF(AJ342&gt;=80,SafetyLabel,IF(AJ342&gt;=50,MatchLabel,IF(AJ342&gt;=20,ReachLabel,IF(AJ342&gt;=10,LongshotLabel,HailMaryLabel)))))),"Other")</f>
        <v>0</v>
      </c>
      <c r="AL342">
        <f>IF(OR(I342="accepted",I342="cond. accept",I342="summer admit"),IF(J342="yes","CHOICE!","Accepted!"),IF(I342="denied","Denied",IF(K342=1,"Waitlist",IF(L342=1,"Deferred",IF(G342="pending","Pending",IF(OR(G342="initial materials submitted",G342="mid-year submitted",G342="final submitted"),"Submitted",IF(H342="interest","Interest","?")))))))</f>
        <v>0</v>
      </c>
      <c r="AM342">
        <f>IF(OR(AK342=ReachLabel,AK342=LongshotLabel,AK342=HailMaryLabel),1,0)</f>
        <v>0</v>
      </c>
      <c r="AN342">
        <f>IF(OR(AM342=1,AK342=MatchLabel),1,0)</f>
        <v>0</v>
      </c>
      <c r="AO342">
        <f>IF(OR(AK342=MatchLabel,AK342=SafetyLabel,AK342=SecureLabel,AK342=SureThingLabel),1,0)</f>
        <v>0</v>
      </c>
      <c r="AP342">
        <f>IF(OR(T342="H",T342="B"),IF(ISNUMBER(Y342),ROUND(Y342,2),0),IF(ISNUMBER(X342),ROUND(X342,2),0))</f>
        <v>0</v>
      </c>
      <c r="AQ342">
        <f>IF(AP342&gt;=U342,1,0)</f>
        <v>0</v>
      </c>
      <c r="AR342">
        <f>IF(AP342&gt;=V342,1,0)</f>
        <v>0</v>
      </c>
      <c r="AS342">
        <f>IF(AP342&lt;(U342-0.10),1,0)</f>
        <v>0</v>
      </c>
      <c r="AT342">
        <f>1-AJ342/100</f>
        <v>0</v>
      </c>
      <c r="AU342">
        <f>IF(AN342=1,AT342,1)</f>
        <v>0</v>
      </c>
      <c r="AV342">
        <f>IF(AM342=1,AT342,1)</f>
        <v>0</v>
      </c>
      <c r="AW342">
        <f>IF(AND(AQ342=1,ISNUMBER(AT342)),$AT342,1)</f>
        <v>0</v>
      </c>
      <c r="AX342">
        <f>IF(AND(AR342=1,ISNUMBER(AT342)),$AT342,1)</f>
        <v>0</v>
      </c>
      <c r="AY342">
        <f>IF(ISNUMBER(Y342),INDEX(AllCollegeMoney, MATCH(N342,AllCollegeNCES,0)),0)</f>
        <v>0</v>
      </c>
      <c r="AZ342">
        <f>IF(AND(AQ342=1,ISNUMBER(AT342),AY342=1),$AT342,1)</f>
        <v>0</v>
      </c>
      <c r="BA342">
        <f>IF(AND(AR342=1,ISNUMBER(AT342),AY342=1),$AT342,1)</f>
        <v>0</v>
      </c>
      <c r="BB342">
        <f>IF(ISNUMBER(Y342),INDEX(AllCollegeILPub, MATCH(N342,AllCollegeNCES,0)),0)</f>
        <v>0</v>
      </c>
      <c r="BC342">
        <f>IF(AK342=ReachLabel,AP342,0)</f>
        <v>0</v>
      </c>
      <c r="BD342">
        <f>IF(AK342=MatchLabel,AP342,0)</f>
        <v>0</v>
      </c>
      <c r="BE342">
        <f>IF(AK342=SafetyLabel,AP342,0)</f>
        <v>0</v>
      </c>
      <c r="BF342">
        <f>IF(AK342=SecureLabel,AP342,0)</f>
        <v>0</v>
      </c>
      <c r="BG342">
        <f>IF(AK342=SureThingLabel,AP342,0)</f>
        <v>0</v>
      </c>
      <c r="BH342">
        <f>MAX(BC342:BG342)</f>
        <v>0</v>
      </c>
      <c r="BI342">
        <f>MAX(BD342:BG342)</f>
        <v>0</v>
      </c>
      <c r="BJ342">
        <f>MAX(BE342:BG342)</f>
        <v>0</v>
      </c>
      <c r="BK342">
        <f>IF(AND(AK342=ReachLabel,AY342=1),AP342,0)</f>
        <v>0</v>
      </c>
      <c r="BL342">
        <f>IF(AND(AK342=MatchLabel,AY342=1),AP342,0)</f>
        <v>0</v>
      </c>
      <c r="BM342">
        <f>IF(AND(AK342=SafetyLabel,AY342=1),AP342,0)</f>
        <v>0</v>
      </c>
      <c r="BN342">
        <f>IF(AND(AK342=SecureLabel,AY342=1),AP342,0)</f>
        <v>0</v>
      </c>
      <c r="BO342">
        <f>IF(AND(AK342=SureThingLabel,AY342=1),AP342,0)</f>
        <v>0</v>
      </c>
      <c r="BP342">
        <f>MAX(BK342:BO342)</f>
        <v>0</v>
      </c>
      <c r="BQ342">
        <f>MAX(BL342:BO342)</f>
        <v>0</v>
      </c>
      <c r="BR342">
        <f>MAX(BM342:BO342)</f>
        <v>0</v>
      </c>
      <c r="BS342">
        <f>IF(ISNUMBER(Y342),INDEX(AllCollegeChicago, MATCH(N342,AllCollegeNCES,0))*AY342,0)</f>
        <v>0</v>
      </c>
      <c r="BT342">
        <f>IF(ISNUMBER(Y342),INDEX(AllCollegeMoneyCode, MATCH(N342,AllCollegeNCES,0)),"?")</f>
        <v>0</v>
      </c>
      <c r="BU342">
        <f>IF(OR(BT342="---",BT342="--",BT342="+/--",BT342="+/---"),1,0)</f>
        <v>0</v>
      </c>
      <c r="BV342">
        <f>AY342*AO342*AQ342</f>
        <v>0</v>
      </c>
    </row>
    <row r="343" spans="1:74">
      <c r="A343" t="s">
        <v>86</v>
      </c>
      <c r="B343">
        <v>23207280</v>
      </c>
      <c r="C343" t="s">
        <v>106</v>
      </c>
      <c r="D343" t="s">
        <v>107</v>
      </c>
      <c r="E343" t="s">
        <v>428</v>
      </c>
      <c r="F343" t="s">
        <v>445</v>
      </c>
      <c r="G343" t="s">
        <v>430</v>
      </c>
      <c r="H343" t="s">
        <v>431</v>
      </c>
      <c r="I343" t="s">
        <v>432</v>
      </c>
      <c r="J343" t="s">
        <v>432</v>
      </c>
      <c r="K343">
        <v>0</v>
      </c>
      <c r="L343" t="s">
        <v>428</v>
      </c>
      <c r="M343" t="s">
        <v>428</v>
      </c>
      <c r="N343">
        <v>147776</v>
      </c>
      <c r="O343">
        <f>INDEX(AllCollegeBarrons,MATCH(N343,AllCollegeNCES,0))</f>
        <v>0</v>
      </c>
      <c r="P343">
        <f>INDEX(KidGPAs,MATCH(B343,KidIDs,0))</f>
        <v>0</v>
      </c>
      <c r="Q343">
        <f>INDEX(KidACTs,MATCH(B343,KidIDs,0))</f>
        <v>0</v>
      </c>
      <c r="R343">
        <f>INDEX(Strats,MATCH(B343,KidIDs,0))</f>
        <v>0</v>
      </c>
      <c r="S343">
        <f>INDEX(KidRace,MATCH(B343,KidIDs,0))</f>
        <v>0</v>
      </c>
      <c r="T343">
        <f>IF(OR(S343="M",S343="I"),"H",S343)</f>
        <v>0</v>
      </c>
      <c r="U343">
        <f>INDEX(StudentTargets,MATCH(B343,KidIDs,0))</f>
        <v>0</v>
      </c>
      <c r="V343">
        <f>INDEX(ReachStudentTargets,MATCH(B343,KidIDs,0))</f>
        <v>0</v>
      </c>
      <c r="W343">
        <f>IF(OR(M343="Posse"),1,0)</f>
        <v>0</v>
      </c>
      <c r="X343">
        <f>IF(ISNUMBER(INDEX(AllCollegeGR, MATCH(N343,AllCollegeNCES,0))),ROUND(INDEX(AllCollegeGR, MATCH(N343,AllCollegeNCES,0))+W343*IF(INDEX(AllCollegeGR, MATCH(N343,AllCollegeNCES,0))&gt;0.7,(1-INDEX(AllCollegeGR, MATCH(N343,AllCollegeNCES,0)))/2,0.15),2),INDEX(AllCollegeGR, MATCH(N343,AllCollegeNCES,0)))</f>
        <v>0</v>
      </c>
      <c r="Y343">
        <f>IF(ISNUMBER(INDEX(AllCollegeAAHGR, MATCH(N343,AllCollegeNCES,0))),ROUND(INDEX(AllCollegeAAHGR, MATCH(N343,AllCollegeNCES,0))+W343*IF(INDEX(AllCollegeAAHGR, MATCH(N343,AllCollegeNCES,0))&gt;0.7,(1-INDEX(AllCollegeAAHGR, MATCH(N343,AllCollegeNCES,0)))/2,0.15),2),INDEX(AllCollegeAAHGR, MATCH(N343,AllCollegeNCES,0)))</f>
        <v>0</v>
      </c>
      <c r="Z343">
        <f>IF(OR(T343="H",T343="B"),INDEX(AllCollegeACT25, MATCH(N343,AllCollegeNCES,0)),INDEX(AllCollegeACT50, MATCH(N343,AllCollegeNCES,0)))</f>
        <v>0</v>
      </c>
      <c r="AA343">
        <f>INDEX(CustomWeightsGPA,MATCH(T343&amp;":"&amp;N343,CustomWeightsIndex,0))</f>
        <v>0</v>
      </c>
      <c r="AB343">
        <f>INDEX(CustomWeightsACT,MATCH(T343&amp;":"&amp;N343,CustomWeightsIndex,0))</f>
        <v>0</v>
      </c>
      <c r="AC343">
        <f>INDEX(CustomWeightsIntercept,MATCH(T343&amp;":"&amp;N343,CustomWeightsIndex,0))</f>
        <v>0</v>
      </c>
      <c r="AD343">
        <f>AA343*P343+AB343*Q343+AC343</f>
        <v>0</v>
      </c>
      <c r="AE343">
        <f>INDEX(CoefficientsGPA,MATCH(T343&amp;":"&amp;O343,CoefficientsIndex,0))</f>
        <v>0</v>
      </c>
      <c r="AF343">
        <f>INDEX(CoefficientsACT,MATCH(T343&amp;":"&amp;O343,CoefficientsIndex,0))</f>
        <v>0</v>
      </c>
      <c r="AG343">
        <f>INDEX(CoefficientsIntercept,MATCH(T343&amp;":"&amp;O343,CoefficientsIndex,0))</f>
        <v>0</v>
      </c>
      <c r="AH343">
        <f>AE343*P343+(Q343-Z343)*AF343+AG343</f>
        <v>0</v>
      </c>
      <c r="AI343">
        <f>IF(ISNUMBER(AD343),AD343,AH343)</f>
        <v>0</v>
      </c>
      <c r="AJ343">
        <f>IF(ISNUMBER(AI343),IF(ISNUMBER(AE343),IF(AND(AE343=1,AF343=1,AG343=1),100,ROUND(100*EXP(AI343)/(1+EXP(AI343)),2)),ROUND(100*EXP(AI343)/(1+EXP(AI343)),2)),IF(ISTEXT(O343),IF(LEFT(O343,1)="2",100,"N/A"),"N/A"))</f>
        <v>0</v>
      </c>
      <c r="AK343">
        <f>IF(ISNUMBER(AJ343),IF(AJ343&gt;=99,IF(OR(R343=10,R343=11),MatchLabel,SureThingLabel),IF(AJ343&gt;=95,SecureLabel,IF(AJ343&gt;=80,SafetyLabel,IF(AJ343&gt;=50,MatchLabel,IF(AJ343&gt;=20,ReachLabel,IF(AJ343&gt;=10,LongshotLabel,HailMaryLabel)))))),"Other")</f>
        <v>0</v>
      </c>
      <c r="AL343">
        <f>IF(OR(I343="accepted",I343="cond. accept",I343="summer admit"),IF(J343="yes","CHOICE!","Accepted!"),IF(I343="denied","Denied",IF(K343=1,"Waitlist",IF(L343=1,"Deferred",IF(G343="pending","Pending",IF(OR(G343="initial materials submitted",G343="mid-year submitted",G343="final submitted"),"Submitted",IF(H343="interest","Interest","?")))))))</f>
        <v>0</v>
      </c>
      <c r="AM343">
        <f>IF(OR(AK343=ReachLabel,AK343=LongshotLabel,AK343=HailMaryLabel),1,0)</f>
        <v>0</v>
      </c>
      <c r="AN343">
        <f>IF(OR(AM343=1,AK343=MatchLabel),1,0)</f>
        <v>0</v>
      </c>
      <c r="AO343">
        <f>IF(OR(AK343=MatchLabel,AK343=SafetyLabel,AK343=SecureLabel,AK343=SureThingLabel),1,0)</f>
        <v>0</v>
      </c>
      <c r="AP343">
        <f>IF(OR(T343="H",T343="B"),IF(ISNUMBER(Y343),ROUND(Y343,2),0),IF(ISNUMBER(X343),ROUND(X343,2),0))</f>
        <v>0</v>
      </c>
      <c r="AQ343">
        <f>IF(AP343&gt;=U343,1,0)</f>
        <v>0</v>
      </c>
      <c r="AR343">
        <f>IF(AP343&gt;=V343,1,0)</f>
        <v>0</v>
      </c>
      <c r="AS343">
        <f>IF(AP343&lt;(U343-0.10),1,0)</f>
        <v>0</v>
      </c>
      <c r="AT343">
        <f>1-AJ343/100</f>
        <v>0</v>
      </c>
      <c r="AU343">
        <f>IF(AN343=1,AT343,1)</f>
        <v>0</v>
      </c>
      <c r="AV343">
        <f>IF(AM343=1,AT343,1)</f>
        <v>0</v>
      </c>
      <c r="AW343">
        <f>IF(AND(AQ343=1,ISNUMBER(AT343)),$AT343,1)</f>
        <v>0</v>
      </c>
      <c r="AX343">
        <f>IF(AND(AR343=1,ISNUMBER(AT343)),$AT343,1)</f>
        <v>0</v>
      </c>
      <c r="AY343">
        <f>IF(ISNUMBER(Y343),INDEX(AllCollegeMoney, MATCH(N343,AllCollegeNCES,0)),0)</f>
        <v>0</v>
      </c>
      <c r="AZ343">
        <f>IF(AND(AQ343=1,ISNUMBER(AT343),AY343=1),$AT343,1)</f>
        <v>0</v>
      </c>
      <c r="BA343">
        <f>IF(AND(AR343=1,ISNUMBER(AT343),AY343=1),$AT343,1)</f>
        <v>0</v>
      </c>
      <c r="BB343">
        <f>IF(ISNUMBER(Y343),INDEX(AllCollegeILPub, MATCH(N343,AllCollegeNCES,0)),0)</f>
        <v>0</v>
      </c>
      <c r="BC343">
        <f>IF(AK343=ReachLabel,AP343,0)</f>
        <v>0</v>
      </c>
      <c r="BD343">
        <f>IF(AK343=MatchLabel,AP343,0)</f>
        <v>0</v>
      </c>
      <c r="BE343">
        <f>IF(AK343=SafetyLabel,AP343,0)</f>
        <v>0</v>
      </c>
      <c r="BF343">
        <f>IF(AK343=SecureLabel,AP343,0)</f>
        <v>0</v>
      </c>
      <c r="BG343">
        <f>IF(AK343=SureThingLabel,AP343,0)</f>
        <v>0</v>
      </c>
      <c r="BH343">
        <f>MAX(BC343:BG343)</f>
        <v>0</v>
      </c>
      <c r="BI343">
        <f>MAX(BD343:BG343)</f>
        <v>0</v>
      </c>
      <c r="BJ343">
        <f>MAX(BE343:BG343)</f>
        <v>0</v>
      </c>
      <c r="BK343">
        <f>IF(AND(AK343=ReachLabel,AY343=1),AP343,0)</f>
        <v>0</v>
      </c>
      <c r="BL343">
        <f>IF(AND(AK343=MatchLabel,AY343=1),AP343,0)</f>
        <v>0</v>
      </c>
      <c r="BM343">
        <f>IF(AND(AK343=SafetyLabel,AY343=1),AP343,0)</f>
        <v>0</v>
      </c>
      <c r="BN343">
        <f>IF(AND(AK343=SecureLabel,AY343=1),AP343,0)</f>
        <v>0</v>
      </c>
      <c r="BO343">
        <f>IF(AND(AK343=SureThingLabel,AY343=1),AP343,0)</f>
        <v>0</v>
      </c>
      <c r="BP343">
        <f>MAX(BK343:BO343)</f>
        <v>0</v>
      </c>
      <c r="BQ343">
        <f>MAX(BL343:BO343)</f>
        <v>0</v>
      </c>
      <c r="BR343">
        <f>MAX(BM343:BO343)</f>
        <v>0</v>
      </c>
      <c r="BS343">
        <f>IF(ISNUMBER(Y343),INDEX(AllCollegeChicago, MATCH(N343,AllCollegeNCES,0))*AY343,0)</f>
        <v>0</v>
      </c>
      <c r="BT343">
        <f>IF(ISNUMBER(Y343),INDEX(AllCollegeMoneyCode, MATCH(N343,AllCollegeNCES,0)),"?")</f>
        <v>0</v>
      </c>
      <c r="BU343">
        <f>IF(OR(BT343="---",BT343="--",BT343="+/--",BT343="+/---"),1,0)</f>
        <v>0</v>
      </c>
      <c r="BV343">
        <f>AY343*AO343*AQ343</f>
        <v>0</v>
      </c>
    </row>
    <row r="344" spans="1:74">
      <c r="A344" t="s">
        <v>86</v>
      </c>
      <c r="B344">
        <v>23207329</v>
      </c>
      <c r="C344" t="s">
        <v>109</v>
      </c>
      <c r="D344" t="s">
        <v>110</v>
      </c>
      <c r="E344" t="s">
        <v>428</v>
      </c>
      <c r="F344" t="s">
        <v>536</v>
      </c>
      <c r="G344" t="s">
        <v>430</v>
      </c>
      <c r="H344" t="s">
        <v>431</v>
      </c>
      <c r="I344" t="s">
        <v>432</v>
      </c>
      <c r="J344" t="s">
        <v>432</v>
      </c>
      <c r="K344">
        <v>0</v>
      </c>
      <c r="L344" t="s">
        <v>428</v>
      </c>
      <c r="M344" t="s">
        <v>428</v>
      </c>
      <c r="N344">
        <v>211291</v>
      </c>
      <c r="O344">
        <f>INDEX(AllCollegeBarrons,MATCH(N344,AllCollegeNCES,0))</f>
        <v>0</v>
      </c>
      <c r="P344">
        <f>INDEX(KidGPAs,MATCH(B344,KidIDs,0))</f>
        <v>0</v>
      </c>
      <c r="Q344">
        <f>INDEX(KidACTs,MATCH(B344,KidIDs,0))</f>
        <v>0</v>
      </c>
      <c r="R344">
        <f>INDEX(Strats,MATCH(B344,KidIDs,0))</f>
        <v>0</v>
      </c>
      <c r="S344">
        <f>INDEX(KidRace,MATCH(B344,KidIDs,0))</f>
        <v>0</v>
      </c>
      <c r="T344">
        <f>IF(OR(S344="M",S344="I"),"H",S344)</f>
        <v>0</v>
      </c>
      <c r="U344">
        <f>INDEX(StudentTargets,MATCH(B344,KidIDs,0))</f>
        <v>0</v>
      </c>
      <c r="V344">
        <f>INDEX(ReachStudentTargets,MATCH(B344,KidIDs,0))</f>
        <v>0</v>
      </c>
      <c r="W344">
        <f>IF(OR(M344="Posse"),1,0)</f>
        <v>0</v>
      </c>
      <c r="X344">
        <f>IF(ISNUMBER(INDEX(AllCollegeGR, MATCH(N344,AllCollegeNCES,0))),ROUND(INDEX(AllCollegeGR, MATCH(N344,AllCollegeNCES,0))+W344*IF(INDEX(AllCollegeGR, MATCH(N344,AllCollegeNCES,0))&gt;0.7,(1-INDEX(AllCollegeGR, MATCH(N344,AllCollegeNCES,0)))/2,0.15),2),INDEX(AllCollegeGR, MATCH(N344,AllCollegeNCES,0)))</f>
        <v>0</v>
      </c>
      <c r="Y344">
        <f>IF(ISNUMBER(INDEX(AllCollegeAAHGR, MATCH(N344,AllCollegeNCES,0))),ROUND(INDEX(AllCollegeAAHGR, MATCH(N344,AllCollegeNCES,0))+W344*IF(INDEX(AllCollegeAAHGR, MATCH(N344,AllCollegeNCES,0))&gt;0.7,(1-INDEX(AllCollegeAAHGR, MATCH(N344,AllCollegeNCES,0)))/2,0.15),2),INDEX(AllCollegeAAHGR, MATCH(N344,AllCollegeNCES,0)))</f>
        <v>0</v>
      </c>
      <c r="Z344">
        <f>IF(OR(T344="H",T344="B"),INDEX(AllCollegeACT25, MATCH(N344,AllCollegeNCES,0)),INDEX(AllCollegeACT50, MATCH(N344,AllCollegeNCES,0)))</f>
        <v>0</v>
      </c>
      <c r="AA344">
        <f>INDEX(CustomWeightsGPA,MATCH(T344&amp;":"&amp;N344,CustomWeightsIndex,0))</f>
        <v>0</v>
      </c>
      <c r="AB344">
        <f>INDEX(CustomWeightsACT,MATCH(T344&amp;":"&amp;N344,CustomWeightsIndex,0))</f>
        <v>0</v>
      </c>
      <c r="AC344">
        <f>INDEX(CustomWeightsIntercept,MATCH(T344&amp;":"&amp;N344,CustomWeightsIndex,0))</f>
        <v>0</v>
      </c>
      <c r="AD344">
        <f>AA344*P344+AB344*Q344+AC344</f>
        <v>0</v>
      </c>
      <c r="AE344">
        <f>INDEX(CoefficientsGPA,MATCH(T344&amp;":"&amp;O344,CoefficientsIndex,0))</f>
        <v>0</v>
      </c>
      <c r="AF344">
        <f>INDEX(CoefficientsACT,MATCH(T344&amp;":"&amp;O344,CoefficientsIndex,0))</f>
        <v>0</v>
      </c>
      <c r="AG344">
        <f>INDEX(CoefficientsIntercept,MATCH(T344&amp;":"&amp;O344,CoefficientsIndex,0))</f>
        <v>0</v>
      </c>
      <c r="AH344">
        <f>AE344*P344+(Q344-Z344)*AF344+AG344</f>
        <v>0</v>
      </c>
      <c r="AI344">
        <f>IF(ISNUMBER(AD344),AD344,AH344)</f>
        <v>0</v>
      </c>
      <c r="AJ344">
        <f>IF(ISNUMBER(AI344),IF(ISNUMBER(AE344),IF(AND(AE344=1,AF344=1,AG344=1),100,ROUND(100*EXP(AI344)/(1+EXP(AI344)),2)),ROUND(100*EXP(AI344)/(1+EXP(AI344)),2)),IF(ISTEXT(O344),IF(LEFT(O344,1)="2",100,"N/A"),"N/A"))</f>
        <v>0</v>
      </c>
      <c r="AK344">
        <f>IF(ISNUMBER(AJ344),IF(AJ344&gt;=99,IF(OR(R344=10,R344=11),MatchLabel,SureThingLabel),IF(AJ344&gt;=95,SecureLabel,IF(AJ344&gt;=80,SafetyLabel,IF(AJ344&gt;=50,MatchLabel,IF(AJ344&gt;=20,ReachLabel,IF(AJ344&gt;=10,LongshotLabel,HailMaryLabel)))))),"Other")</f>
        <v>0</v>
      </c>
      <c r="AL344">
        <f>IF(OR(I344="accepted",I344="cond. accept",I344="summer admit"),IF(J344="yes","CHOICE!","Accepted!"),IF(I344="denied","Denied",IF(K344=1,"Waitlist",IF(L344=1,"Deferred",IF(G344="pending","Pending",IF(OR(G344="initial materials submitted",G344="mid-year submitted",G344="final submitted"),"Submitted",IF(H344="interest","Interest","?")))))))</f>
        <v>0</v>
      </c>
      <c r="AM344">
        <f>IF(OR(AK344=ReachLabel,AK344=LongshotLabel,AK344=HailMaryLabel),1,0)</f>
        <v>0</v>
      </c>
      <c r="AN344">
        <f>IF(OR(AM344=1,AK344=MatchLabel),1,0)</f>
        <v>0</v>
      </c>
      <c r="AO344">
        <f>IF(OR(AK344=MatchLabel,AK344=SafetyLabel,AK344=SecureLabel,AK344=SureThingLabel),1,0)</f>
        <v>0</v>
      </c>
      <c r="AP344">
        <f>IF(OR(T344="H",T344="B"),IF(ISNUMBER(Y344),ROUND(Y344,2),0),IF(ISNUMBER(X344),ROUND(X344,2),0))</f>
        <v>0</v>
      </c>
      <c r="AQ344">
        <f>IF(AP344&gt;=U344,1,0)</f>
        <v>0</v>
      </c>
      <c r="AR344">
        <f>IF(AP344&gt;=V344,1,0)</f>
        <v>0</v>
      </c>
      <c r="AS344">
        <f>IF(AP344&lt;(U344-0.10),1,0)</f>
        <v>0</v>
      </c>
      <c r="AT344">
        <f>1-AJ344/100</f>
        <v>0</v>
      </c>
      <c r="AU344">
        <f>IF(AN344=1,AT344,1)</f>
        <v>0</v>
      </c>
      <c r="AV344">
        <f>IF(AM344=1,AT344,1)</f>
        <v>0</v>
      </c>
      <c r="AW344">
        <f>IF(AND(AQ344=1,ISNUMBER(AT344)),$AT344,1)</f>
        <v>0</v>
      </c>
      <c r="AX344">
        <f>IF(AND(AR344=1,ISNUMBER(AT344)),$AT344,1)</f>
        <v>0</v>
      </c>
      <c r="AY344">
        <f>IF(ISNUMBER(Y344),INDEX(AllCollegeMoney, MATCH(N344,AllCollegeNCES,0)),0)</f>
        <v>0</v>
      </c>
      <c r="AZ344">
        <f>IF(AND(AQ344=1,ISNUMBER(AT344),AY344=1),$AT344,1)</f>
        <v>0</v>
      </c>
      <c r="BA344">
        <f>IF(AND(AR344=1,ISNUMBER(AT344),AY344=1),$AT344,1)</f>
        <v>0</v>
      </c>
      <c r="BB344">
        <f>IF(ISNUMBER(Y344),INDEX(AllCollegeILPub, MATCH(N344,AllCollegeNCES,0)),0)</f>
        <v>0</v>
      </c>
      <c r="BC344">
        <f>IF(AK344=ReachLabel,AP344,0)</f>
        <v>0</v>
      </c>
      <c r="BD344">
        <f>IF(AK344=MatchLabel,AP344,0)</f>
        <v>0</v>
      </c>
      <c r="BE344">
        <f>IF(AK344=SafetyLabel,AP344,0)</f>
        <v>0</v>
      </c>
      <c r="BF344">
        <f>IF(AK344=SecureLabel,AP344,0)</f>
        <v>0</v>
      </c>
      <c r="BG344">
        <f>IF(AK344=SureThingLabel,AP344,0)</f>
        <v>0</v>
      </c>
      <c r="BH344">
        <f>MAX(BC344:BG344)</f>
        <v>0</v>
      </c>
      <c r="BI344">
        <f>MAX(BD344:BG344)</f>
        <v>0</v>
      </c>
      <c r="BJ344">
        <f>MAX(BE344:BG344)</f>
        <v>0</v>
      </c>
      <c r="BK344">
        <f>IF(AND(AK344=ReachLabel,AY344=1),AP344,0)</f>
        <v>0</v>
      </c>
      <c r="BL344">
        <f>IF(AND(AK344=MatchLabel,AY344=1),AP344,0)</f>
        <v>0</v>
      </c>
      <c r="BM344">
        <f>IF(AND(AK344=SafetyLabel,AY344=1),AP344,0)</f>
        <v>0</v>
      </c>
      <c r="BN344">
        <f>IF(AND(AK344=SecureLabel,AY344=1),AP344,0)</f>
        <v>0</v>
      </c>
      <c r="BO344">
        <f>IF(AND(AK344=SureThingLabel,AY344=1),AP344,0)</f>
        <v>0</v>
      </c>
      <c r="BP344">
        <f>MAX(BK344:BO344)</f>
        <v>0</v>
      </c>
      <c r="BQ344">
        <f>MAX(BL344:BO344)</f>
        <v>0</v>
      </c>
      <c r="BR344">
        <f>MAX(BM344:BO344)</f>
        <v>0</v>
      </c>
      <c r="BS344">
        <f>IF(ISNUMBER(Y344),INDEX(AllCollegeChicago, MATCH(N344,AllCollegeNCES,0))*AY344,0)</f>
        <v>0</v>
      </c>
      <c r="BT344">
        <f>IF(ISNUMBER(Y344),INDEX(AllCollegeMoneyCode, MATCH(N344,AllCollegeNCES,0)),"?")</f>
        <v>0</v>
      </c>
      <c r="BU344">
        <f>IF(OR(BT344="---",BT344="--",BT344="+/--",BT344="+/---"),1,0)</f>
        <v>0</v>
      </c>
      <c r="BV344">
        <f>AY344*AO344*AQ344</f>
        <v>0</v>
      </c>
    </row>
    <row r="345" spans="1:74">
      <c r="A345" t="s">
        <v>86</v>
      </c>
      <c r="B345">
        <v>23207329</v>
      </c>
      <c r="C345" t="s">
        <v>109</v>
      </c>
      <c r="D345" t="s">
        <v>110</v>
      </c>
      <c r="E345" t="s">
        <v>428</v>
      </c>
      <c r="F345" t="s">
        <v>466</v>
      </c>
      <c r="G345" t="s">
        <v>430</v>
      </c>
      <c r="H345" t="s">
        <v>431</v>
      </c>
      <c r="I345" t="s">
        <v>432</v>
      </c>
      <c r="J345" t="s">
        <v>432</v>
      </c>
      <c r="K345">
        <v>0</v>
      </c>
      <c r="L345" t="s">
        <v>428</v>
      </c>
      <c r="M345" t="s">
        <v>428</v>
      </c>
      <c r="N345">
        <v>213385</v>
      </c>
      <c r="O345">
        <f>INDEX(AllCollegeBarrons,MATCH(N345,AllCollegeNCES,0))</f>
        <v>0</v>
      </c>
      <c r="P345">
        <f>INDEX(KidGPAs,MATCH(B345,KidIDs,0))</f>
        <v>0</v>
      </c>
      <c r="Q345">
        <f>INDEX(KidACTs,MATCH(B345,KidIDs,0))</f>
        <v>0</v>
      </c>
      <c r="R345">
        <f>INDEX(Strats,MATCH(B345,KidIDs,0))</f>
        <v>0</v>
      </c>
      <c r="S345">
        <f>INDEX(KidRace,MATCH(B345,KidIDs,0))</f>
        <v>0</v>
      </c>
      <c r="T345">
        <f>IF(OR(S345="M",S345="I"),"H",S345)</f>
        <v>0</v>
      </c>
      <c r="U345">
        <f>INDEX(StudentTargets,MATCH(B345,KidIDs,0))</f>
        <v>0</v>
      </c>
      <c r="V345">
        <f>INDEX(ReachStudentTargets,MATCH(B345,KidIDs,0))</f>
        <v>0</v>
      </c>
      <c r="W345">
        <f>IF(OR(M345="Posse"),1,0)</f>
        <v>0</v>
      </c>
      <c r="X345">
        <f>IF(ISNUMBER(INDEX(AllCollegeGR, MATCH(N345,AllCollegeNCES,0))),ROUND(INDEX(AllCollegeGR, MATCH(N345,AllCollegeNCES,0))+W345*IF(INDEX(AllCollegeGR, MATCH(N345,AllCollegeNCES,0))&gt;0.7,(1-INDEX(AllCollegeGR, MATCH(N345,AllCollegeNCES,0)))/2,0.15),2),INDEX(AllCollegeGR, MATCH(N345,AllCollegeNCES,0)))</f>
        <v>0</v>
      </c>
      <c r="Y345">
        <f>IF(ISNUMBER(INDEX(AllCollegeAAHGR, MATCH(N345,AllCollegeNCES,0))),ROUND(INDEX(AllCollegeAAHGR, MATCH(N345,AllCollegeNCES,0))+W345*IF(INDEX(AllCollegeAAHGR, MATCH(N345,AllCollegeNCES,0))&gt;0.7,(1-INDEX(AllCollegeAAHGR, MATCH(N345,AllCollegeNCES,0)))/2,0.15),2),INDEX(AllCollegeAAHGR, MATCH(N345,AllCollegeNCES,0)))</f>
        <v>0</v>
      </c>
      <c r="Z345">
        <f>IF(OR(T345="H",T345="B"),INDEX(AllCollegeACT25, MATCH(N345,AllCollegeNCES,0)),INDEX(AllCollegeACT50, MATCH(N345,AllCollegeNCES,0)))</f>
        <v>0</v>
      </c>
      <c r="AA345">
        <f>INDEX(CustomWeightsGPA,MATCH(T345&amp;":"&amp;N345,CustomWeightsIndex,0))</f>
        <v>0</v>
      </c>
      <c r="AB345">
        <f>INDEX(CustomWeightsACT,MATCH(T345&amp;":"&amp;N345,CustomWeightsIndex,0))</f>
        <v>0</v>
      </c>
      <c r="AC345">
        <f>INDEX(CustomWeightsIntercept,MATCH(T345&amp;":"&amp;N345,CustomWeightsIndex,0))</f>
        <v>0</v>
      </c>
      <c r="AD345">
        <f>AA345*P345+AB345*Q345+AC345</f>
        <v>0</v>
      </c>
      <c r="AE345">
        <f>INDEX(CoefficientsGPA,MATCH(T345&amp;":"&amp;O345,CoefficientsIndex,0))</f>
        <v>0</v>
      </c>
      <c r="AF345">
        <f>INDEX(CoefficientsACT,MATCH(T345&amp;":"&amp;O345,CoefficientsIndex,0))</f>
        <v>0</v>
      </c>
      <c r="AG345">
        <f>INDEX(CoefficientsIntercept,MATCH(T345&amp;":"&amp;O345,CoefficientsIndex,0))</f>
        <v>0</v>
      </c>
      <c r="AH345">
        <f>AE345*P345+(Q345-Z345)*AF345+AG345</f>
        <v>0</v>
      </c>
      <c r="AI345">
        <f>IF(ISNUMBER(AD345),AD345,AH345)</f>
        <v>0</v>
      </c>
      <c r="AJ345">
        <f>IF(ISNUMBER(AI345),IF(ISNUMBER(AE345),IF(AND(AE345=1,AF345=1,AG345=1),100,ROUND(100*EXP(AI345)/(1+EXP(AI345)),2)),ROUND(100*EXP(AI345)/(1+EXP(AI345)),2)),IF(ISTEXT(O345),IF(LEFT(O345,1)="2",100,"N/A"),"N/A"))</f>
        <v>0</v>
      </c>
      <c r="AK345">
        <f>IF(ISNUMBER(AJ345),IF(AJ345&gt;=99,IF(OR(R345=10,R345=11),MatchLabel,SureThingLabel),IF(AJ345&gt;=95,SecureLabel,IF(AJ345&gt;=80,SafetyLabel,IF(AJ345&gt;=50,MatchLabel,IF(AJ345&gt;=20,ReachLabel,IF(AJ345&gt;=10,LongshotLabel,HailMaryLabel)))))),"Other")</f>
        <v>0</v>
      </c>
      <c r="AL345">
        <f>IF(OR(I345="accepted",I345="cond. accept",I345="summer admit"),IF(J345="yes","CHOICE!","Accepted!"),IF(I345="denied","Denied",IF(K345=1,"Waitlist",IF(L345=1,"Deferred",IF(G345="pending","Pending",IF(OR(G345="initial materials submitted",G345="mid-year submitted",G345="final submitted"),"Submitted",IF(H345="interest","Interest","?")))))))</f>
        <v>0</v>
      </c>
      <c r="AM345">
        <f>IF(OR(AK345=ReachLabel,AK345=LongshotLabel,AK345=HailMaryLabel),1,0)</f>
        <v>0</v>
      </c>
      <c r="AN345">
        <f>IF(OR(AM345=1,AK345=MatchLabel),1,0)</f>
        <v>0</v>
      </c>
      <c r="AO345">
        <f>IF(OR(AK345=MatchLabel,AK345=SafetyLabel,AK345=SecureLabel,AK345=SureThingLabel),1,0)</f>
        <v>0</v>
      </c>
      <c r="AP345">
        <f>IF(OR(T345="H",T345="B"),IF(ISNUMBER(Y345),ROUND(Y345,2),0),IF(ISNUMBER(X345),ROUND(X345,2),0))</f>
        <v>0</v>
      </c>
      <c r="AQ345">
        <f>IF(AP345&gt;=U345,1,0)</f>
        <v>0</v>
      </c>
      <c r="AR345">
        <f>IF(AP345&gt;=V345,1,0)</f>
        <v>0</v>
      </c>
      <c r="AS345">
        <f>IF(AP345&lt;(U345-0.10),1,0)</f>
        <v>0</v>
      </c>
      <c r="AT345">
        <f>1-AJ345/100</f>
        <v>0</v>
      </c>
      <c r="AU345">
        <f>IF(AN345=1,AT345,1)</f>
        <v>0</v>
      </c>
      <c r="AV345">
        <f>IF(AM345=1,AT345,1)</f>
        <v>0</v>
      </c>
      <c r="AW345">
        <f>IF(AND(AQ345=1,ISNUMBER(AT345)),$AT345,1)</f>
        <v>0</v>
      </c>
      <c r="AX345">
        <f>IF(AND(AR345=1,ISNUMBER(AT345)),$AT345,1)</f>
        <v>0</v>
      </c>
      <c r="AY345">
        <f>IF(ISNUMBER(Y345),INDEX(AllCollegeMoney, MATCH(N345,AllCollegeNCES,0)),0)</f>
        <v>0</v>
      </c>
      <c r="AZ345">
        <f>IF(AND(AQ345=1,ISNUMBER(AT345),AY345=1),$AT345,1)</f>
        <v>0</v>
      </c>
      <c r="BA345">
        <f>IF(AND(AR345=1,ISNUMBER(AT345),AY345=1),$AT345,1)</f>
        <v>0</v>
      </c>
      <c r="BB345">
        <f>IF(ISNUMBER(Y345),INDEX(AllCollegeILPub, MATCH(N345,AllCollegeNCES,0)),0)</f>
        <v>0</v>
      </c>
      <c r="BC345">
        <f>IF(AK345=ReachLabel,AP345,0)</f>
        <v>0</v>
      </c>
      <c r="BD345">
        <f>IF(AK345=MatchLabel,AP345,0)</f>
        <v>0</v>
      </c>
      <c r="BE345">
        <f>IF(AK345=SafetyLabel,AP345,0)</f>
        <v>0</v>
      </c>
      <c r="BF345">
        <f>IF(AK345=SecureLabel,AP345,0)</f>
        <v>0</v>
      </c>
      <c r="BG345">
        <f>IF(AK345=SureThingLabel,AP345,0)</f>
        <v>0</v>
      </c>
      <c r="BH345">
        <f>MAX(BC345:BG345)</f>
        <v>0</v>
      </c>
      <c r="BI345">
        <f>MAX(BD345:BG345)</f>
        <v>0</v>
      </c>
      <c r="BJ345">
        <f>MAX(BE345:BG345)</f>
        <v>0</v>
      </c>
      <c r="BK345">
        <f>IF(AND(AK345=ReachLabel,AY345=1),AP345,0)</f>
        <v>0</v>
      </c>
      <c r="BL345">
        <f>IF(AND(AK345=MatchLabel,AY345=1),AP345,0)</f>
        <v>0</v>
      </c>
      <c r="BM345">
        <f>IF(AND(AK345=SafetyLabel,AY345=1),AP345,0)</f>
        <v>0</v>
      </c>
      <c r="BN345">
        <f>IF(AND(AK345=SecureLabel,AY345=1),AP345,0)</f>
        <v>0</v>
      </c>
      <c r="BO345">
        <f>IF(AND(AK345=SureThingLabel,AY345=1),AP345,0)</f>
        <v>0</v>
      </c>
      <c r="BP345">
        <f>MAX(BK345:BO345)</f>
        <v>0</v>
      </c>
      <c r="BQ345">
        <f>MAX(BL345:BO345)</f>
        <v>0</v>
      </c>
      <c r="BR345">
        <f>MAX(BM345:BO345)</f>
        <v>0</v>
      </c>
      <c r="BS345">
        <f>IF(ISNUMBER(Y345),INDEX(AllCollegeChicago, MATCH(N345,AllCollegeNCES,0))*AY345,0)</f>
        <v>0</v>
      </c>
      <c r="BT345">
        <f>IF(ISNUMBER(Y345),INDEX(AllCollegeMoneyCode, MATCH(N345,AllCollegeNCES,0)),"?")</f>
        <v>0</v>
      </c>
      <c r="BU345">
        <f>IF(OR(BT345="---",BT345="--",BT345="+/--",BT345="+/---"),1,0)</f>
        <v>0</v>
      </c>
      <c r="BV345">
        <f>AY345*AO345*AQ345</f>
        <v>0</v>
      </c>
    </row>
    <row r="346" spans="1:74">
      <c r="A346" t="s">
        <v>86</v>
      </c>
      <c r="B346">
        <v>23207329</v>
      </c>
      <c r="C346" t="s">
        <v>109</v>
      </c>
      <c r="D346" t="s">
        <v>110</v>
      </c>
      <c r="E346" t="s">
        <v>428</v>
      </c>
      <c r="F346" t="s">
        <v>467</v>
      </c>
      <c r="G346" t="s">
        <v>430</v>
      </c>
      <c r="H346" t="s">
        <v>431</v>
      </c>
      <c r="I346" t="s">
        <v>432</v>
      </c>
      <c r="J346" t="s">
        <v>432</v>
      </c>
      <c r="K346">
        <v>0</v>
      </c>
      <c r="L346" t="s">
        <v>428</v>
      </c>
      <c r="M346" t="s">
        <v>428</v>
      </c>
      <c r="N346">
        <v>170976</v>
      </c>
      <c r="O346">
        <f>INDEX(AllCollegeBarrons,MATCH(N346,AllCollegeNCES,0))</f>
        <v>0</v>
      </c>
      <c r="P346">
        <f>INDEX(KidGPAs,MATCH(B346,KidIDs,0))</f>
        <v>0</v>
      </c>
      <c r="Q346">
        <f>INDEX(KidACTs,MATCH(B346,KidIDs,0))</f>
        <v>0</v>
      </c>
      <c r="R346">
        <f>INDEX(Strats,MATCH(B346,KidIDs,0))</f>
        <v>0</v>
      </c>
      <c r="S346">
        <f>INDEX(KidRace,MATCH(B346,KidIDs,0))</f>
        <v>0</v>
      </c>
      <c r="T346">
        <f>IF(OR(S346="M",S346="I"),"H",S346)</f>
        <v>0</v>
      </c>
      <c r="U346">
        <f>INDEX(StudentTargets,MATCH(B346,KidIDs,0))</f>
        <v>0</v>
      </c>
      <c r="V346">
        <f>INDEX(ReachStudentTargets,MATCH(B346,KidIDs,0))</f>
        <v>0</v>
      </c>
      <c r="W346">
        <f>IF(OR(M346="Posse"),1,0)</f>
        <v>0</v>
      </c>
      <c r="X346">
        <f>IF(ISNUMBER(INDEX(AllCollegeGR, MATCH(N346,AllCollegeNCES,0))),ROUND(INDEX(AllCollegeGR, MATCH(N346,AllCollegeNCES,0))+W346*IF(INDEX(AllCollegeGR, MATCH(N346,AllCollegeNCES,0))&gt;0.7,(1-INDEX(AllCollegeGR, MATCH(N346,AllCollegeNCES,0)))/2,0.15),2),INDEX(AllCollegeGR, MATCH(N346,AllCollegeNCES,0)))</f>
        <v>0</v>
      </c>
      <c r="Y346">
        <f>IF(ISNUMBER(INDEX(AllCollegeAAHGR, MATCH(N346,AllCollegeNCES,0))),ROUND(INDEX(AllCollegeAAHGR, MATCH(N346,AllCollegeNCES,0))+W346*IF(INDEX(AllCollegeAAHGR, MATCH(N346,AllCollegeNCES,0))&gt;0.7,(1-INDEX(AllCollegeAAHGR, MATCH(N346,AllCollegeNCES,0)))/2,0.15),2),INDEX(AllCollegeAAHGR, MATCH(N346,AllCollegeNCES,0)))</f>
        <v>0</v>
      </c>
      <c r="Z346">
        <f>IF(OR(T346="H",T346="B"),INDEX(AllCollegeACT25, MATCH(N346,AllCollegeNCES,0)),INDEX(AllCollegeACT50, MATCH(N346,AllCollegeNCES,0)))</f>
        <v>0</v>
      </c>
      <c r="AA346">
        <f>INDEX(CustomWeightsGPA,MATCH(T346&amp;":"&amp;N346,CustomWeightsIndex,0))</f>
        <v>0</v>
      </c>
      <c r="AB346">
        <f>INDEX(CustomWeightsACT,MATCH(T346&amp;":"&amp;N346,CustomWeightsIndex,0))</f>
        <v>0</v>
      </c>
      <c r="AC346">
        <f>INDEX(CustomWeightsIntercept,MATCH(T346&amp;":"&amp;N346,CustomWeightsIndex,0))</f>
        <v>0</v>
      </c>
      <c r="AD346">
        <f>AA346*P346+AB346*Q346+AC346</f>
        <v>0</v>
      </c>
      <c r="AE346">
        <f>INDEX(CoefficientsGPA,MATCH(T346&amp;":"&amp;O346,CoefficientsIndex,0))</f>
        <v>0</v>
      </c>
      <c r="AF346">
        <f>INDEX(CoefficientsACT,MATCH(T346&amp;":"&amp;O346,CoefficientsIndex,0))</f>
        <v>0</v>
      </c>
      <c r="AG346">
        <f>INDEX(CoefficientsIntercept,MATCH(T346&amp;":"&amp;O346,CoefficientsIndex,0))</f>
        <v>0</v>
      </c>
      <c r="AH346">
        <f>AE346*P346+(Q346-Z346)*AF346+AG346</f>
        <v>0</v>
      </c>
      <c r="AI346">
        <f>IF(ISNUMBER(AD346),AD346,AH346)</f>
        <v>0</v>
      </c>
      <c r="AJ346">
        <f>IF(ISNUMBER(AI346),IF(ISNUMBER(AE346),IF(AND(AE346=1,AF346=1,AG346=1),100,ROUND(100*EXP(AI346)/(1+EXP(AI346)),2)),ROUND(100*EXP(AI346)/(1+EXP(AI346)),2)),IF(ISTEXT(O346),IF(LEFT(O346,1)="2",100,"N/A"),"N/A"))</f>
        <v>0</v>
      </c>
      <c r="AK346">
        <f>IF(ISNUMBER(AJ346),IF(AJ346&gt;=99,IF(OR(R346=10,R346=11),MatchLabel,SureThingLabel),IF(AJ346&gt;=95,SecureLabel,IF(AJ346&gt;=80,SafetyLabel,IF(AJ346&gt;=50,MatchLabel,IF(AJ346&gt;=20,ReachLabel,IF(AJ346&gt;=10,LongshotLabel,HailMaryLabel)))))),"Other")</f>
        <v>0</v>
      </c>
      <c r="AL346">
        <f>IF(OR(I346="accepted",I346="cond. accept",I346="summer admit"),IF(J346="yes","CHOICE!","Accepted!"),IF(I346="denied","Denied",IF(K346=1,"Waitlist",IF(L346=1,"Deferred",IF(G346="pending","Pending",IF(OR(G346="initial materials submitted",G346="mid-year submitted",G346="final submitted"),"Submitted",IF(H346="interest","Interest","?")))))))</f>
        <v>0</v>
      </c>
      <c r="AM346">
        <f>IF(OR(AK346=ReachLabel,AK346=LongshotLabel,AK346=HailMaryLabel),1,0)</f>
        <v>0</v>
      </c>
      <c r="AN346">
        <f>IF(OR(AM346=1,AK346=MatchLabel),1,0)</f>
        <v>0</v>
      </c>
      <c r="AO346">
        <f>IF(OR(AK346=MatchLabel,AK346=SafetyLabel,AK346=SecureLabel,AK346=SureThingLabel),1,0)</f>
        <v>0</v>
      </c>
      <c r="AP346">
        <f>IF(OR(T346="H",T346="B"),IF(ISNUMBER(Y346),ROUND(Y346,2),0),IF(ISNUMBER(X346),ROUND(X346,2),0))</f>
        <v>0</v>
      </c>
      <c r="AQ346">
        <f>IF(AP346&gt;=U346,1,0)</f>
        <v>0</v>
      </c>
      <c r="AR346">
        <f>IF(AP346&gt;=V346,1,0)</f>
        <v>0</v>
      </c>
      <c r="AS346">
        <f>IF(AP346&lt;(U346-0.10),1,0)</f>
        <v>0</v>
      </c>
      <c r="AT346">
        <f>1-AJ346/100</f>
        <v>0</v>
      </c>
      <c r="AU346">
        <f>IF(AN346=1,AT346,1)</f>
        <v>0</v>
      </c>
      <c r="AV346">
        <f>IF(AM346=1,AT346,1)</f>
        <v>0</v>
      </c>
      <c r="AW346">
        <f>IF(AND(AQ346=1,ISNUMBER(AT346)),$AT346,1)</f>
        <v>0</v>
      </c>
      <c r="AX346">
        <f>IF(AND(AR346=1,ISNUMBER(AT346)),$AT346,1)</f>
        <v>0</v>
      </c>
      <c r="AY346">
        <f>IF(ISNUMBER(Y346),INDEX(AllCollegeMoney, MATCH(N346,AllCollegeNCES,0)),0)</f>
        <v>0</v>
      </c>
      <c r="AZ346">
        <f>IF(AND(AQ346=1,ISNUMBER(AT346),AY346=1),$AT346,1)</f>
        <v>0</v>
      </c>
      <c r="BA346">
        <f>IF(AND(AR346=1,ISNUMBER(AT346),AY346=1),$AT346,1)</f>
        <v>0</v>
      </c>
      <c r="BB346">
        <f>IF(ISNUMBER(Y346),INDEX(AllCollegeILPub, MATCH(N346,AllCollegeNCES,0)),0)</f>
        <v>0</v>
      </c>
      <c r="BC346">
        <f>IF(AK346=ReachLabel,AP346,0)</f>
        <v>0</v>
      </c>
      <c r="BD346">
        <f>IF(AK346=MatchLabel,AP346,0)</f>
        <v>0</v>
      </c>
      <c r="BE346">
        <f>IF(AK346=SafetyLabel,AP346,0)</f>
        <v>0</v>
      </c>
      <c r="BF346">
        <f>IF(AK346=SecureLabel,AP346,0)</f>
        <v>0</v>
      </c>
      <c r="BG346">
        <f>IF(AK346=SureThingLabel,AP346,0)</f>
        <v>0</v>
      </c>
      <c r="BH346">
        <f>MAX(BC346:BG346)</f>
        <v>0</v>
      </c>
      <c r="BI346">
        <f>MAX(BD346:BG346)</f>
        <v>0</v>
      </c>
      <c r="BJ346">
        <f>MAX(BE346:BG346)</f>
        <v>0</v>
      </c>
      <c r="BK346">
        <f>IF(AND(AK346=ReachLabel,AY346=1),AP346,0)</f>
        <v>0</v>
      </c>
      <c r="BL346">
        <f>IF(AND(AK346=MatchLabel,AY346=1),AP346,0)</f>
        <v>0</v>
      </c>
      <c r="BM346">
        <f>IF(AND(AK346=SafetyLabel,AY346=1),AP346,0)</f>
        <v>0</v>
      </c>
      <c r="BN346">
        <f>IF(AND(AK346=SecureLabel,AY346=1),AP346,0)</f>
        <v>0</v>
      </c>
      <c r="BO346">
        <f>IF(AND(AK346=SureThingLabel,AY346=1),AP346,0)</f>
        <v>0</v>
      </c>
      <c r="BP346">
        <f>MAX(BK346:BO346)</f>
        <v>0</v>
      </c>
      <c r="BQ346">
        <f>MAX(BL346:BO346)</f>
        <v>0</v>
      </c>
      <c r="BR346">
        <f>MAX(BM346:BO346)</f>
        <v>0</v>
      </c>
      <c r="BS346">
        <f>IF(ISNUMBER(Y346),INDEX(AllCollegeChicago, MATCH(N346,AllCollegeNCES,0))*AY346,0)</f>
        <v>0</v>
      </c>
      <c r="BT346">
        <f>IF(ISNUMBER(Y346),INDEX(AllCollegeMoneyCode, MATCH(N346,AllCollegeNCES,0)),"?")</f>
        <v>0</v>
      </c>
      <c r="BU346">
        <f>IF(OR(BT346="---",BT346="--",BT346="+/--",BT346="+/---"),1,0)</f>
        <v>0</v>
      </c>
      <c r="BV346">
        <f>AY346*AO346*AQ346</f>
        <v>0</v>
      </c>
    </row>
    <row r="347" spans="1:74">
      <c r="A347" t="s">
        <v>86</v>
      </c>
      <c r="B347">
        <v>23207329</v>
      </c>
      <c r="C347" t="s">
        <v>109</v>
      </c>
      <c r="D347" t="s">
        <v>110</v>
      </c>
      <c r="E347" t="s">
        <v>428</v>
      </c>
      <c r="F347" t="s">
        <v>453</v>
      </c>
      <c r="G347" t="s">
        <v>430</v>
      </c>
      <c r="H347" t="s">
        <v>431</v>
      </c>
      <c r="I347" t="s">
        <v>432</v>
      </c>
      <c r="J347" t="s">
        <v>432</v>
      </c>
      <c r="K347">
        <v>0</v>
      </c>
      <c r="L347" t="s">
        <v>428</v>
      </c>
      <c r="M347" t="s">
        <v>428</v>
      </c>
      <c r="N347">
        <v>212674</v>
      </c>
      <c r="O347">
        <f>INDEX(AllCollegeBarrons,MATCH(N347,AllCollegeNCES,0))</f>
        <v>0</v>
      </c>
      <c r="P347">
        <f>INDEX(KidGPAs,MATCH(B347,KidIDs,0))</f>
        <v>0</v>
      </c>
      <c r="Q347">
        <f>INDEX(KidACTs,MATCH(B347,KidIDs,0))</f>
        <v>0</v>
      </c>
      <c r="R347">
        <f>INDEX(Strats,MATCH(B347,KidIDs,0))</f>
        <v>0</v>
      </c>
      <c r="S347">
        <f>INDEX(KidRace,MATCH(B347,KidIDs,0))</f>
        <v>0</v>
      </c>
      <c r="T347">
        <f>IF(OR(S347="M",S347="I"),"H",S347)</f>
        <v>0</v>
      </c>
      <c r="U347">
        <f>INDEX(StudentTargets,MATCH(B347,KidIDs,0))</f>
        <v>0</v>
      </c>
      <c r="V347">
        <f>INDEX(ReachStudentTargets,MATCH(B347,KidIDs,0))</f>
        <v>0</v>
      </c>
      <c r="W347">
        <f>IF(OR(M347="Posse"),1,0)</f>
        <v>0</v>
      </c>
      <c r="X347">
        <f>IF(ISNUMBER(INDEX(AllCollegeGR, MATCH(N347,AllCollegeNCES,0))),ROUND(INDEX(AllCollegeGR, MATCH(N347,AllCollegeNCES,0))+W347*IF(INDEX(AllCollegeGR, MATCH(N347,AllCollegeNCES,0))&gt;0.7,(1-INDEX(AllCollegeGR, MATCH(N347,AllCollegeNCES,0)))/2,0.15),2),INDEX(AllCollegeGR, MATCH(N347,AllCollegeNCES,0)))</f>
        <v>0</v>
      </c>
      <c r="Y347">
        <f>IF(ISNUMBER(INDEX(AllCollegeAAHGR, MATCH(N347,AllCollegeNCES,0))),ROUND(INDEX(AllCollegeAAHGR, MATCH(N347,AllCollegeNCES,0))+W347*IF(INDEX(AllCollegeAAHGR, MATCH(N347,AllCollegeNCES,0))&gt;0.7,(1-INDEX(AllCollegeAAHGR, MATCH(N347,AllCollegeNCES,0)))/2,0.15),2),INDEX(AllCollegeAAHGR, MATCH(N347,AllCollegeNCES,0)))</f>
        <v>0</v>
      </c>
      <c r="Z347">
        <f>IF(OR(T347="H",T347="B"),INDEX(AllCollegeACT25, MATCH(N347,AllCollegeNCES,0)),INDEX(AllCollegeACT50, MATCH(N347,AllCollegeNCES,0)))</f>
        <v>0</v>
      </c>
      <c r="AA347">
        <f>INDEX(CustomWeightsGPA,MATCH(T347&amp;":"&amp;N347,CustomWeightsIndex,0))</f>
        <v>0</v>
      </c>
      <c r="AB347">
        <f>INDEX(CustomWeightsACT,MATCH(T347&amp;":"&amp;N347,CustomWeightsIndex,0))</f>
        <v>0</v>
      </c>
      <c r="AC347">
        <f>INDEX(CustomWeightsIntercept,MATCH(T347&amp;":"&amp;N347,CustomWeightsIndex,0))</f>
        <v>0</v>
      </c>
      <c r="AD347">
        <f>AA347*P347+AB347*Q347+AC347</f>
        <v>0</v>
      </c>
      <c r="AE347">
        <f>INDEX(CoefficientsGPA,MATCH(T347&amp;":"&amp;O347,CoefficientsIndex,0))</f>
        <v>0</v>
      </c>
      <c r="AF347">
        <f>INDEX(CoefficientsACT,MATCH(T347&amp;":"&amp;O347,CoefficientsIndex,0))</f>
        <v>0</v>
      </c>
      <c r="AG347">
        <f>INDEX(CoefficientsIntercept,MATCH(T347&amp;":"&amp;O347,CoefficientsIndex,0))</f>
        <v>0</v>
      </c>
      <c r="AH347">
        <f>AE347*P347+(Q347-Z347)*AF347+AG347</f>
        <v>0</v>
      </c>
      <c r="AI347">
        <f>IF(ISNUMBER(AD347),AD347,AH347)</f>
        <v>0</v>
      </c>
      <c r="AJ347">
        <f>IF(ISNUMBER(AI347),IF(ISNUMBER(AE347),IF(AND(AE347=1,AF347=1,AG347=1),100,ROUND(100*EXP(AI347)/(1+EXP(AI347)),2)),ROUND(100*EXP(AI347)/(1+EXP(AI347)),2)),IF(ISTEXT(O347),IF(LEFT(O347,1)="2",100,"N/A"),"N/A"))</f>
        <v>0</v>
      </c>
      <c r="AK347">
        <f>IF(ISNUMBER(AJ347),IF(AJ347&gt;=99,IF(OR(R347=10,R347=11),MatchLabel,SureThingLabel),IF(AJ347&gt;=95,SecureLabel,IF(AJ347&gt;=80,SafetyLabel,IF(AJ347&gt;=50,MatchLabel,IF(AJ347&gt;=20,ReachLabel,IF(AJ347&gt;=10,LongshotLabel,HailMaryLabel)))))),"Other")</f>
        <v>0</v>
      </c>
      <c r="AL347">
        <f>IF(OR(I347="accepted",I347="cond. accept",I347="summer admit"),IF(J347="yes","CHOICE!","Accepted!"),IF(I347="denied","Denied",IF(K347=1,"Waitlist",IF(L347=1,"Deferred",IF(G347="pending","Pending",IF(OR(G347="initial materials submitted",G347="mid-year submitted",G347="final submitted"),"Submitted",IF(H347="interest","Interest","?")))))))</f>
        <v>0</v>
      </c>
      <c r="AM347">
        <f>IF(OR(AK347=ReachLabel,AK347=LongshotLabel,AK347=HailMaryLabel),1,0)</f>
        <v>0</v>
      </c>
      <c r="AN347">
        <f>IF(OR(AM347=1,AK347=MatchLabel),1,0)</f>
        <v>0</v>
      </c>
      <c r="AO347">
        <f>IF(OR(AK347=MatchLabel,AK347=SafetyLabel,AK347=SecureLabel,AK347=SureThingLabel),1,0)</f>
        <v>0</v>
      </c>
      <c r="AP347">
        <f>IF(OR(T347="H",T347="B"),IF(ISNUMBER(Y347),ROUND(Y347,2),0),IF(ISNUMBER(X347),ROUND(X347,2),0))</f>
        <v>0</v>
      </c>
      <c r="AQ347">
        <f>IF(AP347&gt;=U347,1,0)</f>
        <v>0</v>
      </c>
      <c r="AR347">
        <f>IF(AP347&gt;=V347,1,0)</f>
        <v>0</v>
      </c>
      <c r="AS347">
        <f>IF(AP347&lt;(U347-0.10),1,0)</f>
        <v>0</v>
      </c>
      <c r="AT347">
        <f>1-AJ347/100</f>
        <v>0</v>
      </c>
      <c r="AU347">
        <f>IF(AN347=1,AT347,1)</f>
        <v>0</v>
      </c>
      <c r="AV347">
        <f>IF(AM347=1,AT347,1)</f>
        <v>0</v>
      </c>
      <c r="AW347">
        <f>IF(AND(AQ347=1,ISNUMBER(AT347)),$AT347,1)</f>
        <v>0</v>
      </c>
      <c r="AX347">
        <f>IF(AND(AR347=1,ISNUMBER(AT347)),$AT347,1)</f>
        <v>0</v>
      </c>
      <c r="AY347">
        <f>IF(ISNUMBER(Y347),INDEX(AllCollegeMoney, MATCH(N347,AllCollegeNCES,0)),0)</f>
        <v>0</v>
      </c>
      <c r="AZ347">
        <f>IF(AND(AQ347=1,ISNUMBER(AT347),AY347=1),$AT347,1)</f>
        <v>0</v>
      </c>
      <c r="BA347">
        <f>IF(AND(AR347=1,ISNUMBER(AT347),AY347=1),$AT347,1)</f>
        <v>0</v>
      </c>
      <c r="BB347">
        <f>IF(ISNUMBER(Y347),INDEX(AllCollegeILPub, MATCH(N347,AllCollegeNCES,0)),0)</f>
        <v>0</v>
      </c>
      <c r="BC347">
        <f>IF(AK347=ReachLabel,AP347,0)</f>
        <v>0</v>
      </c>
      <c r="BD347">
        <f>IF(AK347=MatchLabel,AP347,0)</f>
        <v>0</v>
      </c>
      <c r="BE347">
        <f>IF(AK347=SafetyLabel,AP347,0)</f>
        <v>0</v>
      </c>
      <c r="BF347">
        <f>IF(AK347=SecureLabel,AP347,0)</f>
        <v>0</v>
      </c>
      <c r="BG347">
        <f>IF(AK347=SureThingLabel,AP347,0)</f>
        <v>0</v>
      </c>
      <c r="BH347">
        <f>MAX(BC347:BG347)</f>
        <v>0</v>
      </c>
      <c r="BI347">
        <f>MAX(BD347:BG347)</f>
        <v>0</v>
      </c>
      <c r="BJ347">
        <f>MAX(BE347:BG347)</f>
        <v>0</v>
      </c>
      <c r="BK347">
        <f>IF(AND(AK347=ReachLabel,AY347=1),AP347,0)</f>
        <v>0</v>
      </c>
      <c r="BL347">
        <f>IF(AND(AK347=MatchLabel,AY347=1),AP347,0)</f>
        <v>0</v>
      </c>
      <c r="BM347">
        <f>IF(AND(AK347=SafetyLabel,AY347=1),AP347,0)</f>
        <v>0</v>
      </c>
      <c r="BN347">
        <f>IF(AND(AK347=SecureLabel,AY347=1),AP347,0)</f>
        <v>0</v>
      </c>
      <c r="BO347">
        <f>IF(AND(AK347=SureThingLabel,AY347=1),AP347,0)</f>
        <v>0</v>
      </c>
      <c r="BP347">
        <f>MAX(BK347:BO347)</f>
        <v>0</v>
      </c>
      <c r="BQ347">
        <f>MAX(BL347:BO347)</f>
        <v>0</v>
      </c>
      <c r="BR347">
        <f>MAX(BM347:BO347)</f>
        <v>0</v>
      </c>
      <c r="BS347">
        <f>IF(ISNUMBER(Y347),INDEX(AllCollegeChicago, MATCH(N347,AllCollegeNCES,0))*AY347,0)</f>
        <v>0</v>
      </c>
      <c r="BT347">
        <f>IF(ISNUMBER(Y347),INDEX(AllCollegeMoneyCode, MATCH(N347,AllCollegeNCES,0)),"?")</f>
        <v>0</v>
      </c>
      <c r="BU347">
        <f>IF(OR(BT347="---",BT347="--",BT347="+/--",BT347="+/---"),1,0)</f>
        <v>0</v>
      </c>
      <c r="BV347">
        <f>AY347*AO347*AQ347</f>
        <v>0</v>
      </c>
    </row>
    <row r="348" spans="1:74">
      <c r="A348" t="s">
        <v>86</v>
      </c>
      <c r="B348">
        <v>23207329</v>
      </c>
      <c r="C348" t="s">
        <v>109</v>
      </c>
      <c r="D348" t="s">
        <v>110</v>
      </c>
      <c r="E348" t="s">
        <v>428</v>
      </c>
      <c r="F348" t="s">
        <v>455</v>
      </c>
      <c r="G348" t="s">
        <v>430</v>
      </c>
      <c r="H348" t="s">
        <v>431</v>
      </c>
      <c r="I348" t="s">
        <v>432</v>
      </c>
      <c r="J348" t="s">
        <v>432</v>
      </c>
      <c r="K348">
        <v>0</v>
      </c>
      <c r="L348" t="s">
        <v>428</v>
      </c>
      <c r="M348" t="s">
        <v>428</v>
      </c>
      <c r="N348">
        <v>240444</v>
      </c>
      <c r="O348">
        <f>INDEX(AllCollegeBarrons,MATCH(N348,AllCollegeNCES,0))</f>
        <v>0</v>
      </c>
      <c r="P348">
        <f>INDEX(KidGPAs,MATCH(B348,KidIDs,0))</f>
        <v>0</v>
      </c>
      <c r="Q348">
        <f>INDEX(KidACTs,MATCH(B348,KidIDs,0))</f>
        <v>0</v>
      </c>
      <c r="R348">
        <f>INDEX(Strats,MATCH(B348,KidIDs,0))</f>
        <v>0</v>
      </c>
      <c r="S348">
        <f>INDEX(KidRace,MATCH(B348,KidIDs,0))</f>
        <v>0</v>
      </c>
      <c r="T348">
        <f>IF(OR(S348="M",S348="I"),"H",S348)</f>
        <v>0</v>
      </c>
      <c r="U348">
        <f>INDEX(StudentTargets,MATCH(B348,KidIDs,0))</f>
        <v>0</v>
      </c>
      <c r="V348">
        <f>INDEX(ReachStudentTargets,MATCH(B348,KidIDs,0))</f>
        <v>0</v>
      </c>
      <c r="W348">
        <f>IF(OR(M348="Posse"),1,0)</f>
        <v>0</v>
      </c>
      <c r="X348">
        <f>IF(ISNUMBER(INDEX(AllCollegeGR, MATCH(N348,AllCollegeNCES,0))),ROUND(INDEX(AllCollegeGR, MATCH(N348,AllCollegeNCES,0))+W348*IF(INDEX(AllCollegeGR, MATCH(N348,AllCollegeNCES,0))&gt;0.7,(1-INDEX(AllCollegeGR, MATCH(N348,AllCollegeNCES,0)))/2,0.15),2),INDEX(AllCollegeGR, MATCH(N348,AllCollegeNCES,0)))</f>
        <v>0</v>
      </c>
      <c r="Y348">
        <f>IF(ISNUMBER(INDEX(AllCollegeAAHGR, MATCH(N348,AllCollegeNCES,0))),ROUND(INDEX(AllCollegeAAHGR, MATCH(N348,AllCollegeNCES,0))+W348*IF(INDEX(AllCollegeAAHGR, MATCH(N348,AllCollegeNCES,0))&gt;0.7,(1-INDEX(AllCollegeAAHGR, MATCH(N348,AllCollegeNCES,0)))/2,0.15),2),INDEX(AllCollegeAAHGR, MATCH(N348,AllCollegeNCES,0)))</f>
        <v>0</v>
      </c>
      <c r="Z348">
        <f>IF(OR(T348="H",T348="B"),INDEX(AllCollegeACT25, MATCH(N348,AllCollegeNCES,0)),INDEX(AllCollegeACT50, MATCH(N348,AllCollegeNCES,0)))</f>
        <v>0</v>
      </c>
      <c r="AA348">
        <f>INDEX(CustomWeightsGPA,MATCH(T348&amp;":"&amp;N348,CustomWeightsIndex,0))</f>
        <v>0</v>
      </c>
      <c r="AB348">
        <f>INDEX(CustomWeightsACT,MATCH(T348&amp;":"&amp;N348,CustomWeightsIndex,0))</f>
        <v>0</v>
      </c>
      <c r="AC348">
        <f>INDEX(CustomWeightsIntercept,MATCH(T348&amp;":"&amp;N348,CustomWeightsIndex,0))</f>
        <v>0</v>
      </c>
      <c r="AD348">
        <f>AA348*P348+AB348*Q348+AC348</f>
        <v>0</v>
      </c>
      <c r="AE348">
        <f>INDEX(CoefficientsGPA,MATCH(T348&amp;":"&amp;O348,CoefficientsIndex,0))</f>
        <v>0</v>
      </c>
      <c r="AF348">
        <f>INDEX(CoefficientsACT,MATCH(T348&amp;":"&amp;O348,CoefficientsIndex,0))</f>
        <v>0</v>
      </c>
      <c r="AG348">
        <f>INDEX(CoefficientsIntercept,MATCH(T348&amp;":"&amp;O348,CoefficientsIndex,0))</f>
        <v>0</v>
      </c>
      <c r="AH348">
        <f>AE348*P348+(Q348-Z348)*AF348+AG348</f>
        <v>0</v>
      </c>
      <c r="AI348">
        <f>IF(ISNUMBER(AD348),AD348,AH348)</f>
        <v>0</v>
      </c>
      <c r="AJ348">
        <f>IF(ISNUMBER(AI348),IF(ISNUMBER(AE348),IF(AND(AE348=1,AF348=1,AG348=1),100,ROUND(100*EXP(AI348)/(1+EXP(AI348)),2)),ROUND(100*EXP(AI348)/(1+EXP(AI348)),2)),IF(ISTEXT(O348),IF(LEFT(O348,1)="2",100,"N/A"),"N/A"))</f>
        <v>0</v>
      </c>
      <c r="AK348">
        <f>IF(ISNUMBER(AJ348),IF(AJ348&gt;=99,IF(OR(R348=10,R348=11),MatchLabel,SureThingLabel),IF(AJ348&gt;=95,SecureLabel,IF(AJ348&gt;=80,SafetyLabel,IF(AJ348&gt;=50,MatchLabel,IF(AJ348&gt;=20,ReachLabel,IF(AJ348&gt;=10,LongshotLabel,HailMaryLabel)))))),"Other")</f>
        <v>0</v>
      </c>
      <c r="AL348">
        <f>IF(OR(I348="accepted",I348="cond. accept",I348="summer admit"),IF(J348="yes","CHOICE!","Accepted!"),IF(I348="denied","Denied",IF(K348=1,"Waitlist",IF(L348=1,"Deferred",IF(G348="pending","Pending",IF(OR(G348="initial materials submitted",G348="mid-year submitted",G348="final submitted"),"Submitted",IF(H348="interest","Interest","?")))))))</f>
        <v>0</v>
      </c>
      <c r="AM348">
        <f>IF(OR(AK348=ReachLabel,AK348=LongshotLabel,AK348=HailMaryLabel),1,0)</f>
        <v>0</v>
      </c>
      <c r="AN348">
        <f>IF(OR(AM348=1,AK348=MatchLabel),1,0)</f>
        <v>0</v>
      </c>
      <c r="AO348">
        <f>IF(OR(AK348=MatchLabel,AK348=SafetyLabel,AK348=SecureLabel,AK348=SureThingLabel),1,0)</f>
        <v>0</v>
      </c>
      <c r="AP348">
        <f>IF(OR(T348="H",T348="B"),IF(ISNUMBER(Y348),ROUND(Y348,2),0),IF(ISNUMBER(X348),ROUND(X348,2),0))</f>
        <v>0</v>
      </c>
      <c r="AQ348">
        <f>IF(AP348&gt;=U348,1,0)</f>
        <v>0</v>
      </c>
      <c r="AR348">
        <f>IF(AP348&gt;=V348,1,0)</f>
        <v>0</v>
      </c>
      <c r="AS348">
        <f>IF(AP348&lt;(U348-0.10),1,0)</f>
        <v>0</v>
      </c>
      <c r="AT348">
        <f>1-AJ348/100</f>
        <v>0</v>
      </c>
      <c r="AU348">
        <f>IF(AN348=1,AT348,1)</f>
        <v>0</v>
      </c>
      <c r="AV348">
        <f>IF(AM348=1,AT348,1)</f>
        <v>0</v>
      </c>
      <c r="AW348">
        <f>IF(AND(AQ348=1,ISNUMBER(AT348)),$AT348,1)</f>
        <v>0</v>
      </c>
      <c r="AX348">
        <f>IF(AND(AR348=1,ISNUMBER(AT348)),$AT348,1)</f>
        <v>0</v>
      </c>
      <c r="AY348">
        <f>IF(ISNUMBER(Y348),INDEX(AllCollegeMoney, MATCH(N348,AllCollegeNCES,0)),0)</f>
        <v>0</v>
      </c>
      <c r="AZ348">
        <f>IF(AND(AQ348=1,ISNUMBER(AT348),AY348=1),$AT348,1)</f>
        <v>0</v>
      </c>
      <c r="BA348">
        <f>IF(AND(AR348=1,ISNUMBER(AT348),AY348=1),$AT348,1)</f>
        <v>0</v>
      </c>
      <c r="BB348">
        <f>IF(ISNUMBER(Y348),INDEX(AllCollegeILPub, MATCH(N348,AllCollegeNCES,0)),0)</f>
        <v>0</v>
      </c>
      <c r="BC348">
        <f>IF(AK348=ReachLabel,AP348,0)</f>
        <v>0</v>
      </c>
      <c r="BD348">
        <f>IF(AK348=MatchLabel,AP348,0)</f>
        <v>0</v>
      </c>
      <c r="BE348">
        <f>IF(AK348=SafetyLabel,AP348,0)</f>
        <v>0</v>
      </c>
      <c r="BF348">
        <f>IF(AK348=SecureLabel,AP348,0)</f>
        <v>0</v>
      </c>
      <c r="BG348">
        <f>IF(AK348=SureThingLabel,AP348,0)</f>
        <v>0</v>
      </c>
      <c r="BH348">
        <f>MAX(BC348:BG348)</f>
        <v>0</v>
      </c>
      <c r="BI348">
        <f>MAX(BD348:BG348)</f>
        <v>0</v>
      </c>
      <c r="BJ348">
        <f>MAX(BE348:BG348)</f>
        <v>0</v>
      </c>
      <c r="BK348">
        <f>IF(AND(AK348=ReachLabel,AY348=1),AP348,0)</f>
        <v>0</v>
      </c>
      <c r="BL348">
        <f>IF(AND(AK348=MatchLabel,AY348=1),AP348,0)</f>
        <v>0</v>
      </c>
      <c r="BM348">
        <f>IF(AND(AK348=SafetyLabel,AY348=1),AP348,0)</f>
        <v>0</v>
      </c>
      <c r="BN348">
        <f>IF(AND(AK348=SecureLabel,AY348=1),AP348,0)</f>
        <v>0</v>
      </c>
      <c r="BO348">
        <f>IF(AND(AK348=SureThingLabel,AY348=1),AP348,0)</f>
        <v>0</v>
      </c>
      <c r="BP348">
        <f>MAX(BK348:BO348)</f>
        <v>0</v>
      </c>
      <c r="BQ348">
        <f>MAX(BL348:BO348)</f>
        <v>0</v>
      </c>
      <c r="BR348">
        <f>MAX(BM348:BO348)</f>
        <v>0</v>
      </c>
      <c r="BS348">
        <f>IF(ISNUMBER(Y348),INDEX(AllCollegeChicago, MATCH(N348,AllCollegeNCES,0))*AY348,0)</f>
        <v>0</v>
      </c>
      <c r="BT348">
        <f>IF(ISNUMBER(Y348),INDEX(AllCollegeMoneyCode, MATCH(N348,AllCollegeNCES,0)),"?")</f>
        <v>0</v>
      </c>
      <c r="BU348">
        <f>IF(OR(BT348="---",BT348="--",BT348="+/--",BT348="+/---"),1,0)</f>
        <v>0</v>
      </c>
      <c r="BV348">
        <f>AY348*AO348*AQ348</f>
        <v>0</v>
      </c>
    </row>
    <row r="349" spans="1:74">
      <c r="A349" t="s">
        <v>86</v>
      </c>
      <c r="B349">
        <v>23207329</v>
      </c>
      <c r="C349" t="s">
        <v>109</v>
      </c>
      <c r="D349" t="s">
        <v>110</v>
      </c>
      <c r="E349" t="s">
        <v>428</v>
      </c>
      <c r="F349" t="s">
        <v>469</v>
      </c>
      <c r="G349" t="s">
        <v>430</v>
      </c>
      <c r="H349" t="s">
        <v>431</v>
      </c>
      <c r="I349" t="s">
        <v>432</v>
      </c>
      <c r="J349" t="s">
        <v>432</v>
      </c>
      <c r="K349">
        <v>0</v>
      </c>
      <c r="L349" t="s">
        <v>428</v>
      </c>
      <c r="M349" t="s">
        <v>428</v>
      </c>
      <c r="N349">
        <v>174844</v>
      </c>
      <c r="O349">
        <f>INDEX(AllCollegeBarrons,MATCH(N349,AllCollegeNCES,0))</f>
        <v>0</v>
      </c>
      <c r="P349">
        <f>INDEX(KidGPAs,MATCH(B349,KidIDs,0))</f>
        <v>0</v>
      </c>
      <c r="Q349">
        <f>INDEX(KidACTs,MATCH(B349,KidIDs,0))</f>
        <v>0</v>
      </c>
      <c r="R349">
        <f>INDEX(Strats,MATCH(B349,KidIDs,0))</f>
        <v>0</v>
      </c>
      <c r="S349">
        <f>INDEX(KidRace,MATCH(B349,KidIDs,0))</f>
        <v>0</v>
      </c>
      <c r="T349">
        <f>IF(OR(S349="M",S349="I"),"H",S349)</f>
        <v>0</v>
      </c>
      <c r="U349">
        <f>INDEX(StudentTargets,MATCH(B349,KidIDs,0))</f>
        <v>0</v>
      </c>
      <c r="V349">
        <f>INDEX(ReachStudentTargets,MATCH(B349,KidIDs,0))</f>
        <v>0</v>
      </c>
      <c r="W349">
        <f>IF(OR(M349="Posse"),1,0)</f>
        <v>0</v>
      </c>
      <c r="X349">
        <f>IF(ISNUMBER(INDEX(AllCollegeGR, MATCH(N349,AllCollegeNCES,0))),ROUND(INDEX(AllCollegeGR, MATCH(N349,AllCollegeNCES,0))+W349*IF(INDEX(AllCollegeGR, MATCH(N349,AllCollegeNCES,0))&gt;0.7,(1-INDEX(AllCollegeGR, MATCH(N349,AllCollegeNCES,0)))/2,0.15),2),INDEX(AllCollegeGR, MATCH(N349,AllCollegeNCES,0)))</f>
        <v>0</v>
      </c>
      <c r="Y349">
        <f>IF(ISNUMBER(INDEX(AllCollegeAAHGR, MATCH(N349,AllCollegeNCES,0))),ROUND(INDEX(AllCollegeAAHGR, MATCH(N349,AllCollegeNCES,0))+W349*IF(INDEX(AllCollegeAAHGR, MATCH(N349,AllCollegeNCES,0))&gt;0.7,(1-INDEX(AllCollegeAAHGR, MATCH(N349,AllCollegeNCES,0)))/2,0.15),2),INDEX(AllCollegeAAHGR, MATCH(N349,AllCollegeNCES,0)))</f>
        <v>0</v>
      </c>
      <c r="Z349">
        <f>IF(OR(T349="H",T349="B"),INDEX(AllCollegeACT25, MATCH(N349,AllCollegeNCES,0)),INDEX(AllCollegeACT50, MATCH(N349,AllCollegeNCES,0)))</f>
        <v>0</v>
      </c>
      <c r="AA349">
        <f>INDEX(CustomWeightsGPA,MATCH(T349&amp;":"&amp;N349,CustomWeightsIndex,0))</f>
        <v>0</v>
      </c>
      <c r="AB349">
        <f>INDEX(CustomWeightsACT,MATCH(T349&amp;":"&amp;N349,CustomWeightsIndex,0))</f>
        <v>0</v>
      </c>
      <c r="AC349">
        <f>INDEX(CustomWeightsIntercept,MATCH(T349&amp;":"&amp;N349,CustomWeightsIndex,0))</f>
        <v>0</v>
      </c>
      <c r="AD349">
        <f>AA349*P349+AB349*Q349+AC349</f>
        <v>0</v>
      </c>
      <c r="AE349">
        <f>INDEX(CoefficientsGPA,MATCH(T349&amp;":"&amp;O349,CoefficientsIndex,0))</f>
        <v>0</v>
      </c>
      <c r="AF349">
        <f>INDEX(CoefficientsACT,MATCH(T349&amp;":"&amp;O349,CoefficientsIndex,0))</f>
        <v>0</v>
      </c>
      <c r="AG349">
        <f>INDEX(CoefficientsIntercept,MATCH(T349&amp;":"&amp;O349,CoefficientsIndex,0))</f>
        <v>0</v>
      </c>
      <c r="AH349">
        <f>AE349*P349+(Q349-Z349)*AF349+AG349</f>
        <v>0</v>
      </c>
      <c r="AI349">
        <f>IF(ISNUMBER(AD349),AD349,AH349)</f>
        <v>0</v>
      </c>
      <c r="AJ349">
        <f>IF(ISNUMBER(AI349),IF(ISNUMBER(AE349),IF(AND(AE349=1,AF349=1,AG349=1),100,ROUND(100*EXP(AI349)/(1+EXP(AI349)),2)),ROUND(100*EXP(AI349)/(1+EXP(AI349)),2)),IF(ISTEXT(O349),IF(LEFT(O349,1)="2",100,"N/A"),"N/A"))</f>
        <v>0</v>
      </c>
      <c r="AK349">
        <f>IF(ISNUMBER(AJ349),IF(AJ349&gt;=99,IF(OR(R349=10,R349=11),MatchLabel,SureThingLabel),IF(AJ349&gt;=95,SecureLabel,IF(AJ349&gt;=80,SafetyLabel,IF(AJ349&gt;=50,MatchLabel,IF(AJ349&gt;=20,ReachLabel,IF(AJ349&gt;=10,LongshotLabel,HailMaryLabel)))))),"Other")</f>
        <v>0</v>
      </c>
      <c r="AL349">
        <f>IF(OR(I349="accepted",I349="cond. accept",I349="summer admit"),IF(J349="yes","CHOICE!","Accepted!"),IF(I349="denied","Denied",IF(K349=1,"Waitlist",IF(L349=1,"Deferred",IF(G349="pending","Pending",IF(OR(G349="initial materials submitted",G349="mid-year submitted",G349="final submitted"),"Submitted",IF(H349="interest","Interest","?")))))))</f>
        <v>0</v>
      </c>
      <c r="AM349">
        <f>IF(OR(AK349=ReachLabel,AK349=LongshotLabel,AK349=HailMaryLabel),1,0)</f>
        <v>0</v>
      </c>
      <c r="AN349">
        <f>IF(OR(AM349=1,AK349=MatchLabel),1,0)</f>
        <v>0</v>
      </c>
      <c r="AO349">
        <f>IF(OR(AK349=MatchLabel,AK349=SafetyLabel,AK349=SecureLabel,AK349=SureThingLabel),1,0)</f>
        <v>0</v>
      </c>
      <c r="AP349">
        <f>IF(OR(T349="H",T349="B"),IF(ISNUMBER(Y349),ROUND(Y349,2),0),IF(ISNUMBER(X349),ROUND(X349,2),0))</f>
        <v>0</v>
      </c>
      <c r="AQ349">
        <f>IF(AP349&gt;=U349,1,0)</f>
        <v>0</v>
      </c>
      <c r="AR349">
        <f>IF(AP349&gt;=V349,1,0)</f>
        <v>0</v>
      </c>
      <c r="AS349">
        <f>IF(AP349&lt;(U349-0.10),1,0)</f>
        <v>0</v>
      </c>
      <c r="AT349">
        <f>1-AJ349/100</f>
        <v>0</v>
      </c>
      <c r="AU349">
        <f>IF(AN349=1,AT349,1)</f>
        <v>0</v>
      </c>
      <c r="AV349">
        <f>IF(AM349=1,AT349,1)</f>
        <v>0</v>
      </c>
      <c r="AW349">
        <f>IF(AND(AQ349=1,ISNUMBER(AT349)),$AT349,1)</f>
        <v>0</v>
      </c>
      <c r="AX349">
        <f>IF(AND(AR349=1,ISNUMBER(AT349)),$AT349,1)</f>
        <v>0</v>
      </c>
      <c r="AY349">
        <f>IF(ISNUMBER(Y349),INDEX(AllCollegeMoney, MATCH(N349,AllCollegeNCES,0)),0)</f>
        <v>0</v>
      </c>
      <c r="AZ349">
        <f>IF(AND(AQ349=1,ISNUMBER(AT349),AY349=1),$AT349,1)</f>
        <v>0</v>
      </c>
      <c r="BA349">
        <f>IF(AND(AR349=1,ISNUMBER(AT349),AY349=1),$AT349,1)</f>
        <v>0</v>
      </c>
      <c r="BB349">
        <f>IF(ISNUMBER(Y349),INDEX(AllCollegeILPub, MATCH(N349,AllCollegeNCES,0)),0)</f>
        <v>0</v>
      </c>
      <c r="BC349">
        <f>IF(AK349=ReachLabel,AP349,0)</f>
        <v>0</v>
      </c>
      <c r="BD349">
        <f>IF(AK349=MatchLabel,AP349,0)</f>
        <v>0</v>
      </c>
      <c r="BE349">
        <f>IF(AK349=SafetyLabel,AP349,0)</f>
        <v>0</v>
      </c>
      <c r="BF349">
        <f>IF(AK349=SecureLabel,AP349,0)</f>
        <v>0</v>
      </c>
      <c r="BG349">
        <f>IF(AK349=SureThingLabel,AP349,0)</f>
        <v>0</v>
      </c>
      <c r="BH349">
        <f>MAX(BC349:BG349)</f>
        <v>0</v>
      </c>
      <c r="BI349">
        <f>MAX(BD349:BG349)</f>
        <v>0</v>
      </c>
      <c r="BJ349">
        <f>MAX(BE349:BG349)</f>
        <v>0</v>
      </c>
      <c r="BK349">
        <f>IF(AND(AK349=ReachLabel,AY349=1),AP349,0)</f>
        <v>0</v>
      </c>
      <c r="BL349">
        <f>IF(AND(AK349=MatchLabel,AY349=1),AP349,0)</f>
        <v>0</v>
      </c>
      <c r="BM349">
        <f>IF(AND(AK349=SafetyLabel,AY349=1),AP349,0)</f>
        <v>0</v>
      </c>
      <c r="BN349">
        <f>IF(AND(AK349=SecureLabel,AY349=1),AP349,0)</f>
        <v>0</v>
      </c>
      <c r="BO349">
        <f>IF(AND(AK349=SureThingLabel,AY349=1),AP349,0)</f>
        <v>0</v>
      </c>
      <c r="BP349">
        <f>MAX(BK349:BO349)</f>
        <v>0</v>
      </c>
      <c r="BQ349">
        <f>MAX(BL349:BO349)</f>
        <v>0</v>
      </c>
      <c r="BR349">
        <f>MAX(BM349:BO349)</f>
        <v>0</v>
      </c>
      <c r="BS349">
        <f>IF(ISNUMBER(Y349),INDEX(AllCollegeChicago, MATCH(N349,AllCollegeNCES,0))*AY349,0)</f>
        <v>0</v>
      </c>
      <c r="BT349">
        <f>IF(ISNUMBER(Y349),INDEX(AllCollegeMoneyCode, MATCH(N349,AllCollegeNCES,0)),"?")</f>
        <v>0</v>
      </c>
      <c r="BU349">
        <f>IF(OR(BT349="---",BT349="--",BT349="+/--",BT349="+/---"),1,0)</f>
        <v>0</v>
      </c>
      <c r="BV349">
        <f>AY349*AO349*AQ349</f>
        <v>0</v>
      </c>
    </row>
    <row r="350" spans="1:74">
      <c r="A350" t="s">
        <v>86</v>
      </c>
      <c r="B350">
        <v>23207329</v>
      </c>
      <c r="C350" t="s">
        <v>109</v>
      </c>
      <c r="D350" t="s">
        <v>110</v>
      </c>
      <c r="E350" t="s">
        <v>428</v>
      </c>
      <c r="F350" t="s">
        <v>457</v>
      </c>
      <c r="G350" t="s">
        <v>430</v>
      </c>
      <c r="H350" t="s">
        <v>431</v>
      </c>
      <c r="I350" t="s">
        <v>432</v>
      </c>
      <c r="J350" t="s">
        <v>432</v>
      </c>
      <c r="K350">
        <v>0</v>
      </c>
      <c r="L350" t="s">
        <v>428</v>
      </c>
      <c r="M350" t="s">
        <v>428</v>
      </c>
      <c r="N350">
        <v>145637</v>
      </c>
      <c r="O350">
        <f>INDEX(AllCollegeBarrons,MATCH(N350,AllCollegeNCES,0))</f>
        <v>0</v>
      </c>
      <c r="P350">
        <f>INDEX(KidGPAs,MATCH(B350,KidIDs,0))</f>
        <v>0</v>
      </c>
      <c r="Q350">
        <f>INDEX(KidACTs,MATCH(B350,KidIDs,0))</f>
        <v>0</v>
      </c>
      <c r="R350">
        <f>INDEX(Strats,MATCH(B350,KidIDs,0))</f>
        <v>0</v>
      </c>
      <c r="S350">
        <f>INDEX(KidRace,MATCH(B350,KidIDs,0))</f>
        <v>0</v>
      </c>
      <c r="T350">
        <f>IF(OR(S350="M",S350="I"),"H",S350)</f>
        <v>0</v>
      </c>
      <c r="U350">
        <f>INDEX(StudentTargets,MATCH(B350,KidIDs,0))</f>
        <v>0</v>
      </c>
      <c r="V350">
        <f>INDEX(ReachStudentTargets,MATCH(B350,KidIDs,0))</f>
        <v>0</v>
      </c>
      <c r="W350">
        <f>IF(OR(M350="Posse"),1,0)</f>
        <v>0</v>
      </c>
      <c r="X350">
        <f>IF(ISNUMBER(INDEX(AllCollegeGR, MATCH(N350,AllCollegeNCES,0))),ROUND(INDEX(AllCollegeGR, MATCH(N350,AllCollegeNCES,0))+W350*IF(INDEX(AllCollegeGR, MATCH(N350,AllCollegeNCES,0))&gt;0.7,(1-INDEX(AllCollegeGR, MATCH(N350,AllCollegeNCES,0)))/2,0.15),2),INDEX(AllCollegeGR, MATCH(N350,AllCollegeNCES,0)))</f>
        <v>0</v>
      </c>
      <c r="Y350">
        <f>IF(ISNUMBER(INDEX(AllCollegeAAHGR, MATCH(N350,AllCollegeNCES,0))),ROUND(INDEX(AllCollegeAAHGR, MATCH(N350,AllCollegeNCES,0))+W350*IF(INDEX(AllCollegeAAHGR, MATCH(N350,AllCollegeNCES,0))&gt;0.7,(1-INDEX(AllCollegeAAHGR, MATCH(N350,AllCollegeNCES,0)))/2,0.15),2),INDEX(AllCollegeAAHGR, MATCH(N350,AllCollegeNCES,0)))</f>
        <v>0</v>
      </c>
      <c r="Z350">
        <f>IF(OR(T350="H",T350="B"),INDEX(AllCollegeACT25, MATCH(N350,AllCollegeNCES,0)),INDEX(AllCollegeACT50, MATCH(N350,AllCollegeNCES,0)))</f>
        <v>0</v>
      </c>
      <c r="AA350">
        <f>INDEX(CustomWeightsGPA,MATCH(T350&amp;":"&amp;N350,CustomWeightsIndex,0))</f>
        <v>0</v>
      </c>
      <c r="AB350">
        <f>INDEX(CustomWeightsACT,MATCH(T350&amp;":"&amp;N350,CustomWeightsIndex,0))</f>
        <v>0</v>
      </c>
      <c r="AC350">
        <f>INDEX(CustomWeightsIntercept,MATCH(T350&amp;":"&amp;N350,CustomWeightsIndex,0))</f>
        <v>0</v>
      </c>
      <c r="AD350">
        <f>AA350*P350+AB350*Q350+AC350</f>
        <v>0</v>
      </c>
      <c r="AE350">
        <f>INDEX(CoefficientsGPA,MATCH(T350&amp;":"&amp;O350,CoefficientsIndex,0))</f>
        <v>0</v>
      </c>
      <c r="AF350">
        <f>INDEX(CoefficientsACT,MATCH(T350&amp;":"&amp;O350,CoefficientsIndex,0))</f>
        <v>0</v>
      </c>
      <c r="AG350">
        <f>INDEX(CoefficientsIntercept,MATCH(T350&amp;":"&amp;O350,CoefficientsIndex,0))</f>
        <v>0</v>
      </c>
      <c r="AH350">
        <f>AE350*P350+(Q350-Z350)*AF350+AG350</f>
        <v>0</v>
      </c>
      <c r="AI350">
        <f>IF(ISNUMBER(AD350),AD350,AH350)</f>
        <v>0</v>
      </c>
      <c r="AJ350">
        <f>IF(ISNUMBER(AI350),IF(ISNUMBER(AE350),IF(AND(AE350=1,AF350=1,AG350=1),100,ROUND(100*EXP(AI350)/(1+EXP(AI350)),2)),ROUND(100*EXP(AI350)/(1+EXP(AI350)),2)),IF(ISTEXT(O350),IF(LEFT(O350,1)="2",100,"N/A"),"N/A"))</f>
        <v>0</v>
      </c>
      <c r="AK350">
        <f>IF(ISNUMBER(AJ350),IF(AJ350&gt;=99,IF(OR(R350=10,R350=11),MatchLabel,SureThingLabel),IF(AJ350&gt;=95,SecureLabel,IF(AJ350&gt;=80,SafetyLabel,IF(AJ350&gt;=50,MatchLabel,IF(AJ350&gt;=20,ReachLabel,IF(AJ350&gt;=10,LongshotLabel,HailMaryLabel)))))),"Other")</f>
        <v>0</v>
      </c>
      <c r="AL350">
        <f>IF(OR(I350="accepted",I350="cond. accept",I350="summer admit"),IF(J350="yes","CHOICE!","Accepted!"),IF(I350="denied","Denied",IF(K350=1,"Waitlist",IF(L350=1,"Deferred",IF(G350="pending","Pending",IF(OR(G350="initial materials submitted",G350="mid-year submitted",G350="final submitted"),"Submitted",IF(H350="interest","Interest","?")))))))</f>
        <v>0</v>
      </c>
      <c r="AM350">
        <f>IF(OR(AK350=ReachLabel,AK350=LongshotLabel,AK350=HailMaryLabel),1,0)</f>
        <v>0</v>
      </c>
      <c r="AN350">
        <f>IF(OR(AM350=1,AK350=MatchLabel),1,0)</f>
        <v>0</v>
      </c>
      <c r="AO350">
        <f>IF(OR(AK350=MatchLabel,AK350=SafetyLabel,AK350=SecureLabel,AK350=SureThingLabel),1,0)</f>
        <v>0</v>
      </c>
      <c r="AP350">
        <f>IF(OR(T350="H",T350="B"),IF(ISNUMBER(Y350),ROUND(Y350,2),0),IF(ISNUMBER(X350),ROUND(X350,2),0))</f>
        <v>0</v>
      </c>
      <c r="AQ350">
        <f>IF(AP350&gt;=U350,1,0)</f>
        <v>0</v>
      </c>
      <c r="AR350">
        <f>IF(AP350&gt;=V350,1,0)</f>
        <v>0</v>
      </c>
      <c r="AS350">
        <f>IF(AP350&lt;(U350-0.10),1,0)</f>
        <v>0</v>
      </c>
      <c r="AT350">
        <f>1-AJ350/100</f>
        <v>0</v>
      </c>
      <c r="AU350">
        <f>IF(AN350=1,AT350,1)</f>
        <v>0</v>
      </c>
      <c r="AV350">
        <f>IF(AM350=1,AT350,1)</f>
        <v>0</v>
      </c>
      <c r="AW350">
        <f>IF(AND(AQ350=1,ISNUMBER(AT350)),$AT350,1)</f>
        <v>0</v>
      </c>
      <c r="AX350">
        <f>IF(AND(AR350=1,ISNUMBER(AT350)),$AT350,1)</f>
        <v>0</v>
      </c>
      <c r="AY350">
        <f>IF(ISNUMBER(Y350),INDEX(AllCollegeMoney, MATCH(N350,AllCollegeNCES,0)),0)</f>
        <v>0</v>
      </c>
      <c r="AZ350">
        <f>IF(AND(AQ350=1,ISNUMBER(AT350),AY350=1),$AT350,1)</f>
        <v>0</v>
      </c>
      <c r="BA350">
        <f>IF(AND(AR350=1,ISNUMBER(AT350),AY350=1),$AT350,1)</f>
        <v>0</v>
      </c>
      <c r="BB350">
        <f>IF(ISNUMBER(Y350),INDEX(AllCollegeILPub, MATCH(N350,AllCollegeNCES,0)),0)</f>
        <v>0</v>
      </c>
      <c r="BC350">
        <f>IF(AK350=ReachLabel,AP350,0)</f>
        <v>0</v>
      </c>
      <c r="BD350">
        <f>IF(AK350=MatchLabel,AP350,0)</f>
        <v>0</v>
      </c>
      <c r="BE350">
        <f>IF(AK350=SafetyLabel,AP350,0)</f>
        <v>0</v>
      </c>
      <c r="BF350">
        <f>IF(AK350=SecureLabel,AP350,0)</f>
        <v>0</v>
      </c>
      <c r="BG350">
        <f>IF(AK350=SureThingLabel,AP350,0)</f>
        <v>0</v>
      </c>
      <c r="BH350">
        <f>MAX(BC350:BG350)</f>
        <v>0</v>
      </c>
      <c r="BI350">
        <f>MAX(BD350:BG350)</f>
        <v>0</v>
      </c>
      <c r="BJ350">
        <f>MAX(BE350:BG350)</f>
        <v>0</v>
      </c>
      <c r="BK350">
        <f>IF(AND(AK350=ReachLabel,AY350=1),AP350,0)</f>
        <v>0</v>
      </c>
      <c r="BL350">
        <f>IF(AND(AK350=MatchLabel,AY350=1),AP350,0)</f>
        <v>0</v>
      </c>
      <c r="BM350">
        <f>IF(AND(AK350=SafetyLabel,AY350=1),AP350,0)</f>
        <v>0</v>
      </c>
      <c r="BN350">
        <f>IF(AND(AK350=SecureLabel,AY350=1),AP350,0)</f>
        <v>0</v>
      </c>
      <c r="BO350">
        <f>IF(AND(AK350=SureThingLabel,AY350=1),AP350,0)</f>
        <v>0</v>
      </c>
      <c r="BP350">
        <f>MAX(BK350:BO350)</f>
        <v>0</v>
      </c>
      <c r="BQ350">
        <f>MAX(BL350:BO350)</f>
        <v>0</v>
      </c>
      <c r="BR350">
        <f>MAX(BM350:BO350)</f>
        <v>0</v>
      </c>
      <c r="BS350">
        <f>IF(ISNUMBER(Y350),INDEX(AllCollegeChicago, MATCH(N350,AllCollegeNCES,0))*AY350,0)</f>
        <v>0</v>
      </c>
      <c r="BT350">
        <f>IF(ISNUMBER(Y350),INDEX(AllCollegeMoneyCode, MATCH(N350,AllCollegeNCES,0)),"?")</f>
        <v>0</v>
      </c>
      <c r="BU350">
        <f>IF(OR(BT350="---",BT350="--",BT350="+/--",BT350="+/---"),1,0)</f>
        <v>0</v>
      </c>
      <c r="BV350">
        <f>AY350*AO350*AQ350</f>
        <v>0</v>
      </c>
    </row>
    <row r="351" spans="1:74">
      <c r="A351" t="s">
        <v>86</v>
      </c>
      <c r="B351">
        <v>23207329</v>
      </c>
      <c r="C351" t="s">
        <v>109</v>
      </c>
      <c r="D351" t="s">
        <v>110</v>
      </c>
      <c r="E351" t="s">
        <v>428</v>
      </c>
      <c r="F351" t="s">
        <v>458</v>
      </c>
      <c r="G351" t="s">
        <v>430</v>
      </c>
      <c r="H351" t="s">
        <v>431</v>
      </c>
      <c r="I351" t="s">
        <v>432</v>
      </c>
      <c r="J351" t="s">
        <v>432</v>
      </c>
      <c r="K351">
        <v>0</v>
      </c>
      <c r="L351" t="s">
        <v>428</v>
      </c>
      <c r="M351" t="s">
        <v>428</v>
      </c>
      <c r="N351">
        <v>202523</v>
      </c>
      <c r="O351">
        <f>INDEX(AllCollegeBarrons,MATCH(N351,AllCollegeNCES,0))</f>
        <v>0</v>
      </c>
      <c r="P351">
        <f>INDEX(KidGPAs,MATCH(B351,KidIDs,0))</f>
        <v>0</v>
      </c>
      <c r="Q351">
        <f>INDEX(KidACTs,MATCH(B351,KidIDs,0))</f>
        <v>0</v>
      </c>
      <c r="R351">
        <f>INDEX(Strats,MATCH(B351,KidIDs,0))</f>
        <v>0</v>
      </c>
      <c r="S351">
        <f>INDEX(KidRace,MATCH(B351,KidIDs,0))</f>
        <v>0</v>
      </c>
      <c r="T351">
        <f>IF(OR(S351="M",S351="I"),"H",S351)</f>
        <v>0</v>
      </c>
      <c r="U351">
        <f>INDEX(StudentTargets,MATCH(B351,KidIDs,0))</f>
        <v>0</v>
      </c>
      <c r="V351">
        <f>INDEX(ReachStudentTargets,MATCH(B351,KidIDs,0))</f>
        <v>0</v>
      </c>
      <c r="W351">
        <f>IF(OR(M351="Posse"),1,0)</f>
        <v>0</v>
      </c>
      <c r="X351">
        <f>IF(ISNUMBER(INDEX(AllCollegeGR, MATCH(N351,AllCollegeNCES,0))),ROUND(INDEX(AllCollegeGR, MATCH(N351,AllCollegeNCES,0))+W351*IF(INDEX(AllCollegeGR, MATCH(N351,AllCollegeNCES,0))&gt;0.7,(1-INDEX(AllCollegeGR, MATCH(N351,AllCollegeNCES,0)))/2,0.15),2),INDEX(AllCollegeGR, MATCH(N351,AllCollegeNCES,0)))</f>
        <v>0</v>
      </c>
      <c r="Y351">
        <f>IF(ISNUMBER(INDEX(AllCollegeAAHGR, MATCH(N351,AllCollegeNCES,0))),ROUND(INDEX(AllCollegeAAHGR, MATCH(N351,AllCollegeNCES,0))+W351*IF(INDEX(AllCollegeAAHGR, MATCH(N351,AllCollegeNCES,0))&gt;0.7,(1-INDEX(AllCollegeAAHGR, MATCH(N351,AllCollegeNCES,0)))/2,0.15),2),INDEX(AllCollegeAAHGR, MATCH(N351,AllCollegeNCES,0)))</f>
        <v>0</v>
      </c>
      <c r="Z351">
        <f>IF(OR(T351="H",T351="B"),INDEX(AllCollegeACT25, MATCH(N351,AllCollegeNCES,0)),INDEX(AllCollegeACT50, MATCH(N351,AllCollegeNCES,0)))</f>
        <v>0</v>
      </c>
      <c r="AA351">
        <f>INDEX(CustomWeightsGPA,MATCH(T351&amp;":"&amp;N351,CustomWeightsIndex,0))</f>
        <v>0</v>
      </c>
      <c r="AB351">
        <f>INDEX(CustomWeightsACT,MATCH(T351&amp;":"&amp;N351,CustomWeightsIndex,0))</f>
        <v>0</v>
      </c>
      <c r="AC351">
        <f>INDEX(CustomWeightsIntercept,MATCH(T351&amp;":"&amp;N351,CustomWeightsIndex,0))</f>
        <v>0</v>
      </c>
      <c r="AD351">
        <f>AA351*P351+AB351*Q351+AC351</f>
        <v>0</v>
      </c>
      <c r="AE351">
        <f>INDEX(CoefficientsGPA,MATCH(T351&amp;":"&amp;O351,CoefficientsIndex,0))</f>
        <v>0</v>
      </c>
      <c r="AF351">
        <f>INDEX(CoefficientsACT,MATCH(T351&amp;":"&amp;O351,CoefficientsIndex,0))</f>
        <v>0</v>
      </c>
      <c r="AG351">
        <f>INDEX(CoefficientsIntercept,MATCH(T351&amp;":"&amp;O351,CoefficientsIndex,0))</f>
        <v>0</v>
      </c>
      <c r="AH351">
        <f>AE351*P351+(Q351-Z351)*AF351+AG351</f>
        <v>0</v>
      </c>
      <c r="AI351">
        <f>IF(ISNUMBER(AD351),AD351,AH351)</f>
        <v>0</v>
      </c>
      <c r="AJ351">
        <f>IF(ISNUMBER(AI351),IF(ISNUMBER(AE351),IF(AND(AE351=1,AF351=1,AG351=1),100,ROUND(100*EXP(AI351)/(1+EXP(AI351)),2)),ROUND(100*EXP(AI351)/(1+EXP(AI351)),2)),IF(ISTEXT(O351),IF(LEFT(O351,1)="2",100,"N/A"),"N/A"))</f>
        <v>0</v>
      </c>
      <c r="AK351">
        <f>IF(ISNUMBER(AJ351),IF(AJ351&gt;=99,IF(OR(R351=10,R351=11),MatchLabel,SureThingLabel),IF(AJ351&gt;=95,SecureLabel,IF(AJ351&gt;=80,SafetyLabel,IF(AJ351&gt;=50,MatchLabel,IF(AJ351&gt;=20,ReachLabel,IF(AJ351&gt;=10,LongshotLabel,HailMaryLabel)))))),"Other")</f>
        <v>0</v>
      </c>
      <c r="AL351">
        <f>IF(OR(I351="accepted",I351="cond. accept",I351="summer admit"),IF(J351="yes","CHOICE!","Accepted!"),IF(I351="denied","Denied",IF(K351=1,"Waitlist",IF(L351=1,"Deferred",IF(G351="pending","Pending",IF(OR(G351="initial materials submitted",G351="mid-year submitted",G351="final submitted"),"Submitted",IF(H351="interest","Interest","?")))))))</f>
        <v>0</v>
      </c>
      <c r="AM351">
        <f>IF(OR(AK351=ReachLabel,AK351=LongshotLabel,AK351=HailMaryLabel),1,0)</f>
        <v>0</v>
      </c>
      <c r="AN351">
        <f>IF(OR(AM351=1,AK351=MatchLabel),1,0)</f>
        <v>0</v>
      </c>
      <c r="AO351">
        <f>IF(OR(AK351=MatchLabel,AK351=SafetyLabel,AK351=SecureLabel,AK351=SureThingLabel),1,0)</f>
        <v>0</v>
      </c>
      <c r="AP351">
        <f>IF(OR(T351="H",T351="B"),IF(ISNUMBER(Y351),ROUND(Y351,2),0),IF(ISNUMBER(X351),ROUND(X351,2),0))</f>
        <v>0</v>
      </c>
      <c r="AQ351">
        <f>IF(AP351&gt;=U351,1,0)</f>
        <v>0</v>
      </c>
      <c r="AR351">
        <f>IF(AP351&gt;=V351,1,0)</f>
        <v>0</v>
      </c>
      <c r="AS351">
        <f>IF(AP351&lt;(U351-0.10),1,0)</f>
        <v>0</v>
      </c>
      <c r="AT351">
        <f>1-AJ351/100</f>
        <v>0</v>
      </c>
      <c r="AU351">
        <f>IF(AN351=1,AT351,1)</f>
        <v>0</v>
      </c>
      <c r="AV351">
        <f>IF(AM351=1,AT351,1)</f>
        <v>0</v>
      </c>
      <c r="AW351">
        <f>IF(AND(AQ351=1,ISNUMBER(AT351)),$AT351,1)</f>
        <v>0</v>
      </c>
      <c r="AX351">
        <f>IF(AND(AR351=1,ISNUMBER(AT351)),$AT351,1)</f>
        <v>0</v>
      </c>
      <c r="AY351">
        <f>IF(ISNUMBER(Y351),INDEX(AllCollegeMoney, MATCH(N351,AllCollegeNCES,0)),0)</f>
        <v>0</v>
      </c>
      <c r="AZ351">
        <f>IF(AND(AQ351=1,ISNUMBER(AT351),AY351=1),$AT351,1)</f>
        <v>0</v>
      </c>
      <c r="BA351">
        <f>IF(AND(AR351=1,ISNUMBER(AT351),AY351=1),$AT351,1)</f>
        <v>0</v>
      </c>
      <c r="BB351">
        <f>IF(ISNUMBER(Y351),INDEX(AllCollegeILPub, MATCH(N351,AllCollegeNCES,0)),0)</f>
        <v>0</v>
      </c>
      <c r="BC351">
        <f>IF(AK351=ReachLabel,AP351,0)</f>
        <v>0</v>
      </c>
      <c r="BD351">
        <f>IF(AK351=MatchLabel,AP351,0)</f>
        <v>0</v>
      </c>
      <c r="BE351">
        <f>IF(AK351=SafetyLabel,AP351,0)</f>
        <v>0</v>
      </c>
      <c r="BF351">
        <f>IF(AK351=SecureLabel,AP351,0)</f>
        <v>0</v>
      </c>
      <c r="BG351">
        <f>IF(AK351=SureThingLabel,AP351,0)</f>
        <v>0</v>
      </c>
      <c r="BH351">
        <f>MAX(BC351:BG351)</f>
        <v>0</v>
      </c>
      <c r="BI351">
        <f>MAX(BD351:BG351)</f>
        <v>0</v>
      </c>
      <c r="BJ351">
        <f>MAX(BE351:BG351)</f>
        <v>0</v>
      </c>
      <c r="BK351">
        <f>IF(AND(AK351=ReachLabel,AY351=1),AP351,0)</f>
        <v>0</v>
      </c>
      <c r="BL351">
        <f>IF(AND(AK351=MatchLabel,AY351=1),AP351,0)</f>
        <v>0</v>
      </c>
      <c r="BM351">
        <f>IF(AND(AK351=SafetyLabel,AY351=1),AP351,0)</f>
        <v>0</v>
      </c>
      <c r="BN351">
        <f>IF(AND(AK351=SecureLabel,AY351=1),AP351,0)</f>
        <v>0</v>
      </c>
      <c r="BO351">
        <f>IF(AND(AK351=SureThingLabel,AY351=1),AP351,0)</f>
        <v>0</v>
      </c>
      <c r="BP351">
        <f>MAX(BK351:BO351)</f>
        <v>0</v>
      </c>
      <c r="BQ351">
        <f>MAX(BL351:BO351)</f>
        <v>0</v>
      </c>
      <c r="BR351">
        <f>MAX(BM351:BO351)</f>
        <v>0</v>
      </c>
      <c r="BS351">
        <f>IF(ISNUMBER(Y351),INDEX(AllCollegeChicago, MATCH(N351,AllCollegeNCES,0))*AY351,0)</f>
        <v>0</v>
      </c>
      <c r="BT351">
        <f>IF(ISNUMBER(Y351),INDEX(AllCollegeMoneyCode, MATCH(N351,AllCollegeNCES,0)),"?")</f>
        <v>0</v>
      </c>
      <c r="BU351">
        <f>IF(OR(BT351="---",BT351="--",BT351="+/--",BT351="+/---"),1,0)</f>
        <v>0</v>
      </c>
      <c r="BV351">
        <f>AY351*AO351*AQ351</f>
        <v>0</v>
      </c>
    </row>
    <row r="352" spans="1:74">
      <c r="A352" t="s">
        <v>86</v>
      </c>
      <c r="B352">
        <v>23207329</v>
      </c>
      <c r="C352" t="s">
        <v>109</v>
      </c>
      <c r="D352" t="s">
        <v>110</v>
      </c>
      <c r="E352" t="s">
        <v>428</v>
      </c>
      <c r="F352" t="s">
        <v>459</v>
      </c>
      <c r="G352" t="s">
        <v>430</v>
      </c>
      <c r="H352" t="s">
        <v>431</v>
      </c>
      <c r="I352" t="s">
        <v>432</v>
      </c>
      <c r="J352" t="s">
        <v>432</v>
      </c>
      <c r="K352">
        <v>0</v>
      </c>
      <c r="L352" t="s">
        <v>428</v>
      </c>
      <c r="M352" t="s">
        <v>428</v>
      </c>
      <c r="N352">
        <v>146427</v>
      </c>
      <c r="O352">
        <f>INDEX(AllCollegeBarrons,MATCH(N352,AllCollegeNCES,0))</f>
        <v>0</v>
      </c>
      <c r="P352">
        <f>INDEX(KidGPAs,MATCH(B352,KidIDs,0))</f>
        <v>0</v>
      </c>
      <c r="Q352">
        <f>INDEX(KidACTs,MATCH(B352,KidIDs,0))</f>
        <v>0</v>
      </c>
      <c r="R352">
        <f>INDEX(Strats,MATCH(B352,KidIDs,0))</f>
        <v>0</v>
      </c>
      <c r="S352">
        <f>INDEX(KidRace,MATCH(B352,KidIDs,0))</f>
        <v>0</v>
      </c>
      <c r="T352">
        <f>IF(OR(S352="M",S352="I"),"H",S352)</f>
        <v>0</v>
      </c>
      <c r="U352">
        <f>INDEX(StudentTargets,MATCH(B352,KidIDs,0))</f>
        <v>0</v>
      </c>
      <c r="V352">
        <f>INDEX(ReachStudentTargets,MATCH(B352,KidIDs,0))</f>
        <v>0</v>
      </c>
      <c r="W352">
        <f>IF(OR(M352="Posse"),1,0)</f>
        <v>0</v>
      </c>
      <c r="X352">
        <f>IF(ISNUMBER(INDEX(AllCollegeGR, MATCH(N352,AllCollegeNCES,0))),ROUND(INDEX(AllCollegeGR, MATCH(N352,AllCollegeNCES,0))+W352*IF(INDEX(AllCollegeGR, MATCH(N352,AllCollegeNCES,0))&gt;0.7,(1-INDEX(AllCollegeGR, MATCH(N352,AllCollegeNCES,0)))/2,0.15),2),INDEX(AllCollegeGR, MATCH(N352,AllCollegeNCES,0)))</f>
        <v>0</v>
      </c>
      <c r="Y352">
        <f>IF(ISNUMBER(INDEX(AllCollegeAAHGR, MATCH(N352,AllCollegeNCES,0))),ROUND(INDEX(AllCollegeAAHGR, MATCH(N352,AllCollegeNCES,0))+W352*IF(INDEX(AllCollegeAAHGR, MATCH(N352,AllCollegeNCES,0))&gt;0.7,(1-INDEX(AllCollegeAAHGR, MATCH(N352,AllCollegeNCES,0)))/2,0.15),2),INDEX(AllCollegeAAHGR, MATCH(N352,AllCollegeNCES,0)))</f>
        <v>0</v>
      </c>
      <c r="Z352">
        <f>IF(OR(T352="H",T352="B"),INDEX(AllCollegeACT25, MATCH(N352,AllCollegeNCES,0)),INDEX(AllCollegeACT50, MATCH(N352,AllCollegeNCES,0)))</f>
        <v>0</v>
      </c>
      <c r="AA352">
        <f>INDEX(CustomWeightsGPA,MATCH(T352&amp;":"&amp;N352,CustomWeightsIndex,0))</f>
        <v>0</v>
      </c>
      <c r="AB352">
        <f>INDEX(CustomWeightsACT,MATCH(T352&amp;":"&amp;N352,CustomWeightsIndex,0))</f>
        <v>0</v>
      </c>
      <c r="AC352">
        <f>INDEX(CustomWeightsIntercept,MATCH(T352&amp;":"&amp;N352,CustomWeightsIndex,0))</f>
        <v>0</v>
      </c>
      <c r="AD352">
        <f>AA352*P352+AB352*Q352+AC352</f>
        <v>0</v>
      </c>
      <c r="AE352">
        <f>INDEX(CoefficientsGPA,MATCH(T352&amp;":"&amp;O352,CoefficientsIndex,0))</f>
        <v>0</v>
      </c>
      <c r="AF352">
        <f>INDEX(CoefficientsACT,MATCH(T352&amp;":"&amp;O352,CoefficientsIndex,0))</f>
        <v>0</v>
      </c>
      <c r="AG352">
        <f>INDEX(CoefficientsIntercept,MATCH(T352&amp;":"&amp;O352,CoefficientsIndex,0))</f>
        <v>0</v>
      </c>
      <c r="AH352">
        <f>AE352*P352+(Q352-Z352)*AF352+AG352</f>
        <v>0</v>
      </c>
      <c r="AI352">
        <f>IF(ISNUMBER(AD352),AD352,AH352)</f>
        <v>0</v>
      </c>
      <c r="AJ352">
        <f>IF(ISNUMBER(AI352),IF(ISNUMBER(AE352),IF(AND(AE352=1,AF352=1,AG352=1),100,ROUND(100*EXP(AI352)/(1+EXP(AI352)),2)),ROUND(100*EXP(AI352)/(1+EXP(AI352)),2)),IF(ISTEXT(O352),IF(LEFT(O352,1)="2",100,"N/A"),"N/A"))</f>
        <v>0</v>
      </c>
      <c r="AK352">
        <f>IF(ISNUMBER(AJ352),IF(AJ352&gt;=99,IF(OR(R352=10,R352=11),MatchLabel,SureThingLabel),IF(AJ352&gt;=95,SecureLabel,IF(AJ352&gt;=80,SafetyLabel,IF(AJ352&gt;=50,MatchLabel,IF(AJ352&gt;=20,ReachLabel,IF(AJ352&gt;=10,LongshotLabel,HailMaryLabel)))))),"Other")</f>
        <v>0</v>
      </c>
      <c r="AL352">
        <f>IF(OR(I352="accepted",I352="cond. accept",I352="summer admit"),IF(J352="yes","CHOICE!","Accepted!"),IF(I352="denied","Denied",IF(K352=1,"Waitlist",IF(L352=1,"Deferred",IF(G352="pending","Pending",IF(OR(G352="initial materials submitted",G352="mid-year submitted",G352="final submitted"),"Submitted",IF(H352="interest","Interest","?")))))))</f>
        <v>0</v>
      </c>
      <c r="AM352">
        <f>IF(OR(AK352=ReachLabel,AK352=LongshotLabel,AK352=HailMaryLabel),1,0)</f>
        <v>0</v>
      </c>
      <c r="AN352">
        <f>IF(OR(AM352=1,AK352=MatchLabel),1,0)</f>
        <v>0</v>
      </c>
      <c r="AO352">
        <f>IF(OR(AK352=MatchLabel,AK352=SafetyLabel,AK352=SecureLabel,AK352=SureThingLabel),1,0)</f>
        <v>0</v>
      </c>
      <c r="AP352">
        <f>IF(OR(T352="H",T352="B"),IF(ISNUMBER(Y352),ROUND(Y352,2),0),IF(ISNUMBER(X352),ROUND(X352,2),0))</f>
        <v>0</v>
      </c>
      <c r="AQ352">
        <f>IF(AP352&gt;=U352,1,0)</f>
        <v>0</v>
      </c>
      <c r="AR352">
        <f>IF(AP352&gt;=V352,1,0)</f>
        <v>0</v>
      </c>
      <c r="AS352">
        <f>IF(AP352&lt;(U352-0.10),1,0)</f>
        <v>0</v>
      </c>
      <c r="AT352">
        <f>1-AJ352/100</f>
        <v>0</v>
      </c>
      <c r="AU352">
        <f>IF(AN352=1,AT352,1)</f>
        <v>0</v>
      </c>
      <c r="AV352">
        <f>IF(AM352=1,AT352,1)</f>
        <v>0</v>
      </c>
      <c r="AW352">
        <f>IF(AND(AQ352=1,ISNUMBER(AT352)),$AT352,1)</f>
        <v>0</v>
      </c>
      <c r="AX352">
        <f>IF(AND(AR352=1,ISNUMBER(AT352)),$AT352,1)</f>
        <v>0</v>
      </c>
      <c r="AY352">
        <f>IF(ISNUMBER(Y352),INDEX(AllCollegeMoney, MATCH(N352,AllCollegeNCES,0)),0)</f>
        <v>0</v>
      </c>
      <c r="AZ352">
        <f>IF(AND(AQ352=1,ISNUMBER(AT352),AY352=1),$AT352,1)</f>
        <v>0</v>
      </c>
      <c r="BA352">
        <f>IF(AND(AR352=1,ISNUMBER(AT352),AY352=1),$AT352,1)</f>
        <v>0</v>
      </c>
      <c r="BB352">
        <f>IF(ISNUMBER(Y352),INDEX(AllCollegeILPub, MATCH(N352,AllCollegeNCES,0)),0)</f>
        <v>0</v>
      </c>
      <c r="BC352">
        <f>IF(AK352=ReachLabel,AP352,0)</f>
        <v>0</v>
      </c>
      <c r="BD352">
        <f>IF(AK352=MatchLabel,AP352,0)</f>
        <v>0</v>
      </c>
      <c r="BE352">
        <f>IF(AK352=SafetyLabel,AP352,0)</f>
        <v>0</v>
      </c>
      <c r="BF352">
        <f>IF(AK352=SecureLabel,AP352,0)</f>
        <v>0</v>
      </c>
      <c r="BG352">
        <f>IF(AK352=SureThingLabel,AP352,0)</f>
        <v>0</v>
      </c>
      <c r="BH352">
        <f>MAX(BC352:BG352)</f>
        <v>0</v>
      </c>
      <c r="BI352">
        <f>MAX(BD352:BG352)</f>
        <v>0</v>
      </c>
      <c r="BJ352">
        <f>MAX(BE352:BG352)</f>
        <v>0</v>
      </c>
      <c r="BK352">
        <f>IF(AND(AK352=ReachLabel,AY352=1),AP352,0)</f>
        <v>0</v>
      </c>
      <c r="BL352">
        <f>IF(AND(AK352=MatchLabel,AY352=1),AP352,0)</f>
        <v>0</v>
      </c>
      <c r="BM352">
        <f>IF(AND(AK352=SafetyLabel,AY352=1),AP352,0)</f>
        <v>0</v>
      </c>
      <c r="BN352">
        <f>IF(AND(AK352=SecureLabel,AY352=1),AP352,0)</f>
        <v>0</v>
      </c>
      <c r="BO352">
        <f>IF(AND(AK352=SureThingLabel,AY352=1),AP352,0)</f>
        <v>0</v>
      </c>
      <c r="BP352">
        <f>MAX(BK352:BO352)</f>
        <v>0</v>
      </c>
      <c r="BQ352">
        <f>MAX(BL352:BO352)</f>
        <v>0</v>
      </c>
      <c r="BR352">
        <f>MAX(BM352:BO352)</f>
        <v>0</v>
      </c>
      <c r="BS352">
        <f>IF(ISNUMBER(Y352),INDEX(AllCollegeChicago, MATCH(N352,AllCollegeNCES,0))*AY352,0)</f>
        <v>0</v>
      </c>
      <c r="BT352">
        <f>IF(ISNUMBER(Y352),INDEX(AllCollegeMoneyCode, MATCH(N352,AllCollegeNCES,0)),"?")</f>
        <v>0</v>
      </c>
      <c r="BU352">
        <f>IF(OR(BT352="---",BT352="--",BT352="+/--",BT352="+/---"),1,0)</f>
        <v>0</v>
      </c>
      <c r="BV352">
        <f>AY352*AO352*AQ352</f>
        <v>0</v>
      </c>
    </row>
    <row r="353" spans="1:74">
      <c r="A353" t="s">
        <v>86</v>
      </c>
      <c r="B353">
        <v>23207329</v>
      </c>
      <c r="C353" t="s">
        <v>109</v>
      </c>
      <c r="D353" t="s">
        <v>110</v>
      </c>
      <c r="E353" t="s">
        <v>428</v>
      </c>
      <c r="F353" t="s">
        <v>501</v>
      </c>
      <c r="G353" t="s">
        <v>430</v>
      </c>
      <c r="H353" t="s">
        <v>431</v>
      </c>
      <c r="I353" t="s">
        <v>432</v>
      </c>
      <c r="J353" t="s">
        <v>432</v>
      </c>
      <c r="K353">
        <v>0</v>
      </c>
      <c r="L353" t="s">
        <v>428</v>
      </c>
      <c r="M353" t="s">
        <v>428</v>
      </c>
      <c r="N353">
        <v>145725</v>
      </c>
      <c r="O353">
        <f>INDEX(AllCollegeBarrons,MATCH(N353,AllCollegeNCES,0))</f>
        <v>0</v>
      </c>
      <c r="P353">
        <f>INDEX(KidGPAs,MATCH(B353,KidIDs,0))</f>
        <v>0</v>
      </c>
      <c r="Q353">
        <f>INDEX(KidACTs,MATCH(B353,KidIDs,0))</f>
        <v>0</v>
      </c>
      <c r="R353">
        <f>INDEX(Strats,MATCH(B353,KidIDs,0))</f>
        <v>0</v>
      </c>
      <c r="S353">
        <f>INDEX(KidRace,MATCH(B353,KidIDs,0))</f>
        <v>0</v>
      </c>
      <c r="T353">
        <f>IF(OR(S353="M",S353="I"),"H",S353)</f>
        <v>0</v>
      </c>
      <c r="U353">
        <f>INDEX(StudentTargets,MATCH(B353,KidIDs,0))</f>
        <v>0</v>
      </c>
      <c r="V353">
        <f>INDEX(ReachStudentTargets,MATCH(B353,KidIDs,0))</f>
        <v>0</v>
      </c>
      <c r="W353">
        <f>IF(OR(M353="Posse"),1,0)</f>
        <v>0</v>
      </c>
      <c r="X353">
        <f>IF(ISNUMBER(INDEX(AllCollegeGR, MATCH(N353,AllCollegeNCES,0))),ROUND(INDEX(AllCollegeGR, MATCH(N353,AllCollegeNCES,0))+W353*IF(INDEX(AllCollegeGR, MATCH(N353,AllCollegeNCES,0))&gt;0.7,(1-INDEX(AllCollegeGR, MATCH(N353,AllCollegeNCES,0)))/2,0.15),2),INDEX(AllCollegeGR, MATCH(N353,AllCollegeNCES,0)))</f>
        <v>0</v>
      </c>
      <c r="Y353">
        <f>IF(ISNUMBER(INDEX(AllCollegeAAHGR, MATCH(N353,AllCollegeNCES,0))),ROUND(INDEX(AllCollegeAAHGR, MATCH(N353,AllCollegeNCES,0))+W353*IF(INDEX(AllCollegeAAHGR, MATCH(N353,AllCollegeNCES,0))&gt;0.7,(1-INDEX(AllCollegeAAHGR, MATCH(N353,AllCollegeNCES,0)))/2,0.15),2),INDEX(AllCollegeAAHGR, MATCH(N353,AllCollegeNCES,0)))</f>
        <v>0</v>
      </c>
      <c r="Z353">
        <f>IF(OR(T353="H",T353="B"),INDEX(AllCollegeACT25, MATCH(N353,AllCollegeNCES,0)),INDEX(AllCollegeACT50, MATCH(N353,AllCollegeNCES,0)))</f>
        <v>0</v>
      </c>
      <c r="AA353">
        <f>INDEX(CustomWeightsGPA,MATCH(T353&amp;":"&amp;N353,CustomWeightsIndex,0))</f>
        <v>0</v>
      </c>
      <c r="AB353">
        <f>INDEX(CustomWeightsACT,MATCH(T353&amp;":"&amp;N353,CustomWeightsIndex,0))</f>
        <v>0</v>
      </c>
      <c r="AC353">
        <f>INDEX(CustomWeightsIntercept,MATCH(T353&amp;":"&amp;N353,CustomWeightsIndex,0))</f>
        <v>0</v>
      </c>
      <c r="AD353">
        <f>AA353*P353+AB353*Q353+AC353</f>
        <v>0</v>
      </c>
      <c r="AE353">
        <f>INDEX(CoefficientsGPA,MATCH(T353&amp;":"&amp;O353,CoefficientsIndex,0))</f>
        <v>0</v>
      </c>
      <c r="AF353">
        <f>INDEX(CoefficientsACT,MATCH(T353&amp;":"&amp;O353,CoefficientsIndex,0))</f>
        <v>0</v>
      </c>
      <c r="AG353">
        <f>INDEX(CoefficientsIntercept,MATCH(T353&amp;":"&amp;O353,CoefficientsIndex,0))</f>
        <v>0</v>
      </c>
      <c r="AH353">
        <f>AE353*P353+(Q353-Z353)*AF353+AG353</f>
        <v>0</v>
      </c>
      <c r="AI353">
        <f>IF(ISNUMBER(AD353),AD353,AH353)</f>
        <v>0</v>
      </c>
      <c r="AJ353">
        <f>IF(ISNUMBER(AI353),IF(ISNUMBER(AE353),IF(AND(AE353=1,AF353=1,AG353=1),100,ROUND(100*EXP(AI353)/(1+EXP(AI353)),2)),ROUND(100*EXP(AI353)/(1+EXP(AI353)),2)),IF(ISTEXT(O353),IF(LEFT(O353,1)="2",100,"N/A"),"N/A"))</f>
        <v>0</v>
      </c>
      <c r="AK353">
        <f>IF(ISNUMBER(AJ353),IF(AJ353&gt;=99,IF(OR(R353=10,R353=11),MatchLabel,SureThingLabel),IF(AJ353&gt;=95,SecureLabel,IF(AJ353&gt;=80,SafetyLabel,IF(AJ353&gt;=50,MatchLabel,IF(AJ353&gt;=20,ReachLabel,IF(AJ353&gt;=10,LongshotLabel,HailMaryLabel)))))),"Other")</f>
        <v>0</v>
      </c>
      <c r="AL353">
        <f>IF(OR(I353="accepted",I353="cond. accept",I353="summer admit"),IF(J353="yes","CHOICE!","Accepted!"),IF(I353="denied","Denied",IF(K353=1,"Waitlist",IF(L353=1,"Deferred",IF(G353="pending","Pending",IF(OR(G353="initial materials submitted",G353="mid-year submitted",G353="final submitted"),"Submitted",IF(H353="interest","Interest","?")))))))</f>
        <v>0</v>
      </c>
      <c r="AM353">
        <f>IF(OR(AK353=ReachLabel,AK353=LongshotLabel,AK353=HailMaryLabel),1,0)</f>
        <v>0</v>
      </c>
      <c r="AN353">
        <f>IF(OR(AM353=1,AK353=MatchLabel),1,0)</f>
        <v>0</v>
      </c>
      <c r="AO353">
        <f>IF(OR(AK353=MatchLabel,AK353=SafetyLabel,AK353=SecureLabel,AK353=SureThingLabel),1,0)</f>
        <v>0</v>
      </c>
      <c r="AP353">
        <f>IF(OR(T353="H",T353="B"),IF(ISNUMBER(Y353),ROUND(Y353,2),0),IF(ISNUMBER(X353),ROUND(X353,2),0))</f>
        <v>0</v>
      </c>
      <c r="AQ353">
        <f>IF(AP353&gt;=U353,1,0)</f>
        <v>0</v>
      </c>
      <c r="AR353">
        <f>IF(AP353&gt;=V353,1,0)</f>
        <v>0</v>
      </c>
      <c r="AS353">
        <f>IF(AP353&lt;(U353-0.10),1,0)</f>
        <v>0</v>
      </c>
      <c r="AT353">
        <f>1-AJ353/100</f>
        <v>0</v>
      </c>
      <c r="AU353">
        <f>IF(AN353=1,AT353,1)</f>
        <v>0</v>
      </c>
      <c r="AV353">
        <f>IF(AM353=1,AT353,1)</f>
        <v>0</v>
      </c>
      <c r="AW353">
        <f>IF(AND(AQ353=1,ISNUMBER(AT353)),$AT353,1)</f>
        <v>0</v>
      </c>
      <c r="AX353">
        <f>IF(AND(AR353=1,ISNUMBER(AT353)),$AT353,1)</f>
        <v>0</v>
      </c>
      <c r="AY353">
        <f>IF(ISNUMBER(Y353),INDEX(AllCollegeMoney, MATCH(N353,AllCollegeNCES,0)),0)</f>
        <v>0</v>
      </c>
      <c r="AZ353">
        <f>IF(AND(AQ353=1,ISNUMBER(AT353),AY353=1),$AT353,1)</f>
        <v>0</v>
      </c>
      <c r="BA353">
        <f>IF(AND(AR353=1,ISNUMBER(AT353),AY353=1),$AT353,1)</f>
        <v>0</v>
      </c>
      <c r="BB353">
        <f>IF(ISNUMBER(Y353),INDEX(AllCollegeILPub, MATCH(N353,AllCollegeNCES,0)),0)</f>
        <v>0</v>
      </c>
      <c r="BC353">
        <f>IF(AK353=ReachLabel,AP353,0)</f>
        <v>0</v>
      </c>
      <c r="BD353">
        <f>IF(AK353=MatchLabel,AP353,0)</f>
        <v>0</v>
      </c>
      <c r="BE353">
        <f>IF(AK353=SafetyLabel,AP353,0)</f>
        <v>0</v>
      </c>
      <c r="BF353">
        <f>IF(AK353=SecureLabel,AP353,0)</f>
        <v>0</v>
      </c>
      <c r="BG353">
        <f>IF(AK353=SureThingLabel,AP353,0)</f>
        <v>0</v>
      </c>
      <c r="BH353">
        <f>MAX(BC353:BG353)</f>
        <v>0</v>
      </c>
      <c r="BI353">
        <f>MAX(BD353:BG353)</f>
        <v>0</v>
      </c>
      <c r="BJ353">
        <f>MAX(BE353:BG353)</f>
        <v>0</v>
      </c>
      <c r="BK353">
        <f>IF(AND(AK353=ReachLabel,AY353=1),AP353,0)</f>
        <v>0</v>
      </c>
      <c r="BL353">
        <f>IF(AND(AK353=MatchLabel,AY353=1),AP353,0)</f>
        <v>0</v>
      </c>
      <c r="BM353">
        <f>IF(AND(AK353=SafetyLabel,AY353=1),AP353,0)</f>
        <v>0</v>
      </c>
      <c r="BN353">
        <f>IF(AND(AK353=SecureLabel,AY353=1),AP353,0)</f>
        <v>0</v>
      </c>
      <c r="BO353">
        <f>IF(AND(AK353=SureThingLabel,AY353=1),AP353,0)</f>
        <v>0</v>
      </c>
      <c r="BP353">
        <f>MAX(BK353:BO353)</f>
        <v>0</v>
      </c>
      <c r="BQ353">
        <f>MAX(BL353:BO353)</f>
        <v>0</v>
      </c>
      <c r="BR353">
        <f>MAX(BM353:BO353)</f>
        <v>0</v>
      </c>
      <c r="BS353">
        <f>IF(ISNUMBER(Y353),INDEX(AllCollegeChicago, MATCH(N353,AllCollegeNCES,0))*AY353,0)</f>
        <v>0</v>
      </c>
      <c r="BT353">
        <f>IF(ISNUMBER(Y353),INDEX(AllCollegeMoneyCode, MATCH(N353,AllCollegeNCES,0)),"?")</f>
        <v>0</v>
      </c>
      <c r="BU353">
        <f>IF(OR(BT353="---",BT353="--",BT353="+/--",BT353="+/---"),1,0)</f>
        <v>0</v>
      </c>
      <c r="BV353">
        <f>AY353*AO353*AQ353</f>
        <v>0</v>
      </c>
    </row>
    <row r="354" spans="1:74">
      <c r="A354" t="s">
        <v>86</v>
      </c>
      <c r="B354">
        <v>23207329</v>
      </c>
      <c r="C354" t="s">
        <v>109</v>
      </c>
      <c r="D354" t="s">
        <v>110</v>
      </c>
      <c r="E354" t="s">
        <v>428</v>
      </c>
      <c r="F354" t="s">
        <v>462</v>
      </c>
      <c r="G354" t="s">
        <v>463</v>
      </c>
      <c r="H354" t="s">
        <v>431</v>
      </c>
      <c r="I354" t="s">
        <v>432</v>
      </c>
      <c r="J354" t="s">
        <v>432</v>
      </c>
      <c r="K354">
        <v>0</v>
      </c>
      <c r="L354" t="s">
        <v>428</v>
      </c>
      <c r="M354" t="s">
        <v>428</v>
      </c>
      <c r="N354">
        <v>168546</v>
      </c>
      <c r="O354">
        <f>INDEX(AllCollegeBarrons,MATCH(N354,AllCollegeNCES,0))</f>
        <v>0</v>
      </c>
      <c r="P354">
        <f>INDEX(KidGPAs,MATCH(B354,KidIDs,0))</f>
        <v>0</v>
      </c>
      <c r="Q354">
        <f>INDEX(KidACTs,MATCH(B354,KidIDs,0))</f>
        <v>0</v>
      </c>
      <c r="R354">
        <f>INDEX(Strats,MATCH(B354,KidIDs,0))</f>
        <v>0</v>
      </c>
      <c r="S354">
        <f>INDEX(KidRace,MATCH(B354,KidIDs,0))</f>
        <v>0</v>
      </c>
      <c r="T354">
        <f>IF(OR(S354="M",S354="I"),"H",S354)</f>
        <v>0</v>
      </c>
      <c r="U354">
        <f>INDEX(StudentTargets,MATCH(B354,KidIDs,0))</f>
        <v>0</v>
      </c>
      <c r="V354">
        <f>INDEX(ReachStudentTargets,MATCH(B354,KidIDs,0))</f>
        <v>0</v>
      </c>
      <c r="W354">
        <f>IF(OR(M354="Posse"),1,0)</f>
        <v>0</v>
      </c>
      <c r="X354">
        <f>IF(ISNUMBER(INDEX(AllCollegeGR, MATCH(N354,AllCollegeNCES,0))),ROUND(INDEX(AllCollegeGR, MATCH(N354,AllCollegeNCES,0))+W354*IF(INDEX(AllCollegeGR, MATCH(N354,AllCollegeNCES,0))&gt;0.7,(1-INDEX(AllCollegeGR, MATCH(N354,AllCollegeNCES,0)))/2,0.15),2),INDEX(AllCollegeGR, MATCH(N354,AllCollegeNCES,0)))</f>
        <v>0</v>
      </c>
      <c r="Y354">
        <f>IF(ISNUMBER(INDEX(AllCollegeAAHGR, MATCH(N354,AllCollegeNCES,0))),ROUND(INDEX(AllCollegeAAHGR, MATCH(N354,AllCollegeNCES,0))+W354*IF(INDEX(AllCollegeAAHGR, MATCH(N354,AllCollegeNCES,0))&gt;0.7,(1-INDEX(AllCollegeAAHGR, MATCH(N354,AllCollegeNCES,0)))/2,0.15),2),INDEX(AllCollegeAAHGR, MATCH(N354,AllCollegeNCES,0)))</f>
        <v>0</v>
      </c>
      <c r="Z354">
        <f>IF(OR(T354="H",T354="B"),INDEX(AllCollegeACT25, MATCH(N354,AllCollegeNCES,0)),INDEX(AllCollegeACT50, MATCH(N354,AllCollegeNCES,0)))</f>
        <v>0</v>
      </c>
      <c r="AA354">
        <f>INDEX(CustomWeightsGPA,MATCH(T354&amp;":"&amp;N354,CustomWeightsIndex,0))</f>
        <v>0</v>
      </c>
      <c r="AB354">
        <f>INDEX(CustomWeightsACT,MATCH(T354&amp;":"&amp;N354,CustomWeightsIndex,0))</f>
        <v>0</v>
      </c>
      <c r="AC354">
        <f>INDEX(CustomWeightsIntercept,MATCH(T354&amp;":"&amp;N354,CustomWeightsIndex,0))</f>
        <v>0</v>
      </c>
      <c r="AD354">
        <f>AA354*P354+AB354*Q354+AC354</f>
        <v>0</v>
      </c>
      <c r="AE354">
        <f>INDEX(CoefficientsGPA,MATCH(T354&amp;":"&amp;O354,CoefficientsIndex,0))</f>
        <v>0</v>
      </c>
      <c r="AF354">
        <f>INDEX(CoefficientsACT,MATCH(T354&amp;":"&amp;O354,CoefficientsIndex,0))</f>
        <v>0</v>
      </c>
      <c r="AG354">
        <f>INDEX(CoefficientsIntercept,MATCH(T354&amp;":"&amp;O354,CoefficientsIndex,0))</f>
        <v>0</v>
      </c>
      <c r="AH354">
        <f>AE354*P354+(Q354-Z354)*AF354+AG354</f>
        <v>0</v>
      </c>
      <c r="AI354">
        <f>IF(ISNUMBER(AD354),AD354,AH354)</f>
        <v>0</v>
      </c>
      <c r="AJ354">
        <f>IF(ISNUMBER(AI354),IF(ISNUMBER(AE354),IF(AND(AE354=1,AF354=1,AG354=1),100,ROUND(100*EXP(AI354)/(1+EXP(AI354)),2)),ROUND(100*EXP(AI354)/(1+EXP(AI354)),2)),IF(ISTEXT(O354),IF(LEFT(O354,1)="2",100,"N/A"),"N/A"))</f>
        <v>0</v>
      </c>
      <c r="AK354">
        <f>IF(ISNUMBER(AJ354),IF(AJ354&gt;=99,IF(OR(R354=10,R354=11),MatchLabel,SureThingLabel),IF(AJ354&gt;=95,SecureLabel,IF(AJ354&gt;=80,SafetyLabel,IF(AJ354&gt;=50,MatchLabel,IF(AJ354&gt;=20,ReachLabel,IF(AJ354&gt;=10,LongshotLabel,HailMaryLabel)))))),"Other")</f>
        <v>0</v>
      </c>
      <c r="AL354">
        <f>IF(OR(I354="accepted",I354="cond. accept",I354="summer admit"),IF(J354="yes","CHOICE!","Accepted!"),IF(I354="denied","Denied",IF(K354=1,"Waitlist",IF(L354=1,"Deferred",IF(G354="pending","Pending",IF(OR(G354="initial materials submitted",G354="mid-year submitted",G354="final submitted"),"Submitted",IF(H354="interest","Interest","?")))))))</f>
        <v>0</v>
      </c>
      <c r="AM354">
        <f>IF(OR(AK354=ReachLabel,AK354=LongshotLabel,AK354=HailMaryLabel),1,0)</f>
        <v>0</v>
      </c>
      <c r="AN354">
        <f>IF(OR(AM354=1,AK354=MatchLabel),1,0)</f>
        <v>0</v>
      </c>
      <c r="AO354">
        <f>IF(OR(AK354=MatchLabel,AK354=SafetyLabel,AK354=SecureLabel,AK354=SureThingLabel),1,0)</f>
        <v>0</v>
      </c>
      <c r="AP354">
        <f>IF(OR(T354="H",T354="B"),IF(ISNUMBER(Y354),ROUND(Y354,2),0),IF(ISNUMBER(X354),ROUND(X354,2),0))</f>
        <v>0</v>
      </c>
      <c r="AQ354">
        <f>IF(AP354&gt;=U354,1,0)</f>
        <v>0</v>
      </c>
      <c r="AR354">
        <f>IF(AP354&gt;=V354,1,0)</f>
        <v>0</v>
      </c>
      <c r="AS354">
        <f>IF(AP354&lt;(U354-0.10),1,0)</f>
        <v>0</v>
      </c>
      <c r="AT354">
        <f>1-AJ354/100</f>
        <v>0</v>
      </c>
      <c r="AU354">
        <f>IF(AN354=1,AT354,1)</f>
        <v>0</v>
      </c>
      <c r="AV354">
        <f>IF(AM354=1,AT354,1)</f>
        <v>0</v>
      </c>
      <c r="AW354">
        <f>IF(AND(AQ354=1,ISNUMBER(AT354)),$AT354,1)</f>
        <v>0</v>
      </c>
      <c r="AX354">
        <f>IF(AND(AR354=1,ISNUMBER(AT354)),$AT354,1)</f>
        <v>0</v>
      </c>
      <c r="AY354">
        <f>IF(ISNUMBER(Y354),INDEX(AllCollegeMoney, MATCH(N354,AllCollegeNCES,0)),0)</f>
        <v>0</v>
      </c>
      <c r="AZ354">
        <f>IF(AND(AQ354=1,ISNUMBER(AT354),AY354=1),$AT354,1)</f>
        <v>0</v>
      </c>
      <c r="BA354">
        <f>IF(AND(AR354=1,ISNUMBER(AT354),AY354=1),$AT354,1)</f>
        <v>0</v>
      </c>
      <c r="BB354">
        <f>IF(ISNUMBER(Y354),INDEX(AllCollegeILPub, MATCH(N354,AllCollegeNCES,0)),0)</f>
        <v>0</v>
      </c>
      <c r="BC354">
        <f>IF(AK354=ReachLabel,AP354,0)</f>
        <v>0</v>
      </c>
      <c r="BD354">
        <f>IF(AK354=MatchLabel,AP354,0)</f>
        <v>0</v>
      </c>
      <c r="BE354">
        <f>IF(AK354=SafetyLabel,AP354,0)</f>
        <v>0</v>
      </c>
      <c r="BF354">
        <f>IF(AK354=SecureLabel,AP354,0)</f>
        <v>0</v>
      </c>
      <c r="BG354">
        <f>IF(AK354=SureThingLabel,AP354,0)</f>
        <v>0</v>
      </c>
      <c r="BH354">
        <f>MAX(BC354:BG354)</f>
        <v>0</v>
      </c>
      <c r="BI354">
        <f>MAX(BD354:BG354)</f>
        <v>0</v>
      </c>
      <c r="BJ354">
        <f>MAX(BE354:BG354)</f>
        <v>0</v>
      </c>
      <c r="BK354">
        <f>IF(AND(AK354=ReachLabel,AY354=1),AP354,0)</f>
        <v>0</v>
      </c>
      <c r="BL354">
        <f>IF(AND(AK354=MatchLabel,AY354=1),AP354,0)</f>
        <v>0</v>
      </c>
      <c r="BM354">
        <f>IF(AND(AK354=SafetyLabel,AY354=1),AP354,0)</f>
        <v>0</v>
      </c>
      <c r="BN354">
        <f>IF(AND(AK354=SecureLabel,AY354=1),AP354,0)</f>
        <v>0</v>
      </c>
      <c r="BO354">
        <f>IF(AND(AK354=SureThingLabel,AY354=1),AP354,0)</f>
        <v>0</v>
      </c>
      <c r="BP354">
        <f>MAX(BK354:BO354)</f>
        <v>0</v>
      </c>
      <c r="BQ354">
        <f>MAX(BL354:BO354)</f>
        <v>0</v>
      </c>
      <c r="BR354">
        <f>MAX(BM354:BO354)</f>
        <v>0</v>
      </c>
      <c r="BS354">
        <f>IF(ISNUMBER(Y354),INDEX(AllCollegeChicago, MATCH(N354,AllCollegeNCES,0))*AY354,0)</f>
        <v>0</v>
      </c>
      <c r="BT354">
        <f>IF(ISNUMBER(Y354),INDEX(AllCollegeMoneyCode, MATCH(N354,AllCollegeNCES,0)),"?")</f>
        <v>0</v>
      </c>
      <c r="BU354">
        <f>IF(OR(BT354="---",BT354="--",BT354="+/--",BT354="+/---"),1,0)</f>
        <v>0</v>
      </c>
      <c r="BV354">
        <f>AY354*AO354*AQ354</f>
        <v>0</v>
      </c>
    </row>
    <row r="355" spans="1:74">
      <c r="A355" t="s">
        <v>86</v>
      </c>
      <c r="B355">
        <v>23207329</v>
      </c>
      <c r="C355" t="s">
        <v>109</v>
      </c>
      <c r="D355" t="s">
        <v>110</v>
      </c>
      <c r="E355" t="s">
        <v>428</v>
      </c>
      <c r="F355" t="s">
        <v>537</v>
      </c>
      <c r="G355" t="s">
        <v>430</v>
      </c>
      <c r="H355" t="s">
        <v>431</v>
      </c>
      <c r="I355" t="s">
        <v>432</v>
      </c>
      <c r="J355" t="s">
        <v>432</v>
      </c>
      <c r="K355">
        <v>0</v>
      </c>
      <c r="L355" t="s">
        <v>428</v>
      </c>
      <c r="M355" t="s">
        <v>428</v>
      </c>
      <c r="N355">
        <v>200800</v>
      </c>
      <c r="O355">
        <f>INDEX(AllCollegeBarrons,MATCH(N355,AllCollegeNCES,0))</f>
        <v>0</v>
      </c>
      <c r="P355">
        <f>INDEX(KidGPAs,MATCH(B355,KidIDs,0))</f>
        <v>0</v>
      </c>
      <c r="Q355">
        <f>INDEX(KidACTs,MATCH(B355,KidIDs,0))</f>
        <v>0</v>
      </c>
      <c r="R355">
        <f>INDEX(Strats,MATCH(B355,KidIDs,0))</f>
        <v>0</v>
      </c>
      <c r="S355">
        <f>INDEX(KidRace,MATCH(B355,KidIDs,0))</f>
        <v>0</v>
      </c>
      <c r="T355">
        <f>IF(OR(S355="M",S355="I"),"H",S355)</f>
        <v>0</v>
      </c>
      <c r="U355">
        <f>INDEX(StudentTargets,MATCH(B355,KidIDs,0))</f>
        <v>0</v>
      </c>
      <c r="V355">
        <f>INDEX(ReachStudentTargets,MATCH(B355,KidIDs,0))</f>
        <v>0</v>
      </c>
      <c r="W355">
        <f>IF(OR(M355="Posse"),1,0)</f>
        <v>0</v>
      </c>
      <c r="X355">
        <f>IF(ISNUMBER(INDEX(AllCollegeGR, MATCH(N355,AllCollegeNCES,0))),ROUND(INDEX(AllCollegeGR, MATCH(N355,AllCollegeNCES,0))+W355*IF(INDEX(AllCollegeGR, MATCH(N355,AllCollegeNCES,0))&gt;0.7,(1-INDEX(AllCollegeGR, MATCH(N355,AllCollegeNCES,0)))/2,0.15),2),INDEX(AllCollegeGR, MATCH(N355,AllCollegeNCES,0)))</f>
        <v>0</v>
      </c>
      <c r="Y355">
        <f>IF(ISNUMBER(INDEX(AllCollegeAAHGR, MATCH(N355,AllCollegeNCES,0))),ROUND(INDEX(AllCollegeAAHGR, MATCH(N355,AllCollegeNCES,0))+W355*IF(INDEX(AllCollegeAAHGR, MATCH(N355,AllCollegeNCES,0))&gt;0.7,(1-INDEX(AllCollegeAAHGR, MATCH(N355,AllCollegeNCES,0)))/2,0.15),2),INDEX(AllCollegeAAHGR, MATCH(N355,AllCollegeNCES,0)))</f>
        <v>0</v>
      </c>
      <c r="Z355">
        <f>IF(OR(T355="H",T355="B"),INDEX(AllCollegeACT25, MATCH(N355,AllCollegeNCES,0)),INDEX(AllCollegeACT50, MATCH(N355,AllCollegeNCES,0)))</f>
        <v>0</v>
      </c>
      <c r="AA355">
        <f>INDEX(CustomWeightsGPA,MATCH(T355&amp;":"&amp;N355,CustomWeightsIndex,0))</f>
        <v>0</v>
      </c>
      <c r="AB355">
        <f>INDEX(CustomWeightsACT,MATCH(T355&amp;":"&amp;N355,CustomWeightsIndex,0))</f>
        <v>0</v>
      </c>
      <c r="AC355">
        <f>INDEX(CustomWeightsIntercept,MATCH(T355&amp;":"&amp;N355,CustomWeightsIndex,0))</f>
        <v>0</v>
      </c>
      <c r="AD355">
        <f>AA355*P355+AB355*Q355+AC355</f>
        <v>0</v>
      </c>
      <c r="AE355">
        <f>INDEX(CoefficientsGPA,MATCH(T355&amp;":"&amp;O355,CoefficientsIndex,0))</f>
        <v>0</v>
      </c>
      <c r="AF355">
        <f>INDEX(CoefficientsACT,MATCH(T355&amp;":"&amp;O355,CoefficientsIndex,0))</f>
        <v>0</v>
      </c>
      <c r="AG355">
        <f>INDEX(CoefficientsIntercept,MATCH(T355&amp;":"&amp;O355,CoefficientsIndex,0))</f>
        <v>0</v>
      </c>
      <c r="AH355">
        <f>AE355*P355+(Q355-Z355)*AF355+AG355</f>
        <v>0</v>
      </c>
      <c r="AI355">
        <f>IF(ISNUMBER(AD355),AD355,AH355)</f>
        <v>0</v>
      </c>
      <c r="AJ355">
        <f>IF(ISNUMBER(AI355),IF(ISNUMBER(AE355),IF(AND(AE355=1,AF355=1,AG355=1),100,ROUND(100*EXP(AI355)/(1+EXP(AI355)),2)),ROUND(100*EXP(AI355)/(1+EXP(AI355)),2)),IF(ISTEXT(O355),IF(LEFT(O355,1)="2",100,"N/A"),"N/A"))</f>
        <v>0</v>
      </c>
      <c r="AK355">
        <f>IF(ISNUMBER(AJ355),IF(AJ355&gt;=99,IF(OR(R355=10,R355=11),MatchLabel,SureThingLabel),IF(AJ355&gt;=95,SecureLabel,IF(AJ355&gt;=80,SafetyLabel,IF(AJ355&gt;=50,MatchLabel,IF(AJ355&gt;=20,ReachLabel,IF(AJ355&gt;=10,LongshotLabel,HailMaryLabel)))))),"Other")</f>
        <v>0</v>
      </c>
      <c r="AL355">
        <f>IF(OR(I355="accepted",I355="cond. accept",I355="summer admit"),IF(J355="yes","CHOICE!","Accepted!"),IF(I355="denied","Denied",IF(K355=1,"Waitlist",IF(L355=1,"Deferred",IF(G355="pending","Pending",IF(OR(G355="initial materials submitted",G355="mid-year submitted",G355="final submitted"),"Submitted",IF(H355="interest","Interest","?")))))))</f>
        <v>0</v>
      </c>
      <c r="AM355">
        <f>IF(OR(AK355=ReachLabel,AK355=LongshotLabel,AK355=HailMaryLabel),1,0)</f>
        <v>0</v>
      </c>
      <c r="AN355">
        <f>IF(OR(AM355=1,AK355=MatchLabel),1,0)</f>
        <v>0</v>
      </c>
      <c r="AO355">
        <f>IF(OR(AK355=MatchLabel,AK355=SafetyLabel,AK355=SecureLabel,AK355=SureThingLabel),1,0)</f>
        <v>0</v>
      </c>
      <c r="AP355">
        <f>IF(OR(T355="H",T355="B"),IF(ISNUMBER(Y355),ROUND(Y355,2),0),IF(ISNUMBER(X355),ROUND(X355,2),0))</f>
        <v>0</v>
      </c>
      <c r="AQ355">
        <f>IF(AP355&gt;=U355,1,0)</f>
        <v>0</v>
      </c>
      <c r="AR355">
        <f>IF(AP355&gt;=V355,1,0)</f>
        <v>0</v>
      </c>
      <c r="AS355">
        <f>IF(AP355&lt;(U355-0.10),1,0)</f>
        <v>0</v>
      </c>
      <c r="AT355">
        <f>1-AJ355/100</f>
        <v>0</v>
      </c>
      <c r="AU355">
        <f>IF(AN355=1,AT355,1)</f>
        <v>0</v>
      </c>
      <c r="AV355">
        <f>IF(AM355=1,AT355,1)</f>
        <v>0</v>
      </c>
      <c r="AW355">
        <f>IF(AND(AQ355=1,ISNUMBER(AT355)),$AT355,1)</f>
        <v>0</v>
      </c>
      <c r="AX355">
        <f>IF(AND(AR355=1,ISNUMBER(AT355)),$AT355,1)</f>
        <v>0</v>
      </c>
      <c r="AY355">
        <f>IF(ISNUMBER(Y355),INDEX(AllCollegeMoney, MATCH(N355,AllCollegeNCES,0)),0)</f>
        <v>0</v>
      </c>
      <c r="AZ355">
        <f>IF(AND(AQ355=1,ISNUMBER(AT355),AY355=1),$AT355,1)</f>
        <v>0</v>
      </c>
      <c r="BA355">
        <f>IF(AND(AR355=1,ISNUMBER(AT355),AY355=1),$AT355,1)</f>
        <v>0</v>
      </c>
      <c r="BB355">
        <f>IF(ISNUMBER(Y355),INDEX(AllCollegeILPub, MATCH(N355,AllCollegeNCES,0)),0)</f>
        <v>0</v>
      </c>
      <c r="BC355">
        <f>IF(AK355=ReachLabel,AP355,0)</f>
        <v>0</v>
      </c>
      <c r="BD355">
        <f>IF(AK355=MatchLabel,AP355,0)</f>
        <v>0</v>
      </c>
      <c r="BE355">
        <f>IF(AK355=SafetyLabel,AP355,0)</f>
        <v>0</v>
      </c>
      <c r="BF355">
        <f>IF(AK355=SecureLabel,AP355,0)</f>
        <v>0</v>
      </c>
      <c r="BG355">
        <f>IF(AK355=SureThingLabel,AP355,0)</f>
        <v>0</v>
      </c>
      <c r="BH355">
        <f>MAX(BC355:BG355)</f>
        <v>0</v>
      </c>
      <c r="BI355">
        <f>MAX(BD355:BG355)</f>
        <v>0</v>
      </c>
      <c r="BJ355">
        <f>MAX(BE355:BG355)</f>
        <v>0</v>
      </c>
      <c r="BK355">
        <f>IF(AND(AK355=ReachLabel,AY355=1),AP355,0)</f>
        <v>0</v>
      </c>
      <c r="BL355">
        <f>IF(AND(AK355=MatchLabel,AY355=1),AP355,0)</f>
        <v>0</v>
      </c>
      <c r="BM355">
        <f>IF(AND(AK355=SafetyLabel,AY355=1),AP355,0)</f>
        <v>0</v>
      </c>
      <c r="BN355">
        <f>IF(AND(AK355=SecureLabel,AY355=1),AP355,0)</f>
        <v>0</v>
      </c>
      <c r="BO355">
        <f>IF(AND(AK355=SureThingLabel,AY355=1),AP355,0)</f>
        <v>0</v>
      </c>
      <c r="BP355">
        <f>MAX(BK355:BO355)</f>
        <v>0</v>
      </c>
      <c r="BQ355">
        <f>MAX(BL355:BO355)</f>
        <v>0</v>
      </c>
      <c r="BR355">
        <f>MAX(BM355:BO355)</f>
        <v>0</v>
      </c>
      <c r="BS355">
        <f>IF(ISNUMBER(Y355),INDEX(AllCollegeChicago, MATCH(N355,AllCollegeNCES,0))*AY355,0)</f>
        <v>0</v>
      </c>
      <c r="BT355">
        <f>IF(ISNUMBER(Y355),INDEX(AllCollegeMoneyCode, MATCH(N355,AllCollegeNCES,0)),"?")</f>
        <v>0</v>
      </c>
      <c r="BU355">
        <f>IF(OR(BT355="---",BT355="--",BT355="+/--",BT355="+/---"),1,0)</f>
        <v>0</v>
      </c>
      <c r="BV355">
        <f>AY355*AO355*AQ355</f>
        <v>0</v>
      </c>
    </row>
    <row r="356" spans="1:74">
      <c r="A356" t="s">
        <v>86</v>
      </c>
      <c r="B356">
        <v>23274999</v>
      </c>
      <c r="C356" t="s">
        <v>260</v>
      </c>
      <c r="D356" t="s">
        <v>261</v>
      </c>
      <c r="E356" t="s">
        <v>428</v>
      </c>
      <c r="F356" t="s">
        <v>466</v>
      </c>
      <c r="G356" t="s">
        <v>430</v>
      </c>
      <c r="H356" t="s">
        <v>431</v>
      </c>
      <c r="I356" t="s">
        <v>432</v>
      </c>
      <c r="J356" t="s">
        <v>432</v>
      </c>
      <c r="K356">
        <v>0</v>
      </c>
      <c r="L356" t="s">
        <v>428</v>
      </c>
      <c r="M356" t="s">
        <v>428</v>
      </c>
      <c r="N356">
        <v>213385</v>
      </c>
      <c r="O356">
        <f>INDEX(AllCollegeBarrons,MATCH(N356,AllCollegeNCES,0))</f>
        <v>0</v>
      </c>
      <c r="P356">
        <f>INDEX(KidGPAs,MATCH(B356,KidIDs,0))</f>
        <v>0</v>
      </c>
      <c r="Q356">
        <f>INDEX(KidACTs,MATCH(B356,KidIDs,0))</f>
        <v>0</v>
      </c>
      <c r="R356">
        <f>INDEX(Strats,MATCH(B356,KidIDs,0))</f>
        <v>0</v>
      </c>
      <c r="S356">
        <f>INDEX(KidRace,MATCH(B356,KidIDs,0))</f>
        <v>0</v>
      </c>
      <c r="T356">
        <f>IF(OR(S356="M",S356="I"),"H",S356)</f>
        <v>0</v>
      </c>
      <c r="U356">
        <f>INDEX(StudentTargets,MATCH(B356,KidIDs,0))</f>
        <v>0</v>
      </c>
      <c r="V356">
        <f>INDEX(ReachStudentTargets,MATCH(B356,KidIDs,0))</f>
        <v>0</v>
      </c>
      <c r="W356">
        <f>IF(OR(M356="Posse"),1,0)</f>
        <v>0</v>
      </c>
      <c r="X356">
        <f>IF(ISNUMBER(INDEX(AllCollegeGR, MATCH(N356,AllCollegeNCES,0))),ROUND(INDEX(AllCollegeGR, MATCH(N356,AllCollegeNCES,0))+W356*IF(INDEX(AllCollegeGR, MATCH(N356,AllCollegeNCES,0))&gt;0.7,(1-INDEX(AllCollegeGR, MATCH(N356,AllCollegeNCES,0)))/2,0.15),2),INDEX(AllCollegeGR, MATCH(N356,AllCollegeNCES,0)))</f>
        <v>0</v>
      </c>
      <c r="Y356">
        <f>IF(ISNUMBER(INDEX(AllCollegeAAHGR, MATCH(N356,AllCollegeNCES,0))),ROUND(INDEX(AllCollegeAAHGR, MATCH(N356,AllCollegeNCES,0))+W356*IF(INDEX(AllCollegeAAHGR, MATCH(N356,AllCollegeNCES,0))&gt;0.7,(1-INDEX(AllCollegeAAHGR, MATCH(N356,AllCollegeNCES,0)))/2,0.15),2),INDEX(AllCollegeAAHGR, MATCH(N356,AllCollegeNCES,0)))</f>
        <v>0</v>
      </c>
      <c r="Z356">
        <f>IF(OR(T356="H",T356="B"),INDEX(AllCollegeACT25, MATCH(N356,AllCollegeNCES,0)),INDEX(AllCollegeACT50, MATCH(N356,AllCollegeNCES,0)))</f>
        <v>0</v>
      </c>
      <c r="AA356">
        <f>INDEX(CustomWeightsGPA,MATCH(T356&amp;":"&amp;N356,CustomWeightsIndex,0))</f>
        <v>0</v>
      </c>
      <c r="AB356">
        <f>INDEX(CustomWeightsACT,MATCH(T356&amp;":"&amp;N356,CustomWeightsIndex,0))</f>
        <v>0</v>
      </c>
      <c r="AC356">
        <f>INDEX(CustomWeightsIntercept,MATCH(T356&amp;":"&amp;N356,CustomWeightsIndex,0))</f>
        <v>0</v>
      </c>
      <c r="AD356">
        <f>AA356*P356+AB356*Q356+AC356</f>
        <v>0</v>
      </c>
      <c r="AE356">
        <f>INDEX(CoefficientsGPA,MATCH(T356&amp;":"&amp;O356,CoefficientsIndex,0))</f>
        <v>0</v>
      </c>
      <c r="AF356">
        <f>INDEX(CoefficientsACT,MATCH(T356&amp;":"&amp;O356,CoefficientsIndex,0))</f>
        <v>0</v>
      </c>
      <c r="AG356">
        <f>INDEX(CoefficientsIntercept,MATCH(T356&amp;":"&amp;O356,CoefficientsIndex,0))</f>
        <v>0</v>
      </c>
      <c r="AH356">
        <f>AE356*P356+(Q356-Z356)*AF356+AG356</f>
        <v>0</v>
      </c>
      <c r="AI356">
        <f>IF(ISNUMBER(AD356),AD356,AH356)</f>
        <v>0</v>
      </c>
      <c r="AJ356">
        <f>IF(ISNUMBER(AI356),IF(ISNUMBER(AE356),IF(AND(AE356=1,AF356=1,AG356=1),100,ROUND(100*EXP(AI356)/(1+EXP(AI356)),2)),ROUND(100*EXP(AI356)/(1+EXP(AI356)),2)),IF(ISTEXT(O356),IF(LEFT(O356,1)="2",100,"N/A"),"N/A"))</f>
        <v>0</v>
      </c>
      <c r="AK356">
        <f>IF(ISNUMBER(AJ356),IF(AJ356&gt;=99,IF(OR(R356=10,R356=11),MatchLabel,SureThingLabel),IF(AJ356&gt;=95,SecureLabel,IF(AJ356&gt;=80,SafetyLabel,IF(AJ356&gt;=50,MatchLabel,IF(AJ356&gt;=20,ReachLabel,IF(AJ356&gt;=10,LongshotLabel,HailMaryLabel)))))),"Other")</f>
        <v>0</v>
      </c>
      <c r="AL356">
        <f>IF(OR(I356="accepted",I356="cond. accept",I356="summer admit"),IF(J356="yes","CHOICE!","Accepted!"),IF(I356="denied","Denied",IF(K356=1,"Waitlist",IF(L356=1,"Deferred",IF(G356="pending","Pending",IF(OR(G356="initial materials submitted",G356="mid-year submitted",G356="final submitted"),"Submitted",IF(H356="interest","Interest","?")))))))</f>
        <v>0</v>
      </c>
      <c r="AM356">
        <f>IF(OR(AK356=ReachLabel,AK356=LongshotLabel,AK356=HailMaryLabel),1,0)</f>
        <v>0</v>
      </c>
      <c r="AN356">
        <f>IF(OR(AM356=1,AK356=MatchLabel),1,0)</f>
        <v>0</v>
      </c>
      <c r="AO356">
        <f>IF(OR(AK356=MatchLabel,AK356=SafetyLabel,AK356=SecureLabel,AK356=SureThingLabel),1,0)</f>
        <v>0</v>
      </c>
      <c r="AP356">
        <f>IF(OR(T356="H",T356="B"),IF(ISNUMBER(Y356),ROUND(Y356,2),0),IF(ISNUMBER(X356),ROUND(X356,2),0))</f>
        <v>0</v>
      </c>
      <c r="AQ356">
        <f>IF(AP356&gt;=U356,1,0)</f>
        <v>0</v>
      </c>
      <c r="AR356">
        <f>IF(AP356&gt;=V356,1,0)</f>
        <v>0</v>
      </c>
      <c r="AS356">
        <f>IF(AP356&lt;(U356-0.10),1,0)</f>
        <v>0</v>
      </c>
      <c r="AT356">
        <f>1-AJ356/100</f>
        <v>0</v>
      </c>
      <c r="AU356">
        <f>IF(AN356=1,AT356,1)</f>
        <v>0</v>
      </c>
      <c r="AV356">
        <f>IF(AM356=1,AT356,1)</f>
        <v>0</v>
      </c>
      <c r="AW356">
        <f>IF(AND(AQ356=1,ISNUMBER(AT356)),$AT356,1)</f>
        <v>0</v>
      </c>
      <c r="AX356">
        <f>IF(AND(AR356=1,ISNUMBER(AT356)),$AT356,1)</f>
        <v>0</v>
      </c>
      <c r="AY356">
        <f>IF(ISNUMBER(Y356),INDEX(AllCollegeMoney, MATCH(N356,AllCollegeNCES,0)),0)</f>
        <v>0</v>
      </c>
      <c r="AZ356">
        <f>IF(AND(AQ356=1,ISNUMBER(AT356),AY356=1),$AT356,1)</f>
        <v>0</v>
      </c>
      <c r="BA356">
        <f>IF(AND(AR356=1,ISNUMBER(AT356),AY356=1),$AT356,1)</f>
        <v>0</v>
      </c>
      <c r="BB356">
        <f>IF(ISNUMBER(Y356),INDEX(AllCollegeILPub, MATCH(N356,AllCollegeNCES,0)),0)</f>
        <v>0</v>
      </c>
      <c r="BC356">
        <f>IF(AK356=ReachLabel,AP356,0)</f>
        <v>0</v>
      </c>
      <c r="BD356">
        <f>IF(AK356=MatchLabel,AP356,0)</f>
        <v>0</v>
      </c>
      <c r="BE356">
        <f>IF(AK356=SafetyLabel,AP356,0)</f>
        <v>0</v>
      </c>
      <c r="BF356">
        <f>IF(AK356=SecureLabel,AP356,0)</f>
        <v>0</v>
      </c>
      <c r="BG356">
        <f>IF(AK356=SureThingLabel,AP356,0)</f>
        <v>0</v>
      </c>
      <c r="BH356">
        <f>MAX(BC356:BG356)</f>
        <v>0</v>
      </c>
      <c r="BI356">
        <f>MAX(BD356:BG356)</f>
        <v>0</v>
      </c>
      <c r="BJ356">
        <f>MAX(BE356:BG356)</f>
        <v>0</v>
      </c>
      <c r="BK356">
        <f>IF(AND(AK356=ReachLabel,AY356=1),AP356,0)</f>
        <v>0</v>
      </c>
      <c r="BL356">
        <f>IF(AND(AK356=MatchLabel,AY356=1),AP356,0)</f>
        <v>0</v>
      </c>
      <c r="BM356">
        <f>IF(AND(AK356=SafetyLabel,AY356=1),AP356,0)</f>
        <v>0</v>
      </c>
      <c r="BN356">
        <f>IF(AND(AK356=SecureLabel,AY356=1),AP356,0)</f>
        <v>0</v>
      </c>
      <c r="BO356">
        <f>IF(AND(AK356=SureThingLabel,AY356=1),AP356,0)</f>
        <v>0</v>
      </c>
      <c r="BP356">
        <f>MAX(BK356:BO356)</f>
        <v>0</v>
      </c>
      <c r="BQ356">
        <f>MAX(BL356:BO356)</f>
        <v>0</v>
      </c>
      <c r="BR356">
        <f>MAX(BM356:BO356)</f>
        <v>0</v>
      </c>
      <c r="BS356">
        <f>IF(ISNUMBER(Y356),INDEX(AllCollegeChicago, MATCH(N356,AllCollegeNCES,0))*AY356,0)</f>
        <v>0</v>
      </c>
      <c r="BT356">
        <f>IF(ISNUMBER(Y356),INDEX(AllCollegeMoneyCode, MATCH(N356,AllCollegeNCES,0)),"?")</f>
        <v>0</v>
      </c>
      <c r="BU356">
        <f>IF(OR(BT356="---",BT356="--",BT356="+/--",BT356="+/---"),1,0)</f>
        <v>0</v>
      </c>
      <c r="BV356">
        <f>AY356*AO356*AQ356</f>
        <v>0</v>
      </c>
    </row>
    <row r="357" spans="1:74">
      <c r="A357" t="s">
        <v>86</v>
      </c>
      <c r="B357">
        <v>23274999</v>
      </c>
      <c r="C357" t="s">
        <v>260</v>
      </c>
      <c r="D357" t="s">
        <v>261</v>
      </c>
      <c r="E357" t="s">
        <v>428</v>
      </c>
      <c r="F357" t="s">
        <v>453</v>
      </c>
      <c r="G357" t="s">
        <v>430</v>
      </c>
      <c r="H357" t="s">
        <v>431</v>
      </c>
      <c r="I357" t="s">
        <v>432</v>
      </c>
      <c r="J357" t="s">
        <v>432</v>
      </c>
      <c r="K357">
        <v>0</v>
      </c>
      <c r="L357" t="s">
        <v>428</v>
      </c>
      <c r="M357" t="s">
        <v>428</v>
      </c>
      <c r="N357">
        <v>212674</v>
      </c>
      <c r="O357">
        <f>INDEX(AllCollegeBarrons,MATCH(N357,AllCollegeNCES,0))</f>
        <v>0</v>
      </c>
      <c r="P357">
        <f>INDEX(KidGPAs,MATCH(B357,KidIDs,0))</f>
        <v>0</v>
      </c>
      <c r="Q357">
        <f>INDEX(KidACTs,MATCH(B357,KidIDs,0))</f>
        <v>0</v>
      </c>
      <c r="R357">
        <f>INDEX(Strats,MATCH(B357,KidIDs,0))</f>
        <v>0</v>
      </c>
      <c r="S357">
        <f>INDEX(KidRace,MATCH(B357,KidIDs,0))</f>
        <v>0</v>
      </c>
      <c r="T357">
        <f>IF(OR(S357="M",S357="I"),"H",S357)</f>
        <v>0</v>
      </c>
      <c r="U357">
        <f>INDEX(StudentTargets,MATCH(B357,KidIDs,0))</f>
        <v>0</v>
      </c>
      <c r="V357">
        <f>INDEX(ReachStudentTargets,MATCH(B357,KidIDs,0))</f>
        <v>0</v>
      </c>
      <c r="W357">
        <f>IF(OR(M357="Posse"),1,0)</f>
        <v>0</v>
      </c>
      <c r="X357">
        <f>IF(ISNUMBER(INDEX(AllCollegeGR, MATCH(N357,AllCollegeNCES,0))),ROUND(INDEX(AllCollegeGR, MATCH(N357,AllCollegeNCES,0))+W357*IF(INDEX(AllCollegeGR, MATCH(N357,AllCollegeNCES,0))&gt;0.7,(1-INDEX(AllCollegeGR, MATCH(N357,AllCollegeNCES,0)))/2,0.15),2),INDEX(AllCollegeGR, MATCH(N357,AllCollegeNCES,0)))</f>
        <v>0</v>
      </c>
      <c r="Y357">
        <f>IF(ISNUMBER(INDEX(AllCollegeAAHGR, MATCH(N357,AllCollegeNCES,0))),ROUND(INDEX(AllCollegeAAHGR, MATCH(N357,AllCollegeNCES,0))+W357*IF(INDEX(AllCollegeAAHGR, MATCH(N357,AllCollegeNCES,0))&gt;0.7,(1-INDEX(AllCollegeAAHGR, MATCH(N357,AllCollegeNCES,0)))/2,0.15),2),INDEX(AllCollegeAAHGR, MATCH(N357,AllCollegeNCES,0)))</f>
        <v>0</v>
      </c>
      <c r="Z357">
        <f>IF(OR(T357="H",T357="B"),INDEX(AllCollegeACT25, MATCH(N357,AllCollegeNCES,0)),INDEX(AllCollegeACT50, MATCH(N357,AllCollegeNCES,0)))</f>
        <v>0</v>
      </c>
      <c r="AA357">
        <f>INDEX(CustomWeightsGPA,MATCH(T357&amp;":"&amp;N357,CustomWeightsIndex,0))</f>
        <v>0</v>
      </c>
      <c r="AB357">
        <f>INDEX(CustomWeightsACT,MATCH(T357&amp;":"&amp;N357,CustomWeightsIndex,0))</f>
        <v>0</v>
      </c>
      <c r="AC357">
        <f>INDEX(CustomWeightsIntercept,MATCH(T357&amp;":"&amp;N357,CustomWeightsIndex,0))</f>
        <v>0</v>
      </c>
      <c r="AD357">
        <f>AA357*P357+AB357*Q357+AC357</f>
        <v>0</v>
      </c>
      <c r="AE357">
        <f>INDEX(CoefficientsGPA,MATCH(T357&amp;":"&amp;O357,CoefficientsIndex,0))</f>
        <v>0</v>
      </c>
      <c r="AF357">
        <f>INDEX(CoefficientsACT,MATCH(T357&amp;":"&amp;O357,CoefficientsIndex,0))</f>
        <v>0</v>
      </c>
      <c r="AG357">
        <f>INDEX(CoefficientsIntercept,MATCH(T357&amp;":"&amp;O357,CoefficientsIndex,0))</f>
        <v>0</v>
      </c>
      <c r="AH357">
        <f>AE357*P357+(Q357-Z357)*AF357+AG357</f>
        <v>0</v>
      </c>
      <c r="AI357">
        <f>IF(ISNUMBER(AD357),AD357,AH357)</f>
        <v>0</v>
      </c>
      <c r="AJ357">
        <f>IF(ISNUMBER(AI357),IF(ISNUMBER(AE357),IF(AND(AE357=1,AF357=1,AG357=1),100,ROUND(100*EXP(AI357)/(1+EXP(AI357)),2)),ROUND(100*EXP(AI357)/(1+EXP(AI357)),2)),IF(ISTEXT(O357),IF(LEFT(O357,1)="2",100,"N/A"),"N/A"))</f>
        <v>0</v>
      </c>
      <c r="AK357">
        <f>IF(ISNUMBER(AJ357),IF(AJ357&gt;=99,IF(OR(R357=10,R357=11),MatchLabel,SureThingLabel),IF(AJ357&gt;=95,SecureLabel,IF(AJ357&gt;=80,SafetyLabel,IF(AJ357&gt;=50,MatchLabel,IF(AJ357&gt;=20,ReachLabel,IF(AJ357&gt;=10,LongshotLabel,HailMaryLabel)))))),"Other")</f>
        <v>0</v>
      </c>
      <c r="AL357">
        <f>IF(OR(I357="accepted",I357="cond. accept",I357="summer admit"),IF(J357="yes","CHOICE!","Accepted!"),IF(I357="denied","Denied",IF(K357=1,"Waitlist",IF(L357=1,"Deferred",IF(G357="pending","Pending",IF(OR(G357="initial materials submitted",G357="mid-year submitted",G357="final submitted"),"Submitted",IF(H357="interest","Interest","?")))))))</f>
        <v>0</v>
      </c>
      <c r="AM357">
        <f>IF(OR(AK357=ReachLabel,AK357=LongshotLabel,AK357=HailMaryLabel),1,0)</f>
        <v>0</v>
      </c>
      <c r="AN357">
        <f>IF(OR(AM357=1,AK357=MatchLabel),1,0)</f>
        <v>0</v>
      </c>
      <c r="AO357">
        <f>IF(OR(AK357=MatchLabel,AK357=SafetyLabel,AK357=SecureLabel,AK357=SureThingLabel),1,0)</f>
        <v>0</v>
      </c>
      <c r="AP357">
        <f>IF(OR(T357="H",T357="B"),IF(ISNUMBER(Y357),ROUND(Y357,2),0),IF(ISNUMBER(X357),ROUND(X357,2),0))</f>
        <v>0</v>
      </c>
      <c r="AQ357">
        <f>IF(AP357&gt;=U357,1,0)</f>
        <v>0</v>
      </c>
      <c r="AR357">
        <f>IF(AP357&gt;=V357,1,0)</f>
        <v>0</v>
      </c>
      <c r="AS357">
        <f>IF(AP357&lt;(U357-0.10),1,0)</f>
        <v>0</v>
      </c>
      <c r="AT357">
        <f>1-AJ357/100</f>
        <v>0</v>
      </c>
      <c r="AU357">
        <f>IF(AN357=1,AT357,1)</f>
        <v>0</v>
      </c>
      <c r="AV357">
        <f>IF(AM357=1,AT357,1)</f>
        <v>0</v>
      </c>
      <c r="AW357">
        <f>IF(AND(AQ357=1,ISNUMBER(AT357)),$AT357,1)</f>
        <v>0</v>
      </c>
      <c r="AX357">
        <f>IF(AND(AR357=1,ISNUMBER(AT357)),$AT357,1)</f>
        <v>0</v>
      </c>
      <c r="AY357">
        <f>IF(ISNUMBER(Y357),INDEX(AllCollegeMoney, MATCH(N357,AllCollegeNCES,0)),0)</f>
        <v>0</v>
      </c>
      <c r="AZ357">
        <f>IF(AND(AQ357=1,ISNUMBER(AT357),AY357=1),$AT357,1)</f>
        <v>0</v>
      </c>
      <c r="BA357">
        <f>IF(AND(AR357=1,ISNUMBER(AT357),AY357=1),$AT357,1)</f>
        <v>0</v>
      </c>
      <c r="BB357">
        <f>IF(ISNUMBER(Y357),INDEX(AllCollegeILPub, MATCH(N357,AllCollegeNCES,0)),0)</f>
        <v>0</v>
      </c>
      <c r="BC357">
        <f>IF(AK357=ReachLabel,AP357,0)</f>
        <v>0</v>
      </c>
      <c r="BD357">
        <f>IF(AK357=MatchLabel,AP357,0)</f>
        <v>0</v>
      </c>
      <c r="BE357">
        <f>IF(AK357=SafetyLabel,AP357,0)</f>
        <v>0</v>
      </c>
      <c r="BF357">
        <f>IF(AK357=SecureLabel,AP357,0)</f>
        <v>0</v>
      </c>
      <c r="BG357">
        <f>IF(AK357=SureThingLabel,AP357,0)</f>
        <v>0</v>
      </c>
      <c r="BH357">
        <f>MAX(BC357:BG357)</f>
        <v>0</v>
      </c>
      <c r="BI357">
        <f>MAX(BD357:BG357)</f>
        <v>0</v>
      </c>
      <c r="BJ357">
        <f>MAX(BE357:BG357)</f>
        <v>0</v>
      </c>
      <c r="BK357">
        <f>IF(AND(AK357=ReachLabel,AY357=1),AP357,0)</f>
        <v>0</v>
      </c>
      <c r="BL357">
        <f>IF(AND(AK357=MatchLabel,AY357=1),AP357,0)</f>
        <v>0</v>
      </c>
      <c r="BM357">
        <f>IF(AND(AK357=SafetyLabel,AY357=1),AP357,0)</f>
        <v>0</v>
      </c>
      <c r="BN357">
        <f>IF(AND(AK357=SecureLabel,AY357=1),AP357,0)</f>
        <v>0</v>
      </c>
      <c r="BO357">
        <f>IF(AND(AK357=SureThingLabel,AY357=1),AP357,0)</f>
        <v>0</v>
      </c>
      <c r="BP357">
        <f>MAX(BK357:BO357)</f>
        <v>0</v>
      </c>
      <c r="BQ357">
        <f>MAX(BL357:BO357)</f>
        <v>0</v>
      </c>
      <c r="BR357">
        <f>MAX(BM357:BO357)</f>
        <v>0</v>
      </c>
      <c r="BS357">
        <f>IF(ISNUMBER(Y357),INDEX(AllCollegeChicago, MATCH(N357,AllCollegeNCES,0))*AY357,0)</f>
        <v>0</v>
      </c>
      <c r="BT357">
        <f>IF(ISNUMBER(Y357),INDEX(AllCollegeMoneyCode, MATCH(N357,AllCollegeNCES,0)),"?")</f>
        <v>0</v>
      </c>
      <c r="BU357">
        <f>IF(OR(BT357="---",BT357="--",BT357="+/--",BT357="+/---"),1,0)</f>
        <v>0</v>
      </c>
      <c r="BV357">
        <f>AY357*AO357*AQ357</f>
        <v>0</v>
      </c>
    </row>
    <row r="358" spans="1:74">
      <c r="A358" t="s">
        <v>86</v>
      </c>
      <c r="B358">
        <v>23274999</v>
      </c>
      <c r="C358" t="s">
        <v>260</v>
      </c>
      <c r="D358" t="s">
        <v>261</v>
      </c>
      <c r="E358" t="s">
        <v>428</v>
      </c>
      <c r="F358" t="s">
        <v>456</v>
      </c>
      <c r="G358" t="s">
        <v>430</v>
      </c>
      <c r="H358" t="s">
        <v>431</v>
      </c>
      <c r="I358" t="s">
        <v>432</v>
      </c>
      <c r="J358" t="s">
        <v>432</v>
      </c>
      <c r="K358">
        <v>0</v>
      </c>
      <c r="L358" t="s">
        <v>428</v>
      </c>
      <c r="M358" t="s">
        <v>428</v>
      </c>
      <c r="N358">
        <v>213668</v>
      </c>
      <c r="O358">
        <f>INDEX(AllCollegeBarrons,MATCH(N358,AllCollegeNCES,0))</f>
        <v>0</v>
      </c>
      <c r="P358">
        <f>INDEX(KidGPAs,MATCH(B358,KidIDs,0))</f>
        <v>0</v>
      </c>
      <c r="Q358">
        <f>INDEX(KidACTs,MATCH(B358,KidIDs,0))</f>
        <v>0</v>
      </c>
      <c r="R358">
        <f>INDEX(Strats,MATCH(B358,KidIDs,0))</f>
        <v>0</v>
      </c>
      <c r="S358">
        <f>INDEX(KidRace,MATCH(B358,KidIDs,0))</f>
        <v>0</v>
      </c>
      <c r="T358">
        <f>IF(OR(S358="M",S358="I"),"H",S358)</f>
        <v>0</v>
      </c>
      <c r="U358">
        <f>INDEX(StudentTargets,MATCH(B358,KidIDs,0))</f>
        <v>0</v>
      </c>
      <c r="V358">
        <f>INDEX(ReachStudentTargets,MATCH(B358,KidIDs,0))</f>
        <v>0</v>
      </c>
      <c r="W358">
        <f>IF(OR(M358="Posse"),1,0)</f>
        <v>0</v>
      </c>
      <c r="X358">
        <f>IF(ISNUMBER(INDEX(AllCollegeGR, MATCH(N358,AllCollegeNCES,0))),ROUND(INDEX(AllCollegeGR, MATCH(N358,AllCollegeNCES,0))+W358*IF(INDEX(AllCollegeGR, MATCH(N358,AllCollegeNCES,0))&gt;0.7,(1-INDEX(AllCollegeGR, MATCH(N358,AllCollegeNCES,0)))/2,0.15),2),INDEX(AllCollegeGR, MATCH(N358,AllCollegeNCES,0)))</f>
        <v>0</v>
      </c>
      <c r="Y358">
        <f>IF(ISNUMBER(INDEX(AllCollegeAAHGR, MATCH(N358,AllCollegeNCES,0))),ROUND(INDEX(AllCollegeAAHGR, MATCH(N358,AllCollegeNCES,0))+W358*IF(INDEX(AllCollegeAAHGR, MATCH(N358,AllCollegeNCES,0))&gt;0.7,(1-INDEX(AllCollegeAAHGR, MATCH(N358,AllCollegeNCES,0)))/2,0.15),2),INDEX(AllCollegeAAHGR, MATCH(N358,AllCollegeNCES,0)))</f>
        <v>0</v>
      </c>
      <c r="Z358">
        <f>IF(OR(T358="H",T358="B"),INDEX(AllCollegeACT25, MATCH(N358,AllCollegeNCES,0)),INDEX(AllCollegeACT50, MATCH(N358,AllCollegeNCES,0)))</f>
        <v>0</v>
      </c>
      <c r="AA358">
        <f>INDEX(CustomWeightsGPA,MATCH(T358&amp;":"&amp;N358,CustomWeightsIndex,0))</f>
        <v>0</v>
      </c>
      <c r="AB358">
        <f>INDEX(CustomWeightsACT,MATCH(T358&amp;":"&amp;N358,CustomWeightsIndex,0))</f>
        <v>0</v>
      </c>
      <c r="AC358">
        <f>INDEX(CustomWeightsIntercept,MATCH(T358&amp;":"&amp;N358,CustomWeightsIndex,0))</f>
        <v>0</v>
      </c>
      <c r="AD358">
        <f>AA358*P358+AB358*Q358+AC358</f>
        <v>0</v>
      </c>
      <c r="AE358">
        <f>INDEX(CoefficientsGPA,MATCH(T358&amp;":"&amp;O358,CoefficientsIndex,0))</f>
        <v>0</v>
      </c>
      <c r="AF358">
        <f>INDEX(CoefficientsACT,MATCH(T358&amp;":"&amp;O358,CoefficientsIndex,0))</f>
        <v>0</v>
      </c>
      <c r="AG358">
        <f>INDEX(CoefficientsIntercept,MATCH(T358&amp;":"&amp;O358,CoefficientsIndex,0))</f>
        <v>0</v>
      </c>
      <c r="AH358">
        <f>AE358*P358+(Q358-Z358)*AF358+AG358</f>
        <v>0</v>
      </c>
      <c r="AI358">
        <f>IF(ISNUMBER(AD358),AD358,AH358)</f>
        <v>0</v>
      </c>
      <c r="AJ358">
        <f>IF(ISNUMBER(AI358),IF(ISNUMBER(AE358),IF(AND(AE358=1,AF358=1,AG358=1),100,ROUND(100*EXP(AI358)/(1+EXP(AI358)),2)),ROUND(100*EXP(AI358)/(1+EXP(AI358)),2)),IF(ISTEXT(O358),IF(LEFT(O358,1)="2",100,"N/A"),"N/A"))</f>
        <v>0</v>
      </c>
      <c r="AK358">
        <f>IF(ISNUMBER(AJ358),IF(AJ358&gt;=99,IF(OR(R358=10,R358=11),MatchLabel,SureThingLabel),IF(AJ358&gt;=95,SecureLabel,IF(AJ358&gt;=80,SafetyLabel,IF(AJ358&gt;=50,MatchLabel,IF(AJ358&gt;=20,ReachLabel,IF(AJ358&gt;=10,LongshotLabel,HailMaryLabel)))))),"Other")</f>
        <v>0</v>
      </c>
      <c r="AL358">
        <f>IF(OR(I358="accepted",I358="cond. accept",I358="summer admit"),IF(J358="yes","CHOICE!","Accepted!"),IF(I358="denied","Denied",IF(K358=1,"Waitlist",IF(L358=1,"Deferred",IF(G358="pending","Pending",IF(OR(G358="initial materials submitted",G358="mid-year submitted",G358="final submitted"),"Submitted",IF(H358="interest","Interest","?")))))))</f>
        <v>0</v>
      </c>
      <c r="AM358">
        <f>IF(OR(AK358=ReachLabel,AK358=LongshotLabel,AK358=HailMaryLabel),1,0)</f>
        <v>0</v>
      </c>
      <c r="AN358">
        <f>IF(OR(AM358=1,AK358=MatchLabel),1,0)</f>
        <v>0</v>
      </c>
      <c r="AO358">
        <f>IF(OR(AK358=MatchLabel,AK358=SafetyLabel,AK358=SecureLabel,AK358=SureThingLabel),1,0)</f>
        <v>0</v>
      </c>
      <c r="AP358">
        <f>IF(OR(T358="H",T358="B"),IF(ISNUMBER(Y358),ROUND(Y358,2),0),IF(ISNUMBER(X358),ROUND(X358,2),0))</f>
        <v>0</v>
      </c>
      <c r="AQ358">
        <f>IF(AP358&gt;=U358,1,0)</f>
        <v>0</v>
      </c>
      <c r="AR358">
        <f>IF(AP358&gt;=V358,1,0)</f>
        <v>0</v>
      </c>
      <c r="AS358">
        <f>IF(AP358&lt;(U358-0.10),1,0)</f>
        <v>0</v>
      </c>
      <c r="AT358">
        <f>1-AJ358/100</f>
        <v>0</v>
      </c>
      <c r="AU358">
        <f>IF(AN358=1,AT358,1)</f>
        <v>0</v>
      </c>
      <c r="AV358">
        <f>IF(AM358=1,AT358,1)</f>
        <v>0</v>
      </c>
      <c r="AW358">
        <f>IF(AND(AQ358=1,ISNUMBER(AT358)),$AT358,1)</f>
        <v>0</v>
      </c>
      <c r="AX358">
        <f>IF(AND(AR358=1,ISNUMBER(AT358)),$AT358,1)</f>
        <v>0</v>
      </c>
      <c r="AY358">
        <f>IF(ISNUMBER(Y358),INDEX(AllCollegeMoney, MATCH(N358,AllCollegeNCES,0)),0)</f>
        <v>0</v>
      </c>
      <c r="AZ358">
        <f>IF(AND(AQ358=1,ISNUMBER(AT358),AY358=1),$AT358,1)</f>
        <v>0</v>
      </c>
      <c r="BA358">
        <f>IF(AND(AR358=1,ISNUMBER(AT358),AY358=1),$AT358,1)</f>
        <v>0</v>
      </c>
      <c r="BB358">
        <f>IF(ISNUMBER(Y358),INDEX(AllCollegeILPub, MATCH(N358,AllCollegeNCES,0)),0)</f>
        <v>0</v>
      </c>
      <c r="BC358">
        <f>IF(AK358=ReachLabel,AP358,0)</f>
        <v>0</v>
      </c>
      <c r="BD358">
        <f>IF(AK358=MatchLabel,AP358,0)</f>
        <v>0</v>
      </c>
      <c r="BE358">
        <f>IF(AK358=SafetyLabel,AP358,0)</f>
        <v>0</v>
      </c>
      <c r="BF358">
        <f>IF(AK358=SecureLabel,AP358,0)</f>
        <v>0</v>
      </c>
      <c r="BG358">
        <f>IF(AK358=SureThingLabel,AP358,0)</f>
        <v>0</v>
      </c>
      <c r="BH358">
        <f>MAX(BC358:BG358)</f>
        <v>0</v>
      </c>
      <c r="BI358">
        <f>MAX(BD358:BG358)</f>
        <v>0</v>
      </c>
      <c r="BJ358">
        <f>MAX(BE358:BG358)</f>
        <v>0</v>
      </c>
      <c r="BK358">
        <f>IF(AND(AK358=ReachLabel,AY358=1),AP358,0)</f>
        <v>0</v>
      </c>
      <c r="BL358">
        <f>IF(AND(AK358=MatchLabel,AY358=1),AP358,0)</f>
        <v>0</v>
      </c>
      <c r="BM358">
        <f>IF(AND(AK358=SafetyLabel,AY358=1),AP358,0)</f>
        <v>0</v>
      </c>
      <c r="BN358">
        <f>IF(AND(AK358=SecureLabel,AY358=1),AP358,0)</f>
        <v>0</v>
      </c>
      <c r="BO358">
        <f>IF(AND(AK358=SureThingLabel,AY358=1),AP358,0)</f>
        <v>0</v>
      </c>
      <c r="BP358">
        <f>MAX(BK358:BO358)</f>
        <v>0</v>
      </c>
      <c r="BQ358">
        <f>MAX(BL358:BO358)</f>
        <v>0</v>
      </c>
      <c r="BR358">
        <f>MAX(BM358:BO358)</f>
        <v>0</v>
      </c>
      <c r="BS358">
        <f>IF(ISNUMBER(Y358),INDEX(AllCollegeChicago, MATCH(N358,AllCollegeNCES,0))*AY358,0)</f>
        <v>0</v>
      </c>
      <c r="BT358">
        <f>IF(ISNUMBER(Y358),INDEX(AllCollegeMoneyCode, MATCH(N358,AllCollegeNCES,0)),"?")</f>
        <v>0</v>
      </c>
      <c r="BU358">
        <f>IF(OR(BT358="---",BT358="--",BT358="+/--",BT358="+/---"),1,0)</f>
        <v>0</v>
      </c>
      <c r="BV358">
        <f>AY358*AO358*AQ358</f>
        <v>0</v>
      </c>
    </row>
    <row r="359" spans="1:74">
      <c r="A359" t="s">
        <v>86</v>
      </c>
      <c r="B359">
        <v>23274999</v>
      </c>
      <c r="C359" t="s">
        <v>260</v>
      </c>
      <c r="D359" t="s">
        <v>261</v>
      </c>
      <c r="E359" t="s">
        <v>428</v>
      </c>
      <c r="F359" t="s">
        <v>457</v>
      </c>
      <c r="G359" t="s">
        <v>430</v>
      </c>
      <c r="H359" t="s">
        <v>431</v>
      </c>
      <c r="I359" t="s">
        <v>432</v>
      </c>
      <c r="J359" t="s">
        <v>432</v>
      </c>
      <c r="K359">
        <v>0</v>
      </c>
      <c r="L359" t="s">
        <v>428</v>
      </c>
      <c r="M359" t="s">
        <v>428</v>
      </c>
      <c r="N359">
        <v>145637</v>
      </c>
      <c r="O359">
        <f>INDEX(AllCollegeBarrons,MATCH(N359,AllCollegeNCES,0))</f>
        <v>0</v>
      </c>
      <c r="P359">
        <f>INDEX(KidGPAs,MATCH(B359,KidIDs,0))</f>
        <v>0</v>
      </c>
      <c r="Q359">
        <f>INDEX(KidACTs,MATCH(B359,KidIDs,0))</f>
        <v>0</v>
      </c>
      <c r="R359">
        <f>INDEX(Strats,MATCH(B359,KidIDs,0))</f>
        <v>0</v>
      </c>
      <c r="S359">
        <f>INDEX(KidRace,MATCH(B359,KidIDs,0))</f>
        <v>0</v>
      </c>
      <c r="T359">
        <f>IF(OR(S359="M",S359="I"),"H",S359)</f>
        <v>0</v>
      </c>
      <c r="U359">
        <f>INDEX(StudentTargets,MATCH(B359,KidIDs,0))</f>
        <v>0</v>
      </c>
      <c r="V359">
        <f>INDEX(ReachStudentTargets,MATCH(B359,KidIDs,0))</f>
        <v>0</v>
      </c>
      <c r="W359">
        <f>IF(OR(M359="Posse"),1,0)</f>
        <v>0</v>
      </c>
      <c r="X359">
        <f>IF(ISNUMBER(INDEX(AllCollegeGR, MATCH(N359,AllCollegeNCES,0))),ROUND(INDEX(AllCollegeGR, MATCH(N359,AllCollegeNCES,0))+W359*IF(INDEX(AllCollegeGR, MATCH(N359,AllCollegeNCES,0))&gt;0.7,(1-INDEX(AllCollegeGR, MATCH(N359,AllCollegeNCES,0)))/2,0.15),2),INDEX(AllCollegeGR, MATCH(N359,AllCollegeNCES,0)))</f>
        <v>0</v>
      </c>
      <c r="Y359">
        <f>IF(ISNUMBER(INDEX(AllCollegeAAHGR, MATCH(N359,AllCollegeNCES,0))),ROUND(INDEX(AllCollegeAAHGR, MATCH(N359,AllCollegeNCES,0))+W359*IF(INDEX(AllCollegeAAHGR, MATCH(N359,AllCollegeNCES,0))&gt;0.7,(1-INDEX(AllCollegeAAHGR, MATCH(N359,AllCollegeNCES,0)))/2,0.15),2),INDEX(AllCollegeAAHGR, MATCH(N359,AllCollegeNCES,0)))</f>
        <v>0</v>
      </c>
      <c r="Z359">
        <f>IF(OR(T359="H",T359="B"),INDEX(AllCollegeACT25, MATCH(N359,AllCollegeNCES,0)),INDEX(AllCollegeACT50, MATCH(N359,AllCollegeNCES,0)))</f>
        <v>0</v>
      </c>
      <c r="AA359">
        <f>INDEX(CustomWeightsGPA,MATCH(T359&amp;":"&amp;N359,CustomWeightsIndex,0))</f>
        <v>0</v>
      </c>
      <c r="AB359">
        <f>INDEX(CustomWeightsACT,MATCH(T359&amp;":"&amp;N359,CustomWeightsIndex,0))</f>
        <v>0</v>
      </c>
      <c r="AC359">
        <f>INDEX(CustomWeightsIntercept,MATCH(T359&amp;":"&amp;N359,CustomWeightsIndex,0))</f>
        <v>0</v>
      </c>
      <c r="AD359">
        <f>AA359*P359+AB359*Q359+AC359</f>
        <v>0</v>
      </c>
      <c r="AE359">
        <f>INDEX(CoefficientsGPA,MATCH(T359&amp;":"&amp;O359,CoefficientsIndex,0))</f>
        <v>0</v>
      </c>
      <c r="AF359">
        <f>INDEX(CoefficientsACT,MATCH(T359&amp;":"&amp;O359,CoefficientsIndex,0))</f>
        <v>0</v>
      </c>
      <c r="AG359">
        <f>INDEX(CoefficientsIntercept,MATCH(T359&amp;":"&amp;O359,CoefficientsIndex,0))</f>
        <v>0</v>
      </c>
      <c r="AH359">
        <f>AE359*P359+(Q359-Z359)*AF359+AG359</f>
        <v>0</v>
      </c>
      <c r="AI359">
        <f>IF(ISNUMBER(AD359),AD359,AH359)</f>
        <v>0</v>
      </c>
      <c r="AJ359">
        <f>IF(ISNUMBER(AI359),IF(ISNUMBER(AE359),IF(AND(AE359=1,AF359=1,AG359=1),100,ROUND(100*EXP(AI359)/(1+EXP(AI359)),2)),ROUND(100*EXP(AI359)/(1+EXP(AI359)),2)),IF(ISTEXT(O359),IF(LEFT(O359,1)="2",100,"N/A"),"N/A"))</f>
        <v>0</v>
      </c>
      <c r="AK359">
        <f>IF(ISNUMBER(AJ359),IF(AJ359&gt;=99,IF(OR(R359=10,R359=11),MatchLabel,SureThingLabel),IF(AJ359&gt;=95,SecureLabel,IF(AJ359&gt;=80,SafetyLabel,IF(AJ359&gt;=50,MatchLabel,IF(AJ359&gt;=20,ReachLabel,IF(AJ359&gt;=10,LongshotLabel,HailMaryLabel)))))),"Other")</f>
        <v>0</v>
      </c>
      <c r="AL359">
        <f>IF(OR(I359="accepted",I359="cond. accept",I359="summer admit"),IF(J359="yes","CHOICE!","Accepted!"),IF(I359="denied","Denied",IF(K359=1,"Waitlist",IF(L359=1,"Deferred",IF(G359="pending","Pending",IF(OR(G359="initial materials submitted",G359="mid-year submitted",G359="final submitted"),"Submitted",IF(H359="interest","Interest","?")))))))</f>
        <v>0</v>
      </c>
      <c r="AM359">
        <f>IF(OR(AK359=ReachLabel,AK359=LongshotLabel,AK359=HailMaryLabel),1,0)</f>
        <v>0</v>
      </c>
      <c r="AN359">
        <f>IF(OR(AM359=1,AK359=MatchLabel),1,0)</f>
        <v>0</v>
      </c>
      <c r="AO359">
        <f>IF(OR(AK359=MatchLabel,AK359=SafetyLabel,AK359=SecureLabel,AK359=SureThingLabel),1,0)</f>
        <v>0</v>
      </c>
      <c r="AP359">
        <f>IF(OR(T359="H",T359="B"),IF(ISNUMBER(Y359),ROUND(Y359,2),0),IF(ISNUMBER(X359),ROUND(X359,2),0))</f>
        <v>0</v>
      </c>
      <c r="AQ359">
        <f>IF(AP359&gt;=U359,1,0)</f>
        <v>0</v>
      </c>
      <c r="AR359">
        <f>IF(AP359&gt;=V359,1,0)</f>
        <v>0</v>
      </c>
      <c r="AS359">
        <f>IF(AP359&lt;(U359-0.10),1,0)</f>
        <v>0</v>
      </c>
      <c r="AT359">
        <f>1-AJ359/100</f>
        <v>0</v>
      </c>
      <c r="AU359">
        <f>IF(AN359=1,AT359,1)</f>
        <v>0</v>
      </c>
      <c r="AV359">
        <f>IF(AM359=1,AT359,1)</f>
        <v>0</v>
      </c>
      <c r="AW359">
        <f>IF(AND(AQ359=1,ISNUMBER(AT359)),$AT359,1)</f>
        <v>0</v>
      </c>
      <c r="AX359">
        <f>IF(AND(AR359=1,ISNUMBER(AT359)),$AT359,1)</f>
        <v>0</v>
      </c>
      <c r="AY359">
        <f>IF(ISNUMBER(Y359),INDEX(AllCollegeMoney, MATCH(N359,AllCollegeNCES,0)),0)</f>
        <v>0</v>
      </c>
      <c r="AZ359">
        <f>IF(AND(AQ359=1,ISNUMBER(AT359),AY359=1),$AT359,1)</f>
        <v>0</v>
      </c>
      <c r="BA359">
        <f>IF(AND(AR359=1,ISNUMBER(AT359),AY359=1),$AT359,1)</f>
        <v>0</v>
      </c>
      <c r="BB359">
        <f>IF(ISNUMBER(Y359),INDEX(AllCollegeILPub, MATCH(N359,AllCollegeNCES,0)),0)</f>
        <v>0</v>
      </c>
      <c r="BC359">
        <f>IF(AK359=ReachLabel,AP359,0)</f>
        <v>0</v>
      </c>
      <c r="BD359">
        <f>IF(AK359=MatchLabel,AP359,0)</f>
        <v>0</v>
      </c>
      <c r="BE359">
        <f>IF(AK359=SafetyLabel,AP359,0)</f>
        <v>0</v>
      </c>
      <c r="BF359">
        <f>IF(AK359=SecureLabel,AP359,0)</f>
        <v>0</v>
      </c>
      <c r="BG359">
        <f>IF(AK359=SureThingLabel,AP359,0)</f>
        <v>0</v>
      </c>
      <c r="BH359">
        <f>MAX(BC359:BG359)</f>
        <v>0</v>
      </c>
      <c r="BI359">
        <f>MAX(BD359:BG359)</f>
        <v>0</v>
      </c>
      <c r="BJ359">
        <f>MAX(BE359:BG359)</f>
        <v>0</v>
      </c>
      <c r="BK359">
        <f>IF(AND(AK359=ReachLabel,AY359=1),AP359,0)</f>
        <v>0</v>
      </c>
      <c r="BL359">
        <f>IF(AND(AK359=MatchLabel,AY359=1),AP359,0)</f>
        <v>0</v>
      </c>
      <c r="BM359">
        <f>IF(AND(AK359=SafetyLabel,AY359=1),AP359,0)</f>
        <v>0</v>
      </c>
      <c r="BN359">
        <f>IF(AND(AK359=SecureLabel,AY359=1),AP359,0)</f>
        <v>0</v>
      </c>
      <c r="BO359">
        <f>IF(AND(AK359=SureThingLabel,AY359=1),AP359,0)</f>
        <v>0</v>
      </c>
      <c r="BP359">
        <f>MAX(BK359:BO359)</f>
        <v>0</v>
      </c>
      <c r="BQ359">
        <f>MAX(BL359:BO359)</f>
        <v>0</v>
      </c>
      <c r="BR359">
        <f>MAX(BM359:BO359)</f>
        <v>0</v>
      </c>
      <c r="BS359">
        <f>IF(ISNUMBER(Y359),INDEX(AllCollegeChicago, MATCH(N359,AllCollegeNCES,0))*AY359,0)</f>
        <v>0</v>
      </c>
      <c r="BT359">
        <f>IF(ISNUMBER(Y359),INDEX(AllCollegeMoneyCode, MATCH(N359,AllCollegeNCES,0)),"?")</f>
        <v>0</v>
      </c>
      <c r="BU359">
        <f>IF(OR(BT359="---",BT359="--",BT359="+/--",BT359="+/---"),1,0)</f>
        <v>0</v>
      </c>
      <c r="BV359">
        <f>AY359*AO359*AQ359</f>
        <v>0</v>
      </c>
    </row>
    <row r="360" spans="1:74">
      <c r="A360" t="s">
        <v>86</v>
      </c>
      <c r="B360">
        <v>23274999</v>
      </c>
      <c r="C360" t="s">
        <v>260</v>
      </c>
      <c r="D360" t="s">
        <v>261</v>
      </c>
      <c r="E360" t="s">
        <v>428</v>
      </c>
      <c r="F360" t="s">
        <v>458</v>
      </c>
      <c r="G360" t="s">
        <v>430</v>
      </c>
      <c r="H360" t="s">
        <v>431</v>
      </c>
      <c r="I360" t="s">
        <v>432</v>
      </c>
      <c r="J360" t="s">
        <v>432</v>
      </c>
      <c r="K360">
        <v>0</v>
      </c>
      <c r="L360" t="s">
        <v>428</v>
      </c>
      <c r="M360" t="s">
        <v>428</v>
      </c>
      <c r="N360">
        <v>202523</v>
      </c>
      <c r="O360">
        <f>INDEX(AllCollegeBarrons,MATCH(N360,AllCollegeNCES,0))</f>
        <v>0</v>
      </c>
      <c r="P360">
        <f>INDEX(KidGPAs,MATCH(B360,KidIDs,0))</f>
        <v>0</v>
      </c>
      <c r="Q360">
        <f>INDEX(KidACTs,MATCH(B360,KidIDs,0))</f>
        <v>0</v>
      </c>
      <c r="R360">
        <f>INDEX(Strats,MATCH(B360,KidIDs,0))</f>
        <v>0</v>
      </c>
      <c r="S360">
        <f>INDEX(KidRace,MATCH(B360,KidIDs,0))</f>
        <v>0</v>
      </c>
      <c r="T360">
        <f>IF(OR(S360="M",S360="I"),"H",S360)</f>
        <v>0</v>
      </c>
      <c r="U360">
        <f>INDEX(StudentTargets,MATCH(B360,KidIDs,0))</f>
        <v>0</v>
      </c>
      <c r="V360">
        <f>INDEX(ReachStudentTargets,MATCH(B360,KidIDs,0))</f>
        <v>0</v>
      </c>
      <c r="W360">
        <f>IF(OR(M360="Posse"),1,0)</f>
        <v>0</v>
      </c>
      <c r="X360">
        <f>IF(ISNUMBER(INDEX(AllCollegeGR, MATCH(N360,AllCollegeNCES,0))),ROUND(INDEX(AllCollegeGR, MATCH(N360,AllCollegeNCES,0))+W360*IF(INDEX(AllCollegeGR, MATCH(N360,AllCollegeNCES,0))&gt;0.7,(1-INDEX(AllCollegeGR, MATCH(N360,AllCollegeNCES,0)))/2,0.15),2),INDEX(AllCollegeGR, MATCH(N360,AllCollegeNCES,0)))</f>
        <v>0</v>
      </c>
      <c r="Y360">
        <f>IF(ISNUMBER(INDEX(AllCollegeAAHGR, MATCH(N360,AllCollegeNCES,0))),ROUND(INDEX(AllCollegeAAHGR, MATCH(N360,AllCollegeNCES,0))+W360*IF(INDEX(AllCollegeAAHGR, MATCH(N360,AllCollegeNCES,0))&gt;0.7,(1-INDEX(AllCollegeAAHGR, MATCH(N360,AllCollegeNCES,0)))/2,0.15),2),INDEX(AllCollegeAAHGR, MATCH(N360,AllCollegeNCES,0)))</f>
        <v>0</v>
      </c>
      <c r="Z360">
        <f>IF(OR(T360="H",T360="B"),INDEX(AllCollegeACT25, MATCH(N360,AllCollegeNCES,0)),INDEX(AllCollegeACT50, MATCH(N360,AllCollegeNCES,0)))</f>
        <v>0</v>
      </c>
      <c r="AA360">
        <f>INDEX(CustomWeightsGPA,MATCH(T360&amp;":"&amp;N360,CustomWeightsIndex,0))</f>
        <v>0</v>
      </c>
      <c r="AB360">
        <f>INDEX(CustomWeightsACT,MATCH(T360&amp;":"&amp;N360,CustomWeightsIndex,0))</f>
        <v>0</v>
      </c>
      <c r="AC360">
        <f>INDEX(CustomWeightsIntercept,MATCH(T360&amp;":"&amp;N360,CustomWeightsIndex,0))</f>
        <v>0</v>
      </c>
      <c r="AD360">
        <f>AA360*P360+AB360*Q360+AC360</f>
        <v>0</v>
      </c>
      <c r="AE360">
        <f>INDEX(CoefficientsGPA,MATCH(T360&amp;":"&amp;O360,CoefficientsIndex,0))</f>
        <v>0</v>
      </c>
      <c r="AF360">
        <f>INDEX(CoefficientsACT,MATCH(T360&amp;":"&amp;O360,CoefficientsIndex,0))</f>
        <v>0</v>
      </c>
      <c r="AG360">
        <f>INDEX(CoefficientsIntercept,MATCH(T360&amp;":"&amp;O360,CoefficientsIndex,0))</f>
        <v>0</v>
      </c>
      <c r="AH360">
        <f>AE360*P360+(Q360-Z360)*AF360+AG360</f>
        <v>0</v>
      </c>
      <c r="AI360">
        <f>IF(ISNUMBER(AD360),AD360,AH360)</f>
        <v>0</v>
      </c>
      <c r="AJ360">
        <f>IF(ISNUMBER(AI360),IF(ISNUMBER(AE360),IF(AND(AE360=1,AF360=1,AG360=1),100,ROUND(100*EXP(AI360)/(1+EXP(AI360)),2)),ROUND(100*EXP(AI360)/(1+EXP(AI360)),2)),IF(ISTEXT(O360),IF(LEFT(O360,1)="2",100,"N/A"),"N/A"))</f>
        <v>0</v>
      </c>
      <c r="AK360">
        <f>IF(ISNUMBER(AJ360),IF(AJ360&gt;=99,IF(OR(R360=10,R360=11),MatchLabel,SureThingLabel),IF(AJ360&gt;=95,SecureLabel,IF(AJ360&gt;=80,SafetyLabel,IF(AJ360&gt;=50,MatchLabel,IF(AJ360&gt;=20,ReachLabel,IF(AJ360&gt;=10,LongshotLabel,HailMaryLabel)))))),"Other")</f>
        <v>0</v>
      </c>
      <c r="AL360">
        <f>IF(OR(I360="accepted",I360="cond. accept",I360="summer admit"),IF(J360="yes","CHOICE!","Accepted!"),IF(I360="denied","Denied",IF(K360=1,"Waitlist",IF(L360=1,"Deferred",IF(G360="pending","Pending",IF(OR(G360="initial materials submitted",G360="mid-year submitted",G360="final submitted"),"Submitted",IF(H360="interest","Interest","?")))))))</f>
        <v>0</v>
      </c>
      <c r="AM360">
        <f>IF(OR(AK360=ReachLabel,AK360=LongshotLabel,AK360=HailMaryLabel),1,0)</f>
        <v>0</v>
      </c>
      <c r="AN360">
        <f>IF(OR(AM360=1,AK360=MatchLabel),1,0)</f>
        <v>0</v>
      </c>
      <c r="AO360">
        <f>IF(OR(AK360=MatchLabel,AK360=SafetyLabel,AK360=SecureLabel,AK360=SureThingLabel),1,0)</f>
        <v>0</v>
      </c>
      <c r="AP360">
        <f>IF(OR(T360="H",T360="B"),IF(ISNUMBER(Y360),ROUND(Y360,2),0),IF(ISNUMBER(X360),ROUND(X360,2),0))</f>
        <v>0</v>
      </c>
      <c r="AQ360">
        <f>IF(AP360&gt;=U360,1,0)</f>
        <v>0</v>
      </c>
      <c r="AR360">
        <f>IF(AP360&gt;=V360,1,0)</f>
        <v>0</v>
      </c>
      <c r="AS360">
        <f>IF(AP360&lt;(U360-0.10),1,0)</f>
        <v>0</v>
      </c>
      <c r="AT360">
        <f>1-AJ360/100</f>
        <v>0</v>
      </c>
      <c r="AU360">
        <f>IF(AN360=1,AT360,1)</f>
        <v>0</v>
      </c>
      <c r="AV360">
        <f>IF(AM360=1,AT360,1)</f>
        <v>0</v>
      </c>
      <c r="AW360">
        <f>IF(AND(AQ360=1,ISNUMBER(AT360)),$AT360,1)</f>
        <v>0</v>
      </c>
      <c r="AX360">
        <f>IF(AND(AR360=1,ISNUMBER(AT360)),$AT360,1)</f>
        <v>0</v>
      </c>
      <c r="AY360">
        <f>IF(ISNUMBER(Y360),INDEX(AllCollegeMoney, MATCH(N360,AllCollegeNCES,0)),0)</f>
        <v>0</v>
      </c>
      <c r="AZ360">
        <f>IF(AND(AQ360=1,ISNUMBER(AT360),AY360=1),$AT360,1)</f>
        <v>0</v>
      </c>
      <c r="BA360">
        <f>IF(AND(AR360=1,ISNUMBER(AT360),AY360=1),$AT360,1)</f>
        <v>0</v>
      </c>
      <c r="BB360">
        <f>IF(ISNUMBER(Y360),INDEX(AllCollegeILPub, MATCH(N360,AllCollegeNCES,0)),0)</f>
        <v>0</v>
      </c>
      <c r="BC360">
        <f>IF(AK360=ReachLabel,AP360,0)</f>
        <v>0</v>
      </c>
      <c r="BD360">
        <f>IF(AK360=MatchLabel,AP360,0)</f>
        <v>0</v>
      </c>
      <c r="BE360">
        <f>IF(AK360=SafetyLabel,AP360,0)</f>
        <v>0</v>
      </c>
      <c r="BF360">
        <f>IF(AK360=SecureLabel,AP360,0)</f>
        <v>0</v>
      </c>
      <c r="BG360">
        <f>IF(AK360=SureThingLabel,AP360,0)</f>
        <v>0</v>
      </c>
      <c r="BH360">
        <f>MAX(BC360:BG360)</f>
        <v>0</v>
      </c>
      <c r="BI360">
        <f>MAX(BD360:BG360)</f>
        <v>0</v>
      </c>
      <c r="BJ360">
        <f>MAX(BE360:BG360)</f>
        <v>0</v>
      </c>
      <c r="BK360">
        <f>IF(AND(AK360=ReachLabel,AY360=1),AP360,0)</f>
        <v>0</v>
      </c>
      <c r="BL360">
        <f>IF(AND(AK360=MatchLabel,AY360=1),AP360,0)</f>
        <v>0</v>
      </c>
      <c r="BM360">
        <f>IF(AND(AK360=SafetyLabel,AY360=1),AP360,0)</f>
        <v>0</v>
      </c>
      <c r="BN360">
        <f>IF(AND(AK360=SecureLabel,AY360=1),AP360,0)</f>
        <v>0</v>
      </c>
      <c r="BO360">
        <f>IF(AND(AK360=SureThingLabel,AY360=1),AP360,0)</f>
        <v>0</v>
      </c>
      <c r="BP360">
        <f>MAX(BK360:BO360)</f>
        <v>0</v>
      </c>
      <c r="BQ360">
        <f>MAX(BL360:BO360)</f>
        <v>0</v>
      </c>
      <c r="BR360">
        <f>MAX(BM360:BO360)</f>
        <v>0</v>
      </c>
      <c r="BS360">
        <f>IF(ISNUMBER(Y360),INDEX(AllCollegeChicago, MATCH(N360,AllCollegeNCES,0))*AY360,0)</f>
        <v>0</v>
      </c>
      <c r="BT360">
        <f>IF(ISNUMBER(Y360),INDEX(AllCollegeMoneyCode, MATCH(N360,AllCollegeNCES,0)),"?")</f>
        <v>0</v>
      </c>
      <c r="BU360">
        <f>IF(OR(BT360="---",BT360="--",BT360="+/--",BT360="+/---"),1,0)</f>
        <v>0</v>
      </c>
      <c r="BV360">
        <f>AY360*AO360*AQ360</f>
        <v>0</v>
      </c>
    </row>
    <row r="361" spans="1:74">
      <c r="A361" t="s">
        <v>86</v>
      </c>
      <c r="B361">
        <v>23274999</v>
      </c>
      <c r="C361" t="s">
        <v>260</v>
      </c>
      <c r="D361" t="s">
        <v>261</v>
      </c>
      <c r="E361" t="s">
        <v>428</v>
      </c>
      <c r="F361" t="s">
        <v>459</v>
      </c>
      <c r="G361" t="s">
        <v>430</v>
      </c>
      <c r="H361" t="s">
        <v>431</v>
      </c>
      <c r="I361" t="s">
        <v>432</v>
      </c>
      <c r="J361" t="s">
        <v>432</v>
      </c>
      <c r="K361">
        <v>0</v>
      </c>
      <c r="L361" t="s">
        <v>428</v>
      </c>
      <c r="M361" t="s">
        <v>428</v>
      </c>
      <c r="N361">
        <v>146427</v>
      </c>
      <c r="O361">
        <f>INDEX(AllCollegeBarrons,MATCH(N361,AllCollegeNCES,0))</f>
        <v>0</v>
      </c>
      <c r="P361">
        <f>INDEX(KidGPAs,MATCH(B361,KidIDs,0))</f>
        <v>0</v>
      </c>
      <c r="Q361">
        <f>INDEX(KidACTs,MATCH(B361,KidIDs,0))</f>
        <v>0</v>
      </c>
      <c r="R361">
        <f>INDEX(Strats,MATCH(B361,KidIDs,0))</f>
        <v>0</v>
      </c>
      <c r="S361">
        <f>INDEX(KidRace,MATCH(B361,KidIDs,0))</f>
        <v>0</v>
      </c>
      <c r="T361">
        <f>IF(OR(S361="M",S361="I"),"H",S361)</f>
        <v>0</v>
      </c>
      <c r="U361">
        <f>INDEX(StudentTargets,MATCH(B361,KidIDs,0))</f>
        <v>0</v>
      </c>
      <c r="V361">
        <f>INDEX(ReachStudentTargets,MATCH(B361,KidIDs,0))</f>
        <v>0</v>
      </c>
      <c r="W361">
        <f>IF(OR(M361="Posse"),1,0)</f>
        <v>0</v>
      </c>
      <c r="X361">
        <f>IF(ISNUMBER(INDEX(AllCollegeGR, MATCH(N361,AllCollegeNCES,0))),ROUND(INDEX(AllCollegeGR, MATCH(N361,AllCollegeNCES,0))+W361*IF(INDEX(AllCollegeGR, MATCH(N361,AllCollegeNCES,0))&gt;0.7,(1-INDEX(AllCollegeGR, MATCH(N361,AllCollegeNCES,0)))/2,0.15),2),INDEX(AllCollegeGR, MATCH(N361,AllCollegeNCES,0)))</f>
        <v>0</v>
      </c>
      <c r="Y361">
        <f>IF(ISNUMBER(INDEX(AllCollegeAAHGR, MATCH(N361,AllCollegeNCES,0))),ROUND(INDEX(AllCollegeAAHGR, MATCH(N361,AllCollegeNCES,0))+W361*IF(INDEX(AllCollegeAAHGR, MATCH(N361,AllCollegeNCES,0))&gt;0.7,(1-INDEX(AllCollegeAAHGR, MATCH(N361,AllCollegeNCES,0)))/2,0.15),2),INDEX(AllCollegeAAHGR, MATCH(N361,AllCollegeNCES,0)))</f>
        <v>0</v>
      </c>
      <c r="Z361">
        <f>IF(OR(T361="H",T361="B"),INDEX(AllCollegeACT25, MATCH(N361,AllCollegeNCES,0)),INDEX(AllCollegeACT50, MATCH(N361,AllCollegeNCES,0)))</f>
        <v>0</v>
      </c>
      <c r="AA361">
        <f>INDEX(CustomWeightsGPA,MATCH(T361&amp;":"&amp;N361,CustomWeightsIndex,0))</f>
        <v>0</v>
      </c>
      <c r="AB361">
        <f>INDEX(CustomWeightsACT,MATCH(T361&amp;":"&amp;N361,CustomWeightsIndex,0))</f>
        <v>0</v>
      </c>
      <c r="AC361">
        <f>INDEX(CustomWeightsIntercept,MATCH(T361&amp;":"&amp;N361,CustomWeightsIndex,0))</f>
        <v>0</v>
      </c>
      <c r="AD361">
        <f>AA361*P361+AB361*Q361+AC361</f>
        <v>0</v>
      </c>
      <c r="AE361">
        <f>INDEX(CoefficientsGPA,MATCH(T361&amp;":"&amp;O361,CoefficientsIndex,0))</f>
        <v>0</v>
      </c>
      <c r="AF361">
        <f>INDEX(CoefficientsACT,MATCH(T361&amp;":"&amp;O361,CoefficientsIndex,0))</f>
        <v>0</v>
      </c>
      <c r="AG361">
        <f>INDEX(CoefficientsIntercept,MATCH(T361&amp;":"&amp;O361,CoefficientsIndex,0))</f>
        <v>0</v>
      </c>
      <c r="AH361">
        <f>AE361*P361+(Q361-Z361)*AF361+AG361</f>
        <v>0</v>
      </c>
      <c r="AI361">
        <f>IF(ISNUMBER(AD361),AD361,AH361)</f>
        <v>0</v>
      </c>
      <c r="AJ361">
        <f>IF(ISNUMBER(AI361),IF(ISNUMBER(AE361),IF(AND(AE361=1,AF361=1,AG361=1),100,ROUND(100*EXP(AI361)/(1+EXP(AI361)),2)),ROUND(100*EXP(AI361)/(1+EXP(AI361)),2)),IF(ISTEXT(O361),IF(LEFT(O361,1)="2",100,"N/A"),"N/A"))</f>
        <v>0</v>
      </c>
      <c r="AK361">
        <f>IF(ISNUMBER(AJ361),IF(AJ361&gt;=99,IF(OR(R361=10,R361=11),MatchLabel,SureThingLabel),IF(AJ361&gt;=95,SecureLabel,IF(AJ361&gt;=80,SafetyLabel,IF(AJ361&gt;=50,MatchLabel,IF(AJ361&gt;=20,ReachLabel,IF(AJ361&gt;=10,LongshotLabel,HailMaryLabel)))))),"Other")</f>
        <v>0</v>
      </c>
      <c r="AL361">
        <f>IF(OR(I361="accepted",I361="cond. accept",I361="summer admit"),IF(J361="yes","CHOICE!","Accepted!"),IF(I361="denied","Denied",IF(K361=1,"Waitlist",IF(L361=1,"Deferred",IF(G361="pending","Pending",IF(OR(G361="initial materials submitted",G361="mid-year submitted",G361="final submitted"),"Submitted",IF(H361="interest","Interest","?")))))))</f>
        <v>0</v>
      </c>
      <c r="AM361">
        <f>IF(OR(AK361=ReachLabel,AK361=LongshotLabel,AK361=HailMaryLabel),1,0)</f>
        <v>0</v>
      </c>
      <c r="AN361">
        <f>IF(OR(AM361=1,AK361=MatchLabel),1,0)</f>
        <v>0</v>
      </c>
      <c r="AO361">
        <f>IF(OR(AK361=MatchLabel,AK361=SafetyLabel,AK361=SecureLabel,AK361=SureThingLabel),1,0)</f>
        <v>0</v>
      </c>
      <c r="AP361">
        <f>IF(OR(T361="H",T361="B"),IF(ISNUMBER(Y361),ROUND(Y361,2),0),IF(ISNUMBER(X361),ROUND(X361,2),0))</f>
        <v>0</v>
      </c>
      <c r="AQ361">
        <f>IF(AP361&gt;=U361,1,0)</f>
        <v>0</v>
      </c>
      <c r="AR361">
        <f>IF(AP361&gt;=V361,1,0)</f>
        <v>0</v>
      </c>
      <c r="AS361">
        <f>IF(AP361&lt;(U361-0.10),1,0)</f>
        <v>0</v>
      </c>
      <c r="AT361">
        <f>1-AJ361/100</f>
        <v>0</v>
      </c>
      <c r="AU361">
        <f>IF(AN361=1,AT361,1)</f>
        <v>0</v>
      </c>
      <c r="AV361">
        <f>IF(AM361=1,AT361,1)</f>
        <v>0</v>
      </c>
      <c r="AW361">
        <f>IF(AND(AQ361=1,ISNUMBER(AT361)),$AT361,1)</f>
        <v>0</v>
      </c>
      <c r="AX361">
        <f>IF(AND(AR361=1,ISNUMBER(AT361)),$AT361,1)</f>
        <v>0</v>
      </c>
      <c r="AY361">
        <f>IF(ISNUMBER(Y361),INDEX(AllCollegeMoney, MATCH(N361,AllCollegeNCES,0)),0)</f>
        <v>0</v>
      </c>
      <c r="AZ361">
        <f>IF(AND(AQ361=1,ISNUMBER(AT361),AY361=1),$AT361,1)</f>
        <v>0</v>
      </c>
      <c r="BA361">
        <f>IF(AND(AR361=1,ISNUMBER(AT361),AY361=1),$AT361,1)</f>
        <v>0</v>
      </c>
      <c r="BB361">
        <f>IF(ISNUMBER(Y361),INDEX(AllCollegeILPub, MATCH(N361,AllCollegeNCES,0)),0)</f>
        <v>0</v>
      </c>
      <c r="BC361">
        <f>IF(AK361=ReachLabel,AP361,0)</f>
        <v>0</v>
      </c>
      <c r="BD361">
        <f>IF(AK361=MatchLabel,AP361,0)</f>
        <v>0</v>
      </c>
      <c r="BE361">
        <f>IF(AK361=SafetyLabel,AP361,0)</f>
        <v>0</v>
      </c>
      <c r="BF361">
        <f>IF(AK361=SecureLabel,AP361,0)</f>
        <v>0</v>
      </c>
      <c r="BG361">
        <f>IF(AK361=SureThingLabel,AP361,0)</f>
        <v>0</v>
      </c>
      <c r="BH361">
        <f>MAX(BC361:BG361)</f>
        <v>0</v>
      </c>
      <c r="BI361">
        <f>MAX(BD361:BG361)</f>
        <v>0</v>
      </c>
      <c r="BJ361">
        <f>MAX(BE361:BG361)</f>
        <v>0</v>
      </c>
      <c r="BK361">
        <f>IF(AND(AK361=ReachLabel,AY361=1),AP361,0)</f>
        <v>0</v>
      </c>
      <c r="BL361">
        <f>IF(AND(AK361=MatchLabel,AY361=1),AP361,0)</f>
        <v>0</v>
      </c>
      <c r="BM361">
        <f>IF(AND(AK361=SafetyLabel,AY361=1),AP361,0)</f>
        <v>0</v>
      </c>
      <c r="BN361">
        <f>IF(AND(AK361=SecureLabel,AY361=1),AP361,0)</f>
        <v>0</v>
      </c>
      <c r="BO361">
        <f>IF(AND(AK361=SureThingLabel,AY361=1),AP361,0)</f>
        <v>0</v>
      </c>
      <c r="BP361">
        <f>MAX(BK361:BO361)</f>
        <v>0</v>
      </c>
      <c r="BQ361">
        <f>MAX(BL361:BO361)</f>
        <v>0</v>
      </c>
      <c r="BR361">
        <f>MAX(BM361:BO361)</f>
        <v>0</v>
      </c>
      <c r="BS361">
        <f>IF(ISNUMBER(Y361),INDEX(AllCollegeChicago, MATCH(N361,AllCollegeNCES,0))*AY361,0)</f>
        <v>0</v>
      </c>
      <c r="BT361">
        <f>IF(ISNUMBER(Y361),INDEX(AllCollegeMoneyCode, MATCH(N361,AllCollegeNCES,0)),"?")</f>
        <v>0</v>
      </c>
      <c r="BU361">
        <f>IF(OR(BT361="---",BT361="--",BT361="+/--",BT361="+/---"),1,0)</f>
        <v>0</v>
      </c>
      <c r="BV361">
        <f>AY361*AO361*AQ361</f>
        <v>0</v>
      </c>
    </row>
    <row r="362" spans="1:74">
      <c r="A362" t="s">
        <v>86</v>
      </c>
      <c r="B362">
        <v>23274999</v>
      </c>
      <c r="C362" t="s">
        <v>260</v>
      </c>
      <c r="D362" t="s">
        <v>261</v>
      </c>
      <c r="E362" t="s">
        <v>428</v>
      </c>
      <c r="F362" t="s">
        <v>470</v>
      </c>
      <c r="G362" t="s">
        <v>430</v>
      </c>
      <c r="H362" t="s">
        <v>431</v>
      </c>
      <c r="I362" t="s">
        <v>432</v>
      </c>
      <c r="J362" t="s">
        <v>432</v>
      </c>
      <c r="K362">
        <v>0</v>
      </c>
      <c r="L362" t="s">
        <v>428</v>
      </c>
      <c r="M362" t="s">
        <v>428</v>
      </c>
      <c r="N362">
        <v>206589</v>
      </c>
      <c r="O362">
        <f>INDEX(AllCollegeBarrons,MATCH(N362,AllCollegeNCES,0))</f>
        <v>0</v>
      </c>
      <c r="P362">
        <f>INDEX(KidGPAs,MATCH(B362,KidIDs,0))</f>
        <v>0</v>
      </c>
      <c r="Q362">
        <f>INDEX(KidACTs,MATCH(B362,KidIDs,0))</f>
        <v>0</v>
      </c>
      <c r="R362">
        <f>INDEX(Strats,MATCH(B362,KidIDs,0))</f>
        <v>0</v>
      </c>
      <c r="S362">
        <f>INDEX(KidRace,MATCH(B362,KidIDs,0))</f>
        <v>0</v>
      </c>
      <c r="T362">
        <f>IF(OR(S362="M",S362="I"),"H",S362)</f>
        <v>0</v>
      </c>
      <c r="U362">
        <f>INDEX(StudentTargets,MATCH(B362,KidIDs,0))</f>
        <v>0</v>
      </c>
      <c r="V362">
        <f>INDEX(ReachStudentTargets,MATCH(B362,KidIDs,0))</f>
        <v>0</v>
      </c>
      <c r="W362">
        <f>IF(OR(M362="Posse"),1,0)</f>
        <v>0</v>
      </c>
      <c r="X362">
        <f>IF(ISNUMBER(INDEX(AllCollegeGR, MATCH(N362,AllCollegeNCES,0))),ROUND(INDEX(AllCollegeGR, MATCH(N362,AllCollegeNCES,0))+W362*IF(INDEX(AllCollegeGR, MATCH(N362,AllCollegeNCES,0))&gt;0.7,(1-INDEX(AllCollegeGR, MATCH(N362,AllCollegeNCES,0)))/2,0.15),2),INDEX(AllCollegeGR, MATCH(N362,AllCollegeNCES,0)))</f>
        <v>0</v>
      </c>
      <c r="Y362">
        <f>IF(ISNUMBER(INDEX(AllCollegeAAHGR, MATCH(N362,AllCollegeNCES,0))),ROUND(INDEX(AllCollegeAAHGR, MATCH(N362,AllCollegeNCES,0))+W362*IF(INDEX(AllCollegeAAHGR, MATCH(N362,AllCollegeNCES,0))&gt;0.7,(1-INDEX(AllCollegeAAHGR, MATCH(N362,AllCollegeNCES,0)))/2,0.15),2),INDEX(AllCollegeAAHGR, MATCH(N362,AllCollegeNCES,0)))</f>
        <v>0</v>
      </c>
      <c r="Z362">
        <f>IF(OR(T362="H",T362="B"),INDEX(AllCollegeACT25, MATCH(N362,AllCollegeNCES,0)),INDEX(AllCollegeACT50, MATCH(N362,AllCollegeNCES,0)))</f>
        <v>0</v>
      </c>
      <c r="AA362">
        <f>INDEX(CustomWeightsGPA,MATCH(T362&amp;":"&amp;N362,CustomWeightsIndex,0))</f>
        <v>0</v>
      </c>
      <c r="AB362">
        <f>INDEX(CustomWeightsACT,MATCH(T362&amp;":"&amp;N362,CustomWeightsIndex,0))</f>
        <v>0</v>
      </c>
      <c r="AC362">
        <f>INDEX(CustomWeightsIntercept,MATCH(T362&amp;":"&amp;N362,CustomWeightsIndex,0))</f>
        <v>0</v>
      </c>
      <c r="AD362">
        <f>AA362*P362+AB362*Q362+AC362</f>
        <v>0</v>
      </c>
      <c r="AE362">
        <f>INDEX(CoefficientsGPA,MATCH(T362&amp;":"&amp;O362,CoefficientsIndex,0))</f>
        <v>0</v>
      </c>
      <c r="AF362">
        <f>INDEX(CoefficientsACT,MATCH(T362&amp;":"&amp;O362,CoefficientsIndex,0))</f>
        <v>0</v>
      </c>
      <c r="AG362">
        <f>INDEX(CoefficientsIntercept,MATCH(T362&amp;":"&amp;O362,CoefficientsIndex,0))</f>
        <v>0</v>
      </c>
      <c r="AH362">
        <f>AE362*P362+(Q362-Z362)*AF362+AG362</f>
        <v>0</v>
      </c>
      <c r="AI362">
        <f>IF(ISNUMBER(AD362),AD362,AH362)</f>
        <v>0</v>
      </c>
      <c r="AJ362">
        <f>IF(ISNUMBER(AI362),IF(ISNUMBER(AE362),IF(AND(AE362=1,AF362=1,AG362=1),100,ROUND(100*EXP(AI362)/(1+EXP(AI362)),2)),ROUND(100*EXP(AI362)/(1+EXP(AI362)),2)),IF(ISTEXT(O362),IF(LEFT(O362,1)="2",100,"N/A"),"N/A"))</f>
        <v>0</v>
      </c>
      <c r="AK362">
        <f>IF(ISNUMBER(AJ362),IF(AJ362&gt;=99,IF(OR(R362=10,R362=11),MatchLabel,SureThingLabel),IF(AJ362&gt;=95,SecureLabel,IF(AJ362&gt;=80,SafetyLabel,IF(AJ362&gt;=50,MatchLabel,IF(AJ362&gt;=20,ReachLabel,IF(AJ362&gt;=10,LongshotLabel,HailMaryLabel)))))),"Other")</f>
        <v>0</v>
      </c>
      <c r="AL362">
        <f>IF(OR(I362="accepted",I362="cond. accept",I362="summer admit"),IF(J362="yes","CHOICE!","Accepted!"),IF(I362="denied","Denied",IF(K362=1,"Waitlist",IF(L362=1,"Deferred",IF(G362="pending","Pending",IF(OR(G362="initial materials submitted",G362="mid-year submitted",G362="final submitted"),"Submitted",IF(H362="interest","Interest","?")))))))</f>
        <v>0</v>
      </c>
      <c r="AM362">
        <f>IF(OR(AK362=ReachLabel,AK362=LongshotLabel,AK362=HailMaryLabel),1,0)</f>
        <v>0</v>
      </c>
      <c r="AN362">
        <f>IF(OR(AM362=1,AK362=MatchLabel),1,0)</f>
        <v>0</v>
      </c>
      <c r="AO362">
        <f>IF(OR(AK362=MatchLabel,AK362=SafetyLabel,AK362=SecureLabel,AK362=SureThingLabel),1,0)</f>
        <v>0</v>
      </c>
      <c r="AP362">
        <f>IF(OR(T362="H",T362="B"),IF(ISNUMBER(Y362),ROUND(Y362,2),0),IF(ISNUMBER(X362),ROUND(X362,2),0))</f>
        <v>0</v>
      </c>
      <c r="AQ362">
        <f>IF(AP362&gt;=U362,1,0)</f>
        <v>0</v>
      </c>
      <c r="AR362">
        <f>IF(AP362&gt;=V362,1,0)</f>
        <v>0</v>
      </c>
      <c r="AS362">
        <f>IF(AP362&lt;(U362-0.10),1,0)</f>
        <v>0</v>
      </c>
      <c r="AT362">
        <f>1-AJ362/100</f>
        <v>0</v>
      </c>
      <c r="AU362">
        <f>IF(AN362=1,AT362,1)</f>
        <v>0</v>
      </c>
      <c r="AV362">
        <f>IF(AM362=1,AT362,1)</f>
        <v>0</v>
      </c>
      <c r="AW362">
        <f>IF(AND(AQ362=1,ISNUMBER(AT362)),$AT362,1)</f>
        <v>0</v>
      </c>
      <c r="AX362">
        <f>IF(AND(AR362=1,ISNUMBER(AT362)),$AT362,1)</f>
        <v>0</v>
      </c>
      <c r="AY362">
        <f>IF(ISNUMBER(Y362),INDEX(AllCollegeMoney, MATCH(N362,AllCollegeNCES,0)),0)</f>
        <v>0</v>
      </c>
      <c r="AZ362">
        <f>IF(AND(AQ362=1,ISNUMBER(AT362),AY362=1),$AT362,1)</f>
        <v>0</v>
      </c>
      <c r="BA362">
        <f>IF(AND(AR362=1,ISNUMBER(AT362),AY362=1),$AT362,1)</f>
        <v>0</v>
      </c>
      <c r="BB362">
        <f>IF(ISNUMBER(Y362),INDEX(AllCollegeILPub, MATCH(N362,AllCollegeNCES,0)),0)</f>
        <v>0</v>
      </c>
      <c r="BC362">
        <f>IF(AK362=ReachLabel,AP362,0)</f>
        <v>0</v>
      </c>
      <c r="BD362">
        <f>IF(AK362=MatchLabel,AP362,0)</f>
        <v>0</v>
      </c>
      <c r="BE362">
        <f>IF(AK362=SafetyLabel,AP362,0)</f>
        <v>0</v>
      </c>
      <c r="BF362">
        <f>IF(AK362=SecureLabel,AP362,0)</f>
        <v>0</v>
      </c>
      <c r="BG362">
        <f>IF(AK362=SureThingLabel,AP362,0)</f>
        <v>0</v>
      </c>
      <c r="BH362">
        <f>MAX(BC362:BG362)</f>
        <v>0</v>
      </c>
      <c r="BI362">
        <f>MAX(BD362:BG362)</f>
        <v>0</v>
      </c>
      <c r="BJ362">
        <f>MAX(BE362:BG362)</f>
        <v>0</v>
      </c>
      <c r="BK362">
        <f>IF(AND(AK362=ReachLabel,AY362=1),AP362,0)</f>
        <v>0</v>
      </c>
      <c r="BL362">
        <f>IF(AND(AK362=MatchLabel,AY362=1),AP362,0)</f>
        <v>0</v>
      </c>
      <c r="BM362">
        <f>IF(AND(AK362=SafetyLabel,AY362=1),AP362,0)</f>
        <v>0</v>
      </c>
      <c r="BN362">
        <f>IF(AND(AK362=SecureLabel,AY362=1),AP362,0)</f>
        <v>0</v>
      </c>
      <c r="BO362">
        <f>IF(AND(AK362=SureThingLabel,AY362=1),AP362,0)</f>
        <v>0</v>
      </c>
      <c r="BP362">
        <f>MAX(BK362:BO362)</f>
        <v>0</v>
      </c>
      <c r="BQ362">
        <f>MAX(BL362:BO362)</f>
        <v>0</v>
      </c>
      <c r="BR362">
        <f>MAX(BM362:BO362)</f>
        <v>0</v>
      </c>
      <c r="BS362">
        <f>IF(ISNUMBER(Y362),INDEX(AllCollegeChicago, MATCH(N362,AllCollegeNCES,0))*AY362,0)</f>
        <v>0</v>
      </c>
      <c r="BT362">
        <f>IF(ISNUMBER(Y362),INDEX(AllCollegeMoneyCode, MATCH(N362,AllCollegeNCES,0)),"?")</f>
        <v>0</v>
      </c>
      <c r="BU362">
        <f>IF(OR(BT362="---",BT362="--",BT362="+/--",BT362="+/---"),1,0)</f>
        <v>0</v>
      </c>
      <c r="BV362">
        <f>AY362*AO362*AQ362</f>
        <v>0</v>
      </c>
    </row>
    <row r="363" spans="1:74">
      <c r="A363" t="s">
        <v>86</v>
      </c>
      <c r="B363">
        <v>23274999</v>
      </c>
      <c r="C363" t="s">
        <v>260</v>
      </c>
      <c r="D363" t="s">
        <v>261</v>
      </c>
      <c r="E363" t="s">
        <v>428</v>
      </c>
      <c r="F363" t="s">
        <v>471</v>
      </c>
      <c r="G363" t="s">
        <v>430</v>
      </c>
      <c r="H363" t="s">
        <v>431</v>
      </c>
      <c r="I363" t="s">
        <v>432</v>
      </c>
      <c r="J363" t="s">
        <v>432</v>
      </c>
      <c r="K363">
        <v>0</v>
      </c>
      <c r="L363" t="s">
        <v>428</v>
      </c>
      <c r="M363" t="s">
        <v>428</v>
      </c>
      <c r="N363">
        <v>170301</v>
      </c>
      <c r="O363">
        <f>INDEX(AllCollegeBarrons,MATCH(N363,AllCollegeNCES,0))</f>
        <v>0</v>
      </c>
      <c r="P363">
        <f>INDEX(KidGPAs,MATCH(B363,KidIDs,0))</f>
        <v>0</v>
      </c>
      <c r="Q363">
        <f>INDEX(KidACTs,MATCH(B363,KidIDs,0))</f>
        <v>0</v>
      </c>
      <c r="R363">
        <f>INDEX(Strats,MATCH(B363,KidIDs,0))</f>
        <v>0</v>
      </c>
      <c r="S363">
        <f>INDEX(KidRace,MATCH(B363,KidIDs,0))</f>
        <v>0</v>
      </c>
      <c r="T363">
        <f>IF(OR(S363="M",S363="I"),"H",S363)</f>
        <v>0</v>
      </c>
      <c r="U363">
        <f>INDEX(StudentTargets,MATCH(B363,KidIDs,0))</f>
        <v>0</v>
      </c>
      <c r="V363">
        <f>INDEX(ReachStudentTargets,MATCH(B363,KidIDs,0))</f>
        <v>0</v>
      </c>
      <c r="W363">
        <f>IF(OR(M363="Posse"),1,0)</f>
        <v>0</v>
      </c>
      <c r="X363">
        <f>IF(ISNUMBER(INDEX(AllCollegeGR, MATCH(N363,AllCollegeNCES,0))),ROUND(INDEX(AllCollegeGR, MATCH(N363,AllCollegeNCES,0))+W363*IF(INDEX(AllCollegeGR, MATCH(N363,AllCollegeNCES,0))&gt;0.7,(1-INDEX(AllCollegeGR, MATCH(N363,AllCollegeNCES,0)))/2,0.15),2),INDEX(AllCollegeGR, MATCH(N363,AllCollegeNCES,0)))</f>
        <v>0</v>
      </c>
      <c r="Y363">
        <f>IF(ISNUMBER(INDEX(AllCollegeAAHGR, MATCH(N363,AllCollegeNCES,0))),ROUND(INDEX(AllCollegeAAHGR, MATCH(N363,AllCollegeNCES,0))+W363*IF(INDEX(AllCollegeAAHGR, MATCH(N363,AllCollegeNCES,0))&gt;0.7,(1-INDEX(AllCollegeAAHGR, MATCH(N363,AllCollegeNCES,0)))/2,0.15),2),INDEX(AllCollegeAAHGR, MATCH(N363,AllCollegeNCES,0)))</f>
        <v>0</v>
      </c>
      <c r="Z363">
        <f>IF(OR(T363="H",T363="B"),INDEX(AllCollegeACT25, MATCH(N363,AllCollegeNCES,0)),INDEX(AllCollegeACT50, MATCH(N363,AllCollegeNCES,0)))</f>
        <v>0</v>
      </c>
      <c r="AA363">
        <f>INDEX(CustomWeightsGPA,MATCH(T363&amp;":"&amp;N363,CustomWeightsIndex,0))</f>
        <v>0</v>
      </c>
      <c r="AB363">
        <f>INDEX(CustomWeightsACT,MATCH(T363&amp;":"&amp;N363,CustomWeightsIndex,0))</f>
        <v>0</v>
      </c>
      <c r="AC363">
        <f>INDEX(CustomWeightsIntercept,MATCH(T363&amp;":"&amp;N363,CustomWeightsIndex,0))</f>
        <v>0</v>
      </c>
      <c r="AD363">
        <f>AA363*P363+AB363*Q363+AC363</f>
        <v>0</v>
      </c>
      <c r="AE363">
        <f>INDEX(CoefficientsGPA,MATCH(T363&amp;":"&amp;O363,CoefficientsIndex,0))</f>
        <v>0</v>
      </c>
      <c r="AF363">
        <f>INDEX(CoefficientsACT,MATCH(T363&amp;":"&amp;O363,CoefficientsIndex,0))</f>
        <v>0</v>
      </c>
      <c r="AG363">
        <f>INDEX(CoefficientsIntercept,MATCH(T363&amp;":"&amp;O363,CoefficientsIndex,0))</f>
        <v>0</v>
      </c>
      <c r="AH363">
        <f>AE363*P363+(Q363-Z363)*AF363+AG363</f>
        <v>0</v>
      </c>
      <c r="AI363">
        <f>IF(ISNUMBER(AD363),AD363,AH363)</f>
        <v>0</v>
      </c>
      <c r="AJ363">
        <f>IF(ISNUMBER(AI363),IF(ISNUMBER(AE363),IF(AND(AE363=1,AF363=1,AG363=1),100,ROUND(100*EXP(AI363)/(1+EXP(AI363)),2)),ROUND(100*EXP(AI363)/(1+EXP(AI363)),2)),IF(ISTEXT(O363),IF(LEFT(O363,1)="2",100,"N/A"),"N/A"))</f>
        <v>0</v>
      </c>
      <c r="AK363">
        <f>IF(ISNUMBER(AJ363),IF(AJ363&gt;=99,IF(OR(R363=10,R363=11),MatchLabel,SureThingLabel),IF(AJ363&gt;=95,SecureLabel,IF(AJ363&gt;=80,SafetyLabel,IF(AJ363&gt;=50,MatchLabel,IF(AJ363&gt;=20,ReachLabel,IF(AJ363&gt;=10,LongshotLabel,HailMaryLabel)))))),"Other")</f>
        <v>0</v>
      </c>
      <c r="AL363">
        <f>IF(OR(I363="accepted",I363="cond. accept",I363="summer admit"),IF(J363="yes","CHOICE!","Accepted!"),IF(I363="denied","Denied",IF(K363=1,"Waitlist",IF(L363=1,"Deferred",IF(G363="pending","Pending",IF(OR(G363="initial materials submitted",G363="mid-year submitted",G363="final submitted"),"Submitted",IF(H363="interest","Interest","?")))))))</f>
        <v>0</v>
      </c>
      <c r="AM363">
        <f>IF(OR(AK363=ReachLabel,AK363=LongshotLabel,AK363=HailMaryLabel),1,0)</f>
        <v>0</v>
      </c>
      <c r="AN363">
        <f>IF(OR(AM363=1,AK363=MatchLabel),1,0)</f>
        <v>0</v>
      </c>
      <c r="AO363">
        <f>IF(OR(AK363=MatchLabel,AK363=SafetyLabel,AK363=SecureLabel,AK363=SureThingLabel),1,0)</f>
        <v>0</v>
      </c>
      <c r="AP363">
        <f>IF(OR(T363="H",T363="B"),IF(ISNUMBER(Y363),ROUND(Y363,2),0),IF(ISNUMBER(X363),ROUND(X363,2),0))</f>
        <v>0</v>
      </c>
      <c r="AQ363">
        <f>IF(AP363&gt;=U363,1,0)</f>
        <v>0</v>
      </c>
      <c r="AR363">
        <f>IF(AP363&gt;=V363,1,0)</f>
        <v>0</v>
      </c>
      <c r="AS363">
        <f>IF(AP363&lt;(U363-0.10),1,0)</f>
        <v>0</v>
      </c>
      <c r="AT363">
        <f>1-AJ363/100</f>
        <v>0</v>
      </c>
      <c r="AU363">
        <f>IF(AN363=1,AT363,1)</f>
        <v>0</v>
      </c>
      <c r="AV363">
        <f>IF(AM363=1,AT363,1)</f>
        <v>0</v>
      </c>
      <c r="AW363">
        <f>IF(AND(AQ363=1,ISNUMBER(AT363)),$AT363,1)</f>
        <v>0</v>
      </c>
      <c r="AX363">
        <f>IF(AND(AR363=1,ISNUMBER(AT363)),$AT363,1)</f>
        <v>0</v>
      </c>
      <c r="AY363">
        <f>IF(ISNUMBER(Y363),INDEX(AllCollegeMoney, MATCH(N363,AllCollegeNCES,0)),0)</f>
        <v>0</v>
      </c>
      <c r="AZ363">
        <f>IF(AND(AQ363=1,ISNUMBER(AT363),AY363=1),$AT363,1)</f>
        <v>0</v>
      </c>
      <c r="BA363">
        <f>IF(AND(AR363=1,ISNUMBER(AT363),AY363=1),$AT363,1)</f>
        <v>0</v>
      </c>
      <c r="BB363">
        <f>IF(ISNUMBER(Y363),INDEX(AllCollegeILPub, MATCH(N363,AllCollegeNCES,0)),0)</f>
        <v>0</v>
      </c>
      <c r="BC363">
        <f>IF(AK363=ReachLabel,AP363,0)</f>
        <v>0</v>
      </c>
      <c r="BD363">
        <f>IF(AK363=MatchLabel,AP363,0)</f>
        <v>0</v>
      </c>
      <c r="BE363">
        <f>IF(AK363=SafetyLabel,AP363,0)</f>
        <v>0</v>
      </c>
      <c r="BF363">
        <f>IF(AK363=SecureLabel,AP363,0)</f>
        <v>0</v>
      </c>
      <c r="BG363">
        <f>IF(AK363=SureThingLabel,AP363,0)</f>
        <v>0</v>
      </c>
      <c r="BH363">
        <f>MAX(BC363:BG363)</f>
        <v>0</v>
      </c>
      <c r="BI363">
        <f>MAX(BD363:BG363)</f>
        <v>0</v>
      </c>
      <c r="BJ363">
        <f>MAX(BE363:BG363)</f>
        <v>0</v>
      </c>
      <c r="BK363">
        <f>IF(AND(AK363=ReachLabel,AY363=1),AP363,0)</f>
        <v>0</v>
      </c>
      <c r="BL363">
        <f>IF(AND(AK363=MatchLabel,AY363=1),AP363,0)</f>
        <v>0</v>
      </c>
      <c r="BM363">
        <f>IF(AND(AK363=SafetyLabel,AY363=1),AP363,0)</f>
        <v>0</v>
      </c>
      <c r="BN363">
        <f>IF(AND(AK363=SecureLabel,AY363=1),AP363,0)</f>
        <v>0</v>
      </c>
      <c r="BO363">
        <f>IF(AND(AK363=SureThingLabel,AY363=1),AP363,0)</f>
        <v>0</v>
      </c>
      <c r="BP363">
        <f>MAX(BK363:BO363)</f>
        <v>0</v>
      </c>
      <c r="BQ363">
        <f>MAX(BL363:BO363)</f>
        <v>0</v>
      </c>
      <c r="BR363">
        <f>MAX(BM363:BO363)</f>
        <v>0</v>
      </c>
      <c r="BS363">
        <f>IF(ISNUMBER(Y363),INDEX(AllCollegeChicago, MATCH(N363,AllCollegeNCES,0))*AY363,0)</f>
        <v>0</v>
      </c>
      <c r="BT363">
        <f>IF(ISNUMBER(Y363),INDEX(AllCollegeMoneyCode, MATCH(N363,AllCollegeNCES,0)),"?")</f>
        <v>0</v>
      </c>
      <c r="BU363">
        <f>IF(OR(BT363="---",BT363="--",BT363="+/--",BT363="+/---"),1,0)</f>
        <v>0</v>
      </c>
      <c r="BV363">
        <f>AY363*AO363*AQ363</f>
        <v>0</v>
      </c>
    </row>
    <row r="364" spans="1:74">
      <c r="A364" t="s">
        <v>86</v>
      </c>
      <c r="B364">
        <v>23274999</v>
      </c>
      <c r="C364" t="s">
        <v>260</v>
      </c>
      <c r="D364" t="s">
        <v>261</v>
      </c>
      <c r="E364" t="s">
        <v>428</v>
      </c>
      <c r="F364" t="s">
        <v>460</v>
      </c>
      <c r="G364" t="s">
        <v>430</v>
      </c>
      <c r="H364" t="s">
        <v>431</v>
      </c>
      <c r="I364" t="s">
        <v>432</v>
      </c>
      <c r="J364" t="s">
        <v>432</v>
      </c>
      <c r="K364">
        <v>0</v>
      </c>
      <c r="L364" t="s">
        <v>428</v>
      </c>
      <c r="M364" t="s">
        <v>428</v>
      </c>
      <c r="N364">
        <v>221519</v>
      </c>
      <c r="O364">
        <f>INDEX(AllCollegeBarrons,MATCH(N364,AllCollegeNCES,0))</f>
        <v>0</v>
      </c>
      <c r="P364">
        <f>INDEX(KidGPAs,MATCH(B364,KidIDs,0))</f>
        <v>0</v>
      </c>
      <c r="Q364">
        <f>INDEX(KidACTs,MATCH(B364,KidIDs,0))</f>
        <v>0</v>
      </c>
      <c r="R364">
        <f>INDEX(Strats,MATCH(B364,KidIDs,0))</f>
        <v>0</v>
      </c>
      <c r="S364">
        <f>INDEX(KidRace,MATCH(B364,KidIDs,0))</f>
        <v>0</v>
      </c>
      <c r="T364">
        <f>IF(OR(S364="M",S364="I"),"H",S364)</f>
        <v>0</v>
      </c>
      <c r="U364">
        <f>INDEX(StudentTargets,MATCH(B364,KidIDs,0))</f>
        <v>0</v>
      </c>
      <c r="V364">
        <f>INDEX(ReachStudentTargets,MATCH(B364,KidIDs,0))</f>
        <v>0</v>
      </c>
      <c r="W364">
        <f>IF(OR(M364="Posse"),1,0)</f>
        <v>0</v>
      </c>
      <c r="X364">
        <f>IF(ISNUMBER(INDEX(AllCollegeGR, MATCH(N364,AllCollegeNCES,0))),ROUND(INDEX(AllCollegeGR, MATCH(N364,AllCollegeNCES,0))+W364*IF(INDEX(AllCollegeGR, MATCH(N364,AllCollegeNCES,0))&gt;0.7,(1-INDEX(AllCollegeGR, MATCH(N364,AllCollegeNCES,0)))/2,0.15),2),INDEX(AllCollegeGR, MATCH(N364,AllCollegeNCES,0)))</f>
        <v>0</v>
      </c>
      <c r="Y364">
        <f>IF(ISNUMBER(INDEX(AllCollegeAAHGR, MATCH(N364,AllCollegeNCES,0))),ROUND(INDEX(AllCollegeAAHGR, MATCH(N364,AllCollegeNCES,0))+W364*IF(INDEX(AllCollegeAAHGR, MATCH(N364,AllCollegeNCES,0))&gt;0.7,(1-INDEX(AllCollegeAAHGR, MATCH(N364,AllCollegeNCES,0)))/2,0.15),2),INDEX(AllCollegeAAHGR, MATCH(N364,AllCollegeNCES,0)))</f>
        <v>0</v>
      </c>
      <c r="Z364">
        <f>IF(OR(T364="H",T364="B"),INDEX(AllCollegeACT25, MATCH(N364,AllCollegeNCES,0)),INDEX(AllCollegeACT50, MATCH(N364,AllCollegeNCES,0)))</f>
        <v>0</v>
      </c>
      <c r="AA364">
        <f>INDEX(CustomWeightsGPA,MATCH(T364&amp;":"&amp;N364,CustomWeightsIndex,0))</f>
        <v>0</v>
      </c>
      <c r="AB364">
        <f>INDEX(CustomWeightsACT,MATCH(T364&amp;":"&amp;N364,CustomWeightsIndex,0))</f>
        <v>0</v>
      </c>
      <c r="AC364">
        <f>INDEX(CustomWeightsIntercept,MATCH(T364&amp;":"&amp;N364,CustomWeightsIndex,0))</f>
        <v>0</v>
      </c>
      <c r="AD364">
        <f>AA364*P364+AB364*Q364+AC364</f>
        <v>0</v>
      </c>
      <c r="AE364">
        <f>INDEX(CoefficientsGPA,MATCH(T364&amp;":"&amp;O364,CoefficientsIndex,0))</f>
        <v>0</v>
      </c>
      <c r="AF364">
        <f>INDEX(CoefficientsACT,MATCH(T364&amp;":"&amp;O364,CoefficientsIndex,0))</f>
        <v>0</v>
      </c>
      <c r="AG364">
        <f>INDEX(CoefficientsIntercept,MATCH(T364&amp;":"&amp;O364,CoefficientsIndex,0))</f>
        <v>0</v>
      </c>
      <c r="AH364">
        <f>AE364*P364+(Q364-Z364)*AF364+AG364</f>
        <v>0</v>
      </c>
      <c r="AI364">
        <f>IF(ISNUMBER(AD364),AD364,AH364)</f>
        <v>0</v>
      </c>
      <c r="AJ364">
        <f>IF(ISNUMBER(AI364),IF(ISNUMBER(AE364),IF(AND(AE364=1,AF364=1,AG364=1),100,ROUND(100*EXP(AI364)/(1+EXP(AI364)),2)),ROUND(100*EXP(AI364)/(1+EXP(AI364)),2)),IF(ISTEXT(O364),IF(LEFT(O364,1)="2",100,"N/A"),"N/A"))</f>
        <v>0</v>
      </c>
      <c r="AK364">
        <f>IF(ISNUMBER(AJ364),IF(AJ364&gt;=99,IF(OR(R364=10,R364=11),MatchLabel,SureThingLabel),IF(AJ364&gt;=95,SecureLabel,IF(AJ364&gt;=80,SafetyLabel,IF(AJ364&gt;=50,MatchLabel,IF(AJ364&gt;=20,ReachLabel,IF(AJ364&gt;=10,LongshotLabel,HailMaryLabel)))))),"Other")</f>
        <v>0</v>
      </c>
      <c r="AL364">
        <f>IF(OR(I364="accepted",I364="cond. accept",I364="summer admit"),IF(J364="yes","CHOICE!","Accepted!"),IF(I364="denied","Denied",IF(K364=1,"Waitlist",IF(L364=1,"Deferred",IF(G364="pending","Pending",IF(OR(G364="initial materials submitted",G364="mid-year submitted",G364="final submitted"),"Submitted",IF(H364="interest","Interest","?")))))))</f>
        <v>0</v>
      </c>
      <c r="AM364">
        <f>IF(OR(AK364=ReachLabel,AK364=LongshotLabel,AK364=HailMaryLabel),1,0)</f>
        <v>0</v>
      </c>
      <c r="AN364">
        <f>IF(OR(AM364=1,AK364=MatchLabel),1,0)</f>
        <v>0</v>
      </c>
      <c r="AO364">
        <f>IF(OR(AK364=MatchLabel,AK364=SafetyLabel,AK364=SecureLabel,AK364=SureThingLabel),1,0)</f>
        <v>0</v>
      </c>
      <c r="AP364">
        <f>IF(OR(T364="H",T364="B"),IF(ISNUMBER(Y364),ROUND(Y364,2),0),IF(ISNUMBER(X364),ROUND(X364,2),0))</f>
        <v>0</v>
      </c>
      <c r="AQ364">
        <f>IF(AP364&gt;=U364,1,0)</f>
        <v>0</v>
      </c>
      <c r="AR364">
        <f>IF(AP364&gt;=V364,1,0)</f>
        <v>0</v>
      </c>
      <c r="AS364">
        <f>IF(AP364&lt;(U364-0.10),1,0)</f>
        <v>0</v>
      </c>
      <c r="AT364">
        <f>1-AJ364/100</f>
        <v>0</v>
      </c>
      <c r="AU364">
        <f>IF(AN364=1,AT364,1)</f>
        <v>0</v>
      </c>
      <c r="AV364">
        <f>IF(AM364=1,AT364,1)</f>
        <v>0</v>
      </c>
      <c r="AW364">
        <f>IF(AND(AQ364=1,ISNUMBER(AT364)),$AT364,1)</f>
        <v>0</v>
      </c>
      <c r="AX364">
        <f>IF(AND(AR364=1,ISNUMBER(AT364)),$AT364,1)</f>
        <v>0</v>
      </c>
      <c r="AY364">
        <f>IF(ISNUMBER(Y364),INDEX(AllCollegeMoney, MATCH(N364,AllCollegeNCES,0)),0)</f>
        <v>0</v>
      </c>
      <c r="AZ364">
        <f>IF(AND(AQ364=1,ISNUMBER(AT364),AY364=1),$AT364,1)</f>
        <v>0</v>
      </c>
      <c r="BA364">
        <f>IF(AND(AR364=1,ISNUMBER(AT364),AY364=1),$AT364,1)</f>
        <v>0</v>
      </c>
      <c r="BB364">
        <f>IF(ISNUMBER(Y364),INDEX(AllCollegeILPub, MATCH(N364,AllCollegeNCES,0)),0)</f>
        <v>0</v>
      </c>
      <c r="BC364">
        <f>IF(AK364=ReachLabel,AP364,0)</f>
        <v>0</v>
      </c>
      <c r="BD364">
        <f>IF(AK364=MatchLabel,AP364,0)</f>
        <v>0</v>
      </c>
      <c r="BE364">
        <f>IF(AK364=SafetyLabel,AP364,0)</f>
        <v>0</v>
      </c>
      <c r="BF364">
        <f>IF(AK364=SecureLabel,AP364,0)</f>
        <v>0</v>
      </c>
      <c r="BG364">
        <f>IF(AK364=SureThingLabel,AP364,0)</f>
        <v>0</v>
      </c>
      <c r="BH364">
        <f>MAX(BC364:BG364)</f>
        <v>0</v>
      </c>
      <c r="BI364">
        <f>MAX(BD364:BG364)</f>
        <v>0</v>
      </c>
      <c r="BJ364">
        <f>MAX(BE364:BG364)</f>
        <v>0</v>
      </c>
      <c r="BK364">
        <f>IF(AND(AK364=ReachLabel,AY364=1),AP364,0)</f>
        <v>0</v>
      </c>
      <c r="BL364">
        <f>IF(AND(AK364=MatchLabel,AY364=1),AP364,0)</f>
        <v>0</v>
      </c>
      <c r="BM364">
        <f>IF(AND(AK364=SafetyLabel,AY364=1),AP364,0)</f>
        <v>0</v>
      </c>
      <c r="BN364">
        <f>IF(AND(AK364=SecureLabel,AY364=1),AP364,0)</f>
        <v>0</v>
      </c>
      <c r="BO364">
        <f>IF(AND(AK364=SureThingLabel,AY364=1),AP364,0)</f>
        <v>0</v>
      </c>
      <c r="BP364">
        <f>MAX(BK364:BO364)</f>
        <v>0</v>
      </c>
      <c r="BQ364">
        <f>MAX(BL364:BO364)</f>
        <v>0</v>
      </c>
      <c r="BR364">
        <f>MAX(BM364:BO364)</f>
        <v>0</v>
      </c>
      <c r="BS364">
        <f>IF(ISNUMBER(Y364),INDEX(AllCollegeChicago, MATCH(N364,AllCollegeNCES,0))*AY364,0)</f>
        <v>0</v>
      </c>
      <c r="BT364">
        <f>IF(ISNUMBER(Y364),INDEX(AllCollegeMoneyCode, MATCH(N364,AllCollegeNCES,0)),"?")</f>
        <v>0</v>
      </c>
      <c r="BU364">
        <f>IF(OR(BT364="---",BT364="--",BT364="+/--",BT364="+/---"),1,0)</f>
        <v>0</v>
      </c>
      <c r="BV364">
        <f>AY364*AO364*AQ364</f>
        <v>0</v>
      </c>
    </row>
    <row r="365" spans="1:74">
      <c r="A365" t="s">
        <v>86</v>
      </c>
      <c r="B365">
        <v>23274999</v>
      </c>
      <c r="C365" t="s">
        <v>260</v>
      </c>
      <c r="D365" t="s">
        <v>261</v>
      </c>
      <c r="E365" t="s">
        <v>428</v>
      </c>
      <c r="F365" t="s">
        <v>462</v>
      </c>
      <c r="G365" t="s">
        <v>463</v>
      </c>
      <c r="H365" t="s">
        <v>431</v>
      </c>
      <c r="I365" t="s">
        <v>432</v>
      </c>
      <c r="J365" t="s">
        <v>432</v>
      </c>
      <c r="K365">
        <v>0</v>
      </c>
      <c r="L365" t="s">
        <v>428</v>
      </c>
      <c r="M365" t="s">
        <v>428</v>
      </c>
      <c r="N365">
        <v>168546</v>
      </c>
      <c r="O365">
        <f>INDEX(AllCollegeBarrons,MATCH(N365,AllCollegeNCES,0))</f>
        <v>0</v>
      </c>
      <c r="P365">
        <f>INDEX(KidGPAs,MATCH(B365,KidIDs,0))</f>
        <v>0</v>
      </c>
      <c r="Q365">
        <f>INDEX(KidACTs,MATCH(B365,KidIDs,0))</f>
        <v>0</v>
      </c>
      <c r="R365">
        <f>INDEX(Strats,MATCH(B365,KidIDs,0))</f>
        <v>0</v>
      </c>
      <c r="S365">
        <f>INDEX(KidRace,MATCH(B365,KidIDs,0))</f>
        <v>0</v>
      </c>
      <c r="T365">
        <f>IF(OR(S365="M",S365="I"),"H",S365)</f>
        <v>0</v>
      </c>
      <c r="U365">
        <f>INDEX(StudentTargets,MATCH(B365,KidIDs,0))</f>
        <v>0</v>
      </c>
      <c r="V365">
        <f>INDEX(ReachStudentTargets,MATCH(B365,KidIDs,0))</f>
        <v>0</v>
      </c>
      <c r="W365">
        <f>IF(OR(M365="Posse"),1,0)</f>
        <v>0</v>
      </c>
      <c r="X365">
        <f>IF(ISNUMBER(INDEX(AllCollegeGR, MATCH(N365,AllCollegeNCES,0))),ROUND(INDEX(AllCollegeGR, MATCH(N365,AllCollegeNCES,0))+W365*IF(INDEX(AllCollegeGR, MATCH(N365,AllCollegeNCES,0))&gt;0.7,(1-INDEX(AllCollegeGR, MATCH(N365,AllCollegeNCES,0)))/2,0.15),2),INDEX(AllCollegeGR, MATCH(N365,AllCollegeNCES,0)))</f>
        <v>0</v>
      </c>
      <c r="Y365">
        <f>IF(ISNUMBER(INDEX(AllCollegeAAHGR, MATCH(N365,AllCollegeNCES,0))),ROUND(INDEX(AllCollegeAAHGR, MATCH(N365,AllCollegeNCES,0))+W365*IF(INDEX(AllCollegeAAHGR, MATCH(N365,AllCollegeNCES,0))&gt;0.7,(1-INDEX(AllCollegeAAHGR, MATCH(N365,AllCollegeNCES,0)))/2,0.15),2),INDEX(AllCollegeAAHGR, MATCH(N365,AllCollegeNCES,0)))</f>
        <v>0</v>
      </c>
      <c r="Z365">
        <f>IF(OR(T365="H",T365="B"),INDEX(AllCollegeACT25, MATCH(N365,AllCollegeNCES,0)),INDEX(AllCollegeACT50, MATCH(N365,AllCollegeNCES,0)))</f>
        <v>0</v>
      </c>
      <c r="AA365">
        <f>INDEX(CustomWeightsGPA,MATCH(T365&amp;":"&amp;N365,CustomWeightsIndex,0))</f>
        <v>0</v>
      </c>
      <c r="AB365">
        <f>INDEX(CustomWeightsACT,MATCH(T365&amp;":"&amp;N365,CustomWeightsIndex,0))</f>
        <v>0</v>
      </c>
      <c r="AC365">
        <f>INDEX(CustomWeightsIntercept,MATCH(T365&amp;":"&amp;N365,CustomWeightsIndex,0))</f>
        <v>0</v>
      </c>
      <c r="AD365">
        <f>AA365*P365+AB365*Q365+AC365</f>
        <v>0</v>
      </c>
      <c r="AE365">
        <f>INDEX(CoefficientsGPA,MATCH(T365&amp;":"&amp;O365,CoefficientsIndex,0))</f>
        <v>0</v>
      </c>
      <c r="AF365">
        <f>INDEX(CoefficientsACT,MATCH(T365&amp;":"&amp;O365,CoefficientsIndex,0))</f>
        <v>0</v>
      </c>
      <c r="AG365">
        <f>INDEX(CoefficientsIntercept,MATCH(T365&amp;":"&amp;O365,CoefficientsIndex,0))</f>
        <v>0</v>
      </c>
      <c r="AH365">
        <f>AE365*P365+(Q365-Z365)*AF365+AG365</f>
        <v>0</v>
      </c>
      <c r="AI365">
        <f>IF(ISNUMBER(AD365),AD365,AH365)</f>
        <v>0</v>
      </c>
      <c r="AJ365">
        <f>IF(ISNUMBER(AI365),IF(ISNUMBER(AE365),IF(AND(AE365=1,AF365=1,AG365=1),100,ROUND(100*EXP(AI365)/(1+EXP(AI365)),2)),ROUND(100*EXP(AI365)/(1+EXP(AI365)),2)),IF(ISTEXT(O365),IF(LEFT(O365,1)="2",100,"N/A"),"N/A"))</f>
        <v>0</v>
      </c>
      <c r="AK365">
        <f>IF(ISNUMBER(AJ365),IF(AJ365&gt;=99,IF(OR(R365=10,R365=11),MatchLabel,SureThingLabel),IF(AJ365&gt;=95,SecureLabel,IF(AJ365&gt;=80,SafetyLabel,IF(AJ365&gt;=50,MatchLabel,IF(AJ365&gt;=20,ReachLabel,IF(AJ365&gt;=10,LongshotLabel,HailMaryLabel)))))),"Other")</f>
        <v>0</v>
      </c>
      <c r="AL365">
        <f>IF(OR(I365="accepted",I365="cond. accept",I365="summer admit"),IF(J365="yes","CHOICE!","Accepted!"),IF(I365="denied","Denied",IF(K365=1,"Waitlist",IF(L365=1,"Deferred",IF(G365="pending","Pending",IF(OR(G365="initial materials submitted",G365="mid-year submitted",G365="final submitted"),"Submitted",IF(H365="interest","Interest","?")))))))</f>
        <v>0</v>
      </c>
      <c r="AM365">
        <f>IF(OR(AK365=ReachLabel,AK365=LongshotLabel,AK365=HailMaryLabel),1,0)</f>
        <v>0</v>
      </c>
      <c r="AN365">
        <f>IF(OR(AM365=1,AK365=MatchLabel),1,0)</f>
        <v>0</v>
      </c>
      <c r="AO365">
        <f>IF(OR(AK365=MatchLabel,AK365=SafetyLabel,AK365=SecureLabel,AK365=SureThingLabel),1,0)</f>
        <v>0</v>
      </c>
      <c r="AP365">
        <f>IF(OR(T365="H",T365="B"),IF(ISNUMBER(Y365),ROUND(Y365,2),0),IF(ISNUMBER(X365),ROUND(X365,2),0))</f>
        <v>0</v>
      </c>
      <c r="AQ365">
        <f>IF(AP365&gt;=U365,1,0)</f>
        <v>0</v>
      </c>
      <c r="AR365">
        <f>IF(AP365&gt;=V365,1,0)</f>
        <v>0</v>
      </c>
      <c r="AS365">
        <f>IF(AP365&lt;(U365-0.10),1,0)</f>
        <v>0</v>
      </c>
      <c r="AT365">
        <f>1-AJ365/100</f>
        <v>0</v>
      </c>
      <c r="AU365">
        <f>IF(AN365=1,AT365,1)</f>
        <v>0</v>
      </c>
      <c r="AV365">
        <f>IF(AM365=1,AT365,1)</f>
        <v>0</v>
      </c>
      <c r="AW365">
        <f>IF(AND(AQ365=1,ISNUMBER(AT365)),$AT365,1)</f>
        <v>0</v>
      </c>
      <c r="AX365">
        <f>IF(AND(AR365=1,ISNUMBER(AT365)),$AT365,1)</f>
        <v>0</v>
      </c>
      <c r="AY365">
        <f>IF(ISNUMBER(Y365),INDEX(AllCollegeMoney, MATCH(N365,AllCollegeNCES,0)),0)</f>
        <v>0</v>
      </c>
      <c r="AZ365">
        <f>IF(AND(AQ365=1,ISNUMBER(AT365),AY365=1),$AT365,1)</f>
        <v>0</v>
      </c>
      <c r="BA365">
        <f>IF(AND(AR365=1,ISNUMBER(AT365),AY365=1),$AT365,1)</f>
        <v>0</v>
      </c>
      <c r="BB365">
        <f>IF(ISNUMBER(Y365),INDEX(AllCollegeILPub, MATCH(N365,AllCollegeNCES,0)),0)</f>
        <v>0</v>
      </c>
      <c r="BC365">
        <f>IF(AK365=ReachLabel,AP365,0)</f>
        <v>0</v>
      </c>
      <c r="BD365">
        <f>IF(AK365=MatchLabel,AP365,0)</f>
        <v>0</v>
      </c>
      <c r="BE365">
        <f>IF(AK365=SafetyLabel,AP365,0)</f>
        <v>0</v>
      </c>
      <c r="BF365">
        <f>IF(AK365=SecureLabel,AP365,0)</f>
        <v>0</v>
      </c>
      <c r="BG365">
        <f>IF(AK365=SureThingLabel,AP365,0)</f>
        <v>0</v>
      </c>
      <c r="BH365">
        <f>MAX(BC365:BG365)</f>
        <v>0</v>
      </c>
      <c r="BI365">
        <f>MAX(BD365:BG365)</f>
        <v>0</v>
      </c>
      <c r="BJ365">
        <f>MAX(BE365:BG365)</f>
        <v>0</v>
      </c>
      <c r="BK365">
        <f>IF(AND(AK365=ReachLabel,AY365=1),AP365,0)</f>
        <v>0</v>
      </c>
      <c r="BL365">
        <f>IF(AND(AK365=MatchLabel,AY365=1),AP365,0)</f>
        <v>0</v>
      </c>
      <c r="BM365">
        <f>IF(AND(AK365=SafetyLabel,AY365=1),AP365,0)</f>
        <v>0</v>
      </c>
      <c r="BN365">
        <f>IF(AND(AK365=SecureLabel,AY365=1),AP365,0)</f>
        <v>0</v>
      </c>
      <c r="BO365">
        <f>IF(AND(AK365=SureThingLabel,AY365=1),AP365,0)</f>
        <v>0</v>
      </c>
      <c r="BP365">
        <f>MAX(BK365:BO365)</f>
        <v>0</v>
      </c>
      <c r="BQ365">
        <f>MAX(BL365:BO365)</f>
        <v>0</v>
      </c>
      <c r="BR365">
        <f>MAX(BM365:BO365)</f>
        <v>0</v>
      </c>
      <c r="BS365">
        <f>IF(ISNUMBER(Y365),INDEX(AllCollegeChicago, MATCH(N365,AllCollegeNCES,0))*AY365,0)</f>
        <v>0</v>
      </c>
      <c r="BT365">
        <f>IF(ISNUMBER(Y365),INDEX(AllCollegeMoneyCode, MATCH(N365,AllCollegeNCES,0)),"?")</f>
        <v>0</v>
      </c>
      <c r="BU365">
        <f>IF(OR(BT365="---",BT365="--",BT365="+/--",BT365="+/---"),1,0)</f>
        <v>0</v>
      </c>
      <c r="BV365">
        <f>AY365*AO365*AQ365</f>
        <v>0</v>
      </c>
    </row>
    <row r="366" spans="1:74">
      <c r="A366" t="s">
        <v>86</v>
      </c>
      <c r="B366">
        <v>23274999</v>
      </c>
      <c r="C366" t="s">
        <v>260</v>
      </c>
      <c r="D366" t="s">
        <v>261</v>
      </c>
      <c r="E366" t="s">
        <v>428</v>
      </c>
      <c r="F366" t="s">
        <v>485</v>
      </c>
      <c r="G366" t="s">
        <v>430</v>
      </c>
      <c r="H366" t="s">
        <v>431</v>
      </c>
      <c r="I366" t="s">
        <v>432</v>
      </c>
      <c r="J366" t="s">
        <v>432</v>
      </c>
      <c r="K366">
        <v>0</v>
      </c>
      <c r="L366" t="s">
        <v>428</v>
      </c>
      <c r="M366" t="s">
        <v>428</v>
      </c>
      <c r="N366">
        <v>170082</v>
      </c>
      <c r="O366">
        <f>INDEX(AllCollegeBarrons,MATCH(N366,AllCollegeNCES,0))</f>
        <v>0</v>
      </c>
      <c r="P366">
        <f>INDEX(KidGPAs,MATCH(B366,KidIDs,0))</f>
        <v>0</v>
      </c>
      <c r="Q366">
        <f>INDEX(KidACTs,MATCH(B366,KidIDs,0))</f>
        <v>0</v>
      </c>
      <c r="R366">
        <f>INDEX(Strats,MATCH(B366,KidIDs,0))</f>
        <v>0</v>
      </c>
      <c r="S366">
        <f>INDEX(KidRace,MATCH(B366,KidIDs,0))</f>
        <v>0</v>
      </c>
      <c r="T366">
        <f>IF(OR(S366="M",S366="I"),"H",S366)</f>
        <v>0</v>
      </c>
      <c r="U366">
        <f>INDEX(StudentTargets,MATCH(B366,KidIDs,0))</f>
        <v>0</v>
      </c>
      <c r="V366">
        <f>INDEX(ReachStudentTargets,MATCH(B366,KidIDs,0))</f>
        <v>0</v>
      </c>
      <c r="W366">
        <f>IF(OR(M366="Posse"),1,0)</f>
        <v>0</v>
      </c>
      <c r="X366">
        <f>IF(ISNUMBER(INDEX(AllCollegeGR, MATCH(N366,AllCollegeNCES,0))),ROUND(INDEX(AllCollegeGR, MATCH(N366,AllCollegeNCES,0))+W366*IF(INDEX(AllCollegeGR, MATCH(N366,AllCollegeNCES,0))&gt;0.7,(1-INDEX(AllCollegeGR, MATCH(N366,AllCollegeNCES,0)))/2,0.15),2),INDEX(AllCollegeGR, MATCH(N366,AllCollegeNCES,0)))</f>
        <v>0</v>
      </c>
      <c r="Y366">
        <f>IF(ISNUMBER(INDEX(AllCollegeAAHGR, MATCH(N366,AllCollegeNCES,0))),ROUND(INDEX(AllCollegeAAHGR, MATCH(N366,AllCollegeNCES,0))+W366*IF(INDEX(AllCollegeAAHGR, MATCH(N366,AllCollegeNCES,0))&gt;0.7,(1-INDEX(AllCollegeAAHGR, MATCH(N366,AllCollegeNCES,0)))/2,0.15),2),INDEX(AllCollegeAAHGR, MATCH(N366,AllCollegeNCES,0)))</f>
        <v>0</v>
      </c>
      <c r="Z366">
        <f>IF(OR(T366="H",T366="B"),INDEX(AllCollegeACT25, MATCH(N366,AllCollegeNCES,0)),INDEX(AllCollegeACT50, MATCH(N366,AllCollegeNCES,0)))</f>
        <v>0</v>
      </c>
      <c r="AA366">
        <f>INDEX(CustomWeightsGPA,MATCH(T366&amp;":"&amp;N366,CustomWeightsIndex,0))</f>
        <v>0</v>
      </c>
      <c r="AB366">
        <f>INDEX(CustomWeightsACT,MATCH(T366&amp;":"&amp;N366,CustomWeightsIndex,0))</f>
        <v>0</v>
      </c>
      <c r="AC366">
        <f>INDEX(CustomWeightsIntercept,MATCH(T366&amp;":"&amp;N366,CustomWeightsIndex,0))</f>
        <v>0</v>
      </c>
      <c r="AD366">
        <f>AA366*P366+AB366*Q366+AC366</f>
        <v>0</v>
      </c>
      <c r="AE366">
        <f>INDEX(CoefficientsGPA,MATCH(T366&amp;":"&amp;O366,CoefficientsIndex,0))</f>
        <v>0</v>
      </c>
      <c r="AF366">
        <f>INDEX(CoefficientsACT,MATCH(T366&amp;":"&amp;O366,CoefficientsIndex,0))</f>
        <v>0</v>
      </c>
      <c r="AG366">
        <f>INDEX(CoefficientsIntercept,MATCH(T366&amp;":"&amp;O366,CoefficientsIndex,0))</f>
        <v>0</v>
      </c>
      <c r="AH366">
        <f>AE366*P366+(Q366-Z366)*AF366+AG366</f>
        <v>0</v>
      </c>
      <c r="AI366">
        <f>IF(ISNUMBER(AD366),AD366,AH366)</f>
        <v>0</v>
      </c>
      <c r="AJ366">
        <f>IF(ISNUMBER(AI366),IF(ISNUMBER(AE366),IF(AND(AE366=1,AF366=1,AG366=1),100,ROUND(100*EXP(AI366)/(1+EXP(AI366)),2)),ROUND(100*EXP(AI366)/(1+EXP(AI366)),2)),IF(ISTEXT(O366),IF(LEFT(O366,1)="2",100,"N/A"),"N/A"))</f>
        <v>0</v>
      </c>
      <c r="AK366">
        <f>IF(ISNUMBER(AJ366),IF(AJ366&gt;=99,IF(OR(R366=10,R366=11),MatchLabel,SureThingLabel),IF(AJ366&gt;=95,SecureLabel,IF(AJ366&gt;=80,SafetyLabel,IF(AJ366&gt;=50,MatchLabel,IF(AJ366&gt;=20,ReachLabel,IF(AJ366&gt;=10,LongshotLabel,HailMaryLabel)))))),"Other")</f>
        <v>0</v>
      </c>
      <c r="AL366">
        <f>IF(OR(I366="accepted",I366="cond. accept",I366="summer admit"),IF(J366="yes","CHOICE!","Accepted!"),IF(I366="denied","Denied",IF(K366=1,"Waitlist",IF(L366=1,"Deferred",IF(G366="pending","Pending",IF(OR(G366="initial materials submitted",G366="mid-year submitted",G366="final submitted"),"Submitted",IF(H366="interest","Interest","?")))))))</f>
        <v>0</v>
      </c>
      <c r="AM366">
        <f>IF(OR(AK366=ReachLabel,AK366=LongshotLabel,AK366=HailMaryLabel),1,0)</f>
        <v>0</v>
      </c>
      <c r="AN366">
        <f>IF(OR(AM366=1,AK366=MatchLabel),1,0)</f>
        <v>0</v>
      </c>
      <c r="AO366">
        <f>IF(OR(AK366=MatchLabel,AK366=SafetyLabel,AK366=SecureLabel,AK366=SureThingLabel),1,0)</f>
        <v>0</v>
      </c>
      <c r="AP366">
        <f>IF(OR(T366="H",T366="B"),IF(ISNUMBER(Y366),ROUND(Y366,2),0),IF(ISNUMBER(X366),ROUND(X366,2),0))</f>
        <v>0</v>
      </c>
      <c r="AQ366">
        <f>IF(AP366&gt;=U366,1,0)</f>
        <v>0</v>
      </c>
      <c r="AR366">
        <f>IF(AP366&gt;=V366,1,0)</f>
        <v>0</v>
      </c>
      <c r="AS366">
        <f>IF(AP366&lt;(U366-0.10),1,0)</f>
        <v>0</v>
      </c>
      <c r="AT366">
        <f>1-AJ366/100</f>
        <v>0</v>
      </c>
      <c r="AU366">
        <f>IF(AN366=1,AT366,1)</f>
        <v>0</v>
      </c>
      <c r="AV366">
        <f>IF(AM366=1,AT366,1)</f>
        <v>0</v>
      </c>
      <c r="AW366">
        <f>IF(AND(AQ366=1,ISNUMBER(AT366)),$AT366,1)</f>
        <v>0</v>
      </c>
      <c r="AX366">
        <f>IF(AND(AR366=1,ISNUMBER(AT366)),$AT366,1)</f>
        <v>0</v>
      </c>
      <c r="AY366">
        <f>IF(ISNUMBER(Y366),INDEX(AllCollegeMoney, MATCH(N366,AllCollegeNCES,0)),0)</f>
        <v>0</v>
      </c>
      <c r="AZ366">
        <f>IF(AND(AQ366=1,ISNUMBER(AT366),AY366=1),$AT366,1)</f>
        <v>0</v>
      </c>
      <c r="BA366">
        <f>IF(AND(AR366=1,ISNUMBER(AT366),AY366=1),$AT366,1)</f>
        <v>0</v>
      </c>
      <c r="BB366">
        <f>IF(ISNUMBER(Y366),INDEX(AllCollegeILPub, MATCH(N366,AllCollegeNCES,0)),0)</f>
        <v>0</v>
      </c>
      <c r="BC366">
        <f>IF(AK366=ReachLabel,AP366,0)</f>
        <v>0</v>
      </c>
      <c r="BD366">
        <f>IF(AK366=MatchLabel,AP366,0)</f>
        <v>0</v>
      </c>
      <c r="BE366">
        <f>IF(AK366=SafetyLabel,AP366,0)</f>
        <v>0</v>
      </c>
      <c r="BF366">
        <f>IF(AK366=SecureLabel,AP366,0)</f>
        <v>0</v>
      </c>
      <c r="BG366">
        <f>IF(AK366=SureThingLabel,AP366,0)</f>
        <v>0</v>
      </c>
      <c r="BH366">
        <f>MAX(BC366:BG366)</f>
        <v>0</v>
      </c>
      <c r="BI366">
        <f>MAX(BD366:BG366)</f>
        <v>0</v>
      </c>
      <c r="BJ366">
        <f>MAX(BE366:BG366)</f>
        <v>0</v>
      </c>
      <c r="BK366">
        <f>IF(AND(AK366=ReachLabel,AY366=1),AP366,0)</f>
        <v>0</v>
      </c>
      <c r="BL366">
        <f>IF(AND(AK366=MatchLabel,AY366=1),AP366,0)</f>
        <v>0</v>
      </c>
      <c r="BM366">
        <f>IF(AND(AK366=SafetyLabel,AY366=1),AP366,0)</f>
        <v>0</v>
      </c>
      <c r="BN366">
        <f>IF(AND(AK366=SecureLabel,AY366=1),AP366,0)</f>
        <v>0</v>
      </c>
      <c r="BO366">
        <f>IF(AND(AK366=SureThingLabel,AY366=1),AP366,0)</f>
        <v>0</v>
      </c>
      <c r="BP366">
        <f>MAX(BK366:BO366)</f>
        <v>0</v>
      </c>
      <c r="BQ366">
        <f>MAX(BL366:BO366)</f>
        <v>0</v>
      </c>
      <c r="BR366">
        <f>MAX(BM366:BO366)</f>
        <v>0</v>
      </c>
      <c r="BS366">
        <f>IF(ISNUMBER(Y366),INDEX(AllCollegeChicago, MATCH(N366,AllCollegeNCES,0))*AY366,0)</f>
        <v>0</v>
      </c>
      <c r="BT366">
        <f>IF(ISNUMBER(Y366),INDEX(AllCollegeMoneyCode, MATCH(N366,AllCollegeNCES,0)),"?")</f>
        <v>0</v>
      </c>
      <c r="BU366">
        <f>IF(OR(BT366="---",BT366="--",BT366="+/--",BT366="+/---"),1,0)</f>
        <v>0</v>
      </c>
      <c r="BV366">
        <f>AY366*AO366*AQ366</f>
        <v>0</v>
      </c>
    </row>
    <row r="367" spans="1:74">
      <c r="A367" t="s">
        <v>86</v>
      </c>
      <c r="B367">
        <v>23274999</v>
      </c>
      <c r="C367" t="s">
        <v>260</v>
      </c>
      <c r="D367" t="s">
        <v>261</v>
      </c>
      <c r="E367" t="s">
        <v>428</v>
      </c>
      <c r="F367" t="s">
        <v>489</v>
      </c>
      <c r="G367" t="s">
        <v>430</v>
      </c>
      <c r="H367" t="s">
        <v>431</v>
      </c>
      <c r="I367" t="s">
        <v>432</v>
      </c>
      <c r="J367" t="s">
        <v>432</v>
      </c>
      <c r="K367">
        <v>0</v>
      </c>
      <c r="L367" t="s">
        <v>428</v>
      </c>
      <c r="M367" t="s">
        <v>428</v>
      </c>
      <c r="N367">
        <v>147679</v>
      </c>
      <c r="O367">
        <f>INDEX(AllCollegeBarrons,MATCH(N367,AllCollegeNCES,0))</f>
        <v>0</v>
      </c>
      <c r="P367">
        <f>INDEX(KidGPAs,MATCH(B367,KidIDs,0))</f>
        <v>0</v>
      </c>
      <c r="Q367">
        <f>INDEX(KidACTs,MATCH(B367,KidIDs,0))</f>
        <v>0</v>
      </c>
      <c r="R367">
        <f>INDEX(Strats,MATCH(B367,KidIDs,0))</f>
        <v>0</v>
      </c>
      <c r="S367">
        <f>INDEX(KidRace,MATCH(B367,KidIDs,0))</f>
        <v>0</v>
      </c>
      <c r="T367">
        <f>IF(OR(S367="M",S367="I"),"H",S367)</f>
        <v>0</v>
      </c>
      <c r="U367">
        <f>INDEX(StudentTargets,MATCH(B367,KidIDs,0))</f>
        <v>0</v>
      </c>
      <c r="V367">
        <f>INDEX(ReachStudentTargets,MATCH(B367,KidIDs,0))</f>
        <v>0</v>
      </c>
      <c r="W367">
        <f>IF(OR(M367="Posse"),1,0)</f>
        <v>0</v>
      </c>
      <c r="X367">
        <f>IF(ISNUMBER(INDEX(AllCollegeGR, MATCH(N367,AllCollegeNCES,0))),ROUND(INDEX(AllCollegeGR, MATCH(N367,AllCollegeNCES,0))+W367*IF(INDEX(AllCollegeGR, MATCH(N367,AllCollegeNCES,0))&gt;0.7,(1-INDEX(AllCollegeGR, MATCH(N367,AllCollegeNCES,0)))/2,0.15),2),INDEX(AllCollegeGR, MATCH(N367,AllCollegeNCES,0)))</f>
        <v>0</v>
      </c>
      <c r="Y367">
        <f>IF(ISNUMBER(INDEX(AllCollegeAAHGR, MATCH(N367,AllCollegeNCES,0))),ROUND(INDEX(AllCollegeAAHGR, MATCH(N367,AllCollegeNCES,0))+W367*IF(INDEX(AllCollegeAAHGR, MATCH(N367,AllCollegeNCES,0))&gt;0.7,(1-INDEX(AllCollegeAAHGR, MATCH(N367,AllCollegeNCES,0)))/2,0.15),2),INDEX(AllCollegeAAHGR, MATCH(N367,AllCollegeNCES,0)))</f>
        <v>0</v>
      </c>
      <c r="Z367">
        <f>IF(OR(T367="H",T367="B"),INDEX(AllCollegeACT25, MATCH(N367,AllCollegeNCES,0)),INDEX(AllCollegeACT50, MATCH(N367,AllCollegeNCES,0)))</f>
        <v>0</v>
      </c>
      <c r="AA367">
        <f>INDEX(CustomWeightsGPA,MATCH(T367&amp;":"&amp;N367,CustomWeightsIndex,0))</f>
        <v>0</v>
      </c>
      <c r="AB367">
        <f>INDEX(CustomWeightsACT,MATCH(T367&amp;":"&amp;N367,CustomWeightsIndex,0))</f>
        <v>0</v>
      </c>
      <c r="AC367">
        <f>INDEX(CustomWeightsIntercept,MATCH(T367&amp;":"&amp;N367,CustomWeightsIndex,0))</f>
        <v>0</v>
      </c>
      <c r="AD367">
        <f>AA367*P367+AB367*Q367+AC367</f>
        <v>0</v>
      </c>
      <c r="AE367">
        <f>INDEX(CoefficientsGPA,MATCH(T367&amp;":"&amp;O367,CoefficientsIndex,0))</f>
        <v>0</v>
      </c>
      <c r="AF367">
        <f>INDEX(CoefficientsACT,MATCH(T367&amp;":"&amp;O367,CoefficientsIndex,0))</f>
        <v>0</v>
      </c>
      <c r="AG367">
        <f>INDEX(CoefficientsIntercept,MATCH(T367&amp;":"&amp;O367,CoefficientsIndex,0))</f>
        <v>0</v>
      </c>
      <c r="AH367">
        <f>AE367*P367+(Q367-Z367)*AF367+AG367</f>
        <v>0</v>
      </c>
      <c r="AI367">
        <f>IF(ISNUMBER(AD367),AD367,AH367)</f>
        <v>0</v>
      </c>
      <c r="AJ367">
        <f>IF(ISNUMBER(AI367),IF(ISNUMBER(AE367),IF(AND(AE367=1,AF367=1,AG367=1),100,ROUND(100*EXP(AI367)/(1+EXP(AI367)),2)),ROUND(100*EXP(AI367)/(1+EXP(AI367)),2)),IF(ISTEXT(O367),IF(LEFT(O367,1)="2",100,"N/A"),"N/A"))</f>
        <v>0</v>
      </c>
      <c r="AK367">
        <f>IF(ISNUMBER(AJ367),IF(AJ367&gt;=99,IF(OR(R367=10,R367=11),MatchLabel,SureThingLabel),IF(AJ367&gt;=95,SecureLabel,IF(AJ367&gt;=80,SafetyLabel,IF(AJ367&gt;=50,MatchLabel,IF(AJ367&gt;=20,ReachLabel,IF(AJ367&gt;=10,LongshotLabel,HailMaryLabel)))))),"Other")</f>
        <v>0</v>
      </c>
      <c r="AL367">
        <f>IF(OR(I367="accepted",I367="cond. accept",I367="summer admit"),IF(J367="yes","CHOICE!","Accepted!"),IF(I367="denied","Denied",IF(K367=1,"Waitlist",IF(L367=1,"Deferred",IF(G367="pending","Pending",IF(OR(G367="initial materials submitted",G367="mid-year submitted",G367="final submitted"),"Submitted",IF(H367="interest","Interest","?")))))))</f>
        <v>0</v>
      </c>
      <c r="AM367">
        <f>IF(OR(AK367=ReachLabel,AK367=LongshotLabel,AK367=HailMaryLabel),1,0)</f>
        <v>0</v>
      </c>
      <c r="AN367">
        <f>IF(OR(AM367=1,AK367=MatchLabel),1,0)</f>
        <v>0</v>
      </c>
      <c r="AO367">
        <f>IF(OR(AK367=MatchLabel,AK367=SafetyLabel,AK367=SecureLabel,AK367=SureThingLabel),1,0)</f>
        <v>0</v>
      </c>
      <c r="AP367">
        <f>IF(OR(T367="H",T367="B"),IF(ISNUMBER(Y367),ROUND(Y367,2),0),IF(ISNUMBER(X367),ROUND(X367,2),0))</f>
        <v>0</v>
      </c>
      <c r="AQ367">
        <f>IF(AP367&gt;=U367,1,0)</f>
        <v>0</v>
      </c>
      <c r="AR367">
        <f>IF(AP367&gt;=V367,1,0)</f>
        <v>0</v>
      </c>
      <c r="AS367">
        <f>IF(AP367&lt;(U367-0.10),1,0)</f>
        <v>0</v>
      </c>
      <c r="AT367">
        <f>1-AJ367/100</f>
        <v>0</v>
      </c>
      <c r="AU367">
        <f>IF(AN367=1,AT367,1)</f>
        <v>0</v>
      </c>
      <c r="AV367">
        <f>IF(AM367=1,AT367,1)</f>
        <v>0</v>
      </c>
      <c r="AW367">
        <f>IF(AND(AQ367=1,ISNUMBER(AT367)),$AT367,1)</f>
        <v>0</v>
      </c>
      <c r="AX367">
        <f>IF(AND(AR367=1,ISNUMBER(AT367)),$AT367,1)</f>
        <v>0</v>
      </c>
      <c r="AY367">
        <f>IF(ISNUMBER(Y367),INDEX(AllCollegeMoney, MATCH(N367,AllCollegeNCES,0)),0)</f>
        <v>0</v>
      </c>
      <c r="AZ367">
        <f>IF(AND(AQ367=1,ISNUMBER(AT367),AY367=1),$AT367,1)</f>
        <v>0</v>
      </c>
      <c r="BA367">
        <f>IF(AND(AR367=1,ISNUMBER(AT367),AY367=1),$AT367,1)</f>
        <v>0</v>
      </c>
      <c r="BB367">
        <f>IF(ISNUMBER(Y367),INDEX(AllCollegeILPub, MATCH(N367,AllCollegeNCES,0)),0)</f>
        <v>0</v>
      </c>
      <c r="BC367">
        <f>IF(AK367=ReachLabel,AP367,0)</f>
        <v>0</v>
      </c>
      <c r="BD367">
        <f>IF(AK367=MatchLabel,AP367,0)</f>
        <v>0</v>
      </c>
      <c r="BE367">
        <f>IF(AK367=SafetyLabel,AP367,0)</f>
        <v>0</v>
      </c>
      <c r="BF367">
        <f>IF(AK367=SecureLabel,AP367,0)</f>
        <v>0</v>
      </c>
      <c r="BG367">
        <f>IF(AK367=SureThingLabel,AP367,0)</f>
        <v>0</v>
      </c>
      <c r="BH367">
        <f>MAX(BC367:BG367)</f>
        <v>0</v>
      </c>
      <c r="BI367">
        <f>MAX(BD367:BG367)</f>
        <v>0</v>
      </c>
      <c r="BJ367">
        <f>MAX(BE367:BG367)</f>
        <v>0</v>
      </c>
      <c r="BK367">
        <f>IF(AND(AK367=ReachLabel,AY367=1),AP367,0)</f>
        <v>0</v>
      </c>
      <c r="BL367">
        <f>IF(AND(AK367=MatchLabel,AY367=1),AP367,0)</f>
        <v>0</v>
      </c>
      <c r="BM367">
        <f>IF(AND(AK367=SafetyLabel,AY367=1),AP367,0)</f>
        <v>0</v>
      </c>
      <c r="BN367">
        <f>IF(AND(AK367=SecureLabel,AY367=1),AP367,0)</f>
        <v>0</v>
      </c>
      <c r="BO367">
        <f>IF(AND(AK367=SureThingLabel,AY367=1),AP367,0)</f>
        <v>0</v>
      </c>
      <c r="BP367">
        <f>MAX(BK367:BO367)</f>
        <v>0</v>
      </c>
      <c r="BQ367">
        <f>MAX(BL367:BO367)</f>
        <v>0</v>
      </c>
      <c r="BR367">
        <f>MAX(BM367:BO367)</f>
        <v>0</v>
      </c>
      <c r="BS367">
        <f>IF(ISNUMBER(Y367),INDEX(AllCollegeChicago, MATCH(N367,AllCollegeNCES,0))*AY367,0)</f>
        <v>0</v>
      </c>
      <c r="BT367">
        <f>IF(ISNUMBER(Y367),INDEX(AllCollegeMoneyCode, MATCH(N367,AllCollegeNCES,0)),"?")</f>
        <v>0</v>
      </c>
      <c r="BU367">
        <f>IF(OR(BT367="---",BT367="--",BT367="+/--",BT367="+/---"),1,0)</f>
        <v>0</v>
      </c>
      <c r="BV367">
        <f>AY367*AO367*AQ367</f>
        <v>0</v>
      </c>
    </row>
    <row r="368" spans="1:74">
      <c r="A368" t="s">
        <v>86</v>
      </c>
      <c r="B368">
        <v>23319069</v>
      </c>
      <c r="C368" t="s">
        <v>147</v>
      </c>
      <c r="D368" t="s">
        <v>148</v>
      </c>
      <c r="E368" t="s">
        <v>428</v>
      </c>
      <c r="F368" t="s">
        <v>453</v>
      </c>
      <c r="G368" t="s">
        <v>430</v>
      </c>
      <c r="H368" t="s">
        <v>431</v>
      </c>
      <c r="I368" t="s">
        <v>432</v>
      </c>
      <c r="J368" t="s">
        <v>432</v>
      </c>
      <c r="K368">
        <v>0</v>
      </c>
      <c r="L368" t="s">
        <v>428</v>
      </c>
      <c r="M368" t="s">
        <v>428</v>
      </c>
      <c r="N368">
        <v>212674</v>
      </c>
      <c r="O368">
        <f>INDEX(AllCollegeBarrons,MATCH(N368,AllCollegeNCES,0))</f>
        <v>0</v>
      </c>
      <c r="P368">
        <f>INDEX(KidGPAs,MATCH(B368,KidIDs,0))</f>
        <v>0</v>
      </c>
      <c r="Q368">
        <f>INDEX(KidACTs,MATCH(B368,KidIDs,0))</f>
        <v>0</v>
      </c>
      <c r="R368">
        <f>INDEX(Strats,MATCH(B368,KidIDs,0))</f>
        <v>0</v>
      </c>
      <c r="S368">
        <f>INDEX(KidRace,MATCH(B368,KidIDs,0))</f>
        <v>0</v>
      </c>
      <c r="T368">
        <f>IF(OR(S368="M",S368="I"),"H",S368)</f>
        <v>0</v>
      </c>
      <c r="U368">
        <f>INDEX(StudentTargets,MATCH(B368,KidIDs,0))</f>
        <v>0</v>
      </c>
      <c r="V368">
        <f>INDEX(ReachStudentTargets,MATCH(B368,KidIDs,0))</f>
        <v>0</v>
      </c>
      <c r="W368">
        <f>IF(OR(M368="Posse"),1,0)</f>
        <v>0</v>
      </c>
      <c r="X368">
        <f>IF(ISNUMBER(INDEX(AllCollegeGR, MATCH(N368,AllCollegeNCES,0))),ROUND(INDEX(AllCollegeGR, MATCH(N368,AllCollegeNCES,0))+W368*IF(INDEX(AllCollegeGR, MATCH(N368,AllCollegeNCES,0))&gt;0.7,(1-INDEX(AllCollegeGR, MATCH(N368,AllCollegeNCES,0)))/2,0.15),2),INDEX(AllCollegeGR, MATCH(N368,AllCollegeNCES,0)))</f>
        <v>0</v>
      </c>
      <c r="Y368">
        <f>IF(ISNUMBER(INDEX(AllCollegeAAHGR, MATCH(N368,AllCollegeNCES,0))),ROUND(INDEX(AllCollegeAAHGR, MATCH(N368,AllCollegeNCES,0))+W368*IF(INDEX(AllCollegeAAHGR, MATCH(N368,AllCollegeNCES,0))&gt;0.7,(1-INDEX(AllCollegeAAHGR, MATCH(N368,AllCollegeNCES,0)))/2,0.15),2),INDEX(AllCollegeAAHGR, MATCH(N368,AllCollegeNCES,0)))</f>
        <v>0</v>
      </c>
      <c r="Z368">
        <f>IF(OR(T368="H",T368="B"),INDEX(AllCollegeACT25, MATCH(N368,AllCollegeNCES,0)),INDEX(AllCollegeACT50, MATCH(N368,AllCollegeNCES,0)))</f>
        <v>0</v>
      </c>
      <c r="AA368">
        <f>INDEX(CustomWeightsGPA,MATCH(T368&amp;":"&amp;N368,CustomWeightsIndex,0))</f>
        <v>0</v>
      </c>
      <c r="AB368">
        <f>INDEX(CustomWeightsACT,MATCH(T368&amp;":"&amp;N368,CustomWeightsIndex,0))</f>
        <v>0</v>
      </c>
      <c r="AC368">
        <f>INDEX(CustomWeightsIntercept,MATCH(T368&amp;":"&amp;N368,CustomWeightsIndex,0))</f>
        <v>0</v>
      </c>
      <c r="AD368">
        <f>AA368*P368+AB368*Q368+AC368</f>
        <v>0</v>
      </c>
      <c r="AE368">
        <f>INDEX(CoefficientsGPA,MATCH(T368&amp;":"&amp;O368,CoefficientsIndex,0))</f>
        <v>0</v>
      </c>
      <c r="AF368">
        <f>INDEX(CoefficientsACT,MATCH(T368&amp;":"&amp;O368,CoefficientsIndex,0))</f>
        <v>0</v>
      </c>
      <c r="AG368">
        <f>INDEX(CoefficientsIntercept,MATCH(T368&amp;":"&amp;O368,CoefficientsIndex,0))</f>
        <v>0</v>
      </c>
      <c r="AH368">
        <f>AE368*P368+(Q368-Z368)*AF368+AG368</f>
        <v>0</v>
      </c>
      <c r="AI368">
        <f>IF(ISNUMBER(AD368),AD368,AH368)</f>
        <v>0</v>
      </c>
      <c r="AJ368">
        <f>IF(ISNUMBER(AI368),IF(ISNUMBER(AE368),IF(AND(AE368=1,AF368=1,AG368=1),100,ROUND(100*EXP(AI368)/(1+EXP(AI368)),2)),ROUND(100*EXP(AI368)/(1+EXP(AI368)),2)),IF(ISTEXT(O368),IF(LEFT(O368,1)="2",100,"N/A"),"N/A"))</f>
        <v>0</v>
      </c>
      <c r="AK368">
        <f>IF(ISNUMBER(AJ368),IF(AJ368&gt;=99,IF(OR(R368=10,R368=11),MatchLabel,SureThingLabel),IF(AJ368&gt;=95,SecureLabel,IF(AJ368&gt;=80,SafetyLabel,IF(AJ368&gt;=50,MatchLabel,IF(AJ368&gt;=20,ReachLabel,IF(AJ368&gt;=10,LongshotLabel,HailMaryLabel)))))),"Other")</f>
        <v>0</v>
      </c>
      <c r="AL368">
        <f>IF(OR(I368="accepted",I368="cond. accept",I368="summer admit"),IF(J368="yes","CHOICE!","Accepted!"),IF(I368="denied","Denied",IF(K368=1,"Waitlist",IF(L368=1,"Deferred",IF(G368="pending","Pending",IF(OR(G368="initial materials submitted",G368="mid-year submitted",G368="final submitted"),"Submitted",IF(H368="interest","Interest","?")))))))</f>
        <v>0</v>
      </c>
      <c r="AM368">
        <f>IF(OR(AK368=ReachLabel,AK368=LongshotLabel,AK368=HailMaryLabel),1,0)</f>
        <v>0</v>
      </c>
      <c r="AN368">
        <f>IF(OR(AM368=1,AK368=MatchLabel),1,0)</f>
        <v>0</v>
      </c>
      <c r="AO368">
        <f>IF(OR(AK368=MatchLabel,AK368=SafetyLabel,AK368=SecureLabel,AK368=SureThingLabel),1,0)</f>
        <v>0</v>
      </c>
      <c r="AP368">
        <f>IF(OR(T368="H",T368="B"),IF(ISNUMBER(Y368),ROUND(Y368,2),0),IF(ISNUMBER(X368),ROUND(X368,2),0))</f>
        <v>0</v>
      </c>
      <c r="AQ368">
        <f>IF(AP368&gt;=U368,1,0)</f>
        <v>0</v>
      </c>
      <c r="AR368">
        <f>IF(AP368&gt;=V368,1,0)</f>
        <v>0</v>
      </c>
      <c r="AS368">
        <f>IF(AP368&lt;(U368-0.10),1,0)</f>
        <v>0</v>
      </c>
      <c r="AT368">
        <f>1-AJ368/100</f>
        <v>0</v>
      </c>
      <c r="AU368">
        <f>IF(AN368=1,AT368,1)</f>
        <v>0</v>
      </c>
      <c r="AV368">
        <f>IF(AM368=1,AT368,1)</f>
        <v>0</v>
      </c>
      <c r="AW368">
        <f>IF(AND(AQ368=1,ISNUMBER(AT368)),$AT368,1)</f>
        <v>0</v>
      </c>
      <c r="AX368">
        <f>IF(AND(AR368=1,ISNUMBER(AT368)),$AT368,1)</f>
        <v>0</v>
      </c>
      <c r="AY368">
        <f>IF(ISNUMBER(Y368),INDEX(AllCollegeMoney, MATCH(N368,AllCollegeNCES,0)),0)</f>
        <v>0</v>
      </c>
      <c r="AZ368">
        <f>IF(AND(AQ368=1,ISNUMBER(AT368),AY368=1),$AT368,1)</f>
        <v>0</v>
      </c>
      <c r="BA368">
        <f>IF(AND(AR368=1,ISNUMBER(AT368),AY368=1),$AT368,1)</f>
        <v>0</v>
      </c>
      <c r="BB368">
        <f>IF(ISNUMBER(Y368),INDEX(AllCollegeILPub, MATCH(N368,AllCollegeNCES,0)),0)</f>
        <v>0</v>
      </c>
      <c r="BC368">
        <f>IF(AK368=ReachLabel,AP368,0)</f>
        <v>0</v>
      </c>
      <c r="BD368">
        <f>IF(AK368=MatchLabel,AP368,0)</f>
        <v>0</v>
      </c>
      <c r="BE368">
        <f>IF(AK368=SafetyLabel,AP368,0)</f>
        <v>0</v>
      </c>
      <c r="BF368">
        <f>IF(AK368=SecureLabel,AP368,0)</f>
        <v>0</v>
      </c>
      <c r="BG368">
        <f>IF(AK368=SureThingLabel,AP368,0)</f>
        <v>0</v>
      </c>
      <c r="BH368">
        <f>MAX(BC368:BG368)</f>
        <v>0</v>
      </c>
      <c r="BI368">
        <f>MAX(BD368:BG368)</f>
        <v>0</v>
      </c>
      <c r="BJ368">
        <f>MAX(BE368:BG368)</f>
        <v>0</v>
      </c>
      <c r="BK368">
        <f>IF(AND(AK368=ReachLabel,AY368=1),AP368,0)</f>
        <v>0</v>
      </c>
      <c r="BL368">
        <f>IF(AND(AK368=MatchLabel,AY368=1),AP368,0)</f>
        <v>0</v>
      </c>
      <c r="BM368">
        <f>IF(AND(AK368=SafetyLabel,AY368=1),AP368,0)</f>
        <v>0</v>
      </c>
      <c r="BN368">
        <f>IF(AND(AK368=SecureLabel,AY368=1),AP368,0)</f>
        <v>0</v>
      </c>
      <c r="BO368">
        <f>IF(AND(AK368=SureThingLabel,AY368=1),AP368,0)</f>
        <v>0</v>
      </c>
      <c r="BP368">
        <f>MAX(BK368:BO368)</f>
        <v>0</v>
      </c>
      <c r="BQ368">
        <f>MAX(BL368:BO368)</f>
        <v>0</v>
      </c>
      <c r="BR368">
        <f>MAX(BM368:BO368)</f>
        <v>0</v>
      </c>
      <c r="BS368">
        <f>IF(ISNUMBER(Y368),INDEX(AllCollegeChicago, MATCH(N368,AllCollegeNCES,0))*AY368,0)</f>
        <v>0</v>
      </c>
      <c r="BT368">
        <f>IF(ISNUMBER(Y368),INDEX(AllCollegeMoneyCode, MATCH(N368,AllCollegeNCES,0)),"?")</f>
        <v>0</v>
      </c>
      <c r="BU368">
        <f>IF(OR(BT368="---",BT368="--",BT368="+/--",BT368="+/---"),1,0)</f>
        <v>0</v>
      </c>
      <c r="BV368">
        <f>AY368*AO368*AQ368</f>
        <v>0</v>
      </c>
    </row>
    <row r="369" spans="1:74">
      <c r="A369" t="s">
        <v>86</v>
      </c>
      <c r="B369">
        <v>23319069</v>
      </c>
      <c r="C369" t="s">
        <v>147</v>
      </c>
      <c r="D369" t="s">
        <v>148</v>
      </c>
      <c r="E369" t="s">
        <v>428</v>
      </c>
      <c r="F369" t="s">
        <v>468</v>
      </c>
      <c r="G369" t="s">
        <v>430</v>
      </c>
      <c r="H369" t="s">
        <v>431</v>
      </c>
      <c r="I369" t="s">
        <v>432</v>
      </c>
      <c r="J369" t="s">
        <v>432</v>
      </c>
      <c r="K369">
        <v>0</v>
      </c>
      <c r="L369" t="s">
        <v>428</v>
      </c>
      <c r="M369" t="s">
        <v>428</v>
      </c>
      <c r="N369">
        <v>212009</v>
      </c>
      <c r="O369">
        <f>INDEX(AllCollegeBarrons,MATCH(N369,AllCollegeNCES,0))</f>
        <v>0</v>
      </c>
      <c r="P369">
        <f>INDEX(KidGPAs,MATCH(B369,KidIDs,0))</f>
        <v>0</v>
      </c>
      <c r="Q369">
        <f>INDEX(KidACTs,MATCH(B369,KidIDs,0))</f>
        <v>0</v>
      </c>
      <c r="R369">
        <f>INDEX(Strats,MATCH(B369,KidIDs,0))</f>
        <v>0</v>
      </c>
      <c r="S369">
        <f>INDEX(KidRace,MATCH(B369,KidIDs,0))</f>
        <v>0</v>
      </c>
      <c r="T369">
        <f>IF(OR(S369="M",S369="I"),"H",S369)</f>
        <v>0</v>
      </c>
      <c r="U369">
        <f>INDEX(StudentTargets,MATCH(B369,KidIDs,0))</f>
        <v>0</v>
      </c>
      <c r="V369">
        <f>INDEX(ReachStudentTargets,MATCH(B369,KidIDs,0))</f>
        <v>0</v>
      </c>
      <c r="W369">
        <f>IF(OR(M369="Posse"),1,0)</f>
        <v>0</v>
      </c>
      <c r="X369">
        <f>IF(ISNUMBER(INDEX(AllCollegeGR, MATCH(N369,AllCollegeNCES,0))),ROUND(INDEX(AllCollegeGR, MATCH(N369,AllCollegeNCES,0))+W369*IF(INDEX(AllCollegeGR, MATCH(N369,AllCollegeNCES,0))&gt;0.7,(1-INDEX(AllCollegeGR, MATCH(N369,AllCollegeNCES,0)))/2,0.15),2),INDEX(AllCollegeGR, MATCH(N369,AllCollegeNCES,0)))</f>
        <v>0</v>
      </c>
      <c r="Y369">
        <f>IF(ISNUMBER(INDEX(AllCollegeAAHGR, MATCH(N369,AllCollegeNCES,0))),ROUND(INDEX(AllCollegeAAHGR, MATCH(N369,AllCollegeNCES,0))+W369*IF(INDEX(AllCollegeAAHGR, MATCH(N369,AllCollegeNCES,0))&gt;0.7,(1-INDEX(AllCollegeAAHGR, MATCH(N369,AllCollegeNCES,0)))/2,0.15),2),INDEX(AllCollegeAAHGR, MATCH(N369,AllCollegeNCES,0)))</f>
        <v>0</v>
      </c>
      <c r="Z369">
        <f>IF(OR(T369="H",T369="B"),INDEX(AllCollegeACT25, MATCH(N369,AllCollegeNCES,0)),INDEX(AllCollegeACT50, MATCH(N369,AllCollegeNCES,0)))</f>
        <v>0</v>
      </c>
      <c r="AA369">
        <f>INDEX(CustomWeightsGPA,MATCH(T369&amp;":"&amp;N369,CustomWeightsIndex,0))</f>
        <v>0</v>
      </c>
      <c r="AB369">
        <f>INDEX(CustomWeightsACT,MATCH(T369&amp;":"&amp;N369,CustomWeightsIndex,0))</f>
        <v>0</v>
      </c>
      <c r="AC369">
        <f>INDEX(CustomWeightsIntercept,MATCH(T369&amp;":"&amp;N369,CustomWeightsIndex,0))</f>
        <v>0</v>
      </c>
      <c r="AD369">
        <f>AA369*P369+AB369*Q369+AC369</f>
        <v>0</v>
      </c>
      <c r="AE369">
        <f>INDEX(CoefficientsGPA,MATCH(T369&amp;":"&amp;O369,CoefficientsIndex,0))</f>
        <v>0</v>
      </c>
      <c r="AF369">
        <f>INDEX(CoefficientsACT,MATCH(T369&amp;":"&amp;O369,CoefficientsIndex,0))</f>
        <v>0</v>
      </c>
      <c r="AG369">
        <f>INDEX(CoefficientsIntercept,MATCH(T369&amp;":"&amp;O369,CoefficientsIndex,0))</f>
        <v>0</v>
      </c>
      <c r="AH369">
        <f>AE369*P369+(Q369-Z369)*AF369+AG369</f>
        <v>0</v>
      </c>
      <c r="AI369">
        <f>IF(ISNUMBER(AD369),AD369,AH369)</f>
        <v>0</v>
      </c>
      <c r="AJ369">
        <f>IF(ISNUMBER(AI369),IF(ISNUMBER(AE369),IF(AND(AE369=1,AF369=1,AG369=1),100,ROUND(100*EXP(AI369)/(1+EXP(AI369)),2)),ROUND(100*EXP(AI369)/(1+EXP(AI369)),2)),IF(ISTEXT(O369),IF(LEFT(O369,1)="2",100,"N/A"),"N/A"))</f>
        <v>0</v>
      </c>
      <c r="AK369">
        <f>IF(ISNUMBER(AJ369),IF(AJ369&gt;=99,IF(OR(R369=10,R369=11),MatchLabel,SureThingLabel),IF(AJ369&gt;=95,SecureLabel,IF(AJ369&gt;=80,SafetyLabel,IF(AJ369&gt;=50,MatchLabel,IF(AJ369&gt;=20,ReachLabel,IF(AJ369&gt;=10,LongshotLabel,HailMaryLabel)))))),"Other")</f>
        <v>0</v>
      </c>
      <c r="AL369">
        <f>IF(OR(I369="accepted",I369="cond. accept",I369="summer admit"),IF(J369="yes","CHOICE!","Accepted!"),IF(I369="denied","Denied",IF(K369=1,"Waitlist",IF(L369=1,"Deferred",IF(G369="pending","Pending",IF(OR(G369="initial materials submitted",G369="mid-year submitted",G369="final submitted"),"Submitted",IF(H369="interest","Interest","?")))))))</f>
        <v>0</v>
      </c>
      <c r="AM369">
        <f>IF(OR(AK369=ReachLabel,AK369=LongshotLabel,AK369=HailMaryLabel),1,0)</f>
        <v>0</v>
      </c>
      <c r="AN369">
        <f>IF(OR(AM369=1,AK369=MatchLabel),1,0)</f>
        <v>0</v>
      </c>
      <c r="AO369">
        <f>IF(OR(AK369=MatchLabel,AK369=SafetyLabel,AK369=SecureLabel,AK369=SureThingLabel),1,0)</f>
        <v>0</v>
      </c>
      <c r="AP369">
        <f>IF(OR(T369="H",T369="B"),IF(ISNUMBER(Y369),ROUND(Y369,2),0),IF(ISNUMBER(X369),ROUND(X369,2),0))</f>
        <v>0</v>
      </c>
      <c r="AQ369">
        <f>IF(AP369&gt;=U369,1,0)</f>
        <v>0</v>
      </c>
      <c r="AR369">
        <f>IF(AP369&gt;=V369,1,0)</f>
        <v>0</v>
      </c>
      <c r="AS369">
        <f>IF(AP369&lt;(U369-0.10),1,0)</f>
        <v>0</v>
      </c>
      <c r="AT369">
        <f>1-AJ369/100</f>
        <v>0</v>
      </c>
      <c r="AU369">
        <f>IF(AN369=1,AT369,1)</f>
        <v>0</v>
      </c>
      <c r="AV369">
        <f>IF(AM369=1,AT369,1)</f>
        <v>0</v>
      </c>
      <c r="AW369">
        <f>IF(AND(AQ369=1,ISNUMBER(AT369)),$AT369,1)</f>
        <v>0</v>
      </c>
      <c r="AX369">
        <f>IF(AND(AR369=1,ISNUMBER(AT369)),$AT369,1)</f>
        <v>0</v>
      </c>
      <c r="AY369">
        <f>IF(ISNUMBER(Y369),INDEX(AllCollegeMoney, MATCH(N369,AllCollegeNCES,0)),0)</f>
        <v>0</v>
      </c>
      <c r="AZ369">
        <f>IF(AND(AQ369=1,ISNUMBER(AT369),AY369=1),$AT369,1)</f>
        <v>0</v>
      </c>
      <c r="BA369">
        <f>IF(AND(AR369=1,ISNUMBER(AT369),AY369=1),$AT369,1)</f>
        <v>0</v>
      </c>
      <c r="BB369">
        <f>IF(ISNUMBER(Y369),INDEX(AllCollegeILPub, MATCH(N369,AllCollegeNCES,0)),0)</f>
        <v>0</v>
      </c>
      <c r="BC369">
        <f>IF(AK369=ReachLabel,AP369,0)</f>
        <v>0</v>
      </c>
      <c r="BD369">
        <f>IF(AK369=MatchLabel,AP369,0)</f>
        <v>0</v>
      </c>
      <c r="BE369">
        <f>IF(AK369=SafetyLabel,AP369,0)</f>
        <v>0</v>
      </c>
      <c r="BF369">
        <f>IF(AK369=SecureLabel,AP369,0)</f>
        <v>0</v>
      </c>
      <c r="BG369">
        <f>IF(AK369=SureThingLabel,AP369,0)</f>
        <v>0</v>
      </c>
      <c r="BH369">
        <f>MAX(BC369:BG369)</f>
        <v>0</v>
      </c>
      <c r="BI369">
        <f>MAX(BD369:BG369)</f>
        <v>0</v>
      </c>
      <c r="BJ369">
        <f>MAX(BE369:BG369)</f>
        <v>0</v>
      </c>
      <c r="BK369">
        <f>IF(AND(AK369=ReachLabel,AY369=1),AP369,0)</f>
        <v>0</v>
      </c>
      <c r="BL369">
        <f>IF(AND(AK369=MatchLabel,AY369=1),AP369,0)</f>
        <v>0</v>
      </c>
      <c r="BM369">
        <f>IF(AND(AK369=SafetyLabel,AY369=1),AP369,0)</f>
        <v>0</v>
      </c>
      <c r="BN369">
        <f>IF(AND(AK369=SecureLabel,AY369=1),AP369,0)</f>
        <v>0</v>
      </c>
      <c r="BO369">
        <f>IF(AND(AK369=SureThingLabel,AY369=1),AP369,0)</f>
        <v>0</v>
      </c>
      <c r="BP369">
        <f>MAX(BK369:BO369)</f>
        <v>0</v>
      </c>
      <c r="BQ369">
        <f>MAX(BL369:BO369)</f>
        <v>0</v>
      </c>
      <c r="BR369">
        <f>MAX(BM369:BO369)</f>
        <v>0</v>
      </c>
      <c r="BS369">
        <f>IF(ISNUMBER(Y369),INDEX(AllCollegeChicago, MATCH(N369,AllCollegeNCES,0))*AY369,0)</f>
        <v>0</v>
      </c>
      <c r="BT369">
        <f>IF(ISNUMBER(Y369),INDEX(AllCollegeMoneyCode, MATCH(N369,AllCollegeNCES,0)),"?")</f>
        <v>0</v>
      </c>
      <c r="BU369">
        <f>IF(OR(BT369="---",BT369="--",BT369="+/--",BT369="+/---"),1,0)</f>
        <v>0</v>
      </c>
      <c r="BV369">
        <f>AY369*AO369*AQ369</f>
        <v>0</v>
      </c>
    </row>
    <row r="370" spans="1:74">
      <c r="A370" t="s">
        <v>86</v>
      </c>
      <c r="B370">
        <v>23319069</v>
      </c>
      <c r="C370" t="s">
        <v>147</v>
      </c>
      <c r="D370" t="s">
        <v>148</v>
      </c>
      <c r="E370" t="s">
        <v>428</v>
      </c>
      <c r="F370" t="s">
        <v>454</v>
      </c>
      <c r="G370" t="s">
        <v>463</v>
      </c>
      <c r="H370" t="s">
        <v>431</v>
      </c>
      <c r="I370" t="s">
        <v>432</v>
      </c>
      <c r="J370" t="s">
        <v>432</v>
      </c>
      <c r="K370">
        <v>0</v>
      </c>
      <c r="L370" t="s">
        <v>428</v>
      </c>
      <c r="M370" t="s">
        <v>428</v>
      </c>
      <c r="N370">
        <v>170532</v>
      </c>
      <c r="O370">
        <f>INDEX(AllCollegeBarrons,MATCH(N370,AllCollegeNCES,0))</f>
        <v>0</v>
      </c>
      <c r="P370">
        <f>INDEX(KidGPAs,MATCH(B370,KidIDs,0))</f>
        <v>0</v>
      </c>
      <c r="Q370">
        <f>INDEX(KidACTs,MATCH(B370,KidIDs,0))</f>
        <v>0</v>
      </c>
      <c r="R370">
        <f>INDEX(Strats,MATCH(B370,KidIDs,0))</f>
        <v>0</v>
      </c>
      <c r="S370">
        <f>INDEX(KidRace,MATCH(B370,KidIDs,0))</f>
        <v>0</v>
      </c>
      <c r="T370">
        <f>IF(OR(S370="M",S370="I"),"H",S370)</f>
        <v>0</v>
      </c>
      <c r="U370">
        <f>INDEX(StudentTargets,MATCH(B370,KidIDs,0))</f>
        <v>0</v>
      </c>
      <c r="V370">
        <f>INDEX(ReachStudentTargets,MATCH(B370,KidIDs,0))</f>
        <v>0</v>
      </c>
      <c r="W370">
        <f>IF(OR(M370="Posse"),1,0)</f>
        <v>0</v>
      </c>
      <c r="X370">
        <f>IF(ISNUMBER(INDEX(AllCollegeGR, MATCH(N370,AllCollegeNCES,0))),ROUND(INDEX(AllCollegeGR, MATCH(N370,AllCollegeNCES,0))+W370*IF(INDEX(AllCollegeGR, MATCH(N370,AllCollegeNCES,0))&gt;0.7,(1-INDEX(AllCollegeGR, MATCH(N370,AllCollegeNCES,0)))/2,0.15),2),INDEX(AllCollegeGR, MATCH(N370,AllCollegeNCES,0)))</f>
        <v>0</v>
      </c>
      <c r="Y370">
        <f>IF(ISNUMBER(INDEX(AllCollegeAAHGR, MATCH(N370,AllCollegeNCES,0))),ROUND(INDEX(AllCollegeAAHGR, MATCH(N370,AllCollegeNCES,0))+W370*IF(INDEX(AllCollegeAAHGR, MATCH(N370,AllCollegeNCES,0))&gt;0.7,(1-INDEX(AllCollegeAAHGR, MATCH(N370,AllCollegeNCES,0)))/2,0.15),2),INDEX(AllCollegeAAHGR, MATCH(N370,AllCollegeNCES,0)))</f>
        <v>0</v>
      </c>
      <c r="Z370">
        <f>IF(OR(T370="H",T370="B"),INDEX(AllCollegeACT25, MATCH(N370,AllCollegeNCES,0)),INDEX(AllCollegeACT50, MATCH(N370,AllCollegeNCES,0)))</f>
        <v>0</v>
      </c>
      <c r="AA370">
        <f>INDEX(CustomWeightsGPA,MATCH(T370&amp;":"&amp;N370,CustomWeightsIndex,0))</f>
        <v>0</v>
      </c>
      <c r="AB370">
        <f>INDEX(CustomWeightsACT,MATCH(T370&amp;":"&amp;N370,CustomWeightsIndex,0))</f>
        <v>0</v>
      </c>
      <c r="AC370">
        <f>INDEX(CustomWeightsIntercept,MATCH(T370&amp;":"&amp;N370,CustomWeightsIndex,0))</f>
        <v>0</v>
      </c>
      <c r="AD370">
        <f>AA370*P370+AB370*Q370+AC370</f>
        <v>0</v>
      </c>
      <c r="AE370">
        <f>INDEX(CoefficientsGPA,MATCH(T370&amp;":"&amp;O370,CoefficientsIndex,0))</f>
        <v>0</v>
      </c>
      <c r="AF370">
        <f>INDEX(CoefficientsACT,MATCH(T370&amp;":"&amp;O370,CoefficientsIndex,0))</f>
        <v>0</v>
      </c>
      <c r="AG370">
        <f>INDEX(CoefficientsIntercept,MATCH(T370&amp;":"&amp;O370,CoefficientsIndex,0))</f>
        <v>0</v>
      </c>
      <c r="AH370">
        <f>AE370*P370+(Q370-Z370)*AF370+AG370</f>
        <v>0</v>
      </c>
      <c r="AI370">
        <f>IF(ISNUMBER(AD370),AD370,AH370)</f>
        <v>0</v>
      </c>
      <c r="AJ370">
        <f>IF(ISNUMBER(AI370),IF(ISNUMBER(AE370),IF(AND(AE370=1,AF370=1,AG370=1),100,ROUND(100*EXP(AI370)/(1+EXP(AI370)),2)),ROUND(100*EXP(AI370)/(1+EXP(AI370)),2)),IF(ISTEXT(O370),IF(LEFT(O370,1)="2",100,"N/A"),"N/A"))</f>
        <v>0</v>
      </c>
      <c r="AK370">
        <f>IF(ISNUMBER(AJ370),IF(AJ370&gt;=99,IF(OR(R370=10,R370=11),MatchLabel,SureThingLabel),IF(AJ370&gt;=95,SecureLabel,IF(AJ370&gt;=80,SafetyLabel,IF(AJ370&gt;=50,MatchLabel,IF(AJ370&gt;=20,ReachLabel,IF(AJ370&gt;=10,LongshotLabel,HailMaryLabel)))))),"Other")</f>
        <v>0</v>
      </c>
      <c r="AL370">
        <f>IF(OR(I370="accepted",I370="cond. accept",I370="summer admit"),IF(J370="yes","CHOICE!","Accepted!"),IF(I370="denied","Denied",IF(K370=1,"Waitlist",IF(L370=1,"Deferred",IF(G370="pending","Pending",IF(OR(G370="initial materials submitted",G370="mid-year submitted",G370="final submitted"),"Submitted",IF(H370="interest","Interest","?")))))))</f>
        <v>0</v>
      </c>
      <c r="AM370">
        <f>IF(OR(AK370=ReachLabel,AK370=LongshotLabel,AK370=HailMaryLabel),1,0)</f>
        <v>0</v>
      </c>
      <c r="AN370">
        <f>IF(OR(AM370=1,AK370=MatchLabel),1,0)</f>
        <v>0</v>
      </c>
      <c r="AO370">
        <f>IF(OR(AK370=MatchLabel,AK370=SafetyLabel,AK370=SecureLabel,AK370=SureThingLabel),1,0)</f>
        <v>0</v>
      </c>
      <c r="AP370">
        <f>IF(OR(T370="H",T370="B"),IF(ISNUMBER(Y370),ROUND(Y370,2),0),IF(ISNUMBER(X370),ROUND(X370,2),0))</f>
        <v>0</v>
      </c>
      <c r="AQ370">
        <f>IF(AP370&gt;=U370,1,0)</f>
        <v>0</v>
      </c>
      <c r="AR370">
        <f>IF(AP370&gt;=V370,1,0)</f>
        <v>0</v>
      </c>
      <c r="AS370">
        <f>IF(AP370&lt;(U370-0.10),1,0)</f>
        <v>0</v>
      </c>
      <c r="AT370">
        <f>1-AJ370/100</f>
        <v>0</v>
      </c>
      <c r="AU370">
        <f>IF(AN370=1,AT370,1)</f>
        <v>0</v>
      </c>
      <c r="AV370">
        <f>IF(AM370=1,AT370,1)</f>
        <v>0</v>
      </c>
      <c r="AW370">
        <f>IF(AND(AQ370=1,ISNUMBER(AT370)),$AT370,1)</f>
        <v>0</v>
      </c>
      <c r="AX370">
        <f>IF(AND(AR370=1,ISNUMBER(AT370)),$AT370,1)</f>
        <v>0</v>
      </c>
      <c r="AY370">
        <f>IF(ISNUMBER(Y370),INDEX(AllCollegeMoney, MATCH(N370,AllCollegeNCES,0)),0)</f>
        <v>0</v>
      </c>
      <c r="AZ370">
        <f>IF(AND(AQ370=1,ISNUMBER(AT370),AY370=1),$AT370,1)</f>
        <v>0</v>
      </c>
      <c r="BA370">
        <f>IF(AND(AR370=1,ISNUMBER(AT370),AY370=1),$AT370,1)</f>
        <v>0</v>
      </c>
      <c r="BB370">
        <f>IF(ISNUMBER(Y370),INDEX(AllCollegeILPub, MATCH(N370,AllCollegeNCES,0)),0)</f>
        <v>0</v>
      </c>
      <c r="BC370">
        <f>IF(AK370=ReachLabel,AP370,0)</f>
        <v>0</v>
      </c>
      <c r="BD370">
        <f>IF(AK370=MatchLabel,AP370,0)</f>
        <v>0</v>
      </c>
      <c r="BE370">
        <f>IF(AK370=SafetyLabel,AP370,0)</f>
        <v>0</v>
      </c>
      <c r="BF370">
        <f>IF(AK370=SecureLabel,AP370,0)</f>
        <v>0</v>
      </c>
      <c r="BG370">
        <f>IF(AK370=SureThingLabel,AP370,0)</f>
        <v>0</v>
      </c>
      <c r="BH370">
        <f>MAX(BC370:BG370)</f>
        <v>0</v>
      </c>
      <c r="BI370">
        <f>MAX(BD370:BG370)</f>
        <v>0</v>
      </c>
      <c r="BJ370">
        <f>MAX(BE370:BG370)</f>
        <v>0</v>
      </c>
      <c r="BK370">
        <f>IF(AND(AK370=ReachLabel,AY370=1),AP370,0)</f>
        <v>0</v>
      </c>
      <c r="BL370">
        <f>IF(AND(AK370=MatchLabel,AY370=1),AP370,0)</f>
        <v>0</v>
      </c>
      <c r="BM370">
        <f>IF(AND(AK370=SafetyLabel,AY370=1),AP370,0)</f>
        <v>0</v>
      </c>
      <c r="BN370">
        <f>IF(AND(AK370=SecureLabel,AY370=1),AP370,0)</f>
        <v>0</v>
      </c>
      <c r="BO370">
        <f>IF(AND(AK370=SureThingLabel,AY370=1),AP370,0)</f>
        <v>0</v>
      </c>
      <c r="BP370">
        <f>MAX(BK370:BO370)</f>
        <v>0</v>
      </c>
      <c r="BQ370">
        <f>MAX(BL370:BO370)</f>
        <v>0</v>
      </c>
      <c r="BR370">
        <f>MAX(BM370:BO370)</f>
        <v>0</v>
      </c>
      <c r="BS370">
        <f>IF(ISNUMBER(Y370),INDEX(AllCollegeChicago, MATCH(N370,AllCollegeNCES,0))*AY370,0)</f>
        <v>0</v>
      </c>
      <c r="BT370">
        <f>IF(ISNUMBER(Y370),INDEX(AllCollegeMoneyCode, MATCH(N370,AllCollegeNCES,0)),"?")</f>
        <v>0</v>
      </c>
      <c r="BU370">
        <f>IF(OR(BT370="---",BT370="--",BT370="+/--",BT370="+/---"),1,0)</f>
        <v>0</v>
      </c>
      <c r="BV370">
        <f>AY370*AO370*AQ370</f>
        <v>0</v>
      </c>
    </row>
    <row r="371" spans="1:74">
      <c r="A371" t="s">
        <v>86</v>
      </c>
      <c r="B371">
        <v>23319069</v>
      </c>
      <c r="C371" t="s">
        <v>147</v>
      </c>
      <c r="D371" t="s">
        <v>148</v>
      </c>
      <c r="E371" t="s">
        <v>428</v>
      </c>
      <c r="F371" t="s">
        <v>455</v>
      </c>
      <c r="G371" t="s">
        <v>463</v>
      </c>
      <c r="H371" t="s">
        <v>431</v>
      </c>
      <c r="I371" t="s">
        <v>432</v>
      </c>
      <c r="J371" t="s">
        <v>432</v>
      </c>
      <c r="K371">
        <v>0</v>
      </c>
      <c r="L371" t="s">
        <v>428</v>
      </c>
      <c r="M371" t="s">
        <v>428</v>
      </c>
      <c r="N371">
        <v>240444</v>
      </c>
      <c r="O371">
        <f>INDEX(AllCollegeBarrons,MATCH(N371,AllCollegeNCES,0))</f>
        <v>0</v>
      </c>
      <c r="P371">
        <f>INDEX(KidGPAs,MATCH(B371,KidIDs,0))</f>
        <v>0</v>
      </c>
      <c r="Q371">
        <f>INDEX(KidACTs,MATCH(B371,KidIDs,0))</f>
        <v>0</v>
      </c>
      <c r="R371">
        <f>INDEX(Strats,MATCH(B371,KidIDs,0))</f>
        <v>0</v>
      </c>
      <c r="S371">
        <f>INDEX(KidRace,MATCH(B371,KidIDs,0))</f>
        <v>0</v>
      </c>
      <c r="T371">
        <f>IF(OR(S371="M",S371="I"),"H",S371)</f>
        <v>0</v>
      </c>
      <c r="U371">
        <f>INDEX(StudentTargets,MATCH(B371,KidIDs,0))</f>
        <v>0</v>
      </c>
      <c r="V371">
        <f>INDEX(ReachStudentTargets,MATCH(B371,KidIDs,0))</f>
        <v>0</v>
      </c>
      <c r="W371">
        <f>IF(OR(M371="Posse"),1,0)</f>
        <v>0</v>
      </c>
      <c r="X371">
        <f>IF(ISNUMBER(INDEX(AllCollegeGR, MATCH(N371,AllCollegeNCES,0))),ROUND(INDEX(AllCollegeGR, MATCH(N371,AllCollegeNCES,0))+W371*IF(INDEX(AllCollegeGR, MATCH(N371,AllCollegeNCES,0))&gt;0.7,(1-INDEX(AllCollegeGR, MATCH(N371,AllCollegeNCES,0)))/2,0.15),2),INDEX(AllCollegeGR, MATCH(N371,AllCollegeNCES,0)))</f>
        <v>0</v>
      </c>
      <c r="Y371">
        <f>IF(ISNUMBER(INDEX(AllCollegeAAHGR, MATCH(N371,AllCollegeNCES,0))),ROUND(INDEX(AllCollegeAAHGR, MATCH(N371,AllCollegeNCES,0))+W371*IF(INDEX(AllCollegeAAHGR, MATCH(N371,AllCollegeNCES,0))&gt;0.7,(1-INDEX(AllCollegeAAHGR, MATCH(N371,AllCollegeNCES,0)))/2,0.15),2),INDEX(AllCollegeAAHGR, MATCH(N371,AllCollegeNCES,0)))</f>
        <v>0</v>
      </c>
      <c r="Z371">
        <f>IF(OR(T371="H",T371="B"),INDEX(AllCollegeACT25, MATCH(N371,AllCollegeNCES,0)),INDEX(AllCollegeACT50, MATCH(N371,AllCollegeNCES,0)))</f>
        <v>0</v>
      </c>
      <c r="AA371">
        <f>INDEX(CustomWeightsGPA,MATCH(T371&amp;":"&amp;N371,CustomWeightsIndex,0))</f>
        <v>0</v>
      </c>
      <c r="AB371">
        <f>INDEX(CustomWeightsACT,MATCH(T371&amp;":"&amp;N371,CustomWeightsIndex,0))</f>
        <v>0</v>
      </c>
      <c r="AC371">
        <f>INDEX(CustomWeightsIntercept,MATCH(T371&amp;":"&amp;N371,CustomWeightsIndex,0))</f>
        <v>0</v>
      </c>
      <c r="AD371">
        <f>AA371*P371+AB371*Q371+AC371</f>
        <v>0</v>
      </c>
      <c r="AE371">
        <f>INDEX(CoefficientsGPA,MATCH(T371&amp;":"&amp;O371,CoefficientsIndex,0))</f>
        <v>0</v>
      </c>
      <c r="AF371">
        <f>INDEX(CoefficientsACT,MATCH(T371&amp;":"&amp;O371,CoefficientsIndex,0))</f>
        <v>0</v>
      </c>
      <c r="AG371">
        <f>INDEX(CoefficientsIntercept,MATCH(T371&amp;":"&amp;O371,CoefficientsIndex,0))</f>
        <v>0</v>
      </c>
      <c r="AH371">
        <f>AE371*P371+(Q371-Z371)*AF371+AG371</f>
        <v>0</v>
      </c>
      <c r="AI371">
        <f>IF(ISNUMBER(AD371),AD371,AH371)</f>
        <v>0</v>
      </c>
      <c r="AJ371">
        <f>IF(ISNUMBER(AI371),IF(ISNUMBER(AE371),IF(AND(AE371=1,AF371=1,AG371=1),100,ROUND(100*EXP(AI371)/(1+EXP(AI371)),2)),ROUND(100*EXP(AI371)/(1+EXP(AI371)),2)),IF(ISTEXT(O371),IF(LEFT(O371,1)="2",100,"N/A"),"N/A"))</f>
        <v>0</v>
      </c>
      <c r="AK371">
        <f>IF(ISNUMBER(AJ371),IF(AJ371&gt;=99,IF(OR(R371=10,R371=11),MatchLabel,SureThingLabel),IF(AJ371&gt;=95,SecureLabel,IF(AJ371&gt;=80,SafetyLabel,IF(AJ371&gt;=50,MatchLabel,IF(AJ371&gt;=20,ReachLabel,IF(AJ371&gt;=10,LongshotLabel,HailMaryLabel)))))),"Other")</f>
        <v>0</v>
      </c>
      <c r="AL371">
        <f>IF(OR(I371="accepted",I371="cond. accept",I371="summer admit"),IF(J371="yes","CHOICE!","Accepted!"),IF(I371="denied","Denied",IF(K371=1,"Waitlist",IF(L371=1,"Deferred",IF(G371="pending","Pending",IF(OR(G371="initial materials submitted",G371="mid-year submitted",G371="final submitted"),"Submitted",IF(H371="interest","Interest","?")))))))</f>
        <v>0</v>
      </c>
      <c r="AM371">
        <f>IF(OR(AK371=ReachLabel,AK371=LongshotLabel,AK371=HailMaryLabel),1,0)</f>
        <v>0</v>
      </c>
      <c r="AN371">
        <f>IF(OR(AM371=1,AK371=MatchLabel),1,0)</f>
        <v>0</v>
      </c>
      <c r="AO371">
        <f>IF(OR(AK371=MatchLabel,AK371=SafetyLabel,AK371=SecureLabel,AK371=SureThingLabel),1,0)</f>
        <v>0</v>
      </c>
      <c r="AP371">
        <f>IF(OR(T371="H",T371="B"),IF(ISNUMBER(Y371),ROUND(Y371,2),0),IF(ISNUMBER(X371),ROUND(X371,2),0))</f>
        <v>0</v>
      </c>
      <c r="AQ371">
        <f>IF(AP371&gt;=U371,1,0)</f>
        <v>0</v>
      </c>
      <c r="AR371">
        <f>IF(AP371&gt;=V371,1,0)</f>
        <v>0</v>
      </c>
      <c r="AS371">
        <f>IF(AP371&lt;(U371-0.10),1,0)</f>
        <v>0</v>
      </c>
      <c r="AT371">
        <f>1-AJ371/100</f>
        <v>0</v>
      </c>
      <c r="AU371">
        <f>IF(AN371=1,AT371,1)</f>
        <v>0</v>
      </c>
      <c r="AV371">
        <f>IF(AM371=1,AT371,1)</f>
        <v>0</v>
      </c>
      <c r="AW371">
        <f>IF(AND(AQ371=1,ISNUMBER(AT371)),$AT371,1)</f>
        <v>0</v>
      </c>
      <c r="AX371">
        <f>IF(AND(AR371=1,ISNUMBER(AT371)),$AT371,1)</f>
        <v>0</v>
      </c>
      <c r="AY371">
        <f>IF(ISNUMBER(Y371),INDEX(AllCollegeMoney, MATCH(N371,AllCollegeNCES,0)),0)</f>
        <v>0</v>
      </c>
      <c r="AZ371">
        <f>IF(AND(AQ371=1,ISNUMBER(AT371),AY371=1),$AT371,1)</f>
        <v>0</v>
      </c>
      <c r="BA371">
        <f>IF(AND(AR371=1,ISNUMBER(AT371),AY371=1),$AT371,1)</f>
        <v>0</v>
      </c>
      <c r="BB371">
        <f>IF(ISNUMBER(Y371),INDEX(AllCollegeILPub, MATCH(N371,AllCollegeNCES,0)),0)</f>
        <v>0</v>
      </c>
      <c r="BC371">
        <f>IF(AK371=ReachLabel,AP371,0)</f>
        <v>0</v>
      </c>
      <c r="BD371">
        <f>IF(AK371=MatchLabel,AP371,0)</f>
        <v>0</v>
      </c>
      <c r="BE371">
        <f>IF(AK371=SafetyLabel,AP371,0)</f>
        <v>0</v>
      </c>
      <c r="BF371">
        <f>IF(AK371=SecureLabel,AP371,0)</f>
        <v>0</v>
      </c>
      <c r="BG371">
        <f>IF(AK371=SureThingLabel,AP371,0)</f>
        <v>0</v>
      </c>
      <c r="BH371">
        <f>MAX(BC371:BG371)</f>
        <v>0</v>
      </c>
      <c r="BI371">
        <f>MAX(BD371:BG371)</f>
        <v>0</v>
      </c>
      <c r="BJ371">
        <f>MAX(BE371:BG371)</f>
        <v>0</v>
      </c>
      <c r="BK371">
        <f>IF(AND(AK371=ReachLabel,AY371=1),AP371,0)</f>
        <v>0</v>
      </c>
      <c r="BL371">
        <f>IF(AND(AK371=MatchLabel,AY371=1),AP371,0)</f>
        <v>0</v>
      </c>
      <c r="BM371">
        <f>IF(AND(AK371=SafetyLabel,AY371=1),AP371,0)</f>
        <v>0</v>
      </c>
      <c r="BN371">
        <f>IF(AND(AK371=SecureLabel,AY371=1),AP371,0)</f>
        <v>0</v>
      </c>
      <c r="BO371">
        <f>IF(AND(AK371=SureThingLabel,AY371=1),AP371,0)</f>
        <v>0</v>
      </c>
      <c r="BP371">
        <f>MAX(BK371:BO371)</f>
        <v>0</v>
      </c>
      <c r="BQ371">
        <f>MAX(BL371:BO371)</f>
        <v>0</v>
      </c>
      <c r="BR371">
        <f>MAX(BM371:BO371)</f>
        <v>0</v>
      </c>
      <c r="BS371">
        <f>IF(ISNUMBER(Y371),INDEX(AllCollegeChicago, MATCH(N371,AllCollegeNCES,0))*AY371,0)</f>
        <v>0</v>
      </c>
      <c r="BT371">
        <f>IF(ISNUMBER(Y371),INDEX(AllCollegeMoneyCode, MATCH(N371,AllCollegeNCES,0)),"?")</f>
        <v>0</v>
      </c>
      <c r="BU371">
        <f>IF(OR(BT371="---",BT371="--",BT371="+/--",BT371="+/---"),1,0)</f>
        <v>0</v>
      </c>
      <c r="BV371">
        <f>AY371*AO371*AQ371</f>
        <v>0</v>
      </c>
    </row>
    <row r="372" spans="1:74">
      <c r="A372" t="s">
        <v>86</v>
      </c>
      <c r="B372">
        <v>23319069</v>
      </c>
      <c r="C372" t="s">
        <v>147</v>
      </c>
      <c r="D372" t="s">
        <v>148</v>
      </c>
      <c r="E372" t="s">
        <v>428</v>
      </c>
      <c r="F372" t="s">
        <v>457</v>
      </c>
      <c r="G372" t="s">
        <v>463</v>
      </c>
      <c r="H372" t="s">
        <v>431</v>
      </c>
      <c r="I372" t="s">
        <v>432</v>
      </c>
      <c r="J372" t="s">
        <v>432</v>
      </c>
      <c r="K372">
        <v>0</v>
      </c>
      <c r="L372" t="s">
        <v>428</v>
      </c>
      <c r="M372" t="s">
        <v>428</v>
      </c>
      <c r="N372">
        <v>145637</v>
      </c>
      <c r="O372">
        <f>INDEX(AllCollegeBarrons,MATCH(N372,AllCollegeNCES,0))</f>
        <v>0</v>
      </c>
      <c r="P372">
        <f>INDEX(KidGPAs,MATCH(B372,KidIDs,0))</f>
        <v>0</v>
      </c>
      <c r="Q372">
        <f>INDEX(KidACTs,MATCH(B372,KidIDs,0))</f>
        <v>0</v>
      </c>
      <c r="R372">
        <f>INDEX(Strats,MATCH(B372,KidIDs,0))</f>
        <v>0</v>
      </c>
      <c r="S372">
        <f>INDEX(KidRace,MATCH(B372,KidIDs,0))</f>
        <v>0</v>
      </c>
      <c r="T372">
        <f>IF(OR(S372="M",S372="I"),"H",S372)</f>
        <v>0</v>
      </c>
      <c r="U372">
        <f>INDEX(StudentTargets,MATCH(B372,KidIDs,0))</f>
        <v>0</v>
      </c>
      <c r="V372">
        <f>INDEX(ReachStudentTargets,MATCH(B372,KidIDs,0))</f>
        <v>0</v>
      </c>
      <c r="W372">
        <f>IF(OR(M372="Posse"),1,0)</f>
        <v>0</v>
      </c>
      <c r="X372">
        <f>IF(ISNUMBER(INDEX(AllCollegeGR, MATCH(N372,AllCollegeNCES,0))),ROUND(INDEX(AllCollegeGR, MATCH(N372,AllCollegeNCES,0))+W372*IF(INDEX(AllCollegeGR, MATCH(N372,AllCollegeNCES,0))&gt;0.7,(1-INDEX(AllCollegeGR, MATCH(N372,AllCollegeNCES,0)))/2,0.15),2),INDEX(AllCollegeGR, MATCH(N372,AllCollegeNCES,0)))</f>
        <v>0</v>
      </c>
      <c r="Y372">
        <f>IF(ISNUMBER(INDEX(AllCollegeAAHGR, MATCH(N372,AllCollegeNCES,0))),ROUND(INDEX(AllCollegeAAHGR, MATCH(N372,AllCollegeNCES,0))+W372*IF(INDEX(AllCollegeAAHGR, MATCH(N372,AllCollegeNCES,0))&gt;0.7,(1-INDEX(AllCollegeAAHGR, MATCH(N372,AllCollegeNCES,0)))/2,0.15),2),INDEX(AllCollegeAAHGR, MATCH(N372,AllCollegeNCES,0)))</f>
        <v>0</v>
      </c>
      <c r="Z372">
        <f>IF(OR(T372="H",T372="B"),INDEX(AllCollegeACT25, MATCH(N372,AllCollegeNCES,0)),INDEX(AllCollegeACT50, MATCH(N372,AllCollegeNCES,0)))</f>
        <v>0</v>
      </c>
      <c r="AA372">
        <f>INDEX(CustomWeightsGPA,MATCH(T372&amp;":"&amp;N372,CustomWeightsIndex,0))</f>
        <v>0</v>
      </c>
      <c r="AB372">
        <f>INDEX(CustomWeightsACT,MATCH(T372&amp;":"&amp;N372,CustomWeightsIndex,0))</f>
        <v>0</v>
      </c>
      <c r="AC372">
        <f>INDEX(CustomWeightsIntercept,MATCH(T372&amp;":"&amp;N372,CustomWeightsIndex,0))</f>
        <v>0</v>
      </c>
      <c r="AD372">
        <f>AA372*P372+AB372*Q372+AC372</f>
        <v>0</v>
      </c>
      <c r="AE372">
        <f>INDEX(CoefficientsGPA,MATCH(T372&amp;":"&amp;O372,CoefficientsIndex,0))</f>
        <v>0</v>
      </c>
      <c r="AF372">
        <f>INDEX(CoefficientsACT,MATCH(T372&amp;":"&amp;O372,CoefficientsIndex,0))</f>
        <v>0</v>
      </c>
      <c r="AG372">
        <f>INDEX(CoefficientsIntercept,MATCH(T372&amp;":"&amp;O372,CoefficientsIndex,0))</f>
        <v>0</v>
      </c>
      <c r="AH372">
        <f>AE372*P372+(Q372-Z372)*AF372+AG372</f>
        <v>0</v>
      </c>
      <c r="AI372">
        <f>IF(ISNUMBER(AD372),AD372,AH372)</f>
        <v>0</v>
      </c>
      <c r="AJ372">
        <f>IF(ISNUMBER(AI372),IF(ISNUMBER(AE372),IF(AND(AE372=1,AF372=1,AG372=1),100,ROUND(100*EXP(AI372)/(1+EXP(AI372)),2)),ROUND(100*EXP(AI372)/(1+EXP(AI372)),2)),IF(ISTEXT(O372),IF(LEFT(O372,1)="2",100,"N/A"),"N/A"))</f>
        <v>0</v>
      </c>
      <c r="AK372">
        <f>IF(ISNUMBER(AJ372),IF(AJ372&gt;=99,IF(OR(R372=10,R372=11),MatchLabel,SureThingLabel),IF(AJ372&gt;=95,SecureLabel,IF(AJ372&gt;=80,SafetyLabel,IF(AJ372&gt;=50,MatchLabel,IF(AJ372&gt;=20,ReachLabel,IF(AJ372&gt;=10,LongshotLabel,HailMaryLabel)))))),"Other")</f>
        <v>0</v>
      </c>
      <c r="AL372">
        <f>IF(OR(I372="accepted",I372="cond. accept",I372="summer admit"),IF(J372="yes","CHOICE!","Accepted!"),IF(I372="denied","Denied",IF(K372=1,"Waitlist",IF(L372=1,"Deferred",IF(G372="pending","Pending",IF(OR(G372="initial materials submitted",G372="mid-year submitted",G372="final submitted"),"Submitted",IF(H372="interest","Interest","?")))))))</f>
        <v>0</v>
      </c>
      <c r="AM372">
        <f>IF(OR(AK372=ReachLabel,AK372=LongshotLabel,AK372=HailMaryLabel),1,0)</f>
        <v>0</v>
      </c>
      <c r="AN372">
        <f>IF(OR(AM372=1,AK372=MatchLabel),1,0)</f>
        <v>0</v>
      </c>
      <c r="AO372">
        <f>IF(OR(AK372=MatchLabel,AK372=SafetyLabel,AK372=SecureLabel,AK372=SureThingLabel),1,0)</f>
        <v>0</v>
      </c>
      <c r="AP372">
        <f>IF(OR(T372="H",T372="B"),IF(ISNUMBER(Y372),ROUND(Y372,2),0),IF(ISNUMBER(X372),ROUND(X372,2),0))</f>
        <v>0</v>
      </c>
      <c r="AQ372">
        <f>IF(AP372&gt;=U372,1,0)</f>
        <v>0</v>
      </c>
      <c r="AR372">
        <f>IF(AP372&gt;=V372,1,0)</f>
        <v>0</v>
      </c>
      <c r="AS372">
        <f>IF(AP372&lt;(U372-0.10),1,0)</f>
        <v>0</v>
      </c>
      <c r="AT372">
        <f>1-AJ372/100</f>
        <v>0</v>
      </c>
      <c r="AU372">
        <f>IF(AN372=1,AT372,1)</f>
        <v>0</v>
      </c>
      <c r="AV372">
        <f>IF(AM372=1,AT372,1)</f>
        <v>0</v>
      </c>
      <c r="AW372">
        <f>IF(AND(AQ372=1,ISNUMBER(AT372)),$AT372,1)</f>
        <v>0</v>
      </c>
      <c r="AX372">
        <f>IF(AND(AR372=1,ISNUMBER(AT372)),$AT372,1)</f>
        <v>0</v>
      </c>
      <c r="AY372">
        <f>IF(ISNUMBER(Y372),INDEX(AllCollegeMoney, MATCH(N372,AllCollegeNCES,0)),0)</f>
        <v>0</v>
      </c>
      <c r="AZ372">
        <f>IF(AND(AQ372=1,ISNUMBER(AT372),AY372=1),$AT372,1)</f>
        <v>0</v>
      </c>
      <c r="BA372">
        <f>IF(AND(AR372=1,ISNUMBER(AT372),AY372=1),$AT372,1)</f>
        <v>0</v>
      </c>
      <c r="BB372">
        <f>IF(ISNUMBER(Y372),INDEX(AllCollegeILPub, MATCH(N372,AllCollegeNCES,0)),0)</f>
        <v>0</v>
      </c>
      <c r="BC372">
        <f>IF(AK372=ReachLabel,AP372,0)</f>
        <v>0</v>
      </c>
      <c r="BD372">
        <f>IF(AK372=MatchLabel,AP372,0)</f>
        <v>0</v>
      </c>
      <c r="BE372">
        <f>IF(AK372=SafetyLabel,AP372,0)</f>
        <v>0</v>
      </c>
      <c r="BF372">
        <f>IF(AK372=SecureLabel,AP372,0)</f>
        <v>0</v>
      </c>
      <c r="BG372">
        <f>IF(AK372=SureThingLabel,AP372,0)</f>
        <v>0</v>
      </c>
      <c r="BH372">
        <f>MAX(BC372:BG372)</f>
        <v>0</v>
      </c>
      <c r="BI372">
        <f>MAX(BD372:BG372)</f>
        <v>0</v>
      </c>
      <c r="BJ372">
        <f>MAX(BE372:BG372)</f>
        <v>0</v>
      </c>
      <c r="BK372">
        <f>IF(AND(AK372=ReachLabel,AY372=1),AP372,0)</f>
        <v>0</v>
      </c>
      <c r="BL372">
        <f>IF(AND(AK372=MatchLabel,AY372=1),AP372,0)</f>
        <v>0</v>
      </c>
      <c r="BM372">
        <f>IF(AND(AK372=SafetyLabel,AY372=1),AP372,0)</f>
        <v>0</v>
      </c>
      <c r="BN372">
        <f>IF(AND(AK372=SecureLabel,AY372=1),AP372,0)</f>
        <v>0</v>
      </c>
      <c r="BO372">
        <f>IF(AND(AK372=SureThingLabel,AY372=1),AP372,0)</f>
        <v>0</v>
      </c>
      <c r="BP372">
        <f>MAX(BK372:BO372)</f>
        <v>0</v>
      </c>
      <c r="BQ372">
        <f>MAX(BL372:BO372)</f>
        <v>0</v>
      </c>
      <c r="BR372">
        <f>MAX(BM372:BO372)</f>
        <v>0</v>
      </c>
      <c r="BS372">
        <f>IF(ISNUMBER(Y372),INDEX(AllCollegeChicago, MATCH(N372,AllCollegeNCES,0))*AY372,0)</f>
        <v>0</v>
      </c>
      <c r="BT372">
        <f>IF(ISNUMBER(Y372),INDEX(AllCollegeMoneyCode, MATCH(N372,AllCollegeNCES,0)),"?")</f>
        <v>0</v>
      </c>
      <c r="BU372">
        <f>IF(OR(BT372="---",BT372="--",BT372="+/--",BT372="+/---"),1,0)</f>
        <v>0</v>
      </c>
      <c r="BV372">
        <f>AY372*AO372*AQ372</f>
        <v>0</v>
      </c>
    </row>
    <row r="373" spans="1:74">
      <c r="A373" t="s">
        <v>86</v>
      </c>
      <c r="B373">
        <v>23319069</v>
      </c>
      <c r="C373" t="s">
        <v>147</v>
      </c>
      <c r="D373" t="s">
        <v>148</v>
      </c>
      <c r="E373" t="s">
        <v>428</v>
      </c>
      <c r="F373" t="s">
        <v>458</v>
      </c>
      <c r="G373" t="s">
        <v>430</v>
      </c>
      <c r="H373" t="s">
        <v>431</v>
      </c>
      <c r="I373" t="s">
        <v>432</v>
      </c>
      <c r="J373" t="s">
        <v>432</v>
      </c>
      <c r="K373">
        <v>0</v>
      </c>
      <c r="L373" t="s">
        <v>428</v>
      </c>
      <c r="M373" t="s">
        <v>428</v>
      </c>
      <c r="N373">
        <v>202523</v>
      </c>
      <c r="O373">
        <f>INDEX(AllCollegeBarrons,MATCH(N373,AllCollegeNCES,0))</f>
        <v>0</v>
      </c>
      <c r="P373">
        <f>INDEX(KidGPAs,MATCH(B373,KidIDs,0))</f>
        <v>0</v>
      </c>
      <c r="Q373">
        <f>INDEX(KidACTs,MATCH(B373,KidIDs,0))</f>
        <v>0</v>
      </c>
      <c r="R373">
        <f>INDEX(Strats,MATCH(B373,KidIDs,0))</f>
        <v>0</v>
      </c>
      <c r="S373">
        <f>INDEX(KidRace,MATCH(B373,KidIDs,0))</f>
        <v>0</v>
      </c>
      <c r="T373">
        <f>IF(OR(S373="M",S373="I"),"H",S373)</f>
        <v>0</v>
      </c>
      <c r="U373">
        <f>INDEX(StudentTargets,MATCH(B373,KidIDs,0))</f>
        <v>0</v>
      </c>
      <c r="V373">
        <f>INDEX(ReachStudentTargets,MATCH(B373,KidIDs,0))</f>
        <v>0</v>
      </c>
      <c r="W373">
        <f>IF(OR(M373="Posse"),1,0)</f>
        <v>0</v>
      </c>
      <c r="X373">
        <f>IF(ISNUMBER(INDEX(AllCollegeGR, MATCH(N373,AllCollegeNCES,0))),ROUND(INDEX(AllCollegeGR, MATCH(N373,AllCollegeNCES,0))+W373*IF(INDEX(AllCollegeGR, MATCH(N373,AllCollegeNCES,0))&gt;0.7,(1-INDEX(AllCollegeGR, MATCH(N373,AllCollegeNCES,0)))/2,0.15),2),INDEX(AllCollegeGR, MATCH(N373,AllCollegeNCES,0)))</f>
        <v>0</v>
      </c>
      <c r="Y373">
        <f>IF(ISNUMBER(INDEX(AllCollegeAAHGR, MATCH(N373,AllCollegeNCES,0))),ROUND(INDEX(AllCollegeAAHGR, MATCH(N373,AllCollegeNCES,0))+W373*IF(INDEX(AllCollegeAAHGR, MATCH(N373,AllCollegeNCES,0))&gt;0.7,(1-INDEX(AllCollegeAAHGR, MATCH(N373,AllCollegeNCES,0)))/2,0.15),2),INDEX(AllCollegeAAHGR, MATCH(N373,AllCollegeNCES,0)))</f>
        <v>0</v>
      </c>
      <c r="Z373">
        <f>IF(OR(T373="H",T373="B"),INDEX(AllCollegeACT25, MATCH(N373,AllCollegeNCES,0)),INDEX(AllCollegeACT50, MATCH(N373,AllCollegeNCES,0)))</f>
        <v>0</v>
      </c>
      <c r="AA373">
        <f>INDEX(CustomWeightsGPA,MATCH(T373&amp;":"&amp;N373,CustomWeightsIndex,0))</f>
        <v>0</v>
      </c>
      <c r="AB373">
        <f>INDEX(CustomWeightsACT,MATCH(T373&amp;":"&amp;N373,CustomWeightsIndex,0))</f>
        <v>0</v>
      </c>
      <c r="AC373">
        <f>INDEX(CustomWeightsIntercept,MATCH(T373&amp;":"&amp;N373,CustomWeightsIndex,0))</f>
        <v>0</v>
      </c>
      <c r="AD373">
        <f>AA373*P373+AB373*Q373+AC373</f>
        <v>0</v>
      </c>
      <c r="AE373">
        <f>INDEX(CoefficientsGPA,MATCH(T373&amp;":"&amp;O373,CoefficientsIndex,0))</f>
        <v>0</v>
      </c>
      <c r="AF373">
        <f>INDEX(CoefficientsACT,MATCH(T373&amp;":"&amp;O373,CoefficientsIndex,0))</f>
        <v>0</v>
      </c>
      <c r="AG373">
        <f>INDEX(CoefficientsIntercept,MATCH(T373&amp;":"&amp;O373,CoefficientsIndex,0))</f>
        <v>0</v>
      </c>
      <c r="AH373">
        <f>AE373*P373+(Q373-Z373)*AF373+AG373</f>
        <v>0</v>
      </c>
      <c r="AI373">
        <f>IF(ISNUMBER(AD373),AD373,AH373)</f>
        <v>0</v>
      </c>
      <c r="AJ373">
        <f>IF(ISNUMBER(AI373),IF(ISNUMBER(AE373),IF(AND(AE373=1,AF373=1,AG373=1),100,ROUND(100*EXP(AI373)/(1+EXP(AI373)),2)),ROUND(100*EXP(AI373)/(1+EXP(AI373)),2)),IF(ISTEXT(O373),IF(LEFT(O373,1)="2",100,"N/A"),"N/A"))</f>
        <v>0</v>
      </c>
      <c r="AK373">
        <f>IF(ISNUMBER(AJ373),IF(AJ373&gt;=99,IF(OR(R373=10,R373=11),MatchLabel,SureThingLabel),IF(AJ373&gt;=95,SecureLabel,IF(AJ373&gt;=80,SafetyLabel,IF(AJ373&gt;=50,MatchLabel,IF(AJ373&gt;=20,ReachLabel,IF(AJ373&gt;=10,LongshotLabel,HailMaryLabel)))))),"Other")</f>
        <v>0</v>
      </c>
      <c r="AL373">
        <f>IF(OR(I373="accepted",I373="cond. accept",I373="summer admit"),IF(J373="yes","CHOICE!","Accepted!"),IF(I373="denied","Denied",IF(K373=1,"Waitlist",IF(L373=1,"Deferred",IF(G373="pending","Pending",IF(OR(G373="initial materials submitted",G373="mid-year submitted",G373="final submitted"),"Submitted",IF(H373="interest","Interest","?")))))))</f>
        <v>0</v>
      </c>
      <c r="AM373">
        <f>IF(OR(AK373=ReachLabel,AK373=LongshotLabel,AK373=HailMaryLabel),1,0)</f>
        <v>0</v>
      </c>
      <c r="AN373">
        <f>IF(OR(AM373=1,AK373=MatchLabel),1,0)</f>
        <v>0</v>
      </c>
      <c r="AO373">
        <f>IF(OR(AK373=MatchLabel,AK373=SafetyLabel,AK373=SecureLabel,AK373=SureThingLabel),1,0)</f>
        <v>0</v>
      </c>
      <c r="AP373">
        <f>IF(OR(T373="H",T373="B"),IF(ISNUMBER(Y373),ROUND(Y373,2),0),IF(ISNUMBER(X373),ROUND(X373,2),0))</f>
        <v>0</v>
      </c>
      <c r="AQ373">
        <f>IF(AP373&gt;=U373,1,0)</f>
        <v>0</v>
      </c>
      <c r="AR373">
        <f>IF(AP373&gt;=V373,1,0)</f>
        <v>0</v>
      </c>
      <c r="AS373">
        <f>IF(AP373&lt;(U373-0.10),1,0)</f>
        <v>0</v>
      </c>
      <c r="AT373">
        <f>1-AJ373/100</f>
        <v>0</v>
      </c>
      <c r="AU373">
        <f>IF(AN373=1,AT373,1)</f>
        <v>0</v>
      </c>
      <c r="AV373">
        <f>IF(AM373=1,AT373,1)</f>
        <v>0</v>
      </c>
      <c r="AW373">
        <f>IF(AND(AQ373=1,ISNUMBER(AT373)),$AT373,1)</f>
        <v>0</v>
      </c>
      <c r="AX373">
        <f>IF(AND(AR373=1,ISNUMBER(AT373)),$AT373,1)</f>
        <v>0</v>
      </c>
      <c r="AY373">
        <f>IF(ISNUMBER(Y373),INDEX(AllCollegeMoney, MATCH(N373,AllCollegeNCES,0)),0)</f>
        <v>0</v>
      </c>
      <c r="AZ373">
        <f>IF(AND(AQ373=1,ISNUMBER(AT373),AY373=1),$AT373,1)</f>
        <v>0</v>
      </c>
      <c r="BA373">
        <f>IF(AND(AR373=1,ISNUMBER(AT373),AY373=1),$AT373,1)</f>
        <v>0</v>
      </c>
      <c r="BB373">
        <f>IF(ISNUMBER(Y373),INDEX(AllCollegeILPub, MATCH(N373,AllCollegeNCES,0)),0)</f>
        <v>0</v>
      </c>
      <c r="BC373">
        <f>IF(AK373=ReachLabel,AP373,0)</f>
        <v>0</v>
      </c>
      <c r="BD373">
        <f>IF(AK373=MatchLabel,AP373,0)</f>
        <v>0</v>
      </c>
      <c r="BE373">
        <f>IF(AK373=SafetyLabel,AP373,0)</f>
        <v>0</v>
      </c>
      <c r="BF373">
        <f>IF(AK373=SecureLabel,AP373,0)</f>
        <v>0</v>
      </c>
      <c r="BG373">
        <f>IF(AK373=SureThingLabel,AP373,0)</f>
        <v>0</v>
      </c>
      <c r="BH373">
        <f>MAX(BC373:BG373)</f>
        <v>0</v>
      </c>
      <c r="BI373">
        <f>MAX(BD373:BG373)</f>
        <v>0</v>
      </c>
      <c r="BJ373">
        <f>MAX(BE373:BG373)</f>
        <v>0</v>
      </c>
      <c r="BK373">
        <f>IF(AND(AK373=ReachLabel,AY373=1),AP373,0)</f>
        <v>0</v>
      </c>
      <c r="BL373">
        <f>IF(AND(AK373=MatchLabel,AY373=1),AP373,0)</f>
        <v>0</v>
      </c>
      <c r="BM373">
        <f>IF(AND(AK373=SafetyLabel,AY373=1),AP373,0)</f>
        <v>0</v>
      </c>
      <c r="BN373">
        <f>IF(AND(AK373=SecureLabel,AY373=1),AP373,0)</f>
        <v>0</v>
      </c>
      <c r="BO373">
        <f>IF(AND(AK373=SureThingLabel,AY373=1),AP373,0)</f>
        <v>0</v>
      </c>
      <c r="BP373">
        <f>MAX(BK373:BO373)</f>
        <v>0</v>
      </c>
      <c r="BQ373">
        <f>MAX(BL373:BO373)</f>
        <v>0</v>
      </c>
      <c r="BR373">
        <f>MAX(BM373:BO373)</f>
        <v>0</v>
      </c>
      <c r="BS373">
        <f>IF(ISNUMBER(Y373),INDEX(AllCollegeChicago, MATCH(N373,AllCollegeNCES,0))*AY373,0)</f>
        <v>0</v>
      </c>
      <c r="BT373">
        <f>IF(ISNUMBER(Y373),INDEX(AllCollegeMoneyCode, MATCH(N373,AllCollegeNCES,0)),"?")</f>
        <v>0</v>
      </c>
      <c r="BU373">
        <f>IF(OR(BT373="---",BT373="--",BT373="+/--",BT373="+/---"),1,0)</f>
        <v>0</v>
      </c>
      <c r="BV373">
        <f>AY373*AO373*AQ373</f>
        <v>0</v>
      </c>
    </row>
    <row r="374" spans="1:74">
      <c r="A374" t="s">
        <v>86</v>
      </c>
      <c r="B374">
        <v>23319069</v>
      </c>
      <c r="C374" t="s">
        <v>147</v>
      </c>
      <c r="D374" t="s">
        <v>148</v>
      </c>
      <c r="E374" t="s">
        <v>428</v>
      </c>
      <c r="F374" t="s">
        <v>459</v>
      </c>
      <c r="G374" t="s">
        <v>430</v>
      </c>
      <c r="H374" t="s">
        <v>431</v>
      </c>
      <c r="I374" t="s">
        <v>432</v>
      </c>
      <c r="J374" t="s">
        <v>432</v>
      </c>
      <c r="K374">
        <v>0</v>
      </c>
      <c r="L374" t="s">
        <v>428</v>
      </c>
      <c r="M374" t="s">
        <v>428</v>
      </c>
      <c r="N374">
        <v>146427</v>
      </c>
      <c r="O374">
        <f>INDEX(AllCollegeBarrons,MATCH(N374,AllCollegeNCES,0))</f>
        <v>0</v>
      </c>
      <c r="P374">
        <f>INDEX(KidGPAs,MATCH(B374,KidIDs,0))</f>
        <v>0</v>
      </c>
      <c r="Q374">
        <f>INDEX(KidACTs,MATCH(B374,KidIDs,0))</f>
        <v>0</v>
      </c>
      <c r="R374">
        <f>INDEX(Strats,MATCH(B374,KidIDs,0))</f>
        <v>0</v>
      </c>
      <c r="S374">
        <f>INDEX(KidRace,MATCH(B374,KidIDs,0))</f>
        <v>0</v>
      </c>
      <c r="T374">
        <f>IF(OR(S374="M",S374="I"),"H",S374)</f>
        <v>0</v>
      </c>
      <c r="U374">
        <f>INDEX(StudentTargets,MATCH(B374,KidIDs,0))</f>
        <v>0</v>
      </c>
      <c r="V374">
        <f>INDEX(ReachStudentTargets,MATCH(B374,KidIDs,0))</f>
        <v>0</v>
      </c>
      <c r="W374">
        <f>IF(OR(M374="Posse"),1,0)</f>
        <v>0</v>
      </c>
      <c r="X374">
        <f>IF(ISNUMBER(INDEX(AllCollegeGR, MATCH(N374,AllCollegeNCES,0))),ROUND(INDEX(AllCollegeGR, MATCH(N374,AllCollegeNCES,0))+W374*IF(INDEX(AllCollegeGR, MATCH(N374,AllCollegeNCES,0))&gt;0.7,(1-INDEX(AllCollegeGR, MATCH(N374,AllCollegeNCES,0)))/2,0.15),2),INDEX(AllCollegeGR, MATCH(N374,AllCollegeNCES,0)))</f>
        <v>0</v>
      </c>
      <c r="Y374">
        <f>IF(ISNUMBER(INDEX(AllCollegeAAHGR, MATCH(N374,AllCollegeNCES,0))),ROUND(INDEX(AllCollegeAAHGR, MATCH(N374,AllCollegeNCES,0))+W374*IF(INDEX(AllCollegeAAHGR, MATCH(N374,AllCollegeNCES,0))&gt;0.7,(1-INDEX(AllCollegeAAHGR, MATCH(N374,AllCollegeNCES,0)))/2,0.15),2),INDEX(AllCollegeAAHGR, MATCH(N374,AllCollegeNCES,0)))</f>
        <v>0</v>
      </c>
      <c r="Z374">
        <f>IF(OR(T374="H",T374="B"),INDEX(AllCollegeACT25, MATCH(N374,AllCollegeNCES,0)),INDEX(AllCollegeACT50, MATCH(N374,AllCollegeNCES,0)))</f>
        <v>0</v>
      </c>
      <c r="AA374">
        <f>INDEX(CustomWeightsGPA,MATCH(T374&amp;":"&amp;N374,CustomWeightsIndex,0))</f>
        <v>0</v>
      </c>
      <c r="AB374">
        <f>INDEX(CustomWeightsACT,MATCH(T374&amp;":"&amp;N374,CustomWeightsIndex,0))</f>
        <v>0</v>
      </c>
      <c r="AC374">
        <f>INDEX(CustomWeightsIntercept,MATCH(T374&amp;":"&amp;N374,CustomWeightsIndex,0))</f>
        <v>0</v>
      </c>
      <c r="AD374">
        <f>AA374*P374+AB374*Q374+AC374</f>
        <v>0</v>
      </c>
      <c r="AE374">
        <f>INDEX(CoefficientsGPA,MATCH(T374&amp;":"&amp;O374,CoefficientsIndex,0))</f>
        <v>0</v>
      </c>
      <c r="AF374">
        <f>INDEX(CoefficientsACT,MATCH(T374&amp;":"&amp;O374,CoefficientsIndex,0))</f>
        <v>0</v>
      </c>
      <c r="AG374">
        <f>INDEX(CoefficientsIntercept,MATCH(T374&amp;":"&amp;O374,CoefficientsIndex,0))</f>
        <v>0</v>
      </c>
      <c r="AH374">
        <f>AE374*P374+(Q374-Z374)*AF374+AG374</f>
        <v>0</v>
      </c>
      <c r="AI374">
        <f>IF(ISNUMBER(AD374),AD374,AH374)</f>
        <v>0</v>
      </c>
      <c r="AJ374">
        <f>IF(ISNUMBER(AI374),IF(ISNUMBER(AE374),IF(AND(AE374=1,AF374=1,AG374=1),100,ROUND(100*EXP(AI374)/(1+EXP(AI374)),2)),ROUND(100*EXP(AI374)/(1+EXP(AI374)),2)),IF(ISTEXT(O374),IF(LEFT(O374,1)="2",100,"N/A"),"N/A"))</f>
        <v>0</v>
      </c>
      <c r="AK374">
        <f>IF(ISNUMBER(AJ374),IF(AJ374&gt;=99,IF(OR(R374=10,R374=11),MatchLabel,SureThingLabel),IF(AJ374&gt;=95,SecureLabel,IF(AJ374&gt;=80,SafetyLabel,IF(AJ374&gt;=50,MatchLabel,IF(AJ374&gt;=20,ReachLabel,IF(AJ374&gt;=10,LongshotLabel,HailMaryLabel)))))),"Other")</f>
        <v>0</v>
      </c>
      <c r="AL374">
        <f>IF(OR(I374="accepted",I374="cond. accept",I374="summer admit"),IF(J374="yes","CHOICE!","Accepted!"),IF(I374="denied","Denied",IF(K374=1,"Waitlist",IF(L374=1,"Deferred",IF(G374="pending","Pending",IF(OR(G374="initial materials submitted",G374="mid-year submitted",G374="final submitted"),"Submitted",IF(H374="interest","Interest","?")))))))</f>
        <v>0</v>
      </c>
      <c r="AM374">
        <f>IF(OR(AK374=ReachLabel,AK374=LongshotLabel,AK374=HailMaryLabel),1,0)</f>
        <v>0</v>
      </c>
      <c r="AN374">
        <f>IF(OR(AM374=1,AK374=MatchLabel),1,0)</f>
        <v>0</v>
      </c>
      <c r="AO374">
        <f>IF(OR(AK374=MatchLabel,AK374=SafetyLabel,AK374=SecureLabel,AK374=SureThingLabel),1,0)</f>
        <v>0</v>
      </c>
      <c r="AP374">
        <f>IF(OR(T374="H",T374="B"),IF(ISNUMBER(Y374),ROUND(Y374,2),0),IF(ISNUMBER(X374),ROUND(X374,2),0))</f>
        <v>0</v>
      </c>
      <c r="AQ374">
        <f>IF(AP374&gt;=U374,1,0)</f>
        <v>0</v>
      </c>
      <c r="AR374">
        <f>IF(AP374&gt;=V374,1,0)</f>
        <v>0</v>
      </c>
      <c r="AS374">
        <f>IF(AP374&lt;(U374-0.10),1,0)</f>
        <v>0</v>
      </c>
      <c r="AT374">
        <f>1-AJ374/100</f>
        <v>0</v>
      </c>
      <c r="AU374">
        <f>IF(AN374=1,AT374,1)</f>
        <v>0</v>
      </c>
      <c r="AV374">
        <f>IF(AM374=1,AT374,1)</f>
        <v>0</v>
      </c>
      <c r="AW374">
        <f>IF(AND(AQ374=1,ISNUMBER(AT374)),$AT374,1)</f>
        <v>0</v>
      </c>
      <c r="AX374">
        <f>IF(AND(AR374=1,ISNUMBER(AT374)),$AT374,1)</f>
        <v>0</v>
      </c>
      <c r="AY374">
        <f>IF(ISNUMBER(Y374),INDEX(AllCollegeMoney, MATCH(N374,AllCollegeNCES,0)),0)</f>
        <v>0</v>
      </c>
      <c r="AZ374">
        <f>IF(AND(AQ374=1,ISNUMBER(AT374),AY374=1),$AT374,1)</f>
        <v>0</v>
      </c>
      <c r="BA374">
        <f>IF(AND(AR374=1,ISNUMBER(AT374),AY374=1),$AT374,1)</f>
        <v>0</v>
      </c>
      <c r="BB374">
        <f>IF(ISNUMBER(Y374),INDEX(AllCollegeILPub, MATCH(N374,AllCollegeNCES,0)),0)</f>
        <v>0</v>
      </c>
      <c r="BC374">
        <f>IF(AK374=ReachLabel,AP374,0)</f>
        <v>0</v>
      </c>
      <c r="BD374">
        <f>IF(AK374=MatchLabel,AP374,0)</f>
        <v>0</v>
      </c>
      <c r="BE374">
        <f>IF(AK374=SafetyLabel,AP374,0)</f>
        <v>0</v>
      </c>
      <c r="BF374">
        <f>IF(AK374=SecureLabel,AP374,0)</f>
        <v>0</v>
      </c>
      <c r="BG374">
        <f>IF(AK374=SureThingLabel,AP374,0)</f>
        <v>0</v>
      </c>
      <c r="BH374">
        <f>MAX(BC374:BG374)</f>
        <v>0</v>
      </c>
      <c r="BI374">
        <f>MAX(BD374:BG374)</f>
        <v>0</v>
      </c>
      <c r="BJ374">
        <f>MAX(BE374:BG374)</f>
        <v>0</v>
      </c>
      <c r="BK374">
        <f>IF(AND(AK374=ReachLabel,AY374=1),AP374,0)</f>
        <v>0</v>
      </c>
      <c r="BL374">
        <f>IF(AND(AK374=MatchLabel,AY374=1),AP374,0)</f>
        <v>0</v>
      </c>
      <c r="BM374">
        <f>IF(AND(AK374=SafetyLabel,AY374=1),AP374,0)</f>
        <v>0</v>
      </c>
      <c r="BN374">
        <f>IF(AND(AK374=SecureLabel,AY374=1),AP374,0)</f>
        <v>0</v>
      </c>
      <c r="BO374">
        <f>IF(AND(AK374=SureThingLabel,AY374=1),AP374,0)</f>
        <v>0</v>
      </c>
      <c r="BP374">
        <f>MAX(BK374:BO374)</f>
        <v>0</v>
      </c>
      <c r="BQ374">
        <f>MAX(BL374:BO374)</f>
        <v>0</v>
      </c>
      <c r="BR374">
        <f>MAX(BM374:BO374)</f>
        <v>0</v>
      </c>
      <c r="BS374">
        <f>IF(ISNUMBER(Y374),INDEX(AllCollegeChicago, MATCH(N374,AllCollegeNCES,0))*AY374,0)</f>
        <v>0</v>
      </c>
      <c r="BT374">
        <f>IF(ISNUMBER(Y374),INDEX(AllCollegeMoneyCode, MATCH(N374,AllCollegeNCES,0)),"?")</f>
        <v>0</v>
      </c>
      <c r="BU374">
        <f>IF(OR(BT374="---",BT374="--",BT374="+/--",BT374="+/---"),1,0)</f>
        <v>0</v>
      </c>
      <c r="BV374">
        <f>AY374*AO374*AQ374</f>
        <v>0</v>
      </c>
    </row>
    <row r="375" spans="1:74">
      <c r="A375" t="s">
        <v>86</v>
      </c>
      <c r="B375">
        <v>23319069</v>
      </c>
      <c r="C375" t="s">
        <v>147</v>
      </c>
      <c r="D375" t="s">
        <v>148</v>
      </c>
      <c r="E375" t="s">
        <v>428</v>
      </c>
      <c r="F375" t="s">
        <v>470</v>
      </c>
      <c r="G375" t="s">
        <v>430</v>
      </c>
      <c r="H375" t="s">
        <v>431</v>
      </c>
      <c r="I375" t="s">
        <v>432</v>
      </c>
      <c r="J375" t="s">
        <v>432</v>
      </c>
      <c r="K375">
        <v>0</v>
      </c>
      <c r="L375" t="s">
        <v>428</v>
      </c>
      <c r="M375" t="s">
        <v>428</v>
      </c>
      <c r="N375">
        <v>206589</v>
      </c>
      <c r="O375">
        <f>INDEX(AllCollegeBarrons,MATCH(N375,AllCollegeNCES,0))</f>
        <v>0</v>
      </c>
      <c r="P375">
        <f>INDEX(KidGPAs,MATCH(B375,KidIDs,0))</f>
        <v>0</v>
      </c>
      <c r="Q375">
        <f>INDEX(KidACTs,MATCH(B375,KidIDs,0))</f>
        <v>0</v>
      </c>
      <c r="R375">
        <f>INDEX(Strats,MATCH(B375,KidIDs,0))</f>
        <v>0</v>
      </c>
      <c r="S375">
        <f>INDEX(KidRace,MATCH(B375,KidIDs,0))</f>
        <v>0</v>
      </c>
      <c r="T375">
        <f>IF(OR(S375="M",S375="I"),"H",S375)</f>
        <v>0</v>
      </c>
      <c r="U375">
        <f>INDEX(StudentTargets,MATCH(B375,KidIDs,0))</f>
        <v>0</v>
      </c>
      <c r="V375">
        <f>INDEX(ReachStudentTargets,MATCH(B375,KidIDs,0))</f>
        <v>0</v>
      </c>
      <c r="W375">
        <f>IF(OR(M375="Posse"),1,0)</f>
        <v>0</v>
      </c>
      <c r="X375">
        <f>IF(ISNUMBER(INDEX(AllCollegeGR, MATCH(N375,AllCollegeNCES,0))),ROUND(INDEX(AllCollegeGR, MATCH(N375,AllCollegeNCES,0))+W375*IF(INDEX(AllCollegeGR, MATCH(N375,AllCollegeNCES,0))&gt;0.7,(1-INDEX(AllCollegeGR, MATCH(N375,AllCollegeNCES,0)))/2,0.15),2),INDEX(AllCollegeGR, MATCH(N375,AllCollegeNCES,0)))</f>
        <v>0</v>
      </c>
      <c r="Y375">
        <f>IF(ISNUMBER(INDEX(AllCollegeAAHGR, MATCH(N375,AllCollegeNCES,0))),ROUND(INDEX(AllCollegeAAHGR, MATCH(N375,AllCollegeNCES,0))+W375*IF(INDEX(AllCollegeAAHGR, MATCH(N375,AllCollegeNCES,0))&gt;0.7,(1-INDEX(AllCollegeAAHGR, MATCH(N375,AllCollegeNCES,0)))/2,0.15),2),INDEX(AllCollegeAAHGR, MATCH(N375,AllCollegeNCES,0)))</f>
        <v>0</v>
      </c>
      <c r="Z375">
        <f>IF(OR(T375="H",T375="B"),INDEX(AllCollegeACT25, MATCH(N375,AllCollegeNCES,0)),INDEX(AllCollegeACT50, MATCH(N375,AllCollegeNCES,0)))</f>
        <v>0</v>
      </c>
      <c r="AA375">
        <f>INDEX(CustomWeightsGPA,MATCH(T375&amp;":"&amp;N375,CustomWeightsIndex,0))</f>
        <v>0</v>
      </c>
      <c r="AB375">
        <f>INDEX(CustomWeightsACT,MATCH(T375&amp;":"&amp;N375,CustomWeightsIndex,0))</f>
        <v>0</v>
      </c>
      <c r="AC375">
        <f>INDEX(CustomWeightsIntercept,MATCH(T375&amp;":"&amp;N375,CustomWeightsIndex,0))</f>
        <v>0</v>
      </c>
      <c r="AD375">
        <f>AA375*P375+AB375*Q375+AC375</f>
        <v>0</v>
      </c>
      <c r="AE375">
        <f>INDEX(CoefficientsGPA,MATCH(T375&amp;":"&amp;O375,CoefficientsIndex,0))</f>
        <v>0</v>
      </c>
      <c r="AF375">
        <f>INDEX(CoefficientsACT,MATCH(T375&amp;":"&amp;O375,CoefficientsIndex,0))</f>
        <v>0</v>
      </c>
      <c r="AG375">
        <f>INDEX(CoefficientsIntercept,MATCH(T375&amp;":"&amp;O375,CoefficientsIndex,0))</f>
        <v>0</v>
      </c>
      <c r="AH375">
        <f>AE375*P375+(Q375-Z375)*AF375+AG375</f>
        <v>0</v>
      </c>
      <c r="AI375">
        <f>IF(ISNUMBER(AD375),AD375,AH375)</f>
        <v>0</v>
      </c>
      <c r="AJ375">
        <f>IF(ISNUMBER(AI375),IF(ISNUMBER(AE375),IF(AND(AE375=1,AF375=1,AG375=1),100,ROUND(100*EXP(AI375)/(1+EXP(AI375)),2)),ROUND(100*EXP(AI375)/(1+EXP(AI375)),2)),IF(ISTEXT(O375),IF(LEFT(O375,1)="2",100,"N/A"),"N/A"))</f>
        <v>0</v>
      </c>
      <c r="AK375">
        <f>IF(ISNUMBER(AJ375),IF(AJ375&gt;=99,IF(OR(R375=10,R375=11),MatchLabel,SureThingLabel),IF(AJ375&gt;=95,SecureLabel,IF(AJ375&gt;=80,SafetyLabel,IF(AJ375&gt;=50,MatchLabel,IF(AJ375&gt;=20,ReachLabel,IF(AJ375&gt;=10,LongshotLabel,HailMaryLabel)))))),"Other")</f>
        <v>0</v>
      </c>
      <c r="AL375">
        <f>IF(OR(I375="accepted",I375="cond. accept",I375="summer admit"),IF(J375="yes","CHOICE!","Accepted!"),IF(I375="denied","Denied",IF(K375=1,"Waitlist",IF(L375=1,"Deferred",IF(G375="pending","Pending",IF(OR(G375="initial materials submitted",G375="mid-year submitted",G375="final submitted"),"Submitted",IF(H375="interest","Interest","?")))))))</f>
        <v>0</v>
      </c>
      <c r="AM375">
        <f>IF(OR(AK375=ReachLabel,AK375=LongshotLabel,AK375=HailMaryLabel),1,0)</f>
        <v>0</v>
      </c>
      <c r="AN375">
        <f>IF(OR(AM375=1,AK375=MatchLabel),1,0)</f>
        <v>0</v>
      </c>
      <c r="AO375">
        <f>IF(OR(AK375=MatchLabel,AK375=SafetyLabel,AK375=SecureLabel,AK375=SureThingLabel),1,0)</f>
        <v>0</v>
      </c>
      <c r="AP375">
        <f>IF(OR(T375="H",T375="B"),IF(ISNUMBER(Y375),ROUND(Y375,2),0),IF(ISNUMBER(X375),ROUND(X375,2),0))</f>
        <v>0</v>
      </c>
      <c r="AQ375">
        <f>IF(AP375&gt;=U375,1,0)</f>
        <v>0</v>
      </c>
      <c r="AR375">
        <f>IF(AP375&gt;=V375,1,0)</f>
        <v>0</v>
      </c>
      <c r="AS375">
        <f>IF(AP375&lt;(U375-0.10),1,0)</f>
        <v>0</v>
      </c>
      <c r="AT375">
        <f>1-AJ375/100</f>
        <v>0</v>
      </c>
      <c r="AU375">
        <f>IF(AN375=1,AT375,1)</f>
        <v>0</v>
      </c>
      <c r="AV375">
        <f>IF(AM375=1,AT375,1)</f>
        <v>0</v>
      </c>
      <c r="AW375">
        <f>IF(AND(AQ375=1,ISNUMBER(AT375)),$AT375,1)</f>
        <v>0</v>
      </c>
      <c r="AX375">
        <f>IF(AND(AR375=1,ISNUMBER(AT375)),$AT375,1)</f>
        <v>0</v>
      </c>
      <c r="AY375">
        <f>IF(ISNUMBER(Y375),INDEX(AllCollegeMoney, MATCH(N375,AllCollegeNCES,0)),0)</f>
        <v>0</v>
      </c>
      <c r="AZ375">
        <f>IF(AND(AQ375=1,ISNUMBER(AT375),AY375=1),$AT375,1)</f>
        <v>0</v>
      </c>
      <c r="BA375">
        <f>IF(AND(AR375=1,ISNUMBER(AT375),AY375=1),$AT375,1)</f>
        <v>0</v>
      </c>
      <c r="BB375">
        <f>IF(ISNUMBER(Y375),INDEX(AllCollegeILPub, MATCH(N375,AllCollegeNCES,0)),0)</f>
        <v>0</v>
      </c>
      <c r="BC375">
        <f>IF(AK375=ReachLabel,AP375,0)</f>
        <v>0</v>
      </c>
      <c r="BD375">
        <f>IF(AK375=MatchLabel,AP375,0)</f>
        <v>0</v>
      </c>
      <c r="BE375">
        <f>IF(AK375=SafetyLabel,AP375,0)</f>
        <v>0</v>
      </c>
      <c r="BF375">
        <f>IF(AK375=SecureLabel,AP375,0)</f>
        <v>0</v>
      </c>
      <c r="BG375">
        <f>IF(AK375=SureThingLabel,AP375,0)</f>
        <v>0</v>
      </c>
      <c r="BH375">
        <f>MAX(BC375:BG375)</f>
        <v>0</v>
      </c>
      <c r="BI375">
        <f>MAX(BD375:BG375)</f>
        <v>0</v>
      </c>
      <c r="BJ375">
        <f>MAX(BE375:BG375)</f>
        <v>0</v>
      </c>
      <c r="BK375">
        <f>IF(AND(AK375=ReachLabel,AY375=1),AP375,0)</f>
        <v>0</v>
      </c>
      <c r="BL375">
        <f>IF(AND(AK375=MatchLabel,AY375=1),AP375,0)</f>
        <v>0</v>
      </c>
      <c r="BM375">
        <f>IF(AND(AK375=SafetyLabel,AY375=1),AP375,0)</f>
        <v>0</v>
      </c>
      <c r="BN375">
        <f>IF(AND(AK375=SecureLabel,AY375=1),AP375,0)</f>
        <v>0</v>
      </c>
      <c r="BO375">
        <f>IF(AND(AK375=SureThingLabel,AY375=1),AP375,0)</f>
        <v>0</v>
      </c>
      <c r="BP375">
        <f>MAX(BK375:BO375)</f>
        <v>0</v>
      </c>
      <c r="BQ375">
        <f>MAX(BL375:BO375)</f>
        <v>0</v>
      </c>
      <c r="BR375">
        <f>MAX(BM375:BO375)</f>
        <v>0</v>
      </c>
      <c r="BS375">
        <f>IF(ISNUMBER(Y375),INDEX(AllCollegeChicago, MATCH(N375,AllCollegeNCES,0))*AY375,0)</f>
        <v>0</v>
      </c>
      <c r="BT375">
        <f>IF(ISNUMBER(Y375),INDEX(AllCollegeMoneyCode, MATCH(N375,AllCollegeNCES,0)),"?")</f>
        <v>0</v>
      </c>
      <c r="BU375">
        <f>IF(OR(BT375="---",BT375="--",BT375="+/--",BT375="+/---"),1,0)</f>
        <v>0</v>
      </c>
      <c r="BV375">
        <f>AY375*AO375*AQ375</f>
        <v>0</v>
      </c>
    </row>
    <row r="376" spans="1:74">
      <c r="A376" t="s">
        <v>86</v>
      </c>
      <c r="B376">
        <v>23319069</v>
      </c>
      <c r="C376" t="s">
        <v>147</v>
      </c>
      <c r="D376" t="s">
        <v>148</v>
      </c>
      <c r="E376" t="s">
        <v>428</v>
      </c>
      <c r="F376" t="s">
        <v>461</v>
      </c>
      <c r="G376" t="s">
        <v>463</v>
      </c>
      <c r="H376" t="s">
        <v>431</v>
      </c>
      <c r="I376" t="s">
        <v>432</v>
      </c>
      <c r="J376" t="s">
        <v>432</v>
      </c>
      <c r="K376">
        <v>0</v>
      </c>
      <c r="L376" t="s">
        <v>428</v>
      </c>
      <c r="M376" t="s">
        <v>428</v>
      </c>
      <c r="N376">
        <v>153834</v>
      </c>
      <c r="O376">
        <f>INDEX(AllCollegeBarrons,MATCH(N376,AllCollegeNCES,0))</f>
        <v>0</v>
      </c>
      <c r="P376">
        <f>INDEX(KidGPAs,MATCH(B376,KidIDs,0))</f>
        <v>0</v>
      </c>
      <c r="Q376">
        <f>INDEX(KidACTs,MATCH(B376,KidIDs,0))</f>
        <v>0</v>
      </c>
      <c r="R376">
        <f>INDEX(Strats,MATCH(B376,KidIDs,0))</f>
        <v>0</v>
      </c>
      <c r="S376">
        <f>INDEX(KidRace,MATCH(B376,KidIDs,0))</f>
        <v>0</v>
      </c>
      <c r="T376">
        <f>IF(OR(S376="M",S376="I"),"H",S376)</f>
        <v>0</v>
      </c>
      <c r="U376">
        <f>INDEX(StudentTargets,MATCH(B376,KidIDs,0))</f>
        <v>0</v>
      </c>
      <c r="V376">
        <f>INDEX(ReachStudentTargets,MATCH(B376,KidIDs,0))</f>
        <v>0</v>
      </c>
      <c r="W376">
        <f>IF(OR(M376="Posse"),1,0)</f>
        <v>0</v>
      </c>
      <c r="X376">
        <f>IF(ISNUMBER(INDEX(AllCollegeGR, MATCH(N376,AllCollegeNCES,0))),ROUND(INDEX(AllCollegeGR, MATCH(N376,AllCollegeNCES,0))+W376*IF(INDEX(AllCollegeGR, MATCH(N376,AllCollegeNCES,0))&gt;0.7,(1-INDEX(AllCollegeGR, MATCH(N376,AllCollegeNCES,0)))/2,0.15),2),INDEX(AllCollegeGR, MATCH(N376,AllCollegeNCES,0)))</f>
        <v>0</v>
      </c>
      <c r="Y376">
        <f>IF(ISNUMBER(INDEX(AllCollegeAAHGR, MATCH(N376,AllCollegeNCES,0))),ROUND(INDEX(AllCollegeAAHGR, MATCH(N376,AllCollegeNCES,0))+W376*IF(INDEX(AllCollegeAAHGR, MATCH(N376,AllCollegeNCES,0))&gt;0.7,(1-INDEX(AllCollegeAAHGR, MATCH(N376,AllCollegeNCES,0)))/2,0.15),2),INDEX(AllCollegeAAHGR, MATCH(N376,AllCollegeNCES,0)))</f>
        <v>0</v>
      </c>
      <c r="Z376">
        <f>IF(OR(T376="H",T376="B"),INDEX(AllCollegeACT25, MATCH(N376,AllCollegeNCES,0)),INDEX(AllCollegeACT50, MATCH(N376,AllCollegeNCES,0)))</f>
        <v>0</v>
      </c>
      <c r="AA376">
        <f>INDEX(CustomWeightsGPA,MATCH(T376&amp;":"&amp;N376,CustomWeightsIndex,0))</f>
        <v>0</v>
      </c>
      <c r="AB376">
        <f>INDEX(CustomWeightsACT,MATCH(T376&amp;":"&amp;N376,CustomWeightsIndex,0))</f>
        <v>0</v>
      </c>
      <c r="AC376">
        <f>INDEX(CustomWeightsIntercept,MATCH(T376&amp;":"&amp;N376,CustomWeightsIndex,0))</f>
        <v>0</v>
      </c>
      <c r="AD376">
        <f>AA376*P376+AB376*Q376+AC376</f>
        <v>0</v>
      </c>
      <c r="AE376">
        <f>INDEX(CoefficientsGPA,MATCH(T376&amp;":"&amp;O376,CoefficientsIndex,0))</f>
        <v>0</v>
      </c>
      <c r="AF376">
        <f>INDEX(CoefficientsACT,MATCH(T376&amp;":"&amp;O376,CoefficientsIndex,0))</f>
        <v>0</v>
      </c>
      <c r="AG376">
        <f>INDEX(CoefficientsIntercept,MATCH(T376&amp;":"&amp;O376,CoefficientsIndex,0))</f>
        <v>0</v>
      </c>
      <c r="AH376">
        <f>AE376*P376+(Q376-Z376)*AF376+AG376</f>
        <v>0</v>
      </c>
      <c r="AI376">
        <f>IF(ISNUMBER(AD376),AD376,AH376)</f>
        <v>0</v>
      </c>
      <c r="AJ376">
        <f>IF(ISNUMBER(AI376),IF(ISNUMBER(AE376),IF(AND(AE376=1,AF376=1,AG376=1),100,ROUND(100*EXP(AI376)/(1+EXP(AI376)),2)),ROUND(100*EXP(AI376)/(1+EXP(AI376)),2)),IF(ISTEXT(O376),IF(LEFT(O376,1)="2",100,"N/A"),"N/A"))</f>
        <v>0</v>
      </c>
      <c r="AK376">
        <f>IF(ISNUMBER(AJ376),IF(AJ376&gt;=99,IF(OR(R376=10,R376=11),MatchLabel,SureThingLabel),IF(AJ376&gt;=95,SecureLabel,IF(AJ376&gt;=80,SafetyLabel,IF(AJ376&gt;=50,MatchLabel,IF(AJ376&gt;=20,ReachLabel,IF(AJ376&gt;=10,LongshotLabel,HailMaryLabel)))))),"Other")</f>
        <v>0</v>
      </c>
      <c r="AL376">
        <f>IF(OR(I376="accepted",I376="cond. accept",I376="summer admit"),IF(J376="yes","CHOICE!","Accepted!"),IF(I376="denied","Denied",IF(K376=1,"Waitlist",IF(L376=1,"Deferred",IF(G376="pending","Pending",IF(OR(G376="initial materials submitted",G376="mid-year submitted",G376="final submitted"),"Submitted",IF(H376="interest","Interest","?")))))))</f>
        <v>0</v>
      </c>
      <c r="AM376">
        <f>IF(OR(AK376=ReachLabel,AK376=LongshotLabel,AK376=HailMaryLabel),1,0)</f>
        <v>0</v>
      </c>
      <c r="AN376">
        <f>IF(OR(AM376=1,AK376=MatchLabel),1,0)</f>
        <v>0</v>
      </c>
      <c r="AO376">
        <f>IF(OR(AK376=MatchLabel,AK376=SafetyLabel,AK376=SecureLabel,AK376=SureThingLabel),1,0)</f>
        <v>0</v>
      </c>
      <c r="AP376">
        <f>IF(OR(T376="H",T376="B"),IF(ISNUMBER(Y376),ROUND(Y376,2),0),IF(ISNUMBER(X376),ROUND(X376,2),0))</f>
        <v>0</v>
      </c>
      <c r="AQ376">
        <f>IF(AP376&gt;=U376,1,0)</f>
        <v>0</v>
      </c>
      <c r="AR376">
        <f>IF(AP376&gt;=V376,1,0)</f>
        <v>0</v>
      </c>
      <c r="AS376">
        <f>IF(AP376&lt;(U376-0.10),1,0)</f>
        <v>0</v>
      </c>
      <c r="AT376">
        <f>1-AJ376/100</f>
        <v>0</v>
      </c>
      <c r="AU376">
        <f>IF(AN376=1,AT376,1)</f>
        <v>0</v>
      </c>
      <c r="AV376">
        <f>IF(AM376=1,AT376,1)</f>
        <v>0</v>
      </c>
      <c r="AW376">
        <f>IF(AND(AQ376=1,ISNUMBER(AT376)),$AT376,1)</f>
        <v>0</v>
      </c>
      <c r="AX376">
        <f>IF(AND(AR376=1,ISNUMBER(AT376)),$AT376,1)</f>
        <v>0</v>
      </c>
      <c r="AY376">
        <f>IF(ISNUMBER(Y376),INDEX(AllCollegeMoney, MATCH(N376,AllCollegeNCES,0)),0)</f>
        <v>0</v>
      </c>
      <c r="AZ376">
        <f>IF(AND(AQ376=1,ISNUMBER(AT376),AY376=1),$AT376,1)</f>
        <v>0</v>
      </c>
      <c r="BA376">
        <f>IF(AND(AR376=1,ISNUMBER(AT376),AY376=1),$AT376,1)</f>
        <v>0</v>
      </c>
      <c r="BB376">
        <f>IF(ISNUMBER(Y376),INDEX(AllCollegeILPub, MATCH(N376,AllCollegeNCES,0)),0)</f>
        <v>0</v>
      </c>
      <c r="BC376">
        <f>IF(AK376=ReachLabel,AP376,0)</f>
        <v>0</v>
      </c>
      <c r="BD376">
        <f>IF(AK376=MatchLabel,AP376,0)</f>
        <v>0</v>
      </c>
      <c r="BE376">
        <f>IF(AK376=SafetyLabel,AP376,0)</f>
        <v>0</v>
      </c>
      <c r="BF376">
        <f>IF(AK376=SecureLabel,AP376,0)</f>
        <v>0</v>
      </c>
      <c r="BG376">
        <f>IF(AK376=SureThingLabel,AP376,0)</f>
        <v>0</v>
      </c>
      <c r="BH376">
        <f>MAX(BC376:BG376)</f>
        <v>0</v>
      </c>
      <c r="BI376">
        <f>MAX(BD376:BG376)</f>
        <v>0</v>
      </c>
      <c r="BJ376">
        <f>MAX(BE376:BG376)</f>
        <v>0</v>
      </c>
      <c r="BK376">
        <f>IF(AND(AK376=ReachLabel,AY376=1),AP376,0)</f>
        <v>0</v>
      </c>
      <c r="BL376">
        <f>IF(AND(AK376=MatchLabel,AY376=1),AP376,0)</f>
        <v>0</v>
      </c>
      <c r="BM376">
        <f>IF(AND(AK376=SafetyLabel,AY376=1),AP376,0)</f>
        <v>0</v>
      </c>
      <c r="BN376">
        <f>IF(AND(AK376=SecureLabel,AY376=1),AP376,0)</f>
        <v>0</v>
      </c>
      <c r="BO376">
        <f>IF(AND(AK376=SureThingLabel,AY376=1),AP376,0)</f>
        <v>0</v>
      </c>
      <c r="BP376">
        <f>MAX(BK376:BO376)</f>
        <v>0</v>
      </c>
      <c r="BQ376">
        <f>MAX(BL376:BO376)</f>
        <v>0</v>
      </c>
      <c r="BR376">
        <f>MAX(BM376:BO376)</f>
        <v>0</v>
      </c>
      <c r="BS376">
        <f>IF(ISNUMBER(Y376),INDEX(AllCollegeChicago, MATCH(N376,AllCollegeNCES,0))*AY376,0)</f>
        <v>0</v>
      </c>
      <c r="BT376">
        <f>IF(ISNUMBER(Y376),INDEX(AllCollegeMoneyCode, MATCH(N376,AllCollegeNCES,0)),"?")</f>
        <v>0</v>
      </c>
      <c r="BU376">
        <f>IF(OR(BT376="---",BT376="--",BT376="+/--",BT376="+/---"),1,0)</f>
        <v>0</v>
      </c>
      <c r="BV376">
        <f>AY376*AO376*AQ376</f>
        <v>0</v>
      </c>
    </row>
    <row r="377" spans="1:74">
      <c r="A377" t="s">
        <v>86</v>
      </c>
      <c r="B377">
        <v>23319069</v>
      </c>
      <c r="C377" t="s">
        <v>147</v>
      </c>
      <c r="D377" t="s">
        <v>148</v>
      </c>
      <c r="E377" t="s">
        <v>428</v>
      </c>
      <c r="F377" t="s">
        <v>501</v>
      </c>
      <c r="G377" t="s">
        <v>430</v>
      </c>
      <c r="H377" t="s">
        <v>431</v>
      </c>
      <c r="I377" t="s">
        <v>432</v>
      </c>
      <c r="J377" t="s">
        <v>432</v>
      </c>
      <c r="K377">
        <v>0</v>
      </c>
      <c r="L377" t="s">
        <v>428</v>
      </c>
      <c r="M377" t="s">
        <v>428</v>
      </c>
      <c r="N377">
        <v>145725</v>
      </c>
      <c r="O377">
        <f>INDEX(AllCollegeBarrons,MATCH(N377,AllCollegeNCES,0))</f>
        <v>0</v>
      </c>
      <c r="P377">
        <f>INDEX(KidGPAs,MATCH(B377,KidIDs,0))</f>
        <v>0</v>
      </c>
      <c r="Q377">
        <f>INDEX(KidACTs,MATCH(B377,KidIDs,0))</f>
        <v>0</v>
      </c>
      <c r="R377">
        <f>INDEX(Strats,MATCH(B377,KidIDs,0))</f>
        <v>0</v>
      </c>
      <c r="S377">
        <f>INDEX(KidRace,MATCH(B377,KidIDs,0))</f>
        <v>0</v>
      </c>
      <c r="T377">
        <f>IF(OR(S377="M",S377="I"),"H",S377)</f>
        <v>0</v>
      </c>
      <c r="U377">
        <f>INDEX(StudentTargets,MATCH(B377,KidIDs,0))</f>
        <v>0</v>
      </c>
      <c r="V377">
        <f>INDEX(ReachStudentTargets,MATCH(B377,KidIDs,0))</f>
        <v>0</v>
      </c>
      <c r="W377">
        <f>IF(OR(M377="Posse"),1,0)</f>
        <v>0</v>
      </c>
      <c r="X377">
        <f>IF(ISNUMBER(INDEX(AllCollegeGR, MATCH(N377,AllCollegeNCES,0))),ROUND(INDEX(AllCollegeGR, MATCH(N377,AllCollegeNCES,0))+W377*IF(INDEX(AllCollegeGR, MATCH(N377,AllCollegeNCES,0))&gt;0.7,(1-INDEX(AllCollegeGR, MATCH(N377,AllCollegeNCES,0)))/2,0.15),2),INDEX(AllCollegeGR, MATCH(N377,AllCollegeNCES,0)))</f>
        <v>0</v>
      </c>
      <c r="Y377">
        <f>IF(ISNUMBER(INDEX(AllCollegeAAHGR, MATCH(N377,AllCollegeNCES,0))),ROUND(INDEX(AllCollegeAAHGR, MATCH(N377,AllCollegeNCES,0))+W377*IF(INDEX(AllCollegeAAHGR, MATCH(N377,AllCollegeNCES,0))&gt;0.7,(1-INDEX(AllCollegeAAHGR, MATCH(N377,AllCollegeNCES,0)))/2,0.15),2),INDEX(AllCollegeAAHGR, MATCH(N377,AllCollegeNCES,0)))</f>
        <v>0</v>
      </c>
      <c r="Z377">
        <f>IF(OR(T377="H",T377="B"),INDEX(AllCollegeACT25, MATCH(N377,AllCollegeNCES,0)),INDEX(AllCollegeACT50, MATCH(N377,AllCollegeNCES,0)))</f>
        <v>0</v>
      </c>
      <c r="AA377">
        <f>INDEX(CustomWeightsGPA,MATCH(T377&amp;":"&amp;N377,CustomWeightsIndex,0))</f>
        <v>0</v>
      </c>
      <c r="AB377">
        <f>INDEX(CustomWeightsACT,MATCH(T377&amp;":"&amp;N377,CustomWeightsIndex,0))</f>
        <v>0</v>
      </c>
      <c r="AC377">
        <f>INDEX(CustomWeightsIntercept,MATCH(T377&amp;":"&amp;N377,CustomWeightsIndex,0))</f>
        <v>0</v>
      </c>
      <c r="AD377">
        <f>AA377*P377+AB377*Q377+AC377</f>
        <v>0</v>
      </c>
      <c r="AE377">
        <f>INDEX(CoefficientsGPA,MATCH(T377&amp;":"&amp;O377,CoefficientsIndex,0))</f>
        <v>0</v>
      </c>
      <c r="AF377">
        <f>INDEX(CoefficientsACT,MATCH(T377&amp;":"&amp;O377,CoefficientsIndex,0))</f>
        <v>0</v>
      </c>
      <c r="AG377">
        <f>INDEX(CoefficientsIntercept,MATCH(T377&amp;":"&amp;O377,CoefficientsIndex,0))</f>
        <v>0</v>
      </c>
      <c r="AH377">
        <f>AE377*P377+(Q377-Z377)*AF377+AG377</f>
        <v>0</v>
      </c>
      <c r="AI377">
        <f>IF(ISNUMBER(AD377),AD377,AH377)</f>
        <v>0</v>
      </c>
      <c r="AJ377">
        <f>IF(ISNUMBER(AI377),IF(ISNUMBER(AE377),IF(AND(AE377=1,AF377=1,AG377=1),100,ROUND(100*EXP(AI377)/(1+EXP(AI377)),2)),ROUND(100*EXP(AI377)/(1+EXP(AI377)),2)),IF(ISTEXT(O377),IF(LEFT(O377,1)="2",100,"N/A"),"N/A"))</f>
        <v>0</v>
      </c>
      <c r="AK377">
        <f>IF(ISNUMBER(AJ377),IF(AJ377&gt;=99,IF(OR(R377=10,R377=11),MatchLabel,SureThingLabel),IF(AJ377&gt;=95,SecureLabel,IF(AJ377&gt;=80,SafetyLabel,IF(AJ377&gt;=50,MatchLabel,IF(AJ377&gt;=20,ReachLabel,IF(AJ377&gt;=10,LongshotLabel,HailMaryLabel)))))),"Other")</f>
        <v>0</v>
      </c>
      <c r="AL377">
        <f>IF(OR(I377="accepted",I377="cond. accept",I377="summer admit"),IF(J377="yes","CHOICE!","Accepted!"),IF(I377="denied","Denied",IF(K377=1,"Waitlist",IF(L377=1,"Deferred",IF(G377="pending","Pending",IF(OR(G377="initial materials submitted",G377="mid-year submitted",G377="final submitted"),"Submitted",IF(H377="interest","Interest","?")))))))</f>
        <v>0</v>
      </c>
      <c r="AM377">
        <f>IF(OR(AK377=ReachLabel,AK377=LongshotLabel,AK377=HailMaryLabel),1,0)</f>
        <v>0</v>
      </c>
      <c r="AN377">
        <f>IF(OR(AM377=1,AK377=MatchLabel),1,0)</f>
        <v>0</v>
      </c>
      <c r="AO377">
        <f>IF(OR(AK377=MatchLabel,AK377=SafetyLabel,AK377=SecureLabel,AK377=SureThingLabel),1,0)</f>
        <v>0</v>
      </c>
      <c r="AP377">
        <f>IF(OR(T377="H",T377="B"),IF(ISNUMBER(Y377),ROUND(Y377,2),0),IF(ISNUMBER(X377),ROUND(X377,2),0))</f>
        <v>0</v>
      </c>
      <c r="AQ377">
        <f>IF(AP377&gt;=U377,1,0)</f>
        <v>0</v>
      </c>
      <c r="AR377">
        <f>IF(AP377&gt;=V377,1,0)</f>
        <v>0</v>
      </c>
      <c r="AS377">
        <f>IF(AP377&lt;(U377-0.10),1,0)</f>
        <v>0</v>
      </c>
      <c r="AT377">
        <f>1-AJ377/100</f>
        <v>0</v>
      </c>
      <c r="AU377">
        <f>IF(AN377=1,AT377,1)</f>
        <v>0</v>
      </c>
      <c r="AV377">
        <f>IF(AM377=1,AT377,1)</f>
        <v>0</v>
      </c>
      <c r="AW377">
        <f>IF(AND(AQ377=1,ISNUMBER(AT377)),$AT377,1)</f>
        <v>0</v>
      </c>
      <c r="AX377">
        <f>IF(AND(AR377=1,ISNUMBER(AT377)),$AT377,1)</f>
        <v>0</v>
      </c>
      <c r="AY377">
        <f>IF(ISNUMBER(Y377),INDEX(AllCollegeMoney, MATCH(N377,AllCollegeNCES,0)),0)</f>
        <v>0</v>
      </c>
      <c r="AZ377">
        <f>IF(AND(AQ377=1,ISNUMBER(AT377),AY377=1),$AT377,1)</f>
        <v>0</v>
      </c>
      <c r="BA377">
        <f>IF(AND(AR377=1,ISNUMBER(AT377),AY377=1),$AT377,1)</f>
        <v>0</v>
      </c>
      <c r="BB377">
        <f>IF(ISNUMBER(Y377),INDEX(AllCollegeILPub, MATCH(N377,AllCollegeNCES,0)),0)</f>
        <v>0</v>
      </c>
      <c r="BC377">
        <f>IF(AK377=ReachLabel,AP377,0)</f>
        <v>0</v>
      </c>
      <c r="BD377">
        <f>IF(AK377=MatchLabel,AP377,0)</f>
        <v>0</v>
      </c>
      <c r="BE377">
        <f>IF(AK377=SafetyLabel,AP377,0)</f>
        <v>0</v>
      </c>
      <c r="BF377">
        <f>IF(AK377=SecureLabel,AP377,0)</f>
        <v>0</v>
      </c>
      <c r="BG377">
        <f>IF(AK377=SureThingLabel,AP377,0)</f>
        <v>0</v>
      </c>
      <c r="BH377">
        <f>MAX(BC377:BG377)</f>
        <v>0</v>
      </c>
      <c r="BI377">
        <f>MAX(BD377:BG377)</f>
        <v>0</v>
      </c>
      <c r="BJ377">
        <f>MAX(BE377:BG377)</f>
        <v>0</v>
      </c>
      <c r="BK377">
        <f>IF(AND(AK377=ReachLabel,AY377=1),AP377,0)</f>
        <v>0</v>
      </c>
      <c r="BL377">
        <f>IF(AND(AK377=MatchLabel,AY377=1),AP377,0)</f>
        <v>0</v>
      </c>
      <c r="BM377">
        <f>IF(AND(AK377=SafetyLabel,AY377=1),AP377,0)</f>
        <v>0</v>
      </c>
      <c r="BN377">
        <f>IF(AND(AK377=SecureLabel,AY377=1),AP377,0)</f>
        <v>0</v>
      </c>
      <c r="BO377">
        <f>IF(AND(AK377=SureThingLabel,AY377=1),AP377,0)</f>
        <v>0</v>
      </c>
      <c r="BP377">
        <f>MAX(BK377:BO377)</f>
        <v>0</v>
      </c>
      <c r="BQ377">
        <f>MAX(BL377:BO377)</f>
        <v>0</v>
      </c>
      <c r="BR377">
        <f>MAX(BM377:BO377)</f>
        <v>0</v>
      </c>
      <c r="BS377">
        <f>IF(ISNUMBER(Y377),INDEX(AllCollegeChicago, MATCH(N377,AllCollegeNCES,0))*AY377,0)</f>
        <v>0</v>
      </c>
      <c r="BT377">
        <f>IF(ISNUMBER(Y377),INDEX(AllCollegeMoneyCode, MATCH(N377,AllCollegeNCES,0)),"?")</f>
        <v>0</v>
      </c>
      <c r="BU377">
        <f>IF(OR(BT377="---",BT377="--",BT377="+/--",BT377="+/---"),1,0)</f>
        <v>0</v>
      </c>
      <c r="BV377">
        <f>AY377*AO377*AQ377</f>
        <v>0</v>
      </c>
    </row>
    <row r="378" spans="1:74">
      <c r="A378" t="s">
        <v>86</v>
      </c>
      <c r="B378">
        <v>23319069</v>
      </c>
      <c r="C378" t="s">
        <v>147</v>
      </c>
      <c r="D378" t="s">
        <v>148</v>
      </c>
      <c r="E378" t="s">
        <v>428</v>
      </c>
      <c r="F378" t="s">
        <v>462</v>
      </c>
      <c r="G378" t="s">
        <v>463</v>
      </c>
      <c r="H378" t="s">
        <v>431</v>
      </c>
      <c r="I378" t="s">
        <v>432</v>
      </c>
      <c r="J378" t="s">
        <v>432</v>
      </c>
      <c r="K378">
        <v>0</v>
      </c>
      <c r="L378" t="s">
        <v>428</v>
      </c>
      <c r="M378" t="s">
        <v>428</v>
      </c>
      <c r="N378">
        <v>168546</v>
      </c>
      <c r="O378">
        <f>INDEX(AllCollegeBarrons,MATCH(N378,AllCollegeNCES,0))</f>
        <v>0</v>
      </c>
      <c r="P378">
        <f>INDEX(KidGPAs,MATCH(B378,KidIDs,0))</f>
        <v>0</v>
      </c>
      <c r="Q378">
        <f>INDEX(KidACTs,MATCH(B378,KidIDs,0))</f>
        <v>0</v>
      </c>
      <c r="R378">
        <f>INDEX(Strats,MATCH(B378,KidIDs,0))</f>
        <v>0</v>
      </c>
      <c r="S378">
        <f>INDEX(KidRace,MATCH(B378,KidIDs,0))</f>
        <v>0</v>
      </c>
      <c r="T378">
        <f>IF(OR(S378="M",S378="I"),"H",S378)</f>
        <v>0</v>
      </c>
      <c r="U378">
        <f>INDEX(StudentTargets,MATCH(B378,KidIDs,0))</f>
        <v>0</v>
      </c>
      <c r="V378">
        <f>INDEX(ReachStudentTargets,MATCH(B378,KidIDs,0))</f>
        <v>0</v>
      </c>
      <c r="W378">
        <f>IF(OR(M378="Posse"),1,0)</f>
        <v>0</v>
      </c>
      <c r="X378">
        <f>IF(ISNUMBER(INDEX(AllCollegeGR, MATCH(N378,AllCollegeNCES,0))),ROUND(INDEX(AllCollegeGR, MATCH(N378,AllCollegeNCES,0))+W378*IF(INDEX(AllCollegeGR, MATCH(N378,AllCollegeNCES,0))&gt;0.7,(1-INDEX(AllCollegeGR, MATCH(N378,AllCollegeNCES,0)))/2,0.15),2),INDEX(AllCollegeGR, MATCH(N378,AllCollegeNCES,0)))</f>
        <v>0</v>
      </c>
      <c r="Y378">
        <f>IF(ISNUMBER(INDEX(AllCollegeAAHGR, MATCH(N378,AllCollegeNCES,0))),ROUND(INDEX(AllCollegeAAHGR, MATCH(N378,AllCollegeNCES,0))+W378*IF(INDEX(AllCollegeAAHGR, MATCH(N378,AllCollegeNCES,0))&gt;0.7,(1-INDEX(AllCollegeAAHGR, MATCH(N378,AllCollegeNCES,0)))/2,0.15),2),INDEX(AllCollegeAAHGR, MATCH(N378,AllCollegeNCES,0)))</f>
        <v>0</v>
      </c>
      <c r="Z378">
        <f>IF(OR(T378="H",T378="B"),INDEX(AllCollegeACT25, MATCH(N378,AllCollegeNCES,0)),INDEX(AllCollegeACT50, MATCH(N378,AllCollegeNCES,0)))</f>
        <v>0</v>
      </c>
      <c r="AA378">
        <f>INDEX(CustomWeightsGPA,MATCH(T378&amp;":"&amp;N378,CustomWeightsIndex,0))</f>
        <v>0</v>
      </c>
      <c r="AB378">
        <f>INDEX(CustomWeightsACT,MATCH(T378&amp;":"&amp;N378,CustomWeightsIndex,0))</f>
        <v>0</v>
      </c>
      <c r="AC378">
        <f>INDEX(CustomWeightsIntercept,MATCH(T378&amp;":"&amp;N378,CustomWeightsIndex,0))</f>
        <v>0</v>
      </c>
      <c r="AD378">
        <f>AA378*P378+AB378*Q378+AC378</f>
        <v>0</v>
      </c>
      <c r="AE378">
        <f>INDEX(CoefficientsGPA,MATCH(T378&amp;":"&amp;O378,CoefficientsIndex,0))</f>
        <v>0</v>
      </c>
      <c r="AF378">
        <f>INDEX(CoefficientsACT,MATCH(T378&amp;":"&amp;O378,CoefficientsIndex,0))</f>
        <v>0</v>
      </c>
      <c r="AG378">
        <f>INDEX(CoefficientsIntercept,MATCH(T378&amp;":"&amp;O378,CoefficientsIndex,0))</f>
        <v>0</v>
      </c>
      <c r="AH378">
        <f>AE378*P378+(Q378-Z378)*AF378+AG378</f>
        <v>0</v>
      </c>
      <c r="AI378">
        <f>IF(ISNUMBER(AD378),AD378,AH378)</f>
        <v>0</v>
      </c>
      <c r="AJ378">
        <f>IF(ISNUMBER(AI378),IF(ISNUMBER(AE378),IF(AND(AE378=1,AF378=1,AG378=1),100,ROUND(100*EXP(AI378)/(1+EXP(AI378)),2)),ROUND(100*EXP(AI378)/(1+EXP(AI378)),2)),IF(ISTEXT(O378),IF(LEFT(O378,1)="2",100,"N/A"),"N/A"))</f>
        <v>0</v>
      </c>
      <c r="AK378">
        <f>IF(ISNUMBER(AJ378),IF(AJ378&gt;=99,IF(OR(R378=10,R378=11),MatchLabel,SureThingLabel),IF(AJ378&gt;=95,SecureLabel,IF(AJ378&gt;=80,SafetyLabel,IF(AJ378&gt;=50,MatchLabel,IF(AJ378&gt;=20,ReachLabel,IF(AJ378&gt;=10,LongshotLabel,HailMaryLabel)))))),"Other")</f>
        <v>0</v>
      </c>
      <c r="AL378">
        <f>IF(OR(I378="accepted",I378="cond. accept",I378="summer admit"),IF(J378="yes","CHOICE!","Accepted!"),IF(I378="denied","Denied",IF(K378=1,"Waitlist",IF(L378=1,"Deferred",IF(G378="pending","Pending",IF(OR(G378="initial materials submitted",G378="mid-year submitted",G378="final submitted"),"Submitted",IF(H378="interest","Interest","?")))))))</f>
        <v>0</v>
      </c>
      <c r="AM378">
        <f>IF(OR(AK378=ReachLabel,AK378=LongshotLabel,AK378=HailMaryLabel),1,0)</f>
        <v>0</v>
      </c>
      <c r="AN378">
        <f>IF(OR(AM378=1,AK378=MatchLabel),1,0)</f>
        <v>0</v>
      </c>
      <c r="AO378">
        <f>IF(OR(AK378=MatchLabel,AK378=SafetyLabel,AK378=SecureLabel,AK378=SureThingLabel),1,0)</f>
        <v>0</v>
      </c>
      <c r="AP378">
        <f>IF(OR(T378="H",T378="B"),IF(ISNUMBER(Y378),ROUND(Y378,2),0),IF(ISNUMBER(X378),ROUND(X378,2),0))</f>
        <v>0</v>
      </c>
      <c r="AQ378">
        <f>IF(AP378&gt;=U378,1,0)</f>
        <v>0</v>
      </c>
      <c r="AR378">
        <f>IF(AP378&gt;=V378,1,0)</f>
        <v>0</v>
      </c>
      <c r="AS378">
        <f>IF(AP378&lt;(U378-0.10),1,0)</f>
        <v>0</v>
      </c>
      <c r="AT378">
        <f>1-AJ378/100</f>
        <v>0</v>
      </c>
      <c r="AU378">
        <f>IF(AN378=1,AT378,1)</f>
        <v>0</v>
      </c>
      <c r="AV378">
        <f>IF(AM378=1,AT378,1)</f>
        <v>0</v>
      </c>
      <c r="AW378">
        <f>IF(AND(AQ378=1,ISNUMBER(AT378)),$AT378,1)</f>
        <v>0</v>
      </c>
      <c r="AX378">
        <f>IF(AND(AR378=1,ISNUMBER(AT378)),$AT378,1)</f>
        <v>0</v>
      </c>
      <c r="AY378">
        <f>IF(ISNUMBER(Y378),INDEX(AllCollegeMoney, MATCH(N378,AllCollegeNCES,0)),0)</f>
        <v>0</v>
      </c>
      <c r="AZ378">
        <f>IF(AND(AQ378=1,ISNUMBER(AT378),AY378=1),$AT378,1)</f>
        <v>0</v>
      </c>
      <c r="BA378">
        <f>IF(AND(AR378=1,ISNUMBER(AT378),AY378=1),$AT378,1)</f>
        <v>0</v>
      </c>
      <c r="BB378">
        <f>IF(ISNUMBER(Y378),INDEX(AllCollegeILPub, MATCH(N378,AllCollegeNCES,0)),0)</f>
        <v>0</v>
      </c>
      <c r="BC378">
        <f>IF(AK378=ReachLabel,AP378,0)</f>
        <v>0</v>
      </c>
      <c r="BD378">
        <f>IF(AK378=MatchLabel,AP378,0)</f>
        <v>0</v>
      </c>
      <c r="BE378">
        <f>IF(AK378=SafetyLabel,AP378,0)</f>
        <v>0</v>
      </c>
      <c r="BF378">
        <f>IF(AK378=SecureLabel,AP378,0)</f>
        <v>0</v>
      </c>
      <c r="BG378">
        <f>IF(AK378=SureThingLabel,AP378,0)</f>
        <v>0</v>
      </c>
      <c r="BH378">
        <f>MAX(BC378:BG378)</f>
        <v>0</v>
      </c>
      <c r="BI378">
        <f>MAX(BD378:BG378)</f>
        <v>0</v>
      </c>
      <c r="BJ378">
        <f>MAX(BE378:BG378)</f>
        <v>0</v>
      </c>
      <c r="BK378">
        <f>IF(AND(AK378=ReachLabel,AY378=1),AP378,0)</f>
        <v>0</v>
      </c>
      <c r="BL378">
        <f>IF(AND(AK378=MatchLabel,AY378=1),AP378,0)</f>
        <v>0</v>
      </c>
      <c r="BM378">
        <f>IF(AND(AK378=SafetyLabel,AY378=1),AP378,0)</f>
        <v>0</v>
      </c>
      <c r="BN378">
        <f>IF(AND(AK378=SecureLabel,AY378=1),AP378,0)</f>
        <v>0</v>
      </c>
      <c r="BO378">
        <f>IF(AND(AK378=SureThingLabel,AY378=1),AP378,0)</f>
        <v>0</v>
      </c>
      <c r="BP378">
        <f>MAX(BK378:BO378)</f>
        <v>0</v>
      </c>
      <c r="BQ378">
        <f>MAX(BL378:BO378)</f>
        <v>0</v>
      </c>
      <c r="BR378">
        <f>MAX(BM378:BO378)</f>
        <v>0</v>
      </c>
      <c r="BS378">
        <f>IF(ISNUMBER(Y378),INDEX(AllCollegeChicago, MATCH(N378,AllCollegeNCES,0))*AY378,0)</f>
        <v>0</v>
      </c>
      <c r="BT378">
        <f>IF(ISNUMBER(Y378),INDEX(AllCollegeMoneyCode, MATCH(N378,AllCollegeNCES,0)),"?")</f>
        <v>0</v>
      </c>
      <c r="BU378">
        <f>IF(OR(BT378="---",BT378="--",BT378="+/--",BT378="+/---"),1,0)</f>
        <v>0</v>
      </c>
      <c r="BV378">
        <f>AY378*AO378*AQ378</f>
        <v>0</v>
      </c>
    </row>
    <row r="379" spans="1:74">
      <c r="A379" t="s">
        <v>86</v>
      </c>
      <c r="B379">
        <v>23334800</v>
      </c>
      <c r="C379" t="s">
        <v>308</v>
      </c>
      <c r="D379" t="s">
        <v>309</v>
      </c>
      <c r="E379" t="s">
        <v>428</v>
      </c>
      <c r="F379" t="s">
        <v>477</v>
      </c>
      <c r="G379" t="s">
        <v>430</v>
      </c>
      <c r="H379" t="s">
        <v>431</v>
      </c>
      <c r="I379" t="s">
        <v>432</v>
      </c>
      <c r="J379" t="s">
        <v>432</v>
      </c>
      <c r="K379">
        <v>0</v>
      </c>
      <c r="L379" t="s">
        <v>428</v>
      </c>
      <c r="M379" t="s">
        <v>428</v>
      </c>
      <c r="N379">
        <v>147767</v>
      </c>
      <c r="O379">
        <f>INDEX(AllCollegeBarrons,MATCH(N379,AllCollegeNCES,0))</f>
        <v>0</v>
      </c>
      <c r="P379">
        <f>INDEX(KidGPAs,MATCH(B379,KidIDs,0))</f>
        <v>0</v>
      </c>
      <c r="Q379">
        <f>INDEX(KidACTs,MATCH(B379,KidIDs,0))</f>
        <v>0</v>
      </c>
      <c r="R379">
        <f>INDEX(Strats,MATCH(B379,KidIDs,0))</f>
        <v>0</v>
      </c>
      <c r="S379">
        <f>INDEX(KidRace,MATCH(B379,KidIDs,0))</f>
        <v>0</v>
      </c>
      <c r="T379">
        <f>IF(OR(S379="M",S379="I"),"H",S379)</f>
        <v>0</v>
      </c>
      <c r="U379">
        <f>INDEX(StudentTargets,MATCH(B379,KidIDs,0))</f>
        <v>0</v>
      </c>
      <c r="V379">
        <f>INDEX(ReachStudentTargets,MATCH(B379,KidIDs,0))</f>
        <v>0</v>
      </c>
      <c r="W379">
        <f>IF(OR(M379="Posse"),1,0)</f>
        <v>0</v>
      </c>
      <c r="X379">
        <f>IF(ISNUMBER(INDEX(AllCollegeGR, MATCH(N379,AllCollegeNCES,0))),ROUND(INDEX(AllCollegeGR, MATCH(N379,AllCollegeNCES,0))+W379*IF(INDEX(AllCollegeGR, MATCH(N379,AllCollegeNCES,0))&gt;0.7,(1-INDEX(AllCollegeGR, MATCH(N379,AllCollegeNCES,0)))/2,0.15),2),INDEX(AllCollegeGR, MATCH(N379,AllCollegeNCES,0)))</f>
        <v>0</v>
      </c>
      <c r="Y379">
        <f>IF(ISNUMBER(INDEX(AllCollegeAAHGR, MATCH(N379,AllCollegeNCES,0))),ROUND(INDEX(AllCollegeAAHGR, MATCH(N379,AllCollegeNCES,0))+W379*IF(INDEX(AllCollegeAAHGR, MATCH(N379,AllCollegeNCES,0))&gt;0.7,(1-INDEX(AllCollegeAAHGR, MATCH(N379,AllCollegeNCES,0)))/2,0.15),2),INDEX(AllCollegeAAHGR, MATCH(N379,AllCollegeNCES,0)))</f>
        <v>0</v>
      </c>
      <c r="Z379">
        <f>IF(OR(T379="H",T379="B"),INDEX(AllCollegeACT25, MATCH(N379,AllCollegeNCES,0)),INDEX(AllCollegeACT50, MATCH(N379,AllCollegeNCES,0)))</f>
        <v>0</v>
      </c>
      <c r="AA379">
        <f>INDEX(CustomWeightsGPA,MATCH(T379&amp;":"&amp;N379,CustomWeightsIndex,0))</f>
        <v>0</v>
      </c>
      <c r="AB379">
        <f>INDEX(CustomWeightsACT,MATCH(T379&amp;":"&amp;N379,CustomWeightsIndex,0))</f>
        <v>0</v>
      </c>
      <c r="AC379">
        <f>INDEX(CustomWeightsIntercept,MATCH(T379&amp;":"&amp;N379,CustomWeightsIndex,0))</f>
        <v>0</v>
      </c>
      <c r="AD379">
        <f>AA379*P379+AB379*Q379+AC379</f>
        <v>0</v>
      </c>
      <c r="AE379">
        <f>INDEX(CoefficientsGPA,MATCH(T379&amp;":"&amp;O379,CoefficientsIndex,0))</f>
        <v>0</v>
      </c>
      <c r="AF379">
        <f>INDEX(CoefficientsACT,MATCH(T379&amp;":"&amp;O379,CoefficientsIndex,0))</f>
        <v>0</v>
      </c>
      <c r="AG379">
        <f>INDEX(CoefficientsIntercept,MATCH(T379&amp;":"&amp;O379,CoefficientsIndex,0))</f>
        <v>0</v>
      </c>
      <c r="AH379">
        <f>AE379*P379+(Q379-Z379)*AF379+AG379</f>
        <v>0</v>
      </c>
      <c r="AI379">
        <f>IF(ISNUMBER(AD379),AD379,AH379)</f>
        <v>0</v>
      </c>
      <c r="AJ379">
        <f>IF(ISNUMBER(AI379),IF(ISNUMBER(AE379),IF(AND(AE379=1,AF379=1,AG379=1),100,ROUND(100*EXP(AI379)/(1+EXP(AI379)),2)),ROUND(100*EXP(AI379)/(1+EXP(AI379)),2)),IF(ISTEXT(O379),IF(LEFT(O379,1)="2",100,"N/A"),"N/A"))</f>
        <v>0</v>
      </c>
      <c r="AK379">
        <f>IF(ISNUMBER(AJ379),IF(AJ379&gt;=99,IF(OR(R379=10,R379=11),MatchLabel,SureThingLabel),IF(AJ379&gt;=95,SecureLabel,IF(AJ379&gt;=80,SafetyLabel,IF(AJ379&gt;=50,MatchLabel,IF(AJ379&gt;=20,ReachLabel,IF(AJ379&gt;=10,LongshotLabel,HailMaryLabel)))))),"Other")</f>
        <v>0</v>
      </c>
      <c r="AL379">
        <f>IF(OR(I379="accepted",I379="cond. accept",I379="summer admit"),IF(J379="yes","CHOICE!","Accepted!"),IF(I379="denied","Denied",IF(K379=1,"Waitlist",IF(L379=1,"Deferred",IF(G379="pending","Pending",IF(OR(G379="initial materials submitted",G379="mid-year submitted",G379="final submitted"),"Submitted",IF(H379="interest","Interest","?")))))))</f>
        <v>0</v>
      </c>
      <c r="AM379">
        <f>IF(OR(AK379=ReachLabel,AK379=LongshotLabel,AK379=HailMaryLabel),1,0)</f>
        <v>0</v>
      </c>
      <c r="AN379">
        <f>IF(OR(AM379=1,AK379=MatchLabel),1,0)</f>
        <v>0</v>
      </c>
      <c r="AO379">
        <f>IF(OR(AK379=MatchLabel,AK379=SafetyLabel,AK379=SecureLabel,AK379=SureThingLabel),1,0)</f>
        <v>0</v>
      </c>
      <c r="AP379">
        <f>IF(OR(T379="H",T379="B"),IF(ISNUMBER(Y379),ROUND(Y379,2),0),IF(ISNUMBER(X379),ROUND(X379,2),0))</f>
        <v>0</v>
      </c>
      <c r="AQ379">
        <f>IF(AP379&gt;=U379,1,0)</f>
        <v>0</v>
      </c>
      <c r="AR379">
        <f>IF(AP379&gt;=V379,1,0)</f>
        <v>0</v>
      </c>
      <c r="AS379">
        <f>IF(AP379&lt;(U379-0.10),1,0)</f>
        <v>0</v>
      </c>
      <c r="AT379">
        <f>1-AJ379/100</f>
        <v>0</v>
      </c>
      <c r="AU379">
        <f>IF(AN379=1,AT379,1)</f>
        <v>0</v>
      </c>
      <c r="AV379">
        <f>IF(AM379=1,AT379,1)</f>
        <v>0</v>
      </c>
      <c r="AW379">
        <f>IF(AND(AQ379=1,ISNUMBER(AT379)),$AT379,1)</f>
        <v>0</v>
      </c>
      <c r="AX379">
        <f>IF(AND(AR379=1,ISNUMBER(AT379)),$AT379,1)</f>
        <v>0</v>
      </c>
      <c r="AY379">
        <f>IF(ISNUMBER(Y379),INDEX(AllCollegeMoney, MATCH(N379,AllCollegeNCES,0)),0)</f>
        <v>0</v>
      </c>
      <c r="AZ379">
        <f>IF(AND(AQ379=1,ISNUMBER(AT379),AY379=1),$AT379,1)</f>
        <v>0</v>
      </c>
      <c r="BA379">
        <f>IF(AND(AR379=1,ISNUMBER(AT379),AY379=1),$AT379,1)</f>
        <v>0</v>
      </c>
      <c r="BB379">
        <f>IF(ISNUMBER(Y379),INDEX(AllCollegeILPub, MATCH(N379,AllCollegeNCES,0)),0)</f>
        <v>0</v>
      </c>
      <c r="BC379">
        <f>IF(AK379=ReachLabel,AP379,0)</f>
        <v>0</v>
      </c>
      <c r="BD379">
        <f>IF(AK379=MatchLabel,AP379,0)</f>
        <v>0</v>
      </c>
      <c r="BE379">
        <f>IF(AK379=SafetyLabel,AP379,0)</f>
        <v>0</v>
      </c>
      <c r="BF379">
        <f>IF(AK379=SecureLabel,AP379,0)</f>
        <v>0</v>
      </c>
      <c r="BG379">
        <f>IF(AK379=SureThingLabel,AP379,0)</f>
        <v>0</v>
      </c>
      <c r="BH379">
        <f>MAX(BC379:BG379)</f>
        <v>0</v>
      </c>
      <c r="BI379">
        <f>MAX(BD379:BG379)</f>
        <v>0</v>
      </c>
      <c r="BJ379">
        <f>MAX(BE379:BG379)</f>
        <v>0</v>
      </c>
      <c r="BK379">
        <f>IF(AND(AK379=ReachLabel,AY379=1),AP379,0)</f>
        <v>0</v>
      </c>
      <c r="BL379">
        <f>IF(AND(AK379=MatchLabel,AY379=1),AP379,0)</f>
        <v>0</v>
      </c>
      <c r="BM379">
        <f>IF(AND(AK379=SafetyLabel,AY379=1),AP379,0)</f>
        <v>0</v>
      </c>
      <c r="BN379">
        <f>IF(AND(AK379=SecureLabel,AY379=1),AP379,0)</f>
        <v>0</v>
      </c>
      <c r="BO379">
        <f>IF(AND(AK379=SureThingLabel,AY379=1),AP379,0)</f>
        <v>0</v>
      </c>
      <c r="BP379">
        <f>MAX(BK379:BO379)</f>
        <v>0</v>
      </c>
      <c r="BQ379">
        <f>MAX(BL379:BO379)</f>
        <v>0</v>
      </c>
      <c r="BR379">
        <f>MAX(BM379:BO379)</f>
        <v>0</v>
      </c>
      <c r="BS379">
        <f>IF(ISNUMBER(Y379),INDEX(AllCollegeChicago, MATCH(N379,AllCollegeNCES,0))*AY379,0)</f>
        <v>0</v>
      </c>
      <c r="BT379">
        <f>IF(ISNUMBER(Y379),INDEX(AllCollegeMoneyCode, MATCH(N379,AllCollegeNCES,0)),"?")</f>
        <v>0</v>
      </c>
      <c r="BU379">
        <f>IF(OR(BT379="---",BT379="--",BT379="+/--",BT379="+/---"),1,0)</f>
        <v>0</v>
      </c>
      <c r="BV379">
        <f>AY379*AO379*AQ379</f>
        <v>0</v>
      </c>
    </row>
    <row r="380" spans="1:74">
      <c r="A380" t="s">
        <v>86</v>
      </c>
      <c r="B380">
        <v>23334800</v>
      </c>
      <c r="C380" t="s">
        <v>308</v>
      </c>
      <c r="D380" t="s">
        <v>309</v>
      </c>
      <c r="E380" t="s">
        <v>428</v>
      </c>
      <c r="F380" t="s">
        <v>481</v>
      </c>
      <c r="G380" t="s">
        <v>430</v>
      </c>
      <c r="H380" t="s">
        <v>431</v>
      </c>
      <c r="I380" t="s">
        <v>432</v>
      </c>
      <c r="J380" t="s">
        <v>432</v>
      </c>
      <c r="K380">
        <v>0</v>
      </c>
      <c r="L380" t="s">
        <v>428</v>
      </c>
      <c r="M380" t="s">
        <v>428</v>
      </c>
      <c r="N380">
        <v>190099</v>
      </c>
      <c r="O380">
        <f>INDEX(AllCollegeBarrons,MATCH(N380,AllCollegeNCES,0))</f>
        <v>0</v>
      </c>
      <c r="P380">
        <f>INDEX(KidGPAs,MATCH(B380,KidIDs,0))</f>
        <v>0</v>
      </c>
      <c r="Q380">
        <f>INDEX(KidACTs,MATCH(B380,KidIDs,0))</f>
        <v>0</v>
      </c>
      <c r="R380">
        <f>INDEX(Strats,MATCH(B380,KidIDs,0))</f>
        <v>0</v>
      </c>
      <c r="S380">
        <f>INDEX(KidRace,MATCH(B380,KidIDs,0))</f>
        <v>0</v>
      </c>
      <c r="T380">
        <f>IF(OR(S380="M",S380="I"),"H",S380)</f>
        <v>0</v>
      </c>
      <c r="U380">
        <f>INDEX(StudentTargets,MATCH(B380,KidIDs,0))</f>
        <v>0</v>
      </c>
      <c r="V380">
        <f>INDEX(ReachStudentTargets,MATCH(B380,KidIDs,0))</f>
        <v>0</v>
      </c>
      <c r="W380">
        <f>IF(OR(M380="Posse"),1,0)</f>
        <v>0</v>
      </c>
      <c r="X380">
        <f>IF(ISNUMBER(INDEX(AllCollegeGR, MATCH(N380,AllCollegeNCES,0))),ROUND(INDEX(AllCollegeGR, MATCH(N380,AllCollegeNCES,0))+W380*IF(INDEX(AllCollegeGR, MATCH(N380,AllCollegeNCES,0))&gt;0.7,(1-INDEX(AllCollegeGR, MATCH(N380,AllCollegeNCES,0)))/2,0.15),2),INDEX(AllCollegeGR, MATCH(N380,AllCollegeNCES,0)))</f>
        <v>0</v>
      </c>
      <c r="Y380">
        <f>IF(ISNUMBER(INDEX(AllCollegeAAHGR, MATCH(N380,AllCollegeNCES,0))),ROUND(INDEX(AllCollegeAAHGR, MATCH(N380,AllCollegeNCES,0))+W380*IF(INDEX(AllCollegeAAHGR, MATCH(N380,AllCollegeNCES,0))&gt;0.7,(1-INDEX(AllCollegeAAHGR, MATCH(N380,AllCollegeNCES,0)))/2,0.15),2),INDEX(AllCollegeAAHGR, MATCH(N380,AllCollegeNCES,0)))</f>
        <v>0</v>
      </c>
      <c r="Z380">
        <f>IF(OR(T380="H",T380="B"),INDEX(AllCollegeACT25, MATCH(N380,AllCollegeNCES,0)),INDEX(AllCollegeACT50, MATCH(N380,AllCollegeNCES,0)))</f>
        <v>0</v>
      </c>
      <c r="AA380">
        <f>INDEX(CustomWeightsGPA,MATCH(T380&amp;":"&amp;N380,CustomWeightsIndex,0))</f>
        <v>0</v>
      </c>
      <c r="AB380">
        <f>INDEX(CustomWeightsACT,MATCH(T380&amp;":"&amp;N380,CustomWeightsIndex,0))</f>
        <v>0</v>
      </c>
      <c r="AC380">
        <f>INDEX(CustomWeightsIntercept,MATCH(T380&amp;":"&amp;N380,CustomWeightsIndex,0))</f>
        <v>0</v>
      </c>
      <c r="AD380">
        <f>AA380*P380+AB380*Q380+AC380</f>
        <v>0</v>
      </c>
      <c r="AE380">
        <f>INDEX(CoefficientsGPA,MATCH(T380&amp;":"&amp;O380,CoefficientsIndex,0))</f>
        <v>0</v>
      </c>
      <c r="AF380">
        <f>INDEX(CoefficientsACT,MATCH(T380&amp;":"&amp;O380,CoefficientsIndex,0))</f>
        <v>0</v>
      </c>
      <c r="AG380">
        <f>INDEX(CoefficientsIntercept,MATCH(T380&amp;":"&amp;O380,CoefficientsIndex,0))</f>
        <v>0</v>
      </c>
      <c r="AH380">
        <f>AE380*P380+(Q380-Z380)*AF380+AG380</f>
        <v>0</v>
      </c>
      <c r="AI380">
        <f>IF(ISNUMBER(AD380),AD380,AH380)</f>
        <v>0</v>
      </c>
      <c r="AJ380">
        <f>IF(ISNUMBER(AI380),IF(ISNUMBER(AE380),IF(AND(AE380=1,AF380=1,AG380=1),100,ROUND(100*EXP(AI380)/(1+EXP(AI380)),2)),ROUND(100*EXP(AI380)/(1+EXP(AI380)),2)),IF(ISTEXT(O380),IF(LEFT(O380,1)="2",100,"N/A"),"N/A"))</f>
        <v>0</v>
      </c>
      <c r="AK380">
        <f>IF(ISNUMBER(AJ380),IF(AJ380&gt;=99,IF(OR(R380=10,R380=11),MatchLabel,SureThingLabel),IF(AJ380&gt;=95,SecureLabel,IF(AJ380&gt;=80,SafetyLabel,IF(AJ380&gt;=50,MatchLabel,IF(AJ380&gt;=20,ReachLabel,IF(AJ380&gt;=10,LongshotLabel,HailMaryLabel)))))),"Other")</f>
        <v>0</v>
      </c>
      <c r="AL380">
        <f>IF(OR(I380="accepted",I380="cond. accept",I380="summer admit"),IF(J380="yes","CHOICE!","Accepted!"),IF(I380="denied","Denied",IF(K380=1,"Waitlist",IF(L380=1,"Deferred",IF(G380="pending","Pending",IF(OR(G380="initial materials submitted",G380="mid-year submitted",G380="final submitted"),"Submitted",IF(H380="interest","Interest","?")))))))</f>
        <v>0</v>
      </c>
      <c r="AM380">
        <f>IF(OR(AK380=ReachLabel,AK380=LongshotLabel,AK380=HailMaryLabel),1,0)</f>
        <v>0</v>
      </c>
      <c r="AN380">
        <f>IF(OR(AM380=1,AK380=MatchLabel),1,0)</f>
        <v>0</v>
      </c>
      <c r="AO380">
        <f>IF(OR(AK380=MatchLabel,AK380=SafetyLabel,AK380=SecureLabel,AK380=SureThingLabel),1,0)</f>
        <v>0</v>
      </c>
      <c r="AP380">
        <f>IF(OR(T380="H",T380="B"),IF(ISNUMBER(Y380),ROUND(Y380,2),0),IF(ISNUMBER(X380),ROUND(X380,2),0))</f>
        <v>0</v>
      </c>
      <c r="AQ380">
        <f>IF(AP380&gt;=U380,1,0)</f>
        <v>0</v>
      </c>
      <c r="AR380">
        <f>IF(AP380&gt;=V380,1,0)</f>
        <v>0</v>
      </c>
      <c r="AS380">
        <f>IF(AP380&lt;(U380-0.10),1,0)</f>
        <v>0</v>
      </c>
      <c r="AT380">
        <f>1-AJ380/100</f>
        <v>0</v>
      </c>
      <c r="AU380">
        <f>IF(AN380=1,AT380,1)</f>
        <v>0</v>
      </c>
      <c r="AV380">
        <f>IF(AM380=1,AT380,1)</f>
        <v>0</v>
      </c>
      <c r="AW380">
        <f>IF(AND(AQ380=1,ISNUMBER(AT380)),$AT380,1)</f>
        <v>0</v>
      </c>
      <c r="AX380">
        <f>IF(AND(AR380=1,ISNUMBER(AT380)),$AT380,1)</f>
        <v>0</v>
      </c>
      <c r="AY380">
        <f>IF(ISNUMBER(Y380),INDEX(AllCollegeMoney, MATCH(N380,AllCollegeNCES,0)),0)</f>
        <v>0</v>
      </c>
      <c r="AZ380">
        <f>IF(AND(AQ380=1,ISNUMBER(AT380),AY380=1),$AT380,1)</f>
        <v>0</v>
      </c>
      <c r="BA380">
        <f>IF(AND(AR380=1,ISNUMBER(AT380),AY380=1),$AT380,1)</f>
        <v>0</v>
      </c>
      <c r="BB380">
        <f>IF(ISNUMBER(Y380),INDEX(AllCollegeILPub, MATCH(N380,AllCollegeNCES,0)),0)</f>
        <v>0</v>
      </c>
      <c r="BC380">
        <f>IF(AK380=ReachLabel,AP380,0)</f>
        <v>0</v>
      </c>
      <c r="BD380">
        <f>IF(AK380=MatchLabel,AP380,0)</f>
        <v>0</v>
      </c>
      <c r="BE380">
        <f>IF(AK380=SafetyLabel,AP380,0)</f>
        <v>0</v>
      </c>
      <c r="BF380">
        <f>IF(AK380=SecureLabel,AP380,0)</f>
        <v>0</v>
      </c>
      <c r="BG380">
        <f>IF(AK380=SureThingLabel,AP380,0)</f>
        <v>0</v>
      </c>
      <c r="BH380">
        <f>MAX(BC380:BG380)</f>
        <v>0</v>
      </c>
      <c r="BI380">
        <f>MAX(BD380:BG380)</f>
        <v>0</v>
      </c>
      <c r="BJ380">
        <f>MAX(BE380:BG380)</f>
        <v>0</v>
      </c>
      <c r="BK380">
        <f>IF(AND(AK380=ReachLabel,AY380=1),AP380,0)</f>
        <v>0</v>
      </c>
      <c r="BL380">
        <f>IF(AND(AK380=MatchLabel,AY380=1),AP380,0)</f>
        <v>0</v>
      </c>
      <c r="BM380">
        <f>IF(AND(AK380=SafetyLabel,AY380=1),AP380,0)</f>
        <v>0</v>
      </c>
      <c r="BN380">
        <f>IF(AND(AK380=SecureLabel,AY380=1),AP380,0)</f>
        <v>0</v>
      </c>
      <c r="BO380">
        <f>IF(AND(AK380=SureThingLabel,AY380=1),AP380,0)</f>
        <v>0</v>
      </c>
      <c r="BP380">
        <f>MAX(BK380:BO380)</f>
        <v>0</v>
      </c>
      <c r="BQ380">
        <f>MAX(BL380:BO380)</f>
        <v>0</v>
      </c>
      <c r="BR380">
        <f>MAX(BM380:BO380)</f>
        <v>0</v>
      </c>
      <c r="BS380">
        <f>IF(ISNUMBER(Y380),INDEX(AllCollegeChicago, MATCH(N380,AllCollegeNCES,0))*AY380,0)</f>
        <v>0</v>
      </c>
      <c r="BT380">
        <f>IF(ISNUMBER(Y380),INDEX(AllCollegeMoneyCode, MATCH(N380,AllCollegeNCES,0)),"?")</f>
        <v>0</v>
      </c>
      <c r="BU380">
        <f>IF(OR(BT380="---",BT380="--",BT380="+/--",BT380="+/---"),1,0)</f>
        <v>0</v>
      </c>
      <c r="BV380">
        <f>AY380*AO380*AQ380</f>
        <v>0</v>
      </c>
    </row>
    <row r="381" spans="1:74">
      <c r="A381" t="s">
        <v>86</v>
      </c>
      <c r="B381">
        <v>23334800</v>
      </c>
      <c r="C381" t="s">
        <v>308</v>
      </c>
      <c r="D381" t="s">
        <v>309</v>
      </c>
      <c r="E381" t="s">
        <v>428</v>
      </c>
      <c r="F381" t="s">
        <v>466</v>
      </c>
      <c r="G381" t="s">
        <v>430</v>
      </c>
      <c r="H381" t="s">
        <v>431</v>
      </c>
      <c r="I381" t="s">
        <v>432</v>
      </c>
      <c r="J381" t="s">
        <v>432</v>
      </c>
      <c r="K381">
        <v>0</v>
      </c>
      <c r="L381" t="s">
        <v>428</v>
      </c>
      <c r="M381" t="s">
        <v>428</v>
      </c>
      <c r="N381">
        <v>213385</v>
      </c>
      <c r="O381">
        <f>INDEX(AllCollegeBarrons,MATCH(N381,AllCollegeNCES,0))</f>
        <v>0</v>
      </c>
      <c r="P381">
        <f>INDEX(KidGPAs,MATCH(B381,KidIDs,0))</f>
        <v>0</v>
      </c>
      <c r="Q381">
        <f>INDEX(KidACTs,MATCH(B381,KidIDs,0))</f>
        <v>0</v>
      </c>
      <c r="R381">
        <f>INDEX(Strats,MATCH(B381,KidIDs,0))</f>
        <v>0</v>
      </c>
      <c r="S381">
        <f>INDEX(KidRace,MATCH(B381,KidIDs,0))</f>
        <v>0</v>
      </c>
      <c r="T381">
        <f>IF(OR(S381="M",S381="I"),"H",S381)</f>
        <v>0</v>
      </c>
      <c r="U381">
        <f>INDEX(StudentTargets,MATCH(B381,KidIDs,0))</f>
        <v>0</v>
      </c>
      <c r="V381">
        <f>INDEX(ReachStudentTargets,MATCH(B381,KidIDs,0))</f>
        <v>0</v>
      </c>
      <c r="W381">
        <f>IF(OR(M381="Posse"),1,0)</f>
        <v>0</v>
      </c>
      <c r="X381">
        <f>IF(ISNUMBER(INDEX(AllCollegeGR, MATCH(N381,AllCollegeNCES,0))),ROUND(INDEX(AllCollegeGR, MATCH(N381,AllCollegeNCES,0))+W381*IF(INDEX(AllCollegeGR, MATCH(N381,AllCollegeNCES,0))&gt;0.7,(1-INDEX(AllCollegeGR, MATCH(N381,AllCollegeNCES,0)))/2,0.15),2),INDEX(AllCollegeGR, MATCH(N381,AllCollegeNCES,0)))</f>
        <v>0</v>
      </c>
      <c r="Y381">
        <f>IF(ISNUMBER(INDEX(AllCollegeAAHGR, MATCH(N381,AllCollegeNCES,0))),ROUND(INDEX(AllCollegeAAHGR, MATCH(N381,AllCollegeNCES,0))+W381*IF(INDEX(AllCollegeAAHGR, MATCH(N381,AllCollegeNCES,0))&gt;0.7,(1-INDEX(AllCollegeAAHGR, MATCH(N381,AllCollegeNCES,0)))/2,0.15),2),INDEX(AllCollegeAAHGR, MATCH(N381,AllCollegeNCES,0)))</f>
        <v>0</v>
      </c>
      <c r="Z381">
        <f>IF(OR(T381="H",T381="B"),INDEX(AllCollegeACT25, MATCH(N381,AllCollegeNCES,0)),INDEX(AllCollegeACT50, MATCH(N381,AllCollegeNCES,0)))</f>
        <v>0</v>
      </c>
      <c r="AA381">
        <f>INDEX(CustomWeightsGPA,MATCH(T381&amp;":"&amp;N381,CustomWeightsIndex,0))</f>
        <v>0</v>
      </c>
      <c r="AB381">
        <f>INDEX(CustomWeightsACT,MATCH(T381&amp;":"&amp;N381,CustomWeightsIndex,0))</f>
        <v>0</v>
      </c>
      <c r="AC381">
        <f>INDEX(CustomWeightsIntercept,MATCH(T381&amp;":"&amp;N381,CustomWeightsIndex,0))</f>
        <v>0</v>
      </c>
      <c r="AD381">
        <f>AA381*P381+AB381*Q381+AC381</f>
        <v>0</v>
      </c>
      <c r="AE381">
        <f>INDEX(CoefficientsGPA,MATCH(T381&amp;":"&amp;O381,CoefficientsIndex,0))</f>
        <v>0</v>
      </c>
      <c r="AF381">
        <f>INDEX(CoefficientsACT,MATCH(T381&amp;":"&amp;O381,CoefficientsIndex,0))</f>
        <v>0</v>
      </c>
      <c r="AG381">
        <f>INDEX(CoefficientsIntercept,MATCH(T381&amp;":"&amp;O381,CoefficientsIndex,0))</f>
        <v>0</v>
      </c>
      <c r="AH381">
        <f>AE381*P381+(Q381-Z381)*AF381+AG381</f>
        <v>0</v>
      </c>
      <c r="AI381">
        <f>IF(ISNUMBER(AD381),AD381,AH381)</f>
        <v>0</v>
      </c>
      <c r="AJ381">
        <f>IF(ISNUMBER(AI381),IF(ISNUMBER(AE381),IF(AND(AE381=1,AF381=1,AG381=1),100,ROUND(100*EXP(AI381)/(1+EXP(AI381)),2)),ROUND(100*EXP(AI381)/(1+EXP(AI381)),2)),IF(ISTEXT(O381),IF(LEFT(O381,1)="2",100,"N/A"),"N/A"))</f>
        <v>0</v>
      </c>
      <c r="AK381">
        <f>IF(ISNUMBER(AJ381),IF(AJ381&gt;=99,IF(OR(R381=10,R381=11),MatchLabel,SureThingLabel),IF(AJ381&gt;=95,SecureLabel,IF(AJ381&gt;=80,SafetyLabel,IF(AJ381&gt;=50,MatchLabel,IF(AJ381&gt;=20,ReachLabel,IF(AJ381&gt;=10,LongshotLabel,HailMaryLabel)))))),"Other")</f>
        <v>0</v>
      </c>
      <c r="AL381">
        <f>IF(OR(I381="accepted",I381="cond. accept",I381="summer admit"),IF(J381="yes","CHOICE!","Accepted!"),IF(I381="denied","Denied",IF(K381=1,"Waitlist",IF(L381=1,"Deferred",IF(G381="pending","Pending",IF(OR(G381="initial materials submitted",G381="mid-year submitted",G381="final submitted"),"Submitted",IF(H381="interest","Interest","?")))))))</f>
        <v>0</v>
      </c>
      <c r="AM381">
        <f>IF(OR(AK381=ReachLabel,AK381=LongshotLabel,AK381=HailMaryLabel),1,0)</f>
        <v>0</v>
      </c>
      <c r="AN381">
        <f>IF(OR(AM381=1,AK381=MatchLabel),1,0)</f>
        <v>0</v>
      </c>
      <c r="AO381">
        <f>IF(OR(AK381=MatchLabel,AK381=SafetyLabel,AK381=SecureLabel,AK381=SureThingLabel),1,0)</f>
        <v>0</v>
      </c>
      <c r="AP381">
        <f>IF(OR(T381="H",T381="B"),IF(ISNUMBER(Y381),ROUND(Y381,2),0),IF(ISNUMBER(X381),ROUND(X381,2),0))</f>
        <v>0</v>
      </c>
      <c r="AQ381">
        <f>IF(AP381&gt;=U381,1,0)</f>
        <v>0</v>
      </c>
      <c r="AR381">
        <f>IF(AP381&gt;=V381,1,0)</f>
        <v>0</v>
      </c>
      <c r="AS381">
        <f>IF(AP381&lt;(U381-0.10),1,0)</f>
        <v>0</v>
      </c>
      <c r="AT381">
        <f>1-AJ381/100</f>
        <v>0</v>
      </c>
      <c r="AU381">
        <f>IF(AN381=1,AT381,1)</f>
        <v>0</v>
      </c>
      <c r="AV381">
        <f>IF(AM381=1,AT381,1)</f>
        <v>0</v>
      </c>
      <c r="AW381">
        <f>IF(AND(AQ381=1,ISNUMBER(AT381)),$AT381,1)</f>
        <v>0</v>
      </c>
      <c r="AX381">
        <f>IF(AND(AR381=1,ISNUMBER(AT381)),$AT381,1)</f>
        <v>0</v>
      </c>
      <c r="AY381">
        <f>IF(ISNUMBER(Y381),INDEX(AllCollegeMoney, MATCH(N381,AllCollegeNCES,0)),0)</f>
        <v>0</v>
      </c>
      <c r="AZ381">
        <f>IF(AND(AQ381=1,ISNUMBER(AT381),AY381=1),$AT381,1)</f>
        <v>0</v>
      </c>
      <c r="BA381">
        <f>IF(AND(AR381=1,ISNUMBER(AT381),AY381=1),$AT381,1)</f>
        <v>0</v>
      </c>
      <c r="BB381">
        <f>IF(ISNUMBER(Y381),INDEX(AllCollegeILPub, MATCH(N381,AllCollegeNCES,0)),0)</f>
        <v>0</v>
      </c>
      <c r="BC381">
        <f>IF(AK381=ReachLabel,AP381,0)</f>
        <v>0</v>
      </c>
      <c r="BD381">
        <f>IF(AK381=MatchLabel,AP381,0)</f>
        <v>0</v>
      </c>
      <c r="BE381">
        <f>IF(AK381=SafetyLabel,AP381,0)</f>
        <v>0</v>
      </c>
      <c r="BF381">
        <f>IF(AK381=SecureLabel,AP381,0)</f>
        <v>0</v>
      </c>
      <c r="BG381">
        <f>IF(AK381=SureThingLabel,AP381,0)</f>
        <v>0</v>
      </c>
      <c r="BH381">
        <f>MAX(BC381:BG381)</f>
        <v>0</v>
      </c>
      <c r="BI381">
        <f>MAX(BD381:BG381)</f>
        <v>0</v>
      </c>
      <c r="BJ381">
        <f>MAX(BE381:BG381)</f>
        <v>0</v>
      </c>
      <c r="BK381">
        <f>IF(AND(AK381=ReachLabel,AY381=1),AP381,0)</f>
        <v>0</v>
      </c>
      <c r="BL381">
        <f>IF(AND(AK381=MatchLabel,AY381=1),AP381,0)</f>
        <v>0</v>
      </c>
      <c r="BM381">
        <f>IF(AND(AK381=SafetyLabel,AY381=1),AP381,0)</f>
        <v>0</v>
      </c>
      <c r="BN381">
        <f>IF(AND(AK381=SecureLabel,AY381=1),AP381,0)</f>
        <v>0</v>
      </c>
      <c r="BO381">
        <f>IF(AND(AK381=SureThingLabel,AY381=1),AP381,0)</f>
        <v>0</v>
      </c>
      <c r="BP381">
        <f>MAX(BK381:BO381)</f>
        <v>0</v>
      </c>
      <c r="BQ381">
        <f>MAX(BL381:BO381)</f>
        <v>0</v>
      </c>
      <c r="BR381">
        <f>MAX(BM381:BO381)</f>
        <v>0</v>
      </c>
      <c r="BS381">
        <f>IF(ISNUMBER(Y381),INDEX(AllCollegeChicago, MATCH(N381,AllCollegeNCES,0))*AY381,0)</f>
        <v>0</v>
      </c>
      <c r="BT381">
        <f>IF(ISNUMBER(Y381),INDEX(AllCollegeMoneyCode, MATCH(N381,AllCollegeNCES,0)),"?")</f>
        <v>0</v>
      </c>
      <c r="BU381">
        <f>IF(OR(BT381="---",BT381="--",BT381="+/--",BT381="+/---"),1,0)</f>
        <v>0</v>
      </c>
      <c r="BV381">
        <f>AY381*AO381*AQ381</f>
        <v>0</v>
      </c>
    </row>
    <row r="382" spans="1:74">
      <c r="A382" t="s">
        <v>86</v>
      </c>
      <c r="B382">
        <v>23334800</v>
      </c>
      <c r="C382" t="s">
        <v>308</v>
      </c>
      <c r="D382" t="s">
        <v>309</v>
      </c>
      <c r="E382" t="s">
        <v>428</v>
      </c>
      <c r="F382" t="s">
        <v>467</v>
      </c>
      <c r="G382" t="s">
        <v>430</v>
      </c>
      <c r="H382" t="s">
        <v>431</v>
      </c>
      <c r="I382" t="s">
        <v>432</v>
      </c>
      <c r="J382" t="s">
        <v>432</v>
      </c>
      <c r="K382">
        <v>0</v>
      </c>
      <c r="L382" t="s">
        <v>428</v>
      </c>
      <c r="M382" t="s">
        <v>428</v>
      </c>
      <c r="N382">
        <v>170976</v>
      </c>
      <c r="O382">
        <f>INDEX(AllCollegeBarrons,MATCH(N382,AllCollegeNCES,0))</f>
        <v>0</v>
      </c>
      <c r="P382">
        <f>INDEX(KidGPAs,MATCH(B382,KidIDs,0))</f>
        <v>0</v>
      </c>
      <c r="Q382">
        <f>INDEX(KidACTs,MATCH(B382,KidIDs,0))</f>
        <v>0</v>
      </c>
      <c r="R382">
        <f>INDEX(Strats,MATCH(B382,KidIDs,0))</f>
        <v>0</v>
      </c>
      <c r="S382">
        <f>INDEX(KidRace,MATCH(B382,KidIDs,0))</f>
        <v>0</v>
      </c>
      <c r="T382">
        <f>IF(OR(S382="M",S382="I"),"H",S382)</f>
        <v>0</v>
      </c>
      <c r="U382">
        <f>INDEX(StudentTargets,MATCH(B382,KidIDs,0))</f>
        <v>0</v>
      </c>
      <c r="V382">
        <f>INDEX(ReachStudentTargets,MATCH(B382,KidIDs,0))</f>
        <v>0</v>
      </c>
      <c r="W382">
        <f>IF(OR(M382="Posse"),1,0)</f>
        <v>0</v>
      </c>
      <c r="X382">
        <f>IF(ISNUMBER(INDEX(AllCollegeGR, MATCH(N382,AllCollegeNCES,0))),ROUND(INDEX(AllCollegeGR, MATCH(N382,AllCollegeNCES,0))+W382*IF(INDEX(AllCollegeGR, MATCH(N382,AllCollegeNCES,0))&gt;0.7,(1-INDEX(AllCollegeGR, MATCH(N382,AllCollegeNCES,0)))/2,0.15),2),INDEX(AllCollegeGR, MATCH(N382,AllCollegeNCES,0)))</f>
        <v>0</v>
      </c>
      <c r="Y382">
        <f>IF(ISNUMBER(INDEX(AllCollegeAAHGR, MATCH(N382,AllCollegeNCES,0))),ROUND(INDEX(AllCollegeAAHGR, MATCH(N382,AllCollegeNCES,0))+W382*IF(INDEX(AllCollegeAAHGR, MATCH(N382,AllCollegeNCES,0))&gt;0.7,(1-INDEX(AllCollegeAAHGR, MATCH(N382,AllCollegeNCES,0)))/2,0.15),2),INDEX(AllCollegeAAHGR, MATCH(N382,AllCollegeNCES,0)))</f>
        <v>0</v>
      </c>
      <c r="Z382">
        <f>IF(OR(T382="H",T382="B"),INDEX(AllCollegeACT25, MATCH(N382,AllCollegeNCES,0)),INDEX(AllCollegeACT50, MATCH(N382,AllCollegeNCES,0)))</f>
        <v>0</v>
      </c>
      <c r="AA382">
        <f>INDEX(CustomWeightsGPA,MATCH(T382&amp;":"&amp;N382,CustomWeightsIndex,0))</f>
        <v>0</v>
      </c>
      <c r="AB382">
        <f>INDEX(CustomWeightsACT,MATCH(T382&amp;":"&amp;N382,CustomWeightsIndex,0))</f>
        <v>0</v>
      </c>
      <c r="AC382">
        <f>INDEX(CustomWeightsIntercept,MATCH(T382&amp;":"&amp;N382,CustomWeightsIndex,0))</f>
        <v>0</v>
      </c>
      <c r="AD382">
        <f>AA382*P382+AB382*Q382+AC382</f>
        <v>0</v>
      </c>
      <c r="AE382">
        <f>INDEX(CoefficientsGPA,MATCH(T382&amp;":"&amp;O382,CoefficientsIndex,0))</f>
        <v>0</v>
      </c>
      <c r="AF382">
        <f>INDEX(CoefficientsACT,MATCH(T382&amp;":"&amp;O382,CoefficientsIndex,0))</f>
        <v>0</v>
      </c>
      <c r="AG382">
        <f>INDEX(CoefficientsIntercept,MATCH(T382&amp;":"&amp;O382,CoefficientsIndex,0))</f>
        <v>0</v>
      </c>
      <c r="AH382">
        <f>AE382*P382+(Q382-Z382)*AF382+AG382</f>
        <v>0</v>
      </c>
      <c r="AI382">
        <f>IF(ISNUMBER(AD382),AD382,AH382)</f>
        <v>0</v>
      </c>
      <c r="AJ382">
        <f>IF(ISNUMBER(AI382),IF(ISNUMBER(AE382),IF(AND(AE382=1,AF382=1,AG382=1),100,ROUND(100*EXP(AI382)/(1+EXP(AI382)),2)),ROUND(100*EXP(AI382)/(1+EXP(AI382)),2)),IF(ISTEXT(O382),IF(LEFT(O382,1)="2",100,"N/A"),"N/A"))</f>
        <v>0</v>
      </c>
      <c r="AK382">
        <f>IF(ISNUMBER(AJ382),IF(AJ382&gt;=99,IF(OR(R382=10,R382=11),MatchLabel,SureThingLabel),IF(AJ382&gt;=95,SecureLabel,IF(AJ382&gt;=80,SafetyLabel,IF(AJ382&gt;=50,MatchLabel,IF(AJ382&gt;=20,ReachLabel,IF(AJ382&gt;=10,LongshotLabel,HailMaryLabel)))))),"Other")</f>
        <v>0</v>
      </c>
      <c r="AL382">
        <f>IF(OR(I382="accepted",I382="cond. accept",I382="summer admit"),IF(J382="yes","CHOICE!","Accepted!"),IF(I382="denied","Denied",IF(K382=1,"Waitlist",IF(L382=1,"Deferred",IF(G382="pending","Pending",IF(OR(G382="initial materials submitted",G382="mid-year submitted",G382="final submitted"),"Submitted",IF(H382="interest","Interest","?")))))))</f>
        <v>0</v>
      </c>
      <c r="AM382">
        <f>IF(OR(AK382=ReachLabel,AK382=LongshotLabel,AK382=HailMaryLabel),1,0)</f>
        <v>0</v>
      </c>
      <c r="AN382">
        <f>IF(OR(AM382=1,AK382=MatchLabel),1,0)</f>
        <v>0</v>
      </c>
      <c r="AO382">
        <f>IF(OR(AK382=MatchLabel,AK382=SafetyLabel,AK382=SecureLabel,AK382=SureThingLabel),1,0)</f>
        <v>0</v>
      </c>
      <c r="AP382">
        <f>IF(OR(T382="H",T382="B"),IF(ISNUMBER(Y382),ROUND(Y382,2),0),IF(ISNUMBER(X382),ROUND(X382,2),0))</f>
        <v>0</v>
      </c>
      <c r="AQ382">
        <f>IF(AP382&gt;=U382,1,0)</f>
        <v>0</v>
      </c>
      <c r="AR382">
        <f>IF(AP382&gt;=V382,1,0)</f>
        <v>0</v>
      </c>
      <c r="AS382">
        <f>IF(AP382&lt;(U382-0.10),1,0)</f>
        <v>0</v>
      </c>
      <c r="AT382">
        <f>1-AJ382/100</f>
        <v>0</v>
      </c>
      <c r="AU382">
        <f>IF(AN382=1,AT382,1)</f>
        <v>0</v>
      </c>
      <c r="AV382">
        <f>IF(AM382=1,AT382,1)</f>
        <v>0</v>
      </c>
      <c r="AW382">
        <f>IF(AND(AQ382=1,ISNUMBER(AT382)),$AT382,1)</f>
        <v>0</v>
      </c>
      <c r="AX382">
        <f>IF(AND(AR382=1,ISNUMBER(AT382)),$AT382,1)</f>
        <v>0</v>
      </c>
      <c r="AY382">
        <f>IF(ISNUMBER(Y382),INDEX(AllCollegeMoney, MATCH(N382,AllCollegeNCES,0)),0)</f>
        <v>0</v>
      </c>
      <c r="AZ382">
        <f>IF(AND(AQ382=1,ISNUMBER(AT382),AY382=1),$AT382,1)</f>
        <v>0</v>
      </c>
      <c r="BA382">
        <f>IF(AND(AR382=1,ISNUMBER(AT382),AY382=1),$AT382,1)</f>
        <v>0</v>
      </c>
      <c r="BB382">
        <f>IF(ISNUMBER(Y382),INDEX(AllCollegeILPub, MATCH(N382,AllCollegeNCES,0)),0)</f>
        <v>0</v>
      </c>
      <c r="BC382">
        <f>IF(AK382=ReachLabel,AP382,0)</f>
        <v>0</v>
      </c>
      <c r="BD382">
        <f>IF(AK382=MatchLabel,AP382,0)</f>
        <v>0</v>
      </c>
      <c r="BE382">
        <f>IF(AK382=SafetyLabel,AP382,0)</f>
        <v>0</v>
      </c>
      <c r="BF382">
        <f>IF(AK382=SecureLabel,AP382,0)</f>
        <v>0</v>
      </c>
      <c r="BG382">
        <f>IF(AK382=SureThingLabel,AP382,0)</f>
        <v>0</v>
      </c>
      <c r="BH382">
        <f>MAX(BC382:BG382)</f>
        <v>0</v>
      </c>
      <c r="BI382">
        <f>MAX(BD382:BG382)</f>
        <v>0</v>
      </c>
      <c r="BJ382">
        <f>MAX(BE382:BG382)</f>
        <v>0</v>
      </c>
      <c r="BK382">
        <f>IF(AND(AK382=ReachLabel,AY382=1),AP382,0)</f>
        <v>0</v>
      </c>
      <c r="BL382">
        <f>IF(AND(AK382=MatchLabel,AY382=1),AP382,0)</f>
        <v>0</v>
      </c>
      <c r="BM382">
        <f>IF(AND(AK382=SafetyLabel,AY382=1),AP382,0)</f>
        <v>0</v>
      </c>
      <c r="BN382">
        <f>IF(AND(AK382=SecureLabel,AY382=1),AP382,0)</f>
        <v>0</v>
      </c>
      <c r="BO382">
        <f>IF(AND(AK382=SureThingLabel,AY382=1),AP382,0)</f>
        <v>0</v>
      </c>
      <c r="BP382">
        <f>MAX(BK382:BO382)</f>
        <v>0</v>
      </c>
      <c r="BQ382">
        <f>MAX(BL382:BO382)</f>
        <v>0</v>
      </c>
      <c r="BR382">
        <f>MAX(BM382:BO382)</f>
        <v>0</v>
      </c>
      <c r="BS382">
        <f>IF(ISNUMBER(Y382),INDEX(AllCollegeChicago, MATCH(N382,AllCollegeNCES,0))*AY382,0)</f>
        <v>0</v>
      </c>
      <c r="BT382">
        <f>IF(ISNUMBER(Y382),INDEX(AllCollegeMoneyCode, MATCH(N382,AllCollegeNCES,0)),"?")</f>
        <v>0</v>
      </c>
      <c r="BU382">
        <f>IF(OR(BT382="---",BT382="--",BT382="+/--",BT382="+/---"),1,0)</f>
        <v>0</v>
      </c>
      <c r="BV382">
        <f>AY382*AO382*AQ382</f>
        <v>0</v>
      </c>
    </row>
    <row r="383" spans="1:74">
      <c r="A383" t="s">
        <v>86</v>
      </c>
      <c r="B383">
        <v>23334800</v>
      </c>
      <c r="C383" t="s">
        <v>308</v>
      </c>
      <c r="D383" t="s">
        <v>309</v>
      </c>
      <c r="E383" t="s">
        <v>428</v>
      </c>
      <c r="F383" t="s">
        <v>482</v>
      </c>
      <c r="G383" t="s">
        <v>430</v>
      </c>
      <c r="H383" t="s">
        <v>431</v>
      </c>
      <c r="I383" t="s">
        <v>432</v>
      </c>
      <c r="J383" t="s">
        <v>432</v>
      </c>
      <c r="K383">
        <v>0</v>
      </c>
      <c r="L383" t="s">
        <v>428</v>
      </c>
      <c r="M383" t="s">
        <v>428</v>
      </c>
      <c r="N383">
        <v>173902</v>
      </c>
      <c r="O383">
        <f>INDEX(AllCollegeBarrons,MATCH(N383,AllCollegeNCES,0))</f>
        <v>0</v>
      </c>
      <c r="P383">
        <f>INDEX(KidGPAs,MATCH(B383,KidIDs,0))</f>
        <v>0</v>
      </c>
      <c r="Q383">
        <f>INDEX(KidACTs,MATCH(B383,KidIDs,0))</f>
        <v>0</v>
      </c>
      <c r="R383">
        <f>INDEX(Strats,MATCH(B383,KidIDs,0))</f>
        <v>0</v>
      </c>
      <c r="S383">
        <f>INDEX(KidRace,MATCH(B383,KidIDs,0))</f>
        <v>0</v>
      </c>
      <c r="T383">
        <f>IF(OR(S383="M",S383="I"),"H",S383)</f>
        <v>0</v>
      </c>
      <c r="U383">
        <f>INDEX(StudentTargets,MATCH(B383,KidIDs,0))</f>
        <v>0</v>
      </c>
      <c r="V383">
        <f>INDEX(ReachStudentTargets,MATCH(B383,KidIDs,0))</f>
        <v>0</v>
      </c>
      <c r="W383">
        <f>IF(OR(M383="Posse"),1,0)</f>
        <v>0</v>
      </c>
      <c r="X383">
        <f>IF(ISNUMBER(INDEX(AllCollegeGR, MATCH(N383,AllCollegeNCES,0))),ROUND(INDEX(AllCollegeGR, MATCH(N383,AllCollegeNCES,0))+W383*IF(INDEX(AllCollegeGR, MATCH(N383,AllCollegeNCES,0))&gt;0.7,(1-INDEX(AllCollegeGR, MATCH(N383,AllCollegeNCES,0)))/2,0.15),2),INDEX(AllCollegeGR, MATCH(N383,AllCollegeNCES,0)))</f>
        <v>0</v>
      </c>
      <c r="Y383">
        <f>IF(ISNUMBER(INDEX(AllCollegeAAHGR, MATCH(N383,AllCollegeNCES,0))),ROUND(INDEX(AllCollegeAAHGR, MATCH(N383,AllCollegeNCES,0))+W383*IF(INDEX(AllCollegeAAHGR, MATCH(N383,AllCollegeNCES,0))&gt;0.7,(1-INDEX(AllCollegeAAHGR, MATCH(N383,AllCollegeNCES,0)))/2,0.15),2),INDEX(AllCollegeAAHGR, MATCH(N383,AllCollegeNCES,0)))</f>
        <v>0</v>
      </c>
      <c r="Z383">
        <f>IF(OR(T383="H",T383="B"),INDEX(AllCollegeACT25, MATCH(N383,AllCollegeNCES,0)),INDEX(AllCollegeACT50, MATCH(N383,AllCollegeNCES,0)))</f>
        <v>0</v>
      </c>
      <c r="AA383">
        <f>INDEX(CustomWeightsGPA,MATCH(T383&amp;":"&amp;N383,CustomWeightsIndex,0))</f>
        <v>0</v>
      </c>
      <c r="AB383">
        <f>INDEX(CustomWeightsACT,MATCH(T383&amp;":"&amp;N383,CustomWeightsIndex,0))</f>
        <v>0</v>
      </c>
      <c r="AC383">
        <f>INDEX(CustomWeightsIntercept,MATCH(T383&amp;":"&amp;N383,CustomWeightsIndex,0))</f>
        <v>0</v>
      </c>
      <c r="AD383">
        <f>AA383*P383+AB383*Q383+AC383</f>
        <v>0</v>
      </c>
      <c r="AE383">
        <f>INDEX(CoefficientsGPA,MATCH(T383&amp;":"&amp;O383,CoefficientsIndex,0))</f>
        <v>0</v>
      </c>
      <c r="AF383">
        <f>INDEX(CoefficientsACT,MATCH(T383&amp;":"&amp;O383,CoefficientsIndex,0))</f>
        <v>0</v>
      </c>
      <c r="AG383">
        <f>INDEX(CoefficientsIntercept,MATCH(T383&amp;":"&amp;O383,CoefficientsIndex,0))</f>
        <v>0</v>
      </c>
      <c r="AH383">
        <f>AE383*P383+(Q383-Z383)*AF383+AG383</f>
        <v>0</v>
      </c>
      <c r="AI383">
        <f>IF(ISNUMBER(AD383),AD383,AH383)</f>
        <v>0</v>
      </c>
      <c r="AJ383">
        <f>IF(ISNUMBER(AI383),IF(ISNUMBER(AE383),IF(AND(AE383=1,AF383=1,AG383=1),100,ROUND(100*EXP(AI383)/(1+EXP(AI383)),2)),ROUND(100*EXP(AI383)/(1+EXP(AI383)),2)),IF(ISTEXT(O383),IF(LEFT(O383,1)="2",100,"N/A"),"N/A"))</f>
        <v>0</v>
      </c>
      <c r="AK383">
        <f>IF(ISNUMBER(AJ383),IF(AJ383&gt;=99,IF(OR(R383=10,R383=11),MatchLabel,SureThingLabel),IF(AJ383&gt;=95,SecureLabel,IF(AJ383&gt;=80,SafetyLabel,IF(AJ383&gt;=50,MatchLabel,IF(AJ383&gt;=20,ReachLabel,IF(AJ383&gt;=10,LongshotLabel,HailMaryLabel)))))),"Other")</f>
        <v>0</v>
      </c>
      <c r="AL383">
        <f>IF(OR(I383="accepted",I383="cond. accept",I383="summer admit"),IF(J383="yes","CHOICE!","Accepted!"),IF(I383="denied","Denied",IF(K383=1,"Waitlist",IF(L383=1,"Deferred",IF(G383="pending","Pending",IF(OR(G383="initial materials submitted",G383="mid-year submitted",G383="final submitted"),"Submitted",IF(H383="interest","Interest","?")))))))</f>
        <v>0</v>
      </c>
      <c r="AM383">
        <f>IF(OR(AK383=ReachLabel,AK383=LongshotLabel,AK383=HailMaryLabel),1,0)</f>
        <v>0</v>
      </c>
      <c r="AN383">
        <f>IF(OR(AM383=1,AK383=MatchLabel),1,0)</f>
        <v>0</v>
      </c>
      <c r="AO383">
        <f>IF(OR(AK383=MatchLabel,AK383=SafetyLabel,AK383=SecureLabel,AK383=SureThingLabel),1,0)</f>
        <v>0</v>
      </c>
      <c r="AP383">
        <f>IF(OR(T383="H",T383="B"),IF(ISNUMBER(Y383),ROUND(Y383,2),0),IF(ISNUMBER(X383),ROUND(X383,2),0))</f>
        <v>0</v>
      </c>
      <c r="AQ383">
        <f>IF(AP383&gt;=U383,1,0)</f>
        <v>0</v>
      </c>
      <c r="AR383">
        <f>IF(AP383&gt;=V383,1,0)</f>
        <v>0</v>
      </c>
      <c r="AS383">
        <f>IF(AP383&lt;(U383-0.10),1,0)</f>
        <v>0</v>
      </c>
      <c r="AT383">
        <f>1-AJ383/100</f>
        <v>0</v>
      </c>
      <c r="AU383">
        <f>IF(AN383=1,AT383,1)</f>
        <v>0</v>
      </c>
      <c r="AV383">
        <f>IF(AM383=1,AT383,1)</f>
        <v>0</v>
      </c>
      <c r="AW383">
        <f>IF(AND(AQ383=1,ISNUMBER(AT383)),$AT383,1)</f>
        <v>0</v>
      </c>
      <c r="AX383">
        <f>IF(AND(AR383=1,ISNUMBER(AT383)),$AT383,1)</f>
        <v>0</v>
      </c>
      <c r="AY383">
        <f>IF(ISNUMBER(Y383),INDEX(AllCollegeMoney, MATCH(N383,AllCollegeNCES,0)),0)</f>
        <v>0</v>
      </c>
      <c r="AZ383">
        <f>IF(AND(AQ383=1,ISNUMBER(AT383),AY383=1),$AT383,1)</f>
        <v>0</v>
      </c>
      <c r="BA383">
        <f>IF(AND(AR383=1,ISNUMBER(AT383),AY383=1),$AT383,1)</f>
        <v>0</v>
      </c>
      <c r="BB383">
        <f>IF(ISNUMBER(Y383),INDEX(AllCollegeILPub, MATCH(N383,AllCollegeNCES,0)),0)</f>
        <v>0</v>
      </c>
      <c r="BC383">
        <f>IF(AK383=ReachLabel,AP383,0)</f>
        <v>0</v>
      </c>
      <c r="BD383">
        <f>IF(AK383=MatchLabel,AP383,0)</f>
        <v>0</v>
      </c>
      <c r="BE383">
        <f>IF(AK383=SafetyLabel,AP383,0)</f>
        <v>0</v>
      </c>
      <c r="BF383">
        <f>IF(AK383=SecureLabel,AP383,0)</f>
        <v>0</v>
      </c>
      <c r="BG383">
        <f>IF(AK383=SureThingLabel,AP383,0)</f>
        <v>0</v>
      </c>
      <c r="BH383">
        <f>MAX(BC383:BG383)</f>
        <v>0</v>
      </c>
      <c r="BI383">
        <f>MAX(BD383:BG383)</f>
        <v>0</v>
      </c>
      <c r="BJ383">
        <f>MAX(BE383:BG383)</f>
        <v>0</v>
      </c>
      <c r="BK383">
        <f>IF(AND(AK383=ReachLabel,AY383=1),AP383,0)</f>
        <v>0</v>
      </c>
      <c r="BL383">
        <f>IF(AND(AK383=MatchLabel,AY383=1),AP383,0)</f>
        <v>0</v>
      </c>
      <c r="BM383">
        <f>IF(AND(AK383=SafetyLabel,AY383=1),AP383,0)</f>
        <v>0</v>
      </c>
      <c r="BN383">
        <f>IF(AND(AK383=SecureLabel,AY383=1),AP383,0)</f>
        <v>0</v>
      </c>
      <c r="BO383">
        <f>IF(AND(AK383=SureThingLabel,AY383=1),AP383,0)</f>
        <v>0</v>
      </c>
      <c r="BP383">
        <f>MAX(BK383:BO383)</f>
        <v>0</v>
      </c>
      <c r="BQ383">
        <f>MAX(BL383:BO383)</f>
        <v>0</v>
      </c>
      <c r="BR383">
        <f>MAX(BM383:BO383)</f>
        <v>0</v>
      </c>
      <c r="BS383">
        <f>IF(ISNUMBER(Y383),INDEX(AllCollegeChicago, MATCH(N383,AllCollegeNCES,0))*AY383,0)</f>
        <v>0</v>
      </c>
      <c r="BT383">
        <f>IF(ISNUMBER(Y383),INDEX(AllCollegeMoneyCode, MATCH(N383,AllCollegeNCES,0)),"?")</f>
        <v>0</v>
      </c>
      <c r="BU383">
        <f>IF(OR(BT383="---",BT383="--",BT383="+/--",BT383="+/---"),1,0)</f>
        <v>0</v>
      </c>
      <c r="BV383">
        <f>AY383*AO383*AQ383</f>
        <v>0</v>
      </c>
    </row>
    <row r="384" spans="1:74">
      <c r="A384" t="s">
        <v>86</v>
      </c>
      <c r="B384">
        <v>23334800</v>
      </c>
      <c r="C384" t="s">
        <v>308</v>
      </c>
      <c r="D384" t="s">
        <v>309</v>
      </c>
      <c r="E384" t="s">
        <v>428</v>
      </c>
      <c r="F384" t="s">
        <v>453</v>
      </c>
      <c r="G384" t="s">
        <v>430</v>
      </c>
      <c r="H384" t="s">
        <v>431</v>
      </c>
      <c r="I384" t="s">
        <v>432</v>
      </c>
      <c r="J384" t="s">
        <v>432</v>
      </c>
      <c r="K384">
        <v>0</v>
      </c>
      <c r="L384" t="s">
        <v>428</v>
      </c>
      <c r="M384" t="s">
        <v>428</v>
      </c>
      <c r="N384">
        <v>212674</v>
      </c>
      <c r="O384">
        <f>INDEX(AllCollegeBarrons,MATCH(N384,AllCollegeNCES,0))</f>
        <v>0</v>
      </c>
      <c r="P384">
        <f>INDEX(KidGPAs,MATCH(B384,KidIDs,0))</f>
        <v>0</v>
      </c>
      <c r="Q384">
        <f>INDEX(KidACTs,MATCH(B384,KidIDs,0))</f>
        <v>0</v>
      </c>
      <c r="R384">
        <f>INDEX(Strats,MATCH(B384,KidIDs,0))</f>
        <v>0</v>
      </c>
      <c r="S384">
        <f>INDEX(KidRace,MATCH(B384,KidIDs,0))</f>
        <v>0</v>
      </c>
      <c r="T384">
        <f>IF(OR(S384="M",S384="I"),"H",S384)</f>
        <v>0</v>
      </c>
      <c r="U384">
        <f>INDEX(StudentTargets,MATCH(B384,KidIDs,0))</f>
        <v>0</v>
      </c>
      <c r="V384">
        <f>INDEX(ReachStudentTargets,MATCH(B384,KidIDs,0))</f>
        <v>0</v>
      </c>
      <c r="W384">
        <f>IF(OR(M384="Posse"),1,0)</f>
        <v>0</v>
      </c>
      <c r="X384">
        <f>IF(ISNUMBER(INDEX(AllCollegeGR, MATCH(N384,AllCollegeNCES,0))),ROUND(INDEX(AllCollegeGR, MATCH(N384,AllCollegeNCES,0))+W384*IF(INDEX(AllCollegeGR, MATCH(N384,AllCollegeNCES,0))&gt;0.7,(1-INDEX(AllCollegeGR, MATCH(N384,AllCollegeNCES,0)))/2,0.15),2),INDEX(AllCollegeGR, MATCH(N384,AllCollegeNCES,0)))</f>
        <v>0</v>
      </c>
      <c r="Y384">
        <f>IF(ISNUMBER(INDEX(AllCollegeAAHGR, MATCH(N384,AllCollegeNCES,0))),ROUND(INDEX(AllCollegeAAHGR, MATCH(N384,AllCollegeNCES,0))+W384*IF(INDEX(AllCollegeAAHGR, MATCH(N384,AllCollegeNCES,0))&gt;0.7,(1-INDEX(AllCollegeAAHGR, MATCH(N384,AllCollegeNCES,0)))/2,0.15),2),INDEX(AllCollegeAAHGR, MATCH(N384,AllCollegeNCES,0)))</f>
        <v>0</v>
      </c>
      <c r="Z384">
        <f>IF(OR(T384="H",T384="B"),INDEX(AllCollegeACT25, MATCH(N384,AllCollegeNCES,0)),INDEX(AllCollegeACT50, MATCH(N384,AllCollegeNCES,0)))</f>
        <v>0</v>
      </c>
      <c r="AA384">
        <f>INDEX(CustomWeightsGPA,MATCH(T384&amp;":"&amp;N384,CustomWeightsIndex,0))</f>
        <v>0</v>
      </c>
      <c r="AB384">
        <f>INDEX(CustomWeightsACT,MATCH(T384&amp;":"&amp;N384,CustomWeightsIndex,0))</f>
        <v>0</v>
      </c>
      <c r="AC384">
        <f>INDEX(CustomWeightsIntercept,MATCH(T384&amp;":"&amp;N384,CustomWeightsIndex,0))</f>
        <v>0</v>
      </c>
      <c r="AD384">
        <f>AA384*P384+AB384*Q384+AC384</f>
        <v>0</v>
      </c>
      <c r="AE384">
        <f>INDEX(CoefficientsGPA,MATCH(T384&amp;":"&amp;O384,CoefficientsIndex,0))</f>
        <v>0</v>
      </c>
      <c r="AF384">
        <f>INDEX(CoefficientsACT,MATCH(T384&amp;":"&amp;O384,CoefficientsIndex,0))</f>
        <v>0</v>
      </c>
      <c r="AG384">
        <f>INDEX(CoefficientsIntercept,MATCH(T384&amp;":"&amp;O384,CoefficientsIndex,0))</f>
        <v>0</v>
      </c>
      <c r="AH384">
        <f>AE384*P384+(Q384-Z384)*AF384+AG384</f>
        <v>0</v>
      </c>
      <c r="AI384">
        <f>IF(ISNUMBER(AD384),AD384,AH384)</f>
        <v>0</v>
      </c>
      <c r="AJ384">
        <f>IF(ISNUMBER(AI384),IF(ISNUMBER(AE384),IF(AND(AE384=1,AF384=1,AG384=1),100,ROUND(100*EXP(AI384)/(1+EXP(AI384)),2)),ROUND(100*EXP(AI384)/(1+EXP(AI384)),2)),IF(ISTEXT(O384),IF(LEFT(O384,1)="2",100,"N/A"),"N/A"))</f>
        <v>0</v>
      </c>
      <c r="AK384">
        <f>IF(ISNUMBER(AJ384),IF(AJ384&gt;=99,IF(OR(R384=10,R384=11),MatchLabel,SureThingLabel),IF(AJ384&gt;=95,SecureLabel,IF(AJ384&gt;=80,SafetyLabel,IF(AJ384&gt;=50,MatchLabel,IF(AJ384&gt;=20,ReachLabel,IF(AJ384&gt;=10,LongshotLabel,HailMaryLabel)))))),"Other")</f>
        <v>0</v>
      </c>
      <c r="AL384">
        <f>IF(OR(I384="accepted",I384="cond. accept",I384="summer admit"),IF(J384="yes","CHOICE!","Accepted!"),IF(I384="denied","Denied",IF(K384=1,"Waitlist",IF(L384=1,"Deferred",IF(G384="pending","Pending",IF(OR(G384="initial materials submitted",G384="mid-year submitted",G384="final submitted"),"Submitted",IF(H384="interest","Interest","?")))))))</f>
        <v>0</v>
      </c>
      <c r="AM384">
        <f>IF(OR(AK384=ReachLabel,AK384=LongshotLabel,AK384=HailMaryLabel),1,0)</f>
        <v>0</v>
      </c>
      <c r="AN384">
        <f>IF(OR(AM384=1,AK384=MatchLabel),1,0)</f>
        <v>0</v>
      </c>
      <c r="AO384">
        <f>IF(OR(AK384=MatchLabel,AK384=SafetyLabel,AK384=SecureLabel,AK384=SureThingLabel),1,0)</f>
        <v>0</v>
      </c>
      <c r="AP384">
        <f>IF(OR(T384="H",T384="B"),IF(ISNUMBER(Y384),ROUND(Y384,2),0),IF(ISNUMBER(X384),ROUND(X384,2),0))</f>
        <v>0</v>
      </c>
      <c r="AQ384">
        <f>IF(AP384&gt;=U384,1,0)</f>
        <v>0</v>
      </c>
      <c r="AR384">
        <f>IF(AP384&gt;=V384,1,0)</f>
        <v>0</v>
      </c>
      <c r="AS384">
        <f>IF(AP384&lt;(U384-0.10),1,0)</f>
        <v>0</v>
      </c>
      <c r="AT384">
        <f>1-AJ384/100</f>
        <v>0</v>
      </c>
      <c r="AU384">
        <f>IF(AN384=1,AT384,1)</f>
        <v>0</v>
      </c>
      <c r="AV384">
        <f>IF(AM384=1,AT384,1)</f>
        <v>0</v>
      </c>
      <c r="AW384">
        <f>IF(AND(AQ384=1,ISNUMBER(AT384)),$AT384,1)</f>
        <v>0</v>
      </c>
      <c r="AX384">
        <f>IF(AND(AR384=1,ISNUMBER(AT384)),$AT384,1)</f>
        <v>0</v>
      </c>
      <c r="AY384">
        <f>IF(ISNUMBER(Y384),INDEX(AllCollegeMoney, MATCH(N384,AllCollegeNCES,0)),0)</f>
        <v>0</v>
      </c>
      <c r="AZ384">
        <f>IF(AND(AQ384=1,ISNUMBER(AT384),AY384=1),$AT384,1)</f>
        <v>0</v>
      </c>
      <c r="BA384">
        <f>IF(AND(AR384=1,ISNUMBER(AT384),AY384=1),$AT384,1)</f>
        <v>0</v>
      </c>
      <c r="BB384">
        <f>IF(ISNUMBER(Y384),INDEX(AllCollegeILPub, MATCH(N384,AllCollegeNCES,0)),0)</f>
        <v>0</v>
      </c>
      <c r="BC384">
        <f>IF(AK384=ReachLabel,AP384,0)</f>
        <v>0</v>
      </c>
      <c r="BD384">
        <f>IF(AK384=MatchLabel,AP384,0)</f>
        <v>0</v>
      </c>
      <c r="BE384">
        <f>IF(AK384=SafetyLabel,AP384,0)</f>
        <v>0</v>
      </c>
      <c r="BF384">
        <f>IF(AK384=SecureLabel,AP384,0)</f>
        <v>0</v>
      </c>
      <c r="BG384">
        <f>IF(AK384=SureThingLabel,AP384,0)</f>
        <v>0</v>
      </c>
      <c r="BH384">
        <f>MAX(BC384:BG384)</f>
        <v>0</v>
      </c>
      <c r="BI384">
        <f>MAX(BD384:BG384)</f>
        <v>0</v>
      </c>
      <c r="BJ384">
        <f>MAX(BE384:BG384)</f>
        <v>0</v>
      </c>
      <c r="BK384">
        <f>IF(AND(AK384=ReachLabel,AY384=1),AP384,0)</f>
        <v>0</v>
      </c>
      <c r="BL384">
        <f>IF(AND(AK384=MatchLabel,AY384=1),AP384,0)</f>
        <v>0</v>
      </c>
      <c r="BM384">
        <f>IF(AND(AK384=SafetyLabel,AY384=1),AP384,0)</f>
        <v>0</v>
      </c>
      <c r="BN384">
        <f>IF(AND(AK384=SecureLabel,AY384=1),AP384,0)</f>
        <v>0</v>
      </c>
      <c r="BO384">
        <f>IF(AND(AK384=SureThingLabel,AY384=1),AP384,0)</f>
        <v>0</v>
      </c>
      <c r="BP384">
        <f>MAX(BK384:BO384)</f>
        <v>0</v>
      </c>
      <c r="BQ384">
        <f>MAX(BL384:BO384)</f>
        <v>0</v>
      </c>
      <c r="BR384">
        <f>MAX(BM384:BO384)</f>
        <v>0</v>
      </c>
      <c r="BS384">
        <f>IF(ISNUMBER(Y384),INDEX(AllCollegeChicago, MATCH(N384,AllCollegeNCES,0))*AY384,0)</f>
        <v>0</v>
      </c>
      <c r="BT384">
        <f>IF(ISNUMBER(Y384),INDEX(AllCollegeMoneyCode, MATCH(N384,AllCollegeNCES,0)),"?")</f>
        <v>0</v>
      </c>
      <c r="BU384">
        <f>IF(OR(BT384="---",BT384="--",BT384="+/--",BT384="+/---"),1,0)</f>
        <v>0</v>
      </c>
      <c r="BV384">
        <f>AY384*AO384*AQ384</f>
        <v>0</v>
      </c>
    </row>
    <row r="385" spans="1:74">
      <c r="A385" t="s">
        <v>86</v>
      </c>
      <c r="B385">
        <v>23334800</v>
      </c>
      <c r="C385" t="s">
        <v>308</v>
      </c>
      <c r="D385" t="s">
        <v>309</v>
      </c>
      <c r="E385" t="s">
        <v>428</v>
      </c>
      <c r="F385" t="s">
        <v>454</v>
      </c>
      <c r="G385" t="s">
        <v>430</v>
      </c>
      <c r="H385" t="s">
        <v>431</v>
      </c>
      <c r="I385" t="s">
        <v>432</v>
      </c>
      <c r="J385" t="s">
        <v>432</v>
      </c>
      <c r="K385">
        <v>0</v>
      </c>
      <c r="L385" t="s">
        <v>428</v>
      </c>
      <c r="M385" t="s">
        <v>428</v>
      </c>
      <c r="N385">
        <v>170532</v>
      </c>
      <c r="O385">
        <f>INDEX(AllCollegeBarrons,MATCH(N385,AllCollegeNCES,0))</f>
        <v>0</v>
      </c>
      <c r="P385">
        <f>INDEX(KidGPAs,MATCH(B385,KidIDs,0))</f>
        <v>0</v>
      </c>
      <c r="Q385">
        <f>INDEX(KidACTs,MATCH(B385,KidIDs,0))</f>
        <v>0</v>
      </c>
      <c r="R385">
        <f>INDEX(Strats,MATCH(B385,KidIDs,0))</f>
        <v>0</v>
      </c>
      <c r="S385">
        <f>INDEX(KidRace,MATCH(B385,KidIDs,0))</f>
        <v>0</v>
      </c>
      <c r="T385">
        <f>IF(OR(S385="M",S385="I"),"H",S385)</f>
        <v>0</v>
      </c>
      <c r="U385">
        <f>INDEX(StudentTargets,MATCH(B385,KidIDs,0))</f>
        <v>0</v>
      </c>
      <c r="V385">
        <f>INDEX(ReachStudentTargets,MATCH(B385,KidIDs,0))</f>
        <v>0</v>
      </c>
      <c r="W385">
        <f>IF(OR(M385="Posse"),1,0)</f>
        <v>0</v>
      </c>
      <c r="X385">
        <f>IF(ISNUMBER(INDEX(AllCollegeGR, MATCH(N385,AllCollegeNCES,0))),ROUND(INDEX(AllCollegeGR, MATCH(N385,AllCollegeNCES,0))+W385*IF(INDEX(AllCollegeGR, MATCH(N385,AllCollegeNCES,0))&gt;0.7,(1-INDEX(AllCollegeGR, MATCH(N385,AllCollegeNCES,0)))/2,0.15),2),INDEX(AllCollegeGR, MATCH(N385,AllCollegeNCES,0)))</f>
        <v>0</v>
      </c>
      <c r="Y385">
        <f>IF(ISNUMBER(INDEX(AllCollegeAAHGR, MATCH(N385,AllCollegeNCES,0))),ROUND(INDEX(AllCollegeAAHGR, MATCH(N385,AllCollegeNCES,0))+W385*IF(INDEX(AllCollegeAAHGR, MATCH(N385,AllCollegeNCES,0))&gt;0.7,(1-INDEX(AllCollegeAAHGR, MATCH(N385,AllCollegeNCES,0)))/2,0.15),2),INDEX(AllCollegeAAHGR, MATCH(N385,AllCollegeNCES,0)))</f>
        <v>0</v>
      </c>
      <c r="Z385">
        <f>IF(OR(T385="H",T385="B"),INDEX(AllCollegeACT25, MATCH(N385,AllCollegeNCES,0)),INDEX(AllCollegeACT50, MATCH(N385,AllCollegeNCES,0)))</f>
        <v>0</v>
      </c>
      <c r="AA385">
        <f>INDEX(CustomWeightsGPA,MATCH(T385&amp;":"&amp;N385,CustomWeightsIndex,0))</f>
        <v>0</v>
      </c>
      <c r="AB385">
        <f>INDEX(CustomWeightsACT,MATCH(T385&amp;":"&amp;N385,CustomWeightsIndex,0))</f>
        <v>0</v>
      </c>
      <c r="AC385">
        <f>INDEX(CustomWeightsIntercept,MATCH(T385&amp;":"&amp;N385,CustomWeightsIndex,0))</f>
        <v>0</v>
      </c>
      <c r="AD385">
        <f>AA385*P385+AB385*Q385+AC385</f>
        <v>0</v>
      </c>
      <c r="AE385">
        <f>INDEX(CoefficientsGPA,MATCH(T385&amp;":"&amp;O385,CoefficientsIndex,0))</f>
        <v>0</v>
      </c>
      <c r="AF385">
        <f>INDEX(CoefficientsACT,MATCH(T385&amp;":"&amp;O385,CoefficientsIndex,0))</f>
        <v>0</v>
      </c>
      <c r="AG385">
        <f>INDEX(CoefficientsIntercept,MATCH(T385&amp;":"&amp;O385,CoefficientsIndex,0))</f>
        <v>0</v>
      </c>
      <c r="AH385">
        <f>AE385*P385+(Q385-Z385)*AF385+AG385</f>
        <v>0</v>
      </c>
      <c r="AI385">
        <f>IF(ISNUMBER(AD385),AD385,AH385)</f>
        <v>0</v>
      </c>
      <c r="AJ385">
        <f>IF(ISNUMBER(AI385),IF(ISNUMBER(AE385),IF(AND(AE385=1,AF385=1,AG385=1),100,ROUND(100*EXP(AI385)/(1+EXP(AI385)),2)),ROUND(100*EXP(AI385)/(1+EXP(AI385)),2)),IF(ISTEXT(O385),IF(LEFT(O385,1)="2",100,"N/A"),"N/A"))</f>
        <v>0</v>
      </c>
      <c r="AK385">
        <f>IF(ISNUMBER(AJ385),IF(AJ385&gt;=99,IF(OR(R385=10,R385=11),MatchLabel,SureThingLabel),IF(AJ385&gt;=95,SecureLabel,IF(AJ385&gt;=80,SafetyLabel,IF(AJ385&gt;=50,MatchLabel,IF(AJ385&gt;=20,ReachLabel,IF(AJ385&gt;=10,LongshotLabel,HailMaryLabel)))))),"Other")</f>
        <v>0</v>
      </c>
      <c r="AL385">
        <f>IF(OR(I385="accepted",I385="cond. accept",I385="summer admit"),IF(J385="yes","CHOICE!","Accepted!"),IF(I385="denied","Denied",IF(K385=1,"Waitlist",IF(L385=1,"Deferred",IF(G385="pending","Pending",IF(OR(G385="initial materials submitted",G385="mid-year submitted",G385="final submitted"),"Submitted",IF(H385="interest","Interest","?")))))))</f>
        <v>0</v>
      </c>
      <c r="AM385">
        <f>IF(OR(AK385=ReachLabel,AK385=LongshotLabel,AK385=HailMaryLabel),1,0)</f>
        <v>0</v>
      </c>
      <c r="AN385">
        <f>IF(OR(AM385=1,AK385=MatchLabel),1,0)</f>
        <v>0</v>
      </c>
      <c r="AO385">
        <f>IF(OR(AK385=MatchLabel,AK385=SafetyLabel,AK385=SecureLabel,AK385=SureThingLabel),1,0)</f>
        <v>0</v>
      </c>
      <c r="AP385">
        <f>IF(OR(T385="H",T385="B"),IF(ISNUMBER(Y385),ROUND(Y385,2),0),IF(ISNUMBER(X385),ROUND(X385,2),0))</f>
        <v>0</v>
      </c>
      <c r="AQ385">
        <f>IF(AP385&gt;=U385,1,0)</f>
        <v>0</v>
      </c>
      <c r="AR385">
        <f>IF(AP385&gt;=V385,1,0)</f>
        <v>0</v>
      </c>
      <c r="AS385">
        <f>IF(AP385&lt;(U385-0.10),1,0)</f>
        <v>0</v>
      </c>
      <c r="AT385">
        <f>1-AJ385/100</f>
        <v>0</v>
      </c>
      <c r="AU385">
        <f>IF(AN385=1,AT385,1)</f>
        <v>0</v>
      </c>
      <c r="AV385">
        <f>IF(AM385=1,AT385,1)</f>
        <v>0</v>
      </c>
      <c r="AW385">
        <f>IF(AND(AQ385=1,ISNUMBER(AT385)),$AT385,1)</f>
        <v>0</v>
      </c>
      <c r="AX385">
        <f>IF(AND(AR385=1,ISNUMBER(AT385)),$AT385,1)</f>
        <v>0</v>
      </c>
      <c r="AY385">
        <f>IF(ISNUMBER(Y385),INDEX(AllCollegeMoney, MATCH(N385,AllCollegeNCES,0)),0)</f>
        <v>0</v>
      </c>
      <c r="AZ385">
        <f>IF(AND(AQ385=1,ISNUMBER(AT385),AY385=1),$AT385,1)</f>
        <v>0</v>
      </c>
      <c r="BA385">
        <f>IF(AND(AR385=1,ISNUMBER(AT385),AY385=1),$AT385,1)</f>
        <v>0</v>
      </c>
      <c r="BB385">
        <f>IF(ISNUMBER(Y385),INDEX(AllCollegeILPub, MATCH(N385,AllCollegeNCES,0)),0)</f>
        <v>0</v>
      </c>
      <c r="BC385">
        <f>IF(AK385=ReachLabel,AP385,0)</f>
        <v>0</v>
      </c>
      <c r="BD385">
        <f>IF(AK385=MatchLabel,AP385,0)</f>
        <v>0</v>
      </c>
      <c r="BE385">
        <f>IF(AK385=SafetyLabel,AP385,0)</f>
        <v>0</v>
      </c>
      <c r="BF385">
        <f>IF(AK385=SecureLabel,AP385,0)</f>
        <v>0</v>
      </c>
      <c r="BG385">
        <f>IF(AK385=SureThingLabel,AP385,0)</f>
        <v>0</v>
      </c>
      <c r="BH385">
        <f>MAX(BC385:BG385)</f>
        <v>0</v>
      </c>
      <c r="BI385">
        <f>MAX(BD385:BG385)</f>
        <v>0</v>
      </c>
      <c r="BJ385">
        <f>MAX(BE385:BG385)</f>
        <v>0</v>
      </c>
      <c r="BK385">
        <f>IF(AND(AK385=ReachLabel,AY385=1),AP385,0)</f>
        <v>0</v>
      </c>
      <c r="BL385">
        <f>IF(AND(AK385=MatchLabel,AY385=1),AP385,0)</f>
        <v>0</v>
      </c>
      <c r="BM385">
        <f>IF(AND(AK385=SafetyLabel,AY385=1),AP385,0)</f>
        <v>0</v>
      </c>
      <c r="BN385">
        <f>IF(AND(AK385=SecureLabel,AY385=1),AP385,0)</f>
        <v>0</v>
      </c>
      <c r="BO385">
        <f>IF(AND(AK385=SureThingLabel,AY385=1),AP385,0)</f>
        <v>0</v>
      </c>
      <c r="BP385">
        <f>MAX(BK385:BO385)</f>
        <v>0</v>
      </c>
      <c r="BQ385">
        <f>MAX(BL385:BO385)</f>
        <v>0</v>
      </c>
      <c r="BR385">
        <f>MAX(BM385:BO385)</f>
        <v>0</v>
      </c>
      <c r="BS385">
        <f>IF(ISNUMBER(Y385),INDEX(AllCollegeChicago, MATCH(N385,AllCollegeNCES,0))*AY385,0)</f>
        <v>0</v>
      </c>
      <c r="BT385">
        <f>IF(ISNUMBER(Y385),INDEX(AllCollegeMoneyCode, MATCH(N385,AllCollegeNCES,0)),"?")</f>
        <v>0</v>
      </c>
      <c r="BU385">
        <f>IF(OR(BT385="---",BT385="--",BT385="+/--",BT385="+/---"),1,0)</f>
        <v>0</v>
      </c>
      <c r="BV385">
        <f>AY385*AO385*AQ385</f>
        <v>0</v>
      </c>
    </row>
    <row r="386" spans="1:74">
      <c r="A386" t="s">
        <v>86</v>
      </c>
      <c r="B386">
        <v>23334800</v>
      </c>
      <c r="C386" t="s">
        <v>308</v>
      </c>
      <c r="D386" t="s">
        <v>309</v>
      </c>
      <c r="E386" t="s">
        <v>428</v>
      </c>
      <c r="F386" t="s">
        <v>455</v>
      </c>
      <c r="G386" t="s">
        <v>430</v>
      </c>
      <c r="H386" t="s">
        <v>431</v>
      </c>
      <c r="I386" t="s">
        <v>432</v>
      </c>
      <c r="J386" t="s">
        <v>432</v>
      </c>
      <c r="K386">
        <v>0</v>
      </c>
      <c r="L386" t="s">
        <v>428</v>
      </c>
      <c r="M386" t="s">
        <v>428</v>
      </c>
      <c r="N386">
        <v>240444</v>
      </c>
      <c r="O386">
        <f>INDEX(AllCollegeBarrons,MATCH(N386,AllCollegeNCES,0))</f>
        <v>0</v>
      </c>
      <c r="P386">
        <f>INDEX(KidGPAs,MATCH(B386,KidIDs,0))</f>
        <v>0</v>
      </c>
      <c r="Q386">
        <f>INDEX(KidACTs,MATCH(B386,KidIDs,0))</f>
        <v>0</v>
      </c>
      <c r="R386">
        <f>INDEX(Strats,MATCH(B386,KidIDs,0))</f>
        <v>0</v>
      </c>
      <c r="S386">
        <f>INDEX(KidRace,MATCH(B386,KidIDs,0))</f>
        <v>0</v>
      </c>
      <c r="T386">
        <f>IF(OR(S386="M",S386="I"),"H",S386)</f>
        <v>0</v>
      </c>
      <c r="U386">
        <f>INDEX(StudentTargets,MATCH(B386,KidIDs,0))</f>
        <v>0</v>
      </c>
      <c r="V386">
        <f>INDEX(ReachStudentTargets,MATCH(B386,KidIDs,0))</f>
        <v>0</v>
      </c>
      <c r="W386">
        <f>IF(OR(M386="Posse"),1,0)</f>
        <v>0</v>
      </c>
      <c r="X386">
        <f>IF(ISNUMBER(INDEX(AllCollegeGR, MATCH(N386,AllCollegeNCES,0))),ROUND(INDEX(AllCollegeGR, MATCH(N386,AllCollegeNCES,0))+W386*IF(INDEX(AllCollegeGR, MATCH(N386,AllCollegeNCES,0))&gt;0.7,(1-INDEX(AllCollegeGR, MATCH(N386,AllCollegeNCES,0)))/2,0.15),2),INDEX(AllCollegeGR, MATCH(N386,AllCollegeNCES,0)))</f>
        <v>0</v>
      </c>
      <c r="Y386">
        <f>IF(ISNUMBER(INDEX(AllCollegeAAHGR, MATCH(N386,AllCollegeNCES,0))),ROUND(INDEX(AllCollegeAAHGR, MATCH(N386,AllCollegeNCES,0))+W386*IF(INDEX(AllCollegeAAHGR, MATCH(N386,AllCollegeNCES,0))&gt;0.7,(1-INDEX(AllCollegeAAHGR, MATCH(N386,AllCollegeNCES,0)))/2,0.15),2),INDEX(AllCollegeAAHGR, MATCH(N386,AllCollegeNCES,0)))</f>
        <v>0</v>
      </c>
      <c r="Z386">
        <f>IF(OR(T386="H",T386="B"),INDEX(AllCollegeACT25, MATCH(N386,AllCollegeNCES,0)),INDEX(AllCollegeACT50, MATCH(N386,AllCollegeNCES,0)))</f>
        <v>0</v>
      </c>
      <c r="AA386">
        <f>INDEX(CustomWeightsGPA,MATCH(T386&amp;":"&amp;N386,CustomWeightsIndex,0))</f>
        <v>0</v>
      </c>
      <c r="AB386">
        <f>INDEX(CustomWeightsACT,MATCH(T386&amp;":"&amp;N386,CustomWeightsIndex,0))</f>
        <v>0</v>
      </c>
      <c r="AC386">
        <f>INDEX(CustomWeightsIntercept,MATCH(T386&amp;":"&amp;N386,CustomWeightsIndex,0))</f>
        <v>0</v>
      </c>
      <c r="AD386">
        <f>AA386*P386+AB386*Q386+AC386</f>
        <v>0</v>
      </c>
      <c r="AE386">
        <f>INDEX(CoefficientsGPA,MATCH(T386&amp;":"&amp;O386,CoefficientsIndex,0))</f>
        <v>0</v>
      </c>
      <c r="AF386">
        <f>INDEX(CoefficientsACT,MATCH(T386&amp;":"&amp;O386,CoefficientsIndex,0))</f>
        <v>0</v>
      </c>
      <c r="AG386">
        <f>INDEX(CoefficientsIntercept,MATCH(T386&amp;":"&amp;O386,CoefficientsIndex,0))</f>
        <v>0</v>
      </c>
      <c r="AH386">
        <f>AE386*P386+(Q386-Z386)*AF386+AG386</f>
        <v>0</v>
      </c>
      <c r="AI386">
        <f>IF(ISNUMBER(AD386),AD386,AH386)</f>
        <v>0</v>
      </c>
      <c r="AJ386">
        <f>IF(ISNUMBER(AI386),IF(ISNUMBER(AE386),IF(AND(AE386=1,AF386=1,AG386=1),100,ROUND(100*EXP(AI386)/(1+EXP(AI386)),2)),ROUND(100*EXP(AI386)/(1+EXP(AI386)),2)),IF(ISTEXT(O386),IF(LEFT(O386,1)="2",100,"N/A"),"N/A"))</f>
        <v>0</v>
      </c>
      <c r="AK386">
        <f>IF(ISNUMBER(AJ386),IF(AJ386&gt;=99,IF(OR(R386=10,R386=11),MatchLabel,SureThingLabel),IF(AJ386&gt;=95,SecureLabel,IF(AJ386&gt;=80,SafetyLabel,IF(AJ386&gt;=50,MatchLabel,IF(AJ386&gt;=20,ReachLabel,IF(AJ386&gt;=10,LongshotLabel,HailMaryLabel)))))),"Other")</f>
        <v>0</v>
      </c>
      <c r="AL386">
        <f>IF(OR(I386="accepted",I386="cond. accept",I386="summer admit"),IF(J386="yes","CHOICE!","Accepted!"),IF(I386="denied","Denied",IF(K386=1,"Waitlist",IF(L386=1,"Deferred",IF(G386="pending","Pending",IF(OR(G386="initial materials submitted",G386="mid-year submitted",G386="final submitted"),"Submitted",IF(H386="interest","Interest","?")))))))</f>
        <v>0</v>
      </c>
      <c r="AM386">
        <f>IF(OR(AK386=ReachLabel,AK386=LongshotLabel,AK386=HailMaryLabel),1,0)</f>
        <v>0</v>
      </c>
      <c r="AN386">
        <f>IF(OR(AM386=1,AK386=MatchLabel),1,0)</f>
        <v>0</v>
      </c>
      <c r="AO386">
        <f>IF(OR(AK386=MatchLabel,AK386=SafetyLabel,AK386=SecureLabel,AK386=SureThingLabel),1,0)</f>
        <v>0</v>
      </c>
      <c r="AP386">
        <f>IF(OR(T386="H",T386="B"),IF(ISNUMBER(Y386),ROUND(Y386,2),0),IF(ISNUMBER(X386),ROUND(X386,2),0))</f>
        <v>0</v>
      </c>
      <c r="AQ386">
        <f>IF(AP386&gt;=U386,1,0)</f>
        <v>0</v>
      </c>
      <c r="AR386">
        <f>IF(AP386&gt;=V386,1,0)</f>
        <v>0</v>
      </c>
      <c r="AS386">
        <f>IF(AP386&lt;(U386-0.10),1,0)</f>
        <v>0</v>
      </c>
      <c r="AT386">
        <f>1-AJ386/100</f>
        <v>0</v>
      </c>
      <c r="AU386">
        <f>IF(AN386=1,AT386,1)</f>
        <v>0</v>
      </c>
      <c r="AV386">
        <f>IF(AM386=1,AT386,1)</f>
        <v>0</v>
      </c>
      <c r="AW386">
        <f>IF(AND(AQ386=1,ISNUMBER(AT386)),$AT386,1)</f>
        <v>0</v>
      </c>
      <c r="AX386">
        <f>IF(AND(AR386=1,ISNUMBER(AT386)),$AT386,1)</f>
        <v>0</v>
      </c>
      <c r="AY386">
        <f>IF(ISNUMBER(Y386),INDEX(AllCollegeMoney, MATCH(N386,AllCollegeNCES,0)),0)</f>
        <v>0</v>
      </c>
      <c r="AZ386">
        <f>IF(AND(AQ386=1,ISNUMBER(AT386),AY386=1),$AT386,1)</f>
        <v>0</v>
      </c>
      <c r="BA386">
        <f>IF(AND(AR386=1,ISNUMBER(AT386),AY386=1),$AT386,1)</f>
        <v>0</v>
      </c>
      <c r="BB386">
        <f>IF(ISNUMBER(Y386),INDEX(AllCollegeILPub, MATCH(N386,AllCollegeNCES,0)),0)</f>
        <v>0</v>
      </c>
      <c r="BC386">
        <f>IF(AK386=ReachLabel,AP386,0)</f>
        <v>0</v>
      </c>
      <c r="BD386">
        <f>IF(AK386=MatchLabel,AP386,0)</f>
        <v>0</v>
      </c>
      <c r="BE386">
        <f>IF(AK386=SafetyLabel,AP386,0)</f>
        <v>0</v>
      </c>
      <c r="BF386">
        <f>IF(AK386=SecureLabel,AP386,0)</f>
        <v>0</v>
      </c>
      <c r="BG386">
        <f>IF(AK386=SureThingLabel,AP386,0)</f>
        <v>0</v>
      </c>
      <c r="BH386">
        <f>MAX(BC386:BG386)</f>
        <v>0</v>
      </c>
      <c r="BI386">
        <f>MAX(BD386:BG386)</f>
        <v>0</v>
      </c>
      <c r="BJ386">
        <f>MAX(BE386:BG386)</f>
        <v>0</v>
      </c>
      <c r="BK386">
        <f>IF(AND(AK386=ReachLabel,AY386=1),AP386,0)</f>
        <v>0</v>
      </c>
      <c r="BL386">
        <f>IF(AND(AK386=MatchLabel,AY386=1),AP386,0)</f>
        <v>0</v>
      </c>
      <c r="BM386">
        <f>IF(AND(AK386=SafetyLabel,AY386=1),AP386,0)</f>
        <v>0</v>
      </c>
      <c r="BN386">
        <f>IF(AND(AK386=SecureLabel,AY386=1),AP386,0)</f>
        <v>0</v>
      </c>
      <c r="BO386">
        <f>IF(AND(AK386=SureThingLabel,AY386=1),AP386,0)</f>
        <v>0</v>
      </c>
      <c r="BP386">
        <f>MAX(BK386:BO386)</f>
        <v>0</v>
      </c>
      <c r="BQ386">
        <f>MAX(BL386:BO386)</f>
        <v>0</v>
      </c>
      <c r="BR386">
        <f>MAX(BM386:BO386)</f>
        <v>0</v>
      </c>
      <c r="BS386">
        <f>IF(ISNUMBER(Y386),INDEX(AllCollegeChicago, MATCH(N386,AllCollegeNCES,0))*AY386,0)</f>
        <v>0</v>
      </c>
      <c r="BT386">
        <f>IF(ISNUMBER(Y386),INDEX(AllCollegeMoneyCode, MATCH(N386,AllCollegeNCES,0)),"?")</f>
        <v>0</v>
      </c>
      <c r="BU386">
        <f>IF(OR(BT386="---",BT386="--",BT386="+/--",BT386="+/---"),1,0)</f>
        <v>0</v>
      </c>
      <c r="BV386">
        <f>AY386*AO386*AQ386</f>
        <v>0</v>
      </c>
    </row>
    <row r="387" spans="1:74">
      <c r="A387" t="s">
        <v>86</v>
      </c>
      <c r="B387">
        <v>23334800</v>
      </c>
      <c r="C387" t="s">
        <v>308</v>
      </c>
      <c r="D387" t="s">
        <v>309</v>
      </c>
      <c r="E387" t="s">
        <v>428</v>
      </c>
      <c r="F387" t="s">
        <v>457</v>
      </c>
      <c r="G387" t="s">
        <v>430</v>
      </c>
      <c r="H387" t="s">
        <v>431</v>
      </c>
      <c r="I387" t="s">
        <v>432</v>
      </c>
      <c r="J387" t="s">
        <v>432</v>
      </c>
      <c r="K387">
        <v>0</v>
      </c>
      <c r="L387" t="s">
        <v>428</v>
      </c>
      <c r="M387" t="s">
        <v>428</v>
      </c>
      <c r="N387">
        <v>145637</v>
      </c>
      <c r="O387">
        <f>INDEX(AllCollegeBarrons,MATCH(N387,AllCollegeNCES,0))</f>
        <v>0</v>
      </c>
      <c r="P387">
        <f>INDEX(KidGPAs,MATCH(B387,KidIDs,0))</f>
        <v>0</v>
      </c>
      <c r="Q387">
        <f>INDEX(KidACTs,MATCH(B387,KidIDs,0))</f>
        <v>0</v>
      </c>
      <c r="R387">
        <f>INDEX(Strats,MATCH(B387,KidIDs,0))</f>
        <v>0</v>
      </c>
      <c r="S387">
        <f>INDEX(KidRace,MATCH(B387,KidIDs,0))</f>
        <v>0</v>
      </c>
      <c r="T387">
        <f>IF(OR(S387="M",S387="I"),"H",S387)</f>
        <v>0</v>
      </c>
      <c r="U387">
        <f>INDEX(StudentTargets,MATCH(B387,KidIDs,0))</f>
        <v>0</v>
      </c>
      <c r="V387">
        <f>INDEX(ReachStudentTargets,MATCH(B387,KidIDs,0))</f>
        <v>0</v>
      </c>
      <c r="W387">
        <f>IF(OR(M387="Posse"),1,0)</f>
        <v>0</v>
      </c>
      <c r="X387">
        <f>IF(ISNUMBER(INDEX(AllCollegeGR, MATCH(N387,AllCollegeNCES,0))),ROUND(INDEX(AllCollegeGR, MATCH(N387,AllCollegeNCES,0))+W387*IF(INDEX(AllCollegeGR, MATCH(N387,AllCollegeNCES,0))&gt;0.7,(1-INDEX(AllCollegeGR, MATCH(N387,AllCollegeNCES,0)))/2,0.15),2),INDEX(AllCollegeGR, MATCH(N387,AllCollegeNCES,0)))</f>
        <v>0</v>
      </c>
      <c r="Y387">
        <f>IF(ISNUMBER(INDEX(AllCollegeAAHGR, MATCH(N387,AllCollegeNCES,0))),ROUND(INDEX(AllCollegeAAHGR, MATCH(N387,AllCollegeNCES,0))+W387*IF(INDEX(AllCollegeAAHGR, MATCH(N387,AllCollegeNCES,0))&gt;0.7,(1-INDEX(AllCollegeAAHGR, MATCH(N387,AllCollegeNCES,0)))/2,0.15),2),INDEX(AllCollegeAAHGR, MATCH(N387,AllCollegeNCES,0)))</f>
        <v>0</v>
      </c>
      <c r="Z387">
        <f>IF(OR(T387="H",T387="B"),INDEX(AllCollegeACT25, MATCH(N387,AllCollegeNCES,0)),INDEX(AllCollegeACT50, MATCH(N387,AllCollegeNCES,0)))</f>
        <v>0</v>
      </c>
      <c r="AA387">
        <f>INDEX(CustomWeightsGPA,MATCH(T387&amp;":"&amp;N387,CustomWeightsIndex,0))</f>
        <v>0</v>
      </c>
      <c r="AB387">
        <f>INDEX(CustomWeightsACT,MATCH(T387&amp;":"&amp;N387,CustomWeightsIndex,0))</f>
        <v>0</v>
      </c>
      <c r="AC387">
        <f>INDEX(CustomWeightsIntercept,MATCH(T387&amp;":"&amp;N387,CustomWeightsIndex,0))</f>
        <v>0</v>
      </c>
      <c r="AD387">
        <f>AA387*P387+AB387*Q387+AC387</f>
        <v>0</v>
      </c>
      <c r="AE387">
        <f>INDEX(CoefficientsGPA,MATCH(T387&amp;":"&amp;O387,CoefficientsIndex,0))</f>
        <v>0</v>
      </c>
      <c r="AF387">
        <f>INDEX(CoefficientsACT,MATCH(T387&amp;":"&amp;O387,CoefficientsIndex,0))</f>
        <v>0</v>
      </c>
      <c r="AG387">
        <f>INDEX(CoefficientsIntercept,MATCH(T387&amp;":"&amp;O387,CoefficientsIndex,0))</f>
        <v>0</v>
      </c>
      <c r="AH387">
        <f>AE387*P387+(Q387-Z387)*AF387+AG387</f>
        <v>0</v>
      </c>
      <c r="AI387">
        <f>IF(ISNUMBER(AD387),AD387,AH387)</f>
        <v>0</v>
      </c>
      <c r="AJ387">
        <f>IF(ISNUMBER(AI387),IF(ISNUMBER(AE387),IF(AND(AE387=1,AF387=1,AG387=1),100,ROUND(100*EXP(AI387)/(1+EXP(AI387)),2)),ROUND(100*EXP(AI387)/(1+EXP(AI387)),2)),IF(ISTEXT(O387),IF(LEFT(O387,1)="2",100,"N/A"),"N/A"))</f>
        <v>0</v>
      </c>
      <c r="AK387">
        <f>IF(ISNUMBER(AJ387),IF(AJ387&gt;=99,IF(OR(R387=10,R387=11),MatchLabel,SureThingLabel),IF(AJ387&gt;=95,SecureLabel,IF(AJ387&gt;=80,SafetyLabel,IF(AJ387&gt;=50,MatchLabel,IF(AJ387&gt;=20,ReachLabel,IF(AJ387&gt;=10,LongshotLabel,HailMaryLabel)))))),"Other")</f>
        <v>0</v>
      </c>
      <c r="AL387">
        <f>IF(OR(I387="accepted",I387="cond. accept",I387="summer admit"),IF(J387="yes","CHOICE!","Accepted!"),IF(I387="denied","Denied",IF(K387=1,"Waitlist",IF(L387=1,"Deferred",IF(G387="pending","Pending",IF(OR(G387="initial materials submitted",G387="mid-year submitted",G387="final submitted"),"Submitted",IF(H387="interest","Interest","?")))))))</f>
        <v>0</v>
      </c>
      <c r="AM387">
        <f>IF(OR(AK387=ReachLabel,AK387=LongshotLabel,AK387=HailMaryLabel),1,0)</f>
        <v>0</v>
      </c>
      <c r="AN387">
        <f>IF(OR(AM387=1,AK387=MatchLabel),1,0)</f>
        <v>0</v>
      </c>
      <c r="AO387">
        <f>IF(OR(AK387=MatchLabel,AK387=SafetyLabel,AK387=SecureLabel,AK387=SureThingLabel),1,0)</f>
        <v>0</v>
      </c>
      <c r="AP387">
        <f>IF(OR(T387="H",T387="B"),IF(ISNUMBER(Y387),ROUND(Y387,2),0),IF(ISNUMBER(X387),ROUND(X387,2),0))</f>
        <v>0</v>
      </c>
      <c r="AQ387">
        <f>IF(AP387&gt;=U387,1,0)</f>
        <v>0</v>
      </c>
      <c r="AR387">
        <f>IF(AP387&gt;=V387,1,0)</f>
        <v>0</v>
      </c>
      <c r="AS387">
        <f>IF(AP387&lt;(U387-0.10),1,0)</f>
        <v>0</v>
      </c>
      <c r="AT387">
        <f>1-AJ387/100</f>
        <v>0</v>
      </c>
      <c r="AU387">
        <f>IF(AN387=1,AT387,1)</f>
        <v>0</v>
      </c>
      <c r="AV387">
        <f>IF(AM387=1,AT387,1)</f>
        <v>0</v>
      </c>
      <c r="AW387">
        <f>IF(AND(AQ387=1,ISNUMBER(AT387)),$AT387,1)</f>
        <v>0</v>
      </c>
      <c r="AX387">
        <f>IF(AND(AR387=1,ISNUMBER(AT387)),$AT387,1)</f>
        <v>0</v>
      </c>
      <c r="AY387">
        <f>IF(ISNUMBER(Y387),INDEX(AllCollegeMoney, MATCH(N387,AllCollegeNCES,0)),0)</f>
        <v>0</v>
      </c>
      <c r="AZ387">
        <f>IF(AND(AQ387=1,ISNUMBER(AT387),AY387=1),$AT387,1)</f>
        <v>0</v>
      </c>
      <c r="BA387">
        <f>IF(AND(AR387=1,ISNUMBER(AT387),AY387=1),$AT387,1)</f>
        <v>0</v>
      </c>
      <c r="BB387">
        <f>IF(ISNUMBER(Y387),INDEX(AllCollegeILPub, MATCH(N387,AllCollegeNCES,0)),0)</f>
        <v>0</v>
      </c>
      <c r="BC387">
        <f>IF(AK387=ReachLabel,AP387,0)</f>
        <v>0</v>
      </c>
      <c r="BD387">
        <f>IF(AK387=MatchLabel,AP387,0)</f>
        <v>0</v>
      </c>
      <c r="BE387">
        <f>IF(AK387=SafetyLabel,AP387,0)</f>
        <v>0</v>
      </c>
      <c r="BF387">
        <f>IF(AK387=SecureLabel,AP387,0)</f>
        <v>0</v>
      </c>
      <c r="BG387">
        <f>IF(AK387=SureThingLabel,AP387,0)</f>
        <v>0</v>
      </c>
      <c r="BH387">
        <f>MAX(BC387:BG387)</f>
        <v>0</v>
      </c>
      <c r="BI387">
        <f>MAX(BD387:BG387)</f>
        <v>0</v>
      </c>
      <c r="BJ387">
        <f>MAX(BE387:BG387)</f>
        <v>0</v>
      </c>
      <c r="BK387">
        <f>IF(AND(AK387=ReachLabel,AY387=1),AP387,0)</f>
        <v>0</v>
      </c>
      <c r="BL387">
        <f>IF(AND(AK387=MatchLabel,AY387=1),AP387,0)</f>
        <v>0</v>
      </c>
      <c r="BM387">
        <f>IF(AND(AK387=SafetyLabel,AY387=1),AP387,0)</f>
        <v>0</v>
      </c>
      <c r="BN387">
        <f>IF(AND(AK387=SecureLabel,AY387=1),AP387,0)</f>
        <v>0</v>
      </c>
      <c r="BO387">
        <f>IF(AND(AK387=SureThingLabel,AY387=1),AP387,0)</f>
        <v>0</v>
      </c>
      <c r="BP387">
        <f>MAX(BK387:BO387)</f>
        <v>0</v>
      </c>
      <c r="BQ387">
        <f>MAX(BL387:BO387)</f>
        <v>0</v>
      </c>
      <c r="BR387">
        <f>MAX(BM387:BO387)</f>
        <v>0</v>
      </c>
      <c r="BS387">
        <f>IF(ISNUMBER(Y387),INDEX(AllCollegeChicago, MATCH(N387,AllCollegeNCES,0))*AY387,0)</f>
        <v>0</v>
      </c>
      <c r="BT387">
        <f>IF(ISNUMBER(Y387),INDEX(AllCollegeMoneyCode, MATCH(N387,AllCollegeNCES,0)),"?")</f>
        <v>0</v>
      </c>
      <c r="BU387">
        <f>IF(OR(BT387="---",BT387="--",BT387="+/--",BT387="+/---"),1,0)</f>
        <v>0</v>
      </c>
      <c r="BV387">
        <f>AY387*AO387*AQ387</f>
        <v>0</v>
      </c>
    </row>
    <row r="388" spans="1:74">
      <c r="A388" t="s">
        <v>86</v>
      </c>
      <c r="B388">
        <v>23334800</v>
      </c>
      <c r="C388" t="s">
        <v>308</v>
      </c>
      <c r="D388" t="s">
        <v>309</v>
      </c>
      <c r="E388" t="s">
        <v>428</v>
      </c>
      <c r="F388" t="s">
        <v>471</v>
      </c>
      <c r="G388" t="s">
        <v>463</v>
      </c>
      <c r="H388" t="s">
        <v>431</v>
      </c>
      <c r="I388" t="s">
        <v>432</v>
      </c>
      <c r="J388" t="s">
        <v>432</v>
      </c>
      <c r="K388">
        <v>0</v>
      </c>
      <c r="L388" t="s">
        <v>428</v>
      </c>
      <c r="M388" t="s">
        <v>428</v>
      </c>
      <c r="N388">
        <v>170301</v>
      </c>
      <c r="O388">
        <f>INDEX(AllCollegeBarrons,MATCH(N388,AllCollegeNCES,0))</f>
        <v>0</v>
      </c>
      <c r="P388">
        <f>INDEX(KidGPAs,MATCH(B388,KidIDs,0))</f>
        <v>0</v>
      </c>
      <c r="Q388">
        <f>INDEX(KidACTs,MATCH(B388,KidIDs,0))</f>
        <v>0</v>
      </c>
      <c r="R388">
        <f>INDEX(Strats,MATCH(B388,KidIDs,0))</f>
        <v>0</v>
      </c>
      <c r="S388">
        <f>INDEX(KidRace,MATCH(B388,KidIDs,0))</f>
        <v>0</v>
      </c>
      <c r="T388">
        <f>IF(OR(S388="M",S388="I"),"H",S388)</f>
        <v>0</v>
      </c>
      <c r="U388">
        <f>INDEX(StudentTargets,MATCH(B388,KidIDs,0))</f>
        <v>0</v>
      </c>
      <c r="V388">
        <f>INDEX(ReachStudentTargets,MATCH(B388,KidIDs,0))</f>
        <v>0</v>
      </c>
      <c r="W388">
        <f>IF(OR(M388="Posse"),1,0)</f>
        <v>0</v>
      </c>
      <c r="X388">
        <f>IF(ISNUMBER(INDEX(AllCollegeGR, MATCH(N388,AllCollegeNCES,0))),ROUND(INDEX(AllCollegeGR, MATCH(N388,AllCollegeNCES,0))+W388*IF(INDEX(AllCollegeGR, MATCH(N388,AllCollegeNCES,0))&gt;0.7,(1-INDEX(AllCollegeGR, MATCH(N388,AllCollegeNCES,0)))/2,0.15),2),INDEX(AllCollegeGR, MATCH(N388,AllCollegeNCES,0)))</f>
        <v>0</v>
      </c>
      <c r="Y388">
        <f>IF(ISNUMBER(INDEX(AllCollegeAAHGR, MATCH(N388,AllCollegeNCES,0))),ROUND(INDEX(AllCollegeAAHGR, MATCH(N388,AllCollegeNCES,0))+W388*IF(INDEX(AllCollegeAAHGR, MATCH(N388,AllCollegeNCES,0))&gt;0.7,(1-INDEX(AllCollegeAAHGR, MATCH(N388,AllCollegeNCES,0)))/2,0.15),2),INDEX(AllCollegeAAHGR, MATCH(N388,AllCollegeNCES,0)))</f>
        <v>0</v>
      </c>
      <c r="Z388">
        <f>IF(OR(T388="H",T388="B"),INDEX(AllCollegeACT25, MATCH(N388,AllCollegeNCES,0)),INDEX(AllCollegeACT50, MATCH(N388,AllCollegeNCES,0)))</f>
        <v>0</v>
      </c>
      <c r="AA388">
        <f>INDEX(CustomWeightsGPA,MATCH(T388&amp;":"&amp;N388,CustomWeightsIndex,0))</f>
        <v>0</v>
      </c>
      <c r="AB388">
        <f>INDEX(CustomWeightsACT,MATCH(T388&amp;":"&amp;N388,CustomWeightsIndex,0))</f>
        <v>0</v>
      </c>
      <c r="AC388">
        <f>INDEX(CustomWeightsIntercept,MATCH(T388&amp;":"&amp;N388,CustomWeightsIndex,0))</f>
        <v>0</v>
      </c>
      <c r="AD388">
        <f>AA388*P388+AB388*Q388+AC388</f>
        <v>0</v>
      </c>
      <c r="AE388">
        <f>INDEX(CoefficientsGPA,MATCH(T388&amp;":"&amp;O388,CoefficientsIndex,0))</f>
        <v>0</v>
      </c>
      <c r="AF388">
        <f>INDEX(CoefficientsACT,MATCH(T388&amp;":"&amp;O388,CoefficientsIndex,0))</f>
        <v>0</v>
      </c>
      <c r="AG388">
        <f>INDEX(CoefficientsIntercept,MATCH(T388&amp;":"&amp;O388,CoefficientsIndex,0))</f>
        <v>0</v>
      </c>
      <c r="AH388">
        <f>AE388*P388+(Q388-Z388)*AF388+AG388</f>
        <v>0</v>
      </c>
      <c r="AI388">
        <f>IF(ISNUMBER(AD388),AD388,AH388)</f>
        <v>0</v>
      </c>
      <c r="AJ388">
        <f>IF(ISNUMBER(AI388),IF(ISNUMBER(AE388),IF(AND(AE388=1,AF388=1,AG388=1),100,ROUND(100*EXP(AI388)/(1+EXP(AI388)),2)),ROUND(100*EXP(AI388)/(1+EXP(AI388)),2)),IF(ISTEXT(O388),IF(LEFT(O388,1)="2",100,"N/A"),"N/A"))</f>
        <v>0</v>
      </c>
      <c r="AK388">
        <f>IF(ISNUMBER(AJ388),IF(AJ388&gt;=99,IF(OR(R388=10,R388=11),MatchLabel,SureThingLabel),IF(AJ388&gt;=95,SecureLabel,IF(AJ388&gt;=80,SafetyLabel,IF(AJ388&gt;=50,MatchLabel,IF(AJ388&gt;=20,ReachLabel,IF(AJ388&gt;=10,LongshotLabel,HailMaryLabel)))))),"Other")</f>
        <v>0</v>
      </c>
      <c r="AL388">
        <f>IF(OR(I388="accepted",I388="cond. accept",I388="summer admit"),IF(J388="yes","CHOICE!","Accepted!"),IF(I388="denied","Denied",IF(K388=1,"Waitlist",IF(L388=1,"Deferred",IF(G388="pending","Pending",IF(OR(G388="initial materials submitted",G388="mid-year submitted",G388="final submitted"),"Submitted",IF(H388="interest","Interest","?")))))))</f>
        <v>0</v>
      </c>
      <c r="AM388">
        <f>IF(OR(AK388=ReachLabel,AK388=LongshotLabel,AK388=HailMaryLabel),1,0)</f>
        <v>0</v>
      </c>
      <c r="AN388">
        <f>IF(OR(AM388=1,AK388=MatchLabel),1,0)</f>
        <v>0</v>
      </c>
      <c r="AO388">
        <f>IF(OR(AK388=MatchLabel,AK388=SafetyLabel,AK388=SecureLabel,AK388=SureThingLabel),1,0)</f>
        <v>0</v>
      </c>
      <c r="AP388">
        <f>IF(OR(T388="H",T388="B"),IF(ISNUMBER(Y388),ROUND(Y388,2),0),IF(ISNUMBER(X388),ROUND(X388,2),0))</f>
        <v>0</v>
      </c>
      <c r="AQ388">
        <f>IF(AP388&gt;=U388,1,0)</f>
        <v>0</v>
      </c>
      <c r="AR388">
        <f>IF(AP388&gt;=V388,1,0)</f>
        <v>0</v>
      </c>
      <c r="AS388">
        <f>IF(AP388&lt;(U388-0.10),1,0)</f>
        <v>0</v>
      </c>
      <c r="AT388">
        <f>1-AJ388/100</f>
        <v>0</v>
      </c>
      <c r="AU388">
        <f>IF(AN388=1,AT388,1)</f>
        <v>0</v>
      </c>
      <c r="AV388">
        <f>IF(AM388=1,AT388,1)</f>
        <v>0</v>
      </c>
      <c r="AW388">
        <f>IF(AND(AQ388=1,ISNUMBER(AT388)),$AT388,1)</f>
        <v>0</v>
      </c>
      <c r="AX388">
        <f>IF(AND(AR388=1,ISNUMBER(AT388)),$AT388,1)</f>
        <v>0</v>
      </c>
      <c r="AY388">
        <f>IF(ISNUMBER(Y388),INDEX(AllCollegeMoney, MATCH(N388,AllCollegeNCES,0)),0)</f>
        <v>0</v>
      </c>
      <c r="AZ388">
        <f>IF(AND(AQ388=1,ISNUMBER(AT388),AY388=1),$AT388,1)</f>
        <v>0</v>
      </c>
      <c r="BA388">
        <f>IF(AND(AR388=1,ISNUMBER(AT388),AY388=1),$AT388,1)</f>
        <v>0</v>
      </c>
      <c r="BB388">
        <f>IF(ISNUMBER(Y388),INDEX(AllCollegeILPub, MATCH(N388,AllCollegeNCES,0)),0)</f>
        <v>0</v>
      </c>
      <c r="BC388">
        <f>IF(AK388=ReachLabel,AP388,0)</f>
        <v>0</v>
      </c>
      <c r="BD388">
        <f>IF(AK388=MatchLabel,AP388,0)</f>
        <v>0</v>
      </c>
      <c r="BE388">
        <f>IF(AK388=SafetyLabel,AP388,0)</f>
        <v>0</v>
      </c>
      <c r="BF388">
        <f>IF(AK388=SecureLabel,AP388,0)</f>
        <v>0</v>
      </c>
      <c r="BG388">
        <f>IF(AK388=SureThingLabel,AP388,0)</f>
        <v>0</v>
      </c>
      <c r="BH388">
        <f>MAX(BC388:BG388)</f>
        <v>0</v>
      </c>
      <c r="BI388">
        <f>MAX(BD388:BG388)</f>
        <v>0</v>
      </c>
      <c r="BJ388">
        <f>MAX(BE388:BG388)</f>
        <v>0</v>
      </c>
      <c r="BK388">
        <f>IF(AND(AK388=ReachLabel,AY388=1),AP388,0)</f>
        <v>0</v>
      </c>
      <c r="BL388">
        <f>IF(AND(AK388=MatchLabel,AY388=1),AP388,0)</f>
        <v>0</v>
      </c>
      <c r="BM388">
        <f>IF(AND(AK388=SafetyLabel,AY388=1),AP388,0)</f>
        <v>0</v>
      </c>
      <c r="BN388">
        <f>IF(AND(AK388=SecureLabel,AY388=1),AP388,0)</f>
        <v>0</v>
      </c>
      <c r="BO388">
        <f>IF(AND(AK388=SureThingLabel,AY388=1),AP388,0)</f>
        <v>0</v>
      </c>
      <c r="BP388">
        <f>MAX(BK388:BO388)</f>
        <v>0</v>
      </c>
      <c r="BQ388">
        <f>MAX(BL388:BO388)</f>
        <v>0</v>
      </c>
      <c r="BR388">
        <f>MAX(BM388:BO388)</f>
        <v>0</v>
      </c>
      <c r="BS388">
        <f>IF(ISNUMBER(Y388),INDEX(AllCollegeChicago, MATCH(N388,AllCollegeNCES,0))*AY388,0)</f>
        <v>0</v>
      </c>
      <c r="BT388">
        <f>IF(ISNUMBER(Y388),INDEX(AllCollegeMoneyCode, MATCH(N388,AllCollegeNCES,0)),"?")</f>
        <v>0</v>
      </c>
      <c r="BU388">
        <f>IF(OR(BT388="---",BT388="--",BT388="+/--",BT388="+/---"),1,0)</f>
        <v>0</v>
      </c>
      <c r="BV388">
        <f>AY388*AO388*AQ388</f>
        <v>0</v>
      </c>
    </row>
    <row r="389" spans="1:74">
      <c r="A389" t="s">
        <v>86</v>
      </c>
      <c r="B389">
        <v>23334800</v>
      </c>
      <c r="C389" t="s">
        <v>308</v>
      </c>
      <c r="D389" t="s">
        <v>309</v>
      </c>
      <c r="E389" t="s">
        <v>428</v>
      </c>
      <c r="F389" t="s">
        <v>472</v>
      </c>
      <c r="G389" t="s">
        <v>430</v>
      </c>
      <c r="H389" t="s">
        <v>431</v>
      </c>
      <c r="I389" t="s">
        <v>432</v>
      </c>
      <c r="J389" t="s">
        <v>432</v>
      </c>
      <c r="K389">
        <v>0</v>
      </c>
      <c r="L389" t="s">
        <v>428</v>
      </c>
      <c r="M389" t="s">
        <v>428</v>
      </c>
      <c r="N389">
        <v>202480</v>
      </c>
      <c r="O389">
        <f>INDEX(AllCollegeBarrons,MATCH(N389,AllCollegeNCES,0))</f>
        <v>0</v>
      </c>
      <c r="P389">
        <f>INDEX(KidGPAs,MATCH(B389,KidIDs,0))</f>
        <v>0</v>
      </c>
      <c r="Q389">
        <f>INDEX(KidACTs,MATCH(B389,KidIDs,0))</f>
        <v>0</v>
      </c>
      <c r="R389">
        <f>INDEX(Strats,MATCH(B389,KidIDs,0))</f>
        <v>0</v>
      </c>
      <c r="S389">
        <f>INDEX(KidRace,MATCH(B389,KidIDs,0))</f>
        <v>0</v>
      </c>
      <c r="T389">
        <f>IF(OR(S389="M",S389="I"),"H",S389)</f>
        <v>0</v>
      </c>
      <c r="U389">
        <f>INDEX(StudentTargets,MATCH(B389,KidIDs,0))</f>
        <v>0</v>
      </c>
      <c r="V389">
        <f>INDEX(ReachStudentTargets,MATCH(B389,KidIDs,0))</f>
        <v>0</v>
      </c>
      <c r="W389">
        <f>IF(OR(M389="Posse"),1,0)</f>
        <v>0</v>
      </c>
      <c r="X389">
        <f>IF(ISNUMBER(INDEX(AllCollegeGR, MATCH(N389,AllCollegeNCES,0))),ROUND(INDEX(AllCollegeGR, MATCH(N389,AllCollegeNCES,0))+W389*IF(INDEX(AllCollegeGR, MATCH(N389,AllCollegeNCES,0))&gt;0.7,(1-INDEX(AllCollegeGR, MATCH(N389,AllCollegeNCES,0)))/2,0.15),2),INDEX(AllCollegeGR, MATCH(N389,AllCollegeNCES,0)))</f>
        <v>0</v>
      </c>
      <c r="Y389">
        <f>IF(ISNUMBER(INDEX(AllCollegeAAHGR, MATCH(N389,AllCollegeNCES,0))),ROUND(INDEX(AllCollegeAAHGR, MATCH(N389,AllCollegeNCES,0))+W389*IF(INDEX(AllCollegeAAHGR, MATCH(N389,AllCollegeNCES,0))&gt;0.7,(1-INDEX(AllCollegeAAHGR, MATCH(N389,AllCollegeNCES,0)))/2,0.15),2),INDEX(AllCollegeAAHGR, MATCH(N389,AllCollegeNCES,0)))</f>
        <v>0</v>
      </c>
      <c r="Z389">
        <f>IF(OR(T389="H",T389="B"),INDEX(AllCollegeACT25, MATCH(N389,AllCollegeNCES,0)),INDEX(AllCollegeACT50, MATCH(N389,AllCollegeNCES,0)))</f>
        <v>0</v>
      </c>
      <c r="AA389">
        <f>INDEX(CustomWeightsGPA,MATCH(T389&amp;":"&amp;N389,CustomWeightsIndex,0))</f>
        <v>0</v>
      </c>
      <c r="AB389">
        <f>INDEX(CustomWeightsACT,MATCH(T389&amp;":"&amp;N389,CustomWeightsIndex,0))</f>
        <v>0</v>
      </c>
      <c r="AC389">
        <f>INDEX(CustomWeightsIntercept,MATCH(T389&amp;":"&amp;N389,CustomWeightsIndex,0))</f>
        <v>0</v>
      </c>
      <c r="AD389">
        <f>AA389*P389+AB389*Q389+AC389</f>
        <v>0</v>
      </c>
      <c r="AE389">
        <f>INDEX(CoefficientsGPA,MATCH(T389&amp;":"&amp;O389,CoefficientsIndex,0))</f>
        <v>0</v>
      </c>
      <c r="AF389">
        <f>INDEX(CoefficientsACT,MATCH(T389&amp;":"&amp;O389,CoefficientsIndex,0))</f>
        <v>0</v>
      </c>
      <c r="AG389">
        <f>INDEX(CoefficientsIntercept,MATCH(T389&amp;":"&amp;O389,CoefficientsIndex,0))</f>
        <v>0</v>
      </c>
      <c r="AH389">
        <f>AE389*P389+(Q389-Z389)*AF389+AG389</f>
        <v>0</v>
      </c>
      <c r="AI389">
        <f>IF(ISNUMBER(AD389),AD389,AH389)</f>
        <v>0</v>
      </c>
      <c r="AJ389">
        <f>IF(ISNUMBER(AI389),IF(ISNUMBER(AE389),IF(AND(AE389=1,AF389=1,AG389=1),100,ROUND(100*EXP(AI389)/(1+EXP(AI389)),2)),ROUND(100*EXP(AI389)/(1+EXP(AI389)),2)),IF(ISTEXT(O389),IF(LEFT(O389,1)="2",100,"N/A"),"N/A"))</f>
        <v>0</v>
      </c>
      <c r="AK389">
        <f>IF(ISNUMBER(AJ389),IF(AJ389&gt;=99,IF(OR(R389=10,R389=11),MatchLabel,SureThingLabel),IF(AJ389&gt;=95,SecureLabel,IF(AJ389&gt;=80,SafetyLabel,IF(AJ389&gt;=50,MatchLabel,IF(AJ389&gt;=20,ReachLabel,IF(AJ389&gt;=10,LongshotLabel,HailMaryLabel)))))),"Other")</f>
        <v>0</v>
      </c>
      <c r="AL389">
        <f>IF(OR(I389="accepted",I389="cond. accept",I389="summer admit"),IF(J389="yes","CHOICE!","Accepted!"),IF(I389="denied","Denied",IF(K389=1,"Waitlist",IF(L389=1,"Deferred",IF(G389="pending","Pending",IF(OR(G389="initial materials submitted",G389="mid-year submitted",G389="final submitted"),"Submitted",IF(H389="interest","Interest","?")))))))</f>
        <v>0</v>
      </c>
      <c r="AM389">
        <f>IF(OR(AK389=ReachLabel,AK389=LongshotLabel,AK389=HailMaryLabel),1,0)</f>
        <v>0</v>
      </c>
      <c r="AN389">
        <f>IF(OR(AM389=1,AK389=MatchLabel),1,0)</f>
        <v>0</v>
      </c>
      <c r="AO389">
        <f>IF(OR(AK389=MatchLabel,AK389=SafetyLabel,AK389=SecureLabel,AK389=SureThingLabel),1,0)</f>
        <v>0</v>
      </c>
      <c r="AP389">
        <f>IF(OR(T389="H",T389="B"),IF(ISNUMBER(Y389),ROUND(Y389,2),0),IF(ISNUMBER(X389),ROUND(X389,2),0))</f>
        <v>0</v>
      </c>
      <c r="AQ389">
        <f>IF(AP389&gt;=U389,1,0)</f>
        <v>0</v>
      </c>
      <c r="AR389">
        <f>IF(AP389&gt;=V389,1,0)</f>
        <v>0</v>
      </c>
      <c r="AS389">
        <f>IF(AP389&lt;(U389-0.10),1,0)</f>
        <v>0</v>
      </c>
      <c r="AT389">
        <f>1-AJ389/100</f>
        <v>0</v>
      </c>
      <c r="AU389">
        <f>IF(AN389=1,AT389,1)</f>
        <v>0</v>
      </c>
      <c r="AV389">
        <f>IF(AM389=1,AT389,1)</f>
        <v>0</v>
      </c>
      <c r="AW389">
        <f>IF(AND(AQ389=1,ISNUMBER(AT389)),$AT389,1)</f>
        <v>0</v>
      </c>
      <c r="AX389">
        <f>IF(AND(AR389=1,ISNUMBER(AT389)),$AT389,1)</f>
        <v>0</v>
      </c>
      <c r="AY389">
        <f>IF(ISNUMBER(Y389),INDEX(AllCollegeMoney, MATCH(N389,AllCollegeNCES,0)),0)</f>
        <v>0</v>
      </c>
      <c r="AZ389">
        <f>IF(AND(AQ389=1,ISNUMBER(AT389),AY389=1),$AT389,1)</f>
        <v>0</v>
      </c>
      <c r="BA389">
        <f>IF(AND(AR389=1,ISNUMBER(AT389),AY389=1),$AT389,1)</f>
        <v>0</v>
      </c>
      <c r="BB389">
        <f>IF(ISNUMBER(Y389),INDEX(AllCollegeILPub, MATCH(N389,AllCollegeNCES,0)),0)</f>
        <v>0</v>
      </c>
      <c r="BC389">
        <f>IF(AK389=ReachLabel,AP389,0)</f>
        <v>0</v>
      </c>
      <c r="BD389">
        <f>IF(AK389=MatchLabel,AP389,0)</f>
        <v>0</v>
      </c>
      <c r="BE389">
        <f>IF(AK389=SafetyLabel,AP389,0)</f>
        <v>0</v>
      </c>
      <c r="BF389">
        <f>IF(AK389=SecureLabel,AP389,0)</f>
        <v>0</v>
      </c>
      <c r="BG389">
        <f>IF(AK389=SureThingLabel,AP389,0)</f>
        <v>0</v>
      </c>
      <c r="BH389">
        <f>MAX(BC389:BG389)</f>
        <v>0</v>
      </c>
      <c r="BI389">
        <f>MAX(BD389:BG389)</f>
        <v>0</v>
      </c>
      <c r="BJ389">
        <f>MAX(BE389:BG389)</f>
        <v>0</v>
      </c>
      <c r="BK389">
        <f>IF(AND(AK389=ReachLabel,AY389=1),AP389,0)</f>
        <v>0</v>
      </c>
      <c r="BL389">
        <f>IF(AND(AK389=MatchLabel,AY389=1),AP389,0)</f>
        <v>0</v>
      </c>
      <c r="BM389">
        <f>IF(AND(AK389=SafetyLabel,AY389=1),AP389,0)</f>
        <v>0</v>
      </c>
      <c r="BN389">
        <f>IF(AND(AK389=SecureLabel,AY389=1),AP389,0)</f>
        <v>0</v>
      </c>
      <c r="BO389">
        <f>IF(AND(AK389=SureThingLabel,AY389=1),AP389,0)</f>
        <v>0</v>
      </c>
      <c r="BP389">
        <f>MAX(BK389:BO389)</f>
        <v>0</v>
      </c>
      <c r="BQ389">
        <f>MAX(BL389:BO389)</f>
        <v>0</v>
      </c>
      <c r="BR389">
        <f>MAX(BM389:BO389)</f>
        <v>0</v>
      </c>
      <c r="BS389">
        <f>IF(ISNUMBER(Y389),INDEX(AllCollegeChicago, MATCH(N389,AllCollegeNCES,0))*AY389,0)</f>
        <v>0</v>
      </c>
      <c r="BT389">
        <f>IF(ISNUMBER(Y389),INDEX(AllCollegeMoneyCode, MATCH(N389,AllCollegeNCES,0)),"?")</f>
        <v>0</v>
      </c>
      <c r="BU389">
        <f>IF(OR(BT389="---",BT389="--",BT389="+/--",BT389="+/---"),1,0)</f>
        <v>0</v>
      </c>
      <c r="BV389">
        <f>AY389*AO389*AQ389</f>
        <v>0</v>
      </c>
    </row>
    <row r="390" spans="1:74">
      <c r="A390" t="s">
        <v>86</v>
      </c>
      <c r="B390">
        <v>23340223</v>
      </c>
      <c r="C390" t="s">
        <v>170</v>
      </c>
      <c r="D390" t="s">
        <v>171</v>
      </c>
      <c r="E390" t="s">
        <v>428</v>
      </c>
      <c r="F390" t="s">
        <v>538</v>
      </c>
      <c r="G390" t="s">
        <v>430</v>
      </c>
      <c r="H390" t="s">
        <v>431</v>
      </c>
      <c r="I390" t="s">
        <v>432</v>
      </c>
      <c r="J390" t="s">
        <v>432</v>
      </c>
      <c r="K390">
        <v>0</v>
      </c>
      <c r="L390" t="s">
        <v>428</v>
      </c>
      <c r="M390" t="s">
        <v>428</v>
      </c>
      <c r="N390">
        <v>236948</v>
      </c>
      <c r="O390">
        <f>INDEX(AllCollegeBarrons,MATCH(N390,AllCollegeNCES,0))</f>
        <v>0</v>
      </c>
      <c r="P390">
        <f>INDEX(KidGPAs,MATCH(B390,KidIDs,0))</f>
        <v>0</v>
      </c>
      <c r="Q390">
        <f>INDEX(KidACTs,MATCH(B390,KidIDs,0))</f>
        <v>0</v>
      </c>
      <c r="R390">
        <f>INDEX(Strats,MATCH(B390,KidIDs,0))</f>
        <v>0</v>
      </c>
      <c r="S390">
        <f>INDEX(KidRace,MATCH(B390,KidIDs,0))</f>
        <v>0</v>
      </c>
      <c r="T390">
        <f>IF(OR(S390="M",S390="I"),"H",S390)</f>
        <v>0</v>
      </c>
      <c r="U390">
        <f>INDEX(StudentTargets,MATCH(B390,KidIDs,0))</f>
        <v>0</v>
      </c>
      <c r="V390">
        <f>INDEX(ReachStudentTargets,MATCH(B390,KidIDs,0))</f>
        <v>0</v>
      </c>
      <c r="W390">
        <f>IF(OR(M390="Posse"),1,0)</f>
        <v>0</v>
      </c>
      <c r="X390">
        <f>IF(ISNUMBER(INDEX(AllCollegeGR, MATCH(N390,AllCollegeNCES,0))),ROUND(INDEX(AllCollegeGR, MATCH(N390,AllCollegeNCES,0))+W390*IF(INDEX(AllCollegeGR, MATCH(N390,AllCollegeNCES,0))&gt;0.7,(1-INDEX(AllCollegeGR, MATCH(N390,AllCollegeNCES,0)))/2,0.15),2),INDEX(AllCollegeGR, MATCH(N390,AllCollegeNCES,0)))</f>
        <v>0</v>
      </c>
      <c r="Y390">
        <f>IF(ISNUMBER(INDEX(AllCollegeAAHGR, MATCH(N390,AllCollegeNCES,0))),ROUND(INDEX(AllCollegeAAHGR, MATCH(N390,AllCollegeNCES,0))+W390*IF(INDEX(AllCollegeAAHGR, MATCH(N390,AllCollegeNCES,0))&gt;0.7,(1-INDEX(AllCollegeAAHGR, MATCH(N390,AllCollegeNCES,0)))/2,0.15),2),INDEX(AllCollegeAAHGR, MATCH(N390,AllCollegeNCES,0)))</f>
        <v>0</v>
      </c>
      <c r="Z390">
        <f>IF(OR(T390="H",T390="B"),INDEX(AllCollegeACT25, MATCH(N390,AllCollegeNCES,0)),INDEX(AllCollegeACT50, MATCH(N390,AllCollegeNCES,0)))</f>
        <v>0</v>
      </c>
      <c r="AA390">
        <f>INDEX(CustomWeightsGPA,MATCH(T390&amp;":"&amp;N390,CustomWeightsIndex,0))</f>
        <v>0</v>
      </c>
      <c r="AB390">
        <f>INDEX(CustomWeightsACT,MATCH(T390&amp;":"&amp;N390,CustomWeightsIndex,0))</f>
        <v>0</v>
      </c>
      <c r="AC390">
        <f>INDEX(CustomWeightsIntercept,MATCH(T390&amp;":"&amp;N390,CustomWeightsIndex,0))</f>
        <v>0</v>
      </c>
      <c r="AD390">
        <f>AA390*P390+AB390*Q390+AC390</f>
        <v>0</v>
      </c>
      <c r="AE390">
        <f>INDEX(CoefficientsGPA,MATCH(T390&amp;":"&amp;O390,CoefficientsIndex,0))</f>
        <v>0</v>
      </c>
      <c r="AF390">
        <f>INDEX(CoefficientsACT,MATCH(T390&amp;":"&amp;O390,CoefficientsIndex,0))</f>
        <v>0</v>
      </c>
      <c r="AG390">
        <f>INDEX(CoefficientsIntercept,MATCH(T390&amp;":"&amp;O390,CoefficientsIndex,0))</f>
        <v>0</v>
      </c>
      <c r="AH390">
        <f>AE390*P390+(Q390-Z390)*AF390+AG390</f>
        <v>0</v>
      </c>
      <c r="AI390">
        <f>IF(ISNUMBER(AD390),AD390,AH390)</f>
        <v>0</v>
      </c>
      <c r="AJ390">
        <f>IF(ISNUMBER(AI390),IF(ISNUMBER(AE390),IF(AND(AE390=1,AF390=1,AG390=1),100,ROUND(100*EXP(AI390)/(1+EXP(AI390)),2)),ROUND(100*EXP(AI390)/(1+EXP(AI390)),2)),IF(ISTEXT(O390),IF(LEFT(O390,1)="2",100,"N/A"),"N/A"))</f>
        <v>0</v>
      </c>
      <c r="AK390">
        <f>IF(ISNUMBER(AJ390),IF(AJ390&gt;=99,IF(OR(R390=10,R390=11),MatchLabel,SureThingLabel),IF(AJ390&gt;=95,SecureLabel,IF(AJ390&gt;=80,SafetyLabel,IF(AJ390&gt;=50,MatchLabel,IF(AJ390&gt;=20,ReachLabel,IF(AJ390&gt;=10,LongshotLabel,HailMaryLabel)))))),"Other")</f>
        <v>0</v>
      </c>
      <c r="AL390">
        <f>IF(OR(I390="accepted",I390="cond. accept",I390="summer admit"),IF(J390="yes","CHOICE!","Accepted!"),IF(I390="denied","Denied",IF(K390=1,"Waitlist",IF(L390=1,"Deferred",IF(G390="pending","Pending",IF(OR(G390="initial materials submitted",G390="mid-year submitted",G390="final submitted"),"Submitted",IF(H390="interest","Interest","?")))))))</f>
        <v>0</v>
      </c>
      <c r="AM390">
        <f>IF(OR(AK390=ReachLabel,AK390=LongshotLabel,AK390=HailMaryLabel),1,0)</f>
        <v>0</v>
      </c>
      <c r="AN390">
        <f>IF(OR(AM390=1,AK390=MatchLabel),1,0)</f>
        <v>0</v>
      </c>
      <c r="AO390">
        <f>IF(OR(AK390=MatchLabel,AK390=SafetyLabel,AK390=SecureLabel,AK390=SureThingLabel),1,0)</f>
        <v>0</v>
      </c>
      <c r="AP390">
        <f>IF(OR(T390="H",T390="B"),IF(ISNUMBER(Y390),ROUND(Y390,2),0),IF(ISNUMBER(X390),ROUND(X390,2),0))</f>
        <v>0</v>
      </c>
      <c r="AQ390">
        <f>IF(AP390&gt;=U390,1,0)</f>
        <v>0</v>
      </c>
      <c r="AR390">
        <f>IF(AP390&gt;=V390,1,0)</f>
        <v>0</v>
      </c>
      <c r="AS390">
        <f>IF(AP390&lt;(U390-0.10),1,0)</f>
        <v>0</v>
      </c>
      <c r="AT390">
        <f>1-AJ390/100</f>
        <v>0</v>
      </c>
      <c r="AU390">
        <f>IF(AN390=1,AT390,1)</f>
        <v>0</v>
      </c>
      <c r="AV390">
        <f>IF(AM390=1,AT390,1)</f>
        <v>0</v>
      </c>
      <c r="AW390">
        <f>IF(AND(AQ390=1,ISNUMBER(AT390)),$AT390,1)</f>
        <v>0</v>
      </c>
      <c r="AX390">
        <f>IF(AND(AR390=1,ISNUMBER(AT390)),$AT390,1)</f>
        <v>0</v>
      </c>
      <c r="AY390">
        <f>IF(ISNUMBER(Y390),INDEX(AllCollegeMoney, MATCH(N390,AllCollegeNCES,0)),0)</f>
        <v>0</v>
      </c>
      <c r="AZ390">
        <f>IF(AND(AQ390=1,ISNUMBER(AT390),AY390=1),$AT390,1)</f>
        <v>0</v>
      </c>
      <c r="BA390">
        <f>IF(AND(AR390=1,ISNUMBER(AT390),AY390=1),$AT390,1)</f>
        <v>0</v>
      </c>
      <c r="BB390">
        <f>IF(ISNUMBER(Y390),INDEX(AllCollegeILPub, MATCH(N390,AllCollegeNCES,0)),0)</f>
        <v>0</v>
      </c>
      <c r="BC390">
        <f>IF(AK390=ReachLabel,AP390,0)</f>
        <v>0</v>
      </c>
      <c r="BD390">
        <f>IF(AK390=MatchLabel,AP390,0)</f>
        <v>0</v>
      </c>
      <c r="BE390">
        <f>IF(AK390=SafetyLabel,AP390,0)</f>
        <v>0</v>
      </c>
      <c r="BF390">
        <f>IF(AK390=SecureLabel,AP390,0)</f>
        <v>0</v>
      </c>
      <c r="BG390">
        <f>IF(AK390=SureThingLabel,AP390,0)</f>
        <v>0</v>
      </c>
      <c r="BH390">
        <f>MAX(BC390:BG390)</f>
        <v>0</v>
      </c>
      <c r="BI390">
        <f>MAX(BD390:BG390)</f>
        <v>0</v>
      </c>
      <c r="BJ390">
        <f>MAX(BE390:BG390)</f>
        <v>0</v>
      </c>
      <c r="BK390">
        <f>IF(AND(AK390=ReachLabel,AY390=1),AP390,0)</f>
        <v>0</v>
      </c>
      <c r="BL390">
        <f>IF(AND(AK390=MatchLabel,AY390=1),AP390,0)</f>
        <v>0</v>
      </c>
      <c r="BM390">
        <f>IF(AND(AK390=SafetyLabel,AY390=1),AP390,0)</f>
        <v>0</v>
      </c>
      <c r="BN390">
        <f>IF(AND(AK390=SecureLabel,AY390=1),AP390,0)</f>
        <v>0</v>
      </c>
      <c r="BO390">
        <f>IF(AND(AK390=SureThingLabel,AY390=1),AP390,0)</f>
        <v>0</v>
      </c>
      <c r="BP390">
        <f>MAX(BK390:BO390)</f>
        <v>0</v>
      </c>
      <c r="BQ390">
        <f>MAX(BL390:BO390)</f>
        <v>0</v>
      </c>
      <c r="BR390">
        <f>MAX(BM390:BO390)</f>
        <v>0</v>
      </c>
      <c r="BS390">
        <f>IF(ISNUMBER(Y390),INDEX(AllCollegeChicago, MATCH(N390,AllCollegeNCES,0))*AY390,0)</f>
        <v>0</v>
      </c>
      <c r="BT390">
        <f>IF(ISNUMBER(Y390),INDEX(AllCollegeMoneyCode, MATCH(N390,AllCollegeNCES,0)),"?")</f>
        <v>0</v>
      </c>
      <c r="BU390">
        <f>IF(OR(BT390="---",BT390="--",BT390="+/--",BT390="+/---"),1,0)</f>
        <v>0</v>
      </c>
      <c r="BV390">
        <f>AY390*AO390*AQ390</f>
        <v>0</v>
      </c>
    </row>
    <row r="391" spans="1:74">
      <c r="A391" t="s">
        <v>86</v>
      </c>
      <c r="B391">
        <v>23340223</v>
      </c>
      <c r="C391" t="s">
        <v>170</v>
      </c>
      <c r="D391" t="s">
        <v>171</v>
      </c>
      <c r="E391" t="s">
        <v>428</v>
      </c>
      <c r="F391" t="s">
        <v>508</v>
      </c>
      <c r="G391" t="s">
        <v>430</v>
      </c>
      <c r="H391" t="s">
        <v>431</v>
      </c>
      <c r="I391" t="s">
        <v>432</v>
      </c>
      <c r="J391" t="s">
        <v>432</v>
      </c>
      <c r="K391">
        <v>0</v>
      </c>
      <c r="L391" t="s">
        <v>428</v>
      </c>
      <c r="M391" t="s">
        <v>428</v>
      </c>
      <c r="N391">
        <v>209056</v>
      </c>
      <c r="O391">
        <f>INDEX(AllCollegeBarrons,MATCH(N391,AllCollegeNCES,0))</f>
        <v>0</v>
      </c>
      <c r="P391">
        <f>INDEX(KidGPAs,MATCH(B391,KidIDs,0))</f>
        <v>0</v>
      </c>
      <c r="Q391">
        <f>INDEX(KidACTs,MATCH(B391,KidIDs,0))</f>
        <v>0</v>
      </c>
      <c r="R391">
        <f>INDEX(Strats,MATCH(B391,KidIDs,0))</f>
        <v>0</v>
      </c>
      <c r="S391">
        <f>INDEX(KidRace,MATCH(B391,KidIDs,0))</f>
        <v>0</v>
      </c>
      <c r="T391">
        <f>IF(OR(S391="M",S391="I"),"H",S391)</f>
        <v>0</v>
      </c>
      <c r="U391">
        <f>INDEX(StudentTargets,MATCH(B391,KidIDs,0))</f>
        <v>0</v>
      </c>
      <c r="V391">
        <f>INDEX(ReachStudentTargets,MATCH(B391,KidIDs,0))</f>
        <v>0</v>
      </c>
      <c r="W391">
        <f>IF(OR(M391="Posse"),1,0)</f>
        <v>0</v>
      </c>
      <c r="X391">
        <f>IF(ISNUMBER(INDEX(AllCollegeGR, MATCH(N391,AllCollegeNCES,0))),ROUND(INDEX(AllCollegeGR, MATCH(N391,AllCollegeNCES,0))+W391*IF(INDEX(AllCollegeGR, MATCH(N391,AllCollegeNCES,0))&gt;0.7,(1-INDEX(AllCollegeGR, MATCH(N391,AllCollegeNCES,0)))/2,0.15),2),INDEX(AllCollegeGR, MATCH(N391,AllCollegeNCES,0)))</f>
        <v>0</v>
      </c>
      <c r="Y391">
        <f>IF(ISNUMBER(INDEX(AllCollegeAAHGR, MATCH(N391,AllCollegeNCES,0))),ROUND(INDEX(AllCollegeAAHGR, MATCH(N391,AllCollegeNCES,0))+W391*IF(INDEX(AllCollegeAAHGR, MATCH(N391,AllCollegeNCES,0))&gt;0.7,(1-INDEX(AllCollegeAAHGR, MATCH(N391,AllCollegeNCES,0)))/2,0.15),2),INDEX(AllCollegeAAHGR, MATCH(N391,AllCollegeNCES,0)))</f>
        <v>0</v>
      </c>
      <c r="Z391">
        <f>IF(OR(T391="H",T391="B"),INDEX(AllCollegeACT25, MATCH(N391,AllCollegeNCES,0)),INDEX(AllCollegeACT50, MATCH(N391,AllCollegeNCES,0)))</f>
        <v>0</v>
      </c>
      <c r="AA391">
        <f>INDEX(CustomWeightsGPA,MATCH(T391&amp;":"&amp;N391,CustomWeightsIndex,0))</f>
        <v>0</v>
      </c>
      <c r="AB391">
        <f>INDEX(CustomWeightsACT,MATCH(T391&amp;":"&amp;N391,CustomWeightsIndex,0))</f>
        <v>0</v>
      </c>
      <c r="AC391">
        <f>INDEX(CustomWeightsIntercept,MATCH(T391&amp;":"&amp;N391,CustomWeightsIndex,0))</f>
        <v>0</v>
      </c>
      <c r="AD391">
        <f>AA391*P391+AB391*Q391+AC391</f>
        <v>0</v>
      </c>
      <c r="AE391">
        <f>INDEX(CoefficientsGPA,MATCH(T391&amp;":"&amp;O391,CoefficientsIndex,0))</f>
        <v>0</v>
      </c>
      <c r="AF391">
        <f>INDEX(CoefficientsACT,MATCH(T391&amp;":"&amp;O391,CoefficientsIndex,0))</f>
        <v>0</v>
      </c>
      <c r="AG391">
        <f>INDEX(CoefficientsIntercept,MATCH(T391&amp;":"&amp;O391,CoefficientsIndex,0))</f>
        <v>0</v>
      </c>
      <c r="AH391">
        <f>AE391*P391+(Q391-Z391)*AF391+AG391</f>
        <v>0</v>
      </c>
      <c r="AI391">
        <f>IF(ISNUMBER(AD391),AD391,AH391)</f>
        <v>0</v>
      </c>
      <c r="AJ391">
        <f>IF(ISNUMBER(AI391),IF(ISNUMBER(AE391),IF(AND(AE391=1,AF391=1,AG391=1),100,ROUND(100*EXP(AI391)/(1+EXP(AI391)),2)),ROUND(100*EXP(AI391)/(1+EXP(AI391)),2)),IF(ISTEXT(O391),IF(LEFT(O391,1)="2",100,"N/A"),"N/A"))</f>
        <v>0</v>
      </c>
      <c r="AK391">
        <f>IF(ISNUMBER(AJ391),IF(AJ391&gt;=99,IF(OR(R391=10,R391=11),MatchLabel,SureThingLabel),IF(AJ391&gt;=95,SecureLabel,IF(AJ391&gt;=80,SafetyLabel,IF(AJ391&gt;=50,MatchLabel,IF(AJ391&gt;=20,ReachLabel,IF(AJ391&gt;=10,LongshotLabel,HailMaryLabel)))))),"Other")</f>
        <v>0</v>
      </c>
      <c r="AL391">
        <f>IF(OR(I391="accepted",I391="cond. accept",I391="summer admit"),IF(J391="yes","CHOICE!","Accepted!"),IF(I391="denied","Denied",IF(K391=1,"Waitlist",IF(L391=1,"Deferred",IF(G391="pending","Pending",IF(OR(G391="initial materials submitted",G391="mid-year submitted",G391="final submitted"),"Submitted",IF(H391="interest","Interest","?")))))))</f>
        <v>0</v>
      </c>
      <c r="AM391">
        <f>IF(OR(AK391=ReachLabel,AK391=LongshotLabel,AK391=HailMaryLabel),1,0)</f>
        <v>0</v>
      </c>
      <c r="AN391">
        <f>IF(OR(AM391=1,AK391=MatchLabel),1,0)</f>
        <v>0</v>
      </c>
      <c r="AO391">
        <f>IF(OR(AK391=MatchLabel,AK391=SafetyLabel,AK391=SecureLabel,AK391=SureThingLabel),1,0)</f>
        <v>0</v>
      </c>
      <c r="AP391">
        <f>IF(OR(T391="H",T391="B"),IF(ISNUMBER(Y391),ROUND(Y391,2),0),IF(ISNUMBER(X391),ROUND(X391,2),0))</f>
        <v>0</v>
      </c>
      <c r="AQ391">
        <f>IF(AP391&gt;=U391,1,0)</f>
        <v>0</v>
      </c>
      <c r="AR391">
        <f>IF(AP391&gt;=V391,1,0)</f>
        <v>0</v>
      </c>
      <c r="AS391">
        <f>IF(AP391&lt;(U391-0.10),1,0)</f>
        <v>0</v>
      </c>
      <c r="AT391">
        <f>1-AJ391/100</f>
        <v>0</v>
      </c>
      <c r="AU391">
        <f>IF(AN391=1,AT391,1)</f>
        <v>0</v>
      </c>
      <c r="AV391">
        <f>IF(AM391=1,AT391,1)</f>
        <v>0</v>
      </c>
      <c r="AW391">
        <f>IF(AND(AQ391=1,ISNUMBER(AT391)),$AT391,1)</f>
        <v>0</v>
      </c>
      <c r="AX391">
        <f>IF(AND(AR391=1,ISNUMBER(AT391)),$AT391,1)</f>
        <v>0</v>
      </c>
      <c r="AY391">
        <f>IF(ISNUMBER(Y391),INDEX(AllCollegeMoney, MATCH(N391,AllCollegeNCES,0)),0)</f>
        <v>0</v>
      </c>
      <c r="AZ391">
        <f>IF(AND(AQ391=1,ISNUMBER(AT391),AY391=1),$AT391,1)</f>
        <v>0</v>
      </c>
      <c r="BA391">
        <f>IF(AND(AR391=1,ISNUMBER(AT391),AY391=1),$AT391,1)</f>
        <v>0</v>
      </c>
      <c r="BB391">
        <f>IF(ISNUMBER(Y391),INDEX(AllCollegeILPub, MATCH(N391,AllCollegeNCES,0)),0)</f>
        <v>0</v>
      </c>
      <c r="BC391">
        <f>IF(AK391=ReachLabel,AP391,0)</f>
        <v>0</v>
      </c>
      <c r="BD391">
        <f>IF(AK391=MatchLabel,AP391,0)</f>
        <v>0</v>
      </c>
      <c r="BE391">
        <f>IF(AK391=SafetyLabel,AP391,0)</f>
        <v>0</v>
      </c>
      <c r="BF391">
        <f>IF(AK391=SecureLabel,AP391,0)</f>
        <v>0</v>
      </c>
      <c r="BG391">
        <f>IF(AK391=SureThingLabel,AP391,0)</f>
        <v>0</v>
      </c>
      <c r="BH391">
        <f>MAX(BC391:BG391)</f>
        <v>0</v>
      </c>
      <c r="BI391">
        <f>MAX(BD391:BG391)</f>
        <v>0</v>
      </c>
      <c r="BJ391">
        <f>MAX(BE391:BG391)</f>
        <v>0</v>
      </c>
      <c r="BK391">
        <f>IF(AND(AK391=ReachLabel,AY391=1),AP391,0)</f>
        <v>0</v>
      </c>
      <c r="BL391">
        <f>IF(AND(AK391=MatchLabel,AY391=1),AP391,0)</f>
        <v>0</v>
      </c>
      <c r="BM391">
        <f>IF(AND(AK391=SafetyLabel,AY391=1),AP391,0)</f>
        <v>0</v>
      </c>
      <c r="BN391">
        <f>IF(AND(AK391=SecureLabel,AY391=1),AP391,0)</f>
        <v>0</v>
      </c>
      <c r="BO391">
        <f>IF(AND(AK391=SureThingLabel,AY391=1),AP391,0)</f>
        <v>0</v>
      </c>
      <c r="BP391">
        <f>MAX(BK391:BO391)</f>
        <v>0</v>
      </c>
      <c r="BQ391">
        <f>MAX(BL391:BO391)</f>
        <v>0</v>
      </c>
      <c r="BR391">
        <f>MAX(BM391:BO391)</f>
        <v>0</v>
      </c>
      <c r="BS391">
        <f>IF(ISNUMBER(Y391),INDEX(AllCollegeChicago, MATCH(N391,AllCollegeNCES,0))*AY391,0)</f>
        <v>0</v>
      </c>
      <c r="BT391">
        <f>IF(ISNUMBER(Y391),INDEX(AllCollegeMoneyCode, MATCH(N391,AllCollegeNCES,0)),"?")</f>
        <v>0</v>
      </c>
      <c r="BU391">
        <f>IF(OR(BT391="---",BT391="--",BT391="+/--",BT391="+/---"),1,0)</f>
        <v>0</v>
      </c>
      <c r="BV391">
        <f>AY391*AO391*AQ391</f>
        <v>0</v>
      </c>
    </row>
    <row r="392" spans="1:74">
      <c r="A392" t="s">
        <v>86</v>
      </c>
      <c r="B392">
        <v>23340223</v>
      </c>
      <c r="C392" t="s">
        <v>170</v>
      </c>
      <c r="D392" t="s">
        <v>171</v>
      </c>
      <c r="E392" t="s">
        <v>428</v>
      </c>
      <c r="F392" t="s">
        <v>539</v>
      </c>
      <c r="G392" t="s">
        <v>430</v>
      </c>
      <c r="H392" t="s">
        <v>431</v>
      </c>
      <c r="I392" t="s">
        <v>432</v>
      </c>
      <c r="J392" t="s">
        <v>432</v>
      </c>
      <c r="K392">
        <v>0</v>
      </c>
      <c r="L392" t="s">
        <v>428</v>
      </c>
      <c r="M392" t="s">
        <v>428</v>
      </c>
      <c r="N392">
        <v>152673</v>
      </c>
      <c r="O392">
        <f>INDEX(AllCollegeBarrons,MATCH(N392,AllCollegeNCES,0))</f>
        <v>0</v>
      </c>
      <c r="P392">
        <f>INDEX(KidGPAs,MATCH(B392,KidIDs,0))</f>
        <v>0</v>
      </c>
      <c r="Q392">
        <f>INDEX(KidACTs,MATCH(B392,KidIDs,0))</f>
        <v>0</v>
      </c>
      <c r="R392">
        <f>INDEX(Strats,MATCH(B392,KidIDs,0))</f>
        <v>0</v>
      </c>
      <c r="S392">
        <f>INDEX(KidRace,MATCH(B392,KidIDs,0))</f>
        <v>0</v>
      </c>
      <c r="T392">
        <f>IF(OR(S392="M",S392="I"),"H",S392)</f>
        <v>0</v>
      </c>
      <c r="U392">
        <f>INDEX(StudentTargets,MATCH(B392,KidIDs,0))</f>
        <v>0</v>
      </c>
      <c r="V392">
        <f>INDEX(ReachStudentTargets,MATCH(B392,KidIDs,0))</f>
        <v>0</v>
      </c>
      <c r="W392">
        <f>IF(OR(M392="Posse"),1,0)</f>
        <v>0</v>
      </c>
      <c r="X392">
        <f>IF(ISNUMBER(INDEX(AllCollegeGR, MATCH(N392,AllCollegeNCES,0))),ROUND(INDEX(AllCollegeGR, MATCH(N392,AllCollegeNCES,0))+W392*IF(INDEX(AllCollegeGR, MATCH(N392,AllCollegeNCES,0))&gt;0.7,(1-INDEX(AllCollegeGR, MATCH(N392,AllCollegeNCES,0)))/2,0.15),2),INDEX(AllCollegeGR, MATCH(N392,AllCollegeNCES,0)))</f>
        <v>0</v>
      </c>
      <c r="Y392">
        <f>IF(ISNUMBER(INDEX(AllCollegeAAHGR, MATCH(N392,AllCollegeNCES,0))),ROUND(INDEX(AllCollegeAAHGR, MATCH(N392,AllCollegeNCES,0))+W392*IF(INDEX(AllCollegeAAHGR, MATCH(N392,AllCollegeNCES,0))&gt;0.7,(1-INDEX(AllCollegeAAHGR, MATCH(N392,AllCollegeNCES,0)))/2,0.15),2),INDEX(AllCollegeAAHGR, MATCH(N392,AllCollegeNCES,0)))</f>
        <v>0</v>
      </c>
      <c r="Z392">
        <f>IF(OR(T392="H",T392="B"),INDEX(AllCollegeACT25, MATCH(N392,AllCollegeNCES,0)),INDEX(AllCollegeACT50, MATCH(N392,AllCollegeNCES,0)))</f>
        <v>0</v>
      </c>
      <c r="AA392">
        <f>INDEX(CustomWeightsGPA,MATCH(T392&amp;":"&amp;N392,CustomWeightsIndex,0))</f>
        <v>0</v>
      </c>
      <c r="AB392">
        <f>INDEX(CustomWeightsACT,MATCH(T392&amp;":"&amp;N392,CustomWeightsIndex,0))</f>
        <v>0</v>
      </c>
      <c r="AC392">
        <f>INDEX(CustomWeightsIntercept,MATCH(T392&amp;":"&amp;N392,CustomWeightsIndex,0))</f>
        <v>0</v>
      </c>
      <c r="AD392">
        <f>AA392*P392+AB392*Q392+AC392</f>
        <v>0</v>
      </c>
      <c r="AE392">
        <f>INDEX(CoefficientsGPA,MATCH(T392&amp;":"&amp;O392,CoefficientsIndex,0))</f>
        <v>0</v>
      </c>
      <c r="AF392">
        <f>INDEX(CoefficientsACT,MATCH(T392&amp;":"&amp;O392,CoefficientsIndex,0))</f>
        <v>0</v>
      </c>
      <c r="AG392">
        <f>INDEX(CoefficientsIntercept,MATCH(T392&amp;":"&amp;O392,CoefficientsIndex,0))</f>
        <v>0</v>
      </c>
      <c r="AH392">
        <f>AE392*P392+(Q392-Z392)*AF392+AG392</f>
        <v>0</v>
      </c>
      <c r="AI392">
        <f>IF(ISNUMBER(AD392),AD392,AH392)</f>
        <v>0</v>
      </c>
      <c r="AJ392">
        <f>IF(ISNUMBER(AI392),IF(ISNUMBER(AE392),IF(AND(AE392=1,AF392=1,AG392=1),100,ROUND(100*EXP(AI392)/(1+EXP(AI392)),2)),ROUND(100*EXP(AI392)/(1+EXP(AI392)),2)),IF(ISTEXT(O392),IF(LEFT(O392,1)="2",100,"N/A"),"N/A"))</f>
        <v>0</v>
      </c>
      <c r="AK392">
        <f>IF(ISNUMBER(AJ392),IF(AJ392&gt;=99,IF(OR(R392=10,R392=11),MatchLabel,SureThingLabel),IF(AJ392&gt;=95,SecureLabel,IF(AJ392&gt;=80,SafetyLabel,IF(AJ392&gt;=50,MatchLabel,IF(AJ392&gt;=20,ReachLabel,IF(AJ392&gt;=10,LongshotLabel,HailMaryLabel)))))),"Other")</f>
        <v>0</v>
      </c>
      <c r="AL392">
        <f>IF(OR(I392="accepted",I392="cond. accept",I392="summer admit"),IF(J392="yes","CHOICE!","Accepted!"),IF(I392="denied","Denied",IF(K392=1,"Waitlist",IF(L392=1,"Deferred",IF(G392="pending","Pending",IF(OR(G392="initial materials submitted",G392="mid-year submitted",G392="final submitted"),"Submitted",IF(H392="interest","Interest","?")))))))</f>
        <v>0</v>
      </c>
      <c r="AM392">
        <f>IF(OR(AK392=ReachLabel,AK392=LongshotLabel,AK392=HailMaryLabel),1,0)</f>
        <v>0</v>
      </c>
      <c r="AN392">
        <f>IF(OR(AM392=1,AK392=MatchLabel),1,0)</f>
        <v>0</v>
      </c>
      <c r="AO392">
        <f>IF(OR(AK392=MatchLabel,AK392=SafetyLabel,AK392=SecureLabel,AK392=SureThingLabel),1,0)</f>
        <v>0</v>
      </c>
      <c r="AP392">
        <f>IF(OR(T392="H",T392="B"),IF(ISNUMBER(Y392),ROUND(Y392,2),0),IF(ISNUMBER(X392),ROUND(X392,2),0))</f>
        <v>0</v>
      </c>
      <c r="AQ392">
        <f>IF(AP392&gt;=U392,1,0)</f>
        <v>0</v>
      </c>
      <c r="AR392">
        <f>IF(AP392&gt;=V392,1,0)</f>
        <v>0</v>
      </c>
      <c r="AS392">
        <f>IF(AP392&lt;(U392-0.10),1,0)</f>
        <v>0</v>
      </c>
      <c r="AT392">
        <f>1-AJ392/100</f>
        <v>0</v>
      </c>
      <c r="AU392">
        <f>IF(AN392=1,AT392,1)</f>
        <v>0</v>
      </c>
      <c r="AV392">
        <f>IF(AM392=1,AT392,1)</f>
        <v>0</v>
      </c>
      <c r="AW392">
        <f>IF(AND(AQ392=1,ISNUMBER(AT392)),$AT392,1)</f>
        <v>0</v>
      </c>
      <c r="AX392">
        <f>IF(AND(AR392=1,ISNUMBER(AT392)),$AT392,1)</f>
        <v>0</v>
      </c>
      <c r="AY392">
        <f>IF(ISNUMBER(Y392),INDEX(AllCollegeMoney, MATCH(N392,AllCollegeNCES,0)),0)</f>
        <v>0</v>
      </c>
      <c r="AZ392">
        <f>IF(AND(AQ392=1,ISNUMBER(AT392),AY392=1),$AT392,1)</f>
        <v>0</v>
      </c>
      <c r="BA392">
        <f>IF(AND(AR392=1,ISNUMBER(AT392),AY392=1),$AT392,1)</f>
        <v>0</v>
      </c>
      <c r="BB392">
        <f>IF(ISNUMBER(Y392),INDEX(AllCollegeILPub, MATCH(N392,AllCollegeNCES,0)),0)</f>
        <v>0</v>
      </c>
      <c r="BC392">
        <f>IF(AK392=ReachLabel,AP392,0)</f>
        <v>0</v>
      </c>
      <c r="BD392">
        <f>IF(AK392=MatchLabel,AP392,0)</f>
        <v>0</v>
      </c>
      <c r="BE392">
        <f>IF(AK392=SafetyLabel,AP392,0)</f>
        <v>0</v>
      </c>
      <c r="BF392">
        <f>IF(AK392=SecureLabel,AP392,0)</f>
        <v>0</v>
      </c>
      <c r="BG392">
        <f>IF(AK392=SureThingLabel,AP392,0)</f>
        <v>0</v>
      </c>
      <c r="BH392">
        <f>MAX(BC392:BG392)</f>
        <v>0</v>
      </c>
      <c r="BI392">
        <f>MAX(BD392:BG392)</f>
        <v>0</v>
      </c>
      <c r="BJ392">
        <f>MAX(BE392:BG392)</f>
        <v>0</v>
      </c>
      <c r="BK392">
        <f>IF(AND(AK392=ReachLabel,AY392=1),AP392,0)</f>
        <v>0</v>
      </c>
      <c r="BL392">
        <f>IF(AND(AK392=MatchLabel,AY392=1),AP392,0)</f>
        <v>0</v>
      </c>
      <c r="BM392">
        <f>IF(AND(AK392=SafetyLabel,AY392=1),AP392,0)</f>
        <v>0</v>
      </c>
      <c r="BN392">
        <f>IF(AND(AK392=SecureLabel,AY392=1),AP392,0)</f>
        <v>0</v>
      </c>
      <c r="BO392">
        <f>IF(AND(AK392=SureThingLabel,AY392=1),AP392,0)</f>
        <v>0</v>
      </c>
      <c r="BP392">
        <f>MAX(BK392:BO392)</f>
        <v>0</v>
      </c>
      <c r="BQ392">
        <f>MAX(BL392:BO392)</f>
        <v>0</v>
      </c>
      <c r="BR392">
        <f>MAX(BM392:BO392)</f>
        <v>0</v>
      </c>
      <c r="BS392">
        <f>IF(ISNUMBER(Y392),INDEX(AllCollegeChicago, MATCH(N392,AllCollegeNCES,0))*AY392,0)</f>
        <v>0</v>
      </c>
      <c r="BT392">
        <f>IF(ISNUMBER(Y392),INDEX(AllCollegeMoneyCode, MATCH(N392,AllCollegeNCES,0)),"?")</f>
        <v>0</v>
      </c>
      <c r="BU392">
        <f>IF(OR(BT392="---",BT392="--",BT392="+/--",BT392="+/---"),1,0)</f>
        <v>0</v>
      </c>
      <c r="BV392">
        <f>AY392*AO392*AQ392</f>
        <v>0</v>
      </c>
    </row>
    <row r="393" spans="1:74">
      <c r="A393" t="s">
        <v>86</v>
      </c>
      <c r="B393">
        <v>23340223</v>
      </c>
      <c r="C393" t="s">
        <v>170</v>
      </c>
      <c r="D393" t="s">
        <v>171</v>
      </c>
      <c r="E393" t="s">
        <v>428</v>
      </c>
      <c r="F393" t="s">
        <v>462</v>
      </c>
      <c r="G393" t="s">
        <v>463</v>
      </c>
      <c r="H393" t="s">
        <v>431</v>
      </c>
      <c r="I393" t="s">
        <v>432</v>
      </c>
      <c r="J393" t="s">
        <v>432</v>
      </c>
      <c r="K393">
        <v>0</v>
      </c>
      <c r="L393" t="s">
        <v>428</v>
      </c>
      <c r="M393" t="s">
        <v>428</v>
      </c>
      <c r="N393">
        <v>168546</v>
      </c>
      <c r="O393">
        <f>INDEX(AllCollegeBarrons,MATCH(N393,AllCollegeNCES,0))</f>
        <v>0</v>
      </c>
      <c r="P393">
        <f>INDEX(KidGPAs,MATCH(B393,KidIDs,0))</f>
        <v>0</v>
      </c>
      <c r="Q393">
        <f>INDEX(KidACTs,MATCH(B393,KidIDs,0))</f>
        <v>0</v>
      </c>
      <c r="R393">
        <f>INDEX(Strats,MATCH(B393,KidIDs,0))</f>
        <v>0</v>
      </c>
      <c r="S393">
        <f>INDEX(KidRace,MATCH(B393,KidIDs,0))</f>
        <v>0</v>
      </c>
      <c r="T393">
        <f>IF(OR(S393="M",S393="I"),"H",S393)</f>
        <v>0</v>
      </c>
      <c r="U393">
        <f>INDEX(StudentTargets,MATCH(B393,KidIDs,0))</f>
        <v>0</v>
      </c>
      <c r="V393">
        <f>INDEX(ReachStudentTargets,MATCH(B393,KidIDs,0))</f>
        <v>0</v>
      </c>
      <c r="W393">
        <f>IF(OR(M393="Posse"),1,0)</f>
        <v>0</v>
      </c>
      <c r="X393">
        <f>IF(ISNUMBER(INDEX(AllCollegeGR, MATCH(N393,AllCollegeNCES,0))),ROUND(INDEX(AllCollegeGR, MATCH(N393,AllCollegeNCES,0))+W393*IF(INDEX(AllCollegeGR, MATCH(N393,AllCollegeNCES,0))&gt;0.7,(1-INDEX(AllCollegeGR, MATCH(N393,AllCollegeNCES,0)))/2,0.15),2),INDEX(AllCollegeGR, MATCH(N393,AllCollegeNCES,0)))</f>
        <v>0</v>
      </c>
      <c r="Y393">
        <f>IF(ISNUMBER(INDEX(AllCollegeAAHGR, MATCH(N393,AllCollegeNCES,0))),ROUND(INDEX(AllCollegeAAHGR, MATCH(N393,AllCollegeNCES,0))+W393*IF(INDEX(AllCollegeAAHGR, MATCH(N393,AllCollegeNCES,0))&gt;0.7,(1-INDEX(AllCollegeAAHGR, MATCH(N393,AllCollegeNCES,0)))/2,0.15),2),INDEX(AllCollegeAAHGR, MATCH(N393,AllCollegeNCES,0)))</f>
        <v>0</v>
      </c>
      <c r="Z393">
        <f>IF(OR(T393="H",T393="B"),INDEX(AllCollegeACT25, MATCH(N393,AllCollegeNCES,0)),INDEX(AllCollegeACT50, MATCH(N393,AllCollegeNCES,0)))</f>
        <v>0</v>
      </c>
      <c r="AA393">
        <f>INDEX(CustomWeightsGPA,MATCH(T393&amp;":"&amp;N393,CustomWeightsIndex,0))</f>
        <v>0</v>
      </c>
      <c r="AB393">
        <f>INDEX(CustomWeightsACT,MATCH(T393&amp;":"&amp;N393,CustomWeightsIndex,0))</f>
        <v>0</v>
      </c>
      <c r="AC393">
        <f>INDEX(CustomWeightsIntercept,MATCH(T393&amp;":"&amp;N393,CustomWeightsIndex,0))</f>
        <v>0</v>
      </c>
      <c r="AD393">
        <f>AA393*P393+AB393*Q393+AC393</f>
        <v>0</v>
      </c>
      <c r="AE393">
        <f>INDEX(CoefficientsGPA,MATCH(T393&amp;":"&amp;O393,CoefficientsIndex,0))</f>
        <v>0</v>
      </c>
      <c r="AF393">
        <f>INDEX(CoefficientsACT,MATCH(T393&amp;":"&amp;O393,CoefficientsIndex,0))</f>
        <v>0</v>
      </c>
      <c r="AG393">
        <f>INDEX(CoefficientsIntercept,MATCH(T393&amp;":"&amp;O393,CoefficientsIndex,0))</f>
        <v>0</v>
      </c>
      <c r="AH393">
        <f>AE393*P393+(Q393-Z393)*AF393+AG393</f>
        <v>0</v>
      </c>
      <c r="AI393">
        <f>IF(ISNUMBER(AD393),AD393,AH393)</f>
        <v>0</v>
      </c>
      <c r="AJ393">
        <f>IF(ISNUMBER(AI393),IF(ISNUMBER(AE393),IF(AND(AE393=1,AF393=1,AG393=1),100,ROUND(100*EXP(AI393)/(1+EXP(AI393)),2)),ROUND(100*EXP(AI393)/(1+EXP(AI393)),2)),IF(ISTEXT(O393),IF(LEFT(O393,1)="2",100,"N/A"),"N/A"))</f>
        <v>0</v>
      </c>
      <c r="AK393">
        <f>IF(ISNUMBER(AJ393),IF(AJ393&gt;=99,IF(OR(R393=10,R393=11),MatchLabel,SureThingLabel),IF(AJ393&gt;=95,SecureLabel,IF(AJ393&gt;=80,SafetyLabel,IF(AJ393&gt;=50,MatchLabel,IF(AJ393&gt;=20,ReachLabel,IF(AJ393&gt;=10,LongshotLabel,HailMaryLabel)))))),"Other")</f>
        <v>0</v>
      </c>
      <c r="AL393">
        <f>IF(OR(I393="accepted",I393="cond. accept",I393="summer admit"),IF(J393="yes","CHOICE!","Accepted!"),IF(I393="denied","Denied",IF(K393=1,"Waitlist",IF(L393=1,"Deferred",IF(G393="pending","Pending",IF(OR(G393="initial materials submitted",G393="mid-year submitted",G393="final submitted"),"Submitted",IF(H393="interest","Interest","?")))))))</f>
        <v>0</v>
      </c>
      <c r="AM393">
        <f>IF(OR(AK393=ReachLabel,AK393=LongshotLabel,AK393=HailMaryLabel),1,0)</f>
        <v>0</v>
      </c>
      <c r="AN393">
        <f>IF(OR(AM393=1,AK393=MatchLabel),1,0)</f>
        <v>0</v>
      </c>
      <c r="AO393">
        <f>IF(OR(AK393=MatchLabel,AK393=SafetyLabel,AK393=SecureLabel,AK393=SureThingLabel),1,0)</f>
        <v>0</v>
      </c>
      <c r="AP393">
        <f>IF(OR(T393="H",T393="B"),IF(ISNUMBER(Y393),ROUND(Y393,2),0),IF(ISNUMBER(X393),ROUND(X393,2),0))</f>
        <v>0</v>
      </c>
      <c r="AQ393">
        <f>IF(AP393&gt;=U393,1,0)</f>
        <v>0</v>
      </c>
      <c r="AR393">
        <f>IF(AP393&gt;=V393,1,0)</f>
        <v>0</v>
      </c>
      <c r="AS393">
        <f>IF(AP393&lt;(U393-0.10),1,0)</f>
        <v>0</v>
      </c>
      <c r="AT393">
        <f>1-AJ393/100</f>
        <v>0</v>
      </c>
      <c r="AU393">
        <f>IF(AN393=1,AT393,1)</f>
        <v>0</v>
      </c>
      <c r="AV393">
        <f>IF(AM393=1,AT393,1)</f>
        <v>0</v>
      </c>
      <c r="AW393">
        <f>IF(AND(AQ393=1,ISNUMBER(AT393)),$AT393,1)</f>
        <v>0</v>
      </c>
      <c r="AX393">
        <f>IF(AND(AR393=1,ISNUMBER(AT393)),$AT393,1)</f>
        <v>0</v>
      </c>
      <c r="AY393">
        <f>IF(ISNUMBER(Y393),INDEX(AllCollegeMoney, MATCH(N393,AllCollegeNCES,0)),0)</f>
        <v>0</v>
      </c>
      <c r="AZ393">
        <f>IF(AND(AQ393=1,ISNUMBER(AT393),AY393=1),$AT393,1)</f>
        <v>0</v>
      </c>
      <c r="BA393">
        <f>IF(AND(AR393=1,ISNUMBER(AT393),AY393=1),$AT393,1)</f>
        <v>0</v>
      </c>
      <c r="BB393">
        <f>IF(ISNUMBER(Y393),INDEX(AllCollegeILPub, MATCH(N393,AllCollegeNCES,0)),0)</f>
        <v>0</v>
      </c>
      <c r="BC393">
        <f>IF(AK393=ReachLabel,AP393,0)</f>
        <v>0</v>
      </c>
      <c r="BD393">
        <f>IF(AK393=MatchLabel,AP393,0)</f>
        <v>0</v>
      </c>
      <c r="BE393">
        <f>IF(AK393=SafetyLabel,AP393,0)</f>
        <v>0</v>
      </c>
      <c r="BF393">
        <f>IF(AK393=SecureLabel,AP393,0)</f>
        <v>0</v>
      </c>
      <c r="BG393">
        <f>IF(AK393=SureThingLabel,AP393,0)</f>
        <v>0</v>
      </c>
      <c r="BH393">
        <f>MAX(BC393:BG393)</f>
        <v>0</v>
      </c>
      <c r="BI393">
        <f>MAX(BD393:BG393)</f>
        <v>0</v>
      </c>
      <c r="BJ393">
        <f>MAX(BE393:BG393)</f>
        <v>0</v>
      </c>
      <c r="BK393">
        <f>IF(AND(AK393=ReachLabel,AY393=1),AP393,0)</f>
        <v>0</v>
      </c>
      <c r="BL393">
        <f>IF(AND(AK393=MatchLabel,AY393=1),AP393,0)</f>
        <v>0</v>
      </c>
      <c r="BM393">
        <f>IF(AND(AK393=SafetyLabel,AY393=1),AP393,0)</f>
        <v>0</v>
      </c>
      <c r="BN393">
        <f>IF(AND(AK393=SecureLabel,AY393=1),AP393,0)</f>
        <v>0</v>
      </c>
      <c r="BO393">
        <f>IF(AND(AK393=SureThingLabel,AY393=1),AP393,0)</f>
        <v>0</v>
      </c>
      <c r="BP393">
        <f>MAX(BK393:BO393)</f>
        <v>0</v>
      </c>
      <c r="BQ393">
        <f>MAX(BL393:BO393)</f>
        <v>0</v>
      </c>
      <c r="BR393">
        <f>MAX(BM393:BO393)</f>
        <v>0</v>
      </c>
      <c r="BS393">
        <f>IF(ISNUMBER(Y393),INDEX(AllCollegeChicago, MATCH(N393,AllCollegeNCES,0))*AY393,0)</f>
        <v>0</v>
      </c>
      <c r="BT393">
        <f>IF(ISNUMBER(Y393),INDEX(AllCollegeMoneyCode, MATCH(N393,AllCollegeNCES,0)),"?")</f>
        <v>0</v>
      </c>
      <c r="BU393">
        <f>IF(OR(BT393="---",BT393="--",BT393="+/--",BT393="+/---"),1,0)</f>
        <v>0</v>
      </c>
      <c r="BV393">
        <f>AY393*AO393*AQ393</f>
        <v>0</v>
      </c>
    </row>
    <row r="394" spans="1:74">
      <c r="A394" t="s">
        <v>86</v>
      </c>
      <c r="B394">
        <v>23340223</v>
      </c>
      <c r="C394" t="s">
        <v>170</v>
      </c>
      <c r="D394" t="s">
        <v>171</v>
      </c>
      <c r="E394" t="s">
        <v>428</v>
      </c>
      <c r="F394" t="s">
        <v>429</v>
      </c>
      <c r="G394" t="s">
        <v>430</v>
      </c>
      <c r="H394" t="s">
        <v>431</v>
      </c>
      <c r="I394" t="s">
        <v>432</v>
      </c>
      <c r="J394" t="s">
        <v>432</v>
      </c>
      <c r="K394">
        <v>0</v>
      </c>
      <c r="L394" t="s">
        <v>428</v>
      </c>
      <c r="M394" t="s">
        <v>428</v>
      </c>
      <c r="N394">
        <v>144962</v>
      </c>
      <c r="O394">
        <f>INDEX(AllCollegeBarrons,MATCH(N394,AllCollegeNCES,0))</f>
        <v>0</v>
      </c>
      <c r="P394">
        <f>INDEX(KidGPAs,MATCH(B394,KidIDs,0))</f>
        <v>0</v>
      </c>
      <c r="Q394">
        <f>INDEX(KidACTs,MATCH(B394,KidIDs,0))</f>
        <v>0</v>
      </c>
      <c r="R394">
        <f>INDEX(Strats,MATCH(B394,KidIDs,0))</f>
        <v>0</v>
      </c>
      <c r="S394">
        <f>INDEX(KidRace,MATCH(B394,KidIDs,0))</f>
        <v>0</v>
      </c>
      <c r="T394">
        <f>IF(OR(S394="M",S394="I"),"H",S394)</f>
        <v>0</v>
      </c>
      <c r="U394">
        <f>INDEX(StudentTargets,MATCH(B394,KidIDs,0))</f>
        <v>0</v>
      </c>
      <c r="V394">
        <f>INDEX(ReachStudentTargets,MATCH(B394,KidIDs,0))</f>
        <v>0</v>
      </c>
      <c r="W394">
        <f>IF(OR(M394="Posse"),1,0)</f>
        <v>0</v>
      </c>
      <c r="X394">
        <f>IF(ISNUMBER(INDEX(AllCollegeGR, MATCH(N394,AllCollegeNCES,0))),ROUND(INDEX(AllCollegeGR, MATCH(N394,AllCollegeNCES,0))+W394*IF(INDEX(AllCollegeGR, MATCH(N394,AllCollegeNCES,0))&gt;0.7,(1-INDEX(AllCollegeGR, MATCH(N394,AllCollegeNCES,0)))/2,0.15),2),INDEX(AllCollegeGR, MATCH(N394,AllCollegeNCES,0)))</f>
        <v>0</v>
      </c>
      <c r="Y394">
        <f>IF(ISNUMBER(INDEX(AllCollegeAAHGR, MATCH(N394,AllCollegeNCES,0))),ROUND(INDEX(AllCollegeAAHGR, MATCH(N394,AllCollegeNCES,0))+W394*IF(INDEX(AllCollegeAAHGR, MATCH(N394,AllCollegeNCES,0))&gt;0.7,(1-INDEX(AllCollegeAAHGR, MATCH(N394,AllCollegeNCES,0)))/2,0.15),2),INDEX(AllCollegeAAHGR, MATCH(N394,AllCollegeNCES,0)))</f>
        <v>0</v>
      </c>
      <c r="Z394">
        <f>IF(OR(T394="H",T394="B"),INDEX(AllCollegeACT25, MATCH(N394,AllCollegeNCES,0)),INDEX(AllCollegeACT50, MATCH(N394,AllCollegeNCES,0)))</f>
        <v>0</v>
      </c>
      <c r="AA394">
        <f>INDEX(CustomWeightsGPA,MATCH(T394&amp;":"&amp;N394,CustomWeightsIndex,0))</f>
        <v>0</v>
      </c>
      <c r="AB394">
        <f>INDEX(CustomWeightsACT,MATCH(T394&amp;":"&amp;N394,CustomWeightsIndex,0))</f>
        <v>0</v>
      </c>
      <c r="AC394">
        <f>INDEX(CustomWeightsIntercept,MATCH(T394&amp;":"&amp;N394,CustomWeightsIndex,0))</f>
        <v>0</v>
      </c>
      <c r="AD394">
        <f>AA394*P394+AB394*Q394+AC394</f>
        <v>0</v>
      </c>
      <c r="AE394">
        <f>INDEX(CoefficientsGPA,MATCH(T394&amp;":"&amp;O394,CoefficientsIndex,0))</f>
        <v>0</v>
      </c>
      <c r="AF394">
        <f>INDEX(CoefficientsACT,MATCH(T394&amp;":"&amp;O394,CoefficientsIndex,0))</f>
        <v>0</v>
      </c>
      <c r="AG394">
        <f>INDEX(CoefficientsIntercept,MATCH(T394&amp;":"&amp;O394,CoefficientsIndex,0))</f>
        <v>0</v>
      </c>
      <c r="AH394">
        <f>AE394*P394+(Q394-Z394)*AF394+AG394</f>
        <v>0</v>
      </c>
      <c r="AI394">
        <f>IF(ISNUMBER(AD394),AD394,AH394)</f>
        <v>0</v>
      </c>
      <c r="AJ394">
        <f>IF(ISNUMBER(AI394),IF(ISNUMBER(AE394),IF(AND(AE394=1,AF394=1,AG394=1),100,ROUND(100*EXP(AI394)/(1+EXP(AI394)),2)),ROUND(100*EXP(AI394)/(1+EXP(AI394)),2)),IF(ISTEXT(O394),IF(LEFT(O394,1)="2",100,"N/A"),"N/A"))</f>
        <v>0</v>
      </c>
      <c r="AK394">
        <f>IF(ISNUMBER(AJ394),IF(AJ394&gt;=99,IF(OR(R394=10,R394=11),MatchLabel,SureThingLabel),IF(AJ394&gt;=95,SecureLabel,IF(AJ394&gt;=80,SafetyLabel,IF(AJ394&gt;=50,MatchLabel,IF(AJ394&gt;=20,ReachLabel,IF(AJ394&gt;=10,LongshotLabel,HailMaryLabel)))))),"Other")</f>
        <v>0</v>
      </c>
      <c r="AL394">
        <f>IF(OR(I394="accepted",I394="cond. accept",I394="summer admit"),IF(J394="yes","CHOICE!","Accepted!"),IF(I394="denied","Denied",IF(K394=1,"Waitlist",IF(L394=1,"Deferred",IF(G394="pending","Pending",IF(OR(G394="initial materials submitted",G394="mid-year submitted",G394="final submitted"),"Submitted",IF(H394="interest","Interest","?")))))))</f>
        <v>0</v>
      </c>
      <c r="AM394">
        <f>IF(OR(AK394=ReachLabel,AK394=LongshotLabel,AK394=HailMaryLabel),1,0)</f>
        <v>0</v>
      </c>
      <c r="AN394">
        <f>IF(OR(AM394=1,AK394=MatchLabel),1,0)</f>
        <v>0</v>
      </c>
      <c r="AO394">
        <f>IF(OR(AK394=MatchLabel,AK394=SafetyLabel,AK394=SecureLabel,AK394=SureThingLabel),1,0)</f>
        <v>0</v>
      </c>
      <c r="AP394">
        <f>IF(OR(T394="H",T394="B"),IF(ISNUMBER(Y394),ROUND(Y394,2),0),IF(ISNUMBER(X394),ROUND(X394,2),0))</f>
        <v>0</v>
      </c>
      <c r="AQ394">
        <f>IF(AP394&gt;=U394,1,0)</f>
        <v>0</v>
      </c>
      <c r="AR394">
        <f>IF(AP394&gt;=V394,1,0)</f>
        <v>0</v>
      </c>
      <c r="AS394">
        <f>IF(AP394&lt;(U394-0.10),1,0)</f>
        <v>0</v>
      </c>
      <c r="AT394">
        <f>1-AJ394/100</f>
        <v>0</v>
      </c>
      <c r="AU394">
        <f>IF(AN394=1,AT394,1)</f>
        <v>0</v>
      </c>
      <c r="AV394">
        <f>IF(AM394=1,AT394,1)</f>
        <v>0</v>
      </c>
      <c r="AW394">
        <f>IF(AND(AQ394=1,ISNUMBER(AT394)),$AT394,1)</f>
        <v>0</v>
      </c>
      <c r="AX394">
        <f>IF(AND(AR394=1,ISNUMBER(AT394)),$AT394,1)</f>
        <v>0</v>
      </c>
      <c r="AY394">
        <f>IF(ISNUMBER(Y394),INDEX(AllCollegeMoney, MATCH(N394,AllCollegeNCES,0)),0)</f>
        <v>0</v>
      </c>
      <c r="AZ394">
        <f>IF(AND(AQ394=1,ISNUMBER(AT394),AY394=1),$AT394,1)</f>
        <v>0</v>
      </c>
      <c r="BA394">
        <f>IF(AND(AR394=1,ISNUMBER(AT394),AY394=1),$AT394,1)</f>
        <v>0</v>
      </c>
      <c r="BB394">
        <f>IF(ISNUMBER(Y394),INDEX(AllCollegeILPub, MATCH(N394,AllCollegeNCES,0)),0)</f>
        <v>0</v>
      </c>
      <c r="BC394">
        <f>IF(AK394=ReachLabel,AP394,0)</f>
        <v>0</v>
      </c>
      <c r="BD394">
        <f>IF(AK394=MatchLabel,AP394,0)</f>
        <v>0</v>
      </c>
      <c r="BE394">
        <f>IF(AK394=SafetyLabel,AP394,0)</f>
        <v>0</v>
      </c>
      <c r="BF394">
        <f>IF(AK394=SecureLabel,AP394,0)</f>
        <v>0</v>
      </c>
      <c r="BG394">
        <f>IF(AK394=SureThingLabel,AP394,0)</f>
        <v>0</v>
      </c>
      <c r="BH394">
        <f>MAX(BC394:BG394)</f>
        <v>0</v>
      </c>
      <c r="BI394">
        <f>MAX(BD394:BG394)</f>
        <v>0</v>
      </c>
      <c r="BJ394">
        <f>MAX(BE394:BG394)</f>
        <v>0</v>
      </c>
      <c r="BK394">
        <f>IF(AND(AK394=ReachLabel,AY394=1),AP394,0)</f>
        <v>0</v>
      </c>
      <c r="BL394">
        <f>IF(AND(AK394=MatchLabel,AY394=1),AP394,0)</f>
        <v>0</v>
      </c>
      <c r="BM394">
        <f>IF(AND(AK394=SafetyLabel,AY394=1),AP394,0)</f>
        <v>0</v>
      </c>
      <c r="BN394">
        <f>IF(AND(AK394=SecureLabel,AY394=1),AP394,0)</f>
        <v>0</v>
      </c>
      <c r="BO394">
        <f>IF(AND(AK394=SureThingLabel,AY394=1),AP394,0)</f>
        <v>0</v>
      </c>
      <c r="BP394">
        <f>MAX(BK394:BO394)</f>
        <v>0</v>
      </c>
      <c r="BQ394">
        <f>MAX(BL394:BO394)</f>
        <v>0</v>
      </c>
      <c r="BR394">
        <f>MAX(BM394:BO394)</f>
        <v>0</v>
      </c>
      <c r="BS394">
        <f>IF(ISNUMBER(Y394),INDEX(AllCollegeChicago, MATCH(N394,AllCollegeNCES,0))*AY394,0)</f>
        <v>0</v>
      </c>
      <c r="BT394">
        <f>IF(ISNUMBER(Y394),INDEX(AllCollegeMoneyCode, MATCH(N394,AllCollegeNCES,0)),"?")</f>
        <v>0</v>
      </c>
      <c r="BU394">
        <f>IF(OR(BT394="---",BT394="--",BT394="+/--",BT394="+/---"),1,0)</f>
        <v>0</v>
      </c>
      <c r="BV394">
        <f>AY394*AO394*AQ394</f>
        <v>0</v>
      </c>
    </row>
    <row r="395" spans="1:74">
      <c r="A395" t="s">
        <v>86</v>
      </c>
      <c r="B395">
        <v>23340223</v>
      </c>
      <c r="C395" t="s">
        <v>170</v>
      </c>
      <c r="D395" t="s">
        <v>171</v>
      </c>
      <c r="E395" t="s">
        <v>428</v>
      </c>
      <c r="F395" t="s">
        <v>433</v>
      </c>
      <c r="G395" t="s">
        <v>430</v>
      </c>
      <c r="H395" t="s">
        <v>431</v>
      </c>
      <c r="I395" t="s">
        <v>432</v>
      </c>
      <c r="J395" t="s">
        <v>432</v>
      </c>
      <c r="K395">
        <v>0</v>
      </c>
      <c r="L395" t="s">
        <v>428</v>
      </c>
      <c r="M395" t="s">
        <v>428</v>
      </c>
      <c r="N395">
        <v>148496</v>
      </c>
      <c r="O395">
        <f>INDEX(AllCollegeBarrons,MATCH(N395,AllCollegeNCES,0))</f>
        <v>0</v>
      </c>
      <c r="P395">
        <f>INDEX(KidGPAs,MATCH(B395,KidIDs,0))</f>
        <v>0</v>
      </c>
      <c r="Q395">
        <f>INDEX(KidACTs,MATCH(B395,KidIDs,0))</f>
        <v>0</v>
      </c>
      <c r="R395">
        <f>INDEX(Strats,MATCH(B395,KidIDs,0))</f>
        <v>0</v>
      </c>
      <c r="S395">
        <f>INDEX(KidRace,MATCH(B395,KidIDs,0))</f>
        <v>0</v>
      </c>
      <c r="T395">
        <f>IF(OR(S395="M",S395="I"),"H",S395)</f>
        <v>0</v>
      </c>
      <c r="U395">
        <f>INDEX(StudentTargets,MATCH(B395,KidIDs,0))</f>
        <v>0</v>
      </c>
      <c r="V395">
        <f>INDEX(ReachStudentTargets,MATCH(B395,KidIDs,0))</f>
        <v>0</v>
      </c>
      <c r="W395">
        <f>IF(OR(M395="Posse"),1,0)</f>
        <v>0</v>
      </c>
      <c r="X395">
        <f>IF(ISNUMBER(INDEX(AllCollegeGR, MATCH(N395,AllCollegeNCES,0))),ROUND(INDEX(AllCollegeGR, MATCH(N395,AllCollegeNCES,0))+W395*IF(INDEX(AllCollegeGR, MATCH(N395,AllCollegeNCES,0))&gt;0.7,(1-INDEX(AllCollegeGR, MATCH(N395,AllCollegeNCES,0)))/2,0.15),2),INDEX(AllCollegeGR, MATCH(N395,AllCollegeNCES,0)))</f>
        <v>0</v>
      </c>
      <c r="Y395">
        <f>IF(ISNUMBER(INDEX(AllCollegeAAHGR, MATCH(N395,AllCollegeNCES,0))),ROUND(INDEX(AllCollegeAAHGR, MATCH(N395,AllCollegeNCES,0))+W395*IF(INDEX(AllCollegeAAHGR, MATCH(N395,AllCollegeNCES,0))&gt;0.7,(1-INDEX(AllCollegeAAHGR, MATCH(N395,AllCollegeNCES,0)))/2,0.15),2),INDEX(AllCollegeAAHGR, MATCH(N395,AllCollegeNCES,0)))</f>
        <v>0</v>
      </c>
      <c r="Z395">
        <f>IF(OR(T395="H",T395="B"),INDEX(AllCollegeACT25, MATCH(N395,AllCollegeNCES,0)),INDEX(AllCollegeACT50, MATCH(N395,AllCollegeNCES,0)))</f>
        <v>0</v>
      </c>
      <c r="AA395">
        <f>INDEX(CustomWeightsGPA,MATCH(T395&amp;":"&amp;N395,CustomWeightsIndex,0))</f>
        <v>0</v>
      </c>
      <c r="AB395">
        <f>INDEX(CustomWeightsACT,MATCH(T395&amp;":"&amp;N395,CustomWeightsIndex,0))</f>
        <v>0</v>
      </c>
      <c r="AC395">
        <f>INDEX(CustomWeightsIntercept,MATCH(T395&amp;":"&amp;N395,CustomWeightsIndex,0))</f>
        <v>0</v>
      </c>
      <c r="AD395">
        <f>AA395*P395+AB395*Q395+AC395</f>
        <v>0</v>
      </c>
      <c r="AE395">
        <f>INDEX(CoefficientsGPA,MATCH(T395&amp;":"&amp;O395,CoefficientsIndex,0))</f>
        <v>0</v>
      </c>
      <c r="AF395">
        <f>INDEX(CoefficientsACT,MATCH(T395&amp;":"&amp;O395,CoefficientsIndex,0))</f>
        <v>0</v>
      </c>
      <c r="AG395">
        <f>INDEX(CoefficientsIntercept,MATCH(T395&amp;":"&amp;O395,CoefficientsIndex,0))</f>
        <v>0</v>
      </c>
      <c r="AH395">
        <f>AE395*P395+(Q395-Z395)*AF395+AG395</f>
        <v>0</v>
      </c>
      <c r="AI395">
        <f>IF(ISNUMBER(AD395),AD395,AH395)</f>
        <v>0</v>
      </c>
      <c r="AJ395">
        <f>IF(ISNUMBER(AI395),IF(ISNUMBER(AE395),IF(AND(AE395=1,AF395=1,AG395=1),100,ROUND(100*EXP(AI395)/(1+EXP(AI395)),2)),ROUND(100*EXP(AI395)/(1+EXP(AI395)),2)),IF(ISTEXT(O395),IF(LEFT(O395,1)="2",100,"N/A"),"N/A"))</f>
        <v>0</v>
      </c>
      <c r="AK395">
        <f>IF(ISNUMBER(AJ395),IF(AJ395&gt;=99,IF(OR(R395=10,R395=11),MatchLabel,SureThingLabel),IF(AJ395&gt;=95,SecureLabel,IF(AJ395&gt;=80,SafetyLabel,IF(AJ395&gt;=50,MatchLabel,IF(AJ395&gt;=20,ReachLabel,IF(AJ395&gt;=10,LongshotLabel,HailMaryLabel)))))),"Other")</f>
        <v>0</v>
      </c>
      <c r="AL395">
        <f>IF(OR(I395="accepted",I395="cond. accept",I395="summer admit"),IF(J395="yes","CHOICE!","Accepted!"),IF(I395="denied","Denied",IF(K395=1,"Waitlist",IF(L395=1,"Deferred",IF(G395="pending","Pending",IF(OR(G395="initial materials submitted",G395="mid-year submitted",G395="final submitted"),"Submitted",IF(H395="interest","Interest","?")))))))</f>
        <v>0</v>
      </c>
      <c r="AM395">
        <f>IF(OR(AK395=ReachLabel,AK395=LongshotLabel,AK395=HailMaryLabel),1,0)</f>
        <v>0</v>
      </c>
      <c r="AN395">
        <f>IF(OR(AM395=1,AK395=MatchLabel),1,0)</f>
        <v>0</v>
      </c>
      <c r="AO395">
        <f>IF(OR(AK395=MatchLabel,AK395=SafetyLabel,AK395=SecureLabel,AK395=SureThingLabel),1,0)</f>
        <v>0</v>
      </c>
      <c r="AP395">
        <f>IF(OR(T395="H",T395="B"),IF(ISNUMBER(Y395),ROUND(Y395,2),0),IF(ISNUMBER(X395),ROUND(X395,2),0))</f>
        <v>0</v>
      </c>
      <c r="AQ395">
        <f>IF(AP395&gt;=U395,1,0)</f>
        <v>0</v>
      </c>
      <c r="AR395">
        <f>IF(AP395&gt;=V395,1,0)</f>
        <v>0</v>
      </c>
      <c r="AS395">
        <f>IF(AP395&lt;(U395-0.10),1,0)</f>
        <v>0</v>
      </c>
      <c r="AT395">
        <f>1-AJ395/100</f>
        <v>0</v>
      </c>
      <c r="AU395">
        <f>IF(AN395=1,AT395,1)</f>
        <v>0</v>
      </c>
      <c r="AV395">
        <f>IF(AM395=1,AT395,1)</f>
        <v>0</v>
      </c>
      <c r="AW395">
        <f>IF(AND(AQ395=1,ISNUMBER(AT395)),$AT395,1)</f>
        <v>0</v>
      </c>
      <c r="AX395">
        <f>IF(AND(AR395=1,ISNUMBER(AT395)),$AT395,1)</f>
        <v>0</v>
      </c>
      <c r="AY395">
        <f>IF(ISNUMBER(Y395),INDEX(AllCollegeMoney, MATCH(N395,AllCollegeNCES,0)),0)</f>
        <v>0</v>
      </c>
      <c r="AZ395">
        <f>IF(AND(AQ395=1,ISNUMBER(AT395),AY395=1),$AT395,1)</f>
        <v>0</v>
      </c>
      <c r="BA395">
        <f>IF(AND(AR395=1,ISNUMBER(AT395),AY395=1),$AT395,1)</f>
        <v>0</v>
      </c>
      <c r="BB395">
        <f>IF(ISNUMBER(Y395),INDEX(AllCollegeILPub, MATCH(N395,AllCollegeNCES,0)),0)</f>
        <v>0</v>
      </c>
      <c r="BC395">
        <f>IF(AK395=ReachLabel,AP395,0)</f>
        <v>0</v>
      </c>
      <c r="BD395">
        <f>IF(AK395=MatchLabel,AP395,0)</f>
        <v>0</v>
      </c>
      <c r="BE395">
        <f>IF(AK395=SafetyLabel,AP395,0)</f>
        <v>0</v>
      </c>
      <c r="BF395">
        <f>IF(AK395=SecureLabel,AP395,0)</f>
        <v>0</v>
      </c>
      <c r="BG395">
        <f>IF(AK395=SureThingLabel,AP395,0)</f>
        <v>0</v>
      </c>
      <c r="BH395">
        <f>MAX(BC395:BG395)</f>
        <v>0</v>
      </c>
      <c r="BI395">
        <f>MAX(BD395:BG395)</f>
        <v>0</v>
      </c>
      <c r="BJ395">
        <f>MAX(BE395:BG395)</f>
        <v>0</v>
      </c>
      <c r="BK395">
        <f>IF(AND(AK395=ReachLabel,AY395=1),AP395,0)</f>
        <v>0</v>
      </c>
      <c r="BL395">
        <f>IF(AND(AK395=MatchLabel,AY395=1),AP395,0)</f>
        <v>0</v>
      </c>
      <c r="BM395">
        <f>IF(AND(AK395=SafetyLabel,AY395=1),AP395,0)</f>
        <v>0</v>
      </c>
      <c r="BN395">
        <f>IF(AND(AK395=SecureLabel,AY395=1),AP395,0)</f>
        <v>0</v>
      </c>
      <c r="BO395">
        <f>IF(AND(AK395=SureThingLabel,AY395=1),AP395,0)</f>
        <v>0</v>
      </c>
      <c r="BP395">
        <f>MAX(BK395:BO395)</f>
        <v>0</v>
      </c>
      <c r="BQ395">
        <f>MAX(BL395:BO395)</f>
        <v>0</v>
      </c>
      <c r="BR395">
        <f>MAX(BM395:BO395)</f>
        <v>0</v>
      </c>
      <c r="BS395">
        <f>IF(ISNUMBER(Y395),INDEX(AllCollegeChicago, MATCH(N395,AllCollegeNCES,0))*AY395,0)</f>
        <v>0</v>
      </c>
      <c r="BT395">
        <f>IF(ISNUMBER(Y395),INDEX(AllCollegeMoneyCode, MATCH(N395,AllCollegeNCES,0)),"?")</f>
        <v>0</v>
      </c>
      <c r="BU395">
        <f>IF(OR(BT395="---",BT395="--",BT395="+/--",BT395="+/---"),1,0)</f>
        <v>0</v>
      </c>
      <c r="BV395">
        <f>AY395*AO395*AQ395</f>
        <v>0</v>
      </c>
    </row>
    <row r="396" spans="1:74">
      <c r="A396" t="s">
        <v>86</v>
      </c>
      <c r="B396">
        <v>23340223</v>
      </c>
      <c r="C396" t="s">
        <v>170</v>
      </c>
      <c r="D396" t="s">
        <v>171</v>
      </c>
      <c r="E396" t="s">
        <v>428</v>
      </c>
      <c r="F396" t="s">
        <v>485</v>
      </c>
      <c r="G396" t="s">
        <v>430</v>
      </c>
      <c r="H396" t="s">
        <v>431</v>
      </c>
      <c r="I396" t="s">
        <v>432</v>
      </c>
      <c r="J396" t="s">
        <v>432</v>
      </c>
      <c r="K396">
        <v>0</v>
      </c>
      <c r="L396" t="s">
        <v>428</v>
      </c>
      <c r="M396" t="s">
        <v>428</v>
      </c>
      <c r="N396">
        <v>170082</v>
      </c>
      <c r="O396">
        <f>INDEX(AllCollegeBarrons,MATCH(N396,AllCollegeNCES,0))</f>
        <v>0</v>
      </c>
      <c r="P396">
        <f>INDEX(KidGPAs,MATCH(B396,KidIDs,0))</f>
        <v>0</v>
      </c>
      <c r="Q396">
        <f>INDEX(KidACTs,MATCH(B396,KidIDs,0))</f>
        <v>0</v>
      </c>
      <c r="R396">
        <f>INDEX(Strats,MATCH(B396,KidIDs,0))</f>
        <v>0</v>
      </c>
      <c r="S396">
        <f>INDEX(KidRace,MATCH(B396,KidIDs,0))</f>
        <v>0</v>
      </c>
      <c r="T396">
        <f>IF(OR(S396="M",S396="I"),"H",S396)</f>
        <v>0</v>
      </c>
      <c r="U396">
        <f>INDEX(StudentTargets,MATCH(B396,KidIDs,0))</f>
        <v>0</v>
      </c>
      <c r="V396">
        <f>INDEX(ReachStudentTargets,MATCH(B396,KidIDs,0))</f>
        <v>0</v>
      </c>
      <c r="W396">
        <f>IF(OR(M396="Posse"),1,0)</f>
        <v>0</v>
      </c>
      <c r="X396">
        <f>IF(ISNUMBER(INDEX(AllCollegeGR, MATCH(N396,AllCollegeNCES,0))),ROUND(INDEX(AllCollegeGR, MATCH(N396,AllCollegeNCES,0))+W396*IF(INDEX(AllCollegeGR, MATCH(N396,AllCollegeNCES,0))&gt;0.7,(1-INDEX(AllCollegeGR, MATCH(N396,AllCollegeNCES,0)))/2,0.15),2),INDEX(AllCollegeGR, MATCH(N396,AllCollegeNCES,0)))</f>
        <v>0</v>
      </c>
      <c r="Y396">
        <f>IF(ISNUMBER(INDEX(AllCollegeAAHGR, MATCH(N396,AllCollegeNCES,0))),ROUND(INDEX(AllCollegeAAHGR, MATCH(N396,AllCollegeNCES,0))+W396*IF(INDEX(AllCollegeAAHGR, MATCH(N396,AllCollegeNCES,0))&gt;0.7,(1-INDEX(AllCollegeAAHGR, MATCH(N396,AllCollegeNCES,0)))/2,0.15),2),INDEX(AllCollegeAAHGR, MATCH(N396,AllCollegeNCES,0)))</f>
        <v>0</v>
      </c>
      <c r="Z396">
        <f>IF(OR(T396="H",T396="B"),INDEX(AllCollegeACT25, MATCH(N396,AllCollegeNCES,0)),INDEX(AllCollegeACT50, MATCH(N396,AllCollegeNCES,0)))</f>
        <v>0</v>
      </c>
      <c r="AA396">
        <f>INDEX(CustomWeightsGPA,MATCH(T396&amp;":"&amp;N396,CustomWeightsIndex,0))</f>
        <v>0</v>
      </c>
      <c r="AB396">
        <f>INDEX(CustomWeightsACT,MATCH(T396&amp;":"&amp;N396,CustomWeightsIndex,0))</f>
        <v>0</v>
      </c>
      <c r="AC396">
        <f>INDEX(CustomWeightsIntercept,MATCH(T396&amp;":"&amp;N396,CustomWeightsIndex,0))</f>
        <v>0</v>
      </c>
      <c r="AD396">
        <f>AA396*P396+AB396*Q396+AC396</f>
        <v>0</v>
      </c>
      <c r="AE396">
        <f>INDEX(CoefficientsGPA,MATCH(T396&amp;":"&amp;O396,CoefficientsIndex,0))</f>
        <v>0</v>
      </c>
      <c r="AF396">
        <f>INDEX(CoefficientsACT,MATCH(T396&amp;":"&amp;O396,CoefficientsIndex,0))</f>
        <v>0</v>
      </c>
      <c r="AG396">
        <f>INDEX(CoefficientsIntercept,MATCH(T396&amp;":"&amp;O396,CoefficientsIndex,0))</f>
        <v>0</v>
      </c>
      <c r="AH396">
        <f>AE396*P396+(Q396-Z396)*AF396+AG396</f>
        <v>0</v>
      </c>
      <c r="AI396">
        <f>IF(ISNUMBER(AD396),AD396,AH396)</f>
        <v>0</v>
      </c>
      <c r="AJ396">
        <f>IF(ISNUMBER(AI396),IF(ISNUMBER(AE396),IF(AND(AE396=1,AF396=1,AG396=1),100,ROUND(100*EXP(AI396)/(1+EXP(AI396)),2)),ROUND(100*EXP(AI396)/(1+EXP(AI396)),2)),IF(ISTEXT(O396),IF(LEFT(O396,1)="2",100,"N/A"),"N/A"))</f>
        <v>0</v>
      </c>
      <c r="AK396">
        <f>IF(ISNUMBER(AJ396),IF(AJ396&gt;=99,IF(OR(R396=10,R396=11),MatchLabel,SureThingLabel),IF(AJ396&gt;=95,SecureLabel,IF(AJ396&gt;=80,SafetyLabel,IF(AJ396&gt;=50,MatchLabel,IF(AJ396&gt;=20,ReachLabel,IF(AJ396&gt;=10,LongshotLabel,HailMaryLabel)))))),"Other")</f>
        <v>0</v>
      </c>
      <c r="AL396">
        <f>IF(OR(I396="accepted",I396="cond. accept",I396="summer admit"),IF(J396="yes","CHOICE!","Accepted!"),IF(I396="denied","Denied",IF(K396=1,"Waitlist",IF(L396=1,"Deferred",IF(G396="pending","Pending",IF(OR(G396="initial materials submitted",G396="mid-year submitted",G396="final submitted"),"Submitted",IF(H396="interest","Interest","?")))))))</f>
        <v>0</v>
      </c>
      <c r="AM396">
        <f>IF(OR(AK396=ReachLabel,AK396=LongshotLabel,AK396=HailMaryLabel),1,0)</f>
        <v>0</v>
      </c>
      <c r="AN396">
        <f>IF(OR(AM396=1,AK396=MatchLabel),1,0)</f>
        <v>0</v>
      </c>
      <c r="AO396">
        <f>IF(OR(AK396=MatchLabel,AK396=SafetyLabel,AK396=SecureLabel,AK396=SureThingLabel),1,0)</f>
        <v>0</v>
      </c>
      <c r="AP396">
        <f>IF(OR(T396="H",T396="B"),IF(ISNUMBER(Y396),ROUND(Y396,2),0),IF(ISNUMBER(X396),ROUND(X396,2),0))</f>
        <v>0</v>
      </c>
      <c r="AQ396">
        <f>IF(AP396&gt;=U396,1,0)</f>
        <v>0</v>
      </c>
      <c r="AR396">
        <f>IF(AP396&gt;=V396,1,0)</f>
        <v>0</v>
      </c>
      <c r="AS396">
        <f>IF(AP396&lt;(U396-0.10),1,0)</f>
        <v>0</v>
      </c>
      <c r="AT396">
        <f>1-AJ396/100</f>
        <v>0</v>
      </c>
      <c r="AU396">
        <f>IF(AN396=1,AT396,1)</f>
        <v>0</v>
      </c>
      <c r="AV396">
        <f>IF(AM396=1,AT396,1)</f>
        <v>0</v>
      </c>
      <c r="AW396">
        <f>IF(AND(AQ396=1,ISNUMBER(AT396)),$AT396,1)</f>
        <v>0</v>
      </c>
      <c r="AX396">
        <f>IF(AND(AR396=1,ISNUMBER(AT396)),$AT396,1)</f>
        <v>0</v>
      </c>
      <c r="AY396">
        <f>IF(ISNUMBER(Y396),INDEX(AllCollegeMoney, MATCH(N396,AllCollegeNCES,0)),0)</f>
        <v>0</v>
      </c>
      <c r="AZ396">
        <f>IF(AND(AQ396=1,ISNUMBER(AT396),AY396=1),$AT396,1)</f>
        <v>0</v>
      </c>
      <c r="BA396">
        <f>IF(AND(AR396=1,ISNUMBER(AT396),AY396=1),$AT396,1)</f>
        <v>0</v>
      </c>
      <c r="BB396">
        <f>IF(ISNUMBER(Y396),INDEX(AllCollegeILPub, MATCH(N396,AllCollegeNCES,0)),0)</f>
        <v>0</v>
      </c>
      <c r="BC396">
        <f>IF(AK396=ReachLabel,AP396,0)</f>
        <v>0</v>
      </c>
      <c r="BD396">
        <f>IF(AK396=MatchLabel,AP396,0)</f>
        <v>0</v>
      </c>
      <c r="BE396">
        <f>IF(AK396=SafetyLabel,AP396,0)</f>
        <v>0</v>
      </c>
      <c r="BF396">
        <f>IF(AK396=SecureLabel,AP396,0)</f>
        <v>0</v>
      </c>
      <c r="BG396">
        <f>IF(AK396=SureThingLabel,AP396,0)</f>
        <v>0</v>
      </c>
      <c r="BH396">
        <f>MAX(BC396:BG396)</f>
        <v>0</v>
      </c>
      <c r="BI396">
        <f>MAX(BD396:BG396)</f>
        <v>0</v>
      </c>
      <c r="BJ396">
        <f>MAX(BE396:BG396)</f>
        <v>0</v>
      </c>
      <c r="BK396">
        <f>IF(AND(AK396=ReachLabel,AY396=1),AP396,0)</f>
        <v>0</v>
      </c>
      <c r="BL396">
        <f>IF(AND(AK396=MatchLabel,AY396=1),AP396,0)</f>
        <v>0</v>
      </c>
      <c r="BM396">
        <f>IF(AND(AK396=SafetyLabel,AY396=1),AP396,0)</f>
        <v>0</v>
      </c>
      <c r="BN396">
        <f>IF(AND(AK396=SecureLabel,AY396=1),AP396,0)</f>
        <v>0</v>
      </c>
      <c r="BO396">
        <f>IF(AND(AK396=SureThingLabel,AY396=1),AP396,0)</f>
        <v>0</v>
      </c>
      <c r="BP396">
        <f>MAX(BK396:BO396)</f>
        <v>0</v>
      </c>
      <c r="BQ396">
        <f>MAX(BL396:BO396)</f>
        <v>0</v>
      </c>
      <c r="BR396">
        <f>MAX(BM396:BO396)</f>
        <v>0</v>
      </c>
      <c r="BS396">
        <f>IF(ISNUMBER(Y396),INDEX(AllCollegeChicago, MATCH(N396,AllCollegeNCES,0))*AY396,0)</f>
        <v>0</v>
      </c>
      <c r="BT396">
        <f>IF(ISNUMBER(Y396),INDEX(AllCollegeMoneyCode, MATCH(N396,AllCollegeNCES,0)),"?")</f>
        <v>0</v>
      </c>
      <c r="BU396">
        <f>IF(OR(BT396="---",BT396="--",BT396="+/--",BT396="+/---"),1,0)</f>
        <v>0</v>
      </c>
      <c r="BV396">
        <f>AY396*AO396*AQ396</f>
        <v>0</v>
      </c>
    </row>
    <row r="397" spans="1:74">
      <c r="A397" t="s">
        <v>86</v>
      </c>
      <c r="B397">
        <v>23340223</v>
      </c>
      <c r="C397" t="s">
        <v>170</v>
      </c>
      <c r="D397" t="s">
        <v>171</v>
      </c>
      <c r="E397" t="s">
        <v>428</v>
      </c>
      <c r="F397" t="s">
        <v>502</v>
      </c>
      <c r="G397" t="s">
        <v>430</v>
      </c>
      <c r="H397" t="s">
        <v>431</v>
      </c>
      <c r="I397" t="s">
        <v>432</v>
      </c>
      <c r="J397" t="s">
        <v>432</v>
      </c>
      <c r="K397">
        <v>0</v>
      </c>
      <c r="L397" t="s">
        <v>428</v>
      </c>
      <c r="M397" t="s">
        <v>428</v>
      </c>
      <c r="N397">
        <v>145813</v>
      </c>
      <c r="O397">
        <f>INDEX(AllCollegeBarrons,MATCH(N397,AllCollegeNCES,0))</f>
        <v>0</v>
      </c>
      <c r="P397">
        <f>INDEX(KidGPAs,MATCH(B397,KidIDs,0))</f>
        <v>0</v>
      </c>
      <c r="Q397">
        <f>INDEX(KidACTs,MATCH(B397,KidIDs,0))</f>
        <v>0</v>
      </c>
      <c r="R397">
        <f>INDEX(Strats,MATCH(B397,KidIDs,0))</f>
        <v>0</v>
      </c>
      <c r="S397">
        <f>INDEX(KidRace,MATCH(B397,KidIDs,0))</f>
        <v>0</v>
      </c>
      <c r="T397">
        <f>IF(OR(S397="M",S397="I"),"H",S397)</f>
        <v>0</v>
      </c>
      <c r="U397">
        <f>INDEX(StudentTargets,MATCH(B397,KidIDs,0))</f>
        <v>0</v>
      </c>
      <c r="V397">
        <f>INDEX(ReachStudentTargets,MATCH(B397,KidIDs,0))</f>
        <v>0</v>
      </c>
      <c r="W397">
        <f>IF(OR(M397="Posse"),1,0)</f>
        <v>0</v>
      </c>
      <c r="X397">
        <f>IF(ISNUMBER(INDEX(AllCollegeGR, MATCH(N397,AllCollegeNCES,0))),ROUND(INDEX(AllCollegeGR, MATCH(N397,AllCollegeNCES,0))+W397*IF(INDEX(AllCollegeGR, MATCH(N397,AllCollegeNCES,0))&gt;0.7,(1-INDEX(AllCollegeGR, MATCH(N397,AllCollegeNCES,0)))/2,0.15),2),INDEX(AllCollegeGR, MATCH(N397,AllCollegeNCES,0)))</f>
        <v>0</v>
      </c>
      <c r="Y397">
        <f>IF(ISNUMBER(INDEX(AllCollegeAAHGR, MATCH(N397,AllCollegeNCES,0))),ROUND(INDEX(AllCollegeAAHGR, MATCH(N397,AllCollegeNCES,0))+W397*IF(INDEX(AllCollegeAAHGR, MATCH(N397,AllCollegeNCES,0))&gt;0.7,(1-INDEX(AllCollegeAAHGR, MATCH(N397,AllCollegeNCES,0)))/2,0.15),2),INDEX(AllCollegeAAHGR, MATCH(N397,AllCollegeNCES,0)))</f>
        <v>0</v>
      </c>
      <c r="Z397">
        <f>IF(OR(T397="H",T397="B"),INDEX(AllCollegeACT25, MATCH(N397,AllCollegeNCES,0)),INDEX(AllCollegeACT50, MATCH(N397,AllCollegeNCES,0)))</f>
        <v>0</v>
      </c>
      <c r="AA397">
        <f>INDEX(CustomWeightsGPA,MATCH(T397&amp;":"&amp;N397,CustomWeightsIndex,0))</f>
        <v>0</v>
      </c>
      <c r="AB397">
        <f>INDEX(CustomWeightsACT,MATCH(T397&amp;":"&amp;N397,CustomWeightsIndex,0))</f>
        <v>0</v>
      </c>
      <c r="AC397">
        <f>INDEX(CustomWeightsIntercept,MATCH(T397&amp;":"&amp;N397,CustomWeightsIndex,0))</f>
        <v>0</v>
      </c>
      <c r="AD397">
        <f>AA397*P397+AB397*Q397+AC397</f>
        <v>0</v>
      </c>
      <c r="AE397">
        <f>INDEX(CoefficientsGPA,MATCH(T397&amp;":"&amp;O397,CoefficientsIndex,0))</f>
        <v>0</v>
      </c>
      <c r="AF397">
        <f>INDEX(CoefficientsACT,MATCH(T397&amp;":"&amp;O397,CoefficientsIndex,0))</f>
        <v>0</v>
      </c>
      <c r="AG397">
        <f>INDEX(CoefficientsIntercept,MATCH(T397&amp;":"&amp;O397,CoefficientsIndex,0))</f>
        <v>0</v>
      </c>
      <c r="AH397">
        <f>AE397*P397+(Q397-Z397)*AF397+AG397</f>
        <v>0</v>
      </c>
      <c r="AI397">
        <f>IF(ISNUMBER(AD397),AD397,AH397)</f>
        <v>0</v>
      </c>
      <c r="AJ397">
        <f>IF(ISNUMBER(AI397),IF(ISNUMBER(AE397),IF(AND(AE397=1,AF397=1,AG397=1),100,ROUND(100*EXP(AI397)/(1+EXP(AI397)),2)),ROUND(100*EXP(AI397)/(1+EXP(AI397)),2)),IF(ISTEXT(O397),IF(LEFT(O397,1)="2",100,"N/A"),"N/A"))</f>
        <v>0</v>
      </c>
      <c r="AK397">
        <f>IF(ISNUMBER(AJ397),IF(AJ397&gt;=99,IF(OR(R397=10,R397=11),MatchLabel,SureThingLabel),IF(AJ397&gt;=95,SecureLabel,IF(AJ397&gt;=80,SafetyLabel,IF(AJ397&gt;=50,MatchLabel,IF(AJ397&gt;=20,ReachLabel,IF(AJ397&gt;=10,LongshotLabel,HailMaryLabel)))))),"Other")</f>
        <v>0</v>
      </c>
      <c r="AL397">
        <f>IF(OR(I397="accepted",I397="cond. accept",I397="summer admit"),IF(J397="yes","CHOICE!","Accepted!"),IF(I397="denied","Denied",IF(K397=1,"Waitlist",IF(L397=1,"Deferred",IF(G397="pending","Pending",IF(OR(G397="initial materials submitted",G397="mid-year submitted",G397="final submitted"),"Submitted",IF(H397="interest","Interest","?")))))))</f>
        <v>0</v>
      </c>
      <c r="AM397">
        <f>IF(OR(AK397=ReachLabel,AK397=LongshotLabel,AK397=HailMaryLabel),1,0)</f>
        <v>0</v>
      </c>
      <c r="AN397">
        <f>IF(OR(AM397=1,AK397=MatchLabel),1,0)</f>
        <v>0</v>
      </c>
      <c r="AO397">
        <f>IF(OR(AK397=MatchLabel,AK397=SafetyLabel,AK397=SecureLabel,AK397=SureThingLabel),1,0)</f>
        <v>0</v>
      </c>
      <c r="AP397">
        <f>IF(OR(T397="H",T397="B"),IF(ISNUMBER(Y397),ROUND(Y397,2),0),IF(ISNUMBER(X397),ROUND(X397,2),0))</f>
        <v>0</v>
      </c>
      <c r="AQ397">
        <f>IF(AP397&gt;=U397,1,0)</f>
        <v>0</v>
      </c>
      <c r="AR397">
        <f>IF(AP397&gt;=V397,1,0)</f>
        <v>0</v>
      </c>
      <c r="AS397">
        <f>IF(AP397&lt;(U397-0.10),1,0)</f>
        <v>0</v>
      </c>
      <c r="AT397">
        <f>1-AJ397/100</f>
        <v>0</v>
      </c>
      <c r="AU397">
        <f>IF(AN397=1,AT397,1)</f>
        <v>0</v>
      </c>
      <c r="AV397">
        <f>IF(AM397=1,AT397,1)</f>
        <v>0</v>
      </c>
      <c r="AW397">
        <f>IF(AND(AQ397=1,ISNUMBER(AT397)),$AT397,1)</f>
        <v>0</v>
      </c>
      <c r="AX397">
        <f>IF(AND(AR397=1,ISNUMBER(AT397)),$AT397,1)</f>
        <v>0</v>
      </c>
      <c r="AY397">
        <f>IF(ISNUMBER(Y397),INDEX(AllCollegeMoney, MATCH(N397,AllCollegeNCES,0)),0)</f>
        <v>0</v>
      </c>
      <c r="AZ397">
        <f>IF(AND(AQ397=1,ISNUMBER(AT397),AY397=1),$AT397,1)</f>
        <v>0</v>
      </c>
      <c r="BA397">
        <f>IF(AND(AR397=1,ISNUMBER(AT397),AY397=1),$AT397,1)</f>
        <v>0</v>
      </c>
      <c r="BB397">
        <f>IF(ISNUMBER(Y397),INDEX(AllCollegeILPub, MATCH(N397,AllCollegeNCES,0)),0)</f>
        <v>0</v>
      </c>
      <c r="BC397">
        <f>IF(AK397=ReachLabel,AP397,0)</f>
        <v>0</v>
      </c>
      <c r="BD397">
        <f>IF(AK397=MatchLabel,AP397,0)</f>
        <v>0</v>
      </c>
      <c r="BE397">
        <f>IF(AK397=SafetyLabel,AP397,0)</f>
        <v>0</v>
      </c>
      <c r="BF397">
        <f>IF(AK397=SecureLabel,AP397,0)</f>
        <v>0</v>
      </c>
      <c r="BG397">
        <f>IF(AK397=SureThingLabel,AP397,0)</f>
        <v>0</v>
      </c>
      <c r="BH397">
        <f>MAX(BC397:BG397)</f>
        <v>0</v>
      </c>
      <c r="BI397">
        <f>MAX(BD397:BG397)</f>
        <v>0</v>
      </c>
      <c r="BJ397">
        <f>MAX(BE397:BG397)</f>
        <v>0</v>
      </c>
      <c r="BK397">
        <f>IF(AND(AK397=ReachLabel,AY397=1),AP397,0)</f>
        <v>0</v>
      </c>
      <c r="BL397">
        <f>IF(AND(AK397=MatchLabel,AY397=1),AP397,0)</f>
        <v>0</v>
      </c>
      <c r="BM397">
        <f>IF(AND(AK397=SafetyLabel,AY397=1),AP397,0)</f>
        <v>0</v>
      </c>
      <c r="BN397">
        <f>IF(AND(AK397=SecureLabel,AY397=1),AP397,0)</f>
        <v>0</v>
      </c>
      <c r="BO397">
        <f>IF(AND(AK397=SureThingLabel,AY397=1),AP397,0)</f>
        <v>0</v>
      </c>
      <c r="BP397">
        <f>MAX(BK397:BO397)</f>
        <v>0</v>
      </c>
      <c r="BQ397">
        <f>MAX(BL397:BO397)</f>
        <v>0</v>
      </c>
      <c r="BR397">
        <f>MAX(BM397:BO397)</f>
        <v>0</v>
      </c>
      <c r="BS397">
        <f>IF(ISNUMBER(Y397),INDEX(AllCollegeChicago, MATCH(N397,AllCollegeNCES,0))*AY397,0)</f>
        <v>0</v>
      </c>
      <c r="BT397">
        <f>IF(ISNUMBER(Y397),INDEX(AllCollegeMoneyCode, MATCH(N397,AllCollegeNCES,0)),"?")</f>
        <v>0</v>
      </c>
      <c r="BU397">
        <f>IF(OR(BT397="---",BT397="--",BT397="+/--",BT397="+/---"),1,0)</f>
        <v>0</v>
      </c>
      <c r="BV397">
        <f>AY397*AO397*AQ397</f>
        <v>0</v>
      </c>
    </row>
    <row r="398" spans="1:74">
      <c r="A398" t="s">
        <v>86</v>
      </c>
      <c r="B398">
        <v>23340223</v>
      </c>
      <c r="C398" t="s">
        <v>170</v>
      </c>
      <c r="D398" t="s">
        <v>171</v>
      </c>
      <c r="E398" t="s">
        <v>428</v>
      </c>
      <c r="F398" t="s">
        <v>447</v>
      </c>
      <c r="G398" t="s">
        <v>430</v>
      </c>
      <c r="H398" t="s">
        <v>431</v>
      </c>
      <c r="I398" t="s">
        <v>432</v>
      </c>
      <c r="J398" t="s">
        <v>432</v>
      </c>
      <c r="K398">
        <v>0</v>
      </c>
      <c r="L398" t="s">
        <v>428</v>
      </c>
      <c r="M398" t="s">
        <v>428</v>
      </c>
      <c r="N398">
        <v>145600</v>
      </c>
      <c r="O398">
        <f>INDEX(AllCollegeBarrons,MATCH(N398,AllCollegeNCES,0))</f>
        <v>0</v>
      </c>
      <c r="P398">
        <f>INDEX(KidGPAs,MATCH(B398,KidIDs,0))</f>
        <v>0</v>
      </c>
      <c r="Q398">
        <f>INDEX(KidACTs,MATCH(B398,KidIDs,0))</f>
        <v>0</v>
      </c>
      <c r="R398">
        <f>INDEX(Strats,MATCH(B398,KidIDs,0))</f>
        <v>0</v>
      </c>
      <c r="S398">
        <f>INDEX(KidRace,MATCH(B398,KidIDs,0))</f>
        <v>0</v>
      </c>
      <c r="T398">
        <f>IF(OR(S398="M",S398="I"),"H",S398)</f>
        <v>0</v>
      </c>
      <c r="U398">
        <f>INDEX(StudentTargets,MATCH(B398,KidIDs,0))</f>
        <v>0</v>
      </c>
      <c r="V398">
        <f>INDEX(ReachStudentTargets,MATCH(B398,KidIDs,0))</f>
        <v>0</v>
      </c>
      <c r="W398">
        <f>IF(OR(M398="Posse"),1,0)</f>
        <v>0</v>
      </c>
      <c r="X398">
        <f>IF(ISNUMBER(INDEX(AllCollegeGR, MATCH(N398,AllCollegeNCES,0))),ROUND(INDEX(AllCollegeGR, MATCH(N398,AllCollegeNCES,0))+W398*IF(INDEX(AllCollegeGR, MATCH(N398,AllCollegeNCES,0))&gt;0.7,(1-INDEX(AllCollegeGR, MATCH(N398,AllCollegeNCES,0)))/2,0.15),2),INDEX(AllCollegeGR, MATCH(N398,AllCollegeNCES,0)))</f>
        <v>0</v>
      </c>
      <c r="Y398">
        <f>IF(ISNUMBER(INDEX(AllCollegeAAHGR, MATCH(N398,AllCollegeNCES,0))),ROUND(INDEX(AllCollegeAAHGR, MATCH(N398,AllCollegeNCES,0))+W398*IF(INDEX(AllCollegeAAHGR, MATCH(N398,AllCollegeNCES,0))&gt;0.7,(1-INDEX(AllCollegeAAHGR, MATCH(N398,AllCollegeNCES,0)))/2,0.15),2),INDEX(AllCollegeAAHGR, MATCH(N398,AllCollegeNCES,0)))</f>
        <v>0</v>
      </c>
      <c r="Z398">
        <f>IF(OR(T398="H",T398="B"),INDEX(AllCollegeACT25, MATCH(N398,AllCollegeNCES,0)),INDEX(AllCollegeACT50, MATCH(N398,AllCollegeNCES,0)))</f>
        <v>0</v>
      </c>
      <c r="AA398">
        <f>INDEX(CustomWeightsGPA,MATCH(T398&amp;":"&amp;N398,CustomWeightsIndex,0))</f>
        <v>0</v>
      </c>
      <c r="AB398">
        <f>INDEX(CustomWeightsACT,MATCH(T398&amp;":"&amp;N398,CustomWeightsIndex,0))</f>
        <v>0</v>
      </c>
      <c r="AC398">
        <f>INDEX(CustomWeightsIntercept,MATCH(T398&amp;":"&amp;N398,CustomWeightsIndex,0))</f>
        <v>0</v>
      </c>
      <c r="AD398">
        <f>AA398*P398+AB398*Q398+AC398</f>
        <v>0</v>
      </c>
      <c r="AE398">
        <f>INDEX(CoefficientsGPA,MATCH(T398&amp;":"&amp;O398,CoefficientsIndex,0))</f>
        <v>0</v>
      </c>
      <c r="AF398">
        <f>INDEX(CoefficientsACT,MATCH(T398&amp;":"&amp;O398,CoefficientsIndex,0))</f>
        <v>0</v>
      </c>
      <c r="AG398">
        <f>INDEX(CoefficientsIntercept,MATCH(T398&amp;":"&amp;O398,CoefficientsIndex,0))</f>
        <v>0</v>
      </c>
      <c r="AH398">
        <f>AE398*P398+(Q398-Z398)*AF398+AG398</f>
        <v>0</v>
      </c>
      <c r="AI398">
        <f>IF(ISNUMBER(AD398),AD398,AH398)</f>
        <v>0</v>
      </c>
      <c r="AJ398">
        <f>IF(ISNUMBER(AI398),IF(ISNUMBER(AE398),IF(AND(AE398=1,AF398=1,AG398=1),100,ROUND(100*EXP(AI398)/(1+EXP(AI398)),2)),ROUND(100*EXP(AI398)/(1+EXP(AI398)),2)),IF(ISTEXT(O398),IF(LEFT(O398,1)="2",100,"N/A"),"N/A"))</f>
        <v>0</v>
      </c>
      <c r="AK398">
        <f>IF(ISNUMBER(AJ398),IF(AJ398&gt;=99,IF(OR(R398=10,R398=11),MatchLabel,SureThingLabel),IF(AJ398&gt;=95,SecureLabel,IF(AJ398&gt;=80,SafetyLabel,IF(AJ398&gt;=50,MatchLabel,IF(AJ398&gt;=20,ReachLabel,IF(AJ398&gt;=10,LongshotLabel,HailMaryLabel)))))),"Other")</f>
        <v>0</v>
      </c>
      <c r="AL398">
        <f>IF(OR(I398="accepted",I398="cond. accept",I398="summer admit"),IF(J398="yes","CHOICE!","Accepted!"),IF(I398="denied","Denied",IF(K398=1,"Waitlist",IF(L398=1,"Deferred",IF(G398="pending","Pending",IF(OR(G398="initial materials submitted",G398="mid-year submitted",G398="final submitted"),"Submitted",IF(H398="interest","Interest","?")))))))</f>
        <v>0</v>
      </c>
      <c r="AM398">
        <f>IF(OR(AK398=ReachLabel,AK398=LongshotLabel,AK398=HailMaryLabel),1,0)</f>
        <v>0</v>
      </c>
      <c r="AN398">
        <f>IF(OR(AM398=1,AK398=MatchLabel),1,0)</f>
        <v>0</v>
      </c>
      <c r="AO398">
        <f>IF(OR(AK398=MatchLabel,AK398=SafetyLabel,AK398=SecureLabel,AK398=SureThingLabel),1,0)</f>
        <v>0</v>
      </c>
      <c r="AP398">
        <f>IF(OR(T398="H",T398="B"),IF(ISNUMBER(Y398),ROUND(Y398,2),0),IF(ISNUMBER(X398),ROUND(X398,2),0))</f>
        <v>0</v>
      </c>
      <c r="AQ398">
        <f>IF(AP398&gt;=U398,1,0)</f>
        <v>0</v>
      </c>
      <c r="AR398">
        <f>IF(AP398&gt;=V398,1,0)</f>
        <v>0</v>
      </c>
      <c r="AS398">
        <f>IF(AP398&lt;(U398-0.10),1,0)</f>
        <v>0</v>
      </c>
      <c r="AT398">
        <f>1-AJ398/100</f>
        <v>0</v>
      </c>
      <c r="AU398">
        <f>IF(AN398=1,AT398,1)</f>
        <v>0</v>
      </c>
      <c r="AV398">
        <f>IF(AM398=1,AT398,1)</f>
        <v>0</v>
      </c>
      <c r="AW398">
        <f>IF(AND(AQ398=1,ISNUMBER(AT398)),$AT398,1)</f>
        <v>0</v>
      </c>
      <c r="AX398">
        <f>IF(AND(AR398=1,ISNUMBER(AT398)),$AT398,1)</f>
        <v>0</v>
      </c>
      <c r="AY398">
        <f>IF(ISNUMBER(Y398),INDEX(AllCollegeMoney, MATCH(N398,AllCollegeNCES,0)),0)</f>
        <v>0</v>
      </c>
      <c r="AZ398">
        <f>IF(AND(AQ398=1,ISNUMBER(AT398),AY398=1),$AT398,1)</f>
        <v>0</v>
      </c>
      <c r="BA398">
        <f>IF(AND(AR398=1,ISNUMBER(AT398),AY398=1),$AT398,1)</f>
        <v>0</v>
      </c>
      <c r="BB398">
        <f>IF(ISNUMBER(Y398),INDEX(AllCollegeILPub, MATCH(N398,AllCollegeNCES,0)),0)</f>
        <v>0</v>
      </c>
      <c r="BC398">
        <f>IF(AK398=ReachLabel,AP398,0)</f>
        <v>0</v>
      </c>
      <c r="BD398">
        <f>IF(AK398=MatchLabel,AP398,0)</f>
        <v>0</v>
      </c>
      <c r="BE398">
        <f>IF(AK398=SafetyLabel,AP398,0)</f>
        <v>0</v>
      </c>
      <c r="BF398">
        <f>IF(AK398=SecureLabel,AP398,0)</f>
        <v>0</v>
      </c>
      <c r="BG398">
        <f>IF(AK398=SureThingLabel,AP398,0)</f>
        <v>0</v>
      </c>
      <c r="BH398">
        <f>MAX(BC398:BG398)</f>
        <v>0</v>
      </c>
      <c r="BI398">
        <f>MAX(BD398:BG398)</f>
        <v>0</v>
      </c>
      <c r="BJ398">
        <f>MAX(BE398:BG398)</f>
        <v>0</v>
      </c>
      <c r="BK398">
        <f>IF(AND(AK398=ReachLabel,AY398=1),AP398,0)</f>
        <v>0</v>
      </c>
      <c r="BL398">
        <f>IF(AND(AK398=MatchLabel,AY398=1),AP398,0)</f>
        <v>0</v>
      </c>
      <c r="BM398">
        <f>IF(AND(AK398=SafetyLabel,AY398=1),AP398,0)</f>
        <v>0</v>
      </c>
      <c r="BN398">
        <f>IF(AND(AK398=SecureLabel,AY398=1),AP398,0)</f>
        <v>0</v>
      </c>
      <c r="BO398">
        <f>IF(AND(AK398=SureThingLabel,AY398=1),AP398,0)</f>
        <v>0</v>
      </c>
      <c r="BP398">
        <f>MAX(BK398:BO398)</f>
        <v>0</v>
      </c>
      <c r="BQ398">
        <f>MAX(BL398:BO398)</f>
        <v>0</v>
      </c>
      <c r="BR398">
        <f>MAX(BM398:BO398)</f>
        <v>0</v>
      </c>
      <c r="BS398">
        <f>IF(ISNUMBER(Y398),INDEX(AllCollegeChicago, MATCH(N398,AllCollegeNCES,0))*AY398,0)</f>
        <v>0</v>
      </c>
      <c r="BT398">
        <f>IF(ISNUMBER(Y398),INDEX(AllCollegeMoneyCode, MATCH(N398,AllCollegeNCES,0)),"?")</f>
        <v>0</v>
      </c>
      <c r="BU398">
        <f>IF(OR(BT398="---",BT398="--",BT398="+/--",BT398="+/---"),1,0)</f>
        <v>0</v>
      </c>
      <c r="BV398">
        <f>AY398*AO398*AQ398</f>
        <v>0</v>
      </c>
    </row>
    <row r="399" spans="1:74">
      <c r="A399" t="s">
        <v>86</v>
      </c>
      <c r="B399">
        <v>23383224</v>
      </c>
      <c r="C399" t="s">
        <v>242</v>
      </c>
      <c r="D399" t="s">
        <v>243</v>
      </c>
      <c r="E399" t="s">
        <v>428</v>
      </c>
      <c r="F399" t="s">
        <v>468</v>
      </c>
      <c r="G399" t="s">
        <v>430</v>
      </c>
      <c r="H399" t="s">
        <v>431</v>
      </c>
      <c r="I399" t="s">
        <v>432</v>
      </c>
      <c r="J399" t="s">
        <v>432</v>
      </c>
      <c r="K399">
        <v>0</v>
      </c>
      <c r="L399" t="s">
        <v>428</v>
      </c>
      <c r="M399" t="s">
        <v>428</v>
      </c>
      <c r="N399">
        <v>212009</v>
      </c>
      <c r="O399">
        <f>INDEX(AllCollegeBarrons,MATCH(N399,AllCollegeNCES,0))</f>
        <v>0</v>
      </c>
      <c r="P399">
        <f>INDEX(KidGPAs,MATCH(B399,KidIDs,0))</f>
        <v>0</v>
      </c>
      <c r="Q399">
        <f>INDEX(KidACTs,MATCH(B399,KidIDs,0))</f>
        <v>0</v>
      </c>
      <c r="R399">
        <f>INDEX(Strats,MATCH(B399,KidIDs,0))</f>
        <v>0</v>
      </c>
      <c r="S399">
        <f>INDEX(KidRace,MATCH(B399,KidIDs,0))</f>
        <v>0</v>
      </c>
      <c r="T399">
        <f>IF(OR(S399="M",S399="I"),"H",S399)</f>
        <v>0</v>
      </c>
      <c r="U399">
        <f>INDEX(StudentTargets,MATCH(B399,KidIDs,0))</f>
        <v>0</v>
      </c>
      <c r="V399">
        <f>INDEX(ReachStudentTargets,MATCH(B399,KidIDs,0))</f>
        <v>0</v>
      </c>
      <c r="W399">
        <f>IF(OR(M399="Posse"),1,0)</f>
        <v>0</v>
      </c>
      <c r="X399">
        <f>IF(ISNUMBER(INDEX(AllCollegeGR, MATCH(N399,AllCollegeNCES,0))),ROUND(INDEX(AllCollegeGR, MATCH(N399,AllCollegeNCES,0))+W399*IF(INDEX(AllCollegeGR, MATCH(N399,AllCollegeNCES,0))&gt;0.7,(1-INDEX(AllCollegeGR, MATCH(N399,AllCollegeNCES,0)))/2,0.15),2),INDEX(AllCollegeGR, MATCH(N399,AllCollegeNCES,0)))</f>
        <v>0</v>
      </c>
      <c r="Y399">
        <f>IF(ISNUMBER(INDEX(AllCollegeAAHGR, MATCH(N399,AllCollegeNCES,0))),ROUND(INDEX(AllCollegeAAHGR, MATCH(N399,AllCollegeNCES,0))+W399*IF(INDEX(AllCollegeAAHGR, MATCH(N399,AllCollegeNCES,0))&gt;0.7,(1-INDEX(AllCollegeAAHGR, MATCH(N399,AllCollegeNCES,0)))/2,0.15),2),INDEX(AllCollegeAAHGR, MATCH(N399,AllCollegeNCES,0)))</f>
        <v>0</v>
      </c>
      <c r="Z399">
        <f>IF(OR(T399="H",T399="B"),INDEX(AllCollegeACT25, MATCH(N399,AllCollegeNCES,0)),INDEX(AllCollegeACT50, MATCH(N399,AllCollegeNCES,0)))</f>
        <v>0</v>
      </c>
      <c r="AA399">
        <f>INDEX(CustomWeightsGPA,MATCH(T399&amp;":"&amp;N399,CustomWeightsIndex,0))</f>
        <v>0</v>
      </c>
      <c r="AB399">
        <f>INDEX(CustomWeightsACT,MATCH(T399&amp;":"&amp;N399,CustomWeightsIndex,0))</f>
        <v>0</v>
      </c>
      <c r="AC399">
        <f>INDEX(CustomWeightsIntercept,MATCH(T399&amp;":"&amp;N399,CustomWeightsIndex,0))</f>
        <v>0</v>
      </c>
      <c r="AD399">
        <f>AA399*P399+AB399*Q399+AC399</f>
        <v>0</v>
      </c>
      <c r="AE399">
        <f>INDEX(CoefficientsGPA,MATCH(T399&amp;":"&amp;O399,CoefficientsIndex,0))</f>
        <v>0</v>
      </c>
      <c r="AF399">
        <f>INDEX(CoefficientsACT,MATCH(T399&amp;":"&amp;O399,CoefficientsIndex,0))</f>
        <v>0</v>
      </c>
      <c r="AG399">
        <f>INDEX(CoefficientsIntercept,MATCH(T399&amp;":"&amp;O399,CoefficientsIndex,0))</f>
        <v>0</v>
      </c>
      <c r="AH399">
        <f>AE399*P399+(Q399-Z399)*AF399+AG399</f>
        <v>0</v>
      </c>
      <c r="AI399">
        <f>IF(ISNUMBER(AD399),AD399,AH399)</f>
        <v>0</v>
      </c>
      <c r="AJ399">
        <f>IF(ISNUMBER(AI399),IF(ISNUMBER(AE399),IF(AND(AE399=1,AF399=1,AG399=1),100,ROUND(100*EXP(AI399)/(1+EXP(AI399)),2)),ROUND(100*EXP(AI399)/(1+EXP(AI399)),2)),IF(ISTEXT(O399),IF(LEFT(O399,1)="2",100,"N/A"),"N/A"))</f>
        <v>0</v>
      </c>
      <c r="AK399">
        <f>IF(ISNUMBER(AJ399),IF(AJ399&gt;=99,IF(OR(R399=10,R399=11),MatchLabel,SureThingLabel),IF(AJ399&gt;=95,SecureLabel,IF(AJ399&gt;=80,SafetyLabel,IF(AJ399&gt;=50,MatchLabel,IF(AJ399&gt;=20,ReachLabel,IF(AJ399&gt;=10,LongshotLabel,HailMaryLabel)))))),"Other")</f>
        <v>0</v>
      </c>
      <c r="AL399">
        <f>IF(OR(I399="accepted",I399="cond. accept",I399="summer admit"),IF(J399="yes","CHOICE!","Accepted!"),IF(I399="denied","Denied",IF(K399=1,"Waitlist",IF(L399=1,"Deferred",IF(G399="pending","Pending",IF(OR(G399="initial materials submitted",G399="mid-year submitted",G399="final submitted"),"Submitted",IF(H399="interest","Interest","?")))))))</f>
        <v>0</v>
      </c>
      <c r="AM399">
        <f>IF(OR(AK399=ReachLabel,AK399=LongshotLabel,AK399=HailMaryLabel),1,0)</f>
        <v>0</v>
      </c>
      <c r="AN399">
        <f>IF(OR(AM399=1,AK399=MatchLabel),1,0)</f>
        <v>0</v>
      </c>
      <c r="AO399">
        <f>IF(OR(AK399=MatchLabel,AK399=SafetyLabel,AK399=SecureLabel,AK399=SureThingLabel),1,0)</f>
        <v>0</v>
      </c>
      <c r="AP399">
        <f>IF(OR(T399="H",T399="B"),IF(ISNUMBER(Y399),ROUND(Y399,2),0),IF(ISNUMBER(X399),ROUND(X399,2),0))</f>
        <v>0</v>
      </c>
      <c r="AQ399">
        <f>IF(AP399&gt;=U399,1,0)</f>
        <v>0</v>
      </c>
      <c r="AR399">
        <f>IF(AP399&gt;=V399,1,0)</f>
        <v>0</v>
      </c>
      <c r="AS399">
        <f>IF(AP399&lt;(U399-0.10),1,0)</f>
        <v>0</v>
      </c>
      <c r="AT399">
        <f>1-AJ399/100</f>
        <v>0</v>
      </c>
      <c r="AU399">
        <f>IF(AN399=1,AT399,1)</f>
        <v>0</v>
      </c>
      <c r="AV399">
        <f>IF(AM399=1,AT399,1)</f>
        <v>0</v>
      </c>
      <c r="AW399">
        <f>IF(AND(AQ399=1,ISNUMBER(AT399)),$AT399,1)</f>
        <v>0</v>
      </c>
      <c r="AX399">
        <f>IF(AND(AR399=1,ISNUMBER(AT399)),$AT399,1)</f>
        <v>0</v>
      </c>
      <c r="AY399">
        <f>IF(ISNUMBER(Y399),INDEX(AllCollegeMoney, MATCH(N399,AllCollegeNCES,0)),0)</f>
        <v>0</v>
      </c>
      <c r="AZ399">
        <f>IF(AND(AQ399=1,ISNUMBER(AT399),AY399=1),$AT399,1)</f>
        <v>0</v>
      </c>
      <c r="BA399">
        <f>IF(AND(AR399=1,ISNUMBER(AT399),AY399=1),$AT399,1)</f>
        <v>0</v>
      </c>
      <c r="BB399">
        <f>IF(ISNUMBER(Y399),INDEX(AllCollegeILPub, MATCH(N399,AllCollegeNCES,0)),0)</f>
        <v>0</v>
      </c>
      <c r="BC399">
        <f>IF(AK399=ReachLabel,AP399,0)</f>
        <v>0</v>
      </c>
      <c r="BD399">
        <f>IF(AK399=MatchLabel,AP399,0)</f>
        <v>0</v>
      </c>
      <c r="BE399">
        <f>IF(AK399=SafetyLabel,AP399,0)</f>
        <v>0</v>
      </c>
      <c r="BF399">
        <f>IF(AK399=SecureLabel,AP399,0)</f>
        <v>0</v>
      </c>
      <c r="BG399">
        <f>IF(AK399=SureThingLabel,AP399,0)</f>
        <v>0</v>
      </c>
      <c r="BH399">
        <f>MAX(BC399:BG399)</f>
        <v>0</v>
      </c>
      <c r="BI399">
        <f>MAX(BD399:BG399)</f>
        <v>0</v>
      </c>
      <c r="BJ399">
        <f>MAX(BE399:BG399)</f>
        <v>0</v>
      </c>
      <c r="BK399">
        <f>IF(AND(AK399=ReachLabel,AY399=1),AP399,0)</f>
        <v>0</v>
      </c>
      <c r="BL399">
        <f>IF(AND(AK399=MatchLabel,AY399=1),AP399,0)</f>
        <v>0</v>
      </c>
      <c r="BM399">
        <f>IF(AND(AK399=SafetyLabel,AY399=1),AP399,0)</f>
        <v>0</v>
      </c>
      <c r="BN399">
        <f>IF(AND(AK399=SecureLabel,AY399=1),AP399,0)</f>
        <v>0</v>
      </c>
      <c r="BO399">
        <f>IF(AND(AK399=SureThingLabel,AY399=1),AP399,0)</f>
        <v>0</v>
      </c>
      <c r="BP399">
        <f>MAX(BK399:BO399)</f>
        <v>0</v>
      </c>
      <c r="BQ399">
        <f>MAX(BL399:BO399)</f>
        <v>0</v>
      </c>
      <c r="BR399">
        <f>MAX(BM399:BO399)</f>
        <v>0</v>
      </c>
      <c r="BS399">
        <f>IF(ISNUMBER(Y399),INDEX(AllCollegeChicago, MATCH(N399,AllCollegeNCES,0))*AY399,0)</f>
        <v>0</v>
      </c>
      <c r="BT399">
        <f>IF(ISNUMBER(Y399),INDEX(AllCollegeMoneyCode, MATCH(N399,AllCollegeNCES,0)),"?")</f>
        <v>0</v>
      </c>
      <c r="BU399">
        <f>IF(OR(BT399="---",BT399="--",BT399="+/--",BT399="+/---"),1,0)</f>
        <v>0</v>
      </c>
      <c r="BV399">
        <f>AY399*AO399*AQ399</f>
        <v>0</v>
      </c>
    </row>
    <row r="400" spans="1:74">
      <c r="A400" t="s">
        <v>86</v>
      </c>
      <c r="B400">
        <v>23383224</v>
      </c>
      <c r="C400" t="s">
        <v>242</v>
      </c>
      <c r="D400" t="s">
        <v>243</v>
      </c>
      <c r="E400" t="s">
        <v>428</v>
      </c>
      <c r="F400" t="s">
        <v>455</v>
      </c>
      <c r="G400" t="s">
        <v>430</v>
      </c>
      <c r="H400" t="s">
        <v>431</v>
      </c>
      <c r="I400" t="s">
        <v>432</v>
      </c>
      <c r="J400" t="s">
        <v>432</v>
      </c>
      <c r="K400">
        <v>0</v>
      </c>
      <c r="L400" t="s">
        <v>428</v>
      </c>
      <c r="M400" t="s">
        <v>428</v>
      </c>
      <c r="N400">
        <v>240444</v>
      </c>
      <c r="O400">
        <f>INDEX(AllCollegeBarrons,MATCH(N400,AllCollegeNCES,0))</f>
        <v>0</v>
      </c>
      <c r="P400">
        <f>INDEX(KidGPAs,MATCH(B400,KidIDs,0))</f>
        <v>0</v>
      </c>
      <c r="Q400">
        <f>INDEX(KidACTs,MATCH(B400,KidIDs,0))</f>
        <v>0</v>
      </c>
      <c r="R400">
        <f>INDEX(Strats,MATCH(B400,KidIDs,0))</f>
        <v>0</v>
      </c>
      <c r="S400">
        <f>INDEX(KidRace,MATCH(B400,KidIDs,0))</f>
        <v>0</v>
      </c>
      <c r="T400">
        <f>IF(OR(S400="M",S400="I"),"H",S400)</f>
        <v>0</v>
      </c>
      <c r="U400">
        <f>INDEX(StudentTargets,MATCH(B400,KidIDs,0))</f>
        <v>0</v>
      </c>
      <c r="V400">
        <f>INDEX(ReachStudentTargets,MATCH(B400,KidIDs,0))</f>
        <v>0</v>
      </c>
      <c r="W400">
        <f>IF(OR(M400="Posse"),1,0)</f>
        <v>0</v>
      </c>
      <c r="X400">
        <f>IF(ISNUMBER(INDEX(AllCollegeGR, MATCH(N400,AllCollegeNCES,0))),ROUND(INDEX(AllCollegeGR, MATCH(N400,AllCollegeNCES,0))+W400*IF(INDEX(AllCollegeGR, MATCH(N400,AllCollegeNCES,0))&gt;0.7,(1-INDEX(AllCollegeGR, MATCH(N400,AllCollegeNCES,0)))/2,0.15),2),INDEX(AllCollegeGR, MATCH(N400,AllCollegeNCES,0)))</f>
        <v>0</v>
      </c>
      <c r="Y400">
        <f>IF(ISNUMBER(INDEX(AllCollegeAAHGR, MATCH(N400,AllCollegeNCES,0))),ROUND(INDEX(AllCollegeAAHGR, MATCH(N400,AllCollegeNCES,0))+W400*IF(INDEX(AllCollegeAAHGR, MATCH(N400,AllCollegeNCES,0))&gt;0.7,(1-INDEX(AllCollegeAAHGR, MATCH(N400,AllCollegeNCES,0)))/2,0.15),2),INDEX(AllCollegeAAHGR, MATCH(N400,AllCollegeNCES,0)))</f>
        <v>0</v>
      </c>
      <c r="Z400">
        <f>IF(OR(T400="H",T400="B"),INDEX(AllCollegeACT25, MATCH(N400,AllCollegeNCES,0)),INDEX(AllCollegeACT50, MATCH(N400,AllCollegeNCES,0)))</f>
        <v>0</v>
      </c>
      <c r="AA400">
        <f>INDEX(CustomWeightsGPA,MATCH(T400&amp;":"&amp;N400,CustomWeightsIndex,0))</f>
        <v>0</v>
      </c>
      <c r="AB400">
        <f>INDEX(CustomWeightsACT,MATCH(T400&amp;":"&amp;N400,CustomWeightsIndex,0))</f>
        <v>0</v>
      </c>
      <c r="AC400">
        <f>INDEX(CustomWeightsIntercept,MATCH(T400&amp;":"&amp;N400,CustomWeightsIndex,0))</f>
        <v>0</v>
      </c>
      <c r="AD400">
        <f>AA400*P400+AB400*Q400+AC400</f>
        <v>0</v>
      </c>
      <c r="AE400">
        <f>INDEX(CoefficientsGPA,MATCH(T400&amp;":"&amp;O400,CoefficientsIndex,0))</f>
        <v>0</v>
      </c>
      <c r="AF400">
        <f>INDEX(CoefficientsACT,MATCH(T400&amp;":"&amp;O400,CoefficientsIndex,0))</f>
        <v>0</v>
      </c>
      <c r="AG400">
        <f>INDEX(CoefficientsIntercept,MATCH(T400&amp;":"&amp;O400,CoefficientsIndex,0))</f>
        <v>0</v>
      </c>
      <c r="AH400">
        <f>AE400*P400+(Q400-Z400)*AF400+AG400</f>
        <v>0</v>
      </c>
      <c r="AI400">
        <f>IF(ISNUMBER(AD400),AD400,AH400)</f>
        <v>0</v>
      </c>
      <c r="AJ400">
        <f>IF(ISNUMBER(AI400),IF(ISNUMBER(AE400),IF(AND(AE400=1,AF400=1,AG400=1),100,ROUND(100*EXP(AI400)/(1+EXP(AI400)),2)),ROUND(100*EXP(AI400)/(1+EXP(AI400)),2)),IF(ISTEXT(O400),IF(LEFT(O400,1)="2",100,"N/A"),"N/A"))</f>
        <v>0</v>
      </c>
      <c r="AK400">
        <f>IF(ISNUMBER(AJ400),IF(AJ400&gt;=99,IF(OR(R400=10,R400=11),MatchLabel,SureThingLabel),IF(AJ400&gt;=95,SecureLabel,IF(AJ400&gt;=80,SafetyLabel,IF(AJ400&gt;=50,MatchLabel,IF(AJ400&gt;=20,ReachLabel,IF(AJ400&gt;=10,LongshotLabel,HailMaryLabel)))))),"Other")</f>
        <v>0</v>
      </c>
      <c r="AL400">
        <f>IF(OR(I400="accepted",I400="cond. accept",I400="summer admit"),IF(J400="yes","CHOICE!","Accepted!"),IF(I400="denied","Denied",IF(K400=1,"Waitlist",IF(L400=1,"Deferred",IF(G400="pending","Pending",IF(OR(G400="initial materials submitted",G400="mid-year submitted",G400="final submitted"),"Submitted",IF(H400="interest","Interest","?")))))))</f>
        <v>0</v>
      </c>
      <c r="AM400">
        <f>IF(OR(AK400=ReachLabel,AK400=LongshotLabel,AK400=HailMaryLabel),1,0)</f>
        <v>0</v>
      </c>
      <c r="AN400">
        <f>IF(OR(AM400=1,AK400=MatchLabel),1,0)</f>
        <v>0</v>
      </c>
      <c r="AO400">
        <f>IF(OR(AK400=MatchLabel,AK400=SafetyLabel,AK400=SecureLabel,AK400=SureThingLabel),1,0)</f>
        <v>0</v>
      </c>
      <c r="AP400">
        <f>IF(OR(T400="H",T400="B"),IF(ISNUMBER(Y400),ROUND(Y400,2),0),IF(ISNUMBER(X400),ROUND(X400,2),0))</f>
        <v>0</v>
      </c>
      <c r="AQ400">
        <f>IF(AP400&gt;=U400,1,0)</f>
        <v>0</v>
      </c>
      <c r="AR400">
        <f>IF(AP400&gt;=V400,1,0)</f>
        <v>0</v>
      </c>
      <c r="AS400">
        <f>IF(AP400&lt;(U400-0.10),1,0)</f>
        <v>0</v>
      </c>
      <c r="AT400">
        <f>1-AJ400/100</f>
        <v>0</v>
      </c>
      <c r="AU400">
        <f>IF(AN400=1,AT400,1)</f>
        <v>0</v>
      </c>
      <c r="AV400">
        <f>IF(AM400=1,AT400,1)</f>
        <v>0</v>
      </c>
      <c r="AW400">
        <f>IF(AND(AQ400=1,ISNUMBER(AT400)),$AT400,1)</f>
        <v>0</v>
      </c>
      <c r="AX400">
        <f>IF(AND(AR400=1,ISNUMBER(AT400)),$AT400,1)</f>
        <v>0</v>
      </c>
      <c r="AY400">
        <f>IF(ISNUMBER(Y400),INDEX(AllCollegeMoney, MATCH(N400,AllCollegeNCES,0)),0)</f>
        <v>0</v>
      </c>
      <c r="AZ400">
        <f>IF(AND(AQ400=1,ISNUMBER(AT400),AY400=1),$AT400,1)</f>
        <v>0</v>
      </c>
      <c r="BA400">
        <f>IF(AND(AR400=1,ISNUMBER(AT400),AY400=1),$AT400,1)</f>
        <v>0</v>
      </c>
      <c r="BB400">
        <f>IF(ISNUMBER(Y400),INDEX(AllCollegeILPub, MATCH(N400,AllCollegeNCES,0)),0)</f>
        <v>0</v>
      </c>
      <c r="BC400">
        <f>IF(AK400=ReachLabel,AP400,0)</f>
        <v>0</v>
      </c>
      <c r="BD400">
        <f>IF(AK400=MatchLabel,AP400,0)</f>
        <v>0</v>
      </c>
      <c r="BE400">
        <f>IF(AK400=SafetyLabel,AP400,0)</f>
        <v>0</v>
      </c>
      <c r="BF400">
        <f>IF(AK400=SecureLabel,AP400,0)</f>
        <v>0</v>
      </c>
      <c r="BG400">
        <f>IF(AK400=SureThingLabel,AP400,0)</f>
        <v>0</v>
      </c>
      <c r="BH400">
        <f>MAX(BC400:BG400)</f>
        <v>0</v>
      </c>
      <c r="BI400">
        <f>MAX(BD400:BG400)</f>
        <v>0</v>
      </c>
      <c r="BJ400">
        <f>MAX(BE400:BG400)</f>
        <v>0</v>
      </c>
      <c r="BK400">
        <f>IF(AND(AK400=ReachLabel,AY400=1),AP400,0)</f>
        <v>0</v>
      </c>
      <c r="BL400">
        <f>IF(AND(AK400=MatchLabel,AY400=1),AP400,0)</f>
        <v>0</v>
      </c>
      <c r="BM400">
        <f>IF(AND(AK400=SafetyLabel,AY400=1),AP400,0)</f>
        <v>0</v>
      </c>
      <c r="BN400">
        <f>IF(AND(AK400=SecureLabel,AY400=1),AP400,0)</f>
        <v>0</v>
      </c>
      <c r="BO400">
        <f>IF(AND(AK400=SureThingLabel,AY400=1),AP400,0)</f>
        <v>0</v>
      </c>
      <c r="BP400">
        <f>MAX(BK400:BO400)</f>
        <v>0</v>
      </c>
      <c r="BQ400">
        <f>MAX(BL400:BO400)</f>
        <v>0</v>
      </c>
      <c r="BR400">
        <f>MAX(BM400:BO400)</f>
        <v>0</v>
      </c>
      <c r="BS400">
        <f>IF(ISNUMBER(Y400),INDEX(AllCollegeChicago, MATCH(N400,AllCollegeNCES,0))*AY400,0)</f>
        <v>0</v>
      </c>
      <c r="BT400">
        <f>IF(ISNUMBER(Y400),INDEX(AllCollegeMoneyCode, MATCH(N400,AllCollegeNCES,0)),"?")</f>
        <v>0</v>
      </c>
      <c r="BU400">
        <f>IF(OR(BT400="---",BT400="--",BT400="+/--",BT400="+/---"),1,0)</f>
        <v>0</v>
      </c>
      <c r="BV400">
        <f>AY400*AO400*AQ400</f>
        <v>0</v>
      </c>
    </row>
    <row r="401" spans="1:74">
      <c r="A401" t="s">
        <v>86</v>
      </c>
      <c r="B401">
        <v>23383224</v>
      </c>
      <c r="C401" t="s">
        <v>242</v>
      </c>
      <c r="D401" t="s">
        <v>243</v>
      </c>
      <c r="E401" t="s">
        <v>428</v>
      </c>
      <c r="F401" t="s">
        <v>457</v>
      </c>
      <c r="G401" t="s">
        <v>430</v>
      </c>
      <c r="H401" t="s">
        <v>431</v>
      </c>
      <c r="I401" t="s">
        <v>432</v>
      </c>
      <c r="J401" t="s">
        <v>432</v>
      </c>
      <c r="K401">
        <v>0</v>
      </c>
      <c r="L401" t="s">
        <v>428</v>
      </c>
      <c r="M401" t="s">
        <v>428</v>
      </c>
      <c r="N401">
        <v>145637</v>
      </c>
      <c r="O401">
        <f>INDEX(AllCollegeBarrons,MATCH(N401,AllCollegeNCES,0))</f>
        <v>0</v>
      </c>
      <c r="P401">
        <f>INDEX(KidGPAs,MATCH(B401,KidIDs,0))</f>
        <v>0</v>
      </c>
      <c r="Q401">
        <f>INDEX(KidACTs,MATCH(B401,KidIDs,0))</f>
        <v>0</v>
      </c>
      <c r="R401">
        <f>INDEX(Strats,MATCH(B401,KidIDs,0))</f>
        <v>0</v>
      </c>
      <c r="S401">
        <f>INDEX(KidRace,MATCH(B401,KidIDs,0))</f>
        <v>0</v>
      </c>
      <c r="T401">
        <f>IF(OR(S401="M",S401="I"),"H",S401)</f>
        <v>0</v>
      </c>
      <c r="U401">
        <f>INDEX(StudentTargets,MATCH(B401,KidIDs,0))</f>
        <v>0</v>
      </c>
      <c r="V401">
        <f>INDEX(ReachStudentTargets,MATCH(B401,KidIDs,0))</f>
        <v>0</v>
      </c>
      <c r="W401">
        <f>IF(OR(M401="Posse"),1,0)</f>
        <v>0</v>
      </c>
      <c r="X401">
        <f>IF(ISNUMBER(INDEX(AllCollegeGR, MATCH(N401,AllCollegeNCES,0))),ROUND(INDEX(AllCollegeGR, MATCH(N401,AllCollegeNCES,0))+W401*IF(INDEX(AllCollegeGR, MATCH(N401,AllCollegeNCES,0))&gt;0.7,(1-INDEX(AllCollegeGR, MATCH(N401,AllCollegeNCES,0)))/2,0.15),2),INDEX(AllCollegeGR, MATCH(N401,AllCollegeNCES,0)))</f>
        <v>0</v>
      </c>
      <c r="Y401">
        <f>IF(ISNUMBER(INDEX(AllCollegeAAHGR, MATCH(N401,AllCollegeNCES,0))),ROUND(INDEX(AllCollegeAAHGR, MATCH(N401,AllCollegeNCES,0))+W401*IF(INDEX(AllCollegeAAHGR, MATCH(N401,AllCollegeNCES,0))&gt;0.7,(1-INDEX(AllCollegeAAHGR, MATCH(N401,AllCollegeNCES,0)))/2,0.15),2),INDEX(AllCollegeAAHGR, MATCH(N401,AllCollegeNCES,0)))</f>
        <v>0</v>
      </c>
      <c r="Z401">
        <f>IF(OR(T401="H",T401="B"),INDEX(AllCollegeACT25, MATCH(N401,AllCollegeNCES,0)),INDEX(AllCollegeACT50, MATCH(N401,AllCollegeNCES,0)))</f>
        <v>0</v>
      </c>
      <c r="AA401">
        <f>INDEX(CustomWeightsGPA,MATCH(T401&amp;":"&amp;N401,CustomWeightsIndex,0))</f>
        <v>0</v>
      </c>
      <c r="AB401">
        <f>INDEX(CustomWeightsACT,MATCH(T401&amp;":"&amp;N401,CustomWeightsIndex,0))</f>
        <v>0</v>
      </c>
      <c r="AC401">
        <f>INDEX(CustomWeightsIntercept,MATCH(T401&amp;":"&amp;N401,CustomWeightsIndex,0))</f>
        <v>0</v>
      </c>
      <c r="AD401">
        <f>AA401*P401+AB401*Q401+AC401</f>
        <v>0</v>
      </c>
      <c r="AE401">
        <f>INDEX(CoefficientsGPA,MATCH(T401&amp;":"&amp;O401,CoefficientsIndex,0))</f>
        <v>0</v>
      </c>
      <c r="AF401">
        <f>INDEX(CoefficientsACT,MATCH(T401&amp;":"&amp;O401,CoefficientsIndex,0))</f>
        <v>0</v>
      </c>
      <c r="AG401">
        <f>INDEX(CoefficientsIntercept,MATCH(T401&amp;":"&amp;O401,CoefficientsIndex,0))</f>
        <v>0</v>
      </c>
      <c r="AH401">
        <f>AE401*P401+(Q401-Z401)*AF401+AG401</f>
        <v>0</v>
      </c>
      <c r="AI401">
        <f>IF(ISNUMBER(AD401),AD401,AH401)</f>
        <v>0</v>
      </c>
      <c r="AJ401">
        <f>IF(ISNUMBER(AI401),IF(ISNUMBER(AE401),IF(AND(AE401=1,AF401=1,AG401=1),100,ROUND(100*EXP(AI401)/(1+EXP(AI401)),2)),ROUND(100*EXP(AI401)/(1+EXP(AI401)),2)),IF(ISTEXT(O401),IF(LEFT(O401,1)="2",100,"N/A"),"N/A"))</f>
        <v>0</v>
      </c>
      <c r="AK401">
        <f>IF(ISNUMBER(AJ401),IF(AJ401&gt;=99,IF(OR(R401=10,R401=11),MatchLabel,SureThingLabel),IF(AJ401&gt;=95,SecureLabel,IF(AJ401&gt;=80,SafetyLabel,IF(AJ401&gt;=50,MatchLabel,IF(AJ401&gt;=20,ReachLabel,IF(AJ401&gt;=10,LongshotLabel,HailMaryLabel)))))),"Other")</f>
        <v>0</v>
      </c>
      <c r="AL401">
        <f>IF(OR(I401="accepted",I401="cond. accept",I401="summer admit"),IF(J401="yes","CHOICE!","Accepted!"),IF(I401="denied","Denied",IF(K401=1,"Waitlist",IF(L401=1,"Deferred",IF(G401="pending","Pending",IF(OR(G401="initial materials submitted",G401="mid-year submitted",G401="final submitted"),"Submitted",IF(H401="interest","Interest","?")))))))</f>
        <v>0</v>
      </c>
      <c r="AM401">
        <f>IF(OR(AK401=ReachLabel,AK401=LongshotLabel,AK401=HailMaryLabel),1,0)</f>
        <v>0</v>
      </c>
      <c r="AN401">
        <f>IF(OR(AM401=1,AK401=MatchLabel),1,0)</f>
        <v>0</v>
      </c>
      <c r="AO401">
        <f>IF(OR(AK401=MatchLabel,AK401=SafetyLabel,AK401=SecureLabel,AK401=SureThingLabel),1,0)</f>
        <v>0</v>
      </c>
      <c r="AP401">
        <f>IF(OR(T401="H",T401="B"),IF(ISNUMBER(Y401),ROUND(Y401,2),0),IF(ISNUMBER(X401),ROUND(X401,2),0))</f>
        <v>0</v>
      </c>
      <c r="AQ401">
        <f>IF(AP401&gt;=U401,1,0)</f>
        <v>0</v>
      </c>
      <c r="AR401">
        <f>IF(AP401&gt;=V401,1,0)</f>
        <v>0</v>
      </c>
      <c r="AS401">
        <f>IF(AP401&lt;(U401-0.10),1,0)</f>
        <v>0</v>
      </c>
      <c r="AT401">
        <f>1-AJ401/100</f>
        <v>0</v>
      </c>
      <c r="AU401">
        <f>IF(AN401=1,AT401,1)</f>
        <v>0</v>
      </c>
      <c r="AV401">
        <f>IF(AM401=1,AT401,1)</f>
        <v>0</v>
      </c>
      <c r="AW401">
        <f>IF(AND(AQ401=1,ISNUMBER(AT401)),$AT401,1)</f>
        <v>0</v>
      </c>
      <c r="AX401">
        <f>IF(AND(AR401=1,ISNUMBER(AT401)),$AT401,1)</f>
        <v>0</v>
      </c>
      <c r="AY401">
        <f>IF(ISNUMBER(Y401),INDEX(AllCollegeMoney, MATCH(N401,AllCollegeNCES,0)),0)</f>
        <v>0</v>
      </c>
      <c r="AZ401">
        <f>IF(AND(AQ401=1,ISNUMBER(AT401),AY401=1),$AT401,1)</f>
        <v>0</v>
      </c>
      <c r="BA401">
        <f>IF(AND(AR401=1,ISNUMBER(AT401),AY401=1),$AT401,1)</f>
        <v>0</v>
      </c>
      <c r="BB401">
        <f>IF(ISNUMBER(Y401),INDEX(AllCollegeILPub, MATCH(N401,AllCollegeNCES,0)),0)</f>
        <v>0</v>
      </c>
      <c r="BC401">
        <f>IF(AK401=ReachLabel,AP401,0)</f>
        <v>0</v>
      </c>
      <c r="BD401">
        <f>IF(AK401=MatchLabel,AP401,0)</f>
        <v>0</v>
      </c>
      <c r="BE401">
        <f>IF(AK401=SafetyLabel,AP401,0)</f>
        <v>0</v>
      </c>
      <c r="BF401">
        <f>IF(AK401=SecureLabel,AP401,0)</f>
        <v>0</v>
      </c>
      <c r="BG401">
        <f>IF(AK401=SureThingLabel,AP401,0)</f>
        <v>0</v>
      </c>
      <c r="BH401">
        <f>MAX(BC401:BG401)</f>
        <v>0</v>
      </c>
      <c r="BI401">
        <f>MAX(BD401:BG401)</f>
        <v>0</v>
      </c>
      <c r="BJ401">
        <f>MAX(BE401:BG401)</f>
        <v>0</v>
      </c>
      <c r="BK401">
        <f>IF(AND(AK401=ReachLabel,AY401=1),AP401,0)</f>
        <v>0</v>
      </c>
      <c r="BL401">
        <f>IF(AND(AK401=MatchLabel,AY401=1),AP401,0)</f>
        <v>0</v>
      </c>
      <c r="BM401">
        <f>IF(AND(AK401=SafetyLabel,AY401=1),AP401,0)</f>
        <v>0</v>
      </c>
      <c r="BN401">
        <f>IF(AND(AK401=SecureLabel,AY401=1),AP401,0)</f>
        <v>0</v>
      </c>
      <c r="BO401">
        <f>IF(AND(AK401=SureThingLabel,AY401=1),AP401,0)</f>
        <v>0</v>
      </c>
      <c r="BP401">
        <f>MAX(BK401:BO401)</f>
        <v>0</v>
      </c>
      <c r="BQ401">
        <f>MAX(BL401:BO401)</f>
        <v>0</v>
      </c>
      <c r="BR401">
        <f>MAX(BM401:BO401)</f>
        <v>0</v>
      </c>
      <c r="BS401">
        <f>IF(ISNUMBER(Y401),INDEX(AllCollegeChicago, MATCH(N401,AllCollegeNCES,0))*AY401,0)</f>
        <v>0</v>
      </c>
      <c r="BT401">
        <f>IF(ISNUMBER(Y401),INDEX(AllCollegeMoneyCode, MATCH(N401,AllCollegeNCES,0)),"?")</f>
        <v>0</v>
      </c>
      <c r="BU401">
        <f>IF(OR(BT401="---",BT401="--",BT401="+/--",BT401="+/---"),1,0)</f>
        <v>0</v>
      </c>
      <c r="BV401">
        <f>AY401*AO401*AQ401</f>
        <v>0</v>
      </c>
    </row>
    <row r="402" spans="1:74">
      <c r="A402" t="s">
        <v>86</v>
      </c>
      <c r="B402">
        <v>23383224</v>
      </c>
      <c r="C402" t="s">
        <v>242</v>
      </c>
      <c r="D402" t="s">
        <v>243</v>
      </c>
      <c r="E402" t="s">
        <v>428</v>
      </c>
      <c r="F402" t="s">
        <v>458</v>
      </c>
      <c r="G402" t="s">
        <v>430</v>
      </c>
      <c r="H402" t="s">
        <v>431</v>
      </c>
      <c r="I402" t="s">
        <v>432</v>
      </c>
      <c r="J402" t="s">
        <v>432</v>
      </c>
      <c r="K402">
        <v>0</v>
      </c>
      <c r="L402" t="s">
        <v>428</v>
      </c>
      <c r="M402" t="s">
        <v>428</v>
      </c>
      <c r="N402">
        <v>202523</v>
      </c>
      <c r="O402">
        <f>INDEX(AllCollegeBarrons,MATCH(N402,AllCollegeNCES,0))</f>
        <v>0</v>
      </c>
      <c r="P402">
        <f>INDEX(KidGPAs,MATCH(B402,KidIDs,0))</f>
        <v>0</v>
      </c>
      <c r="Q402">
        <f>INDEX(KidACTs,MATCH(B402,KidIDs,0))</f>
        <v>0</v>
      </c>
      <c r="R402">
        <f>INDEX(Strats,MATCH(B402,KidIDs,0))</f>
        <v>0</v>
      </c>
      <c r="S402">
        <f>INDEX(KidRace,MATCH(B402,KidIDs,0))</f>
        <v>0</v>
      </c>
      <c r="T402">
        <f>IF(OR(S402="M",S402="I"),"H",S402)</f>
        <v>0</v>
      </c>
      <c r="U402">
        <f>INDEX(StudentTargets,MATCH(B402,KidIDs,0))</f>
        <v>0</v>
      </c>
      <c r="V402">
        <f>INDEX(ReachStudentTargets,MATCH(B402,KidIDs,0))</f>
        <v>0</v>
      </c>
      <c r="W402">
        <f>IF(OR(M402="Posse"),1,0)</f>
        <v>0</v>
      </c>
      <c r="X402">
        <f>IF(ISNUMBER(INDEX(AllCollegeGR, MATCH(N402,AllCollegeNCES,0))),ROUND(INDEX(AllCollegeGR, MATCH(N402,AllCollegeNCES,0))+W402*IF(INDEX(AllCollegeGR, MATCH(N402,AllCollegeNCES,0))&gt;0.7,(1-INDEX(AllCollegeGR, MATCH(N402,AllCollegeNCES,0)))/2,0.15),2),INDEX(AllCollegeGR, MATCH(N402,AllCollegeNCES,0)))</f>
        <v>0</v>
      </c>
      <c r="Y402">
        <f>IF(ISNUMBER(INDEX(AllCollegeAAHGR, MATCH(N402,AllCollegeNCES,0))),ROUND(INDEX(AllCollegeAAHGR, MATCH(N402,AllCollegeNCES,0))+W402*IF(INDEX(AllCollegeAAHGR, MATCH(N402,AllCollegeNCES,0))&gt;0.7,(1-INDEX(AllCollegeAAHGR, MATCH(N402,AllCollegeNCES,0)))/2,0.15),2),INDEX(AllCollegeAAHGR, MATCH(N402,AllCollegeNCES,0)))</f>
        <v>0</v>
      </c>
      <c r="Z402">
        <f>IF(OR(T402="H",T402="B"),INDEX(AllCollegeACT25, MATCH(N402,AllCollegeNCES,0)),INDEX(AllCollegeACT50, MATCH(N402,AllCollegeNCES,0)))</f>
        <v>0</v>
      </c>
      <c r="AA402">
        <f>INDEX(CustomWeightsGPA,MATCH(T402&amp;":"&amp;N402,CustomWeightsIndex,0))</f>
        <v>0</v>
      </c>
      <c r="AB402">
        <f>INDEX(CustomWeightsACT,MATCH(T402&amp;":"&amp;N402,CustomWeightsIndex,0))</f>
        <v>0</v>
      </c>
      <c r="AC402">
        <f>INDEX(CustomWeightsIntercept,MATCH(T402&amp;":"&amp;N402,CustomWeightsIndex,0))</f>
        <v>0</v>
      </c>
      <c r="AD402">
        <f>AA402*P402+AB402*Q402+AC402</f>
        <v>0</v>
      </c>
      <c r="AE402">
        <f>INDEX(CoefficientsGPA,MATCH(T402&amp;":"&amp;O402,CoefficientsIndex,0))</f>
        <v>0</v>
      </c>
      <c r="AF402">
        <f>INDEX(CoefficientsACT,MATCH(T402&amp;":"&amp;O402,CoefficientsIndex,0))</f>
        <v>0</v>
      </c>
      <c r="AG402">
        <f>INDEX(CoefficientsIntercept,MATCH(T402&amp;":"&amp;O402,CoefficientsIndex,0))</f>
        <v>0</v>
      </c>
      <c r="AH402">
        <f>AE402*P402+(Q402-Z402)*AF402+AG402</f>
        <v>0</v>
      </c>
      <c r="AI402">
        <f>IF(ISNUMBER(AD402),AD402,AH402)</f>
        <v>0</v>
      </c>
      <c r="AJ402">
        <f>IF(ISNUMBER(AI402),IF(ISNUMBER(AE402),IF(AND(AE402=1,AF402=1,AG402=1),100,ROUND(100*EXP(AI402)/(1+EXP(AI402)),2)),ROUND(100*EXP(AI402)/(1+EXP(AI402)),2)),IF(ISTEXT(O402),IF(LEFT(O402,1)="2",100,"N/A"),"N/A"))</f>
        <v>0</v>
      </c>
      <c r="AK402">
        <f>IF(ISNUMBER(AJ402),IF(AJ402&gt;=99,IF(OR(R402=10,R402=11),MatchLabel,SureThingLabel),IF(AJ402&gt;=95,SecureLabel,IF(AJ402&gt;=80,SafetyLabel,IF(AJ402&gt;=50,MatchLabel,IF(AJ402&gt;=20,ReachLabel,IF(AJ402&gt;=10,LongshotLabel,HailMaryLabel)))))),"Other")</f>
        <v>0</v>
      </c>
      <c r="AL402">
        <f>IF(OR(I402="accepted",I402="cond. accept",I402="summer admit"),IF(J402="yes","CHOICE!","Accepted!"),IF(I402="denied","Denied",IF(K402=1,"Waitlist",IF(L402=1,"Deferred",IF(G402="pending","Pending",IF(OR(G402="initial materials submitted",G402="mid-year submitted",G402="final submitted"),"Submitted",IF(H402="interest","Interest","?")))))))</f>
        <v>0</v>
      </c>
      <c r="AM402">
        <f>IF(OR(AK402=ReachLabel,AK402=LongshotLabel,AK402=HailMaryLabel),1,0)</f>
        <v>0</v>
      </c>
      <c r="AN402">
        <f>IF(OR(AM402=1,AK402=MatchLabel),1,0)</f>
        <v>0</v>
      </c>
      <c r="AO402">
        <f>IF(OR(AK402=MatchLabel,AK402=SafetyLabel,AK402=SecureLabel,AK402=SureThingLabel),1,0)</f>
        <v>0</v>
      </c>
      <c r="AP402">
        <f>IF(OR(T402="H",T402="B"),IF(ISNUMBER(Y402),ROUND(Y402,2),0),IF(ISNUMBER(X402),ROUND(X402,2),0))</f>
        <v>0</v>
      </c>
      <c r="AQ402">
        <f>IF(AP402&gt;=U402,1,0)</f>
        <v>0</v>
      </c>
      <c r="AR402">
        <f>IF(AP402&gt;=V402,1,0)</f>
        <v>0</v>
      </c>
      <c r="AS402">
        <f>IF(AP402&lt;(U402-0.10),1,0)</f>
        <v>0</v>
      </c>
      <c r="AT402">
        <f>1-AJ402/100</f>
        <v>0</v>
      </c>
      <c r="AU402">
        <f>IF(AN402=1,AT402,1)</f>
        <v>0</v>
      </c>
      <c r="AV402">
        <f>IF(AM402=1,AT402,1)</f>
        <v>0</v>
      </c>
      <c r="AW402">
        <f>IF(AND(AQ402=1,ISNUMBER(AT402)),$AT402,1)</f>
        <v>0</v>
      </c>
      <c r="AX402">
        <f>IF(AND(AR402=1,ISNUMBER(AT402)),$AT402,1)</f>
        <v>0</v>
      </c>
      <c r="AY402">
        <f>IF(ISNUMBER(Y402),INDEX(AllCollegeMoney, MATCH(N402,AllCollegeNCES,0)),0)</f>
        <v>0</v>
      </c>
      <c r="AZ402">
        <f>IF(AND(AQ402=1,ISNUMBER(AT402),AY402=1),$AT402,1)</f>
        <v>0</v>
      </c>
      <c r="BA402">
        <f>IF(AND(AR402=1,ISNUMBER(AT402),AY402=1),$AT402,1)</f>
        <v>0</v>
      </c>
      <c r="BB402">
        <f>IF(ISNUMBER(Y402),INDEX(AllCollegeILPub, MATCH(N402,AllCollegeNCES,0)),0)</f>
        <v>0</v>
      </c>
      <c r="BC402">
        <f>IF(AK402=ReachLabel,AP402,0)</f>
        <v>0</v>
      </c>
      <c r="BD402">
        <f>IF(AK402=MatchLabel,AP402,0)</f>
        <v>0</v>
      </c>
      <c r="BE402">
        <f>IF(AK402=SafetyLabel,AP402,0)</f>
        <v>0</v>
      </c>
      <c r="BF402">
        <f>IF(AK402=SecureLabel,AP402,0)</f>
        <v>0</v>
      </c>
      <c r="BG402">
        <f>IF(AK402=SureThingLabel,AP402,0)</f>
        <v>0</v>
      </c>
      <c r="BH402">
        <f>MAX(BC402:BG402)</f>
        <v>0</v>
      </c>
      <c r="BI402">
        <f>MAX(BD402:BG402)</f>
        <v>0</v>
      </c>
      <c r="BJ402">
        <f>MAX(BE402:BG402)</f>
        <v>0</v>
      </c>
      <c r="BK402">
        <f>IF(AND(AK402=ReachLabel,AY402=1),AP402,0)</f>
        <v>0</v>
      </c>
      <c r="BL402">
        <f>IF(AND(AK402=MatchLabel,AY402=1),AP402,0)</f>
        <v>0</v>
      </c>
      <c r="BM402">
        <f>IF(AND(AK402=SafetyLabel,AY402=1),AP402,0)</f>
        <v>0</v>
      </c>
      <c r="BN402">
        <f>IF(AND(AK402=SecureLabel,AY402=1),AP402,0)</f>
        <v>0</v>
      </c>
      <c r="BO402">
        <f>IF(AND(AK402=SureThingLabel,AY402=1),AP402,0)</f>
        <v>0</v>
      </c>
      <c r="BP402">
        <f>MAX(BK402:BO402)</f>
        <v>0</v>
      </c>
      <c r="BQ402">
        <f>MAX(BL402:BO402)</f>
        <v>0</v>
      </c>
      <c r="BR402">
        <f>MAX(BM402:BO402)</f>
        <v>0</v>
      </c>
      <c r="BS402">
        <f>IF(ISNUMBER(Y402),INDEX(AllCollegeChicago, MATCH(N402,AllCollegeNCES,0))*AY402,0)</f>
        <v>0</v>
      </c>
      <c r="BT402">
        <f>IF(ISNUMBER(Y402),INDEX(AllCollegeMoneyCode, MATCH(N402,AllCollegeNCES,0)),"?")</f>
        <v>0</v>
      </c>
      <c r="BU402">
        <f>IF(OR(BT402="---",BT402="--",BT402="+/--",BT402="+/---"),1,0)</f>
        <v>0</v>
      </c>
      <c r="BV402">
        <f>AY402*AO402*AQ402</f>
        <v>0</v>
      </c>
    </row>
    <row r="403" spans="1:74">
      <c r="A403" t="s">
        <v>86</v>
      </c>
      <c r="B403">
        <v>23383224</v>
      </c>
      <c r="C403" t="s">
        <v>242</v>
      </c>
      <c r="D403" t="s">
        <v>243</v>
      </c>
      <c r="E403" t="s">
        <v>428</v>
      </c>
      <c r="F403" t="s">
        <v>459</v>
      </c>
      <c r="G403" t="s">
        <v>430</v>
      </c>
      <c r="H403" t="s">
        <v>431</v>
      </c>
      <c r="I403" t="s">
        <v>432</v>
      </c>
      <c r="J403" t="s">
        <v>432</v>
      </c>
      <c r="K403">
        <v>0</v>
      </c>
      <c r="L403" t="s">
        <v>428</v>
      </c>
      <c r="M403" t="s">
        <v>428</v>
      </c>
      <c r="N403">
        <v>146427</v>
      </c>
      <c r="O403">
        <f>INDEX(AllCollegeBarrons,MATCH(N403,AllCollegeNCES,0))</f>
        <v>0</v>
      </c>
      <c r="P403">
        <f>INDEX(KidGPAs,MATCH(B403,KidIDs,0))</f>
        <v>0</v>
      </c>
      <c r="Q403">
        <f>INDEX(KidACTs,MATCH(B403,KidIDs,0))</f>
        <v>0</v>
      </c>
      <c r="R403">
        <f>INDEX(Strats,MATCH(B403,KidIDs,0))</f>
        <v>0</v>
      </c>
      <c r="S403">
        <f>INDEX(KidRace,MATCH(B403,KidIDs,0))</f>
        <v>0</v>
      </c>
      <c r="T403">
        <f>IF(OR(S403="M",S403="I"),"H",S403)</f>
        <v>0</v>
      </c>
      <c r="U403">
        <f>INDEX(StudentTargets,MATCH(B403,KidIDs,0))</f>
        <v>0</v>
      </c>
      <c r="V403">
        <f>INDEX(ReachStudentTargets,MATCH(B403,KidIDs,0))</f>
        <v>0</v>
      </c>
      <c r="W403">
        <f>IF(OR(M403="Posse"),1,0)</f>
        <v>0</v>
      </c>
      <c r="X403">
        <f>IF(ISNUMBER(INDEX(AllCollegeGR, MATCH(N403,AllCollegeNCES,0))),ROUND(INDEX(AllCollegeGR, MATCH(N403,AllCollegeNCES,0))+W403*IF(INDEX(AllCollegeGR, MATCH(N403,AllCollegeNCES,0))&gt;0.7,(1-INDEX(AllCollegeGR, MATCH(N403,AllCollegeNCES,0)))/2,0.15),2),INDEX(AllCollegeGR, MATCH(N403,AllCollegeNCES,0)))</f>
        <v>0</v>
      </c>
      <c r="Y403">
        <f>IF(ISNUMBER(INDEX(AllCollegeAAHGR, MATCH(N403,AllCollegeNCES,0))),ROUND(INDEX(AllCollegeAAHGR, MATCH(N403,AllCollegeNCES,0))+W403*IF(INDEX(AllCollegeAAHGR, MATCH(N403,AllCollegeNCES,0))&gt;0.7,(1-INDEX(AllCollegeAAHGR, MATCH(N403,AllCollegeNCES,0)))/2,0.15),2),INDEX(AllCollegeAAHGR, MATCH(N403,AllCollegeNCES,0)))</f>
        <v>0</v>
      </c>
      <c r="Z403">
        <f>IF(OR(T403="H",T403="B"),INDEX(AllCollegeACT25, MATCH(N403,AllCollegeNCES,0)),INDEX(AllCollegeACT50, MATCH(N403,AllCollegeNCES,0)))</f>
        <v>0</v>
      </c>
      <c r="AA403">
        <f>INDEX(CustomWeightsGPA,MATCH(T403&amp;":"&amp;N403,CustomWeightsIndex,0))</f>
        <v>0</v>
      </c>
      <c r="AB403">
        <f>INDEX(CustomWeightsACT,MATCH(T403&amp;":"&amp;N403,CustomWeightsIndex,0))</f>
        <v>0</v>
      </c>
      <c r="AC403">
        <f>INDEX(CustomWeightsIntercept,MATCH(T403&amp;":"&amp;N403,CustomWeightsIndex,0))</f>
        <v>0</v>
      </c>
      <c r="AD403">
        <f>AA403*P403+AB403*Q403+AC403</f>
        <v>0</v>
      </c>
      <c r="AE403">
        <f>INDEX(CoefficientsGPA,MATCH(T403&amp;":"&amp;O403,CoefficientsIndex,0))</f>
        <v>0</v>
      </c>
      <c r="AF403">
        <f>INDEX(CoefficientsACT,MATCH(T403&amp;":"&amp;O403,CoefficientsIndex,0))</f>
        <v>0</v>
      </c>
      <c r="AG403">
        <f>INDEX(CoefficientsIntercept,MATCH(T403&amp;":"&amp;O403,CoefficientsIndex,0))</f>
        <v>0</v>
      </c>
      <c r="AH403">
        <f>AE403*P403+(Q403-Z403)*AF403+AG403</f>
        <v>0</v>
      </c>
      <c r="AI403">
        <f>IF(ISNUMBER(AD403),AD403,AH403)</f>
        <v>0</v>
      </c>
      <c r="AJ403">
        <f>IF(ISNUMBER(AI403),IF(ISNUMBER(AE403),IF(AND(AE403=1,AF403=1,AG403=1),100,ROUND(100*EXP(AI403)/(1+EXP(AI403)),2)),ROUND(100*EXP(AI403)/(1+EXP(AI403)),2)),IF(ISTEXT(O403),IF(LEFT(O403,1)="2",100,"N/A"),"N/A"))</f>
        <v>0</v>
      </c>
      <c r="AK403">
        <f>IF(ISNUMBER(AJ403),IF(AJ403&gt;=99,IF(OR(R403=10,R403=11),MatchLabel,SureThingLabel),IF(AJ403&gt;=95,SecureLabel,IF(AJ403&gt;=80,SafetyLabel,IF(AJ403&gt;=50,MatchLabel,IF(AJ403&gt;=20,ReachLabel,IF(AJ403&gt;=10,LongshotLabel,HailMaryLabel)))))),"Other")</f>
        <v>0</v>
      </c>
      <c r="AL403">
        <f>IF(OR(I403="accepted",I403="cond. accept",I403="summer admit"),IF(J403="yes","CHOICE!","Accepted!"),IF(I403="denied","Denied",IF(K403=1,"Waitlist",IF(L403=1,"Deferred",IF(G403="pending","Pending",IF(OR(G403="initial materials submitted",G403="mid-year submitted",G403="final submitted"),"Submitted",IF(H403="interest","Interest","?")))))))</f>
        <v>0</v>
      </c>
      <c r="AM403">
        <f>IF(OR(AK403=ReachLabel,AK403=LongshotLabel,AK403=HailMaryLabel),1,0)</f>
        <v>0</v>
      </c>
      <c r="AN403">
        <f>IF(OR(AM403=1,AK403=MatchLabel),1,0)</f>
        <v>0</v>
      </c>
      <c r="AO403">
        <f>IF(OR(AK403=MatchLabel,AK403=SafetyLabel,AK403=SecureLabel,AK403=SureThingLabel),1,0)</f>
        <v>0</v>
      </c>
      <c r="AP403">
        <f>IF(OR(T403="H",T403="B"),IF(ISNUMBER(Y403),ROUND(Y403,2),0),IF(ISNUMBER(X403),ROUND(X403,2),0))</f>
        <v>0</v>
      </c>
      <c r="AQ403">
        <f>IF(AP403&gt;=U403,1,0)</f>
        <v>0</v>
      </c>
      <c r="AR403">
        <f>IF(AP403&gt;=V403,1,0)</f>
        <v>0</v>
      </c>
      <c r="AS403">
        <f>IF(AP403&lt;(U403-0.10),1,0)</f>
        <v>0</v>
      </c>
      <c r="AT403">
        <f>1-AJ403/100</f>
        <v>0</v>
      </c>
      <c r="AU403">
        <f>IF(AN403=1,AT403,1)</f>
        <v>0</v>
      </c>
      <c r="AV403">
        <f>IF(AM403=1,AT403,1)</f>
        <v>0</v>
      </c>
      <c r="AW403">
        <f>IF(AND(AQ403=1,ISNUMBER(AT403)),$AT403,1)</f>
        <v>0</v>
      </c>
      <c r="AX403">
        <f>IF(AND(AR403=1,ISNUMBER(AT403)),$AT403,1)</f>
        <v>0</v>
      </c>
      <c r="AY403">
        <f>IF(ISNUMBER(Y403),INDEX(AllCollegeMoney, MATCH(N403,AllCollegeNCES,0)),0)</f>
        <v>0</v>
      </c>
      <c r="AZ403">
        <f>IF(AND(AQ403=1,ISNUMBER(AT403),AY403=1),$AT403,1)</f>
        <v>0</v>
      </c>
      <c r="BA403">
        <f>IF(AND(AR403=1,ISNUMBER(AT403),AY403=1),$AT403,1)</f>
        <v>0</v>
      </c>
      <c r="BB403">
        <f>IF(ISNUMBER(Y403),INDEX(AllCollegeILPub, MATCH(N403,AllCollegeNCES,0)),0)</f>
        <v>0</v>
      </c>
      <c r="BC403">
        <f>IF(AK403=ReachLabel,AP403,0)</f>
        <v>0</v>
      </c>
      <c r="BD403">
        <f>IF(AK403=MatchLabel,AP403,0)</f>
        <v>0</v>
      </c>
      <c r="BE403">
        <f>IF(AK403=SafetyLabel,AP403,0)</f>
        <v>0</v>
      </c>
      <c r="BF403">
        <f>IF(AK403=SecureLabel,AP403,0)</f>
        <v>0</v>
      </c>
      <c r="BG403">
        <f>IF(AK403=SureThingLabel,AP403,0)</f>
        <v>0</v>
      </c>
      <c r="BH403">
        <f>MAX(BC403:BG403)</f>
        <v>0</v>
      </c>
      <c r="BI403">
        <f>MAX(BD403:BG403)</f>
        <v>0</v>
      </c>
      <c r="BJ403">
        <f>MAX(BE403:BG403)</f>
        <v>0</v>
      </c>
      <c r="BK403">
        <f>IF(AND(AK403=ReachLabel,AY403=1),AP403,0)</f>
        <v>0</v>
      </c>
      <c r="BL403">
        <f>IF(AND(AK403=MatchLabel,AY403=1),AP403,0)</f>
        <v>0</v>
      </c>
      <c r="BM403">
        <f>IF(AND(AK403=SafetyLabel,AY403=1),AP403,0)</f>
        <v>0</v>
      </c>
      <c r="BN403">
        <f>IF(AND(AK403=SecureLabel,AY403=1),AP403,0)</f>
        <v>0</v>
      </c>
      <c r="BO403">
        <f>IF(AND(AK403=SureThingLabel,AY403=1),AP403,0)</f>
        <v>0</v>
      </c>
      <c r="BP403">
        <f>MAX(BK403:BO403)</f>
        <v>0</v>
      </c>
      <c r="BQ403">
        <f>MAX(BL403:BO403)</f>
        <v>0</v>
      </c>
      <c r="BR403">
        <f>MAX(BM403:BO403)</f>
        <v>0</v>
      </c>
      <c r="BS403">
        <f>IF(ISNUMBER(Y403),INDEX(AllCollegeChicago, MATCH(N403,AllCollegeNCES,0))*AY403,0)</f>
        <v>0</v>
      </c>
      <c r="BT403">
        <f>IF(ISNUMBER(Y403),INDEX(AllCollegeMoneyCode, MATCH(N403,AllCollegeNCES,0)),"?")</f>
        <v>0</v>
      </c>
      <c r="BU403">
        <f>IF(OR(BT403="---",BT403="--",BT403="+/--",BT403="+/---"),1,0)</f>
        <v>0</v>
      </c>
      <c r="BV403">
        <f>AY403*AO403*AQ403</f>
        <v>0</v>
      </c>
    </row>
    <row r="404" spans="1:74">
      <c r="A404" t="s">
        <v>86</v>
      </c>
      <c r="B404">
        <v>23383224</v>
      </c>
      <c r="C404" t="s">
        <v>242</v>
      </c>
      <c r="D404" t="s">
        <v>243</v>
      </c>
      <c r="E404" t="s">
        <v>428</v>
      </c>
      <c r="F404" t="s">
        <v>470</v>
      </c>
      <c r="G404" t="s">
        <v>430</v>
      </c>
      <c r="H404" t="s">
        <v>431</v>
      </c>
      <c r="I404" t="s">
        <v>432</v>
      </c>
      <c r="J404" t="s">
        <v>432</v>
      </c>
      <c r="K404">
        <v>0</v>
      </c>
      <c r="L404" t="s">
        <v>428</v>
      </c>
      <c r="M404" t="s">
        <v>428</v>
      </c>
      <c r="N404">
        <v>206589</v>
      </c>
      <c r="O404">
        <f>INDEX(AllCollegeBarrons,MATCH(N404,AllCollegeNCES,0))</f>
        <v>0</v>
      </c>
      <c r="P404">
        <f>INDEX(KidGPAs,MATCH(B404,KidIDs,0))</f>
        <v>0</v>
      </c>
      <c r="Q404">
        <f>INDEX(KidACTs,MATCH(B404,KidIDs,0))</f>
        <v>0</v>
      </c>
      <c r="R404">
        <f>INDEX(Strats,MATCH(B404,KidIDs,0))</f>
        <v>0</v>
      </c>
      <c r="S404">
        <f>INDEX(KidRace,MATCH(B404,KidIDs,0))</f>
        <v>0</v>
      </c>
      <c r="T404">
        <f>IF(OR(S404="M",S404="I"),"H",S404)</f>
        <v>0</v>
      </c>
      <c r="U404">
        <f>INDEX(StudentTargets,MATCH(B404,KidIDs,0))</f>
        <v>0</v>
      </c>
      <c r="V404">
        <f>INDEX(ReachStudentTargets,MATCH(B404,KidIDs,0))</f>
        <v>0</v>
      </c>
      <c r="W404">
        <f>IF(OR(M404="Posse"),1,0)</f>
        <v>0</v>
      </c>
      <c r="X404">
        <f>IF(ISNUMBER(INDEX(AllCollegeGR, MATCH(N404,AllCollegeNCES,0))),ROUND(INDEX(AllCollegeGR, MATCH(N404,AllCollegeNCES,0))+W404*IF(INDEX(AllCollegeGR, MATCH(N404,AllCollegeNCES,0))&gt;0.7,(1-INDEX(AllCollegeGR, MATCH(N404,AllCollegeNCES,0)))/2,0.15),2),INDEX(AllCollegeGR, MATCH(N404,AllCollegeNCES,0)))</f>
        <v>0</v>
      </c>
      <c r="Y404">
        <f>IF(ISNUMBER(INDEX(AllCollegeAAHGR, MATCH(N404,AllCollegeNCES,0))),ROUND(INDEX(AllCollegeAAHGR, MATCH(N404,AllCollegeNCES,0))+W404*IF(INDEX(AllCollegeAAHGR, MATCH(N404,AllCollegeNCES,0))&gt;0.7,(1-INDEX(AllCollegeAAHGR, MATCH(N404,AllCollegeNCES,0)))/2,0.15),2),INDEX(AllCollegeAAHGR, MATCH(N404,AllCollegeNCES,0)))</f>
        <v>0</v>
      </c>
      <c r="Z404">
        <f>IF(OR(T404="H",T404="B"),INDEX(AllCollegeACT25, MATCH(N404,AllCollegeNCES,0)),INDEX(AllCollegeACT50, MATCH(N404,AllCollegeNCES,0)))</f>
        <v>0</v>
      </c>
      <c r="AA404">
        <f>INDEX(CustomWeightsGPA,MATCH(T404&amp;":"&amp;N404,CustomWeightsIndex,0))</f>
        <v>0</v>
      </c>
      <c r="AB404">
        <f>INDEX(CustomWeightsACT,MATCH(T404&amp;":"&amp;N404,CustomWeightsIndex,0))</f>
        <v>0</v>
      </c>
      <c r="AC404">
        <f>INDEX(CustomWeightsIntercept,MATCH(T404&amp;":"&amp;N404,CustomWeightsIndex,0))</f>
        <v>0</v>
      </c>
      <c r="AD404">
        <f>AA404*P404+AB404*Q404+AC404</f>
        <v>0</v>
      </c>
      <c r="AE404">
        <f>INDEX(CoefficientsGPA,MATCH(T404&amp;":"&amp;O404,CoefficientsIndex,0))</f>
        <v>0</v>
      </c>
      <c r="AF404">
        <f>INDEX(CoefficientsACT,MATCH(T404&amp;":"&amp;O404,CoefficientsIndex,0))</f>
        <v>0</v>
      </c>
      <c r="AG404">
        <f>INDEX(CoefficientsIntercept,MATCH(T404&amp;":"&amp;O404,CoefficientsIndex,0))</f>
        <v>0</v>
      </c>
      <c r="AH404">
        <f>AE404*P404+(Q404-Z404)*AF404+AG404</f>
        <v>0</v>
      </c>
      <c r="AI404">
        <f>IF(ISNUMBER(AD404),AD404,AH404)</f>
        <v>0</v>
      </c>
      <c r="AJ404">
        <f>IF(ISNUMBER(AI404),IF(ISNUMBER(AE404),IF(AND(AE404=1,AF404=1,AG404=1),100,ROUND(100*EXP(AI404)/(1+EXP(AI404)),2)),ROUND(100*EXP(AI404)/(1+EXP(AI404)),2)),IF(ISTEXT(O404),IF(LEFT(O404,1)="2",100,"N/A"),"N/A"))</f>
        <v>0</v>
      </c>
      <c r="AK404">
        <f>IF(ISNUMBER(AJ404),IF(AJ404&gt;=99,IF(OR(R404=10,R404=11),MatchLabel,SureThingLabel),IF(AJ404&gt;=95,SecureLabel,IF(AJ404&gt;=80,SafetyLabel,IF(AJ404&gt;=50,MatchLabel,IF(AJ404&gt;=20,ReachLabel,IF(AJ404&gt;=10,LongshotLabel,HailMaryLabel)))))),"Other")</f>
        <v>0</v>
      </c>
      <c r="AL404">
        <f>IF(OR(I404="accepted",I404="cond. accept",I404="summer admit"),IF(J404="yes","CHOICE!","Accepted!"),IF(I404="denied","Denied",IF(K404=1,"Waitlist",IF(L404=1,"Deferred",IF(G404="pending","Pending",IF(OR(G404="initial materials submitted",G404="mid-year submitted",G404="final submitted"),"Submitted",IF(H404="interest","Interest","?")))))))</f>
        <v>0</v>
      </c>
      <c r="AM404">
        <f>IF(OR(AK404=ReachLabel,AK404=LongshotLabel,AK404=HailMaryLabel),1,0)</f>
        <v>0</v>
      </c>
      <c r="AN404">
        <f>IF(OR(AM404=1,AK404=MatchLabel),1,0)</f>
        <v>0</v>
      </c>
      <c r="AO404">
        <f>IF(OR(AK404=MatchLabel,AK404=SafetyLabel,AK404=SecureLabel,AK404=SureThingLabel),1,0)</f>
        <v>0</v>
      </c>
      <c r="AP404">
        <f>IF(OR(T404="H",T404="B"),IF(ISNUMBER(Y404),ROUND(Y404,2),0),IF(ISNUMBER(X404),ROUND(X404,2),0))</f>
        <v>0</v>
      </c>
      <c r="AQ404">
        <f>IF(AP404&gt;=U404,1,0)</f>
        <v>0</v>
      </c>
      <c r="AR404">
        <f>IF(AP404&gt;=V404,1,0)</f>
        <v>0</v>
      </c>
      <c r="AS404">
        <f>IF(AP404&lt;(U404-0.10),1,0)</f>
        <v>0</v>
      </c>
      <c r="AT404">
        <f>1-AJ404/100</f>
        <v>0</v>
      </c>
      <c r="AU404">
        <f>IF(AN404=1,AT404,1)</f>
        <v>0</v>
      </c>
      <c r="AV404">
        <f>IF(AM404=1,AT404,1)</f>
        <v>0</v>
      </c>
      <c r="AW404">
        <f>IF(AND(AQ404=1,ISNUMBER(AT404)),$AT404,1)</f>
        <v>0</v>
      </c>
      <c r="AX404">
        <f>IF(AND(AR404=1,ISNUMBER(AT404)),$AT404,1)</f>
        <v>0</v>
      </c>
      <c r="AY404">
        <f>IF(ISNUMBER(Y404),INDEX(AllCollegeMoney, MATCH(N404,AllCollegeNCES,0)),0)</f>
        <v>0</v>
      </c>
      <c r="AZ404">
        <f>IF(AND(AQ404=1,ISNUMBER(AT404),AY404=1),$AT404,1)</f>
        <v>0</v>
      </c>
      <c r="BA404">
        <f>IF(AND(AR404=1,ISNUMBER(AT404),AY404=1),$AT404,1)</f>
        <v>0</v>
      </c>
      <c r="BB404">
        <f>IF(ISNUMBER(Y404),INDEX(AllCollegeILPub, MATCH(N404,AllCollegeNCES,0)),0)</f>
        <v>0</v>
      </c>
      <c r="BC404">
        <f>IF(AK404=ReachLabel,AP404,0)</f>
        <v>0</v>
      </c>
      <c r="BD404">
        <f>IF(AK404=MatchLabel,AP404,0)</f>
        <v>0</v>
      </c>
      <c r="BE404">
        <f>IF(AK404=SafetyLabel,AP404,0)</f>
        <v>0</v>
      </c>
      <c r="BF404">
        <f>IF(AK404=SecureLabel,AP404,0)</f>
        <v>0</v>
      </c>
      <c r="BG404">
        <f>IF(AK404=SureThingLabel,AP404,0)</f>
        <v>0</v>
      </c>
      <c r="BH404">
        <f>MAX(BC404:BG404)</f>
        <v>0</v>
      </c>
      <c r="BI404">
        <f>MAX(BD404:BG404)</f>
        <v>0</v>
      </c>
      <c r="BJ404">
        <f>MAX(BE404:BG404)</f>
        <v>0</v>
      </c>
      <c r="BK404">
        <f>IF(AND(AK404=ReachLabel,AY404=1),AP404,0)</f>
        <v>0</v>
      </c>
      <c r="BL404">
        <f>IF(AND(AK404=MatchLabel,AY404=1),AP404,0)</f>
        <v>0</v>
      </c>
      <c r="BM404">
        <f>IF(AND(AK404=SafetyLabel,AY404=1),AP404,0)</f>
        <v>0</v>
      </c>
      <c r="BN404">
        <f>IF(AND(AK404=SecureLabel,AY404=1),AP404,0)</f>
        <v>0</v>
      </c>
      <c r="BO404">
        <f>IF(AND(AK404=SureThingLabel,AY404=1),AP404,0)</f>
        <v>0</v>
      </c>
      <c r="BP404">
        <f>MAX(BK404:BO404)</f>
        <v>0</v>
      </c>
      <c r="BQ404">
        <f>MAX(BL404:BO404)</f>
        <v>0</v>
      </c>
      <c r="BR404">
        <f>MAX(BM404:BO404)</f>
        <v>0</v>
      </c>
      <c r="BS404">
        <f>IF(ISNUMBER(Y404),INDEX(AllCollegeChicago, MATCH(N404,AllCollegeNCES,0))*AY404,0)</f>
        <v>0</v>
      </c>
      <c r="BT404">
        <f>IF(ISNUMBER(Y404),INDEX(AllCollegeMoneyCode, MATCH(N404,AllCollegeNCES,0)),"?")</f>
        <v>0</v>
      </c>
      <c r="BU404">
        <f>IF(OR(BT404="---",BT404="--",BT404="+/--",BT404="+/---"),1,0)</f>
        <v>0</v>
      </c>
      <c r="BV404">
        <f>AY404*AO404*AQ404</f>
        <v>0</v>
      </c>
    </row>
    <row r="405" spans="1:74">
      <c r="A405" t="s">
        <v>86</v>
      </c>
      <c r="B405">
        <v>23383224</v>
      </c>
      <c r="C405" t="s">
        <v>242</v>
      </c>
      <c r="D405" t="s">
        <v>243</v>
      </c>
      <c r="E405" t="s">
        <v>428</v>
      </c>
      <c r="F405" t="s">
        <v>540</v>
      </c>
      <c r="G405" t="s">
        <v>430</v>
      </c>
      <c r="H405" t="s">
        <v>431</v>
      </c>
      <c r="I405" t="s">
        <v>432</v>
      </c>
      <c r="J405" t="s">
        <v>432</v>
      </c>
      <c r="K405">
        <v>0</v>
      </c>
      <c r="L405" t="s">
        <v>428</v>
      </c>
      <c r="M405" t="s">
        <v>428</v>
      </c>
      <c r="N405">
        <v>146481</v>
      </c>
      <c r="O405">
        <f>INDEX(AllCollegeBarrons,MATCH(N405,AllCollegeNCES,0))</f>
        <v>0</v>
      </c>
      <c r="P405">
        <f>INDEX(KidGPAs,MATCH(B405,KidIDs,0))</f>
        <v>0</v>
      </c>
      <c r="Q405">
        <f>INDEX(KidACTs,MATCH(B405,KidIDs,0))</f>
        <v>0</v>
      </c>
      <c r="R405">
        <f>INDEX(Strats,MATCH(B405,KidIDs,0))</f>
        <v>0</v>
      </c>
      <c r="S405">
        <f>INDEX(KidRace,MATCH(B405,KidIDs,0))</f>
        <v>0</v>
      </c>
      <c r="T405">
        <f>IF(OR(S405="M",S405="I"),"H",S405)</f>
        <v>0</v>
      </c>
      <c r="U405">
        <f>INDEX(StudentTargets,MATCH(B405,KidIDs,0))</f>
        <v>0</v>
      </c>
      <c r="V405">
        <f>INDEX(ReachStudentTargets,MATCH(B405,KidIDs,0))</f>
        <v>0</v>
      </c>
      <c r="W405">
        <f>IF(OR(M405="Posse"),1,0)</f>
        <v>0</v>
      </c>
      <c r="X405">
        <f>IF(ISNUMBER(INDEX(AllCollegeGR, MATCH(N405,AllCollegeNCES,0))),ROUND(INDEX(AllCollegeGR, MATCH(N405,AllCollegeNCES,0))+W405*IF(INDEX(AllCollegeGR, MATCH(N405,AllCollegeNCES,0))&gt;0.7,(1-INDEX(AllCollegeGR, MATCH(N405,AllCollegeNCES,0)))/2,0.15),2),INDEX(AllCollegeGR, MATCH(N405,AllCollegeNCES,0)))</f>
        <v>0</v>
      </c>
      <c r="Y405">
        <f>IF(ISNUMBER(INDEX(AllCollegeAAHGR, MATCH(N405,AllCollegeNCES,0))),ROUND(INDEX(AllCollegeAAHGR, MATCH(N405,AllCollegeNCES,0))+W405*IF(INDEX(AllCollegeAAHGR, MATCH(N405,AllCollegeNCES,0))&gt;0.7,(1-INDEX(AllCollegeAAHGR, MATCH(N405,AllCollegeNCES,0)))/2,0.15),2),INDEX(AllCollegeAAHGR, MATCH(N405,AllCollegeNCES,0)))</f>
        <v>0</v>
      </c>
      <c r="Z405">
        <f>IF(OR(T405="H",T405="B"),INDEX(AllCollegeACT25, MATCH(N405,AllCollegeNCES,0)),INDEX(AllCollegeACT50, MATCH(N405,AllCollegeNCES,0)))</f>
        <v>0</v>
      </c>
      <c r="AA405">
        <f>INDEX(CustomWeightsGPA,MATCH(T405&amp;":"&amp;N405,CustomWeightsIndex,0))</f>
        <v>0</v>
      </c>
      <c r="AB405">
        <f>INDEX(CustomWeightsACT,MATCH(T405&amp;":"&amp;N405,CustomWeightsIndex,0))</f>
        <v>0</v>
      </c>
      <c r="AC405">
        <f>INDEX(CustomWeightsIntercept,MATCH(T405&amp;":"&amp;N405,CustomWeightsIndex,0))</f>
        <v>0</v>
      </c>
      <c r="AD405">
        <f>AA405*P405+AB405*Q405+AC405</f>
        <v>0</v>
      </c>
      <c r="AE405">
        <f>INDEX(CoefficientsGPA,MATCH(T405&amp;":"&amp;O405,CoefficientsIndex,0))</f>
        <v>0</v>
      </c>
      <c r="AF405">
        <f>INDEX(CoefficientsACT,MATCH(T405&amp;":"&amp;O405,CoefficientsIndex,0))</f>
        <v>0</v>
      </c>
      <c r="AG405">
        <f>INDEX(CoefficientsIntercept,MATCH(T405&amp;":"&amp;O405,CoefficientsIndex,0))</f>
        <v>0</v>
      </c>
      <c r="AH405">
        <f>AE405*P405+(Q405-Z405)*AF405+AG405</f>
        <v>0</v>
      </c>
      <c r="AI405">
        <f>IF(ISNUMBER(AD405),AD405,AH405)</f>
        <v>0</v>
      </c>
      <c r="AJ405">
        <f>IF(ISNUMBER(AI405),IF(ISNUMBER(AE405),IF(AND(AE405=1,AF405=1,AG405=1),100,ROUND(100*EXP(AI405)/(1+EXP(AI405)),2)),ROUND(100*EXP(AI405)/(1+EXP(AI405)),2)),IF(ISTEXT(O405),IF(LEFT(O405,1)="2",100,"N/A"),"N/A"))</f>
        <v>0</v>
      </c>
      <c r="AK405">
        <f>IF(ISNUMBER(AJ405),IF(AJ405&gt;=99,IF(OR(R405=10,R405=11),MatchLabel,SureThingLabel),IF(AJ405&gt;=95,SecureLabel,IF(AJ405&gt;=80,SafetyLabel,IF(AJ405&gt;=50,MatchLabel,IF(AJ405&gt;=20,ReachLabel,IF(AJ405&gt;=10,LongshotLabel,HailMaryLabel)))))),"Other")</f>
        <v>0</v>
      </c>
      <c r="AL405">
        <f>IF(OR(I405="accepted",I405="cond. accept",I405="summer admit"),IF(J405="yes","CHOICE!","Accepted!"),IF(I405="denied","Denied",IF(K405=1,"Waitlist",IF(L405=1,"Deferred",IF(G405="pending","Pending",IF(OR(G405="initial materials submitted",G405="mid-year submitted",G405="final submitted"),"Submitted",IF(H405="interest","Interest","?")))))))</f>
        <v>0</v>
      </c>
      <c r="AM405">
        <f>IF(OR(AK405=ReachLabel,AK405=LongshotLabel,AK405=HailMaryLabel),1,0)</f>
        <v>0</v>
      </c>
      <c r="AN405">
        <f>IF(OR(AM405=1,AK405=MatchLabel),1,0)</f>
        <v>0</v>
      </c>
      <c r="AO405">
        <f>IF(OR(AK405=MatchLabel,AK405=SafetyLabel,AK405=SecureLabel,AK405=SureThingLabel),1,0)</f>
        <v>0</v>
      </c>
      <c r="AP405">
        <f>IF(OR(T405="H",T405="B"),IF(ISNUMBER(Y405),ROUND(Y405,2),0),IF(ISNUMBER(X405),ROUND(X405,2),0))</f>
        <v>0</v>
      </c>
      <c r="AQ405">
        <f>IF(AP405&gt;=U405,1,0)</f>
        <v>0</v>
      </c>
      <c r="AR405">
        <f>IF(AP405&gt;=V405,1,0)</f>
        <v>0</v>
      </c>
      <c r="AS405">
        <f>IF(AP405&lt;(U405-0.10),1,0)</f>
        <v>0</v>
      </c>
      <c r="AT405">
        <f>1-AJ405/100</f>
        <v>0</v>
      </c>
      <c r="AU405">
        <f>IF(AN405=1,AT405,1)</f>
        <v>0</v>
      </c>
      <c r="AV405">
        <f>IF(AM405=1,AT405,1)</f>
        <v>0</v>
      </c>
      <c r="AW405">
        <f>IF(AND(AQ405=1,ISNUMBER(AT405)),$AT405,1)</f>
        <v>0</v>
      </c>
      <c r="AX405">
        <f>IF(AND(AR405=1,ISNUMBER(AT405)),$AT405,1)</f>
        <v>0</v>
      </c>
      <c r="AY405">
        <f>IF(ISNUMBER(Y405),INDEX(AllCollegeMoney, MATCH(N405,AllCollegeNCES,0)),0)</f>
        <v>0</v>
      </c>
      <c r="AZ405">
        <f>IF(AND(AQ405=1,ISNUMBER(AT405),AY405=1),$AT405,1)</f>
        <v>0</v>
      </c>
      <c r="BA405">
        <f>IF(AND(AR405=1,ISNUMBER(AT405),AY405=1),$AT405,1)</f>
        <v>0</v>
      </c>
      <c r="BB405">
        <f>IF(ISNUMBER(Y405),INDEX(AllCollegeILPub, MATCH(N405,AllCollegeNCES,0)),0)</f>
        <v>0</v>
      </c>
      <c r="BC405">
        <f>IF(AK405=ReachLabel,AP405,0)</f>
        <v>0</v>
      </c>
      <c r="BD405">
        <f>IF(AK405=MatchLabel,AP405,0)</f>
        <v>0</v>
      </c>
      <c r="BE405">
        <f>IF(AK405=SafetyLabel,AP405,0)</f>
        <v>0</v>
      </c>
      <c r="BF405">
        <f>IF(AK405=SecureLabel,AP405,0)</f>
        <v>0</v>
      </c>
      <c r="BG405">
        <f>IF(AK405=SureThingLabel,AP405,0)</f>
        <v>0</v>
      </c>
      <c r="BH405">
        <f>MAX(BC405:BG405)</f>
        <v>0</v>
      </c>
      <c r="BI405">
        <f>MAX(BD405:BG405)</f>
        <v>0</v>
      </c>
      <c r="BJ405">
        <f>MAX(BE405:BG405)</f>
        <v>0</v>
      </c>
      <c r="BK405">
        <f>IF(AND(AK405=ReachLabel,AY405=1),AP405,0)</f>
        <v>0</v>
      </c>
      <c r="BL405">
        <f>IF(AND(AK405=MatchLabel,AY405=1),AP405,0)</f>
        <v>0</v>
      </c>
      <c r="BM405">
        <f>IF(AND(AK405=SafetyLabel,AY405=1),AP405,0)</f>
        <v>0</v>
      </c>
      <c r="BN405">
        <f>IF(AND(AK405=SecureLabel,AY405=1),AP405,0)</f>
        <v>0</v>
      </c>
      <c r="BO405">
        <f>IF(AND(AK405=SureThingLabel,AY405=1),AP405,0)</f>
        <v>0</v>
      </c>
      <c r="BP405">
        <f>MAX(BK405:BO405)</f>
        <v>0</v>
      </c>
      <c r="BQ405">
        <f>MAX(BL405:BO405)</f>
        <v>0</v>
      </c>
      <c r="BR405">
        <f>MAX(BM405:BO405)</f>
        <v>0</v>
      </c>
      <c r="BS405">
        <f>IF(ISNUMBER(Y405),INDEX(AllCollegeChicago, MATCH(N405,AllCollegeNCES,0))*AY405,0)</f>
        <v>0</v>
      </c>
      <c r="BT405">
        <f>IF(ISNUMBER(Y405),INDEX(AllCollegeMoneyCode, MATCH(N405,AllCollegeNCES,0)),"?")</f>
        <v>0</v>
      </c>
      <c r="BU405">
        <f>IF(OR(BT405="---",BT405="--",BT405="+/--",BT405="+/---"),1,0)</f>
        <v>0</v>
      </c>
      <c r="BV405">
        <f>AY405*AO405*AQ405</f>
        <v>0</v>
      </c>
    </row>
    <row r="406" spans="1:74">
      <c r="A406" t="s">
        <v>86</v>
      </c>
      <c r="B406">
        <v>23383224</v>
      </c>
      <c r="C406" t="s">
        <v>242</v>
      </c>
      <c r="D406" t="s">
        <v>243</v>
      </c>
      <c r="E406" t="s">
        <v>428</v>
      </c>
      <c r="F406" t="s">
        <v>471</v>
      </c>
      <c r="G406" t="s">
        <v>430</v>
      </c>
      <c r="H406" t="s">
        <v>431</v>
      </c>
      <c r="I406" t="s">
        <v>432</v>
      </c>
      <c r="J406" t="s">
        <v>432</v>
      </c>
      <c r="K406">
        <v>0</v>
      </c>
      <c r="L406" t="s">
        <v>428</v>
      </c>
      <c r="M406" t="s">
        <v>428</v>
      </c>
      <c r="N406">
        <v>170301</v>
      </c>
      <c r="O406">
        <f>INDEX(AllCollegeBarrons,MATCH(N406,AllCollegeNCES,0))</f>
        <v>0</v>
      </c>
      <c r="P406">
        <f>INDEX(KidGPAs,MATCH(B406,KidIDs,0))</f>
        <v>0</v>
      </c>
      <c r="Q406">
        <f>INDEX(KidACTs,MATCH(B406,KidIDs,0))</f>
        <v>0</v>
      </c>
      <c r="R406">
        <f>INDEX(Strats,MATCH(B406,KidIDs,0))</f>
        <v>0</v>
      </c>
      <c r="S406">
        <f>INDEX(KidRace,MATCH(B406,KidIDs,0))</f>
        <v>0</v>
      </c>
      <c r="T406">
        <f>IF(OR(S406="M",S406="I"),"H",S406)</f>
        <v>0</v>
      </c>
      <c r="U406">
        <f>INDEX(StudentTargets,MATCH(B406,KidIDs,0))</f>
        <v>0</v>
      </c>
      <c r="V406">
        <f>INDEX(ReachStudentTargets,MATCH(B406,KidIDs,0))</f>
        <v>0</v>
      </c>
      <c r="W406">
        <f>IF(OR(M406="Posse"),1,0)</f>
        <v>0</v>
      </c>
      <c r="X406">
        <f>IF(ISNUMBER(INDEX(AllCollegeGR, MATCH(N406,AllCollegeNCES,0))),ROUND(INDEX(AllCollegeGR, MATCH(N406,AllCollegeNCES,0))+W406*IF(INDEX(AllCollegeGR, MATCH(N406,AllCollegeNCES,0))&gt;0.7,(1-INDEX(AllCollegeGR, MATCH(N406,AllCollegeNCES,0)))/2,0.15),2),INDEX(AllCollegeGR, MATCH(N406,AllCollegeNCES,0)))</f>
        <v>0</v>
      </c>
      <c r="Y406">
        <f>IF(ISNUMBER(INDEX(AllCollegeAAHGR, MATCH(N406,AllCollegeNCES,0))),ROUND(INDEX(AllCollegeAAHGR, MATCH(N406,AllCollegeNCES,0))+W406*IF(INDEX(AllCollegeAAHGR, MATCH(N406,AllCollegeNCES,0))&gt;0.7,(1-INDEX(AllCollegeAAHGR, MATCH(N406,AllCollegeNCES,0)))/2,0.15),2),INDEX(AllCollegeAAHGR, MATCH(N406,AllCollegeNCES,0)))</f>
        <v>0</v>
      </c>
      <c r="Z406">
        <f>IF(OR(T406="H",T406="B"),INDEX(AllCollegeACT25, MATCH(N406,AllCollegeNCES,0)),INDEX(AllCollegeACT50, MATCH(N406,AllCollegeNCES,0)))</f>
        <v>0</v>
      </c>
      <c r="AA406">
        <f>INDEX(CustomWeightsGPA,MATCH(T406&amp;":"&amp;N406,CustomWeightsIndex,0))</f>
        <v>0</v>
      </c>
      <c r="AB406">
        <f>INDEX(CustomWeightsACT,MATCH(T406&amp;":"&amp;N406,CustomWeightsIndex,0))</f>
        <v>0</v>
      </c>
      <c r="AC406">
        <f>INDEX(CustomWeightsIntercept,MATCH(T406&amp;":"&amp;N406,CustomWeightsIndex,0))</f>
        <v>0</v>
      </c>
      <c r="AD406">
        <f>AA406*P406+AB406*Q406+AC406</f>
        <v>0</v>
      </c>
      <c r="AE406">
        <f>INDEX(CoefficientsGPA,MATCH(T406&amp;":"&amp;O406,CoefficientsIndex,0))</f>
        <v>0</v>
      </c>
      <c r="AF406">
        <f>INDEX(CoefficientsACT,MATCH(T406&amp;":"&amp;O406,CoefficientsIndex,0))</f>
        <v>0</v>
      </c>
      <c r="AG406">
        <f>INDEX(CoefficientsIntercept,MATCH(T406&amp;":"&amp;O406,CoefficientsIndex,0))</f>
        <v>0</v>
      </c>
      <c r="AH406">
        <f>AE406*P406+(Q406-Z406)*AF406+AG406</f>
        <v>0</v>
      </c>
      <c r="AI406">
        <f>IF(ISNUMBER(AD406),AD406,AH406)</f>
        <v>0</v>
      </c>
      <c r="AJ406">
        <f>IF(ISNUMBER(AI406),IF(ISNUMBER(AE406),IF(AND(AE406=1,AF406=1,AG406=1),100,ROUND(100*EXP(AI406)/(1+EXP(AI406)),2)),ROUND(100*EXP(AI406)/(1+EXP(AI406)),2)),IF(ISTEXT(O406),IF(LEFT(O406,1)="2",100,"N/A"),"N/A"))</f>
        <v>0</v>
      </c>
      <c r="AK406">
        <f>IF(ISNUMBER(AJ406),IF(AJ406&gt;=99,IF(OR(R406=10,R406=11),MatchLabel,SureThingLabel),IF(AJ406&gt;=95,SecureLabel,IF(AJ406&gt;=80,SafetyLabel,IF(AJ406&gt;=50,MatchLabel,IF(AJ406&gt;=20,ReachLabel,IF(AJ406&gt;=10,LongshotLabel,HailMaryLabel)))))),"Other")</f>
        <v>0</v>
      </c>
      <c r="AL406">
        <f>IF(OR(I406="accepted",I406="cond. accept",I406="summer admit"),IF(J406="yes","CHOICE!","Accepted!"),IF(I406="denied","Denied",IF(K406=1,"Waitlist",IF(L406=1,"Deferred",IF(G406="pending","Pending",IF(OR(G406="initial materials submitted",G406="mid-year submitted",G406="final submitted"),"Submitted",IF(H406="interest","Interest","?")))))))</f>
        <v>0</v>
      </c>
      <c r="AM406">
        <f>IF(OR(AK406=ReachLabel,AK406=LongshotLabel,AK406=HailMaryLabel),1,0)</f>
        <v>0</v>
      </c>
      <c r="AN406">
        <f>IF(OR(AM406=1,AK406=MatchLabel),1,0)</f>
        <v>0</v>
      </c>
      <c r="AO406">
        <f>IF(OR(AK406=MatchLabel,AK406=SafetyLabel,AK406=SecureLabel,AK406=SureThingLabel),1,0)</f>
        <v>0</v>
      </c>
      <c r="AP406">
        <f>IF(OR(T406="H",T406="B"),IF(ISNUMBER(Y406),ROUND(Y406,2),0),IF(ISNUMBER(X406),ROUND(X406,2),0))</f>
        <v>0</v>
      </c>
      <c r="AQ406">
        <f>IF(AP406&gt;=U406,1,0)</f>
        <v>0</v>
      </c>
      <c r="AR406">
        <f>IF(AP406&gt;=V406,1,0)</f>
        <v>0</v>
      </c>
      <c r="AS406">
        <f>IF(AP406&lt;(U406-0.10),1,0)</f>
        <v>0</v>
      </c>
      <c r="AT406">
        <f>1-AJ406/100</f>
        <v>0</v>
      </c>
      <c r="AU406">
        <f>IF(AN406=1,AT406,1)</f>
        <v>0</v>
      </c>
      <c r="AV406">
        <f>IF(AM406=1,AT406,1)</f>
        <v>0</v>
      </c>
      <c r="AW406">
        <f>IF(AND(AQ406=1,ISNUMBER(AT406)),$AT406,1)</f>
        <v>0</v>
      </c>
      <c r="AX406">
        <f>IF(AND(AR406=1,ISNUMBER(AT406)),$AT406,1)</f>
        <v>0</v>
      </c>
      <c r="AY406">
        <f>IF(ISNUMBER(Y406),INDEX(AllCollegeMoney, MATCH(N406,AllCollegeNCES,0)),0)</f>
        <v>0</v>
      </c>
      <c r="AZ406">
        <f>IF(AND(AQ406=1,ISNUMBER(AT406),AY406=1),$AT406,1)</f>
        <v>0</v>
      </c>
      <c r="BA406">
        <f>IF(AND(AR406=1,ISNUMBER(AT406),AY406=1),$AT406,1)</f>
        <v>0</v>
      </c>
      <c r="BB406">
        <f>IF(ISNUMBER(Y406),INDEX(AllCollegeILPub, MATCH(N406,AllCollegeNCES,0)),0)</f>
        <v>0</v>
      </c>
      <c r="BC406">
        <f>IF(AK406=ReachLabel,AP406,0)</f>
        <v>0</v>
      </c>
      <c r="BD406">
        <f>IF(AK406=MatchLabel,AP406,0)</f>
        <v>0</v>
      </c>
      <c r="BE406">
        <f>IF(AK406=SafetyLabel,AP406,0)</f>
        <v>0</v>
      </c>
      <c r="BF406">
        <f>IF(AK406=SecureLabel,AP406,0)</f>
        <v>0</v>
      </c>
      <c r="BG406">
        <f>IF(AK406=SureThingLabel,AP406,0)</f>
        <v>0</v>
      </c>
      <c r="BH406">
        <f>MAX(BC406:BG406)</f>
        <v>0</v>
      </c>
      <c r="BI406">
        <f>MAX(BD406:BG406)</f>
        <v>0</v>
      </c>
      <c r="BJ406">
        <f>MAX(BE406:BG406)</f>
        <v>0</v>
      </c>
      <c r="BK406">
        <f>IF(AND(AK406=ReachLabel,AY406=1),AP406,0)</f>
        <v>0</v>
      </c>
      <c r="BL406">
        <f>IF(AND(AK406=MatchLabel,AY406=1),AP406,0)</f>
        <v>0</v>
      </c>
      <c r="BM406">
        <f>IF(AND(AK406=SafetyLabel,AY406=1),AP406,0)</f>
        <v>0</v>
      </c>
      <c r="BN406">
        <f>IF(AND(AK406=SecureLabel,AY406=1),AP406,0)</f>
        <v>0</v>
      </c>
      <c r="BO406">
        <f>IF(AND(AK406=SureThingLabel,AY406=1),AP406,0)</f>
        <v>0</v>
      </c>
      <c r="BP406">
        <f>MAX(BK406:BO406)</f>
        <v>0</v>
      </c>
      <c r="BQ406">
        <f>MAX(BL406:BO406)</f>
        <v>0</v>
      </c>
      <c r="BR406">
        <f>MAX(BM406:BO406)</f>
        <v>0</v>
      </c>
      <c r="BS406">
        <f>IF(ISNUMBER(Y406),INDEX(AllCollegeChicago, MATCH(N406,AllCollegeNCES,0))*AY406,0)</f>
        <v>0</v>
      </c>
      <c r="BT406">
        <f>IF(ISNUMBER(Y406),INDEX(AllCollegeMoneyCode, MATCH(N406,AllCollegeNCES,0)),"?")</f>
        <v>0</v>
      </c>
      <c r="BU406">
        <f>IF(OR(BT406="---",BT406="--",BT406="+/--",BT406="+/---"),1,0)</f>
        <v>0</v>
      </c>
      <c r="BV406">
        <f>AY406*AO406*AQ406</f>
        <v>0</v>
      </c>
    </row>
    <row r="407" spans="1:74">
      <c r="A407" t="s">
        <v>86</v>
      </c>
      <c r="B407">
        <v>23383224</v>
      </c>
      <c r="C407" t="s">
        <v>242</v>
      </c>
      <c r="D407" t="s">
        <v>243</v>
      </c>
      <c r="E407" t="s">
        <v>428</v>
      </c>
      <c r="F407" t="s">
        <v>460</v>
      </c>
      <c r="G407" t="s">
        <v>430</v>
      </c>
      <c r="H407" t="s">
        <v>431</v>
      </c>
      <c r="I407" t="s">
        <v>432</v>
      </c>
      <c r="J407" t="s">
        <v>432</v>
      </c>
      <c r="K407">
        <v>0</v>
      </c>
      <c r="L407" t="s">
        <v>428</v>
      </c>
      <c r="M407" t="s">
        <v>428</v>
      </c>
      <c r="N407">
        <v>221519</v>
      </c>
      <c r="O407">
        <f>INDEX(AllCollegeBarrons,MATCH(N407,AllCollegeNCES,0))</f>
        <v>0</v>
      </c>
      <c r="P407">
        <f>INDEX(KidGPAs,MATCH(B407,KidIDs,0))</f>
        <v>0</v>
      </c>
      <c r="Q407">
        <f>INDEX(KidACTs,MATCH(B407,KidIDs,0))</f>
        <v>0</v>
      </c>
      <c r="R407">
        <f>INDEX(Strats,MATCH(B407,KidIDs,0))</f>
        <v>0</v>
      </c>
      <c r="S407">
        <f>INDEX(KidRace,MATCH(B407,KidIDs,0))</f>
        <v>0</v>
      </c>
      <c r="T407">
        <f>IF(OR(S407="M",S407="I"),"H",S407)</f>
        <v>0</v>
      </c>
      <c r="U407">
        <f>INDEX(StudentTargets,MATCH(B407,KidIDs,0))</f>
        <v>0</v>
      </c>
      <c r="V407">
        <f>INDEX(ReachStudentTargets,MATCH(B407,KidIDs,0))</f>
        <v>0</v>
      </c>
      <c r="W407">
        <f>IF(OR(M407="Posse"),1,0)</f>
        <v>0</v>
      </c>
      <c r="X407">
        <f>IF(ISNUMBER(INDEX(AllCollegeGR, MATCH(N407,AllCollegeNCES,0))),ROUND(INDEX(AllCollegeGR, MATCH(N407,AllCollegeNCES,0))+W407*IF(INDEX(AllCollegeGR, MATCH(N407,AllCollegeNCES,0))&gt;0.7,(1-INDEX(AllCollegeGR, MATCH(N407,AllCollegeNCES,0)))/2,0.15),2),INDEX(AllCollegeGR, MATCH(N407,AllCollegeNCES,0)))</f>
        <v>0</v>
      </c>
      <c r="Y407">
        <f>IF(ISNUMBER(INDEX(AllCollegeAAHGR, MATCH(N407,AllCollegeNCES,0))),ROUND(INDEX(AllCollegeAAHGR, MATCH(N407,AllCollegeNCES,0))+W407*IF(INDEX(AllCollegeAAHGR, MATCH(N407,AllCollegeNCES,0))&gt;0.7,(1-INDEX(AllCollegeAAHGR, MATCH(N407,AllCollegeNCES,0)))/2,0.15),2),INDEX(AllCollegeAAHGR, MATCH(N407,AllCollegeNCES,0)))</f>
        <v>0</v>
      </c>
      <c r="Z407">
        <f>IF(OR(T407="H",T407="B"),INDEX(AllCollegeACT25, MATCH(N407,AllCollegeNCES,0)),INDEX(AllCollegeACT50, MATCH(N407,AllCollegeNCES,0)))</f>
        <v>0</v>
      </c>
      <c r="AA407">
        <f>INDEX(CustomWeightsGPA,MATCH(T407&amp;":"&amp;N407,CustomWeightsIndex,0))</f>
        <v>0</v>
      </c>
      <c r="AB407">
        <f>INDEX(CustomWeightsACT,MATCH(T407&amp;":"&amp;N407,CustomWeightsIndex,0))</f>
        <v>0</v>
      </c>
      <c r="AC407">
        <f>INDEX(CustomWeightsIntercept,MATCH(T407&amp;":"&amp;N407,CustomWeightsIndex,0))</f>
        <v>0</v>
      </c>
      <c r="AD407">
        <f>AA407*P407+AB407*Q407+AC407</f>
        <v>0</v>
      </c>
      <c r="AE407">
        <f>INDEX(CoefficientsGPA,MATCH(T407&amp;":"&amp;O407,CoefficientsIndex,0))</f>
        <v>0</v>
      </c>
      <c r="AF407">
        <f>INDEX(CoefficientsACT,MATCH(T407&amp;":"&amp;O407,CoefficientsIndex,0))</f>
        <v>0</v>
      </c>
      <c r="AG407">
        <f>INDEX(CoefficientsIntercept,MATCH(T407&amp;":"&amp;O407,CoefficientsIndex,0))</f>
        <v>0</v>
      </c>
      <c r="AH407">
        <f>AE407*P407+(Q407-Z407)*AF407+AG407</f>
        <v>0</v>
      </c>
      <c r="AI407">
        <f>IF(ISNUMBER(AD407),AD407,AH407)</f>
        <v>0</v>
      </c>
      <c r="AJ407">
        <f>IF(ISNUMBER(AI407),IF(ISNUMBER(AE407),IF(AND(AE407=1,AF407=1,AG407=1),100,ROUND(100*EXP(AI407)/(1+EXP(AI407)),2)),ROUND(100*EXP(AI407)/(1+EXP(AI407)),2)),IF(ISTEXT(O407),IF(LEFT(O407,1)="2",100,"N/A"),"N/A"))</f>
        <v>0</v>
      </c>
      <c r="AK407">
        <f>IF(ISNUMBER(AJ407),IF(AJ407&gt;=99,IF(OR(R407=10,R407=11),MatchLabel,SureThingLabel),IF(AJ407&gt;=95,SecureLabel,IF(AJ407&gt;=80,SafetyLabel,IF(AJ407&gt;=50,MatchLabel,IF(AJ407&gt;=20,ReachLabel,IF(AJ407&gt;=10,LongshotLabel,HailMaryLabel)))))),"Other")</f>
        <v>0</v>
      </c>
      <c r="AL407">
        <f>IF(OR(I407="accepted",I407="cond. accept",I407="summer admit"),IF(J407="yes","CHOICE!","Accepted!"),IF(I407="denied","Denied",IF(K407=1,"Waitlist",IF(L407=1,"Deferred",IF(G407="pending","Pending",IF(OR(G407="initial materials submitted",G407="mid-year submitted",G407="final submitted"),"Submitted",IF(H407="interest","Interest","?")))))))</f>
        <v>0</v>
      </c>
      <c r="AM407">
        <f>IF(OR(AK407=ReachLabel,AK407=LongshotLabel,AK407=HailMaryLabel),1,0)</f>
        <v>0</v>
      </c>
      <c r="AN407">
        <f>IF(OR(AM407=1,AK407=MatchLabel),1,0)</f>
        <v>0</v>
      </c>
      <c r="AO407">
        <f>IF(OR(AK407=MatchLabel,AK407=SafetyLabel,AK407=SecureLabel,AK407=SureThingLabel),1,0)</f>
        <v>0</v>
      </c>
      <c r="AP407">
        <f>IF(OR(T407="H",T407="B"),IF(ISNUMBER(Y407),ROUND(Y407,2),0),IF(ISNUMBER(X407),ROUND(X407,2),0))</f>
        <v>0</v>
      </c>
      <c r="AQ407">
        <f>IF(AP407&gt;=U407,1,0)</f>
        <v>0</v>
      </c>
      <c r="AR407">
        <f>IF(AP407&gt;=V407,1,0)</f>
        <v>0</v>
      </c>
      <c r="AS407">
        <f>IF(AP407&lt;(U407-0.10),1,0)</f>
        <v>0</v>
      </c>
      <c r="AT407">
        <f>1-AJ407/100</f>
        <v>0</v>
      </c>
      <c r="AU407">
        <f>IF(AN407=1,AT407,1)</f>
        <v>0</v>
      </c>
      <c r="AV407">
        <f>IF(AM407=1,AT407,1)</f>
        <v>0</v>
      </c>
      <c r="AW407">
        <f>IF(AND(AQ407=1,ISNUMBER(AT407)),$AT407,1)</f>
        <v>0</v>
      </c>
      <c r="AX407">
        <f>IF(AND(AR407=1,ISNUMBER(AT407)),$AT407,1)</f>
        <v>0</v>
      </c>
      <c r="AY407">
        <f>IF(ISNUMBER(Y407),INDEX(AllCollegeMoney, MATCH(N407,AllCollegeNCES,0)),0)</f>
        <v>0</v>
      </c>
      <c r="AZ407">
        <f>IF(AND(AQ407=1,ISNUMBER(AT407),AY407=1),$AT407,1)</f>
        <v>0</v>
      </c>
      <c r="BA407">
        <f>IF(AND(AR407=1,ISNUMBER(AT407),AY407=1),$AT407,1)</f>
        <v>0</v>
      </c>
      <c r="BB407">
        <f>IF(ISNUMBER(Y407),INDEX(AllCollegeILPub, MATCH(N407,AllCollegeNCES,0)),0)</f>
        <v>0</v>
      </c>
      <c r="BC407">
        <f>IF(AK407=ReachLabel,AP407,0)</f>
        <v>0</v>
      </c>
      <c r="BD407">
        <f>IF(AK407=MatchLabel,AP407,0)</f>
        <v>0</v>
      </c>
      <c r="BE407">
        <f>IF(AK407=SafetyLabel,AP407,0)</f>
        <v>0</v>
      </c>
      <c r="BF407">
        <f>IF(AK407=SecureLabel,AP407,0)</f>
        <v>0</v>
      </c>
      <c r="BG407">
        <f>IF(AK407=SureThingLabel,AP407,0)</f>
        <v>0</v>
      </c>
      <c r="BH407">
        <f>MAX(BC407:BG407)</f>
        <v>0</v>
      </c>
      <c r="BI407">
        <f>MAX(BD407:BG407)</f>
        <v>0</v>
      </c>
      <c r="BJ407">
        <f>MAX(BE407:BG407)</f>
        <v>0</v>
      </c>
      <c r="BK407">
        <f>IF(AND(AK407=ReachLabel,AY407=1),AP407,0)</f>
        <v>0</v>
      </c>
      <c r="BL407">
        <f>IF(AND(AK407=MatchLabel,AY407=1),AP407,0)</f>
        <v>0</v>
      </c>
      <c r="BM407">
        <f>IF(AND(AK407=SafetyLabel,AY407=1),AP407,0)</f>
        <v>0</v>
      </c>
      <c r="BN407">
        <f>IF(AND(AK407=SecureLabel,AY407=1),AP407,0)</f>
        <v>0</v>
      </c>
      <c r="BO407">
        <f>IF(AND(AK407=SureThingLabel,AY407=1),AP407,0)</f>
        <v>0</v>
      </c>
      <c r="BP407">
        <f>MAX(BK407:BO407)</f>
        <v>0</v>
      </c>
      <c r="BQ407">
        <f>MAX(BL407:BO407)</f>
        <v>0</v>
      </c>
      <c r="BR407">
        <f>MAX(BM407:BO407)</f>
        <v>0</v>
      </c>
      <c r="BS407">
        <f>IF(ISNUMBER(Y407),INDEX(AllCollegeChicago, MATCH(N407,AllCollegeNCES,0))*AY407,0)</f>
        <v>0</v>
      </c>
      <c r="BT407">
        <f>IF(ISNUMBER(Y407),INDEX(AllCollegeMoneyCode, MATCH(N407,AllCollegeNCES,0)),"?")</f>
        <v>0</v>
      </c>
      <c r="BU407">
        <f>IF(OR(BT407="---",BT407="--",BT407="+/--",BT407="+/---"),1,0)</f>
        <v>0</v>
      </c>
      <c r="BV407">
        <f>AY407*AO407*AQ407</f>
        <v>0</v>
      </c>
    </row>
    <row r="408" spans="1:74">
      <c r="A408" t="s">
        <v>86</v>
      </c>
      <c r="B408">
        <v>23383224</v>
      </c>
      <c r="C408" t="s">
        <v>242</v>
      </c>
      <c r="D408" t="s">
        <v>243</v>
      </c>
      <c r="E408" t="s">
        <v>428</v>
      </c>
      <c r="F408" t="s">
        <v>462</v>
      </c>
      <c r="G408" t="s">
        <v>430</v>
      </c>
      <c r="H408" t="s">
        <v>431</v>
      </c>
      <c r="I408" t="s">
        <v>432</v>
      </c>
      <c r="J408" t="s">
        <v>432</v>
      </c>
      <c r="K408">
        <v>0</v>
      </c>
      <c r="L408" t="s">
        <v>428</v>
      </c>
      <c r="M408" t="s">
        <v>428</v>
      </c>
      <c r="N408">
        <v>168546</v>
      </c>
      <c r="O408">
        <f>INDEX(AllCollegeBarrons,MATCH(N408,AllCollegeNCES,0))</f>
        <v>0</v>
      </c>
      <c r="P408">
        <f>INDEX(KidGPAs,MATCH(B408,KidIDs,0))</f>
        <v>0</v>
      </c>
      <c r="Q408">
        <f>INDEX(KidACTs,MATCH(B408,KidIDs,0))</f>
        <v>0</v>
      </c>
      <c r="R408">
        <f>INDEX(Strats,MATCH(B408,KidIDs,0))</f>
        <v>0</v>
      </c>
      <c r="S408">
        <f>INDEX(KidRace,MATCH(B408,KidIDs,0))</f>
        <v>0</v>
      </c>
      <c r="T408">
        <f>IF(OR(S408="M",S408="I"),"H",S408)</f>
        <v>0</v>
      </c>
      <c r="U408">
        <f>INDEX(StudentTargets,MATCH(B408,KidIDs,0))</f>
        <v>0</v>
      </c>
      <c r="V408">
        <f>INDEX(ReachStudentTargets,MATCH(B408,KidIDs,0))</f>
        <v>0</v>
      </c>
      <c r="W408">
        <f>IF(OR(M408="Posse"),1,0)</f>
        <v>0</v>
      </c>
      <c r="X408">
        <f>IF(ISNUMBER(INDEX(AllCollegeGR, MATCH(N408,AllCollegeNCES,0))),ROUND(INDEX(AllCollegeGR, MATCH(N408,AllCollegeNCES,0))+W408*IF(INDEX(AllCollegeGR, MATCH(N408,AllCollegeNCES,0))&gt;0.7,(1-INDEX(AllCollegeGR, MATCH(N408,AllCollegeNCES,0)))/2,0.15),2),INDEX(AllCollegeGR, MATCH(N408,AllCollegeNCES,0)))</f>
        <v>0</v>
      </c>
      <c r="Y408">
        <f>IF(ISNUMBER(INDEX(AllCollegeAAHGR, MATCH(N408,AllCollegeNCES,0))),ROUND(INDEX(AllCollegeAAHGR, MATCH(N408,AllCollegeNCES,0))+W408*IF(INDEX(AllCollegeAAHGR, MATCH(N408,AllCollegeNCES,0))&gt;0.7,(1-INDEX(AllCollegeAAHGR, MATCH(N408,AllCollegeNCES,0)))/2,0.15),2),INDEX(AllCollegeAAHGR, MATCH(N408,AllCollegeNCES,0)))</f>
        <v>0</v>
      </c>
      <c r="Z408">
        <f>IF(OR(T408="H",T408="B"),INDEX(AllCollegeACT25, MATCH(N408,AllCollegeNCES,0)),INDEX(AllCollegeACT50, MATCH(N408,AllCollegeNCES,0)))</f>
        <v>0</v>
      </c>
      <c r="AA408">
        <f>INDEX(CustomWeightsGPA,MATCH(T408&amp;":"&amp;N408,CustomWeightsIndex,0))</f>
        <v>0</v>
      </c>
      <c r="AB408">
        <f>INDEX(CustomWeightsACT,MATCH(T408&amp;":"&amp;N408,CustomWeightsIndex,0))</f>
        <v>0</v>
      </c>
      <c r="AC408">
        <f>INDEX(CustomWeightsIntercept,MATCH(T408&amp;":"&amp;N408,CustomWeightsIndex,0))</f>
        <v>0</v>
      </c>
      <c r="AD408">
        <f>AA408*P408+AB408*Q408+AC408</f>
        <v>0</v>
      </c>
      <c r="AE408">
        <f>INDEX(CoefficientsGPA,MATCH(T408&amp;":"&amp;O408,CoefficientsIndex,0))</f>
        <v>0</v>
      </c>
      <c r="AF408">
        <f>INDEX(CoefficientsACT,MATCH(T408&amp;":"&amp;O408,CoefficientsIndex,0))</f>
        <v>0</v>
      </c>
      <c r="AG408">
        <f>INDEX(CoefficientsIntercept,MATCH(T408&amp;":"&amp;O408,CoefficientsIndex,0))</f>
        <v>0</v>
      </c>
      <c r="AH408">
        <f>AE408*P408+(Q408-Z408)*AF408+AG408</f>
        <v>0</v>
      </c>
      <c r="AI408">
        <f>IF(ISNUMBER(AD408),AD408,AH408)</f>
        <v>0</v>
      </c>
      <c r="AJ408">
        <f>IF(ISNUMBER(AI408),IF(ISNUMBER(AE408),IF(AND(AE408=1,AF408=1,AG408=1),100,ROUND(100*EXP(AI408)/(1+EXP(AI408)),2)),ROUND(100*EXP(AI408)/(1+EXP(AI408)),2)),IF(ISTEXT(O408),IF(LEFT(O408,1)="2",100,"N/A"),"N/A"))</f>
        <v>0</v>
      </c>
      <c r="AK408">
        <f>IF(ISNUMBER(AJ408),IF(AJ408&gt;=99,IF(OR(R408=10,R408=11),MatchLabel,SureThingLabel),IF(AJ408&gt;=95,SecureLabel,IF(AJ408&gt;=80,SafetyLabel,IF(AJ408&gt;=50,MatchLabel,IF(AJ408&gt;=20,ReachLabel,IF(AJ408&gt;=10,LongshotLabel,HailMaryLabel)))))),"Other")</f>
        <v>0</v>
      </c>
      <c r="AL408">
        <f>IF(OR(I408="accepted",I408="cond. accept",I408="summer admit"),IF(J408="yes","CHOICE!","Accepted!"),IF(I408="denied","Denied",IF(K408=1,"Waitlist",IF(L408=1,"Deferred",IF(G408="pending","Pending",IF(OR(G408="initial materials submitted",G408="mid-year submitted",G408="final submitted"),"Submitted",IF(H408="interest","Interest","?")))))))</f>
        <v>0</v>
      </c>
      <c r="AM408">
        <f>IF(OR(AK408=ReachLabel,AK408=LongshotLabel,AK408=HailMaryLabel),1,0)</f>
        <v>0</v>
      </c>
      <c r="AN408">
        <f>IF(OR(AM408=1,AK408=MatchLabel),1,0)</f>
        <v>0</v>
      </c>
      <c r="AO408">
        <f>IF(OR(AK408=MatchLabel,AK408=SafetyLabel,AK408=SecureLabel,AK408=SureThingLabel),1,0)</f>
        <v>0</v>
      </c>
      <c r="AP408">
        <f>IF(OR(T408="H",T408="B"),IF(ISNUMBER(Y408),ROUND(Y408,2),0),IF(ISNUMBER(X408),ROUND(X408,2),0))</f>
        <v>0</v>
      </c>
      <c r="AQ408">
        <f>IF(AP408&gt;=U408,1,0)</f>
        <v>0</v>
      </c>
      <c r="AR408">
        <f>IF(AP408&gt;=V408,1,0)</f>
        <v>0</v>
      </c>
      <c r="AS408">
        <f>IF(AP408&lt;(U408-0.10),1,0)</f>
        <v>0</v>
      </c>
      <c r="AT408">
        <f>1-AJ408/100</f>
        <v>0</v>
      </c>
      <c r="AU408">
        <f>IF(AN408=1,AT408,1)</f>
        <v>0</v>
      </c>
      <c r="AV408">
        <f>IF(AM408=1,AT408,1)</f>
        <v>0</v>
      </c>
      <c r="AW408">
        <f>IF(AND(AQ408=1,ISNUMBER(AT408)),$AT408,1)</f>
        <v>0</v>
      </c>
      <c r="AX408">
        <f>IF(AND(AR408=1,ISNUMBER(AT408)),$AT408,1)</f>
        <v>0</v>
      </c>
      <c r="AY408">
        <f>IF(ISNUMBER(Y408),INDEX(AllCollegeMoney, MATCH(N408,AllCollegeNCES,0)),0)</f>
        <v>0</v>
      </c>
      <c r="AZ408">
        <f>IF(AND(AQ408=1,ISNUMBER(AT408),AY408=1),$AT408,1)</f>
        <v>0</v>
      </c>
      <c r="BA408">
        <f>IF(AND(AR408=1,ISNUMBER(AT408),AY408=1),$AT408,1)</f>
        <v>0</v>
      </c>
      <c r="BB408">
        <f>IF(ISNUMBER(Y408),INDEX(AllCollegeILPub, MATCH(N408,AllCollegeNCES,0)),0)</f>
        <v>0</v>
      </c>
      <c r="BC408">
        <f>IF(AK408=ReachLabel,AP408,0)</f>
        <v>0</v>
      </c>
      <c r="BD408">
        <f>IF(AK408=MatchLabel,AP408,0)</f>
        <v>0</v>
      </c>
      <c r="BE408">
        <f>IF(AK408=SafetyLabel,AP408,0)</f>
        <v>0</v>
      </c>
      <c r="BF408">
        <f>IF(AK408=SecureLabel,AP408,0)</f>
        <v>0</v>
      </c>
      <c r="BG408">
        <f>IF(AK408=SureThingLabel,AP408,0)</f>
        <v>0</v>
      </c>
      <c r="BH408">
        <f>MAX(BC408:BG408)</f>
        <v>0</v>
      </c>
      <c r="BI408">
        <f>MAX(BD408:BG408)</f>
        <v>0</v>
      </c>
      <c r="BJ408">
        <f>MAX(BE408:BG408)</f>
        <v>0</v>
      </c>
      <c r="BK408">
        <f>IF(AND(AK408=ReachLabel,AY408=1),AP408,0)</f>
        <v>0</v>
      </c>
      <c r="BL408">
        <f>IF(AND(AK408=MatchLabel,AY408=1),AP408,0)</f>
        <v>0</v>
      </c>
      <c r="BM408">
        <f>IF(AND(AK408=SafetyLabel,AY408=1),AP408,0)</f>
        <v>0</v>
      </c>
      <c r="BN408">
        <f>IF(AND(AK408=SecureLabel,AY408=1),AP408,0)</f>
        <v>0</v>
      </c>
      <c r="BO408">
        <f>IF(AND(AK408=SureThingLabel,AY408=1),AP408,0)</f>
        <v>0</v>
      </c>
      <c r="BP408">
        <f>MAX(BK408:BO408)</f>
        <v>0</v>
      </c>
      <c r="BQ408">
        <f>MAX(BL408:BO408)</f>
        <v>0</v>
      </c>
      <c r="BR408">
        <f>MAX(BM408:BO408)</f>
        <v>0</v>
      </c>
      <c r="BS408">
        <f>IF(ISNUMBER(Y408),INDEX(AllCollegeChicago, MATCH(N408,AllCollegeNCES,0))*AY408,0)</f>
        <v>0</v>
      </c>
      <c r="BT408">
        <f>IF(ISNUMBER(Y408),INDEX(AllCollegeMoneyCode, MATCH(N408,AllCollegeNCES,0)),"?")</f>
        <v>0</v>
      </c>
      <c r="BU408">
        <f>IF(OR(BT408="---",BT408="--",BT408="+/--",BT408="+/---"),1,0)</f>
        <v>0</v>
      </c>
      <c r="BV408">
        <f>AY408*AO408*AQ408</f>
        <v>0</v>
      </c>
    </row>
    <row r="409" spans="1:74">
      <c r="A409" t="s">
        <v>86</v>
      </c>
      <c r="B409">
        <v>23383224</v>
      </c>
      <c r="C409" t="s">
        <v>242</v>
      </c>
      <c r="D409" t="s">
        <v>243</v>
      </c>
      <c r="E409" t="s">
        <v>428</v>
      </c>
      <c r="F409" t="s">
        <v>433</v>
      </c>
      <c r="G409" t="s">
        <v>430</v>
      </c>
      <c r="H409" t="s">
        <v>431</v>
      </c>
      <c r="I409" t="s">
        <v>432</v>
      </c>
      <c r="J409" t="s">
        <v>432</v>
      </c>
      <c r="K409">
        <v>0</v>
      </c>
      <c r="L409" t="s">
        <v>428</v>
      </c>
      <c r="M409" t="s">
        <v>428</v>
      </c>
      <c r="N409">
        <v>148496</v>
      </c>
      <c r="O409">
        <f>INDEX(AllCollegeBarrons,MATCH(N409,AllCollegeNCES,0))</f>
        <v>0</v>
      </c>
      <c r="P409">
        <f>INDEX(KidGPAs,MATCH(B409,KidIDs,0))</f>
        <v>0</v>
      </c>
      <c r="Q409">
        <f>INDEX(KidACTs,MATCH(B409,KidIDs,0))</f>
        <v>0</v>
      </c>
      <c r="R409">
        <f>INDEX(Strats,MATCH(B409,KidIDs,0))</f>
        <v>0</v>
      </c>
      <c r="S409">
        <f>INDEX(KidRace,MATCH(B409,KidIDs,0))</f>
        <v>0</v>
      </c>
      <c r="T409">
        <f>IF(OR(S409="M",S409="I"),"H",S409)</f>
        <v>0</v>
      </c>
      <c r="U409">
        <f>INDEX(StudentTargets,MATCH(B409,KidIDs,0))</f>
        <v>0</v>
      </c>
      <c r="V409">
        <f>INDEX(ReachStudentTargets,MATCH(B409,KidIDs,0))</f>
        <v>0</v>
      </c>
      <c r="W409">
        <f>IF(OR(M409="Posse"),1,0)</f>
        <v>0</v>
      </c>
      <c r="X409">
        <f>IF(ISNUMBER(INDEX(AllCollegeGR, MATCH(N409,AllCollegeNCES,0))),ROUND(INDEX(AllCollegeGR, MATCH(N409,AllCollegeNCES,0))+W409*IF(INDEX(AllCollegeGR, MATCH(N409,AllCollegeNCES,0))&gt;0.7,(1-INDEX(AllCollegeGR, MATCH(N409,AllCollegeNCES,0)))/2,0.15),2),INDEX(AllCollegeGR, MATCH(N409,AllCollegeNCES,0)))</f>
        <v>0</v>
      </c>
      <c r="Y409">
        <f>IF(ISNUMBER(INDEX(AllCollegeAAHGR, MATCH(N409,AllCollegeNCES,0))),ROUND(INDEX(AllCollegeAAHGR, MATCH(N409,AllCollegeNCES,0))+W409*IF(INDEX(AllCollegeAAHGR, MATCH(N409,AllCollegeNCES,0))&gt;0.7,(1-INDEX(AllCollegeAAHGR, MATCH(N409,AllCollegeNCES,0)))/2,0.15),2),INDEX(AllCollegeAAHGR, MATCH(N409,AllCollegeNCES,0)))</f>
        <v>0</v>
      </c>
      <c r="Z409">
        <f>IF(OR(T409="H",T409="B"),INDEX(AllCollegeACT25, MATCH(N409,AllCollegeNCES,0)),INDEX(AllCollegeACT50, MATCH(N409,AllCollegeNCES,0)))</f>
        <v>0</v>
      </c>
      <c r="AA409">
        <f>INDEX(CustomWeightsGPA,MATCH(T409&amp;":"&amp;N409,CustomWeightsIndex,0))</f>
        <v>0</v>
      </c>
      <c r="AB409">
        <f>INDEX(CustomWeightsACT,MATCH(T409&amp;":"&amp;N409,CustomWeightsIndex,0))</f>
        <v>0</v>
      </c>
      <c r="AC409">
        <f>INDEX(CustomWeightsIntercept,MATCH(T409&amp;":"&amp;N409,CustomWeightsIndex,0))</f>
        <v>0</v>
      </c>
      <c r="AD409">
        <f>AA409*P409+AB409*Q409+AC409</f>
        <v>0</v>
      </c>
      <c r="AE409">
        <f>INDEX(CoefficientsGPA,MATCH(T409&amp;":"&amp;O409,CoefficientsIndex,0))</f>
        <v>0</v>
      </c>
      <c r="AF409">
        <f>INDEX(CoefficientsACT,MATCH(T409&amp;":"&amp;O409,CoefficientsIndex,0))</f>
        <v>0</v>
      </c>
      <c r="AG409">
        <f>INDEX(CoefficientsIntercept,MATCH(T409&amp;":"&amp;O409,CoefficientsIndex,0))</f>
        <v>0</v>
      </c>
      <c r="AH409">
        <f>AE409*P409+(Q409-Z409)*AF409+AG409</f>
        <v>0</v>
      </c>
      <c r="AI409">
        <f>IF(ISNUMBER(AD409),AD409,AH409)</f>
        <v>0</v>
      </c>
      <c r="AJ409">
        <f>IF(ISNUMBER(AI409),IF(ISNUMBER(AE409),IF(AND(AE409=1,AF409=1,AG409=1),100,ROUND(100*EXP(AI409)/(1+EXP(AI409)),2)),ROUND(100*EXP(AI409)/(1+EXP(AI409)),2)),IF(ISTEXT(O409),IF(LEFT(O409,1)="2",100,"N/A"),"N/A"))</f>
        <v>0</v>
      </c>
      <c r="AK409">
        <f>IF(ISNUMBER(AJ409),IF(AJ409&gt;=99,IF(OR(R409=10,R409=11),MatchLabel,SureThingLabel),IF(AJ409&gt;=95,SecureLabel,IF(AJ409&gt;=80,SafetyLabel,IF(AJ409&gt;=50,MatchLabel,IF(AJ409&gt;=20,ReachLabel,IF(AJ409&gt;=10,LongshotLabel,HailMaryLabel)))))),"Other")</f>
        <v>0</v>
      </c>
      <c r="AL409">
        <f>IF(OR(I409="accepted",I409="cond. accept",I409="summer admit"),IF(J409="yes","CHOICE!","Accepted!"),IF(I409="denied","Denied",IF(K409=1,"Waitlist",IF(L409=1,"Deferred",IF(G409="pending","Pending",IF(OR(G409="initial materials submitted",G409="mid-year submitted",G409="final submitted"),"Submitted",IF(H409="interest","Interest","?")))))))</f>
        <v>0</v>
      </c>
      <c r="AM409">
        <f>IF(OR(AK409=ReachLabel,AK409=LongshotLabel,AK409=HailMaryLabel),1,0)</f>
        <v>0</v>
      </c>
      <c r="AN409">
        <f>IF(OR(AM409=1,AK409=MatchLabel),1,0)</f>
        <v>0</v>
      </c>
      <c r="AO409">
        <f>IF(OR(AK409=MatchLabel,AK409=SafetyLabel,AK409=SecureLabel,AK409=SureThingLabel),1,0)</f>
        <v>0</v>
      </c>
      <c r="AP409">
        <f>IF(OR(T409="H",T409="B"),IF(ISNUMBER(Y409),ROUND(Y409,2),0),IF(ISNUMBER(X409),ROUND(X409,2),0))</f>
        <v>0</v>
      </c>
      <c r="AQ409">
        <f>IF(AP409&gt;=U409,1,0)</f>
        <v>0</v>
      </c>
      <c r="AR409">
        <f>IF(AP409&gt;=V409,1,0)</f>
        <v>0</v>
      </c>
      <c r="AS409">
        <f>IF(AP409&lt;(U409-0.10),1,0)</f>
        <v>0</v>
      </c>
      <c r="AT409">
        <f>1-AJ409/100</f>
        <v>0</v>
      </c>
      <c r="AU409">
        <f>IF(AN409=1,AT409,1)</f>
        <v>0</v>
      </c>
      <c r="AV409">
        <f>IF(AM409=1,AT409,1)</f>
        <v>0</v>
      </c>
      <c r="AW409">
        <f>IF(AND(AQ409=1,ISNUMBER(AT409)),$AT409,1)</f>
        <v>0</v>
      </c>
      <c r="AX409">
        <f>IF(AND(AR409=1,ISNUMBER(AT409)),$AT409,1)</f>
        <v>0</v>
      </c>
      <c r="AY409">
        <f>IF(ISNUMBER(Y409),INDEX(AllCollegeMoney, MATCH(N409,AllCollegeNCES,0)),0)</f>
        <v>0</v>
      </c>
      <c r="AZ409">
        <f>IF(AND(AQ409=1,ISNUMBER(AT409),AY409=1),$AT409,1)</f>
        <v>0</v>
      </c>
      <c r="BA409">
        <f>IF(AND(AR409=1,ISNUMBER(AT409),AY409=1),$AT409,1)</f>
        <v>0</v>
      </c>
      <c r="BB409">
        <f>IF(ISNUMBER(Y409),INDEX(AllCollegeILPub, MATCH(N409,AllCollegeNCES,0)),0)</f>
        <v>0</v>
      </c>
      <c r="BC409">
        <f>IF(AK409=ReachLabel,AP409,0)</f>
        <v>0</v>
      </c>
      <c r="BD409">
        <f>IF(AK409=MatchLabel,AP409,0)</f>
        <v>0</v>
      </c>
      <c r="BE409">
        <f>IF(AK409=SafetyLabel,AP409,0)</f>
        <v>0</v>
      </c>
      <c r="BF409">
        <f>IF(AK409=SecureLabel,AP409,0)</f>
        <v>0</v>
      </c>
      <c r="BG409">
        <f>IF(AK409=SureThingLabel,AP409,0)</f>
        <v>0</v>
      </c>
      <c r="BH409">
        <f>MAX(BC409:BG409)</f>
        <v>0</v>
      </c>
      <c r="BI409">
        <f>MAX(BD409:BG409)</f>
        <v>0</v>
      </c>
      <c r="BJ409">
        <f>MAX(BE409:BG409)</f>
        <v>0</v>
      </c>
      <c r="BK409">
        <f>IF(AND(AK409=ReachLabel,AY409=1),AP409,0)</f>
        <v>0</v>
      </c>
      <c r="BL409">
        <f>IF(AND(AK409=MatchLabel,AY409=1),AP409,0)</f>
        <v>0</v>
      </c>
      <c r="BM409">
        <f>IF(AND(AK409=SafetyLabel,AY409=1),AP409,0)</f>
        <v>0</v>
      </c>
      <c r="BN409">
        <f>IF(AND(AK409=SecureLabel,AY409=1),AP409,0)</f>
        <v>0</v>
      </c>
      <c r="BO409">
        <f>IF(AND(AK409=SureThingLabel,AY409=1),AP409,0)</f>
        <v>0</v>
      </c>
      <c r="BP409">
        <f>MAX(BK409:BO409)</f>
        <v>0</v>
      </c>
      <c r="BQ409">
        <f>MAX(BL409:BO409)</f>
        <v>0</v>
      </c>
      <c r="BR409">
        <f>MAX(BM409:BO409)</f>
        <v>0</v>
      </c>
      <c r="BS409">
        <f>IF(ISNUMBER(Y409),INDEX(AllCollegeChicago, MATCH(N409,AllCollegeNCES,0))*AY409,0)</f>
        <v>0</v>
      </c>
      <c r="BT409">
        <f>IF(ISNUMBER(Y409),INDEX(AllCollegeMoneyCode, MATCH(N409,AllCollegeNCES,0)),"?")</f>
        <v>0</v>
      </c>
      <c r="BU409">
        <f>IF(OR(BT409="---",BT409="--",BT409="+/--",BT409="+/---"),1,0)</f>
        <v>0</v>
      </c>
      <c r="BV409">
        <f>AY409*AO409*AQ409</f>
        <v>0</v>
      </c>
    </row>
    <row r="410" spans="1:74">
      <c r="A410" t="s">
        <v>86</v>
      </c>
      <c r="B410">
        <v>23383224</v>
      </c>
      <c r="C410" t="s">
        <v>242</v>
      </c>
      <c r="D410" t="s">
        <v>243</v>
      </c>
      <c r="E410" t="s">
        <v>428</v>
      </c>
      <c r="F410" t="s">
        <v>447</v>
      </c>
      <c r="G410" t="s">
        <v>430</v>
      </c>
      <c r="H410" t="s">
        <v>431</v>
      </c>
      <c r="I410" t="s">
        <v>432</v>
      </c>
      <c r="J410" t="s">
        <v>432</v>
      </c>
      <c r="K410">
        <v>0</v>
      </c>
      <c r="L410" t="s">
        <v>428</v>
      </c>
      <c r="M410" t="s">
        <v>428</v>
      </c>
      <c r="N410">
        <v>145600</v>
      </c>
      <c r="O410">
        <f>INDEX(AllCollegeBarrons,MATCH(N410,AllCollegeNCES,0))</f>
        <v>0</v>
      </c>
      <c r="P410">
        <f>INDEX(KidGPAs,MATCH(B410,KidIDs,0))</f>
        <v>0</v>
      </c>
      <c r="Q410">
        <f>INDEX(KidACTs,MATCH(B410,KidIDs,0))</f>
        <v>0</v>
      </c>
      <c r="R410">
        <f>INDEX(Strats,MATCH(B410,KidIDs,0))</f>
        <v>0</v>
      </c>
      <c r="S410">
        <f>INDEX(KidRace,MATCH(B410,KidIDs,0))</f>
        <v>0</v>
      </c>
      <c r="T410">
        <f>IF(OR(S410="M",S410="I"),"H",S410)</f>
        <v>0</v>
      </c>
      <c r="U410">
        <f>INDEX(StudentTargets,MATCH(B410,KidIDs,0))</f>
        <v>0</v>
      </c>
      <c r="V410">
        <f>INDEX(ReachStudentTargets,MATCH(B410,KidIDs,0))</f>
        <v>0</v>
      </c>
      <c r="W410">
        <f>IF(OR(M410="Posse"),1,0)</f>
        <v>0</v>
      </c>
      <c r="X410">
        <f>IF(ISNUMBER(INDEX(AllCollegeGR, MATCH(N410,AllCollegeNCES,0))),ROUND(INDEX(AllCollegeGR, MATCH(N410,AllCollegeNCES,0))+W410*IF(INDEX(AllCollegeGR, MATCH(N410,AllCollegeNCES,0))&gt;0.7,(1-INDEX(AllCollegeGR, MATCH(N410,AllCollegeNCES,0)))/2,0.15),2),INDEX(AllCollegeGR, MATCH(N410,AllCollegeNCES,0)))</f>
        <v>0</v>
      </c>
      <c r="Y410">
        <f>IF(ISNUMBER(INDEX(AllCollegeAAHGR, MATCH(N410,AllCollegeNCES,0))),ROUND(INDEX(AllCollegeAAHGR, MATCH(N410,AllCollegeNCES,0))+W410*IF(INDEX(AllCollegeAAHGR, MATCH(N410,AllCollegeNCES,0))&gt;0.7,(1-INDEX(AllCollegeAAHGR, MATCH(N410,AllCollegeNCES,0)))/2,0.15),2),INDEX(AllCollegeAAHGR, MATCH(N410,AllCollegeNCES,0)))</f>
        <v>0</v>
      </c>
      <c r="Z410">
        <f>IF(OR(T410="H",T410="B"),INDEX(AllCollegeACT25, MATCH(N410,AllCollegeNCES,0)),INDEX(AllCollegeACT50, MATCH(N410,AllCollegeNCES,0)))</f>
        <v>0</v>
      </c>
      <c r="AA410">
        <f>INDEX(CustomWeightsGPA,MATCH(T410&amp;":"&amp;N410,CustomWeightsIndex,0))</f>
        <v>0</v>
      </c>
      <c r="AB410">
        <f>INDEX(CustomWeightsACT,MATCH(T410&amp;":"&amp;N410,CustomWeightsIndex,0))</f>
        <v>0</v>
      </c>
      <c r="AC410">
        <f>INDEX(CustomWeightsIntercept,MATCH(T410&amp;":"&amp;N410,CustomWeightsIndex,0))</f>
        <v>0</v>
      </c>
      <c r="AD410">
        <f>AA410*P410+AB410*Q410+AC410</f>
        <v>0</v>
      </c>
      <c r="AE410">
        <f>INDEX(CoefficientsGPA,MATCH(T410&amp;":"&amp;O410,CoefficientsIndex,0))</f>
        <v>0</v>
      </c>
      <c r="AF410">
        <f>INDEX(CoefficientsACT,MATCH(T410&amp;":"&amp;O410,CoefficientsIndex,0))</f>
        <v>0</v>
      </c>
      <c r="AG410">
        <f>INDEX(CoefficientsIntercept,MATCH(T410&amp;":"&amp;O410,CoefficientsIndex,0))</f>
        <v>0</v>
      </c>
      <c r="AH410">
        <f>AE410*P410+(Q410-Z410)*AF410+AG410</f>
        <v>0</v>
      </c>
      <c r="AI410">
        <f>IF(ISNUMBER(AD410),AD410,AH410)</f>
        <v>0</v>
      </c>
      <c r="AJ410">
        <f>IF(ISNUMBER(AI410),IF(ISNUMBER(AE410),IF(AND(AE410=1,AF410=1,AG410=1),100,ROUND(100*EXP(AI410)/(1+EXP(AI410)),2)),ROUND(100*EXP(AI410)/(1+EXP(AI410)),2)),IF(ISTEXT(O410),IF(LEFT(O410,1)="2",100,"N/A"),"N/A"))</f>
        <v>0</v>
      </c>
      <c r="AK410">
        <f>IF(ISNUMBER(AJ410),IF(AJ410&gt;=99,IF(OR(R410=10,R410=11),MatchLabel,SureThingLabel),IF(AJ410&gt;=95,SecureLabel,IF(AJ410&gt;=80,SafetyLabel,IF(AJ410&gt;=50,MatchLabel,IF(AJ410&gt;=20,ReachLabel,IF(AJ410&gt;=10,LongshotLabel,HailMaryLabel)))))),"Other")</f>
        <v>0</v>
      </c>
      <c r="AL410">
        <f>IF(OR(I410="accepted",I410="cond. accept",I410="summer admit"),IF(J410="yes","CHOICE!","Accepted!"),IF(I410="denied","Denied",IF(K410=1,"Waitlist",IF(L410=1,"Deferred",IF(G410="pending","Pending",IF(OR(G410="initial materials submitted",G410="mid-year submitted",G410="final submitted"),"Submitted",IF(H410="interest","Interest","?")))))))</f>
        <v>0</v>
      </c>
      <c r="AM410">
        <f>IF(OR(AK410=ReachLabel,AK410=LongshotLabel,AK410=HailMaryLabel),1,0)</f>
        <v>0</v>
      </c>
      <c r="AN410">
        <f>IF(OR(AM410=1,AK410=MatchLabel),1,0)</f>
        <v>0</v>
      </c>
      <c r="AO410">
        <f>IF(OR(AK410=MatchLabel,AK410=SafetyLabel,AK410=SecureLabel,AK410=SureThingLabel),1,0)</f>
        <v>0</v>
      </c>
      <c r="AP410">
        <f>IF(OR(T410="H",T410="B"),IF(ISNUMBER(Y410),ROUND(Y410,2),0),IF(ISNUMBER(X410),ROUND(X410,2),0))</f>
        <v>0</v>
      </c>
      <c r="AQ410">
        <f>IF(AP410&gt;=U410,1,0)</f>
        <v>0</v>
      </c>
      <c r="AR410">
        <f>IF(AP410&gt;=V410,1,0)</f>
        <v>0</v>
      </c>
      <c r="AS410">
        <f>IF(AP410&lt;(U410-0.10),1,0)</f>
        <v>0</v>
      </c>
      <c r="AT410">
        <f>1-AJ410/100</f>
        <v>0</v>
      </c>
      <c r="AU410">
        <f>IF(AN410=1,AT410,1)</f>
        <v>0</v>
      </c>
      <c r="AV410">
        <f>IF(AM410=1,AT410,1)</f>
        <v>0</v>
      </c>
      <c r="AW410">
        <f>IF(AND(AQ410=1,ISNUMBER(AT410)),$AT410,1)</f>
        <v>0</v>
      </c>
      <c r="AX410">
        <f>IF(AND(AR410=1,ISNUMBER(AT410)),$AT410,1)</f>
        <v>0</v>
      </c>
      <c r="AY410">
        <f>IF(ISNUMBER(Y410),INDEX(AllCollegeMoney, MATCH(N410,AllCollegeNCES,0)),0)</f>
        <v>0</v>
      </c>
      <c r="AZ410">
        <f>IF(AND(AQ410=1,ISNUMBER(AT410),AY410=1),$AT410,1)</f>
        <v>0</v>
      </c>
      <c r="BA410">
        <f>IF(AND(AR410=1,ISNUMBER(AT410),AY410=1),$AT410,1)</f>
        <v>0</v>
      </c>
      <c r="BB410">
        <f>IF(ISNUMBER(Y410),INDEX(AllCollegeILPub, MATCH(N410,AllCollegeNCES,0)),0)</f>
        <v>0</v>
      </c>
      <c r="BC410">
        <f>IF(AK410=ReachLabel,AP410,0)</f>
        <v>0</v>
      </c>
      <c r="BD410">
        <f>IF(AK410=MatchLabel,AP410,0)</f>
        <v>0</v>
      </c>
      <c r="BE410">
        <f>IF(AK410=SafetyLabel,AP410,0)</f>
        <v>0</v>
      </c>
      <c r="BF410">
        <f>IF(AK410=SecureLabel,AP410,0)</f>
        <v>0</v>
      </c>
      <c r="BG410">
        <f>IF(AK410=SureThingLabel,AP410,0)</f>
        <v>0</v>
      </c>
      <c r="BH410">
        <f>MAX(BC410:BG410)</f>
        <v>0</v>
      </c>
      <c r="BI410">
        <f>MAX(BD410:BG410)</f>
        <v>0</v>
      </c>
      <c r="BJ410">
        <f>MAX(BE410:BG410)</f>
        <v>0</v>
      </c>
      <c r="BK410">
        <f>IF(AND(AK410=ReachLabel,AY410=1),AP410,0)</f>
        <v>0</v>
      </c>
      <c r="BL410">
        <f>IF(AND(AK410=MatchLabel,AY410=1),AP410,0)</f>
        <v>0</v>
      </c>
      <c r="BM410">
        <f>IF(AND(AK410=SafetyLabel,AY410=1),AP410,0)</f>
        <v>0</v>
      </c>
      <c r="BN410">
        <f>IF(AND(AK410=SecureLabel,AY410=1),AP410,0)</f>
        <v>0</v>
      </c>
      <c r="BO410">
        <f>IF(AND(AK410=SureThingLabel,AY410=1),AP410,0)</f>
        <v>0</v>
      </c>
      <c r="BP410">
        <f>MAX(BK410:BO410)</f>
        <v>0</v>
      </c>
      <c r="BQ410">
        <f>MAX(BL410:BO410)</f>
        <v>0</v>
      </c>
      <c r="BR410">
        <f>MAX(BM410:BO410)</f>
        <v>0</v>
      </c>
      <c r="BS410">
        <f>IF(ISNUMBER(Y410),INDEX(AllCollegeChicago, MATCH(N410,AllCollegeNCES,0))*AY410,0)</f>
        <v>0</v>
      </c>
      <c r="BT410">
        <f>IF(ISNUMBER(Y410),INDEX(AllCollegeMoneyCode, MATCH(N410,AllCollegeNCES,0)),"?")</f>
        <v>0</v>
      </c>
      <c r="BU410">
        <f>IF(OR(BT410="---",BT410="--",BT410="+/--",BT410="+/---"),1,0)</f>
        <v>0</v>
      </c>
      <c r="BV410">
        <f>AY410*AO410*AQ410</f>
        <v>0</v>
      </c>
    </row>
    <row r="411" spans="1:74">
      <c r="A411" t="s">
        <v>86</v>
      </c>
      <c r="B411">
        <v>23395591</v>
      </c>
      <c r="C411" t="s">
        <v>269</v>
      </c>
      <c r="D411" t="s">
        <v>270</v>
      </c>
      <c r="E411" t="s">
        <v>428</v>
      </c>
      <c r="F411" t="s">
        <v>541</v>
      </c>
      <c r="G411" t="s">
        <v>430</v>
      </c>
      <c r="H411" t="s">
        <v>431</v>
      </c>
      <c r="I411" t="s">
        <v>432</v>
      </c>
      <c r="J411" t="s">
        <v>432</v>
      </c>
      <c r="K411">
        <v>0</v>
      </c>
      <c r="L411" t="s">
        <v>428</v>
      </c>
      <c r="M411" t="s">
        <v>428</v>
      </c>
      <c r="N411">
        <v>204501</v>
      </c>
      <c r="O411">
        <f>INDEX(AllCollegeBarrons,MATCH(N411,AllCollegeNCES,0))</f>
        <v>0</v>
      </c>
      <c r="P411">
        <f>INDEX(KidGPAs,MATCH(B411,KidIDs,0))</f>
        <v>0</v>
      </c>
      <c r="Q411">
        <f>INDEX(KidACTs,MATCH(B411,KidIDs,0))</f>
        <v>0</v>
      </c>
      <c r="R411">
        <f>INDEX(Strats,MATCH(B411,KidIDs,0))</f>
        <v>0</v>
      </c>
      <c r="S411">
        <f>INDEX(KidRace,MATCH(B411,KidIDs,0))</f>
        <v>0</v>
      </c>
      <c r="T411">
        <f>IF(OR(S411="M",S411="I"),"H",S411)</f>
        <v>0</v>
      </c>
      <c r="U411">
        <f>INDEX(StudentTargets,MATCH(B411,KidIDs,0))</f>
        <v>0</v>
      </c>
      <c r="V411">
        <f>INDEX(ReachStudentTargets,MATCH(B411,KidIDs,0))</f>
        <v>0</v>
      </c>
      <c r="W411">
        <f>IF(OR(M411="Posse"),1,0)</f>
        <v>0</v>
      </c>
      <c r="X411">
        <f>IF(ISNUMBER(INDEX(AllCollegeGR, MATCH(N411,AllCollegeNCES,0))),ROUND(INDEX(AllCollegeGR, MATCH(N411,AllCollegeNCES,0))+W411*IF(INDEX(AllCollegeGR, MATCH(N411,AllCollegeNCES,0))&gt;0.7,(1-INDEX(AllCollegeGR, MATCH(N411,AllCollegeNCES,0)))/2,0.15),2),INDEX(AllCollegeGR, MATCH(N411,AllCollegeNCES,0)))</f>
        <v>0</v>
      </c>
      <c r="Y411">
        <f>IF(ISNUMBER(INDEX(AllCollegeAAHGR, MATCH(N411,AllCollegeNCES,0))),ROUND(INDEX(AllCollegeAAHGR, MATCH(N411,AllCollegeNCES,0))+W411*IF(INDEX(AllCollegeAAHGR, MATCH(N411,AllCollegeNCES,0))&gt;0.7,(1-INDEX(AllCollegeAAHGR, MATCH(N411,AllCollegeNCES,0)))/2,0.15),2),INDEX(AllCollegeAAHGR, MATCH(N411,AllCollegeNCES,0)))</f>
        <v>0</v>
      </c>
      <c r="Z411">
        <f>IF(OR(T411="H",T411="B"),INDEX(AllCollegeACT25, MATCH(N411,AllCollegeNCES,0)),INDEX(AllCollegeACT50, MATCH(N411,AllCollegeNCES,0)))</f>
        <v>0</v>
      </c>
      <c r="AA411">
        <f>INDEX(CustomWeightsGPA,MATCH(T411&amp;":"&amp;N411,CustomWeightsIndex,0))</f>
        <v>0</v>
      </c>
      <c r="AB411">
        <f>INDEX(CustomWeightsACT,MATCH(T411&amp;":"&amp;N411,CustomWeightsIndex,0))</f>
        <v>0</v>
      </c>
      <c r="AC411">
        <f>INDEX(CustomWeightsIntercept,MATCH(T411&amp;":"&amp;N411,CustomWeightsIndex,0))</f>
        <v>0</v>
      </c>
      <c r="AD411">
        <f>AA411*P411+AB411*Q411+AC411</f>
        <v>0</v>
      </c>
      <c r="AE411">
        <f>INDEX(CoefficientsGPA,MATCH(T411&amp;":"&amp;O411,CoefficientsIndex,0))</f>
        <v>0</v>
      </c>
      <c r="AF411">
        <f>INDEX(CoefficientsACT,MATCH(T411&amp;":"&amp;O411,CoefficientsIndex,0))</f>
        <v>0</v>
      </c>
      <c r="AG411">
        <f>INDEX(CoefficientsIntercept,MATCH(T411&amp;":"&amp;O411,CoefficientsIndex,0))</f>
        <v>0</v>
      </c>
      <c r="AH411">
        <f>AE411*P411+(Q411-Z411)*AF411+AG411</f>
        <v>0</v>
      </c>
      <c r="AI411">
        <f>IF(ISNUMBER(AD411),AD411,AH411)</f>
        <v>0</v>
      </c>
      <c r="AJ411">
        <f>IF(ISNUMBER(AI411),IF(ISNUMBER(AE411),IF(AND(AE411=1,AF411=1,AG411=1),100,ROUND(100*EXP(AI411)/(1+EXP(AI411)),2)),ROUND(100*EXP(AI411)/(1+EXP(AI411)),2)),IF(ISTEXT(O411),IF(LEFT(O411,1)="2",100,"N/A"),"N/A"))</f>
        <v>0</v>
      </c>
      <c r="AK411">
        <f>IF(ISNUMBER(AJ411),IF(AJ411&gt;=99,IF(OR(R411=10,R411=11),MatchLabel,SureThingLabel),IF(AJ411&gt;=95,SecureLabel,IF(AJ411&gt;=80,SafetyLabel,IF(AJ411&gt;=50,MatchLabel,IF(AJ411&gt;=20,ReachLabel,IF(AJ411&gt;=10,LongshotLabel,HailMaryLabel)))))),"Other")</f>
        <v>0</v>
      </c>
      <c r="AL411">
        <f>IF(OR(I411="accepted",I411="cond. accept",I411="summer admit"),IF(J411="yes","CHOICE!","Accepted!"),IF(I411="denied","Denied",IF(K411=1,"Waitlist",IF(L411=1,"Deferred",IF(G411="pending","Pending",IF(OR(G411="initial materials submitted",G411="mid-year submitted",G411="final submitted"),"Submitted",IF(H411="interest","Interest","?")))))))</f>
        <v>0</v>
      </c>
      <c r="AM411">
        <f>IF(OR(AK411=ReachLabel,AK411=LongshotLabel,AK411=HailMaryLabel),1,0)</f>
        <v>0</v>
      </c>
      <c r="AN411">
        <f>IF(OR(AM411=1,AK411=MatchLabel),1,0)</f>
        <v>0</v>
      </c>
      <c r="AO411">
        <f>IF(OR(AK411=MatchLabel,AK411=SafetyLabel,AK411=SecureLabel,AK411=SureThingLabel),1,0)</f>
        <v>0</v>
      </c>
      <c r="AP411">
        <f>IF(OR(T411="H",T411="B"),IF(ISNUMBER(Y411),ROUND(Y411,2),0),IF(ISNUMBER(X411),ROUND(X411,2),0))</f>
        <v>0</v>
      </c>
      <c r="AQ411">
        <f>IF(AP411&gt;=U411,1,0)</f>
        <v>0</v>
      </c>
      <c r="AR411">
        <f>IF(AP411&gt;=V411,1,0)</f>
        <v>0</v>
      </c>
      <c r="AS411">
        <f>IF(AP411&lt;(U411-0.10),1,0)</f>
        <v>0</v>
      </c>
      <c r="AT411">
        <f>1-AJ411/100</f>
        <v>0</v>
      </c>
      <c r="AU411">
        <f>IF(AN411=1,AT411,1)</f>
        <v>0</v>
      </c>
      <c r="AV411">
        <f>IF(AM411=1,AT411,1)</f>
        <v>0</v>
      </c>
      <c r="AW411">
        <f>IF(AND(AQ411=1,ISNUMBER(AT411)),$AT411,1)</f>
        <v>0</v>
      </c>
      <c r="AX411">
        <f>IF(AND(AR411=1,ISNUMBER(AT411)),$AT411,1)</f>
        <v>0</v>
      </c>
      <c r="AY411">
        <f>IF(ISNUMBER(Y411),INDEX(AllCollegeMoney, MATCH(N411,AllCollegeNCES,0)),0)</f>
        <v>0</v>
      </c>
      <c r="AZ411">
        <f>IF(AND(AQ411=1,ISNUMBER(AT411),AY411=1),$AT411,1)</f>
        <v>0</v>
      </c>
      <c r="BA411">
        <f>IF(AND(AR411=1,ISNUMBER(AT411),AY411=1),$AT411,1)</f>
        <v>0</v>
      </c>
      <c r="BB411">
        <f>IF(ISNUMBER(Y411),INDEX(AllCollegeILPub, MATCH(N411,AllCollegeNCES,0)),0)</f>
        <v>0</v>
      </c>
      <c r="BC411">
        <f>IF(AK411=ReachLabel,AP411,0)</f>
        <v>0</v>
      </c>
      <c r="BD411">
        <f>IF(AK411=MatchLabel,AP411,0)</f>
        <v>0</v>
      </c>
      <c r="BE411">
        <f>IF(AK411=SafetyLabel,AP411,0)</f>
        <v>0</v>
      </c>
      <c r="BF411">
        <f>IF(AK411=SecureLabel,AP411,0)</f>
        <v>0</v>
      </c>
      <c r="BG411">
        <f>IF(AK411=SureThingLabel,AP411,0)</f>
        <v>0</v>
      </c>
      <c r="BH411">
        <f>MAX(BC411:BG411)</f>
        <v>0</v>
      </c>
      <c r="BI411">
        <f>MAX(BD411:BG411)</f>
        <v>0</v>
      </c>
      <c r="BJ411">
        <f>MAX(BE411:BG411)</f>
        <v>0</v>
      </c>
      <c r="BK411">
        <f>IF(AND(AK411=ReachLabel,AY411=1),AP411,0)</f>
        <v>0</v>
      </c>
      <c r="BL411">
        <f>IF(AND(AK411=MatchLabel,AY411=1),AP411,0)</f>
        <v>0</v>
      </c>
      <c r="BM411">
        <f>IF(AND(AK411=SafetyLabel,AY411=1),AP411,0)</f>
        <v>0</v>
      </c>
      <c r="BN411">
        <f>IF(AND(AK411=SecureLabel,AY411=1),AP411,0)</f>
        <v>0</v>
      </c>
      <c r="BO411">
        <f>IF(AND(AK411=SureThingLabel,AY411=1),AP411,0)</f>
        <v>0</v>
      </c>
      <c r="BP411">
        <f>MAX(BK411:BO411)</f>
        <v>0</v>
      </c>
      <c r="BQ411">
        <f>MAX(BL411:BO411)</f>
        <v>0</v>
      </c>
      <c r="BR411">
        <f>MAX(BM411:BO411)</f>
        <v>0</v>
      </c>
      <c r="BS411">
        <f>IF(ISNUMBER(Y411),INDEX(AllCollegeChicago, MATCH(N411,AllCollegeNCES,0))*AY411,0)</f>
        <v>0</v>
      </c>
      <c r="BT411">
        <f>IF(ISNUMBER(Y411),INDEX(AllCollegeMoneyCode, MATCH(N411,AllCollegeNCES,0)),"?")</f>
        <v>0</v>
      </c>
      <c r="BU411">
        <f>IF(OR(BT411="---",BT411="--",BT411="+/--",BT411="+/---"),1,0)</f>
        <v>0</v>
      </c>
      <c r="BV411">
        <f>AY411*AO411*AQ411</f>
        <v>0</v>
      </c>
    </row>
    <row r="412" spans="1:74">
      <c r="A412" t="s">
        <v>86</v>
      </c>
      <c r="B412">
        <v>23395591</v>
      </c>
      <c r="C412" t="s">
        <v>269</v>
      </c>
      <c r="D412" t="s">
        <v>270</v>
      </c>
      <c r="E412" t="s">
        <v>428</v>
      </c>
      <c r="F412" t="s">
        <v>459</v>
      </c>
      <c r="G412" t="s">
        <v>430</v>
      </c>
      <c r="H412" t="s">
        <v>431</v>
      </c>
      <c r="I412" t="s">
        <v>432</v>
      </c>
      <c r="J412" t="s">
        <v>432</v>
      </c>
      <c r="K412">
        <v>0</v>
      </c>
      <c r="L412" t="s">
        <v>428</v>
      </c>
      <c r="M412" t="s">
        <v>428</v>
      </c>
      <c r="N412">
        <v>146427</v>
      </c>
      <c r="O412">
        <f>INDEX(AllCollegeBarrons,MATCH(N412,AllCollegeNCES,0))</f>
        <v>0</v>
      </c>
      <c r="P412">
        <f>INDEX(KidGPAs,MATCH(B412,KidIDs,0))</f>
        <v>0</v>
      </c>
      <c r="Q412">
        <f>INDEX(KidACTs,MATCH(B412,KidIDs,0))</f>
        <v>0</v>
      </c>
      <c r="R412">
        <f>INDEX(Strats,MATCH(B412,KidIDs,0))</f>
        <v>0</v>
      </c>
      <c r="S412">
        <f>INDEX(KidRace,MATCH(B412,KidIDs,0))</f>
        <v>0</v>
      </c>
      <c r="T412">
        <f>IF(OR(S412="M",S412="I"),"H",S412)</f>
        <v>0</v>
      </c>
      <c r="U412">
        <f>INDEX(StudentTargets,MATCH(B412,KidIDs,0))</f>
        <v>0</v>
      </c>
      <c r="V412">
        <f>INDEX(ReachStudentTargets,MATCH(B412,KidIDs,0))</f>
        <v>0</v>
      </c>
      <c r="W412">
        <f>IF(OR(M412="Posse"),1,0)</f>
        <v>0</v>
      </c>
      <c r="X412">
        <f>IF(ISNUMBER(INDEX(AllCollegeGR, MATCH(N412,AllCollegeNCES,0))),ROUND(INDEX(AllCollegeGR, MATCH(N412,AllCollegeNCES,0))+W412*IF(INDEX(AllCollegeGR, MATCH(N412,AllCollegeNCES,0))&gt;0.7,(1-INDEX(AllCollegeGR, MATCH(N412,AllCollegeNCES,0)))/2,0.15),2),INDEX(AllCollegeGR, MATCH(N412,AllCollegeNCES,0)))</f>
        <v>0</v>
      </c>
      <c r="Y412">
        <f>IF(ISNUMBER(INDEX(AllCollegeAAHGR, MATCH(N412,AllCollegeNCES,0))),ROUND(INDEX(AllCollegeAAHGR, MATCH(N412,AllCollegeNCES,0))+W412*IF(INDEX(AllCollegeAAHGR, MATCH(N412,AllCollegeNCES,0))&gt;0.7,(1-INDEX(AllCollegeAAHGR, MATCH(N412,AllCollegeNCES,0)))/2,0.15),2),INDEX(AllCollegeAAHGR, MATCH(N412,AllCollegeNCES,0)))</f>
        <v>0</v>
      </c>
      <c r="Z412">
        <f>IF(OR(T412="H",T412="B"),INDEX(AllCollegeACT25, MATCH(N412,AllCollegeNCES,0)),INDEX(AllCollegeACT50, MATCH(N412,AllCollegeNCES,0)))</f>
        <v>0</v>
      </c>
      <c r="AA412">
        <f>INDEX(CustomWeightsGPA,MATCH(T412&amp;":"&amp;N412,CustomWeightsIndex,0))</f>
        <v>0</v>
      </c>
      <c r="AB412">
        <f>INDEX(CustomWeightsACT,MATCH(T412&amp;":"&amp;N412,CustomWeightsIndex,0))</f>
        <v>0</v>
      </c>
      <c r="AC412">
        <f>INDEX(CustomWeightsIntercept,MATCH(T412&amp;":"&amp;N412,CustomWeightsIndex,0))</f>
        <v>0</v>
      </c>
      <c r="AD412">
        <f>AA412*P412+AB412*Q412+AC412</f>
        <v>0</v>
      </c>
      <c r="AE412">
        <f>INDEX(CoefficientsGPA,MATCH(T412&amp;":"&amp;O412,CoefficientsIndex,0))</f>
        <v>0</v>
      </c>
      <c r="AF412">
        <f>INDEX(CoefficientsACT,MATCH(T412&amp;":"&amp;O412,CoefficientsIndex,0))</f>
        <v>0</v>
      </c>
      <c r="AG412">
        <f>INDEX(CoefficientsIntercept,MATCH(T412&amp;":"&amp;O412,CoefficientsIndex,0))</f>
        <v>0</v>
      </c>
      <c r="AH412">
        <f>AE412*P412+(Q412-Z412)*AF412+AG412</f>
        <v>0</v>
      </c>
      <c r="AI412">
        <f>IF(ISNUMBER(AD412),AD412,AH412)</f>
        <v>0</v>
      </c>
      <c r="AJ412">
        <f>IF(ISNUMBER(AI412),IF(ISNUMBER(AE412),IF(AND(AE412=1,AF412=1,AG412=1),100,ROUND(100*EXP(AI412)/(1+EXP(AI412)),2)),ROUND(100*EXP(AI412)/(1+EXP(AI412)),2)),IF(ISTEXT(O412),IF(LEFT(O412,1)="2",100,"N/A"),"N/A"))</f>
        <v>0</v>
      </c>
      <c r="AK412">
        <f>IF(ISNUMBER(AJ412),IF(AJ412&gt;=99,IF(OR(R412=10,R412=11),MatchLabel,SureThingLabel),IF(AJ412&gt;=95,SecureLabel,IF(AJ412&gt;=80,SafetyLabel,IF(AJ412&gt;=50,MatchLabel,IF(AJ412&gt;=20,ReachLabel,IF(AJ412&gt;=10,LongshotLabel,HailMaryLabel)))))),"Other")</f>
        <v>0</v>
      </c>
      <c r="AL412">
        <f>IF(OR(I412="accepted",I412="cond. accept",I412="summer admit"),IF(J412="yes","CHOICE!","Accepted!"),IF(I412="denied","Denied",IF(K412=1,"Waitlist",IF(L412=1,"Deferred",IF(G412="pending","Pending",IF(OR(G412="initial materials submitted",G412="mid-year submitted",G412="final submitted"),"Submitted",IF(H412="interest","Interest","?")))))))</f>
        <v>0</v>
      </c>
      <c r="AM412">
        <f>IF(OR(AK412=ReachLabel,AK412=LongshotLabel,AK412=HailMaryLabel),1,0)</f>
        <v>0</v>
      </c>
      <c r="AN412">
        <f>IF(OR(AM412=1,AK412=MatchLabel),1,0)</f>
        <v>0</v>
      </c>
      <c r="AO412">
        <f>IF(OR(AK412=MatchLabel,AK412=SafetyLabel,AK412=SecureLabel,AK412=SureThingLabel),1,0)</f>
        <v>0</v>
      </c>
      <c r="AP412">
        <f>IF(OR(T412="H",T412="B"),IF(ISNUMBER(Y412),ROUND(Y412,2),0),IF(ISNUMBER(X412),ROUND(X412,2),0))</f>
        <v>0</v>
      </c>
      <c r="AQ412">
        <f>IF(AP412&gt;=U412,1,0)</f>
        <v>0</v>
      </c>
      <c r="AR412">
        <f>IF(AP412&gt;=V412,1,0)</f>
        <v>0</v>
      </c>
      <c r="AS412">
        <f>IF(AP412&lt;(U412-0.10),1,0)</f>
        <v>0</v>
      </c>
      <c r="AT412">
        <f>1-AJ412/100</f>
        <v>0</v>
      </c>
      <c r="AU412">
        <f>IF(AN412=1,AT412,1)</f>
        <v>0</v>
      </c>
      <c r="AV412">
        <f>IF(AM412=1,AT412,1)</f>
        <v>0</v>
      </c>
      <c r="AW412">
        <f>IF(AND(AQ412=1,ISNUMBER(AT412)),$AT412,1)</f>
        <v>0</v>
      </c>
      <c r="AX412">
        <f>IF(AND(AR412=1,ISNUMBER(AT412)),$AT412,1)</f>
        <v>0</v>
      </c>
      <c r="AY412">
        <f>IF(ISNUMBER(Y412),INDEX(AllCollegeMoney, MATCH(N412,AllCollegeNCES,0)),0)</f>
        <v>0</v>
      </c>
      <c r="AZ412">
        <f>IF(AND(AQ412=1,ISNUMBER(AT412),AY412=1),$AT412,1)</f>
        <v>0</v>
      </c>
      <c r="BA412">
        <f>IF(AND(AR412=1,ISNUMBER(AT412),AY412=1),$AT412,1)</f>
        <v>0</v>
      </c>
      <c r="BB412">
        <f>IF(ISNUMBER(Y412),INDEX(AllCollegeILPub, MATCH(N412,AllCollegeNCES,0)),0)</f>
        <v>0</v>
      </c>
      <c r="BC412">
        <f>IF(AK412=ReachLabel,AP412,0)</f>
        <v>0</v>
      </c>
      <c r="BD412">
        <f>IF(AK412=MatchLabel,AP412,0)</f>
        <v>0</v>
      </c>
      <c r="BE412">
        <f>IF(AK412=SafetyLabel,AP412,0)</f>
        <v>0</v>
      </c>
      <c r="BF412">
        <f>IF(AK412=SecureLabel,AP412,0)</f>
        <v>0</v>
      </c>
      <c r="BG412">
        <f>IF(AK412=SureThingLabel,AP412,0)</f>
        <v>0</v>
      </c>
      <c r="BH412">
        <f>MAX(BC412:BG412)</f>
        <v>0</v>
      </c>
      <c r="BI412">
        <f>MAX(BD412:BG412)</f>
        <v>0</v>
      </c>
      <c r="BJ412">
        <f>MAX(BE412:BG412)</f>
        <v>0</v>
      </c>
      <c r="BK412">
        <f>IF(AND(AK412=ReachLabel,AY412=1),AP412,0)</f>
        <v>0</v>
      </c>
      <c r="BL412">
        <f>IF(AND(AK412=MatchLabel,AY412=1),AP412,0)</f>
        <v>0</v>
      </c>
      <c r="BM412">
        <f>IF(AND(AK412=SafetyLabel,AY412=1),AP412,0)</f>
        <v>0</v>
      </c>
      <c r="BN412">
        <f>IF(AND(AK412=SecureLabel,AY412=1),AP412,0)</f>
        <v>0</v>
      </c>
      <c r="BO412">
        <f>IF(AND(AK412=SureThingLabel,AY412=1),AP412,0)</f>
        <v>0</v>
      </c>
      <c r="BP412">
        <f>MAX(BK412:BO412)</f>
        <v>0</v>
      </c>
      <c r="BQ412">
        <f>MAX(BL412:BO412)</f>
        <v>0</v>
      </c>
      <c r="BR412">
        <f>MAX(BM412:BO412)</f>
        <v>0</v>
      </c>
      <c r="BS412">
        <f>IF(ISNUMBER(Y412),INDEX(AllCollegeChicago, MATCH(N412,AllCollegeNCES,0))*AY412,0)</f>
        <v>0</v>
      </c>
      <c r="BT412">
        <f>IF(ISNUMBER(Y412),INDEX(AllCollegeMoneyCode, MATCH(N412,AllCollegeNCES,0)),"?")</f>
        <v>0</v>
      </c>
      <c r="BU412">
        <f>IF(OR(BT412="---",BT412="--",BT412="+/--",BT412="+/---"),1,0)</f>
        <v>0</v>
      </c>
      <c r="BV412">
        <f>AY412*AO412*AQ412</f>
        <v>0</v>
      </c>
    </row>
    <row r="413" spans="1:74">
      <c r="A413" t="s">
        <v>86</v>
      </c>
      <c r="B413">
        <v>23395591</v>
      </c>
      <c r="C413" t="s">
        <v>269</v>
      </c>
      <c r="D413" t="s">
        <v>270</v>
      </c>
      <c r="E413" t="s">
        <v>428</v>
      </c>
      <c r="F413" t="s">
        <v>542</v>
      </c>
      <c r="G413" t="s">
        <v>430</v>
      </c>
      <c r="H413" t="s">
        <v>431</v>
      </c>
      <c r="I413" t="s">
        <v>432</v>
      </c>
      <c r="J413" t="s">
        <v>432</v>
      </c>
      <c r="K413">
        <v>0</v>
      </c>
      <c r="L413" t="s">
        <v>428</v>
      </c>
      <c r="M413" t="s">
        <v>428</v>
      </c>
      <c r="N413">
        <v>163295</v>
      </c>
      <c r="O413">
        <f>INDEX(AllCollegeBarrons,MATCH(N413,AllCollegeNCES,0))</f>
        <v>0</v>
      </c>
      <c r="P413">
        <f>INDEX(KidGPAs,MATCH(B413,KidIDs,0))</f>
        <v>0</v>
      </c>
      <c r="Q413">
        <f>INDEX(KidACTs,MATCH(B413,KidIDs,0))</f>
        <v>0</v>
      </c>
      <c r="R413">
        <f>INDEX(Strats,MATCH(B413,KidIDs,0))</f>
        <v>0</v>
      </c>
      <c r="S413">
        <f>INDEX(KidRace,MATCH(B413,KidIDs,0))</f>
        <v>0</v>
      </c>
      <c r="T413">
        <f>IF(OR(S413="M",S413="I"),"H",S413)</f>
        <v>0</v>
      </c>
      <c r="U413">
        <f>INDEX(StudentTargets,MATCH(B413,KidIDs,0))</f>
        <v>0</v>
      </c>
      <c r="V413">
        <f>INDEX(ReachStudentTargets,MATCH(B413,KidIDs,0))</f>
        <v>0</v>
      </c>
      <c r="W413">
        <f>IF(OR(M413="Posse"),1,0)</f>
        <v>0</v>
      </c>
      <c r="X413">
        <f>IF(ISNUMBER(INDEX(AllCollegeGR, MATCH(N413,AllCollegeNCES,0))),ROUND(INDEX(AllCollegeGR, MATCH(N413,AllCollegeNCES,0))+W413*IF(INDEX(AllCollegeGR, MATCH(N413,AllCollegeNCES,0))&gt;0.7,(1-INDEX(AllCollegeGR, MATCH(N413,AllCollegeNCES,0)))/2,0.15),2),INDEX(AllCollegeGR, MATCH(N413,AllCollegeNCES,0)))</f>
        <v>0</v>
      </c>
      <c r="Y413">
        <f>IF(ISNUMBER(INDEX(AllCollegeAAHGR, MATCH(N413,AllCollegeNCES,0))),ROUND(INDEX(AllCollegeAAHGR, MATCH(N413,AllCollegeNCES,0))+W413*IF(INDEX(AllCollegeAAHGR, MATCH(N413,AllCollegeNCES,0))&gt;0.7,(1-INDEX(AllCollegeAAHGR, MATCH(N413,AllCollegeNCES,0)))/2,0.15),2),INDEX(AllCollegeAAHGR, MATCH(N413,AllCollegeNCES,0)))</f>
        <v>0</v>
      </c>
      <c r="Z413">
        <f>IF(OR(T413="H",T413="B"),INDEX(AllCollegeACT25, MATCH(N413,AllCollegeNCES,0)),INDEX(AllCollegeACT50, MATCH(N413,AllCollegeNCES,0)))</f>
        <v>0</v>
      </c>
      <c r="AA413">
        <f>INDEX(CustomWeightsGPA,MATCH(T413&amp;":"&amp;N413,CustomWeightsIndex,0))</f>
        <v>0</v>
      </c>
      <c r="AB413">
        <f>INDEX(CustomWeightsACT,MATCH(T413&amp;":"&amp;N413,CustomWeightsIndex,0))</f>
        <v>0</v>
      </c>
      <c r="AC413">
        <f>INDEX(CustomWeightsIntercept,MATCH(T413&amp;":"&amp;N413,CustomWeightsIndex,0))</f>
        <v>0</v>
      </c>
      <c r="AD413">
        <f>AA413*P413+AB413*Q413+AC413</f>
        <v>0</v>
      </c>
      <c r="AE413">
        <f>INDEX(CoefficientsGPA,MATCH(T413&amp;":"&amp;O413,CoefficientsIndex,0))</f>
        <v>0</v>
      </c>
      <c r="AF413">
        <f>INDEX(CoefficientsACT,MATCH(T413&amp;":"&amp;O413,CoefficientsIndex,0))</f>
        <v>0</v>
      </c>
      <c r="AG413">
        <f>INDEX(CoefficientsIntercept,MATCH(T413&amp;":"&amp;O413,CoefficientsIndex,0))</f>
        <v>0</v>
      </c>
      <c r="AH413">
        <f>AE413*P413+(Q413-Z413)*AF413+AG413</f>
        <v>0</v>
      </c>
      <c r="AI413">
        <f>IF(ISNUMBER(AD413),AD413,AH413)</f>
        <v>0</v>
      </c>
      <c r="AJ413">
        <f>IF(ISNUMBER(AI413),IF(ISNUMBER(AE413),IF(AND(AE413=1,AF413=1,AG413=1),100,ROUND(100*EXP(AI413)/(1+EXP(AI413)),2)),ROUND(100*EXP(AI413)/(1+EXP(AI413)),2)),IF(ISTEXT(O413),IF(LEFT(O413,1)="2",100,"N/A"),"N/A"))</f>
        <v>0</v>
      </c>
      <c r="AK413">
        <f>IF(ISNUMBER(AJ413),IF(AJ413&gt;=99,IF(OR(R413=10,R413=11),MatchLabel,SureThingLabel),IF(AJ413&gt;=95,SecureLabel,IF(AJ413&gt;=80,SafetyLabel,IF(AJ413&gt;=50,MatchLabel,IF(AJ413&gt;=20,ReachLabel,IF(AJ413&gt;=10,LongshotLabel,HailMaryLabel)))))),"Other")</f>
        <v>0</v>
      </c>
      <c r="AL413">
        <f>IF(OR(I413="accepted",I413="cond. accept",I413="summer admit"),IF(J413="yes","CHOICE!","Accepted!"),IF(I413="denied","Denied",IF(K413=1,"Waitlist",IF(L413=1,"Deferred",IF(G413="pending","Pending",IF(OR(G413="initial materials submitted",G413="mid-year submitted",G413="final submitted"),"Submitted",IF(H413="interest","Interest","?")))))))</f>
        <v>0</v>
      </c>
      <c r="AM413">
        <f>IF(OR(AK413=ReachLabel,AK413=LongshotLabel,AK413=HailMaryLabel),1,0)</f>
        <v>0</v>
      </c>
      <c r="AN413">
        <f>IF(OR(AM413=1,AK413=MatchLabel),1,0)</f>
        <v>0</v>
      </c>
      <c r="AO413">
        <f>IF(OR(AK413=MatchLabel,AK413=SafetyLabel,AK413=SecureLabel,AK413=SureThingLabel),1,0)</f>
        <v>0</v>
      </c>
      <c r="AP413">
        <f>IF(OR(T413="H",T413="B"),IF(ISNUMBER(Y413),ROUND(Y413,2),0),IF(ISNUMBER(X413),ROUND(X413,2),0))</f>
        <v>0</v>
      </c>
      <c r="AQ413">
        <f>IF(AP413&gt;=U413,1,0)</f>
        <v>0</v>
      </c>
      <c r="AR413">
        <f>IF(AP413&gt;=V413,1,0)</f>
        <v>0</v>
      </c>
      <c r="AS413">
        <f>IF(AP413&lt;(U413-0.10),1,0)</f>
        <v>0</v>
      </c>
      <c r="AT413">
        <f>1-AJ413/100</f>
        <v>0</v>
      </c>
      <c r="AU413">
        <f>IF(AN413=1,AT413,1)</f>
        <v>0</v>
      </c>
      <c r="AV413">
        <f>IF(AM413=1,AT413,1)</f>
        <v>0</v>
      </c>
      <c r="AW413">
        <f>IF(AND(AQ413=1,ISNUMBER(AT413)),$AT413,1)</f>
        <v>0</v>
      </c>
      <c r="AX413">
        <f>IF(AND(AR413=1,ISNUMBER(AT413)),$AT413,1)</f>
        <v>0</v>
      </c>
      <c r="AY413">
        <f>IF(ISNUMBER(Y413),INDEX(AllCollegeMoney, MATCH(N413,AllCollegeNCES,0)),0)</f>
        <v>0</v>
      </c>
      <c r="AZ413">
        <f>IF(AND(AQ413=1,ISNUMBER(AT413),AY413=1),$AT413,1)</f>
        <v>0</v>
      </c>
      <c r="BA413">
        <f>IF(AND(AR413=1,ISNUMBER(AT413),AY413=1),$AT413,1)</f>
        <v>0</v>
      </c>
      <c r="BB413">
        <f>IF(ISNUMBER(Y413),INDEX(AllCollegeILPub, MATCH(N413,AllCollegeNCES,0)),0)</f>
        <v>0</v>
      </c>
      <c r="BC413">
        <f>IF(AK413=ReachLabel,AP413,0)</f>
        <v>0</v>
      </c>
      <c r="BD413">
        <f>IF(AK413=MatchLabel,AP413,0)</f>
        <v>0</v>
      </c>
      <c r="BE413">
        <f>IF(AK413=SafetyLabel,AP413,0)</f>
        <v>0</v>
      </c>
      <c r="BF413">
        <f>IF(AK413=SecureLabel,AP413,0)</f>
        <v>0</v>
      </c>
      <c r="BG413">
        <f>IF(AK413=SureThingLabel,AP413,0)</f>
        <v>0</v>
      </c>
      <c r="BH413">
        <f>MAX(BC413:BG413)</f>
        <v>0</v>
      </c>
      <c r="BI413">
        <f>MAX(BD413:BG413)</f>
        <v>0</v>
      </c>
      <c r="BJ413">
        <f>MAX(BE413:BG413)</f>
        <v>0</v>
      </c>
      <c r="BK413">
        <f>IF(AND(AK413=ReachLabel,AY413=1),AP413,0)</f>
        <v>0</v>
      </c>
      <c r="BL413">
        <f>IF(AND(AK413=MatchLabel,AY413=1),AP413,0)</f>
        <v>0</v>
      </c>
      <c r="BM413">
        <f>IF(AND(AK413=SafetyLabel,AY413=1),AP413,0)</f>
        <v>0</v>
      </c>
      <c r="BN413">
        <f>IF(AND(AK413=SecureLabel,AY413=1),AP413,0)</f>
        <v>0</v>
      </c>
      <c r="BO413">
        <f>IF(AND(AK413=SureThingLabel,AY413=1),AP413,0)</f>
        <v>0</v>
      </c>
      <c r="BP413">
        <f>MAX(BK413:BO413)</f>
        <v>0</v>
      </c>
      <c r="BQ413">
        <f>MAX(BL413:BO413)</f>
        <v>0</v>
      </c>
      <c r="BR413">
        <f>MAX(BM413:BO413)</f>
        <v>0</v>
      </c>
      <c r="BS413">
        <f>IF(ISNUMBER(Y413),INDEX(AllCollegeChicago, MATCH(N413,AllCollegeNCES,0))*AY413,0)</f>
        <v>0</v>
      </c>
      <c r="BT413">
        <f>IF(ISNUMBER(Y413),INDEX(AllCollegeMoneyCode, MATCH(N413,AllCollegeNCES,0)),"?")</f>
        <v>0</v>
      </c>
      <c r="BU413">
        <f>IF(OR(BT413="---",BT413="--",BT413="+/--",BT413="+/---"),1,0)</f>
        <v>0</v>
      </c>
      <c r="BV413">
        <f>AY413*AO413*AQ413</f>
        <v>0</v>
      </c>
    </row>
    <row r="414" spans="1:74">
      <c r="A414" t="s">
        <v>86</v>
      </c>
      <c r="B414">
        <v>23395591</v>
      </c>
      <c r="C414" t="s">
        <v>269</v>
      </c>
      <c r="D414" t="s">
        <v>270</v>
      </c>
      <c r="E414" t="s">
        <v>428</v>
      </c>
      <c r="F414" t="s">
        <v>462</v>
      </c>
      <c r="G414" t="s">
        <v>430</v>
      </c>
      <c r="H414" t="s">
        <v>431</v>
      </c>
      <c r="I414" t="s">
        <v>432</v>
      </c>
      <c r="J414" t="s">
        <v>432</v>
      </c>
      <c r="K414">
        <v>0</v>
      </c>
      <c r="L414" t="s">
        <v>428</v>
      </c>
      <c r="M414" t="s">
        <v>428</v>
      </c>
      <c r="N414">
        <v>168546</v>
      </c>
      <c r="O414">
        <f>INDEX(AllCollegeBarrons,MATCH(N414,AllCollegeNCES,0))</f>
        <v>0</v>
      </c>
      <c r="P414">
        <f>INDEX(KidGPAs,MATCH(B414,KidIDs,0))</f>
        <v>0</v>
      </c>
      <c r="Q414">
        <f>INDEX(KidACTs,MATCH(B414,KidIDs,0))</f>
        <v>0</v>
      </c>
      <c r="R414">
        <f>INDEX(Strats,MATCH(B414,KidIDs,0))</f>
        <v>0</v>
      </c>
      <c r="S414">
        <f>INDEX(KidRace,MATCH(B414,KidIDs,0))</f>
        <v>0</v>
      </c>
      <c r="T414">
        <f>IF(OR(S414="M",S414="I"),"H",S414)</f>
        <v>0</v>
      </c>
      <c r="U414">
        <f>INDEX(StudentTargets,MATCH(B414,KidIDs,0))</f>
        <v>0</v>
      </c>
      <c r="V414">
        <f>INDEX(ReachStudentTargets,MATCH(B414,KidIDs,0))</f>
        <v>0</v>
      </c>
      <c r="W414">
        <f>IF(OR(M414="Posse"),1,0)</f>
        <v>0</v>
      </c>
      <c r="X414">
        <f>IF(ISNUMBER(INDEX(AllCollegeGR, MATCH(N414,AllCollegeNCES,0))),ROUND(INDEX(AllCollegeGR, MATCH(N414,AllCollegeNCES,0))+W414*IF(INDEX(AllCollegeGR, MATCH(N414,AllCollegeNCES,0))&gt;0.7,(1-INDEX(AllCollegeGR, MATCH(N414,AllCollegeNCES,0)))/2,0.15),2),INDEX(AllCollegeGR, MATCH(N414,AllCollegeNCES,0)))</f>
        <v>0</v>
      </c>
      <c r="Y414">
        <f>IF(ISNUMBER(INDEX(AllCollegeAAHGR, MATCH(N414,AllCollegeNCES,0))),ROUND(INDEX(AllCollegeAAHGR, MATCH(N414,AllCollegeNCES,0))+W414*IF(INDEX(AllCollegeAAHGR, MATCH(N414,AllCollegeNCES,0))&gt;0.7,(1-INDEX(AllCollegeAAHGR, MATCH(N414,AllCollegeNCES,0)))/2,0.15),2),INDEX(AllCollegeAAHGR, MATCH(N414,AllCollegeNCES,0)))</f>
        <v>0</v>
      </c>
      <c r="Z414">
        <f>IF(OR(T414="H",T414="B"),INDEX(AllCollegeACT25, MATCH(N414,AllCollegeNCES,0)),INDEX(AllCollegeACT50, MATCH(N414,AllCollegeNCES,0)))</f>
        <v>0</v>
      </c>
      <c r="AA414">
        <f>INDEX(CustomWeightsGPA,MATCH(T414&amp;":"&amp;N414,CustomWeightsIndex,0))</f>
        <v>0</v>
      </c>
      <c r="AB414">
        <f>INDEX(CustomWeightsACT,MATCH(T414&amp;":"&amp;N414,CustomWeightsIndex,0))</f>
        <v>0</v>
      </c>
      <c r="AC414">
        <f>INDEX(CustomWeightsIntercept,MATCH(T414&amp;":"&amp;N414,CustomWeightsIndex,0))</f>
        <v>0</v>
      </c>
      <c r="AD414">
        <f>AA414*P414+AB414*Q414+AC414</f>
        <v>0</v>
      </c>
      <c r="AE414">
        <f>INDEX(CoefficientsGPA,MATCH(T414&amp;":"&amp;O414,CoefficientsIndex,0))</f>
        <v>0</v>
      </c>
      <c r="AF414">
        <f>INDEX(CoefficientsACT,MATCH(T414&amp;":"&amp;O414,CoefficientsIndex,0))</f>
        <v>0</v>
      </c>
      <c r="AG414">
        <f>INDEX(CoefficientsIntercept,MATCH(T414&amp;":"&amp;O414,CoefficientsIndex,0))</f>
        <v>0</v>
      </c>
      <c r="AH414">
        <f>AE414*P414+(Q414-Z414)*AF414+AG414</f>
        <v>0</v>
      </c>
      <c r="AI414">
        <f>IF(ISNUMBER(AD414),AD414,AH414)</f>
        <v>0</v>
      </c>
      <c r="AJ414">
        <f>IF(ISNUMBER(AI414),IF(ISNUMBER(AE414),IF(AND(AE414=1,AF414=1,AG414=1),100,ROUND(100*EXP(AI414)/(1+EXP(AI414)),2)),ROUND(100*EXP(AI414)/(1+EXP(AI414)),2)),IF(ISTEXT(O414),IF(LEFT(O414,1)="2",100,"N/A"),"N/A"))</f>
        <v>0</v>
      </c>
      <c r="AK414">
        <f>IF(ISNUMBER(AJ414),IF(AJ414&gt;=99,IF(OR(R414=10,R414=11),MatchLabel,SureThingLabel),IF(AJ414&gt;=95,SecureLabel,IF(AJ414&gt;=80,SafetyLabel,IF(AJ414&gt;=50,MatchLabel,IF(AJ414&gt;=20,ReachLabel,IF(AJ414&gt;=10,LongshotLabel,HailMaryLabel)))))),"Other")</f>
        <v>0</v>
      </c>
      <c r="AL414">
        <f>IF(OR(I414="accepted",I414="cond. accept",I414="summer admit"),IF(J414="yes","CHOICE!","Accepted!"),IF(I414="denied","Denied",IF(K414=1,"Waitlist",IF(L414=1,"Deferred",IF(G414="pending","Pending",IF(OR(G414="initial materials submitted",G414="mid-year submitted",G414="final submitted"),"Submitted",IF(H414="interest","Interest","?")))))))</f>
        <v>0</v>
      </c>
      <c r="AM414">
        <f>IF(OR(AK414=ReachLabel,AK414=LongshotLabel,AK414=HailMaryLabel),1,0)</f>
        <v>0</v>
      </c>
      <c r="AN414">
        <f>IF(OR(AM414=1,AK414=MatchLabel),1,0)</f>
        <v>0</v>
      </c>
      <c r="AO414">
        <f>IF(OR(AK414=MatchLabel,AK414=SafetyLabel,AK414=SecureLabel,AK414=SureThingLabel),1,0)</f>
        <v>0</v>
      </c>
      <c r="AP414">
        <f>IF(OR(T414="H",T414="B"),IF(ISNUMBER(Y414),ROUND(Y414,2),0),IF(ISNUMBER(X414),ROUND(X414,2),0))</f>
        <v>0</v>
      </c>
      <c r="AQ414">
        <f>IF(AP414&gt;=U414,1,0)</f>
        <v>0</v>
      </c>
      <c r="AR414">
        <f>IF(AP414&gt;=V414,1,0)</f>
        <v>0</v>
      </c>
      <c r="AS414">
        <f>IF(AP414&lt;(U414-0.10),1,0)</f>
        <v>0</v>
      </c>
      <c r="AT414">
        <f>1-AJ414/100</f>
        <v>0</v>
      </c>
      <c r="AU414">
        <f>IF(AN414=1,AT414,1)</f>
        <v>0</v>
      </c>
      <c r="AV414">
        <f>IF(AM414=1,AT414,1)</f>
        <v>0</v>
      </c>
      <c r="AW414">
        <f>IF(AND(AQ414=1,ISNUMBER(AT414)),$AT414,1)</f>
        <v>0</v>
      </c>
      <c r="AX414">
        <f>IF(AND(AR414=1,ISNUMBER(AT414)),$AT414,1)</f>
        <v>0</v>
      </c>
      <c r="AY414">
        <f>IF(ISNUMBER(Y414),INDEX(AllCollegeMoney, MATCH(N414,AllCollegeNCES,0)),0)</f>
        <v>0</v>
      </c>
      <c r="AZ414">
        <f>IF(AND(AQ414=1,ISNUMBER(AT414),AY414=1),$AT414,1)</f>
        <v>0</v>
      </c>
      <c r="BA414">
        <f>IF(AND(AR414=1,ISNUMBER(AT414),AY414=1),$AT414,1)</f>
        <v>0</v>
      </c>
      <c r="BB414">
        <f>IF(ISNUMBER(Y414),INDEX(AllCollegeILPub, MATCH(N414,AllCollegeNCES,0)),0)</f>
        <v>0</v>
      </c>
      <c r="BC414">
        <f>IF(AK414=ReachLabel,AP414,0)</f>
        <v>0</v>
      </c>
      <c r="BD414">
        <f>IF(AK414=MatchLabel,AP414,0)</f>
        <v>0</v>
      </c>
      <c r="BE414">
        <f>IF(AK414=SafetyLabel,AP414,0)</f>
        <v>0</v>
      </c>
      <c r="BF414">
        <f>IF(AK414=SecureLabel,AP414,0)</f>
        <v>0</v>
      </c>
      <c r="BG414">
        <f>IF(AK414=SureThingLabel,AP414,0)</f>
        <v>0</v>
      </c>
      <c r="BH414">
        <f>MAX(BC414:BG414)</f>
        <v>0</v>
      </c>
      <c r="BI414">
        <f>MAX(BD414:BG414)</f>
        <v>0</v>
      </c>
      <c r="BJ414">
        <f>MAX(BE414:BG414)</f>
        <v>0</v>
      </c>
      <c r="BK414">
        <f>IF(AND(AK414=ReachLabel,AY414=1),AP414,0)</f>
        <v>0</v>
      </c>
      <c r="BL414">
        <f>IF(AND(AK414=MatchLabel,AY414=1),AP414,0)</f>
        <v>0</v>
      </c>
      <c r="BM414">
        <f>IF(AND(AK414=SafetyLabel,AY414=1),AP414,0)</f>
        <v>0</v>
      </c>
      <c r="BN414">
        <f>IF(AND(AK414=SecureLabel,AY414=1),AP414,0)</f>
        <v>0</v>
      </c>
      <c r="BO414">
        <f>IF(AND(AK414=SureThingLabel,AY414=1),AP414,0)</f>
        <v>0</v>
      </c>
      <c r="BP414">
        <f>MAX(BK414:BO414)</f>
        <v>0</v>
      </c>
      <c r="BQ414">
        <f>MAX(BL414:BO414)</f>
        <v>0</v>
      </c>
      <c r="BR414">
        <f>MAX(BM414:BO414)</f>
        <v>0</v>
      </c>
      <c r="BS414">
        <f>IF(ISNUMBER(Y414),INDEX(AllCollegeChicago, MATCH(N414,AllCollegeNCES,0))*AY414,0)</f>
        <v>0</v>
      </c>
      <c r="BT414">
        <f>IF(ISNUMBER(Y414),INDEX(AllCollegeMoneyCode, MATCH(N414,AllCollegeNCES,0)),"?")</f>
        <v>0</v>
      </c>
      <c r="BU414">
        <f>IF(OR(BT414="---",BT414="--",BT414="+/--",BT414="+/---"),1,0)</f>
        <v>0</v>
      </c>
      <c r="BV414">
        <f>AY414*AO414*AQ414</f>
        <v>0</v>
      </c>
    </row>
    <row r="415" spans="1:74">
      <c r="A415" t="s">
        <v>86</v>
      </c>
      <c r="B415">
        <v>23395591</v>
      </c>
      <c r="C415" t="s">
        <v>269</v>
      </c>
      <c r="D415" t="s">
        <v>270</v>
      </c>
      <c r="E415" t="s">
        <v>428</v>
      </c>
      <c r="F415" t="s">
        <v>543</v>
      </c>
      <c r="G415" t="s">
        <v>526</v>
      </c>
      <c r="H415" t="s">
        <v>526</v>
      </c>
      <c r="I415" t="s">
        <v>527</v>
      </c>
      <c r="J415" t="s">
        <v>428</v>
      </c>
      <c r="K415" t="s">
        <v>428</v>
      </c>
      <c r="L415" t="s">
        <v>428</v>
      </c>
      <c r="M415" t="s">
        <v>428</v>
      </c>
      <c r="N415">
        <v>145813</v>
      </c>
      <c r="O415">
        <f>INDEX(AllCollegeBarrons,MATCH(N415,AllCollegeNCES,0))</f>
        <v>0</v>
      </c>
      <c r="P415">
        <f>INDEX(KidGPAs,MATCH(B415,KidIDs,0))</f>
        <v>0</v>
      </c>
      <c r="Q415">
        <f>INDEX(KidACTs,MATCH(B415,KidIDs,0))</f>
        <v>0</v>
      </c>
      <c r="R415">
        <f>INDEX(Strats,MATCH(B415,KidIDs,0))</f>
        <v>0</v>
      </c>
      <c r="S415">
        <f>INDEX(KidRace,MATCH(B415,KidIDs,0))</f>
        <v>0</v>
      </c>
      <c r="T415">
        <f>IF(OR(S415="M",S415="I"),"H",S415)</f>
        <v>0</v>
      </c>
      <c r="U415">
        <f>INDEX(StudentTargets,MATCH(B415,KidIDs,0))</f>
        <v>0</v>
      </c>
      <c r="V415">
        <f>INDEX(ReachStudentTargets,MATCH(B415,KidIDs,0))</f>
        <v>0</v>
      </c>
      <c r="W415">
        <f>IF(OR(M415="Posse"),1,0)</f>
        <v>0</v>
      </c>
      <c r="X415">
        <f>IF(ISNUMBER(INDEX(AllCollegeGR, MATCH(N415,AllCollegeNCES,0))),ROUND(INDEX(AllCollegeGR, MATCH(N415,AllCollegeNCES,0))+W415*IF(INDEX(AllCollegeGR, MATCH(N415,AllCollegeNCES,0))&gt;0.7,(1-INDEX(AllCollegeGR, MATCH(N415,AllCollegeNCES,0)))/2,0.15),2),INDEX(AllCollegeGR, MATCH(N415,AllCollegeNCES,0)))</f>
        <v>0</v>
      </c>
      <c r="Y415">
        <f>IF(ISNUMBER(INDEX(AllCollegeAAHGR, MATCH(N415,AllCollegeNCES,0))),ROUND(INDEX(AllCollegeAAHGR, MATCH(N415,AllCollegeNCES,0))+W415*IF(INDEX(AllCollegeAAHGR, MATCH(N415,AllCollegeNCES,0))&gt;0.7,(1-INDEX(AllCollegeAAHGR, MATCH(N415,AllCollegeNCES,0)))/2,0.15),2),INDEX(AllCollegeAAHGR, MATCH(N415,AllCollegeNCES,0)))</f>
        <v>0</v>
      </c>
      <c r="Z415">
        <f>IF(OR(T415="H",T415="B"),INDEX(AllCollegeACT25, MATCH(N415,AllCollegeNCES,0)),INDEX(AllCollegeACT50, MATCH(N415,AllCollegeNCES,0)))</f>
        <v>0</v>
      </c>
      <c r="AA415">
        <f>INDEX(CustomWeightsGPA,MATCH(T415&amp;":"&amp;N415,CustomWeightsIndex,0))</f>
        <v>0</v>
      </c>
      <c r="AB415">
        <f>INDEX(CustomWeightsACT,MATCH(T415&amp;":"&amp;N415,CustomWeightsIndex,0))</f>
        <v>0</v>
      </c>
      <c r="AC415">
        <f>INDEX(CustomWeightsIntercept,MATCH(T415&amp;":"&amp;N415,CustomWeightsIndex,0))</f>
        <v>0</v>
      </c>
      <c r="AD415">
        <f>AA415*P415+AB415*Q415+AC415</f>
        <v>0</v>
      </c>
      <c r="AE415">
        <f>INDEX(CoefficientsGPA,MATCH(T415&amp;":"&amp;O415,CoefficientsIndex,0))</f>
        <v>0</v>
      </c>
      <c r="AF415">
        <f>INDEX(CoefficientsACT,MATCH(T415&amp;":"&amp;O415,CoefficientsIndex,0))</f>
        <v>0</v>
      </c>
      <c r="AG415">
        <f>INDEX(CoefficientsIntercept,MATCH(T415&amp;":"&amp;O415,CoefficientsIndex,0))</f>
        <v>0</v>
      </c>
      <c r="AH415">
        <f>AE415*P415+(Q415-Z415)*AF415+AG415</f>
        <v>0</v>
      </c>
      <c r="AI415">
        <f>IF(ISNUMBER(AD415),AD415,AH415)</f>
        <v>0</v>
      </c>
      <c r="AJ415">
        <f>IF(ISNUMBER(AI415),IF(ISNUMBER(AE415),IF(AND(AE415=1,AF415=1,AG415=1),100,ROUND(100*EXP(AI415)/(1+EXP(AI415)),2)),ROUND(100*EXP(AI415)/(1+EXP(AI415)),2)),IF(ISTEXT(O415),IF(LEFT(O415,1)="2",100,"N/A"),"N/A"))</f>
        <v>0</v>
      </c>
      <c r="AK415">
        <f>IF(ISNUMBER(AJ415),IF(AJ415&gt;=99,IF(OR(R415=10,R415=11),MatchLabel,SureThingLabel),IF(AJ415&gt;=95,SecureLabel,IF(AJ415&gt;=80,SafetyLabel,IF(AJ415&gt;=50,MatchLabel,IF(AJ415&gt;=20,ReachLabel,IF(AJ415&gt;=10,LongshotLabel,HailMaryLabel)))))),"Other")</f>
        <v>0</v>
      </c>
      <c r="AL415">
        <f>IF(OR(I415="accepted",I415="cond. accept",I415="summer admit"),IF(J415="yes","CHOICE!","Accepted!"),IF(I415="denied","Denied",IF(K415=1,"Waitlist",IF(L415=1,"Deferred",IF(G415="pending","Pending",IF(OR(G415="initial materials submitted",G415="mid-year submitted",G415="final submitted"),"Submitted",IF(H415="interest","Interest","?")))))))</f>
        <v>0</v>
      </c>
      <c r="AM415">
        <f>IF(OR(AK415=ReachLabel,AK415=LongshotLabel,AK415=HailMaryLabel),1,0)</f>
        <v>0</v>
      </c>
      <c r="AN415">
        <f>IF(OR(AM415=1,AK415=MatchLabel),1,0)</f>
        <v>0</v>
      </c>
      <c r="AO415">
        <f>IF(OR(AK415=MatchLabel,AK415=SafetyLabel,AK415=SecureLabel,AK415=SureThingLabel),1,0)</f>
        <v>0</v>
      </c>
      <c r="AP415">
        <f>IF(OR(T415="H",T415="B"),IF(ISNUMBER(Y415),ROUND(Y415,2),0),IF(ISNUMBER(X415),ROUND(X415,2),0))</f>
        <v>0</v>
      </c>
      <c r="AQ415">
        <f>IF(AP415&gt;=U415,1,0)</f>
        <v>0</v>
      </c>
      <c r="AR415">
        <f>IF(AP415&gt;=V415,1,0)</f>
        <v>0</v>
      </c>
      <c r="AS415">
        <f>IF(AP415&lt;(U415-0.10),1,0)</f>
        <v>0</v>
      </c>
      <c r="AT415">
        <f>1-AJ415/100</f>
        <v>0</v>
      </c>
      <c r="AU415">
        <f>IF(AN415=1,AT415,1)</f>
        <v>0</v>
      </c>
      <c r="AV415">
        <f>IF(AM415=1,AT415,1)</f>
        <v>0</v>
      </c>
      <c r="AW415">
        <f>IF(AND(AQ415=1,ISNUMBER(AT415)),$AT415,1)</f>
        <v>0</v>
      </c>
      <c r="AX415">
        <f>IF(AND(AR415=1,ISNUMBER(AT415)),$AT415,1)</f>
        <v>0</v>
      </c>
      <c r="AY415">
        <f>IF(ISNUMBER(Y415),INDEX(AllCollegeMoney, MATCH(N415,AllCollegeNCES,0)),0)</f>
        <v>0</v>
      </c>
      <c r="AZ415">
        <f>IF(AND(AQ415=1,ISNUMBER(AT415),AY415=1),$AT415,1)</f>
        <v>0</v>
      </c>
      <c r="BA415">
        <f>IF(AND(AR415=1,ISNUMBER(AT415),AY415=1),$AT415,1)</f>
        <v>0</v>
      </c>
      <c r="BB415">
        <f>IF(ISNUMBER(Y415),INDEX(AllCollegeILPub, MATCH(N415,AllCollegeNCES,0)),0)</f>
        <v>0</v>
      </c>
      <c r="BC415">
        <f>IF(AK415=ReachLabel,AP415,0)</f>
        <v>0</v>
      </c>
      <c r="BD415">
        <f>IF(AK415=MatchLabel,AP415,0)</f>
        <v>0</v>
      </c>
      <c r="BE415">
        <f>IF(AK415=SafetyLabel,AP415,0)</f>
        <v>0</v>
      </c>
      <c r="BF415">
        <f>IF(AK415=SecureLabel,AP415,0)</f>
        <v>0</v>
      </c>
      <c r="BG415">
        <f>IF(AK415=SureThingLabel,AP415,0)</f>
        <v>0</v>
      </c>
      <c r="BH415">
        <f>MAX(BC415:BG415)</f>
        <v>0</v>
      </c>
      <c r="BI415">
        <f>MAX(BD415:BG415)</f>
        <v>0</v>
      </c>
      <c r="BJ415">
        <f>MAX(BE415:BG415)</f>
        <v>0</v>
      </c>
      <c r="BK415">
        <f>IF(AND(AK415=ReachLabel,AY415=1),AP415,0)</f>
        <v>0</v>
      </c>
      <c r="BL415">
        <f>IF(AND(AK415=MatchLabel,AY415=1),AP415,0)</f>
        <v>0</v>
      </c>
      <c r="BM415">
        <f>IF(AND(AK415=SafetyLabel,AY415=1),AP415,0)</f>
        <v>0</v>
      </c>
      <c r="BN415">
        <f>IF(AND(AK415=SecureLabel,AY415=1),AP415,0)</f>
        <v>0</v>
      </c>
      <c r="BO415">
        <f>IF(AND(AK415=SureThingLabel,AY415=1),AP415,0)</f>
        <v>0</v>
      </c>
      <c r="BP415">
        <f>MAX(BK415:BO415)</f>
        <v>0</v>
      </c>
      <c r="BQ415">
        <f>MAX(BL415:BO415)</f>
        <v>0</v>
      </c>
      <c r="BR415">
        <f>MAX(BM415:BO415)</f>
        <v>0</v>
      </c>
      <c r="BS415">
        <f>IF(ISNUMBER(Y415),INDEX(AllCollegeChicago, MATCH(N415,AllCollegeNCES,0))*AY415,0)</f>
        <v>0</v>
      </c>
      <c r="BT415">
        <f>IF(ISNUMBER(Y415),INDEX(AllCollegeMoneyCode, MATCH(N415,AllCollegeNCES,0)),"?")</f>
        <v>0</v>
      </c>
      <c r="BU415">
        <f>IF(OR(BT415="---",BT415="--",BT415="+/--",BT415="+/---"),1,0)</f>
        <v>0</v>
      </c>
      <c r="BV415">
        <f>AY415*AO415*AQ415</f>
        <v>0</v>
      </c>
    </row>
    <row r="416" spans="1:74">
      <c r="A416" t="s">
        <v>86</v>
      </c>
      <c r="B416">
        <v>23395591</v>
      </c>
      <c r="C416" t="s">
        <v>269</v>
      </c>
      <c r="D416" t="s">
        <v>270</v>
      </c>
      <c r="E416" t="s">
        <v>428</v>
      </c>
      <c r="F416" t="s">
        <v>500</v>
      </c>
      <c r="G416" t="s">
        <v>430</v>
      </c>
      <c r="H416" t="s">
        <v>431</v>
      </c>
      <c r="I416" t="s">
        <v>432</v>
      </c>
      <c r="J416" t="s">
        <v>432</v>
      </c>
      <c r="K416">
        <v>0</v>
      </c>
      <c r="L416" t="s">
        <v>428</v>
      </c>
      <c r="M416" t="s">
        <v>428</v>
      </c>
      <c r="N416">
        <v>143048</v>
      </c>
      <c r="O416">
        <f>INDEX(AllCollegeBarrons,MATCH(N416,AllCollegeNCES,0))</f>
        <v>0</v>
      </c>
      <c r="P416">
        <f>INDEX(KidGPAs,MATCH(B416,KidIDs,0))</f>
        <v>0</v>
      </c>
      <c r="Q416">
        <f>INDEX(KidACTs,MATCH(B416,KidIDs,0))</f>
        <v>0</v>
      </c>
      <c r="R416">
        <f>INDEX(Strats,MATCH(B416,KidIDs,0))</f>
        <v>0</v>
      </c>
      <c r="S416">
        <f>INDEX(KidRace,MATCH(B416,KidIDs,0))</f>
        <v>0</v>
      </c>
      <c r="T416">
        <f>IF(OR(S416="M",S416="I"),"H",S416)</f>
        <v>0</v>
      </c>
      <c r="U416">
        <f>INDEX(StudentTargets,MATCH(B416,KidIDs,0))</f>
        <v>0</v>
      </c>
      <c r="V416">
        <f>INDEX(ReachStudentTargets,MATCH(B416,KidIDs,0))</f>
        <v>0</v>
      </c>
      <c r="W416">
        <f>IF(OR(M416="Posse"),1,0)</f>
        <v>0</v>
      </c>
      <c r="X416">
        <f>IF(ISNUMBER(INDEX(AllCollegeGR, MATCH(N416,AllCollegeNCES,0))),ROUND(INDEX(AllCollegeGR, MATCH(N416,AllCollegeNCES,0))+W416*IF(INDEX(AllCollegeGR, MATCH(N416,AllCollegeNCES,0))&gt;0.7,(1-INDEX(AllCollegeGR, MATCH(N416,AllCollegeNCES,0)))/2,0.15),2),INDEX(AllCollegeGR, MATCH(N416,AllCollegeNCES,0)))</f>
        <v>0</v>
      </c>
      <c r="Y416">
        <f>IF(ISNUMBER(INDEX(AllCollegeAAHGR, MATCH(N416,AllCollegeNCES,0))),ROUND(INDEX(AllCollegeAAHGR, MATCH(N416,AllCollegeNCES,0))+W416*IF(INDEX(AllCollegeAAHGR, MATCH(N416,AllCollegeNCES,0))&gt;0.7,(1-INDEX(AllCollegeAAHGR, MATCH(N416,AllCollegeNCES,0)))/2,0.15),2),INDEX(AllCollegeAAHGR, MATCH(N416,AllCollegeNCES,0)))</f>
        <v>0</v>
      </c>
      <c r="Z416">
        <f>IF(OR(T416="H",T416="B"),INDEX(AllCollegeACT25, MATCH(N416,AllCollegeNCES,0)),INDEX(AllCollegeACT50, MATCH(N416,AllCollegeNCES,0)))</f>
        <v>0</v>
      </c>
      <c r="AA416">
        <f>INDEX(CustomWeightsGPA,MATCH(T416&amp;":"&amp;N416,CustomWeightsIndex,0))</f>
        <v>0</v>
      </c>
      <c r="AB416">
        <f>INDEX(CustomWeightsACT,MATCH(T416&amp;":"&amp;N416,CustomWeightsIndex,0))</f>
        <v>0</v>
      </c>
      <c r="AC416">
        <f>INDEX(CustomWeightsIntercept,MATCH(T416&amp;":"&amp;N416,CustomWeightsIndex,0))</f>
        <v>0</v>
      </c>
      <c r="AD416">
        <f>AA416*P416+AB416*Q416+AC416</f>
        <v>0</v>
      </c>
      <c r="AE416">
        <f>INDEX(CoefficientsGPA,MATCH(T416&amp;":"&amp;O416,CoefficientsIndex,0))</f>
        <v>0</v>
      </c>
      <c r="AF416">
        <f>INDEX(CoefficientsACT,MATCH(T416&amp;":"&amp;O416,CoefficientsIndex,0))</f>
        <v>0</v>
      </c>
      <c r="AG416">
        <f>INDEX(CoefficientsIntercept,MATCH(T416&amp;":"&amp;O416,CoefficientsIndex,0))</f>
        <v>0</v>
      </c>
      <c r="AH416">
        <f>AE416*P416+(Q416-Z416)*AF416+AG416</f>
        <v>0</v>
      </c>
      <c r="AI416">
        <f>IF(ISNUMBER(AD416),AD416,AH416)</f>
        <v>0</v>
      </c>
      <c r="AJ416">
        <f>IF(ISNUMBER(AI416),IF(ISNUMBER(AE416),IF(AND(AE416=1,AF416=1,AG416=1),100,ROUND(100*EXP(AI416)/(1+EXP(AI416)),2)),ROUND(100*EXP(AI416)/(1+EXP(AI416)),2)),IF(ISTEXT(O416),IF(LEFT(O416,1)="2",100,"N/A"),"N/A"))</f>
        <v>0</v>
      </c>
      <c r="AK416">
        <f>IF(ISNUMBER(AJ416),IF(AJ416&gt;=99,IF(OR(R416=10,R416=11),MatchLabel,SureThingLabel),IF(AJ416&gt;=95,SecureLabel,IF(AJ416&gt;=80,SafetyLabel,IF(AJ416&gt;=50,MatchLabel,IF(AJ416&gt;=20,ReachLabel,IF(AJ416&gt;=10,LongshotLabel,HailMaryLabel)))))),"Other")</f>
        <v>0</v>
      </c>
      <c r="AL416">
        <f>IF(OR(I416="accepted",I416="cond. accept",I416="summer admit"),IF(J416="yes","CHOICE!","Accepted!"),IF(I416="denied","Denied",IF(K416=1,"Waitlist",IF(L416=1,"Deferred",IF(G416="pending","Pending",IF(OR(G416="initial materials submitted",G416="mid-year submitted",G416="final submitted"),"Submitted",IF(H416="interest","Interest","?")))))))</f>
        <v>0</v>
      </c>
      <c r="AM416">
        <f>IF(OR(AK416=ReachLabel,AK416=LongshotLabel,AK416=HailMaryLabel),1,0)</f>
        <v>0</v>
      </c>
      <c r="AN416">
        <f>IF(OR(AM416=1,AK416=MatchLabel),1,0)</f>
        <v>0</v>
      </c>
      <c r="AO416">
        <f>IF(OR(AK416=MatchLabel,AK416=SafetyLabel,AK416=SecureLabel,AK416=SureThingLabel),1,0)</f>
        <v>0</v>
      </c>
      <c r="AP416">
        <f>IF(OR(T416="H",T416="B"),IF(ISNUMBER(Y416),ROUND(Y416,2),0),IF(ISNUMBER(X416),ROUND(X416,2),0))</f>
        <v>0</v>
      </c>
      <c r="AQ416">
        <f>IF(AP416&gt;=U416,1,0)</f>
        <v>0</v>
      </c>
      <c r="AR416">
        <f>IF(AP416&gt;=V416,1,0)</f>
        <v>0</v>
      </c>
      <c r="AS416">
        <f>IF(AP416&lt;(U416-0.10),1,0)</f>
        <v>0</v>
      </c>
      <c r="AT416">
        <f>1-AJ416/100</f>
        <v>0</v>
      </c>
      <c r="AU416">
        <f>IF(AN416=1,AT416,1)</f>
        <v>0</v>
      </c>
      <c r="AV416">
        <f>IF(AM416=1,AT416,1)</f>
        <v>0</v>
      </c>
      <c r="AW416">
        <f>IF(AND(AQ416=1,ISNUMBER(AT416)),$AT416,1)</f>
        <v>0</v>
      </c>
      <c r="AX416">
        <f>IF(AND(AR416=1,ISNUMBER(AT416)),$AT416,1)</f>
        <v>0</v>
      </c>
      <c r="AY416">
        <f>IF(ISNUMBER(Y416),INDEX(AllCollegeMoney, MATCH(N416,AllCollegeNCES,0)),0)</f>
        <v>0</v>
      </c>
      <c r="AZ416">
        <f>IF(AND(AQ416=1,ISNUMBER(AT416),AY416=1),$AT416,1)</f>
        <v>0</v>
      </c>
      <c r="BA416">
        <f>IF(AND(AR416=1,ISNUMBER(AT416),AY416=1),$AT416,1)</f>
        <v>0</v>
      </c>
      <c r="BB416">
        <f>IF(ISNUMBER(Y416),INDEX(AllCollegeILPub, MATCH(N416,AllCollegeNCES,0)),0)</f>
        <v>0</v>
      </c>
      <c r="BC416">
        <f>IF(AK416=ReachLabel,AP416,0)</f>
        <v>0</v>
      </c>
      <c r="BD416">
        <f>IF(AK416=MatchLabel,AP416,0)</f>
        <v>0</v>
      </c>
      <c r="BE416">
        <f>IF(AK416=SafetyLabel,AP416,0)</f>
        <v>0</v>
      </c>
      <c r="BF416">
        <f>IF(AK416=SecureLabel,AP416,0)</f>
        <v>0</v>
      </c>
      <c r="BG416">
        <f>IF(AK416=SureThingLabel,AP416,0)</f>
        <v>0</v>
      </c>
      <c r="BH416">
        <f>MAX(BC416:BG416)</f>
        <v>0</v>
      </c>
      <c r="BI416">
        <f>MAX(BD416:BG416)</f>
        <v>0</v>
      </c>
      <c r="BJ416">
        <f>MAX(BE416:BG416)</f>
        <v>0</v>
      </c>
      <c r="BK416">
        <f>IF(AND(AK416=ReachLabel,AY416=1),AP416,0)</f>
        <v>0</v>
      </c>
      <c r="BL416">
        <f>IF(AND(AK416=MatchLabel,AY416=1),AP416,0)</f>
        <v>0</v>
      </c>
      <c r="BM416">
        <f>IF(AND(AK416=SafetyLabel,AY416=1),AP416,0)</f>
        <v>0</v>
      </c>
      <c r="BN416">
        <f>IF(AND(AK416=SecureLabel,AY416=1),AP416,0)</f>
        <v>0</v>
      </c>
      <c r="BO416">
        <f>IF(AND(AK416=SureThingLabel,AY416=1),AP416,0)</f>
        <v>0</v>
      </c>
      <c r="BP416">
        <f>MAX(BK416:BO416)</f>
        <v>0</v>
      </c>
      <c r="BQ416">
        <f>MAX(BL416:BO416)</f>
        <v>0</v>
      </c>
      <c r="BR416">
        <f>MAX(BM416:BO416)</f>
        <v>0</v>
      </c>
      <c r="BS416">
        <f>IF(ISNUMBER(Y416),INDEX(AllCollegeChicago, MATCH(N416,AllCollegeNCES,0))*AY416,0)</f>
        <v>0</v>
      </c>
      <c r="BT416">
        <f>IF(ISNUMBER(Y416),INDEX(AllCollegeMoneyCode, MATCH(N416,AllCollegeNCES,0)),"?")</f>
        <v>0</v>
      </c>
      <c r="BU416">
        <f>IF(OR(BT416="---",BT416="--",BT416="+/--",BT416="+/---"),1,0)</f>
        <v>0</v>
      </c>
      <c r="BV416">
        <f>AY416*AO416*AQ416</f>
        <v>0</v>
      </c>
    </row>
    <row r="417" spans="1:74">
      <c r="A417" t="s">
        <v>86</v>
      </c>
      <c r="B417">
        <v>23395591</v>
      </c>
      <c r="C417" t="s">
        <v>269</v>
      </c>
      <c r="D417" t="s">
        <v>270</v>
      </c>
      <c r="E417" t="s">
        <v>428</v>
      </c>
      <c r="F417" t="s">
        <v>447</v>
      </c>
      <c r="G417" t="s">
        <v>430</v>
      </c>
      <c r="H417" t="s">
        <v>431</v>
      </c>
      <c r="I417" t="s">
        <v>432</v>
      </c>
      <c r="J417" t="s">
        <v>432</v>
      </c>
      <c r="K417">
        <v>0</v>
      </c>
      <c r="L417" t="s">
        <v>428</v>
      </c>
      <c r="M417" t="s">
        <v>428</v>
      </c>
      <c r="N417">
        <v>145600</v>
      </c>
      <c r="O417">
        <f>INDEX(AllCollegeBarrons,MATCH(N417,AllCollegeNCES,0))</f>
        <v>0</v>
      </c>
      <c r="P417">
        <f>INDEX(KidGPAs,MATCH(B417,KidIDs,0))</f>
        <v>0</v>
      </c>
      <c r="Q417">
        <f>INDEX(KidACTs,MATCH(B417,KidIDs,0))</f>
        <v>0</v>
      </c>
      <c r="R417">
        <f>INDEX(Strats,MATCH(B417,KidIDs,0))</f>
        <v>0</v>
      </c>
      <c r="S417">
        <f>INDEX(KidRace,MATCH(B417,KidIDs,0))</f>
        <v>0</v>
      </c>
      <c r="T417">
        <f>IF(OR(S417="M",S417="I"),"H",S417)</f>
        <v>0</v>
      </c>
      <c r="U417">
        <f>INDEX(StudentTargets,MATCH(B417,KidIDs,0))</f>
        <v>0</v>
      </c>
      <c r="V417">
        <f>INDEX(ReachStudentTargets,MATCH(B417,KidIDs,0))</f>
        <v>0</v>
      </c>
      <c r="W417">
        <f>IF(OR(M417="Posse"),1,0)</f>
        <v>0</v>
      </c>
      <c r="X417">
        <f>IF(ISNUMBER(INDEX(AllCollegeGR, MATCH(N417,AllCollegeNCES,0))),ROUND(INDEX(AllCollegeGR, MATCH(N417,AllCollegeNCES,0))+W417*IF(INDEX(AllCollegeGR, MATCH(N417,AllCollegeNCES,0))&gt;0.7,(1-INDEX(AllCollegeGR, MATCH(N417,AllCollegeNCES,0)))/2,0.15),2),INDEX(AllCollegeGR, MATCH(N417,AllCollegeNCES,0)))</f>
        <v>0</v>
      </c>
      <c r="Y417">
        <f>IF(ISNUMBER(INDEX(AllCollegeAAHGR, MATCH(N417,AllCollegeNCES,0))),ROUND(INDEX(AllCollegeAAHGR, MATCH(N417,AllCollegeNCES,0))+W417*IF(INDEX(AllCollegeAAHGR, MATCH(N417,AllCollegeNCES,0))&gt;0.7,(1-INDEX(AllCollegeAAHGR, MATCH(N417,AllCollegeNCES,0)))/2,0.15),2),INDEX(AllCollegeAAHGR, MATCH(N417,AllCollegeNCES,0)))</f>
        <v>0</v>
      </c>
      <c r="Z417">
        <f>IF(OR(T417="H",T417="B"),INDEX(AllCollegeACT25, MATCH(N417,AllCollegeNCES,0)),INDEX(AllCollegeACT50, MATCH(N417,AllCollegeNCES,0)))</f>
        <v>0</v>
      </c>
      <c r="AA417">
        <f>INDEX(CustomWeightsGPA,MATCH(T417&amp;":"&amp;N417,CustomWeightsIndex,0))</f>
        <v>0</v>
      </c>
      <c r="AB417">
        <f>INDEX(CustomWeightsACT,MATCH(T417&amp;":"&amp;N417,CustomWeightsIndex,0))</f>
        <v>0</v>
      </c>
      <c r="AC417">
        <f>INDEX(CustomWeightsIntercept,MATCH(T417&amp;":"&amp;N417,CustomWeightsIndex,0))</f>
        <v>0</v>
      </c>
      <c r="AD417">
        <f>AA417*P417+AB417*Q417+AC417</f>
        <v>0</v>
      </c>
      <c r="AE417">
        <f>INDEX(CoefficientsGPA,MATCH(T417&amp;":"&amp;O417,CoefficientsIndex,0))</f>
        <v>0</v>
      </c>
      <c r="AF417">
        <f>INDEX(CoefficientsACT,MATCH(T417&amp;":"&amp;O417,CoefficientsIndex,0))</f>
        <v>0</v>
      </c>
      <c r="AG417">
        <f>INDEX(CoefficientsIntercept,MATCH(T417&amp;":"&amp;O417,CoefficientsIndex,0))</f>
        <v>0</v>
      </c>
      <c r="AH417">
        <f>AE417*P417+(Q417-Z417)*AF417+AG417</f>
        <v>0</v>
      </c>
      <c r="AI417">
        <f>IF(ISNUMBER(AD417),AD417,AH417)</f>
        <v>0</v>
      </c>
      <c r="AJ417">
        <f>IF(ISNUMBER(AI417),IF(ISNUMBER(AE417),IF(AND(AE417=1,AF417=1,AG417=1),100,ROUND(100*EXP(AI417)/(1+EXP(AI417)),2)),ROUND(100*EXP(AI417)/(1+EXP(AI417)),2)),IF(ISTEXT(O417),IF(LEFT(O417,1)="2",100,"N/A"),"N/A"))</f>
        <v>0</v>
      </c>
      <c r="AK417">
        <f>IF(ISNUMBER(AJ417),IF(AJ417&gt;=99,IF(OR(R417=10,R417=11),MatchLabel,SureThingLabel),IF(AJ417&gt;=95,SecureLabel,IF(AJ417&gt;=80,SafetyLabel,IF(AJ417&gt;=50,MatchLabel,IF(AJ417&gt;=20,ReachLabel,IF(AJ417&gt;=10,LongshotLabel,HailMaryLabel)))))),"Other")</f>
        <v>0</v>
      </c>
      <c r="AL417">
        <f>IF(OR(I417="accepted",I417="cond. accept",I417="summer admit"),IF(J417="yes","CHOICE!","Accepted!"),IF(I417="denied","Denied",IF(K417=1,"Waitlist",IF(L417=1,"Deferred",IF(G417="pending","Pending",IF(OR(G417="initial materials submitted",G417="mid-year submitted",G417="final submitted"),"Submitted",IF(H417="interest","Interest","?")))))))</f>
        <v>0</v>
      </c>
      <c r="AM417">
        <f>IF(OR(AK417=ReachLabel,AK417=LongshotLabel,AK417=HailMaryLabel),1,0)</f>
        <v>0</v>
      </c>
      <c r="AN417">
        <f>IF(OR(AM417=1,AK417=MatchLabel),1,0)</f>
        <v>0</v>
      </c>
      <c r="AO417">
        <f>IF(OR(AK417=MatchLabel,AK417=SafetyLabel,AK417=SecureLabel,AK417=SureThingLabel),1,0)</f>
        <v>0</v>
      </c>
      <c r="AP417">
        <f>IF(OR(T417="H",T417="B"),IF(ISNUMBER(Y417),ROUND(Y417,2),0),IF(ISNUMBER(X417),ROUND(X417,2),0))</f>
        <v>0</v>
      </c>
      <c r="AQ417">
        <f>IF(AP417&gt;=U417,1,0)</f>
        <v>0</v>
      </c>
      <c r="AR417">
        <f>IF(AP417&gt;=V417,1,0)</f>
        <v>0</v>
      </c>
      <c r="AS417">
        <f>IF(AP417&lt;(U417-0.10),1,0)</f>
        <v>0</v>
      </c>
      <c r="AT417">
        <f>1-AJ417/100</f>
        <v>0</v>
      </c>
      <c r="AU417">
        <f>IF(AN417=1,AT417,1)</f>
        <v>0</v>
      </c>
      <c r="AV417">
        <f>IF(AM417=1,AT417,1)</f>
        <v>0</v>
      </c>
      <c r="AW417">
        <f>IF(AND(AQ417=1,ISNUMBER(AT417)),$AT417,1)</f>
        <v>0</v>
      </c>
      <c r="AX417">
        <f>IF(AND(AR417=1,ISNUMBER(AT417)),$AT417,1)</f>
        <v>0</v>
      </c>
      <c r="AY417">
        <f>IF(ISNUMBER(Y417),INDEX(AllCollegeMoney, MATCH(N417,AllCollegeNCES,0)),0)</f>
        <v>0</v>
      </c>
      <c r="AZ417">
        <f>IF(AND(AQ417=1,ISNUMBER(AT417),AY417=1),$AT417,1)</f>
        <v>0</v>
      </c>
      <c r="BA417">
        <f>IF(AND(AR417=1,ISNUMBER(AT417),AY417=1),$AT417,1)</f>
        <v>0</v>
      </c>
      <c r="BB417">
        <f>IF(ISNUMBER(Y417),INDEX(AllCollegeILPub, MATCH(N417,AllCollegeNCES,0)),0)</f>
        <v>0</v>
      </c>
      <c r="BC417">
        <f>IF(AK417=ReachLabel,AP417,0)</f>
        <v>0</v>
      </c>
      <c r="BD417">
        <f>IF(AK417=MatchLabel,AP417,0)</f>
        <v>0</v>
      </c>
      <c r="BE417">
        <f>IF(AK417=SafetyLabel,AP417,0)</f>
        <v>0</v>
      </c>
      <c r="BF417">
        <f>IF(AK417=SecureLabel,AP417,0)</f>
        <v>0</v>
      </c>
      <c r="BG417">
        <f>IF(AK417=SureThingLabel,AP417,0)</f>
        <v>0</v>
      </c>
      <c r="BH417">
        <f>MAX(BC417:BG417)</f>
        <v>0</v>
      </c>
      <c r="BI417">
        <f>MAX(BD417:BG417)</f>
        <v>0</v>
      </c>
      <c r="BJ417">
        <f>MAX(BE417:BG417)</f>
        <v>0</v>
      </c>
      <c r="BK417">
        <f>IF(AND(AK417=ReachLabel,AY417=1),AP417,0)</f>
        <v>0</v>
      </c>
      <c r="BL417">
        <f>IF(AND(AK417=MatchLabel,AY417=1),AP417,0)</f>
        <v>0</v>
      </c>
      <c r="BM417">
        <f>IF(AND(AK417=SafetyLabel,AY417=1),AP417,0)</f>
        <v>0</v>
      </c>
      <c r="BN417">
        <f>IF(AND(AK417=SecureLabel,AY417=1),AP417,0)</f>
        <v>0</v>
      </c>
      <c r="BO417">
        <f>IF(AND(AK417=SureThingLabel,AY417=1),AP417,0)</f>
        <v>0</v>
      </c>
      <c r="BP417">
        <f>MAX(BK417:BO417)</f>
        <v>0</v>
      </c>
      <c r="BQ417">
        <f>MAX(BL417:BO417)</f>
        <v>0</v>
      </c>
      <c r="BR417">
        <f>MAX(BM417:BO417)</f>
        <v>0</v>
      </c>
      <c r="BS417">
        <f>IF(ISNUMBER(Y417),INDEX(AllCollegeChicago, MATCH(N417,AllCollegeNCES,0))*AY417,0)</f>
        <v>0</v>
      </c>
      <c r="BT417">
        <f>IF(ISNUMBER(Y417),INDEX(AllCollegeMoneyCode, MATCH(N417,AllCollegeNCES,0)),"?")</f>
        <v>0</v>
      </c>
      <c r="BU417">
        <f>IF(OR(BT417="---",BT417="--",BT417="+/--",BT417="+/---"),1,0)</f>
        <v>0</v>
      </c>
      <c r="BV417">
        <f>AY417*AO417*AQ417</f>
        <v>0</v>
      </c>
    </row>
    <row r="418" spans="1:74">
      <c r="A418" t="s">
        <v>86</v>
      </c>
      <c r="B418">
        <v>23395591</v>
      </c>
      <c r="C418" t="s">
        <v>269</v>
      </c>
      <c r="D418" t="s">
        <v>270</v>
      </c>
      <c r="E418" t="s">
        <v>428</v>
      </c>
      <c r="F418" t="s">
        <v>544</v>
      </c>
      <c r="G418" t="s">
        <v>526</v>
      </c>
      <c r="H418" t="s">
        <v>526</v>
      </c>
      <c r="I418" t="s">
        <v>527</v>
      </c>
      <c r="J418" t="s">
        <v>428</v>
      </c>
      <c r="K418" t="s">
        <v>428</v>
      </c>
      <c r="L418" t="s">
        <v>428</v>
      </c>
      <c r="M418" t="s">
        <v>428</v>
      </c>
      <c r="N418" t="s">
        <v>449</v>
      </c>
      <c r="O418">
        <f>INDEX(AllCollegeBarrons,MATCH(N418,AllCollegeNCES,0))</f>
        <v>0</v>
      </c>
      <c r="P418">
        <f>INDEX(KidGPAs,MATCH(B418,KidIDs,0))</f>
        <v>0</v>
      </c>
      <c r="Q418">
        <f>INDEX(KidACTs,MATCH(B418,KidIDs,0))</f>
        <v>0</v>
      </c>
      <c r="R418">
        <f>INDEX(Strats,MATCH(B418,KidIDs,0))</f>
        <v>0</v>
      </c>
      <c r="S418">
        <f>INDEX(KidRace,MATCH(B418,KidIDs,0))</f>
        <v>0</v>
      </c>
      <c r="T418">
        <f>IF(OR(S418="M",S418="I"),"H",S418)</f>
        <v>0</v>
      </c>
      <c r="U418">
        <f>INDEX(StudentTargets,MATCH(B418,KidIDs,0))</f>
        <v>0</v>
      </c>
      <c r="V418">
        <f>INDEX(ReachStudentTargets,MATCH(B418,KidIDs,0))</f>
        <v>0</v>
      </c>
      <c r="W418">
        <f>IF(OR(M418="Posse"),1,0)</f>
        <v>0</v>
      </c>
      <c r="X418">
        <f>IF(ISNUMBER(INDEX(AllCollegeGR, MATCH(N418,AllCollegeNCES,0))),ROUND(INDEX(AllCollegeGR, MATCH(N418,AllCollegeNCES,0))+W418*IF(INDEX(AllCollegeGR, MATCH(N418,AllCollegeNCES,0))&gt;0.7,(1-INDEX(AllCollegeGR, MATCH(N418,AllCollegeNCES,0)))/2,0.15),2),INDEX(AllCollegeGR, MATCH(N418,AllCollegeNCES,0)))</f>
        <v>0</v>
      </c>
      <c r="Y418">
        <f>IF(ISNUMBER(INDEX(AllCollegeAAHGR, MATCH(N418,AllCollegeNCES,0))),ROUND(INDEX(AllCollegeAAHGR, MATCH(N418,AllCollegeNCES,0))+W418*IF(INDEX(AllCollegeAAHGR, MATCH(N418,AllCollegeNCES,0))&gt;0.7,(1-INDEX(AllCollegeAAHGR, MATCH(N418,AllCollegeNCES,0)))/2,0.15),2),INDEX(AllCollegeAAHGR, MATCH(N418,AllCollegeNCES,0)))</f>
        <v>0</v>
      </c>
      <c r="Z418">
        <f>IF(OR(T418="H",T418="B"),INDEX(AllCollegeACT25, MATCH(N418,AllCollegeNCES,0)),INDEX(AllCollegeACT50, MATCH(N418,AllCollegeNCES,0)))</f>
        <v>0</v>
      </c>
      <c r="AA418">
        <f>INDEX(CustomWeightsGPA,MATCH(T418&amp;":"&amp;N418,CustomWeightsIndex,0))</f>
        <v>0</v>
      </c>
      <c r="AB418">
        <f>INDEX(CustomWeightsACT,MATCH(T418&amp;":"&amp;N418,CustomWeightsIndex,0))</f>
        <v>0</v>
      </c>
      <c r="AC418">
        <f>INDEX(CustomWeightsIntercept,MATCH(T418&amp;":"&amp;N418,CustomWeightsIndex,0))</f>
        <v>0</v>
      </c>
      <c r="AD418">
        <f>AA418*P418+AB418*Q418+AC418</f>
        <v>0</v>
      </c>
      <c r="AE418">
        <f>INDEX(CoefficientsGPA,MATCH(T418&amp;":"&amp;O418,CoefficientsIndex,0))</f>
        <v>0</v>
      </c>
      <c r="AF418">
        <f>INDEX(CoefficientsACT,MATCH(T418&amp;":"&amp;O418,CoefficientsIndex,0))</f>
        <v>0</v>
      </c>
      <c r="AG418">
        <f>INDEX(CoefficientsIntercept,MATCH(T418&amp;":"&amp;O418,CoefficientsIndex,0))</f>
        <v>0</v>
      </c>
      <c r="AH418">
        <f>AE418*P418+(Q418-Z418)*AF418+AG418</f>
        <v>0</v>
      </c>
      <c r="AI418">
        <f>IF(ISNUMBER(AD418),AD418,AH418)</f>
        <v>0</v>
      </c>
      <c r="AJ418">
        <f>IF(ISNUMBER(AI418),IF(ISNUMBER(AE418),IF(AND(AE418=1,AF418=1,AG418=1),100,ROUND(100*EXP(AI418)/(1+EXP(AI418)),2)),ROUND(100*EXP(AI418)/(1+EXP(AI418)),2)),IF(ISTEXT(O418),IF(LEFT(O418,1)="2",100,"N/A"),"N/A"))</f>
        <v>0</v>
      </c>
      <c r="AK418">
        <f>IF(ISNUMBER(AJ418),IF(AJ418&gt;=99,IF(OR(R418=10,R418=11),MatchLabel,SureThingLabel),IF(AJ418&gt;=95,SecureLabel,IF(AJ418&gt;=80,SafetyLabel,IF(AJ418&gt;=50,MatchLabel,IF(AJ418&gt;=20,ReachLabel,IF(AJ418&gt;=10,LongshotLabel,HailMaryLabel)))))),"Other")</f>
        <v>0</v>
      </c>
      <c r="AL418">
        <f>IF(OR(I418="accepted",I418="cond. accept",I418="summer admit"),IF(J418="yes","CHOICE!","Accepted!"),IF(I418="denied","Denied",IF(K418=1,"Waitlist",IF(L418=1,"Deferred",IF(G418="pending","Pending",IF(OR(G418="initial materials submitted",G418="mid-year submitted",G418="final submitted"),"Submitted",IF(H418="interest","Interest","?")))))))</f>
        <v>0</v>
      </c>
      <c r="AM418">
        <f>IF(OR(AK418=ReachLabel,AK418=LongshotLabel,AK418=HailMaryLabel),1,0)</f>
        <v>0</v>
      </c>
      <c r="AN418">
        <f>IF(OR(AM418=1,AK418=MatchLabel),1,0)</f>
        <v>0</v>
      </c>
      <c r="AO418">
        <f>IF(OR(AK418=MatchLabel,AK418=SafetyLabel,AK418=SecureLabel,AK418=SureThingLabel),1,0)</f>
        <v>0</v>
      </c>
      <c r="AP418">
        <f>IF(OR(T418="H",T418="B"),IF(ISNUMBER(Y418),ROUND(Y418,2),0),IF(ISNUMBER(X418),ROUND(X418,2),0))</f>
        <v>0</v>
      </c>
      <c r="AQ418">
        <f>IF(AP418&gt;=U418,1,0)</f>
        <v>0</v>
      </c>
      <c r="AR418">
        <f>IF(AP418&gt;=V418,1,0)</f>
        <v>0</v>
      </c>
      <c r="AS418">
        <f>IF(AP418&lt;(U418-0.10),1,0)</f>
        <v>0</v>
      </c>
      <c r="AT418">
        <f>1-AJ418/100</f>
        <v>0</v>
      </c>
      <c r="AU418">
        <f>IF(AN418=1,AT418,1)</f>
        <v>0</v>
      </c>
      <c r="AV418">
        <f>IF(AM418=1,AT418,1)</f>
        <v>0</v>
      </c>
      <c r="AW418">
        <f>IF(AND(AQ418=1,ISNUMBER(AT418)),$AT418,1)</f>
        <v>0</v>
      </c>
      <c r="AX418">
        <f>IF(AND(AR418=1,ISNUMBER(AT418)),$AT418,1)</f>
        <v>0</v>
      </c>
      <c r="AY418">
        <f>IF(ISNUMBER(Y418),INDEX(AllCollegeMoney, MATCH(N418,AllCollegeNCES,0)),0)</f>
        <v>0</v>
      </c>
      <c r="AZ418">
        <f>IF(AND(AQ418=1,ISNUMBER(AT418),AY418=1),$AT418,1)</f>
        <v>0</v>
      </c>
      <c r="BA418">
        <f>IF(AND(AR418=1,ISNUMBER(AT418),AY418=1),$AT418,1)</f>
        <v>0</v>
      </c>
      <c r="BB418">
        <f>IF(ISNUMBER(Y418),INDEX(AllCollegeILPub, MATCH(N418,AllCollegeNCES,0)),0)</f>
        <v>0</v>
      </c>
      <c r="BC418">
        <f>IF(AK418=ReachLabel,AP418,0)</f>
        <v>0</v>
      </c>
      <c r="BD418">
        <f>IF(AK418=MatchLabel,AP418,0)</f>
        <v>0</v>
      </c>
      <c r="BE418">
        <f>IF(AK418=SafetyLabel,AP418,0)</f>
        <v>0</v>
      </c>
      <c r="BF418">
        <f>IF(AK418=SecureLabel,AP418,0)</f>
        <v>0</v>
      </c>
      <c r="BG418">
        <f>IF(AK418=SureThingLabel,AP418,0)</f>
        <v>0</v>
      </c>
      <c r="BH418">
        <f>MAX(BC418:BG418)</f>
        <v>0</v>
      </c>
      <c r="BI418">
        <f>MAX(BD418:BG418)</f>
        <v>0</v>
      </c>
      <c r="BJ418">
        <f>MAX(BE418:BG418)</f>
        <v>0</v>
      </c>
      <c r="BK418">
        <f>IF(AND(AK418=ReachLabel,AY418=1),AP418,0)</f>
        <v>0</v>
      </c>
      <c r="BL418">
        <f>IF(AND(AK418=MatchLabel,AY418=1),AP418,0)</f>
        <v>0</v>
      </c>
      <c r="BM418">
        <f>IF(AND(AK418=SafetyLabel,AY418=1),AP418,0)</f>
        <v>0</v>
      </c>
      <c r="BN418">
        <f>IF(AND(AK418=SecureLabel,AY418=1),AP418,0)</f>
        <v>0</v>
      </c>
      <c r="BO418">
        <f>IF(AND(AK418=SureThingLabel,AY418=1),AP418,0)</f>
        <v>0</v>
      </c>
      <c r="BP418">
        <f>MAX(BK418:BO418)</f>
        <v>0</v>
      </c>
      <c r="BQ418">
        <f>MAX(BL418:BO418)</f>
        <v>0</v>
      </c>
      <c r="BR418">
        <f>MAX(BM418:BO418)</f>
        <v>0</v>
      </c>
      <c r="BS418">
        <f>IF(ISNUMBER(Y418),INDEX(AllCollegeChicago, MATCH(N418,AllCollegeNCES,0))*AY418,0)</f>
        <v>0</v>
      </c>
      <c r="BT418">
        <f>IF(ISNUMBER(Y418),INDEX(AllCollegeMoneyCode, MATCH(N418,AllCollegeNCES,0)),"?")</f>
        <v>0</v>
      </c>
      <c r="BU418">
        <f>IF(OR(BT418="---",BT418="--",BT418="+/--",BT418="+/---"),1,0)</f>
        <v>0</v>
      </c>
      <c r="BV418">
        <f>AY418*AO418*AQ418</f>
        <v>0</v>
      </c>
    </row>
    <row r="419" spans="1:74">
      <c r="A419" t="s">
        <v>86</v>
      </c>
      <c r="B419">
        <v>23395591</v>
      </c>
      <c r="C419" t="s">
        <v>269</v>
      </c>
      <c r="D419" t="s">
        <v>270</v>
      </c>
      <c r="E419" t="s">
        <v>428</v>
      </c>
      <c r="F419" t="s">
        <v>452</v>
      </c>
      <c r="G419" t="s">
        <v>430</v>
      </c>
      <c r="H419" t="s">
        <v>431</v>
      </c>
      <c r="I419" t="s">
        <v>432</v>
      </c>
      <c r="J419" t="s">
        <v>432</v>
      </c>
      <c r="K419">
        <v>0</v>
      </c>
      <c r="L419" t="s">
        <v>428</v>
      </c>
      <c r="M419" t="s">
        <v>439</v>
      </c>
      <c r="N419">
        <v>154493</v>
      </c>
      <c r="O419">
        <f>INDEX(AllCollegeBarrons,MATCH(N419,AllCollegeNCES,0))</f>
        <v>0</v>
      </c>
      <c r="P419">
        <f>INDEX(KidGPAs,MATCH(B419,KidIDs,0))</f>
        <v>0</v>
      </c>
      <c r="Q419">
        <f>INDEX(KidACTs,MATCH(B419,KidIDs,0))</f>
        <v>0</v>
      </c>
      <c r="R419">
        <f>INDEX(Strats,MATCH(B419,KidIDs,0))</f>
        <v>0</v>
      </c>
      <c r="S419">
        <f>INDEX(KidRace,MATCH(B419,KidIDs,0))</f>
        <v>0</v>
      </c>
      <c r="T419">
        <f>IF(OR(S419="M",S419="I"),"H",S419)</f>
        <v>0</v>
      </c>
      <c r="U419">
        <f>INDEX(StudentTargets,MATCH(B419,KidIDs,0))</f>
        <v>0</v>
      </c>
      <c r="V419">
        <f>INDEX(ReachStudentTargets,MATCH(B419,KidIDs,0))</f>
        <v>0</v>
      </c>
      <c r="W419">
        <f>IF(OR(M419="Posse"),1,0)</f>
        <v>0</v>
      </c>
      <c r="X419">
        <f>IF(ISNUMBER(INDEX(AllCollegeGR, MATCH(N419,AllCollegeNCES,0))),ROUND(INDEX(AllCollegeGR, MATCH(N419,AllCollegeNCES,0))+W419*IF(INDEX(AllCollegeGR, MATCH(N419,AllCollegeNCES,0))&gt;0.7,(1-INDEX(AllCollegeGR, MATCH(N419,AllCollegeNCES,0)))/2,0.15),2),INDEX(AllCollegeGR, MATCH(N419,AllCollegeNCES,0)))</f>
        <v>0</v>
      </c>
      <c r="Y419">
        <f>IF(ISNUMBER(INDEX(AllCollegeAAHGR, MATCH(N419,AllCollegeNCES,0))),ROUND(INDEX(AllCollegeAAHGR, MATCH(N419,AllCollegeNCES,0))+W419*IF(INDEX(AllCollegeAAHGR, MATCH(N419,AllCollegeNCES,0))&gt;0.7,(1-INDEX(AllCollegeAAHGR, MATCH(N419,AllCollegeNCES,0)))/2,0.15),2),INDEX(AllCollegeAAHGR, MATCH(N419,AllCollegeNCES,0)))</f>
        <v>0</v>
      </c>
      <c r="Z419">
        <f>IF(OR(T419="H",T419="B"),INDEX(AllCollegeACT25, MATCH(N419,AllCollegeNCES,0)),INDEX(AllCollegeACT50, MATCH(N419,AllCollegeNCES,0)))</f>
        <v>0</v>
      </c>
      <c r="AA419">
        <f>INDEX(CustomWeightsGPA,MATCH(T419&amp;":"&amp;N419,CustomWeightsIndex,0))</f>
        <v>0</v>
      </c>
      <c r="AB419">
        <f>INDEX(CustomWeightsACT,MATCH(T419&amp;":"&amp;N419,CustomWeightsIndex,0))</f>
        <v>0</v>
      </c>
      <c r="AC419">
        <f>INDEX(CustomWeightsIntercept,MATCH(T419&amp;":"&amp;N419,CustomWeightsIndex,0))</f>
        <v>0</v>
      </c>
      <c r="AD419">
        <f>AA419*P419+AB419*Q419+AC419</f>
        <v>0</v>
      </c>
      <c r="AE419">
        <f>INDEX(CoefficientsGPA,MATCH(T419&amp;":"&amp;O419,CoefficientsIndex,0))</f>
        <v>0</v>
      </c>
      <c r="AF419">
        <f>INDEX(CoefficientsACT,MATCH(T419&amp;":"&amp;O419,CoefficientsIndex,0))</f>
        <v>0</v>
      </c>
      <c r="AG419">
        <f>INDEX(CoefficientsIntercept,MATCH(T419&amp;":"&amp;O419,CoefficientsIndex,0))</f>
        <v>0</v>
      </c>
      <c r="AH419">
        <f>AE419*P419+(Q419-Z419)*AF419+AG419</f>
        <v>0</v>
      </c>
      <c r="AI419">
        <f>IF(ISNUMBER(AD419),AD419,AH419)</f>
        <v>0</v>
      </c>
      <c r="AJ419">
        <f>IF(ISNUMBER(AI419),IF(ISNUMBER(AE419),IF(AND(AE419=1,AF419=1,AG419=1),100,ROUND(100*EXP(AI419)/(1+EXP(AI419)),2)),ROUND(100*EXP(AI419)/(1+EXP(AI419)),2)),IF(ISTEXT(O419),IF(LEFT(O419,1)="2",100,"N/A"),"N/A"))</f>
        <v>0</v>
      </c>
      <c r="AK419">
        <f>IF(ISNUMBER(AJ419),IF(AJ419&gt;=99,IF(OR(R419=10,R419=11),MatchLabel,SureThingLabel),IF(AJ419&gt;=95,SecureLabel,IF(AJ419&gt;=80,SafetyLabel,IF(AJ419&gt;=50,MatchLabel,IF(AJ419&gt;=20,ReachLabel,IF(AJ419&gt;=10,LongshotLabel,HailMaryLabel)))))),"Other")</f>
        <v>0</v>
      </c>
      <c r="AL419">
        <f>IF(OR(I419="accepted",I419="cond. accept",I419="summer admit"),IF(J419="yes","CHOICE!","Accepted!"),IF(I419="denied","Denied",IF(K419=1,"Waitlist",IF(L419=1,"Deferred",IF(G419="pending","Pending",IF(OR(G419="initial materials submitted",G419="mid-year submitted",G419="final submitted"),"Submitted",IF(H419="interest","Interest","?")))))))</f>
        <v>0</v>
      </c>
      <c r="AM419">
        <f>IF(OR(AK419=ReachLabel,AK419=LongshotLabel,AK419=HailMaryLabel),1,0)</f>
        <v>0</v>
      </c>
      <c r="AN419">
        <f>IF(OR(AM419=1,AK419=MatchLabel),1,0)</f>
        <v>0</v>
      </c>
      <c r="AO419">
        <f>IF(OR(AK419=MatchLabel,AK419=SafetyLabel,AK419=SecureLabel,AK419=SureThingLabel),1,0)</f>
        <v>0</v>
      </c>
      <c r="AP419">
        <f>IF(OR(T419="H",T419="B"),IF(ISNUMBER(Y419),ROUND(Y419,2),0),IF(ISNUMBER(X419),ROUND(X419,2),0))</f>
        <v>0</v>
      </c>
      <c r="AQ419">
        <f>IF(AP419&gt;=U419,1,0)</f>
        <v>0</v>
      </c>
      <c r="AR419">
        <f>IF(AP419&gt;=V419,1,0)</f>
        <v>0</v>
      </c>
      <c r="AS419">
        <f>IF(AP419&lt;(U419-0.10),1,0)</f>
        <v>0</v>
      </c>
      <c r="AT419">
        <f>1-AJ419/100</f>
        <v>0</v>
      </c>
      <c r="AU419">
        <f>IF(AN419=1,AT419,1)</f>
        <v>0</v>
      </c>
      <c r="AV419">
        <f>IF(AM419=1,AT419,1)</f>
        <v>0</v>
      </c>
      <c r="AW419">
        <f>IF(AND(AQ419=1,ISNUMBER(AT419)),$AT419,1)</f>
        <v>0</v>
      </c>
      <c r="AX419">
        <f>IF(AND(AR419=1,ISNUMBER(AT419)),$AT419,1)</f>
        <v>0</v>
      </c>
      <c r="AY419">
        <f>IF(ISNUMBER(Y419),INDEX(AllCollegeMoney, MATCH(N419,AllCollegeNCES,0)),0)</f>
        <v>0</v>
      </c>
      <c r="AZ419">
        <f>IF(AND(AQ419=1,ISNUMBER(AT419),AY419=1),$AT419,1)</f>
        <v>0</v>
      </c>
      <c r="BA419">
        <f>IF(AND(AR419=1,ISNUMBER(AT419),AY419=1),$AT419,1)</f>
        <v>0</v>
      </c>
      <c r="BB419">
        <f>IF(ISNUMBER(Y419),INDEX(AllCollegeILPub, MATCH(N419,AllCollegeNCES,0)),0)</f>
        <v>0</v>
      </c>
      <c r="BC419">
        <f>IF(AK419=ReachLabel,AP419,0)</f>
        <v>0</v>
      </c>
      <c r="BD419">
        <f>IF(AK419=MatchLabel,AP419,0)</f>
        <v>0</v>
      </c>
      <c r="BE419">
        <f>IF(AK419=SafetyLabel,AP419,0)</f>
        <v>0</v>
      </c>
      <c r="BF419">
        <f>IF(AK419=SecureLabel,AP419,0)</f>
        <v>0</v>
      </c>
      <c r="BG419">
        <f>IF(AK419=SureThingLabel,AP419,0)</f>
        <v>0</v>
      </c>
      <c r="BH419">
        <f>MAX(BC419:BG419)</f>
        <v>0</v>
      </c>
      <c r="BI419">
        <f>MAX(BD419:BG419)</f>
        <v>0</v>
      </c>
      <c r="BJ419">
        <f>MAX(BE419:BG419)</f>
        <v>0</v>
      </c>
      <c r="BK419">
        <f>IF(AND(AK419=ReachLabel,AY419=1),AP419,0)</f>
        <v>0</v>
      </c>
      <c r="BL419">
        <f>IF(AND(AK419=MatchLabel,AY419=1),AP419,0)</f>
        <v>0</v>
      </c>
      <c r="BM419">
        <f>IF(AND(AK419=SafetyLabel,AY419=1),AP419,0)</f>
        <v>0</v>
      </c>
      <c r="BN419">
        <f>IF(AND(AK419=SecureLabel,AY419=1),AP419,0)</f>
        <v>0</v>
      </c>
      <c r="BO419">
        <f>IF(AND(AK419=SureThingLabel,AY419=1),AP419,0)</f>
        <v>0</v>
      </c>
      <c r="BP419">
        <f>MAX(BK419:BO419)</f>
        <v>0</v>
      </c>
      <c r="BQ419">
        <f>MAX(BL419:BO419)</f>
        <v>0</v>
      </c>
      <c r="BR419">
        <f>MAX(BM419:BO419)</f>
        <v>0</v>
      </c>
      <c r="BS419">
        <f>IF(ISNUMBER(Y419),INDEX(AllCollegeChicago, MATCH(N419,AllCollegeNCES,0))*AY419,0)</f>
        <v>0</v>
      </c>
      <c r="BT419">
        <f>IF(ISNUMBER(Y419),INDEX(AllCollegeMoneyCode, MATCH(N419,AllCollegeNCES,0)),"?")</f>
        <v>0</v>
      </c>
      <c r="BU419">
        <f>IF(OR(BT419="---",BT419="--",BT419="+/--",BT419="+/---"),1,0)</f>
        <v>0</v>
      </c>
      <c r="BV419">
        <f>AY419*AO419*AQ419</f>
        <v>0</v>
      </c>
    </row>
    <row r="420" spans="1:74">
      <c r="A420" t="s">
        <v>86</v>
      </c>
      <c r="B420">
        <v>23395591</v>
      </c>
      <c r="C420" t="s">
        <v>269</v>
      </c>
      <c r="D420" t="s">
        <v>270</v>
      </c>
      <c r="E420" t="s">
        <v>428</v>
      </c>
      <c r="F420" t="s">
        <v>545</v>
      </c>
      <c r="G420" t="s">
        <v>430</v>
      </c>
      <c r="H420" t="s">
        <v>431</v>
      </c>
      <c r="I420" t="s">
        <v>432</v>
      </c>
      <c r="J420" t="s">
        <v>432</v>
      </c>
      <c r="K420">
        <v>0</v>
      </c>
      <c r="L420" t="s">
        <v>428</v>
      </c>
      <c r="M420" t="s">
        <v>428</v>
      </c>
      <c r="N420">
        <v>144281</v>
      </c>
      <c r="O420">
        <f>INDEX(AllCollegeBarrons,MATCH(N420,AllCollegeNCES,0))</f>
        <v>0</v>
      </c>
      <c r="P420">
        <f>INDEX(KidGPAs,MATCH(B420,KidIDs,0))</f>
        <v>0</v>
      </c>
      <c r="Q420">
        <f>INDEX(KidACTs,MATCH(B420,KidIDs,0))</f>
        <v>0</v>
      </c>
      <c r="R420">
        <f>INDEX(Strats,MATCH(B420,KidIDs,0))</f>
        <v>0</v>
      </c>
      <c r="S420">
        <f>INDEX(KidRace,MATCH(B420,KidIDs,0))</f>
        <v>0</v>
      </c>
      <c r="T420">
        <f>IF(OR(S420="M",S420="I"),"H",S420)</f>
        <v>0</v>
      </c>
      <c r="U420">
        <f>INDEX(StudentTargets,MATCH(B420,KidIDs,0))</f>
        <v>0</v>
      </c>
      <c r="V420">
        <f>INDEX(ReachStudentTargets,MATCH(B420,KidIDs,0))</f>
        <v>0</v>
      </c>
      <c r="W420">
        <f>IF(OR(M420="Posse"),1,0)</f>
        <v>0</v>
      </c>
      <c r="X420">
        <f>IF(ISNUMBER(INDEX(AllCollegeGR, MATCH(N420,AllCollegeNCES,0))),ROUND(INDEX(AllCollegeGR, MATCH(N420,AllCollegeNCES,0))+W420*IF(INDEX(AllCollegeGR, MATCH(N420,AllCollegeNCES,0))&gt;0.7,(1-INDEX(AllCollegeGR, MATCH(N420,AllCollegeNCES,0)))/2,0.15),2),INDEX(AllCollegeGR, MATCH(N420,AllCollegeNCES,0)))</f>
        <v>0</v>
      </c>
      <c r="Y420">
        <f>IF(ISNUMBER(INDEX(AllCollegeAAHGR, MATCH(N420,AllCollegeNCES,0))),ROUND(INDEX(AllCollegeAAHGR, MATCH(N420,AllCollegeNCES,0))+W420*IF(INDEX(AllCollegeAAHGR, MATCH(N420,AllCollegeNCES,0))&gt;0.7,(1-INDEX(AllCollegeAAHGR, MATCH(N420,AllCollegeNCES,0)))/2,0.15),2),INDEX(AllCollegeAAHGR, MATCH(N420,AllCollegeNCES,0)))</f>
        <v>0</v>
      </c>
      <c r="Z420">
        <f>IF(OR(T420="H",T420="B"),INDEX(AllCollegeACT25, MATCH(N420,AllCollegeNCES,0)),INDEX(AllCollegeACT50, MATCH(N420,AllCollegeNCES,0)))</f>
        <v>0</v>
      </c>
      <c r="AA420">
        <f>INDEX(CustomWeightsGPA,MATCH(T420&amp;":"&amp;N420,CustomWeightsIndex,0))</f>
        <v>0</v>
      </c>
      <c r="AB420">
        <f>INDEX(CustomWeightsACT,MATCH(T420&amp;":"&amp;N420,CustomWeightsIndex,0))</f>
        <v>0</v>
      </c>
      <c r="AC420">
        <f>INDEX(CustomWeightsIntercept,MATCH(T420&amp;":"&amp;N420,CustomWeightsIndex,0))</f>
        <v>0</v>
      </c>
      <c r="AD420">
        <f>AA420*P420+AB420*Q420+AC420</f>
        <v>0</v>
      </c>
      <c r="AE420">
        <f>INDEX(CoefficientsGPA,MATCH(T420&amp;":"&amp;O420,CoefficientsIndex,0))</f>
        <v>0</v>
      </c>
      <c r="AF420">
        <f>INDEX(CoefficientsACT,MATCH(T420&amp;":"&amp;O420,CoefficientsIndex,0))</f>
        <v>0</v>
      </c>
      <c r="AG420">
        <f>INDEX(CoefficientsIntercept,MATCH(T420&amp;":"&amp;O420,CoefficientsIndex,0))</f>
        <v>0</v>
      </c>
      <c r="AH420">
        <f>AE420*P420+(Q420-Z420)*AF420+AG420</f>
        <v>0</v>
      </c>
      <c r="AI420">
        <f>IF(ISNUMBER(AD420),AD420,AH420)</f>
        <v>0</v>
      </c>
      <c r="AJ420">
        <f>IF(ISNUMBER(AI420),IF(ISNUMBER(AE420),IF(AND(AE420=1,AF420=1,AG420=1),100,ROUND(100*EXP(AI420)/(1+EXP(AI420)),2)),ROUND(100*EXP(AI420)/(1+EXP(AI420)),2)),IF(ISTEXT(O420),IF(LEFT(O420,1)="2",100,"N/A"),"N/A"))</f>
        <v>0</v>
      </c>
      <c r="AK420">
        <f>IF(ISNUMBER(AJ420),IF(AJ420&gt;=99,IF(OR(R420=10,R420=11),MatchLabel,SureThingLabel),IF(AJ420&gt;=95,SecureLabel,IF(AJ420&gt;=80,SafetyLabel,IF(AJ420&gt;=50,MatchLabel,IF(AJ420&gt;=20,ReachLabel,IF(AJ420&gt;=10,LongshotLabel,HailMaryLabel)))))),"Other")</f>
        <v>0</v>
      </c>
      <c r="AL420">
        <f>IF(OR(I420="accepted",I420="cond. accept",I420="summer admit"),IF(J420="yes","CHOICE!","Accepted!"),IF(I420="denied","Denied",IF(K420=1,"Waitlist",IF(L420=1,"Deferred",IF(G420="pending","Pending",IF(OR(G420="initial materials submitted",G420="mid-year submitted",G420="final submitted"),"Submitted",IF(H420="interest","Interest","?")))))))</f>
        <v>0</v>
      </c>
      <c r="AM420">
        <f>IF(OR(AK420=ReachLabel,AK420=LongshotLabel,AK420=HailMaryLabel),1,0)</f>
        <v>0</v>
      </c>
      <c r="AN420">
        <f>IF(OR(AM420=1,AK420=MatchLabel),1,0)</f>
        <v>0</v>
      </c>
      <c r="AO420">
        <f>IF(OR(AK420=MatchLabel,AK420=SafetyLabel,AK420=SecureLabel,AK420=SureThingLabel),1,0)</f>
        <v>0</v>
      </c>
      <c r="AP420">
        <f>IF(OR(T420="H",T420="B"),IF(ISNUMBER(Y420),ROUND(Y420,2),0),IF(ISNUMBER(X420),ROUND(X420,2),0))</f>
        <v>0</v>
      </c>
      <c r="AQ420">
        <f>IF(AP420&gt;=U420,1,0)</f>
        <v>0</v>
      </c>
      <c r="AR420">
        <f>IF(AP420&gt;=V420,1,0)</f>
        <v>0</v>
      </c>
      <c r="AS420">
        <f>IF(AP420&lt;(U420-0.10),1,0)</f>
        <v>0</v>
      </c>
      <c r="AT420">
        <f>1-AJ420/100</f>
        <v>0</v>
      </c>
      <c r="AU420">
        <f>IF(AN420=1,AT420,1)</f>
        <v>0</v>
      </c>
      <c r="AV420">
        <f>IF(AM420=1,AT420,1)</f>
        <v>0</v>
      </c>
      <c r="AW420">
        <f>IF(AND(AQ420=1,ISNUMBER(AT420)),$AT420,1)</f>
        <v>0</v>
      </c>
      <c r="AX420">
        <f>IF(AND(AR420=1,ISNUMBER(AT420)),$AT420,1)</f>
        <v>0</v>
      </c>
      <c r="AY420">
        <f>IF(ISNUMBER(Y420),INDEX(AllCollegeMoney, MATCH(N420,AllCollegeNCES,0)),0)</f>
        <v>0</v>
      </c>
      <c r="AZ420">
        <f>IF(AND(AQ420=1,ISNUMBER(AT420),AY420=1),$AT420,1)</f>
        <v>0</v>
      </c>
      <c r="BA420">
        <f>IF(AND(AR420=1,ISNUMBER(AT420),AY420=1),$AT420,1)</f>
        <v>0</v>
      </c>
      <c r="BB420">
        <f>IF(ISNUMBER(Y420),INDEX(AllCollegeILPub, MATCH(N420,AllCollegeNCES,0)),0)</f>
        <v>0</v>
      </c>
      <c r="BC420">
        <f>IF(AK420=ReachLabel,AP420,0)</f>
        <v>0</v>
      </c>
      <c r="BD420">
        <f>IF(AK420=MatchLabel,AP420,0)</f>
        <v>0</v>
      </c>
      <c r="BE420">
        <f>IF(AK420=SafetyLabel,AP420,0)</f>
        <v>0</v>
      </c>
      <c r="BF420">
        <f>IF(AK420=SecureLabel,AP420,0)</f>
        <v>0</v>
      </c>
      <c r="BG420">
        <f>IF(AK420=SureThingLabel,AP420,0)</f>
        <v>0</v>
      </c>
      <c r="BH420">
        <f>MAX(BC420:BG420)</f>
        <v>0</v>
      </c>
      <c r="BI420">
        <f>MAX(BD420:BG420)</f>
        <v>0</v>
      </c>
      <c r="BJ420">
        <f>MAX(BE420:BG420)</f>
        <v>0</v>
      </c>
      <c r="BK420">
        <f>IF(AND(AK420=ReachLabel,AY420=1),AP420,0)</f>
        <v>0</v>
      </c>
      <c r="BL420">
        <f>IF(AND(AK420=MatchLabel,AY420=1),AP420,0)</f>
        <v>0</v>
      </c>
      <c r="BM420">
        <f>IF(AND(AK420=SafetyLabel,AY420=1),AP420,0)</f>
        <v>0</v>
      </c>
      <c r="BN420">
        <f>IF(AND(AK420=SecureLabel,AY420=1),AP420,0)</f>
        <v>0</v>
      </c>
      <c r="BO420">
        <f>IF(AND(AK420=SureThingLabel,AY420=1),AP420,0)</f>
        <v>0</v>
      </c>
      <c r="BP420">
        <f>MAX(BK420:BO420)</f>
        <v>0</v>
      </c>
      <c r="BQ420">
        <f>MAX(BL420:BO420)</f>
        <v>0</v>
      </c>
      <c r="BR420">
        <f>MAX(BM420:BO420)</f>
        <v>0</v>
      </c>
      <c r="BS420">
        <f>IF(ISNUMBER(Y420),INDEX(AllCollegeChicago, MATCH(N420,AllCollegeNCES,0))*AY420,0)</f>
        <v>0</v>
      </c>
      <c r="BT420">
        <f>IF(ISNUMBER(Y420),INDEX(AllCollegeMoneyCode, MATCH(N420,AllCollegeNCES,0)),"?")</f>
        <v>0</v>
      </c>
      <c r="BU420">
        <f>IF(OR(BT420="---",BT420="--",BT420="+/--",BT420="+/---"),1,0)</f>
        <v>0</v>
      </c>
      <c r="BV420">
        <f>AY420*AO420*AQ420</f>
        <v>0</v>
      </c>
    </row>
    <row r="421" spans="1:74">
      <c r="A421" t="s">
        <v>86</v>
      </c>
      <c r="B421">
        <v>23395591</v>
      </c>
      <c r="C421" t="s">
        <v>269</v>
      </c>
      <c r="D421" t="s">
        <v>270</v>
      </c>
      <c r="E421" t="s">
        <v>428</v>
      </c>
      <c r="F421" t="s">
        <v>546</v>
      </c>
      <c r="G421" t="s">
        <v>526</v>
      </c>
      <c r="H421" t="s">
        <v>526</v>
      </c>
      <c r="I421" t="s">
        <v>527</v>
      </c>
      <c r="J421" t="s">
        <v>428</v>
      </c>
      <c r="K421" t="s">
        <v>428</v>
      </c>
      <c r="L421" t="s">
        <v>428</v>
      </c>
      <c r="M421" t="s">
        <v>428</v>
      </c>
      <c r="N421">
        <v>148487</v>
      </c>
      <c r="O421">
        <f>INDEX(AllCollegeBarrons,MATCH(N421,AllCollegeNCES,0))</f>
        <v>0</v>
      </c>
      <c r="P421">
        <f>INDEX(KidGPAs,MATCH(B421,KidIDs,0))</f>
        <v>0</v>
      </c>
      <c r="Q421">
        <f>INDEX(KidACTs,MATCH(B421,KidIDs,0))</f>
        <v>0</v>
      </c>
      <c r="R421">
        <f>INDEX(Strats,MATCH(B421,KidIDs,0))</f>
        <v>0</v>
      </c>
      <c r="S421">
        <f>INDEX(KidRace,MATCH(B421,KidIDs,0))</f>
        <v>0</v>
      </c>
      <c r="T421">
        <f>IF(OR(S421="M",S421="I"),"H",S421)</f>
        <v>0</v>
      </c>
      <c r="U421">
        <f>INDEX(StudentTargets,MATCH(B421,KidIDs,0))</f>
        <v>0</v>
      </c>
      <c r="V421">
        <f>INDEX(ReachStudentTargets,MATCH(B421,KidIDs,0))</f>
        <v>0</v>
      </c>
      <c r="W421">
        <f>IF(OR(M421="Posse"),1,0)</f>
        <v>0</v>
      </c>
      <c r="X421">
        <f>IF(ISNUMBER(INDEX(AllCollegeGR, MATCH(N421,AllCollegeNCES,0))),ROUND(INDEX(AllCollegeGR, MATCH(N421,AllCollegeNCES,0))+W421*IF(INDEX(AllCollegeGR, MATCH(N421,AllCollegeNCES,0))&gt;0.7,(1-INDEX(AllCollegeGR, MATCH(N421,AllCollegeNCES,0)))/2,0.15),2),INDEX(AllCollegeGR, MATCH(N421,AllCollegeNCES,0)))</f>
        <v>0</v>
      </c>
      <c r="Y421">
        <f>IF(ISNUMBER(INDEX(AllCollegeAAHGR, MATCH(N421,AllCollegeNCES,0))),ROUND(INDEX(AllCollegeAAHGR, MATCH(N421,AllCollegeNCES,0))+W421*IF(INDEX(AllCollegeAAHGR, MATCH(N421,AllCollegeNCES,0))&gt;0.7,(1-INDEX(AllCollegeAAHGR, MATCH(N421,AllCollegeNCES,0)))/2,0.15),2),INDEX(AllCollegeAAHGR, MATCH(N421,AllCollegeNCES,0)))</f>
        <v>0</v>
      </c>
      <c r="Z421">
        <f>IF(OR(T421="H",T421="B"),INDEX(AllCollegeACT25, MATCH(N421,AllCollegeNCES,0)),INDEX(AllCollegeACT50, MATCH(N421,AllCollegeNCES,0)))</f>
        <v>0</v>
      </c>
      <c r="AA421">
        <f>INDEX(CustomWeightsGPA,MATCH(T421&amp;":"&amp;N421,CustomWeightsIndex,0))</f>
        <v>0</v>
      </c>
      <c r="AB421">
        <f>INDEX(CustomWeightsACT,MATCH(T421&amp;":"&amp;N421,CustomWeightsIndex,0))</f>
        <v>0</v>
      </c>
      <c r="AC421">
        <f>INDEX(CustomWeightsIntercept,MATCH(T421&amp;":"&amp;N421,CustomWeightsIndex,0))</f>
        <v>0</v>
      </c>
      <c r="AD421">
        <f>AA421*P421+AB421*Q421+AC421</f>
        <v>0</v>
      </c>
      <c r="AE421">
        <f>INDEX(CoefficientsGPA,MATCH(T421&amp;":"&amp;O421,CoefficientsIndex,0))</f>
        <v>0</v>
      </c>
      <c r="AF421">
        <f>INDEX(CoefficientsACT,MATCH(T421&amp;":"&amp;O421,CoefficientsIndex,0))</f>
        <v>0</v>
      </c>
      <c r="AG421">
        <f>INDEX(CoefficientsIntercept,MATCH(T421&amp;":"&amp;O421,CoefficientsIndex,0))</f>
        <v>0</v>
      </c>
      <c r="AH421">
        <f>AE421*P421+(Q421-Z421)*AF421+AG421</f>
        <v>0</v>
      </c>
      <c r="AI421">
        <f>IF(ISNUMBER(AD421),AD421,AH421)</f>
        <v>0</v>
      </c>
      <c r="AJ421">
        <f>IF(ISNUMBER(AI421),IF(ISNUMBER(AE421),IF(AND(AE421=1,AF421=1,AG421=1),100,ROUND(100*EXP(AI421)/(1+EXP(AI421)),2)),ROUND(100*EXP(AI421)/(1+EXP(AI421)),2)),IF(ISTEXT(O421),IF(LEFT(O421,1)="2",100,"N/A"),"N/A"))</f>
        <v>0</v>
      </c>
      <c r="AK421">
        <f>IF(ISNUMBER(AJ421),IF(AJ421&gt;=99,IF(OR(R421=10,R421=11),MatchLabel,SureThingLabel),IF(AJ421&gt;=95,SecureLabel,IF(AJ421&gt;=80,SafetyLabel,IF(AJ421&gt;=50,MatchLabel,IF(AJ421&gt;=20,ReachLabel,IF(AJ421&gt;=10,LongshotLabel,HailMaryLabel)))))),"Other")</f>
        <v>0</v>
      </c>
      <c r="AL421">
        <f>IF(OR(I421="accepted",I421="cond. accept",I421="summer admit"),IF(J421="yes","CHOICE!","Accepted!"),IF(I421="denied","Denied",IF(K421=1,"Waitlist",IF(L421=1,"Deferred",IF(G421="pending","Pending",IF(OR(G421="initial materials submitted",G421="mid-year submitted",G421="final submitted"),"Submitted",IF(H421="interest","Interest","?")))))))</f>
        <v>0</v>
      </c>
      <c r="AM421">
        <f>IF(OR(AK421=ReachLabel,AK421=LongshotLabel,AK421=HailMaryLabel),1,0)</f>
        <v>0</v>
      </c>
      <c r="AN421">
        <f>IF(OR(AM421=1,AK421=MatchLabel),1,0)</f>
        <v>0</v>
      </c>
      <c r="AO421">
        <f>IF(OR(AK421=MatchLabel,AK421=SafetyLabel,AK421=SecureLabel,AK421=SureThingLabel),1,0)</f>
        <v>0</v>
      </c>
      <c r="AP421">
        <f>IF(OR(T421="H",T421="B"),IF(ISNUMBER(Y421),ROUND(Y421,2),0),IF(ISNUMBER(X421),ROUND(X421,2),0))</f>
        <v>0</v>
      </c>
      <c r="AQ421">
        <f>IF(AP421&gt;=U421,1,0)</f>
        <v>0</v>
      </c>
      <c r="AR421">
        <f>IF(AP421&gt;=V421,1,0)</f>
        <v>0</v>
      </c>
      <c r="AS421">
        <f>IF(AP421&lt;(U421-0.10),1,0)</f>
        <v>0</v>
      </c>
      <c r="AT421">
        <f>1-AJ421/100</f>
        <v>0</v>
      </c>
      <c r="AU421">
        <f>IF(AN421=1,AT421,1)</f>
        <v>0</v>
      </c>
      <c r="AV421">
        <f>IF(AM421=1,AT421,1)</f>
        <v>0</v>
      </c>
      <c r="AW421">
        <f>IF(AND(AQ421=1,ISNUMBER(AT421)),$AT421,1)</f>
        <v>0</v>
      </c>
      <c r="AX421">
        <f>IF(AND(AR421=1,ISNUMBER(AT421)),$AT421,1)</f>
        <v>0</v>
      </c>
      <c r="AY421">
        <f>IF(ISNUMBER(Y421),INDEX(AllCollegeMoney, MATCH(N421,AllCollegeNCES,0)),0)</f>
        <v>0</v>
      </c>
      <c r="AZ421">
        <f>IF(AND(AQ421=1,ISNUMBER(AT421),AY421=1),$AT421,1)</f>
        <v>0</v>
      </c>
      <c r="BA421">
        <f>IF(AND(AR421=1,ISNUMBER(AT421),AY421=1),$AT421,1)</f>
        <v>0</v>
      </c>
      <c r="BB421">
        <f>IF(ISNUMBER(Y421),INDEX(AllCollegeILPub, MATCH(N421,AllCollegeNCES,0)),0)</f>
        <v>0</v>
      </c>
      <c r="BC421">
        <f>IF(AK421=ReachLabel,AP421,0)</f>
        <v>0</v>
      </c>
      <c r="BD421">
        <f>IF(AK421=MatchLabel,AP421,0)</f>
        <v>0</v>
      </c>
      <c r="BE421">
        <f>IF(AK421=SafetyLabel,AP421,0)</f>
        <v>0</v>
      </c>
      <c r="BF421">
        <f>IF(AK421=SecureLabel,AP421,0)</f>
        <v>0</v>
      </c>
      <c r="BG421">
        <f>IF(AK421=SureThingLabel,AP421,0)</f>
        <v>0</v>
      </c>
      <c r="BH421">
        <f>MAX(BC421:BG421)</f>
        <v>0</v>
      </c>
      <c r="BI421">
        <f>MAX(BD421:BG421)</f>
        <v>0</v>
      </c>
      <c r="BJ421">
        <f>MAX(BE421:BG421)</f>
        <v>0</v>
      </c>
      <c r="BK421">
        <f>IF(AND(AK421=ReachLabel,AY421=1),AP421,0)</f>
        <v>0</v>
      </c>
      <c r="BL421">
        <f>IF(AND(AK421=MatchLabel,AY421=1),AP421,0)</f>
        <v>0</v>
      </c>
      <c r="BM421">
        <f>IF(AND(AK421=SafetyLabel,AY421=1),AP421,0)</f>
        <v>0</v>
      </c>
      <c r="BN421">
        <f>IF(AND(AK421=SecureLabel,AY421=1),AP421,0)</f>
        <v>0</v>
      </c>
      <c r="BO421">
        <f>IF(AND(AK421=SureThingLabel,AY421=1),AP421,0)</f>
        <v>0</v>
      </c>
      <c r="BP421">
        <f>MAX(BK421:BO421)</f>
        <v>0</v>
      </c>
      <c r="BQ421">
        <f>MAX(BL421:BO421)</f>
        <v>0</v>
      </c>
      <c r="BR421">
        <f>MAX(BM421:BO421)</f>
        <v>0</v>
      </c>
      <c r="BS421">
        <f>IF(ISNUMBER(Y421),INDEX(AllCollegeChicago, MATCH(N421,AllCollegeNCES,0))*AY421,0)</f>
        <v>0</v>
      </c>
      <c r="BT421">
        <f>IF(ISNUMBER(Y421),INDEX(AllCollegeMoneyCode, MATCH(N421,AllCollegeNCES,0)),"?")</f>
        <v>0</v>
      </c>
      <c r="BU421">
        <f>IF(OR(BT421="---",BT421="--",BT421="+/--",BT421="+/---"),1,0)</f>
        <v>0</v>
      </c>
      <c r="BV421">
        <f>AY421*AO421*AQ421</f>
        <v>0</v>
      </c>
    </row>
    <row r="422" spans="1:74">
      <c r="A422" t="s">
        <v>86</v>
      </c>
      <c r="B422">
        <v>23395591</v>
      </c>
      <c r="C422" t="s">
        <v>269</v>
      </c>
      <c r="D422" t="s">
        <v>270</v>
      </c>
      <c r="E422" t="s">
        <v>428</v>
      </c>
      <c r="F422" t="s">
        <v>547</v>
      </c>
      <c r="G422" t="s">
        <v>526</v>
      </c>
      <c r="H422" t="s">
        <v>526</v>
      </c>
      <c r="I422" t="s">
        <v>527</v>
      </c>
      <c r="J422" t="s">
        <v>428</v>
      </c>
      <c r="K422" t="s">
        <v>428</v>
      </c>
      <c r="L422" t="s">
        <v>428</v>
      </c>
      <c r="M422" t="s">
        <v>428</v>
      </c>
      <c r="N422">
        <v>144209</v>
      </c>
      <c r="O422">
        <f>INDEX(AllCollegeBarrons,MATCH(N422,AllCollegeNCES,0))</f>
        <v>0</v>
      </c>
      <c r="P422">
        <f>INDEX(KidGPAs,MATCH(B422,KidIDs,0))</f>
        <v>0</v>
      </c>
      <c r="Q422">
        <f>INDEX(KidACTs,MATCH(B422,KidIDs,0))</f>
        <v>0</v>
      </c>
      <c r="R422">
        <f>INDEX(Strats,MATCH(B422,KidIDs,0))</f>
        <v>0</v>
      </c>
      <c r="S422">
        <f>INDEX(KidRace,MATCH(B422,KidIDs,0))</f>
        <v>0</v>
      </c>
      <c r="T422">
        <f>IF(OR(S422="M",S422="I"),"H",S422)</f>
        <v>0</v>
      </c>
      <c r="U422">
        <f>INDEX(StudentTargets,MATCH(B422,KidIDs,0))</f>
        <v>0</v>
      </c>
      <c r="V422">
        <f>INDEX(ReachStudentTargets,MATCH(B422,KidIDs,0))</f>
        <v>0</v>
      </c>
      <c r="W422">
        <f>IF(OR(M422="Posse"),1,0)</f>
        <v>0</v>
      </c>
      <c r="X422">
        <f>IF(ISNUMBER(INDEX(AllCollegeGR, MATCH(N422,AllCollegeNCES,0))),ROUND(INDEX(AllCollegeGR, MATCH(N422,AllCollegeNCES,0))+W422*IF(INDEX(AllCollegeGR, MATCH(N422,AllCollegeNCES,0))&gt;0.7,(1-INDEX(AllCollegeGR, MATCH(N422,AllCollegeNCES,0)))/2,0.15),2),INDEX(AllCollegeGR, MATCH(N422,AllCollegeNCES,0)))</f>
        <v>0</v>
      </c>
      <c r="Y422">
        <f>IF(ISNUMBER(INDEX(AllCollegeAAHGR, MATCH(N422,AllCollegeNCES,0))),ROUND(INDEX(AllCollegeAAHGR, MATCH(N422,AllCollegeNCES,0))+W422*IF(INDEX(AllCollegeAAHGR, MATCH(N422,AllCollegeNCES,0))&gt;0.7,(1-INDEX(AllCollegeAAHGR, MATCH(N422,AllCollegeNCES,0)))/2,0.15),2),INDEX(AllCollegeAAHGR, MATCH(N422,AllCollegeNCES,0)))</f>
        <v>0</v>
      </c>
      <c r="Z422">
        <f>IF(OR(T422="H",T422="B"),INDEX(AllCollegeACT25, MATCH(N422,AllCollegeNCES,0)),INDEX(AllCollegeACT50, MATCH(N422,AllCollegeNCES,0)))</f>
        <v>0</v>
      </c>
      <c r="AA422">
        <f>INDEX(CustomWeightsGPA,MATCH(T422&amp;":"&amp;N422,CustomWeightsIndex,0))</f>
        <v>0</v>
      </c>
      <c r="AB422">
        <f>INDEX(CustomWeightsACT,MATCH(T422&amp;":"&amp;N422,CustomWeightsIndex,0))</f>
        <v>0</v>
      </c>
      <c r="AC422">
        <f>INDEX(CustomWeightsIntercept,MATCH(T422&amp;":"&amp;N422,CustomWeightsIndex,0))</f>
        <v>0</v>
      </c>
      <c r="AD422">
        <f>AA422*P422+AB422*Q422+AC422</f>
        <v>0</v>
      </c>
      <c r="AE422">
        <f>INDEX(CoefficientsGPA,MATCH(T422&amp;":"&amp;O422,CoefficientsIndex,0))</f>
        <v>0</v>
      </c>
      <c r="AF422">
        <f>INDEX(CoefficientsACT,MATCH(T422&amp;":"&amp;O422,CoefficientsIndex,0))</f>
        <v>0</v>
      </c>
      <c r="AG422">
        <f>INDEX(CoefficientsIntercept,MATCH(T422&amp;":"&amp;O422,CoefficientsIndex,0))</f>
        <v>0</v>
      </c>
      <c r="AH422">
        <f>AE422*P422+(Q422-Z422)*AF422+AG422</f>
        <v>0</v>
      </c>
      <c r="AI422">
        <f>IF(ISNUMBER(AD422),AD422,AH422)</f>
        <v>0</v>
      </c>
      <c r="AJ422">
        <f>IF(ISNUMBER(AI422),IF(ISNUMBER(AE422),IF(AND(AE422=1,AF422=1,AG422=1),100,ROUND(100*EXP(AI422)/(1+EXP(AI422)),2)),ROUND(100*EXP(AI422)/(1+EXP(AI422)),2)),IF(ISTEXT(O422),IF(LEFT(O422,1)="2",100,"N/A"),"N/A"))</f>
        <v>0</v>
      </c>
      <c r="AK422">
        <f>IF(ISNUMBER(AJ422),IF(AJ422&gt;=99,IF(OR(R422=10,R422=11),MatchLabel,SureThingLabel),IF(AJ422&gt;=95,SecureLabel,IF(AJ422&gt;=80,SafetyLabel,IF(AJ422&gt;=50,MatchLabel,IF(AJ422&gt;=20,ReachLabel,IF(AJ422&gt;=10,LongshotLabel,HailMaryLabel)))))),"Other")</f>
        <v>0</v>
      </c>
      <c r="AL422">
        <f>IF(OR(I422="accepted",I422="cond. accept",I422="summer admit"),IF(J422="yes","CHOICE!","Accepted!"),IF(I422="denied","Denied",IF(K422=1,"Waitlist",IF(L422=1,"Deferred",IF(G422="pending","Pending",IF(OR(G422="initial materials submitted",G422="mid-year submitted",G422="final submitted"),"Submitted",IF(H422="interest","Interest","?")))))))</f>
        <v>0</v>
      </c>
      <c r="AM422">
        <f>IF(OR(AK422=ReachLabel,AK422=LongshotLabel,AK422=HailMaryLabel),1,0)</f>
        <v>0</v>
      </c>
      <c r="AN422">
        <f>IF(OR(AM422=1,AK422=MatchLabel),1,0)</f>
        <v>0</v>
      </c>
      <c r="AO422">
        <f>IF(OR(AK422=MatchLabel,AK422=SafetyLabel,AK422=SecureLabel,AK422=SureThingLabel),1,0)</f>
        <v>0</v>
      </c>
      <c r="AP422">
        <f>IF(OR(T422="H",T422="B"),IF(ISNUMBER(Y422),ROUND(Y422,2),0),IF(ISNUMBER(X422),ROUND(X422,2),0))</f>
        <v>0</v>
      </c>
      <c r="AQ422">
        <f>IF(AP422&gt;=U422,1,0)</f>
        <v>0</v>
      </c>
      <c r="AR422">
        <f>IF(AP422&gt;=V422,1,0)</f>
        <v>0</v>
      </c>
      <c r="AS422">
        <f>IF(AP422&lt;(U422-0.10),1,0)</f>
        <v>0</v>
      </c>
      <c r="AT422">
        <f>1-AJ422/100</f>
        <v>0</v>
      </c>
      <c r="AU422">
        <f>IF(AN422=1,AT422,1)</f>
        <v>0</v>
      </c>
      <c r="AV422">
        <f>IF(AM422=1,AT422,1)</f>
        <v>0</v>
      </c>
      <c r="AW422">
        <f>IF(AND(AQ422=1,ISNUMBER(AT422)),$AT422,1)</f>
        <v>0</v>
      </c>
      <c r="AX422">
        <f>IF(AND(AR422=1,ISNUMBER(AT422)),$AT422,1)</f>
        <v>0</v>
      </c>
      <c r="AY422">
        <f>IF(ISNUMBER(Y422),INDEX(AllCollegeMoney, MATCH(N422,AllCollegeNCES,0)),0)</f>
        <v>0</v>
      </c>
      <c r="AZ422">
        <f>IF(AND(AQ422=1,ISNUMBER(AT422),AY422=1),$AT422,1)</f>
        <v>0</v>
      </c>
      <c r="BA422">
        <f>IF(AND(AR422=1,ISNUMBER(AT422),AY422=1),$AT422,1)</f>
        <v>0</v>
      </c>
      <c r="BB422">
        <f>IF(ISNUMBER(Y422),INDEX(AllCollegeILPub, MATCH(N422,AllCollegeNCES,0)),0)</f>
        <v>0</v>
      </c>
      <c r="BC422">
        <f>IF(AK422=ReachLabel,AP422,0)</f>
        <v>0</v>
      </c>
      <c r="BD422">
        <f>IF(AK422=MatchLabel,AP422,0)</f>
        <v>0</v>
      </c>
      <c r="BE422">
        <f>IF(AK422=SafetyLabel,AP422,0)</f>
        <v>0</v>
      </c>
      <c r="BF422">
        <f>IF(AK422=SecureLabel,AP422,0)</f>
        <v>0</v>
      </c>
      <c r="BG422">
        <f>IF(AK422=SureThingLabel,AP422,0)</f>
        <v>0</v>
      </c>
      <c r="BH422">
        <f>MAX(BC422:BG422)</f>
        <v>0</v>
      </c>
      <c r="BI422">
        <f>MAX(BD422:BG422)</f>
        <v>0</v>
      </c>
      <c r="BJ422">
        <f>MAX(BE422:BG422)</f>
        <v>0</v>
      </c>
      <c r="BK422">
        <f>IF(AND(AK422=ReachLabel,AY422=1),AP422,0)</f>
        <v>0</v>
      </c>
      <c r="BL422">
        <f>IF(AND(AK422=MatchLabel,AY422=1),AP422,0)</f>
        <v>0</v>
      </c>
      <c r="BM422">
        <f>IF(AND(AK422=SafetyLabel,AY422=1),AP422,0)</f>
        <v>0</v>
      </c>
      <c r="BN422">
        <f>IF(AND(AK422=SecureLabel,AY422=1),AP422,0)</f>
        <v>0</v>
      </c>
      <c r="BO422">
        <f>IF(AND(AK422=SureThingLabel,AY422=1),AP422,0)</f>
        <v>0</v>
      </c>
      <c r="BP422">
        <f>MAX(BK422:BO422)</f>
        <v>0</v>
      </c>
      <c r="BQ422">
        <f>MAX(BL422:BO422)</f>
        <v>0</v>
      </c>
      <c r="BR422">
        <f>MAX(BM422:BO422)</f>
        <v>0</v>
      </c>
      <c r="BS422">
        <f>IF(ISNUMBER(Y422),INDEX(AllCollegeChicago, MATCH(N422,AllCollegeNCES,0))*AY422,0)</f>
        <v>0</v>
      </c>
      <c r="BT422">
        <f>IF(ISNUMBER(Y422),INDEX(AllCollegeMoneyCode, MATCH(N422,AllCollegeNCES,0)),"?")</f>
        <v>0</v>
      </c>
      <c r="BU422">
        <f>IF(OR(BT422="---",BT422="--",BT422="+/--",BT422="+/---"),1,0)</f>
        <v>0</v>
      </c>
      <c r="BV422">
        <f>AY422*AO422*AQ422</f>
        <v>0</v>
      </c>
    </row>
    <row r="423" spans="1:74">
      <c r="A423" t="s">
        <v>86</v>
      </c>
      <c r="B423">
        <v>23395591</v>
      </c>
      <c r="C423" t="s">
        <v>269</v>
      </c>
      <c r="D423" t="s">
        <v>270</v>
      </c>
      <c r="E423" t="s">
        <v>428</v>
      </c>
      <c r="F423" t="s">
        <v>548</v>
      </c>
      <c r="G423" t="s">
        <v>526</v>
      </c>
      <c r="H423" t="s">
        <v>526</v>
      </c>
      <c r="I423" t="s">
        <v>527</v>
      </c>
      <c r="J423" t="s">
        <v>428</v>
      </c>
      <c r="K423" t="s">
        <v>428</v>
      </c>
      <c r="L423" t="s">
        <v>428</v>
      </c>
      <c r="M423" t="s">
        <v>428</v>
      </c>
      <c r="N423">
        <v>147776</v>
      </c>
      <c r="O423">
        <f>INDEX(AllCollegeBarrons,MATCH(N423,AllCollegeNCES,0))</f>
        <v>0</v>
      </c>
      <c r="P423">
        <f>INDEX(KidGPAs,MATCH(B423,KidIDs,0))</f>
        <v>0</v>
      </c>
      <c r="Q423">
        <f>INDEX(KidACTs,MATCH(B423,KidIDs,0))</f>
        <v>0</v>
      </c>
      <c r="R423">
        <f>INDEX(Strats,MATCH(B423,KidIDs,0))</f>
        <v>0</v>
      </c>
      <c r="S423">
        <f>INDEX(KidRace,MATCH(B423,KidIDs,0))</f>
        <v>0</v>
      </c>
      <c r="T423">
        <f>IF(OR(S423="M",S423="I"),"H",S423)</f>
        <v>0</v>
      </c>
      <c r="U423">
        <f>INDEX(StudentTargets,MATCH(B423,KidIDs,0))</f>
        <v>0</v>
      </c>
      <c r="V423">
        <f>INDEX(ReachStudentTargets,MATCH(B423,KidIDs,0))</f>
        <v>0</v>
      </c>
      <c r="W423">
        <f>IF(OR(M423="Posse"),1,0)</f>
        <v>0</v>
      </c>
      <c r="X423">
        <f>IF(ISNUMBER(INDEX(AllCollegeGR, MATCH(N423,AllCollegeNCES,0))),ROUND(INDEX(AllCollegeGR, MATCH(N423,AllCollegeNCES,0))+W423*IF(INDEX(AllCollegeGR, MATCH(N423,AllCollegeNCES,0))&gt;0.7,(1-INDEX(AllCollegeGR, MATCH(N423,AllCollegeNCES,0)))/2,0.15),2),INDEX(AllCollegeGR, MATCH(N423,AllCollegeNCES,0)))</f>
        <v>0</v>
      </c>
      <c r="Y423">
        <f>IF(ISNUMBER(INDEX(AllCollegeAAHGR, MATCH(N423,AllCollegeNCES,0))),ROUND(INDEX(AllCollegeAAHGR, MATCH(N423,AllCollegeNCES,0))+W423*IF(INDEX(AllCollegeAAHGR, MATCH(N423,AllCollegeNCES,0))&gt;0.7,(1-INDEX(AllCollegeAAHGR, MATCH(N423,AllCollegeNCES,0)))/2,0.15),2),INDEX(AllCollegeAAHGR, MATCH(N423,AllCollegeNCES,0)))</f>
        <v>0</v>
      </c>
      <c r="Z423">
        <f>IF(OR(T423="H",T423="B"),INDEX(AllCollegeACT25, MATCH(N423,AllCollegeNCES,0)),INDEX(AllCollegeACT50, MATCH(N423,AllCollegeNCES,0)))</f>
        <v>0</v>
      </c>
      <c r="AA423">
        <f>INDEX(CustomWeightsGPA,MATCH(T423&amp;":"&amp;N423,CustomWeightsIndex,0))</f>
        <v>0</v>
      </c>
      <c r="AB423">
        <f>INDEX(CustomWeightsACT,MATCH(T423&amp;":"&amp;N423,CustomWeightsIndex,0))</f>
        <v>0</v>
      </c>
      <c r="AC423">
        <f>INDEX(CustomWeightsIntercept,MATCH(T423&amp;":"&amp;N423,CustomWeightsIndex,0))</f>
        <v>0</v>
      </c>
      <c r="AD423">
        <f>AA423*P423+AB423*Q423+AC423</f>
        <v>0</v>
      </c>
      <c r="AE423">
        <f>INDEX(CoefficientsGPA,MATCH(T423&amp;":"&amp;O423,CoefficientsIndex,0))</f>
        <v>0</v>
      </c>
      <c r="AF423">
        <f>INDEX(CoefficientsACT,MATCH(T423&amp;":"&amp;O423,CoefficientsIndex,0))</f>
        <v>0</v>
      </c>
      <c r="AG423">
        <f>INDEX(CoefficientsIntercept,MATCH(T423&amp;":"&amp;O423,CoefficientsIndex,0))</f>
        <v>0</v>
      </c>
      <c r="AH423">
        <f>AE423*P423+(Q423-Z423)*AF423+AG423</f>
        <v>0</v>
      </c>
      <c r="AI423">
        <f>IF(ISNUMBER(AD423),AD423,AH423)</f>
        <v>0</v>
      </c>
      <c r="AJ423">
        <f>IF(ISNUMBER(AI423),IF(ISNUMBER(AE423),IF(AND(AE423=1,AF423=1,AG423=1),100,ROUND(100*EXP(AI423)/(1+EXP(AI423)),2)),ROUND(100*EXP(AI423)/(1+EXP(AI423)),2)),IF(ISTEXT(O423),IF(LEFT(O423,1)="2",100,"N/A"),"N/A"))</f>
        <v>0</v>
      </c>
      <c r="AK423">
        <f>IF(ISNUMBER(AJ423),IF(AJ423&gt;=99,IF(OR(R423=10,R423=11),MatchLabel,SureThingLabel),IF(AJ423&gt;=95,SecureLabel,IF(AJ423&gt;=80,SafetyLabel,IF(AJ423&gt;=50,MatchLabel,IF(AJ423&gt;=20,ReachLabel,IF(AJ423&gt;=10,LongshotLabel,HailMaryLabel)))))),"Other")</f>
        <v>0</v>
      </c>
      <c r="AL423">
        <f>IF(OR(I423="accepted",I423="cond. accept",I423="summer admit"),IF(J423="yes","CHOICE!","Accepted!"),IF(I423="denied","Denied",IF(K423=1,"Waitlist",IF(L423=1,"Deferred",IF(G423="pending","Pending",IF(OR(G423="initial materials submitted",G423="mid-year submitted",G423="final submitted"),"Submitted",IF(H423="interest","Interest","?")))))))</f>
        <v>0</v>
      </c>
      <c r="AM423">
        <f>IF(OR(AK423=ReachLabel,AK423=LongshotLabel,AK423=HailMaryLabel),1,0)</f>
        <v>0</v>
      </c>
      <c r="AN423">
        <f>IF(OR(AM423=1,AK423=MatchLabel),1,0)</f>
        <v>0</v>
      </c>
      <c r="AO423">
        <f>IF(OR(AK423=MatchLabel,AK423=SafetyLabel,AK423=SecureLabel,AK423=SureThingLabel),1,0)</f>
        <v>0</v>
      </c>
      <c r="AP423">
        <f>IF(OR(T423="H",T423="B"),IF(ISNUMBER(Y423),ROUND(Y423,2),0),IF(ISNUMBER(X423),ROUND(X423,2),0))</f>
        <v>0</v>
      </c>
      <c r="AQ423">
        <f>IF(AP423&gt;=U423,1,0)</f>
        <v>0</v>
      </c>
      <c r="AR423">
        <f>IF(AP423&gt;=V423,1,0)</f>
        <v>0</v>
      </c>
      <c r="AS423">
        <f>IF(AP423&lt;(U423-0.10),1,0)</f>
        <v>0</v>
      </c>
      <c r="AT423">
        <f>1-AJ423/100</f>
        <v>0</v>
      </c>
      <c r="AU423">
        <f>IF(AN423=1,AT423,1)</f>
        <v>0</v>
      </c>
      <c r="AV423">
        <f>IF(AM423=1,AT423,1)</f>
        <v>0</v>
      </c>
      <c r="AW423">
        <f>IF(AND(AQ423=1,ISNUMBER(AT423)),$AT423,1)</f>
        <v>0</v>
      </c>
      <c r="AX423">
        <f>IF(AND(AR423=1,ISNUMBER(AT423)),$AT423,1)</f>
        <v>0</v>
      </c>
      <c r="AY423">
        <f>IF(ISNUMBER(Y423),INDEX(AllCollegeMoney, MATCH(N423,AllCollegeNCES,0)),0)</f>
        <v>0</v>
      </c>
      <c r="AZ423">
        <f>IF(AND(AQ423=1,ISNUMBER(AT423),AY423=1),$AT423,1)</f>
        <v>0</v>
      </c>
      <c r="BA423">
        <f>IF(AND(AR423=1,ISNUMBER(AT423),AY423=1),$AT423,1)</f>
        <v>0</v>
      </c>
      <c r="BB423">
        <f>IF(ISNUMBER(Y423),INDEX(AllCollegeILPub, MATCH(N423,AllCollegeNCES,0)),0)</f>
        <v>0</v>
      </c>
      <c r="BC423">
        <f>IF(AK423=ReachLabel,AP423,0)</f>
        <v>0</v>
      </c>
      <c r="BD423">
        <f>IF(AK423=MatchLabel,AP423,0)</f>
        <v>0</v>
      </c>
      <c r="BE423">
        <f>IF(AK423=SafetyLabel,AP423,0)</f>
        <v>0</v>
      </c>
      <c r="BF423">
        <f>IF(AK423=SecureLabel,AP423,0)</f>
        <v>0</v>
      </c>
      <c r="BG423">
        <f>IF(AK423=SureThingLabel,AP423,0)</f>
        <v>0</v>
      </c>
      <c r="BH423">
        <f>MAX(BC423:BG423)</f>
        <v>0</v>
      </c>
      <c r="BI423">
        <f>MAX(BD423:BG423)</f>
        <v>0</v>
      </c>
      <c r="BJ423">
        <f>MAX(BE423:BG423)</f>
        <v>0</v>
      </c>
      <c r="BK423">
        <f>IF(AND(AK423=ReachLabel,AY423=1),AP423,0)</f>
        <v>0</v>
      </c>
      <c r="BL423">
        <f>IF(AND(AK423=MatchLabel,AY423=1),AP423,0)</f>
        <v>0</v>
      </c>
      <c r="BM423">
        <f>IF(AND(AK423=SafetyLabel,AY423=1),AP423,0)</f>
        <v>0</v>
      </c>
      <c r="BN423">
        <f>IF(AND(AK423=SecureLabel,AY423=1),AP423,0)</f>
        <v>0</v>
      </c>
      <c r="BO423">
        <f>IF(AND(AK423=SureThingLabel,AY423=1),AP423,0)</f>
        <v>0</v>
      </c>
      <c r="BP423">
        <f>MAX(BK423:BO423)</f>
        <v>0</v>
      </c>
      <c r="BQ423">
        <f>MAX(BL423:BO423)</f>
        <v>0</v>
      </c>
      <c r="BR423">
        <f>MAX(BM423:BO423)</f>
        <v>0</v>
      </c>
      <c r="BS423">
        <f>IF(ISNUMBER(Y423),INDEX(AllCollegeChicago, MATCH(N423,AllCollegeNCES,0))*AY423,0)</f>
        <v>0</v>
      </c>
      <c r="BT423">
        <f>IF(ISNUMBER(Y423),INDEX(AllCollegeMoneyCode, MATCH(N423,AllCollegeNCES,0)),"?")</f>
        <v>0</v>
      </c>
      <c r="BU423">
        <f>IF(OR(BT423="---",BT423="--",BT423="+/--",BT423="+/---"),1,0)</f>
        <v>0</v>
      </c>
      <c r="BV423">
        <f>AY423*AO423*AQ423</f>
        <v>0</v>
      </c>
    </row>
    <row r="424" spans="1:74">
      <c r="A424" t="s">
        <v>86</v>
      </c>
      <c r="B424">
        <v>23403578</v>
      </c>
      <c r="C424" t="s">
        <v>245</v>
      </c>
      <c r="D424" t="s">
        <v>246</v>
      </c>
      <c r="E424" t="s">
        <v>428</v>
      </c>
      <c r="F424" t="s">
        <v>497</v>
      </c>
      <c r="G424" t="s">
        <v>430</v>
      </c>
      <c r="H424" t="s">
        <v>431</v>
      </c>
      <c r="I424" t="s">
        <v>432</v>
      </c>
      <c r="J424" t="s">
        <v>432</v>
      </c>
      <c r="K424">
        <v>0</v>
      </c>
      <c r="L424" t="s">
        <v>428</v>
      </c>
      <c r="M424" t="s">
        <v>428</v>
      </c>
      <c r="N424">
        <v>131520</v>
      </c>
      <c r="O424">
        <f>INDEX(AllCollegeBarrons,MATCH(N424,AllCollegeNCES,0))</f>
        <v>0</v>
      </c>
      <c r="P424">
        <f>INDEX(KidGPAs,MATCH(B424,KidIDs,0))</f>
        <v>0</v>
      </c>
      <c r="Q424">
        <f>INDEX(KidACTs,MATCH(B424,KidIDs,0))</f>
        <v>0</v>
      </c>
      <c r="R424">
        <f>INDEX(Strats,MATCH(B424,KidIDs,0))</f>
        <v>0</v>
      </c>
      <c r="S424">
        <f>INDEX(KidRace,MATCH(B424,KidIDs,0))</f>
        <v>0</v>
      </c>
      <c r="T424">
        <f>IF(OR(S424="M",S424="I"),"H",S424)</f>
        <v>0</v>
      </c>
      <c r="U424">
        <f>INDEX(StudentTargets,MATCH(B424,KidIDs,0))</f>
        <v>0</v>
      </c>
      <c r="V424">
        <f>INDEX(ReachStudentTargets,MATCH(B424,KidIDs,0))</f>
        <v>0</v>
      </c>
      <c r="W424">
        <f>IF(OR(M424="Posse"),1,0)</f>
        <v>0</v>
      </c>
      <c r="X424">
        <f>IF(ISNUMBER(INDEX(AllCollegeGR, MATCH(N424,AllCollegeNCES,0))),ROUND(INDEX(AllCollegeGR, MATCH(N424,AllCollegeNCES,0))+W424*IF(INDEX(AllCollegeGR, MATCH(N424,AllCollegeNCES,0))&gt;0.7,(1-INDEX(AllCollegeGR, MATCH(N424,AllCollegeNCES,0)))/2,0.15),2),INDEX(AllCollegeGR, MATCH(N424,AllCollegeNCES,0)))</f>
        <v>0</v>
      </c>
      <c r="Y424">
        <f>IF(ISNUMBER(INDEX(AllCollegeAAHGR, MATCH(N424,AllCollegeNCES,0))),ROUND(INDEX(AllCollegeAAHGR, MATCH(N424,AllCollegeNCES,0))+W424*IF(INDEX(AllCollegeAAHGR, MATCH(N424,AllCollegeNCES,0))&gt;0.7,(1-INDEX(AllCollegeAAHGR, MATCH(N424,AllCollegeNCES,0)))/2,0.15),2),INDEX(AllCollegeAAHGR, MATCH(N424,AllCollegeNCES,0)))</f>
        <v>0</v>
      </c>
      <c r="Z424">
        <f>IF(OR(T424="H",T424="B"),INDEX(AllCollegeACT25, MATCH(N424,AllCollegeNCES,0)),INDEX(AllCollegeACT50, MATCH(N424,AllCollegeNCES,0)))</f>
        <v>0</v>
      </c>
      <c r="AA424">
        <f>INDEX(CustomWeightsGPA,MATCH(T424&amp;":"&amp;N424,CustomWeightsIndex,0))</f>
        <v>0</v>
      </c>
      <c r="AB424">
        <f>INDEX(CustomWeightsACT,MATCH(T424&amp;":"&amp;N424,CustomWeightsIndex,0))</f>
        <v>0</v>
      </c>
      <c r="AC424">
        <f>INDEX(CustomWeightsIntercept,MATCH(T424&amp;":"&amp;N424,CustomWeightsIndex,0))</f>
        <v>0</v>
      </c>
      <c r="AD424">
        <f>AA424*P424+AB424*Q424+AC424</f>
        <v>0</v>
      </c>
      <c r="AE424">
        <f>INDEX(CoefficientsGPA,MATCH(T424&amp;":"&amp;O424,CoefficientsIndex,0))</f>
        <v>0</v>
      </c>
      <c r="AF424">
        <f>INDEX(CoefficientsACT,MATCH(T424&amp;":"&amp;O424,CoefficientsIndex,0))</f>
        <v>0</v>
      </c>
      <c r="AG424">
        <f>INDEX(CoefficientsIntercept,MATCH(T424&amp;":"&amp;O424,CoefficientsIndex,0))</f>
        <v>0</v>
      </c>
      <c r="AH424">
        <f>AE424*P424+(Q424-Z424)*AF424+AG424</f>
        <v>0</v>
      </c>
      <c r="AI424">
        <f>IF(ISNUMBER(AD424),AD424,AH424)</f>
        <v>0</v>
      </c>
      <c r="AJ424">
        <f>IF(ISNUMBER(AI424),IF(ISNUMBER(AE424),IF(AND(AE424=1,AF424=1,AG424=1),100,ROUND(100*EXP(AI424)/(1+EXP(AI424)),2)),ROUND(100*EXP(AI424)/(1+EXP(AI424)),2)),IF(ISTEXT(O424),IF(LEFT(O424,1)="2",100,"N/A"),"N/A"))</f>
        <v>0</v>
      </c>
      <c r="AK424">
        <f>IF(ISNUMBER(AJ424),IF(AJ424&gt;=99,IF(OR(R424=10,R424=11),MatchLabel,SureThingLabel),IF(AJ424&gt;=95,SecureLabel,IF(AJ424&gt;=80,SafetyLabel,IF(AJ424&gt;=50,MatchLabel,IF(AJ424&gt;=20,ReachLabel,IF(AJ424&gt;=10,LongshotLabel,HailMaryLabel)))))),"Other")</f>
        <v>0</v>
      </c>
      <c r="AL424">
        <f>IF(OR(I424="accepted",I424="cond. accept",I424="summer admit"),IF(J424="yes","CHOICE!","Accepted!"),IF(I424="denied","Denied",IF(K424=1,"Waitlist",IF(L424=1,"Deferred",IF(G424="pending","Pending",IF(OR(G424="initial materials submitted",G424="mid-year submitted",G424="final submitted"),"Submitted",IF(H424="interest","Interest","?")))))))</f>
        <v>0</v>
      </c>
      <c r="AM424">
        <f>IF(OR(AK424=ReachLabel,AK424=LongshotLabel,AK424=HailMaryLabel),1,0)</f>
        <v>0</v>
      </c>
      <c r="AN424">
        <f>IF(OR(AM424=1,AK424=MatchLabel),1,0)</f>
        <v>0</v>
      </c>
      <c r="AO424">
        <f>IF(OR(AK424=MatchLabel,AK424=SafetyLabel,AK424=SecureLabel,AK424=SureThingLabel),1,0)</f>
        <v>0</v>
      </c>
      <c r="AP424">
        <f>IF(OR(T424="H",T424="B"),IF(ISNUMBER(Y424),ROUND(Y424,2),0),IF(ISNUMBER(X424),ROUND(X424,2),0))</f>
        <v>0</v>
      </c>
      <c r="AQ424">
        <f>IF(AP424&gt;=U424,1,0)</f>
        <v>0</v>
      </c>
      <c r="AR424">
        <f>IF(AP424&gt;=V424,1,0)</f>
        <v>0</v>
      </c>
      <c r="AS424">
        <f>IF(AP424&lt;(U424-0.10),1,0)</f>
        <v>0</v>
      </c>
      <c r="AT424">
        <f>1-AJ424/100</f>
        <v>0</v>
      </c>
      <c r="AU424">
        <f>IF(AN424=1,AT424,1)</f>
        <v>0</v>
      </c>
      <c r="AV424">
        <f>IF(AM424=1,AT424,1)</f>
        <v>0</v>
      </c>
      <c r="AW424">
        <f>IF(AND(AQ424=1,ISNUMBER(AT424)),$AT424,1)</f>
        <v>0</v>
      </c>
      <c r="AX424">
        <f>IF(AND(AR424=1,ISNUMBER(AT424)),$AT424,1)</f>
        <v>0</v>
      </c>
      <c r="AY424">
        <f>IF(ISNUMBER(Y424),INDEX(AllCollegeMoney, MATCH(N424,AllCollegeNCES,0)),0)</f>
        <v>0</v>
      </c>
      <c r="AZ424">
        <f>IF(AND(AQ424=1,ISNUMBER(AT424),AY424=1),$AT424,1)</f>
        <v>0</v>
      </c>
      <c r="BA424">
        <f>IF(AND(AR424=1,ISNUMBER(AT424),AY424=1),$AT424,1)</f>
        <v>0</v>
      </c>
      <c r="BB424">
        <f>IF(ISNUMBER(Y424),INDEX(AllCollegeILPub, MATCH(N424,AllCollegeNCES,0)),0)</f>
        <v>0</v>
      </c>
      <c r="BC424">
        <f>IF(AK424=ReachLabel,AP424,0)</f>
        <v>0</v>
      </c>
      <c r="BD424">
        <f>IF(AK424=MatchLabel,AP424,0)</f>
        <v>0</v>
      </c>
      <c r="BE424">
        <f>IF(AK424=SafetyLabel,AP424,0)</f>
        <v>0</v>
      </c>
      <c r="BF424">
        <f>IF(AK424=SecureLabel,AP424,0)</f>
        <v>0</v>
      </c>
      <c r="BG424">
        <f>IF(AK424=SureThingLabel,AP424,0)</f>
        <v>0</v>
      </c>
      <c r="BH424">
        <f>MAX(BC424:BG424)</f>
        <v>0</v>
      </c>
      <c r="BI424">
        <f>MAX(BD424:BG424)</f>
        <v>0</v>
      </c>
      <c r="BJ424">
        <f>MAX(BE424:BG424)</f>
        <v>0</v>
      </c>
      <c r="BK424">
        <f>IF(AND(AK424=ReachLabel,AY424=1),AP424,0)</f>
        <v>0</v>
      </c>
      <c r="BL424">
        <f>IF(AND(AK424=MatchLabel,AY424=1),AP424,0)</f>
        <v>0</v>
      </c>
      <c r="BM424">
        <f>IF(AND(AK424=SafetyLabel,AY424=1),AP424,0)</f>
        <v>0</v>
      </c>
      <c r="BN424">
        <f>IF(AND(AK424=SecureLabel,AY424=1),AP424,0)</f>
        <v>0</v>
      </c>
      <c r="BO424">
        <f>IF(AND(AK424=SureThingLabel,AY424=1),AP424,0)</f>
        <v>0</v>
      </c>
      <c r="BP424">
        <f>MAX(BK424:BO424)</f>
        <v>0</v>
      </c>
      <c r="BQ424">
        <f>MAX(BL424:BO424)</f>
        <v>0</v>
      </c>
      <c r="BR424">
        <f>MAX(BM424:BO424)</f>
        <v>0</v>
      </c>
      <c r="BS424">
        <f>IF(ISNUMBER(Y424),INDEX(AllCollegeChicago, MATCH(N424,AllCollegeNCES,0))*AY424,0)</f>
        <v>0</v>
      </c>
      <c r="BT424">
        <f>IF(ISNUMBER(Y424),INDEX(AllCollegeMoneyCode, MATCH(N424,AllCollegeNCES,0)),"?")</f>
        <v>0</v>
      </c>
      <c r="BU424">
        <f>IF(OR(BT424="---",BT424="--",BT424="+/--",BT424="+/---"),1,0)</f>
        <v>0</v>
      </c>
      <c r="BV424">
        <f>AY424*AO424*AQ424</f>
        <v>0</v>
      </c>
    </row>
    <row r="425" spans="1:74">
      <c r="A425" t="s">
        <v>86</v>
      </c>
      <c r="B425">
        <v>23403578</v>
      </c>
      <c r="C425" t="s">
        <v>245</v>
      </c>
      <c r="D425" t="s">
        <v>246</v>
      </c>
      <c r="E425" t="s">
        <v>428</v>
      </c>
      <c r="F425" t="s">
        <v>457</v>
      </c>
      <c r="G425" t="s">
        <v>430</v>
      </c>
      <c r="H425" t="s">
        <v>431</v>
      </c>
      <c r="I425" t="s">
        <v>432</v>
      </c>
      <c r="J425" t="s">
        <v>432</v>
      </c>
      <c r="K425">
        <v>0</v>
      </c>
      <c r="L425" t="s">
        <v>428</v>
      </c>
      <c r="M425" t="s">
        <v>428</v>
      </c>
      <c r="N425">
        <v>145637</v>
      </c>
      <c r="O425">
        <f>INDEX(AllCollegeBarrons,MATCH(N425,AllCollegeNCES,0))</f>
        <v>0</v>
      </c>
      <c r="P425">
        <f>INDEX(KidGPAs,MATCH(B425,KidIDs,0))</f>
        <v>0</v>
      </c>
      <c r="Q425">
        <f>INDEX(KidACTs,MATCH(B425,KidIDs,0))</f>
        <v>0</v>
      </c>
      <c r="R425">
        <f>INDEX(Strats,MATCH(B425,KidIDs,0))</f>
        <v>0</v>
      </c>
      <c r="S425">
        <f>INDEX(KidRace,MATCH(B425,KidIDs,0))</f>
        <v>0</v>
      </c>
      <c r="T425">
        <f>IF(OR(S425="M",S425="I"),"H",S425)</f>
        <v>0</v>
      </c>
      <c r="U425">
        <f>INDEX(StudentTargets,MATCH(B425,KidIDs,0))</f>
        <v>0</v>
      </c>
      <c r="V425">
        <f>INDEX(ReachStudentTargets,MATCH(B425,KidIDs,0))</f>
        <v>0</v>
      </c>
      <c r="W425">
        <f>IF(OR(M425="Posse"),1,0)</f>
        <v>0</v>
      </c>
      <c r="X425">
        <f>IF(ISNUMBER(INDEX(AllCollegeGR, MATCH(N425,AllCollegeNCES,0))),ROUND(INDEX(AllCollegeGR, MATCH(N425,AllCollegeNCES,0))+W425*IF(INDEX(AllCollegeGR, MATCH(N425,AllCollegeNCES,0))&gt;0.7,(1-INDEX(AllCollegeGR, MATCH(N425,AllCollegeNCES,0)))/2,0.15),2),INDEX(AllCollegeGR, MATCH(N425,AllCollegeNCES,0)))</f>
        <v>0</v>
      </c>
      <c r="Y425">
        <f>IF(ISNUMBER(INDEX(AllCollegeAAHGR, MATCH(N425,AllCollegeNCES,0))),ROUND(INDEX(AllCollegeAAHGR, MATCH(N425,AllCollegeNCES,0))+W425*IF(INDEX(AllCollegeAAHGR, MATCH(N425,AllCollegeNCES,0))&gt;0.7,(1-INDEX(AllCollegeAAHGR, MATCH(N425,AllCollegeNCES,0)))/2,0.15),2),INDEX(AllCollegeAAHGR, MATCH(N425,AllCollegeNCES,0)))</f>
        <v>0</v>
      </c>
      <c r="Z425">
        <f>IF(OR(T425="H",T425="B"),INDEX(AllCollegeACT25, MATCH(N425,AllCollegeNCES,0)),INDEX(AllCollegeACT50, MATCH(N425,AllCollegeNCES,0)))</f>
        <v>0</v>
      </c>
      <c r="AA425">
        <f>INDEX(CustomWeightsGPA,MATCH(T425&amp;":"&amp;N425,CustomWeightsIndex,0))</f>
        <v>0</v>
      </c>
      <c r="AB425">
        <f>INDEX(CustomWeightsACT,MATCH(T425&amp;":"&amp;N425,CustomWeightsIndex,0))</f>
        <v>0</v>
      </c>
      <c r="AC425">
        <f>INDEX(CustomWeightsIntercept,MATCH(T425&amp;":"&amp;N425,CustomWeightsIndex,0))</f>
        <v>0</v>
      </c>
      <c r="AD425">
        <f>AA425*P425+AB425*Q425+AC425</f>
        <v>0</v>
      </c>
      <c r="AE425">
        <f>INDEX(CoefficientsGPA,MATCH(T425&amp;":"&amp;O425,CoefficientsIndex,0))</f>
        <v>0</v>
      </c>
      <c r="AF425">
        <f>INDEX(CoefficientsACT,MATCH(T425&amp;":"&amp;O425,CoefficientsIndex,0))</f>
        <v>0</v>
      </c>
      <c r="AG425">
        <f>INDEX(CoefficientsIntercept,MATCH(T425&amp;":"&amp;O425,CoefficientsIndex,0))</f>
        <v>0</v>
      </c>
      <c r="AH425">
        <f>AE425*P425+(Q425-Z425)*AF425+AG425</f>
        <v>0</v>
      </c>
      <c r="AI425">
        <f>IF(ISNUMBER(AD425),AD425,AH425)</f>
        <v>0</v>
      </c>
      <c r="AJ425">
        <f>IF(ISNUMBER(AI425),IF(ISNUMBER(AE425),IF(AND(AE425=1,AF425=1,AG425=1),100,ROUND(100*EXP(AI425)/(1+EXP(AI425)),2)),ROUND(100*EXP(AI425)/(1+EXP(AI425)),2)),IF(ISTEXT(O425),IF(LEFT(O425,1)="2",100,"N/A"),"N/A"))</f>
        <v>0</v>
      </c>
      <c r="AK425">
        <f>IF(ISNUMBER(AJ425),IF(AJ425&gt;=99,IF(OR(R425=10,R425=11),MatchLabel,SureThingLabel),IF(AJ425&gt;=95,SecureLabel,IF(AJ425&gt;=80,SafetyLabel,IF(AJ425&gt;=50,MatchLabel,IF(AJ425&gt;=20,ReachLabel,IF(AJ425&gt;=10,LongshotLabel,HailMaryLabel)))))),"Other")</f>
        <v>0</v>
      </c>
      <c r="AL425">
        <f>IF(OR(I425="accepted",I425="cond. accept",I425="summer admit"),IF(J425="yes","CHOICE!","Accepted!"),IF(I425="denied","Denied",IF(K425=1,"Waitlist",IF(L425=1,"Deferred",IF(G425="pending","Pending",IF(OR(G425="initial materials submitted",G425="mid-year submitted",G425="final submitted"),"Submitted",IF(H425="interest","Interest","?")))))))</f>
        <v>0</v>
      </c>
      <c r="AM425">
        <f>IF(OR(AK425=ReachLabel,AK425=LongshotLabel,AK425=HailMaryLabel),1,0)</f>
        <v>0</v>
      </c>
      <c r="AN425">
        <f>IF(OR(AM425=1,AK425=MatchLabel),1,0)</f>
        <v>0</v>
      </c>
      <c r="AO425">
        <f>IF(OR(AK425=MatchLabel,AK425=SafetyLabel,AK425=SecureLabel,AK425=SureThingLabel),1,0)</f>
        <v>0</v>
      </c>
      <c r="AP425">
        <f>IF(OR(T425="H",T425="B"),IF(ISNUMBER(Y425),ROUND(Y425,2),0),IF(ISNUMBER(X425),ROUND(X425,2),0))</f>
        <v>0</v>
      </c>
      <c r="AQ425">
        <f>IF(AP425&gt;=U425,1,0)</f>
        <v>0</v>
      </c>
      <c r="AR425">
        <f>IF(AP425&gt;=V425,1,0)</f>
        <v>0</v>
      </c>
      <c r="AS425">
        <f>IF(AP425&lt;(U425-0.10),1,0)</f>
        <v>0</v>
      </c>
      <c r="AT425">
        <f>1-AJ425/100</f>
        <v>0</v>
      </c>
      <c r="AU425">
        <f>IF(AN425=1,AT425,1)</f>
        <v>0</v>
      </c>
      <c r="AV425">
        <f>IF(AM425=1,AT425,1)</f>
        <v>0</v>
      </c>
      <c r="AW425">
        <f>IF(AND(AQ425=1,ISNUMBER(AT425)),$AT425,1)</f>
        <v>0</v>
      </c>
      <c r="AX425">
        <f>IF(AND(AR425=1,ISNUMBER(AT425)),$AT425,1)</f>
        <v>0</v>
      </c>
      <c r="AY425">
        <f>IF(ISNUMBER(Y425),INDEX(AllCollegeMoney, MATCH(N425,AllCollegeNCES,0)),0)</f>
        <v>0</v>
      </c>
      <c r="AZ425">
        <f>IF(AND(AQ425=1,ISNUMBER(AT425),AY425=1),$AT425,1)</f>
        <v>0</v>
      </c>
      <c r="BA425">
        <f>IF(AND(AR425=1,ISNUMBER(AT425),AY425=1),$AT425,1)</f>
        <v>0</v>
      </c>
      <c r="BB425">
        <f>IF(ISNUMBER(Y425),INDEX(AllCollegeILPub, MATCH(N425,AllCollegeNCES,0)),0)</f>
        <v>0</v>
      </c>
      <c r="BC425">
        <f>IF(AK425=ReachLabel,AP425,0)</f>
        <v>0</v>
      </c>
      <c r="BD425">
        <f>IF(AK425=MatchLabel,AP425,0)</f>
        <v>0</v>
      </c>
      <c r="BE425">
        <f>IF(AK425=SafetyLabel,AP425,0)</f>
        <v>0</v>
      </c>
      <c r="BF425">
        <f>IF(AK425=SecureLabel,AP425,0)</f>
        <v>0</v>
      </c>
      <c r="BG425">
        <f>IF(AK425=SureThingLabel,AP425,0)</f>
        <v>0</v>
      </c>
      <c r="BH425">
        <f>MAX(BC425:BG425)</f>
        <v>0</v>
      </c>
      <c r="BI425">
        <f>MAX(BD425:BG425)</f>
        <v>0</v>
      </c>
      <c r="BJ425">
        <f>MAX(BE425:BG425)</f>
        <v>0</v>
      </c>
      <c r="BK425">
        <f>IF(AND(AK425=ReachLabel,AY425=1),AP425,0)</f>
        <v>0</v>
      </c>
      <c r="BL425">
        <f>IF(AND(AK425=MatchLabel,AY425=1),AP425,0)</f>
        <v>0</v>
      </c>
      <c r="BM425">
        <f>IF(AND(AK425=SafetyLabel,AY425=1),AP425,0)</f>
        <v>0</v>
      </c>
      <c r="BN425">
        <f>IF(AND(AK425=SecureLabel,AY425=1),AP425,0)</f>
        <v>0</v>
      </c>
      <c r="BO425">
        <f>IF(AND(AK425=SureThingLabel,AY425=1),AP425,0)</f>
        <v>0</v>
      </c>
      <c r="BP425">
        <f>MAX(BK425:BO425)</f>
        <v>0</v>
      </c>
      <c r="BQ425">
        <f>MAX(BL425:BO425)</f>
        <v>0</v>
      </c>
      <c r="BR425">
        <f>MAX(BM425:BO425)</f>
        <v>0</v>
      </c>
      <c r="BS425">
        <f>IF(ISNUMBER(Y425),INDEX(AllCollegeChicago, MATCH(N425,AllCollegeNCES,0))*AY425,0)</f>
        <v>0</v>
      </c>
      <c r="BT425">
        <f>IF(ISNUMBER(Y425),INDEX(AllCollegeMoneyCode, MATCH(N425,AllCollegeNCES,0)),"?")</f>
        <v>0</v>
      </c>
      <c r="BU425">
        <f>IF(OR(BT425="---",BT425="--",BT425="+/--",BT425="+/---"),1,0)</f>
        <v>0</v>
      </c>
      <c r="BV425">
        <f>AY425*AO425*AQ425</f>
        <v>0</v>
      </c>
    </row>
    <row r="426" spans="1:74">
      <c r="A426" t="s">
        <v>86</v>
      </c>
      <c r="B426">
        <v>23403578</v>
      </c>
      <c r="C426" t="s">
        <v>245</v>
      </c>
      <c r="D426" t="s">
        <v>246</v>
      </c>
      <c r="E426" t="s">
        <v>428</v>
      </c>
      <c r="F426" t="s">
        <v>459</v>
      </c>
      <c r="G426" t="s">
        <v>430</v>
      </c>
      <c r="H426" t="s">
        <v>431</v>
      </c>
      <c r="I426" t="s">
        <v>432</v>
      </c>
      <c r="J426" t="s">
        <v>432</v>
      </c>
      <c r="K426">
        <v>0</v>
      </c>
      <c r="L426" t="s">
        <v>428</v>
      </c>
      <c r="M426" t="s">
        <v>428</v>
      </c>
      <c r="N426">
        <v>146427</v>
      </c>
      <c r="O426">
        <f>INDEX(AllCollegeBarrons,MATCH(N426,AllCollegeNCES,0))</f>
        <v>0</v>
      </c>
      <c r="P426">
        <f>INDEX(KidGPAs,MATCH(B426,KidIDs,0))</f>
        <v>0</v>
      </c>
      <c r="Q426">
        <f>INDEX(KidACTs,MATCH(B426,KidIDs,0))</f>
        <v>0</v>
      </c>
      <c r="R426">
        <f>INDEX(Strats,MATCH(B426,KidIDs,0))</f>
        <v>0</v>
      </c>
      <c r="S426">
        <f>INDEX(KidRace,MATCH(B426,KidIDs,0))</f>
        <v>0</v>
      </c>
      <c r="T426">
        <f>IF(OR(S426="M",S426="I"),"H",S426)</f>
        <v>0</v>
      </c>
      <c r="U426">
        <f>INDEX(StudentTargets,MATCH(B426,KidIDs,0))</f>
        <v>0</v>
      </c>
      <c r="V426">
        <f>INDEX(ReachStudentTargets,MATCH(B426,KidIDs,0))</f>
        <v>0</v>
      </c>
      <c r="W426">
        <f>IF(OR(M426="Posse"),1,0)</f>
        <v>0</v>
      </c>
      <c r="X426">
        <f>IF(ISNUMBER(INDEX(AllCollegeGR, MATCH(N426,AllCollegeNCES,0))),ROUND(INDEX(AllCollegeGR, MATCH(N426,AllCollegeNCES,0))+W426*IF(INDEX(AllCollegeGR, MATCH(N426,AllCollegeNCES,0))&gt;0.7,(1-INDEX(AllCollegeGR, MATCH(N426,AllCollegeNCES,0)))/2,0.15),2),INDEX(AllCollegeGR, MATCH(N426,AllCollegeNCES,0)))</f>
        <v>0</v>
      </c>
      <c r="Y426">
        <f>IF(ISNUMBER(INDEX(AllCollegeAAHGR, MATCH(N426,AllCollegeNCES,0))),ROUND(INDEX(AllCollegeAAHGR, MATCH(N426,AllCollegeNCES,0))+W426*IF(INDEX(AllCollegeAAHGR, MATCH(N426,AllCollegeNCES,0))&gt;0.7,(1-INDEX(AllCollegeAAHGR, MATCH(N426,AllCollegeNCES,0)))/2,0.15),2),INDEX(AllCollegeAAHGR, MATCH(N426,AllCollegeNCES,0)))</f>
        <v>0</v>
      </c>
      <c r="Z426">
        <f>IF(OR(T426="H",T426="B"),INDEX(AllCollegeACT25, MATCH(N426,AllCollegeNCES,0)),INDEX(AllCollegeACT50, MATCH(N426,AllCollegeNCES,0)))</f>
        <v>0</v>
      </c>
      <c r="AA426">
        <f>INDEX(CustomWeightsGPA,MATCH(T426&amp;":"&amp;N426,CustomWeightsIndex,0))</f>
        <v>0</v>
      </c>
      <c r="AB426">
        <f>INDEX(CustomWeightsACT,MATCH(T426&amp;":"&amp;N426,CustomWeightsIndex,0))</f>
        <v>0</v>
      </c>
      <c r="AC426">
        <f>INDEX(CustomWeightsIntercept,MATCH(T426&amp;":"&amp;N426,CustomWeightsIndex,0))</f>
        <v>0</v>
      </c>
      <c r="AD426">
        <f>AA426*P426+AB426*Q426+AC426</f>
        <v>0</v>
      </c>
      <c r="AE426">
        <f>INDEX(CoefficientsGPA,MATCH(T426&amp;":"&amp;O426,CoefficientsIndex,0))</f>
        <v>0</v>
      </c>
      <c r="AF426">
        <f>INDEX(CoefficientsACT,MATCH(T426&amp;":"&amp;O426,CoefficientsIndex,0))</f>
        <v>0</v>
      </c>
      <c r="AG426">
        <f>INDEX(CoefficientsIntercept,MATCH(T426&amp;":"&amp;O426,CoefficientsIndex,0))</f>
        <v>0</v>
      </c>
      <c r="AH426">
        <f>AE426*P426+(Q426-Z426)*AF426+AG426</f>
        <v>0</v>
      </c>
      <c r="AI426">
        <f>IF(ISNUMBER(AD426),AD426,AH426)</f>
        <v>0</v>
      </c>
      <c r="AJ426">
        <f>IF(ISNUMBER(AI426),IF(ISNUMBER(AE426),IF(AND(AE426=1,AF426=1,AG426=1),100,ROUND(100*EXP(AI426)/(1+EXP(AI426)),2)),ROUND(100*EXP(AI426)/(1+EXP(AI426)),2)),IF(ISTEXT(O426),IF(LEFT(O426,1)="2",100,"N/A"),"N/A"))</f>
        <v>0</v>
      </c>
      <c r="AK426">
        <f>IF(ISNUMBER(AJ426),IF(AJ426&gt;=99,IF(OR(R426=10,R426=11),MatchLabel,SureThingLabel),IF(AJ426&gt;=95,SecureLabel,IF(AJ426&gt;=80,SafetyLabel,IF(AJ426&gt;=50,MatchLabel,IF(AJ426&gt;=20,ReachLabel,IF(AJ426&gt;=10,LongshotLabel,HailMaryLabel)))))),"Other")</f>
        <v>0</v>
      </c>
      <c r="AL426">
        <f>IF(OR(I426="accepted",I426="cond. accept",I426="summer admit"),IF(J426="yes","CHOICE!","Accepted!"),IF(I426="denied","Denied",IF(K426=1,"Waitlist",IF(L426=1,"Deferred",IF(G426="pending","Pending",IF(OR(G426="initial materials submitted",G426="mid-year submitted",G426="final submitted"),"Submitted",IF(H426="interest","Interest","?")))))))</f>
        <v>0</v>
      </c>
      <c r="AM426">
        <f>IF(OR(AK426=ReachLabel,AK426=LongshotLabel,AK426=HailMaryLabel),1,0)</f>
        <v>0</v>
      </c>
      <c r="AN426">
        <f>IF(OR(AM426=1,AK426=MatchLabel),1,0)</f>
        <v>0</v>
      </c>
      <c r="AO426">
        <f>IF(OR(AK426=MatchLabel,AK426=SafetyLabel,AK426=SecureLabel,AK426=SureThingLabel),1,0)</f>
        <v>0</v>
      </c>
      <c r="AP426">
        <f>IF(OR(T426="H",T426="B"),IF(ISNUMBER(Y426),ROUND(Y426,2),0),IF(ISNUMBER(X426),ROUND(X426,2),0))</f>
        <v>0</v>
      </c>
      <c r="AQ426">
        <f>IF(AP426&gt;=U426,1,0)</f>
        <v>0</v>
      </c>
      <c r="AR426">
        <f>IF(AP426&gt;=V426,1,0)</f>
        <v>0</v>
      </c>
      <c r="AS426">
        <f>IF(AP426&lt;(U426-0.10),1,0)</f>
        <v>0</v>
      </c>
      <c r="AT426">
        <f>1-AJ426/100</f>
        <v>0</v>
      </c>
      <c r="AU426">
        <f>IF(AN426=1,AT426,1)</f>
        <v>0</v>
      </c>
      <c r="AV426">
        <f>IF(AM426=1,AT426,1)</f>
        <v>0</v>
      </c>
      <c r="AW426">
        <f>IF(AND(AQ426=1,ISNUMBER(AT426)),$AT426,1)</f>
        <v>0</v>
      </c>
      <c r="AX426">
        <f>IF(AND(AR426=1,ISNUMBER(AT426)),$AT426,1)</f>
        <v>0</v>
      </c>
      <c r="AY426">
        <f>IF(ISNUMBER(Y426),INDEX(AllCollegeMoney, MATCH(N426,AllCollegeNCES,0)),0)</f>
        <v>0</v>
      </c>
      <c r="AZ426">
        <f>IF(AND(AQ426=1,ISNUMBER(AT426),AY426=1),$AT426,1)</f>
        <v>0</v>
      </c>
      <c r="BA426">
        <f>IF(AND(AR426=1,ISNUMBER(AT426),AY426=1),$AT426,1)</f>
        <v>0</v>
      </c>
      <c r="BB426">
        <f>IF(ISNUMBER(Y426),INDEX(AllCollegeILPub, MATCH(N426,AllCollegeNCES,0)),0)</f>
        <v>0</v>
      </c>
      <c r="BC426">
        <f>IF(AK426=ReachLabel,AP426,0)</f>
        <v>0</v>
      </c>
      <c r="BD426">
        <f>IF(AK426=MatchLabel,AP426,0)</f>
        <v>0</v>
      </c>
      <c r="BE426">
        <f>IF(AK426=SafetyLabel,AP426,0)</f>
        <v>0</v>
      </c>
      <c r="BF426">
        <f>IF(AK426=SecureLabel,AP426,0)</f>
        <v>0</v>
      </c>
      <c r="BG426">
        <f>IF(AK426=SureThingLabel,AP426,0)</f>
        <v>0</v>
      </c>
      <c r="BH426">
        <f>MAX(BC426:BG426)</f>
        <v>0</v>
      </c>
      <c r="BI426">
        <f>MAX(BD426:BG426)</f>
        <v>0</v>
      </c>
      <c r="BJ426">
        <f>MAX(BE426:BG426)</f>
        <v>0</v>
      </c>
      <c r="BK426">
        <f>IF(AND(AK426=ReachLabel,AY426=1),AP426,0)</f>
        <v>0</v>
      </c>
      <c r="BL426">
        <f>IF(AND(AK426=MatchLabel,AY426=1),AP426,0)</f>
        <v>0</v>
      </c>
      <c r="BM426">
        <f>IF(AND(AK426=SafetyLabel,AY426=1),AP426,0)</f>
        <v>0</v>
      </c>
      <c r="BN426">
        <f>IF(AND(AK426=SecureLabel,AY426=1),AP426,0)</f>
        <v>0</v>
      </c>
      <c r="BO426">
        <f>IF(AND(AK426=SureThingLabel,AY426=1),AP426,0)</f>
        <v>0</v>
      </c>
      <c r="BP426">
        <f>MAX(BK426:BO426)</f>
        <v>0</v>
      </c>
      <c r="BQ426">
        <f>MAX(BL426:BO426)</f>
        <v>0</v>
      </c>
      <c r="BR426">
        <f>MAX(BM426:BO426)</f>
        <v>0</v>
      </c>
      <c r="BS426">
        <f>IF(ISNUMBER(Y426),INDEX(AllCollegeChicago, MATCH(N426,AllCollegeNCES,0))*AY426,0)</f>
        <v>0</v>
      </c>
      <c r="BT426">
        <f>IF(ISNUMBER(Y426),INDEX(AllCollegeMoneyCode, MATCH(N426,AllCollegeNCES,0)),"?")</f>
        <v>0</v>
      </c>
      <c r="BU426">
        <f>IF(OR(BT426="---",BT426="--",BT426="+/--",BT426="+/---"),1,0)</f>
        <v>0</v>
      </c>
      <c r="BV426">
        <f>AY426*AO426*AQ426</f>
        <v>0</v>
      </c>
    </row>
    <row r="427" spans="1:74">
      <c r="A427" t="s">
        <v>86</v>
      </c>
      <c r="B427">
        <v>23403578</v>
      </c>
      <c r="C427" t="s">
        <v>245</v>
      </c>
      <c r="D427" t="s">
        <v>246</v>
      </c>
      <c r="E427" t="s">
        <v>428</v>
      </c>
      <c r="F427" t="s">
        <v>461</v>
      </c>
      <c r="G427" t="s">
        <v>430</v>
      </c>
      <c r="H427" t="s">
        <v>431</v>
      </c>
      <c r="I427" t="s">
        <v>432</v>
      </c>
      <c r="J427" t="s">
        <v>432</v>
      </c>
      <c r="K427">
        <v>0</v>
      </c>
      <c r="L427" t="s">
        <v>428</v>
      </c>
      <c r="M427" t="s">
        <v>428</v>
      </c>
      <c r="N427">
        <v>153834</v>
      </c>
      <c r="O427">
        <f>INDEX(AllCollegeBarrons,MATCH(N427,AllCollegeNCES,0))</f>
        <v>0</v>
      </c>
      <c r="P427">
        <f>INDEX(KidGPAs,MATCH(B427,KidIDs,0))</f>
        <v>0</v>
      </c>
      <c r="Q427">
        <f>INDEX(KidACTs,MATCH(B427,KidIDs,0))</f>
        <v>0</v>
      </c>
      <c r="R427">
        <f>INDEX(Strats,MATCH(B427,KidIDs,0))</f>
        <v>0</v>
      </c>
      <c r="S427">
        <f>INDEX(KidRace,MATCH(B427,KidIDs,0))</f>
        <v>0</v>
      </c>
      <c r="T427">
        <f>IF(OR(S427="M",S427="I"),"H",S427)</f>
        <v>0</v>
      </c>
      <c r="U427">
        <f>INDEX(StudentTargets,MATCH(B427,KidIDs,0))</f>
        <v>0</v>
      </c>
      <c r="V427">
        <f>INDEX(ReachStudentTargets,MATCH(B427,KidIDs,0))</f>
        <v>0</v>
      </c>
      <c r="W427">
        <f>IF(OR(M427="Posse"),1,0)</f>
        <v>0</v>
      </c>
      <c r="X427">
        <f>IF(ISNUMBER(INDEX(AllCollegeGR, MATCH(N427,AllCollegeNCES,0))),ROUND(INDEX(AllCollegeGR, MATCH(N427,AllCollegeNCES,0))+W427*IF(INDEX(AllCollegeGR, MATCH(N427,AllCollegeNCES,0))&gt;0.7,(1-INDEX(AllCollegeGR, MATCH(N427,AllCollegeNCES,0)))/2,0.15),2),INDEX(AllCollegeGR, MATCH(N427,AllCollegeNCES,0)))</f>
        <v>0</v>
      </c>
      <c r="Y427">
        <f>IF(ISNUMBER(INDEX(AllCollegeAAHGR, MATCH(N427,AllCollegeNCES,0))),ROUND(INDEX(AllCollegeAAHGR, MATCH(N427,AllCollegeNCES,0))+W427*IF(INDEX(AllCollegeAAHGR, MATCH(N427,AllCollegeNCES,0))&gt;0.7,(1-INDEX(AllCollegeAAHGR, MATCH(N427,AllCollegeNCES,0)))/2,0.15),2),INDEX(AllCollegeAAHGR, MATCH(N427,AllCollegeNCES,0)))</f>
        <v>0</v>
      </c>
      <c r="Z427">
        <f>IF(OR(T427="H",T427="B"),INDEX(AllCollegeACT25, MATCH(N427,AllCollegeNCES,0)),INDEX(AllCollegeACT50, MATCH(N427,AllCollegeNCES,0)))</f>
        <v>0</v>
      </c>
      <c r="AA427">
        <f>INDEX(CustomWeightsGPA,MATCH(T427&amp;":"&amp;N427,CustomWeightsIndex,0))</f>
        <v>0</v>
      </c>
      <c r="AB427">
        <f>INDEX(CustomWeightsACT,MATCH(T427&amp;":"&amp;N427,CustomWeightsIndex,0))</f>
        <v>0</v>
      </c>
      <c r="AC427">
        <f>INDEX(CustomWeightsIntercept,MATCH(T427&amp;":"&amp;N427,CustomWeightsIndex,0))</f>
        <v>0</v>
      </c>
      <c r="AD427">
        <f>AA427*P427+AB427*Q427+AC427</f>
        <v>0</v>
      </c>
      <c r="AE427">
        <f>INDEX(CoefficientsGPA,MATCH(T427&amp;":"&amp;O427,CoefficientsIndex,0))</f>
        <v>0</v>
      </c>
      <c r="AF427">
        <f>INDEX(CoefficientsACT,MATCH(T427&amp;":"&amp;O427,CoefficientsIndex,0))</f>
        <v>0</v>
      </c>
      <c r="AG427">
        <f>INDEX(CoefficientsIntercept,MATCH(T427&amp;":"&amp;O427,CoefficientsIndex,0))</f>
        <v>0</v>
      </c>
      <c r="AH427">
        <f>AE427*P427+(Q427-Z427)*AF427+AG427</f>
        <v>0</v>
      </c>
      <c r="AI427">
        <f>IF(ISNUMBER(AD427),AD427,AH427)</f>
        <v>0</v>
      </c>
      <c r="AJ427">
        <f>IF(ISNUMBER(AI427),IF(ISNUMBER(AE427),IF(AND(AE427=1,AF427=1,AG427=1),100,ROUND(100*EXP(AI427)/(1+EXP(AI427)),2)),ROUND(100*EXP(AI427)/(1+EXP(AI427)),2)),IF(ISTEXT(O427),IF(LEFT(O427,1)="2",100,"N/A"),"N/A"))</f>
        <v>0</v>
      </c>
      <c r="AK427">
        <f>IF(ISNUMBER(AJ427),IF(AJ427&gt;=99,IF(OR(R427=10,R427=11),MatchLabel,SureThingLabel),IF(AJ427&gt;=95,SecureLabel,IF(AJ427&gt;=80,SafetyLabel,IF(AJ427&gt;=50,MatchLabel,IF(AJ427&gt;=20,ReachLabel,IF(AJ427&gt;=10,LongshotLabel,HailMaryLabel)))))),"Other")</f>
        <v>0</v>
      </c>
      <c r="AL427">
        <f>IF(OR(I427="accepted",I427="cond. accept",I427="summer admit"),IF(J427="yes","CHOICE!","Accepted!"),IF(I427="denied","Denied",IF(K427=1,"Waitlist",IF(L427=1,"Deferred",IF(G427="pending","Pending",IF(OR(G427="initial materials submitted",G427="mid-year submitted",G427="final submitted"),"Submitted",IF(H427="interest","Interest","?")))))))</f>
        <v>0</v>
      </c>
      <c r="AM427">
        <f>IF(OR(AK427=ReachLabel,AK427=LongshotLabel,AK427=HailMaryLabel),1,0)</f>
        <v>0</v>
      </c>
      <c r="AN427">
        <f>IF(OR(AM427=1,AK427=MatchLabel),1,0)</f>
        <v>0</v>
      </c>
      <c r="AO427">
        <f>IF(OR(AK427=MatchLabel,AK427=SafetyLabel,AK427=SecureLabel,AK427=SureThingLabel),1,0)</f>
        <v>0</v>
      </c>
      <c r="AP427">
        <f>IF(OR(T427="H",T427="B"),IF(ISNUMBER(Y427),ROUND(Y427,2),0),IF(ISNUMBER(X427),ROUND(X427,2),0))</f>
        <v>0</v>
      </c>
      <c r="AQ427">
        <f>IF(AP427&gt;=U427,1,0)</f>
        <v>0</v>
      </c>
      <c r="AR427">
        <f>IF(AP427&gt;=V427,1,0)</f>
        <v>0</v>
      </c>
      <c r="AS427">
        <f>IF(AP427&lt;(U427-0.10),1,0)</f>
        <v>0</v>
      </c>
      <c r="AT427">
        <f>1-AJ427/100</f>
        <v>0</v>
      </c>
      <c r="AU427">
        <f>IF(AN427=1,AT427,1)</f>
        <v>0</v>
      </c>
      <c r="AV427">
        <f>IF(AM427=1,AT427,1)</f>
        <v>0</v>
      </c>
      <c r="AW427">
        <f>IF(AND(AQ427=1,ISNUMBER(AT427)),$AT427,1)</f>
        <v>0</v>
      </c>
      <c r="AX427">
        <f>IF(AND(AR427=1,ISNUMBER(AT427)),$AT427,1)</f>
        <v>0</v>
      </c>
      <c r="AY427">
        <f>IF(ISNUMBER(Y427),INDEX(AllCollegeMoney, MATCH(N427,AllCollegeNCES,0)),0)</f>
        <v>0</v>
      </c>
      <c r="AZ427">
        <f>IF(AND(AQ427=1,ISNUMBER(AT427),AY427=1),$AT427,1)</f>
        <v>0</v>
      </c>
      <c r="BA427">
        <f>IF(AND(AR427=1,ISNUMBER(AT427),AY427=1),$AT427,1)</f>
        <v>0</v>
      </c>
      <c r="BB427">
        <f>IF(ISNUMBER(Y427),INDEX(AllCollegeILPub, MATCH(N427,AllCollegeNCES,0)),0)</f>
        <v>0</v>
      </c>
      <c r="BC427">
        <f>IF(AK427=ReachLabel,AP427,0)</f>
        <v>0</v>
      </c>
      <c r="BD427">
        <f>IF(AK427=MatchLabel,AP427,0)</f>
        <v>0</v>
      </c>
      <c r="BE427">
        <f>IF(AK427=SafetyLabel,AP427,0)</f>
        <v>0</v>
      </c>
      <c r="BF427">
        <f>IF(AK427=SecureLabel,AP427,0)</f>
        <v>0</v>
      </c>
      <c r="BG427">
        <f>IF(AK427=SureThingLabel,AP427,0)</f>
        <v>0</v>
      </c>
      <c r="BH427">
        <f>MAX(BC427:BG427)</f>
        <v>0</v>
      </c>
      <c r="BI427">
        <f>MAX(BD427:BG427)</f>
        <v>0</v>
      </c>
      <c r="BJ427">
        <f>MAX(BE427:BG427)</f>
        <v>0</v>
      </c>
      <c r="BK427">
        <f>IF(AND(AK427=ReachLabel,AY427=1),AP427,0)</f>
        <v>0</v>
      </c>
      <c r="BL427">
        <f>IF(AND(AK427=MatchLabel,AY427=1),AP427,0)</f>
        <v>0</v>
      </c>
      <c r="BM427">
        <f>IF(AND(AK427=SafetyLabel,AY427=1),AP427,0)</f>
        <v>0</v>
      </c>
      <c r="BN427">
        <f>IF(AND(AK427=SecureLabel,AY427=1),AP427,0)</f>
        <v>0</v>
      </c>
      <c r="BO427">
        <f>IF(AND(AK427=SureThingLabel,AY427=1),AP427,0)</f>
        <v>0</v>
      </c>
      <c r="BP427">
        <f>MAX(BK427:BO427)</f>
        <v>0</v>
      </c>
      <c r="BQ427">
        <f>MAX(BL427:BO427)</f>
        <v>0</v>
      </c>
      <c r="BR427">
        <f>MAX(BM427:BO427)</f>
        <v>0</v>
      </c>
      <c r="BS427">
        <f>IF(ISNUMBER(Y427),INDEX(AllCollegeChicago, MATCH(N427,AllCollegeNCES,0))*AY427,0)</f>
        <v>0</v>
      </c>
      <c r="BT427">
        <f>IF(ISNUMBER(Y427),INDEX(AllCollegeMoneyCode, MATCH(N427,AllCollegeNCES,0)),"?")</f>
        <v>0</v>
      </c>
      <c r="BU427">
        <f>IF(OR(BT427="---",BT427="--",BT427="+/--",BT427="+/---"),1,0)</f>
        <v>0</v>
      </c>
      <c r="BV427">
        <f>AY427*AO427*AQ427</f>
        <v>0</v>
      </c>
    </row>
    <row r="428" spans="1:74">
      <c r="A428" t="s">
        <v>86</v>
      </c>
      <c r="B428">
        <v>23403578</v>
      </c>
      <c r="C428" t="s">
        <v>245</v>
      </c>
      <c r="D428" t="s">
        <v>246</v>
      </c>
      <c r="E428" t="s">
        <v>428</v>
      </c>
      <c r="F428" t="s">
        <v>462</v>
      </c>
      <c r="G428" t="s">
        <v>463</v>
      </c>
      <c r="H428" t="s">
        <v>431</v>
      </c>
      <c r="I428" t="s">
        <v>432</v>
      </c>
      <c r="J428" t="s">
        <v>432</v>
      </c>
      <c r="K428">
        <v>0</v>
      </c>
      <c r="L428" t="s">
        <v>428</v>
      </c>
      <c r="M428" t="s">
        <v>428</v>
      </c>
      <c r="N428">
        <v>168546</v>
      </c>
      <c r="O428">
        <f>INDEX(AllCollegeBarrons,MATCH(N428,AllCollegeNCES,0))</f>
        <v>0</v>
      </c>
      <c r="P428">
        <f>INDEX(KidGPAs,MATCH(B428,KidIDs,0))</f>
        <v>0</v>
      </c>
      <c r="Q428">
        <f>INDEX(KidACTs,MATCH(B428,KidIDs,0))</f>
        <v>0</v>
      </c>
      <c r="R428">
        <f>INDEX(Strats,MATCH(B428,KidIDs,0))</f>
        <v>0</v>
      </c>
      <c r="S428">
        <f>INDEX(KidRace,MATCH(B428,KidIDs,0))</f>
        <v>0</v>
      </c>
      <c r="T428">
        <f>IF(OR(S428="M",S428="I"),"H",S428)</f>
        <v>0</v>
      </c>
      <c r="U428">
        <f>INDEX(StudentTargets,MATCH(B428,KidIDs,0))</f>
        <v>0</v>
      </c>
      <c r="V428">
        <f>INDEX(ReachStudentTargets,MATCH(B428,KidIDs,0))</f>
        <v>0</v>
      </c>
      <c r="W428">
        <f>IF(OR(M428="Posse"),1,0)</f>
        <v>0</v>
      </c>
      <c r="X428">
        <f>IF(ISNUMBER(INDEX(AllCollegeGR, MATCH(N428,AllCollegeNCES,0))),ROUND(INDEX(AllCollegeGR, MATCH(N428,AllCollegeNCES,0))+W428*IF(INDEX(AllCollegeGR, MATCH(N428,AllCollegeNCES,0))&gt;0.7,(1-INDEX(AllCollegeGR, MATCH(N428,AllCollegeNCES,0)))/2,0.15),2),INDEX(AllCollegeGR, MATCH(N428,AllCollegeNCES,0)))</f>
        <v>0</v>
      </c>
      <c r="Y428">
        <f>IF(ISNUMBER(INDEX(AllCollegeAAHGR, MATCH(N428,AllCollegeNCES,0))),ROUND(INDEX(AllCollegeAAHGR, MATCH(N428,AllCollegeNCES,0))+W428*IF(INDEX(AllCollegeAAHGR, MATCH(N428,AllCollegeNCES,0))&gt;0.7,(1-INDEX(AllCollegeAAHGR, MATCH(N428,AllCollegeNCES,0)))/2,0.15),2),INDEX(AllCollegeAAHGR, MATCH(N428,AllCollegeNCES,0)))</f>
        <v>0</v>
      </c>
      <c r="Z428">
        <f>IF(OR(T428="H",T428="B"),INDEX(AllCollegeACT25, MATCH(N428,AllCollegeNCES,0)),INDEX(AllCollegeACT50, MATCH(N428,AllCollegeNCES,0)))</f>
        <v>0</v>
      </c>
      <c r="AA428">
        <f>INDEX(CustomWeightsGPA,MATCH(T428&amp;":"&amp;N428,CustomWeightsIndex,0))</f>
        <v>0</v>
      </c>
      <c r="AB428">
        <f>INDEX(CustomWeightsACT,MATCH(T428&amp;":"&amp;N428,CustomWeightsIndex,0))</f>
        <v>0</v>
      </c>
      <c r="AC428">
        <f>INDEX(CustomWeightsIntercept,MATCH(T428&amp;":"&amp;N428,CustomWeightsIndex,0))</f>
        <v>0</v>
      </c>
      <c r="AD428">
        <f>AA428*P428+AB428*Q428+AC428</f>
        <v>0</v>
      </c>
      <c r="AE428">
        <f>INDEX(CoefficientsGPA,MATCH(T428&amp;":"&amp;O428,CoefficientsIndex,0))</f>
        <v>0</v>
      </c>
      <c r="AF428">
        <f>INDEX(CoefficientsACT,MATCH(T428&amp;":"&amp;O428,CoefficientsIndex,0))</f>
        <v>0</v>
      </c>
      <c r="AG428">
        <f>INDEX(CoefficientsIntercept,MATCH(T428&amp;":"&amp;O428,CoefficientsIndex,0))</f>
        <v>0</v>
      </c>
      <c r="AH428">
        <f>AE428*P428+(Q428-Z428)*AF428+AG428</f>
        <v>0</v>
      </c>
      <c r="AI428">
        <f>IF(ISNUMBER(AD428),AD428,AH428)</f>
        <v>0</v>
      </c>
      <c r="AJ428">
        <f>IF(ISNUMBER(AI428),IF(ISNUMBER(AE428),IF(AND(AE428=1,AF428=1,AG428=1),100,ROUND(100*EXP(AI428)/(1+EXP(AI428)),2)),ROUND(100*EXP(AI428)/(1+EXP(AI428)),2)),IF(ISTEXT(O428),IF(LEFT(O428,1)="2",100,"N/A"),"N/A"))</f>
        <v>0</v>
      </c>
      <c r="AK428">
        <f>IF(ISNUMBER(AJ428),IF(AJ428&gt;=99,IF(OR(R428=10,R428=11),MatchLabel,SureThingLabel),IF(AJ428&gt;=95,SecureLabel,IF(AJ428&gt;=80,SafetyLabel,IF(AJ428&gt;=50,MatchLabel,IF(AJ428&gt;=20,ReachLabel,IF(AJ428&gt;=10,LongshotLabel,HailMaryLabel)))))),"Other")</f>
        <v>0</v>
      </c>
      <c r="AL428">
        <f>IF(OR(I428="accepted",I428="cond. accept",I428="summer admit"),IF(J428="yes","CHOICE!","Accepted!"),IF(I428="denied","Denied",IF(K428=1,"Waitlist",IF(L428=1,"Deferred",IF(G428="pending","Pending",IF(OR(G428="initial materials submitted",G428="mid-year submitted",G428="final submitted"),"Submitted",IF(H428="interest","Interest","?")))))))</f>
        <v>0</v>
      </c>
      <c r="AM428">
        <f>IF(OR(AK428=ReachLabel,AK428=LongshotLabel,AK428=HailMaryLabel),1,0)</f>
        <v>0</v>
      </c>
      <c r="AN428">
        <f>IF(OR(AM428=1,AK428=MatchLabel),1,0)</f>
        <v>0</v>
      </c>
      <c r="AO428">
        <f>IF(OR(AK428=MatchLabel,AK428=SafetyLabel,AK428=SecureLabel,AK428=SureThingLabel),1,0)</f>
        <v>0</v>
      </c>
      <c r="AP428">
        <f>IF(OR(T428="H",T428="B"),IF(ISNUMBER(Y428),ROUND(Y428,2),0),IF(ISNUMBER(X428),ROUND(X428,2),0))</f>
        <v>0</v>
      </c>
      <c r="AQ428">
        <f>IF(AP428&gt;=U428,1,0)</f>
        <v>0</v>
      </c>
      <c r="AR428">
        <f>IF(AP428&gt;=V428,1,0)</f>
        <v>0</v>
      </c>
      <c r="AS428">
        <f>IF(AP428&lt;(U428-0.10),1,0)</f>
        <v>0</v>
      </c>
      <c r="AT428">
        <f>1-AJ428/100</f>
        <v>0</v>
      </c>
      <c r="AU428">
        <f>IF(AN428=1,AT428,1)</f>
        <v>0</v>
      </c>
      <c r="AV428">
        <f>IF(AM428=1,AT428,1)</f>
        <v>0</v>
      </c>
      <c r="AW428">
        <f>IF(AND(AQ428=1,ISNUMBER(AT428)),$AT428,1)</f>
        <v>0</v>
      </c>
      <c r="AX428">
        <f>IF(AND(AR428=1,ISNUMBER(AT428)),$AT428,1)</f>
        <v>0</v>
      </c>
      <c r="AY428">
        <f>IF(ISNUMBER(Y428),INDEX(AllCollegeMoney, MATCH(N428,AllCollegeNCES,0)),0)</f>
        <v>0</v>
      </c>
      <c r="AZ428">
        <f>IF(AND(AQ428=1,ISNUMBER(AT428),AY428=1),$AT428,1)</f>
        <v>0</v>
      </c>
      <c r="BA428">
        <f>IF(AND(AR428=1,ISNUMBER(AT428),AY428=1),$AT428,1)</f>
        <v>0</v>
      </c>
      <c r="BB428">
        <f>IF(ISNUMBER(Y428),INDEX(AllCollegeILPub, MATCH(N428,AllCollegeNCES,0)),0)</f>
        <v>0</v>
      </c>
      <c r="BC428">
        <f>IF(AK428=ReachLabel,AP428,0)</f>
        <v>0</v>
      </c>
      <c r="BD428">
        <f>IF(AK428=MatchLabel,AP428,0)</f>
        <v>0</v>
      </c>
      <c r="BE428">
        <f>IF(AK428=SafetyLabel,AP428,0)</f>
        <v>0</v>
      </c>
      <c r="BF428">
        <f>IF(AK428=SecureLabel,AP428,0)</f>
        <v>0</v>
      </c>
      <c r="BG428">
        <f>IF(AK428=SureThingLabel,AP428,0)</f>
        <v>0</v>
      </c>
      <c r="BH428">
        <f>MAX(BC428:BG428)</f>
        <v>0</v>
      </c>
      <c r="BI428">
        <f>MAX(BD428:BG428)</f>
        <v>0</v>
      </c>
      <c r="BJ428">
        <f>MAX(BE428:BG428)</f>
        <v>0</v>
      </c>
      <c r="BK428">
        <f>IF(AND(AK428=ReachLabel,AY428=1),AP428,0)</f>
        <v>0</v>
      </c>
      <c r="BL428">
        <f>IF(AND(AK428=MatchLabel,AY428=1),AP428,0)</f>
        <v>0</v>
      </c>
      <c r="BM428">
        <f>IF(AND(AK428=SafetyLabel,AY428=1),AP428,0)</f>
        <v>0</v>
      </c>
      <c r="BN428">
        <f>IF(AND(AK428=SecureLabel,AY428=1),AP428,0)</f>
        <v>0</v>
      </c>
      <c r="BO428">
        <f>IF(AND(AK428=SureThingLabel,AY428=1),AP428,0)</f>
        <v>0</v>
      </c>
      <c r="BP428">
        <f>MAX(BK428:BO428)</f>
        <v>0</v>
      </c>
      <c r="BQ428">
        <f>MAX(BL428:BO428)</f>
        <v>0</v>
      </c>
      <c r="BR428">
        <f>MAX(BM428:BO428)</f>
        <v>0</v>
      </c>
      <c r="BS428">
        <f>IF(ISNUMBER(Y428),INDEX(AllCollegeChicago, MATCH(N428,AllCollegeNCES,0))*AY428,0)</f>
        <v>0</v>
      </c>
      <c r="BT428">
        <f>IF(ISNUMBER(Y428),INDEX(AllCollegeMoneyCode, MATCH(N428,AllCollegeNCES,0)),"?")</f>
        <v>0</v>
      </c>
      <c r="BU428">
        <f>IF(OR(BT428="---",BT428="--",BT428="+/--",BT428="+/---"),1,0)</f>
        <v>0</v>
      </c>
      <c r="BV428">
        <f>AY428*AO428*AQ428</f>
        <v>0</v>
      </c>
    </row>
    <row r="429" spans="1:74">
      <c r="A429" t="s">
        <v>86</v>
      </c>
      <c r="B429">
        <v>23403578</v>
      </c>
      <c r="C429" t="s">
        <v>245</v>
      </c>
      <c r="D429" t="s">
        <v>246</v>
      </c>
      <c r="E429" t="s">
        <v>428</v>
      </c>
      <c r="F429" t="s">
        <v>485</v>
      </c>
      <c r="G429" t="s">
        <v>430</v>
      </c>
      <c r="H429" t="s">
        <v>431</v>
      </c>
      <c r="I429" t="s">
        <v>432</v>
      </c>
      <c r="J429" t="s">
        <v>432</v>
      </c>
      <c r="K429">
        <v>0</v>
      </c>
      <c r="L429" t="s">
        <v>428</v>
      </c>
      <c r="M429" t="s">
        <v>428</v>
      </c>
      <c r="N429">
        <v>170082</v>
      </c>
      <c r="O429">
        <f>INDEX(AllCollegeBarrons,MATCH(N429,AllCollegeNCES,0))</f>
        <v>0</v>
      </c>
      <c r="P429">
        <f>INDEX(KidGPAs,MATCH(B429,KidIDs,0))</f>
        <v>0</v>
      </c>
      <c r="Q429">
        <f>INDEX(KidACTs,MATCH(B429,KidIDs,0))</f>
        <v>0</v>
      </c>
      <c r="R429">
        <f>INDEX(Strats,MATCH(B429,KidIDs,0))</f>
        <v>0</v>
      </c>
      <c r="S429">
        <f>INDEX(KidRace,MATCH(B429,KidIDs,0))</f>
        <v>0</v>
      </c>
      <c r="T429">
        <f>IF(OR(S429="M",S429="I"),"H",S429)</f>
        <v>0</v>
      </c>
      <c r="U429">
        <f>INDEX(StudentTargets,MATCH(B429,KidIDs,0))</f>
        <v>0</v>
      </c>
      <c r="V429">
        <f>INDEX(ReachStudentTargets,MATCH(B429,KidIDs,0))</f>
        <v>0</v>
      </c>
      <c r="W429">
        <f>IF(OR(M429="Posse"),1,0)</f>
        <v>0</v>
      </c>
      <c r="X429">
        <f>IF(ISNUMBER(INDEX(AllCollegeGR, MATCH(N429,AllCollegeNCES,0))),ROUND(INDEX(AllCollegeGR, MATCH(N429,AllCollegeNCES,0))+W429*IF(INDEX(AllCollegeGR, MATCH(N429,AllCollegeNCES,0))&gt;0.7,(1-INDEX(AllCollegeGR, MATCH(N429,AllCollegeNCES,0)))/2,0.15),2),INDEX(AllCollegeGR, MATCH(N429,AllCollegeNCES,0)))</f>
        <v>0</v>
      </c>
      <c r="Y429">
        <f>IF(ISNUMBER(INDEX(AllCollegeAAHGR, MATCH(N429,AllCollegeNCES,0))),ROUND(INDEX(AllCollegeAAHGR, MATCH(N429,AllCollegeNCES,0))+W429*IF(INDEX(AllCollegeAAHGR, MATCH(N429,AllCollegeNCES,0))&gt;0.7,(1-INDEX(AllCollegeAAHGR, MATCH(N429,AllCollegeNCES,0)))/2,0.15),2),INDEX(AllCollegeAAHGR, MATCH(N429,AllCollegeNCES,0)))</f>
        <v>0</v>
      </c>
      <c r="Z429">
        <f>IF(OR(T429="H",T429="B"),INDEX(AllCollegeACT25, MATCH(N429,AllCollegeNCES,0)),INDEX(AllCollegeACT50, MATCH(N429,AllCollegeNCES,0)))</f>
        <v>0</v>
      </c>
      <c r="AA429">
        <f>INDEX(CustomWeightsGPA,MATCH(T429&amp;":"&amp;N429,CustomWeightsIndex,0))</f>
        <v>0</v>
      </c>
      <c r="AB429">
        <f>INDEX(CustomWeightsACT,MATCH(T429&amp;":"&amp;N429,CustomWeightsIndex,0))</f>
        <v>0</v>
      </c>
      <c r="AC429">
        <f>INDEX(CustomWeightsIntercept,MATCH(T429&amp;":"&amp;N429,CustomWeightsIndex,0))</f>
        <v>0</v>
      </c>
      <c r="AD429">
        <f>AA429*P429+AB429*Q429+AC429</f>
        <v>0</v>
      </c>
      <c r="AE429">
        <f>INDEX(CoefficientsGPA,MATCH(T429&amp;":"&amp;O429,CoefficientsIndex,0))</f>
        <v>0</v>
      </c>
      <c r="AF429">
        <f>INDEX(CoefficientsACT,MATCH(T429&amp;":"&amp;O429,CoefficientsIndex,0))</f>
        <v>0</v>
      </c>
      <c r="AG429">
        <f>INDEX(CoefficientsIntercept,MATCH(T429&amp;":"&amp;O429,CoefficientsIndex,0))</f>
        <v>0</v>
      </c>
      <c r="AH429">
        <f>AE429*P429+(Q429-Z429)*AF429+AG429</f>
        <v>0</v>
      </c>
      <c r="AI429">
        <f>IF(ISNUMBER(AD429),AD429,AH429)</f>
        <v>0</v>
      </c>
      <c r="AJ429">
        <f>IF(ISNUMBER(AI429),IF(ISNUMBER(AE429),IF(AND(AE429=1,AF429=1,AG429=1),100,ROUND(100*EXP(AI429)/(1+EXP(AI429)),2)),ROUND(100*EXP(AI429)/(1+EXP(AI429)),2)),IF(ISTEXT(O429),IF(LEFT(O429,1)="2",100,"N/A"),"N/A"))</f>
        <v>0</v>
      </c>
      <c r="AK429">
        <f>IF(ISNUMBER(AJ429),IF(AJ429&gt;=99,IF(OR(R429=10,R429=11),MatchLabel,SureThingLabel),IF(AJ429&gt;=95,SecureLabel,IF(AJ429&gt;=80,SafetyLabel,IF(AJ429&gt;=50,MatchLabel,IF(AJ429&gt;=20,ReachLabel,IF(AJ429&gt;=10,LongshotLabel,HailMaryLabel)))))),"Other")</f>
        <v>0</v>
      </c>
      <c r="AL429">
        <f>IF(OR(I429="accepted",I429="cond. accept",I429="summer admit"),IF(J429="yes","CHOICE!","Accepted!"),IF(I429="denied","Denied",IF(K429=1,"Waitlist",IF(L429=1,"Deferred",IF(G429="pending","Pending",IF(OR(G429="initial materials submitted",G429="mid-year submitted",G429="final submitted"),"Submitted",IF(H429="interest","Interest","?")))))))</f>
        <v>0</v>
      </c>
      <c r="AM429">
        <f>IF(OR(AK429=ReachLabel,AK429=LongshotLabel,AK429=HailMaryLabel),1,0)</f>
        <v>0</v>
      </c>
      <c r="AN429">
        <f>IF(OR(AM429=1,AK429=MatchLabel),1,0)</f>
        <v>0</v>
      </c>
      <c r="AO429">
        <f>IF(OR(AK429=MatchLabel,AK429=SafetyLabel,AK429=SecureLabel,AK429=SureThingLabel),1,0)</f>
        <v>0</v>
      </c>
      <c r="AP429">
        <f>IF(OR(T429="H",T429="B"),IF(ISNUMBER(Y429),ROUND(Y429,2),0),IF(ISNUMBER(X429),ROUND(X429,2),0))</f>
        <v>0</v>
      </c>
      <c r="AQ429">
        <f>IF(AP429&gt;=U429,1,0)</f>
        <v>0</v>
      </c>
      <c r="AR429">
        <f>IF(AP429&gt;=V429,1,0)</f>
        <v>0</v>
      </c>
      <c r="AS429">
        <f>IF(AP429&lt;(U429-0.10),1,0)</f>
        <v>0</v>
      </c>
      <c r="AT429">
        <f>1-AJ429/100</f>
        <v>0</v>
      </c>
      <c r="AU429">
        <f>IF(AN429=1,AT429,1)</f>
        <v>0</v>
      </c>
      <c r="AV429">
        <f>IF(AM429=1,AT429,1)</f>
        <v>0</v>
      </c>
      <c r="AW429">
        <f>IF(AND(AQ429=1,ISNUMBER(AT429)),$AT429,1)</f>
        <v>0</v>
      </c>
      <c r="AX429">
        <f>IF(AND(AR429=1,ISNUMBER(AT429)),$AT429,1)</f>
        <v>0</v>
      </c>
      <c r="AY429">
        <f>IF(ISNUMBER(Y429),INDEX(AllCollegeMoney, MATCH(N429,AllCollegeNCES,0)),0)</f>
        <v>0</v>
      </c>
      <c r="AZ429">
        <f>IF(AND(AQ429=1,ISNUMBER(AT429),AY429=1),$AT429,1)</f>
        <v>0</v>
      </c>
      <c r="BA429">
        <f>IF(AND(AR429=1,ISNUMBER(AT429),AY429=1),$AT429,1)</f>
        <v>0</v>
      </c>
      <c r="BB429">
        <f>IF(ISNUMBER(Y429),INDEX(AllCollegeILPub, MATCH(N429,AllCollegeNCES,0)),0)</f>
        <v>0</v>
      </c>
      <c r="BC429">
        <f>IF(AK429=ReachLabel,AP429,0)</f>
        <v>0</v>
      </c>
      <c r="BD429">
        <f>IF(AK429=MatchLabel,AP429,0)</f>
        <v>0</v>
      </c>
      <c r="BE429">
        <f>IF(AK429=SafetyLabel,AP429,0)</f>
        <v>0</v>
      </c>
      <c r="BF429">
        <f>IF(AK429=SecureLabel,AP429,0)</f>
        <v>0</v>
      </c>
      <c r="BG429">
        <f>IF(AK429=SureThingLabel,AP429,0)</f>
        <v>0</v>
      </c>
      <c r="BH429">
        <f>MAX(BC429:BG429)</f>
        <v>0</v>
      </c>
      <c r="BI429">
        <f>MAX(BD429:BG429)</f>
        <v>0</v>
      </c>
      <c r="BJ429">
        <f>MAX(BE429:BG429)</f>
        <v>0</v>
      </c>
      <c r="BK429">
        <f>IF(AND(AK429=ReachLabel,AY429=1),AP429,0)</f>
        <v>0</v>
      </c>
      <c r="BL429">
        <f>IF(AND(AK429=MatchLabel,AY429=1),AP429,0)</f>
        <v>0</v>
      </c>
      <c r="BM429">
        <f>IF(AND(AK429=SafetyLabel,AY429=1),AP429,0)</f>
        <v>0</v>
      </c>
      <c r="BN429">
        <f>IF(AND(AK429=SecureLabel,AY429=1),AP429,0)</f>
        <v>0</v>
      </c>
      <c r="BO429">
        <f>IF(AND(AK429=SureThingLabel,AY429=1),AP429,0)</f>
        <v>0</v>
      </c>
      <c r="BP429">
        <f>MAX(BK429:BO429)</f>
        <v>0</v>
      </c>
      <c r="BQ429">
        <f>MAX(BL429:BO429)</f>
        <v>0</v>
      </c>
      <c r="BR429">
        <f>MAX(BM429:BO429)</f>
        <v>0</v>
      </c>
      <c r="BS429">
        <f>IF(ISNUMBER(Y429),INDEX(AllCollegeChicago, MATCH(N429,AllCollegeNCES,0))*AY429,0)</f>
        <v>0</v>
      </c>
      <c r="BT429">
        <f>IF(ISNUMBER(Y429),INDEX(AllCollegeMoneyCode, MATCH(N429,AllCollegeNCES,0)),"?")</f>
        <v>0</v>
      </c>
      <c r="BU429">
        <f>IF(OR(BT429="---",BT429="--",BT429="+/--",BT429="+/---"),1,0)</f>
        <v>0</v>
      </c>
      <c r="BV429">
        <f>AY429*AO429*AQ429</f>
        <v>0</v>
      </c>
    </row>
    <row r="430" spans="1:74">
      <c r="A430" t="s">
        <v>86</v>
      </c>
      <c r="B430">
        <v>23403578</v>
      </c>
      <c r="C430" t="s">
        <v>245</v>
      </c>
      <c r="D430" t="s">
        <v>246</v>
      </c>
      <c r="E430" t="s">
        <v>428</v>
      </c>
      <c r="F430" t="s">
        <v>502</v>
      </c>
      <c r="G430" t="s">
        <v>430</v>
      </c>
      <c r="H430" t="s">
        <v>431</v>
      </c>
      <c r="I430" t="s">
        <v>432</v>
      </c>
      <c r="J430" t="s">
        <v>432</v>
      </c>
      <c r="K430">
        <v>0</v>
      </c>
      <c r="L430" t="s">
        <v>428</v>
      </c>
      <c r="M430" t="s">
        <v>428</v>
      </c>
      <c r="N430">
        <v>145813</v>
      </c>
      <c r="O430">
        <f>INDEX(AllCollegeBarrons,MATCH(N430,AllCollegeNCES,0))</f>
        <v>0</v>
      </c>
      <c r="P430">
        <f>INDEX(KidGPAs,MATCH(B430,KidIDs,0))</f>
        <v>0</v>
      </c>
      <c r="Q430">
        <f>INDEX(KidACTs,MATCH(B430,KidIDs,0))</f>
        <v>0</v>
      </c>
      <c r="R430">
        <f>INDEX(Strats,MATCH(B430,KidIDs,0))</f>
        <v>0</v>
      </c>
      <c r="S430">
        <f>INDEX(KidRace,MATCH(B430,KidIDs,0))</f>
        <v>0</v>
      </c>
      <c r="T430">
        <f>IF(OR(S430="M",S430="I"),"H",S430)</f>
        <v>0</v>
      </c>
      <c r="U430">
        <f>INDEX(StudentTargets,MATCH(B430,KidIDs,0))</f>
        <v>0</v>
      </c>
      <c r="V430">
        <f>INDEX(ReachStudentTargets,MATCH(B430,KidIDs,0))</f>
        <v>0</v>
      </c>
      <c r="W430">
        <f>IF(OR(M430="Posse"),1,0)</f>
        <v>0</v>
      </c>
      <c r="X430">
        <f>IF(ISNUMBER(INDEX(AllCollegeGR, MATCH(N430,AllCollegeNCES,0))),ROUND(INDEX(AllCollegeGR, MATCH(N430,AllCollegeNCES,0))+W430*IF(INDEX(AllCollegeGR, MATCH(N430,AllCollegeNCES,0))&gt;0.7,(1-INDEX(AllCollegeGR, MATCH(N430,AllCollegeNCES,0)))/2,0.15),2),INDEX(AllCollegeGR, MATCH(N430,AllCollegeNCES,0)))</f>
        <v>0</v>
      </c>
      <c r="Y430">
        <f>IF(ISNUMBER(INDEX(AllCollegeAAHGR, MATCH(N430,AllCollegeNCES,0))),ROUND(INDEX(AllCollegeAAHGR, MATCH(N430,AllCollegeNCES,0))+W430*IF(INDEX(AllCollegeAAHGR, MATCH(N430,AllCollegeNCES,0))&gt;0.7,(1-INDEX(AllCollegeAAHGR, MATCH(N430,AllCollegeNCES,0)))/2,0.15),2),INDEX(AllCollegeAAHGR, MATCH(N430,AllCollegeNCES,0)))</f>
        <v>0</v>
      </c>
      <c r="Z430">
        <f>IF(OR(T430="H",T430="B"),INDEX(AllCollegeACT25, MATCH(N430,AllCollegeNCES,0)),INDEX(AllCollegeACT50, MATCH(N430,AllCollegeNCES,0)))</f>
        <v>0</v>
      </c>
      <c r="AA430">
        <f>INDEX(CustomWeightsGPA,MATCH(T430&amp;":"&amp;N430,CustomWeightsIndex,0))</f>
        <v>0</v>
      </c>
      <c r="AB430">
        <f>INDEX(CustomWeightsACT,MATCH(T430&amp;":"&amp;N430,CustomWeightsIndex,0))</f>
        <v>0</v>
      </c>
      <c r="AC430">
        <f>INDEX(CustomWeightsIntercept,MATCH(T430&amp;":"&amp;N430,CustomWeightsIndex,0))</f>
        <v>0</v>
      </c>
      <c r="AD430">
        <f>AA430*P430+AB430*Q430+AC430</f>
        <v>0</v>
      </c>
      <c r="AE430">
        <f>INDEX(CoefficientsGPA,MATCH(T430&amp;":"&amp;O430,CoefficientsIndex,0))</f>
        <v>0</v>
      </c>
      <c r="AF430">
        <f>INDEX(CoefficientsACT,MATCH(T430&amp;":"&amp;O430,CoefficientsIndex,0))</f>
        <v>0</v>
      </c>
      <c r="AG430">
        <f>INDEX(CoefficientsIntercept,MATCH(T430&amp;":"&amp;O430,CoefficientsIndex,0))</f>
        <v>0</v>
      </c>
      <c r="AH430">
        <f>AE430*P430+(Q430-Z430)*AF430+AG430</f>
        <v>0</v>
      </c>
      <c r="AI430">
        <f>IF(ISNUMBER(AD430),AD430,AH430)</f>
        <v>0</v>
      </c>
      <c r="AJ430">
        <f>IF(ISNUMBER(AI430),IF(ISNUMBER(AE430),IF(AND(AE430=1,AF430=1,AG430=1),100,ROUND(100*EXP(AI430)/(1+EXP(AI430)),2)),ROUND(100*EXP(AI430)/(1+EXP(AI430)),2)),IF(ISTEXT(O430),IF(LEFT(O430,1)="2",100,"N/A"),"N/A"))</f>
        <v>0</v>
      </c>
      <c r="AK430">
        <f>IF(ISNUMBER(AJ430),IF(AJ430&gt;=99,IF(OR(R430=10,R430=11),MatchLabel,SureThingLabel),IF(AJ430&gt;=95,SecureLabel,IF(AJ430&gt;=80,SafetyLabel,IF(AJ430&gt;=50,MatchLabel,IF(AJ430&gt;=20,ReachLabel,IF(AJ430&gt;=10,LongshotLabel,HailMaryLabel)))))),"Other")</f>
        <v>0</v>
      </c>
      <c r="AL430">
        <f>IF(OR(I430="accepted",I430="cond. accept",I430="summer admit"),IF(J430="yes","CHOICE!","Accepted!"),IF(I430="denied","Denied",IF(K430=1,"Waitlist",IF(L430=1,"Deferred",IF(G430="pending","Pending",IF(OR(G430="initial materials submitted",G430="mid-year submitted",G430="final submitted"),"Submitted",IF(H430="interest","Interest","?")))))))</f>
        <v>0</v>
      </c>
      <c r="AM430">
        <f>IF(OR(AK430=ReachLabel,AK430=LongshotLabel,AK430=HailMaryLabel),1,0)</f>
        <v>0</v>
      </c>
      <c r="AN430">
        <f>IF(OR(AM430=1,AK430=MatchLabel),1,0)</f>
        <v>0</v>
      </c>
      <c r="AO430">
        <f>IF(OR(AK430=MatchLabel,AK430=SafetyLabel,AK430=SecureLabel,AK430=SureThingLabel),1,0)</f>
        <v>0</v>
      </c>
      <c r="AP430">
        <f>IF(OR(T430="H",T430="B"),IF(ISNUMBER(Y430),ROUND(Y430,2),0),IF(ISNUMBER(X430),ROUND(X430,2),0))</f>
        <v>0</v>
      </c>
      <c r="AQ430">
        <f>IF(AP430&gt;=U430,1,0)</f>
        <v>0</v>
      </c>
      <c r="AR430">
        <f>IF(AP430&gt;=V430,1,0)</f>
        <v>0</v>
      </c>
      <c r="AS430">
        <f>IF(AP430&lt;(U430-0.10),1,0)</f>
        <v>0</v>
      </c>
      <c r="AT430">
        <f>1-AJ430/100</f>
        <v>0</v>
      </c>
      <c r="AU430">
        <f>IF(AN430=1,AT430,1)</f>
        <v>0</v>
      </c>
      <c r="AV430">
        <f>IF(AM430=1,AT430,1)</f>
        <v>0</v>
      </c>
      <c r="AW430">
        <f>IF(AND(AQ430=1,ISNUMBER(AT430)),$AT430,1)</f>
        <v>0</v>
      </c>
      <c r="AX430">
        <f>IF(AND(AR430=1,ISNUMBER(AT430)),$AT430,1)</f>
        <v>0</v>
      </c>
      <c r="AY430">
        <f>IF(ISNUMBER(Y430),INDEX(AllCollegeMoney, MATCH(N430,AllCollegeNCES,0)),0)</f>
        <v>0</v>
      </c>
      <c r="AZ430">
        <f>IF(AND(AQ430=1,ISNUMBER(AT430),AY430=1),$AT430,1)</f>
        <v>0</v>
      </c>
      <c r="BA430">
        <f>IF(AND(AR430=1,ISNUMBER(AT430),AY430=1),$AT430,1)</f>
        <v>0</v>
      </c>
      <c r="BB430">
        <f>IF(ISNUMBER(Y430),INDEX(AllCollegeILPub, MATCH(N430,AllCollegeNCES,0)),0)</f>
        <v>0</v>
      </c>
      <c r="BC430">
        <f>IF(AK430=ReachLabel,AP430,0)</f>
        <v>0</v>
      </c>
      <c r="BD430">
        <f>IF(AK430=MatchLabel,AP430,0)</f>
        <v>0</v>
      </c>
      <c r="BE430">
        <f>IF(AK430=SafetyLabel,AP430,0)</f>
        <v>0</v>
      </c>
      <c r="BF430">
        <f>IF(AK430=SecureLabel,AP430,0)</f>
        <v>0</v>
      </c>
      <c r="BG430">
        <f>IF(AK430=SureThingLabel,AP430,0)</f>
        <v>0</v>
      </c>
      <c r="BH430">
        <f>MAX(BC430:BG430)</f>
        <v>0</v>
      </c>
      <c r="BI430">
        <f>MAX(BD430:BG430)</f>
        <v>0</v>
      </c>
      <c r="BJ430">
        <f>MAX(BE430:BG430)</f>
        <v>0</v>
      </c>
      <c r="BK430">
        <f>IF(AND(AK430=ReachLabel,AY430=1),AP430,0)</f>
        <v>0</v>
      </c>
      <c r="BL430">
        <f>IF(AND(AK430=MatchLabel,AY430=1),AP430,0)</f>
        <v>0</v>
      </c>
      <c r="BM430">
        <f>IF(AND(AK430=SafetyLabel,AY430=1),AP430,0)</f>
        <v>0</v>
      </c>
      <c r="BN430">
        <f>IF(AND(AK430=SecureLabel,AY430=1),AP430,0)</f>
        <v>0</v>
      </c>
      <c r="BO430">
        <f>IF(AND(AK430=SureThingLabel,AY430=1),AP430,0)</f>
        <v>0</v>
      </c>
      <c r="BP430">
        <f>MAX(BK430:BO430)</f>
        <v>0</v>
      </c>
      <c r="BQ430">
        <f>MAX(BL430:BO430)</f>
        <v>0</v>
      </c>
      <c r="BR430">
        <f>MAX(BM430:BO430)</f>
        <v>0</v>
      </c>
      <c r="BS430">
        <f>IF(ISNUMBER(Y430),INDEX(AllCollegeChicago, MATCH(N430,AllCollegeNCES,0))*AY430,0)</f>
        <v>0</v>
      </c>
      <c r="BT430">
        <f>IF(ISNUMBER(Y430),INDEX(AllCollegeMoneyCode, MATCH(N430,AllCollegeNCES,0)),"?")</f>
        <v>0</v>
      </c>
      <c r="BU430">
        <f>IF(OR(BT430="---",BT430="--",BT430="+/--",BT430="+/---"),1,0)</f>
        <v>0</v>
      </c>
      <c r="BV430">
        <f>AY430*AO430*AQ430</f>
        <v>0</v>
      </c>
    </row>
    <row r="431" spans="1:74">
      <c r="A431" t="s">
        <v>86</v>
      </c>
      <c r="B431">
        <v>23403578</v>
      </c>
      <c r="C431" t="s">
        <v>245</v>
      </c>
      <c r="D431" t="s">
        <v>246</v>
      </c>
      <c r="E431" t="s">
        <v>428</v>
      </c>
      <c r="F431" t="s">
        <v>549</v>
      </c>
      <c r="G431" t="s">
        <v>463</v>
      </c>
      <c r="H431" t="s">
        <v>431</v>
      </c>
      <c r="I431" t="s">
        <v>432</v>
      </c>
      <c r="J431" t="s">
        <v>432</v>
      </c>
      <c r="K431">
        <v>0</v>
      </c>
      <c r="L431" t="s">
        <v>428</v>
      </c>
      <c r="M431" t="s">
        <v>428</v>
      </c>
      <c r="N431">
        <v>147244</v>
      </c>
      <c r="O431">
        <f>INDEX(AllCollegeBarrons,MATCH(N431,AllCollegeNCES,0))</f>
        <v>0</v>
      </c>
      <c r="P431">
        <f>INDEX(KidGPAs,MATCH(B431,KidIDs,0))</f>
        <v>0</v>
      </c>
      <c r="Q431">
        <f>INDEX(KidACTs,MATCH(B431,KidIDs,0))</f>
        <v>0</v>
      </c>
      <c r="R431">
        <f>INDEX(Strats,MATCH(B431,KidIDs,0))</f>
        <v>0</v>
      </c>
      <c r="S431">
        <f>INDEX(KidRace,MATCH(B431,KidIDs,0))</f>
        <v>0</v>
      </c>
      <c r="T431">
        <f>IF(OR(S431="M",S431="I"),"H",S431)</f>
        <v>0</v>
      </c>
      <c r="U431">
        <f>INDEX(StudentTargets,MATCH(B431,KidIDs,0))</f>
        <v>0</v>
      </c>
      <c r="V431">
        <f>INDEX(ReachStudentTargets,MATCH(B431,KidIDs,0))</f>
        <v>0</v>
      </c>
      <c r="W431">
        <f>IF(OR(M431="Posse"),1,0)</f>
        <v>0</v>
      </c>
      <c r="X431">
        <f>IF(ISNUMBER(INDEX(AllCollegeGR, MATCH(N431,AllCollegeNCES,0))),ROUND(INDEX(AllCollegeGR, MATCH(N431,AllCollegeNCES,0))+W431*IF(INDEX(AllCollegeGR, MATCH(N431,AllCollegeNCES,0))&gt;0.7,(1-INDEX(AllCollegeGR, MATCH(N431,AllCollegeNCES,0)))/2,0.15),2),INDEX(AllCollegeGR, MATCH(N431,AllCollegeNCES,0)))</f>
        <v>0</v>
      </c>
      <c r="Y431">
        <f>IF(ISNUMBER(INDEX(AllCollegeAAHGR, MATCH(N431,AllCollegeNCES,0))),ROUND(INDEX(AllCollegeAAHGR, MATCH(N431,AllCollegeNCES,0))+W431*IF(INDEX(AllCollegeAAHGR, MATCH(N431,AllCollegeNCES,0))&gt;0.7,(1-INDEX(AllCollegeAAHGR, MATCH(N431,AllCollegeNCES,0)))/2,0.15),2),INDEX(AllCollegeAAHGR, MATCH(N431,AllCollegeNCES,0)))</f>
        <v>0</v>
      </c>
      <c r="Z431">
        <f>IF(OR(T431="H",T431="B"),INDEX(AllCollegeACT25, MATCH(N431,AllCollegeNCES,0)),INDEX(AllCollegeACT50, MATCH(N431,AllCollegeNCES,0)))</f>
        <v>0</v>
      </c>
      <c r="AA431">
        <f>INDEX(CustomWeightsGPA,MATCH(T431&amp;":"&amp;N431,CustomWeightsIndex,0))</f>
        <v>0</v>
      </c>
      <c r="AB431">
        <f>INDEX(CustomWeightsACT,MATCH(T431&amp;":"&amp;N431,CustomWeightsIndex,0))</f>
        <v>0</v>
      </c>
      <c r="AC431">
        <f>INDEX(CustomWeightsIntercept,MATCH(T431&amp;":"&amp;N431,CustomWeightsIndex,0))</f>
        <v>0</v>
      </c>
      <c r="AD431">
        <f>AA431*P431+AB431*Q431+AC431</f>
        <v>0</v>
      </c>
      <c r="AE431">
        <f>INDEX(CoefficientsGPA,MATCH(T431&amp;":"&amp;O431,CoefficientsIndex,0))</f>
        <v>0</v>
      </c>
      <c r="AF431">
        <f>INDEX(CoefficientsACT,MATCH(T431&amp;":"&amp;O431,CoefficientsIndex,0))</f>
        <v>0</v>
      </c>
      <c r="AG431">
        <f>INDEX(CoefficientsIntercept,MATCH(T431&amp;":"&amp;O431,CoefficientsIndex,0))</f>
        <v>0</v>
      </c>
      <c r="AH431">
        <f>AE431*P431+(Q431-Z431)*AF431+AG431</f>
        <v>0</v>
      </c>
      <c r="AI431">
        <f>IF(ISNUMBER(AD431),AD431,AH431)</f>
        <v>0</v>
      </c>
      <c r="AJ431">
        <f>IF(ISNUMBER(AI431),IF(ISNUMBER(AE431),IF(AND(AE431=1,AF431=1,AG431=1),100,ROUND(100*EXP(AI431)/(1+EXP(AI431)),2)),ROUND(100*EXP(AI431)/(1+EXP(AI431)),2)),IF(ISTEXT(O431),IF(LEFT(O431,1)="2",100,"N/A"),"N/A"))</f>
        <v>0</v>
      </c>
      <c r="AK431">
        <f>IF(ISNUMBER(AJ431),IF(AJ431&gt;=99,IF(OR(R431=10,R431=11),MatchLabel,SureThingLabel),IF(AJ431&gt;=95,SecureLabel,IF(AJ431&gt;=80,SafetyLabel,IF(AJ431&gt;=50,MatchLabel,IF(AJ431&gt;=20,ReachLabel,IF(AJ431&gt;=10,LongshotLabel,HailMaryLabel)))))),"Other")</f>
        <v>0</v>
      </c>
      <c r="AL431">
        <f>IF(OR(I431="accepted",I431="cond. accept",I431="summer admit"),IF(J431="yes","CHOICE!","Accepted!"),IF(I431="denied","Denied",IF(K431=1,"Waitlist",IF(L431=1,"Deferred",IF(G431="pending","Pending",IF(OR(G431="initial materials submitted",G431="mid-year submitted",G431="final submitted"),"Submitted",IF(H431="interest","Interest","?")))))))</f>
        <v>0</v>
      </c>
      <c r="AM431">
        <f>IF(OR(AK431=ReachLabel,AK431=LongshotLabel,AK431=HailMaryLabel),1,0)</f>
        <v>0</v>
      </c>
      <c r="AN431">
        <f>IF(OR(AM431=1,AK431=MatchLabel),1,0)</f>
        <v>0</v>
      </c>
      <c r="AO431">
        <f>IF(OR(AK431=MatchLabel,AK431=SafetyLabel,AK431=SecureLabel,AK431=SureThingLabel),1,0)</f>
        <v>0</v>
      </c>
      <c r="AP431">
        <f>IF(OR(T431="H",T431="B"),IF(ISNUMBER(Y431),ROUND(Y431,2),0),IF(ISNUMBER(X431),ROUND(X431,2),0))</f>
        <v>0</v>
      </c>
      <c r="AQ431">
        <f>IF(AP431&gt;=U431,1,0)</f>
        <v>0</v>
      </c>
      <c r="AR431">
        <f>IF(AP431&gt;=V431,1,0)</f>
        <v>0</v>
      </c>
      <c r="AS431">
        <f>IF(AP431&lt;(U431-0.10),1,0)</f>
        <v>0</v>
      </c>
      <c r="AT431">
        <f>1-AJ431/100</f>
        <v>0</v>
      </c>
      <c r="AU431">
        <f>IF(AN431=1,AT431,1)</f>
        <v>0</v>
      </c>
      <c r="AV431">
        <f>IF(AM431=1,AT431,1)</f>
        <v>0</v>
      </c>
      <c r="AW431">
        <f>IF(AND(AQ431=1,ISNUMBER(AT431)),$AT431,1)</f>
        <v>0</v>
      </c>
      <c r="AX431">
        <f>IF(AND(AR431=1,ISNUMBER(AT431)),$AT431,1)</f>
        <v>0</v>
      </c>
      <c r="AY431">
        <f>IF(ISNUMBER(Y431),INDEX(AllCollegeMoney, MATCH(N431,AllCollegeNCES,0)),0)</f>
        <v>0</v>
      </c>
      <c r="AZ431">
        <f>IF(AND(AQ431=1,ISNUMBER(AT431),AY431=1),$AT431,1)</f>
        <v>0</v>
      </c>
      <c r="BA431">
        <f>IF(AND(AR431=1,ISNUMBER(AT431),AY431=1),$AT431,1)</f>
        <v>0</v>
      </c>
      <c r="BB431">
        <f>IF(ISNUMBER(Y431),INDEX(AllCollegeILPub, MATCH(N431,AllCollegeNCES,0)),0)</f>
        <v>0</v>
      </c>
      <c r="BC431">
        <f>IF(AK431=ReachLabel,AP431,0)</f>
        <v>0</v>
      </c>
      <c r="BD431">
        <f>IF(AK431=MatchLabel,AP431,0)</f>
        <v>0</v>
      </c>
      <c r="BE431">
        <f>IF(AK431=SafetyLabel,AP431,0)</f>
        <v>0</v>
      </c>
      <c r="BF431">
        <f>IF(AK431=SecureLabel,AP431,0)</f>
        <v>0</v>
      </c>
      <c r="BG431">
        <f>IF(AK431=SureThingLabel,AP431,0)</f>
        <v>0</v>
      </c>
      <c r="BH431">
        <f>MAX(BC431:BG431)</f>
        <v>0</v>
      </c>
      <c r="BI431">
        <f>MAX(BD431:BG431)</f>
        <v>0</v>
      </c>
      <c r="BJ431">
        <f>MAX(BE431:BG431)</f>
        <v>0</v>
      </c>
      <c r="BK431">
        <f>IF(AND(AK431=ReachLabel,AY431=1),AP431,0)</f>
        <v>0</v>
      </c>
      <c r="BL431">
        <f>IF(AND(AK431=MatchLabel,AY431=1),AP431,0)</f>
        <v>0</v>
      </c>
      <c r="BM431">
        <f>IF(AND(AK431=SafetyLabel,AY431=1),AP431,0)</f>
        <v>0</v>
      </c>
      <c r="BN431">
        <f>IF(AND(AK431=SecureLabel,AY431=1),AP431,0)</f>
        <v>0</v>
      </c>
      <c r="BO431">
        <f>IF(AND(AK431=SureThingLabel,AY431=1),AP431,0)</f>
        <v>0</v>
      </c>
      <c r="BP431">
        <f>MAX(BK431:BO431)</f>
        <v>0</v>
      </c>
      <c r="BQ431">
        <f>MAX(BL431:BO431)</f>
        <v>0</v>
      </c>
      <c r="BR431">
        <f>MAX(BM431:BO431)</f>
        <v>0</v>
      </c>
      <c r="BS431">
        <f>IF(ISNUMBER(Y431),INDEX(AllCollegeChicago, MATCH(N431,AllCollegeNCES,0))*AY431,0)</f>
        <v>0</v>
      </c>
      <c r="BT431">
        <f>IF(ISNUMBER(Y431),INDEX(AllCollegeMoneyCode, MATCH(N431,AllCollegeNCES,0)),"?")</f>
        <v>0</v>
      </c>
      <c r="BU431">
        <f>IF(OR(BT431="---",BT431="--",BT431="+/--",BT431="+/---"),1,0)</f>
        <v>0</v>
      </c>
      <c r="BV431">
        <f>AY431*AO431*AQ431</f>
        <v>0</v>
      </c>
    </row>
    <row r="432" spans="1:74">
      <c r="A432" t="s">
        <v>86</v>
      </c>
      <c r="B432">
        <v>23403578</v>
      </c>
      <c r="C432" t="s">
        <v>245</v>
      </c>
      <c r="D432" t="s">
        <v>246</v>
      </c>
      <c r="E432" t="s">
        <v>428</v>
      </c>
      <c r="F432" t="s">
        <v>447</v>
      </c>
      <c r="G432" t="s">
        <v>430</v>
      </c>
      <c r="H432" t="s">
        <v>431</v>
      </c>
      <c r="I432" t="s">
        <v>432</v>
      </c>
      <c r="J432" t="s">
        <v>432</v>
      </c>
      <c r="K432">
        <v>0</v>
      </c>
      <c r="L432" t="s">
        <v>428</v>
      </c>
      <c r="M432" t="s">
        <v>428</v>
      </c>
      <c r="N432">
        <v>145600</v>
      </c>
      <c r="O432">
        <f>INDEX(AllCollegeBarrons,MATCH(N432,AllCollegeNCES,0))</f>
        <v>0</v>
      </c>
      <c r="P432">
        <f>INDEX(KidGPAs,MATCH(B432,KidIDs,0))</f>
        <v>0</v>
      </c>
      <c r="Q432">
        <f>INDEX(KidACTs,MATCH(B432,KidIDs,0))</f>
        <v>0</v>
      </c>
      <c r="R432">
        <f>INDEX(Strats,MATCH(B432,KidIDs,0))</f>
        <v>0</v>
      </c>
      <c r="S432">
        <f>INDEX(KidRace,MATCH(B432,KidIDs,0))</f>
        <v>0</v>
      </c>
      <c r="T432">
        <f>IF(OR(S432="M",S432="I"),"H",S432)</f>
        <v>0</v>
      </c>
      <c r="U432">
        <f>INDEX(StudentTargets,MATCH(B432,KidIDs,0))</f>
        <v>0</v>
      </c>
      <c r="V432">
        <f>INDEX(ReachStudentTargets,MATCH(B432,KidIDs,0))</f>
        <v>0</v>
      </c>
      <c r="W432">
        <f>IF(OR(M432="Posse"),1,0)</f>
        <v>0</v>
      </c>
      <c r="X432">
        <f>IF(ISNUMBER(INDEX(AllCollegeGR, MATCH(N432,AllCollegeNCES,0))),ROUND(INDEX(AllCollegeGR, MATCH(N432,AllCollegeNCES,0))+W432*IF(INDEX(AllCollegeGR, MATCH(N432,AllCollegeNCES,0))&gt;0.7,(1-INDEX(AllCollegeGR, MATCH(N432,AllCollegeNCES,0)))/2,0.15),2),INDEX(AllCollegeGR, MATCH(N432,AllCollegeNCES,0)))</f>
        <v>0</v>
      </c>
      <c r="Y432">
        <f>IF(ISNUMBER(INDEX(AllCollegeAAHGR, MATCH(N432,AllCollegeNCES,0))),ROUND(INDEX(AllCollegeAAHGR, MATCH(N432,AllCollegeNCES,0))+W432*IF(INDEX(AllCollegeAAHGR, MATCH(N432,AllCollegeNCES,0))&gt;0.7,(1-INDEX(AllCollegeAAHGR, MATCH(N432,AllCollegeNCES,0)))/2,0.15),2),INDEX(AllCollegeAAHGR, MATCH(N432,AllCollegeNCES,0)))</f>
        <v>0</v>
      </c>
      <c r="Z432">
        <f>IF(OR(T432="H",T432="B"),INDEX(AllCollegeACT25, MATCH(N432,AllCollegeNCES,0)),INDEX(AllCollegeACT50, MATCH(N432,AllCollegeNCES,0)))</f>
        <v>0</v>
      </c>
      <c r="AA432">
        <f>INDEX(CustomWeightsGPA,MATCH(T432&amp;":"&amp;N432,CustomWeightsIndex,0))</f>
        <v>0</v>
      </c>
      <c r="AB432">
        <f>INDEX(CustomWeightsACT,MATCH(T432&amp;":"&amp;N432,CustomWeightsIndex,0))</f>
        <v>0</v>
      </c>
      <c r="AC432">
        <f>INDEX(CustomWeightsIntercept,MATCH(T432&amp;":"&amp;N432,CustomWeightsIndex,0))</f>
        <v>0</v>
      </c>
      <c r="AD432">
        <f>AA432*P432+AB432*Q432+AC432</f>
        <v>0</v>
      </c>
      <c r="AE432">
        <f>INDEX(CoefficientsGPA,MATCH(T432&amp;":"&amp;O432,CoefficientsIndex,0))</f>
        <v>0</v>
      </c>
      <c r="AF432">
        <f>INDEX(CoefficientsACT,MATCH(T432&amp;":"&amp;O432,CoefficientsIndex,0))</f>
        <v>0</v>
      </c>
      <c r="AG432">
        <f>INDEX(CoefficientsIntercept,MATCH(T432&amp;":"&amp;O432,CoefficientsIndex,0))</f>
        <v>0</v>
      </c>
      <c r="AH432">
        <f>AE432*P432+(Q432-Z432)*AF432+AG432</f>
        <v>0</v>
      </c>
      <c r="AI432">
        <f>IF(ISNUMBER(AD432),AD432,AH432)</f>
        <v>0</v>
      </c>
      <c r="AJ432">
        <f>IF(ISNUMBER(AI432),IF(ISNUMBER(AE432),IF(AND(AE432=1,AF432=1,AG432=1),100,ROUND(100*EXP(AI432)/(1+EXP(AI432)),2)),ROUND(100*EXP(AI432)/(1+EXP(AI432)),2)),IF(ISTEXT(O432),IF(LEFT(O432,1)="2",100,"N/A"),"N/A"))</f>
        <v>0</v>
      </c>
      <c r="AK432">
        <f>IF(ISNUMBER(AJ432),IF(AJ432&gt;=99,IF(OR(R432=10,R432=11),MatchLabel,SureThingLabel),IF(AJ432&gt;=95,SecureLabel,IF(AJ432&gt;=80,SafetyLabel,IF(AJ432&gt;=50,MatchLabel,IF(AJ432&gt;=20,ReachLabel,IF(AJ432&gt;=10,LongshotLabel,HailMaryLabel)))))),"Other")</f>
        <v>0</v>
      </c>
      <c r="AL432">
        <f>IF(OR(I432="accepted",I432="cond. accept",I432="summer admit"),IF(J432="yes","CHOICE!","Accepted!"),IF(I432="denied","Denied",IF(K432=1,"Waitlist",IF(L432=1,"Deferred",IF(G432="pending","Pending",IF(OR(G432="initial materials submitted",G432="mid-year submitted",G432="final submitted"),"Submitted",IF(H432="interest","Interest","?")))))))</f>
        <v>0</v>
      </c>
      <c r="AM432">
        <f>IF(OR(AK432=ReachLabel,AK432=LongshotLabel,AK432=HailMaryLabel),1,0)</f>
        <v>0</v>
      </c>
      <c r="AN432">
        <f>IF(OR(AM432=1,AK432=MatchLabel),1,0)</f>
        <v>0</v>
      </c>
      <c r="AO432">
        <f>IF(OR(AK432=MatchLabel,AK432=SafetyLabel,AK432=SecureLabel,AK432=SureThingLabel),1,0)</f>
        <v>0</v>
      </c>
      <c r="AP432">
        <f>IF(OR(T432="H",T432="B"),IF(ISNUMBER(Y432),ROUND(Y432,2),0),IF(ISNUMBER(X432),ROUND(X432,2),0))</f>
        <v>0</v>
      </c>
      <c r="AQ432">
        <f>IF(AP432&gt;=U432,1,0)</f>
        <v>0</v>
      </c>
      <c r="AR432">
        <f>IF(AP432&gt;=V432,1,0)</f>
        <v>0</v>
      </c>
      <c r="AS432">
        <f>IF(AP432&lt;(U432-0.10),1,0)</f>
        <v>0</v>
      </c>
      <c r="AT432">
        <f>1-AJ432/100</f>
        <v>0</v>
      </c>
      <c r="AU432">
        <f>IF(AN432=1,AT432,1)</f>
        <v>0</v>
      </c>
      <c r="AV432">
        <f>IF(AM432=1,AT432,1)</f>
        <v>0</v>
      </c>
      <c r="AW432">
        <f>IF(AND(AQ432=1,ISNUMBER(AT432)),$AT432,1)</f>
        <v>0</v>
      </c>
      <c r="AX432">
        <f>IF(AND(AR432=1,ISNUMBER(AT432)),$AT432,1)</f>
        <v>0</v>
      </c>
      <c r="AY432">
        <f>IF(ISNUMBER(Y432),INDEX(AllCollegeMoney, MATCH(N432,AllCollegeNCES,0)),0)</f>
        <v>0</v>
      </c>
      <c r="AZ432">
        <f>IF(AND(AQ432=1,ISNUMBER(AT432),AY432=1),$AT432,1)</f>
        <v>0</v>
      </c>
      <c r="BA432">
        <f>IF(AND(AR432=1,ISNUMBER(AT432),AY432=1),$AT432,1)</f>
        <v>0</v>
      </c>
      <c r="BB432">
        <f>IF(ISNUMBER(Y432),INDEX(AllCollegeILPub, MATCH(N432,AllCollegeNCES,0)),0)</f>
        <v>0</v>
      </c>
      <c r="BC432">
        <f>IF(AK432=ReachLabel,AP432,0)</f>
        <v>0</v>
      </c>
      <c r="BD432">
        <f>IF(AK432=MatchLabel,AP432,0)</f>
        <v>0</v>
      </c>
      <c r="BE432">
        <f>IF(AK432=SafetyLabel,AP432,0)</f>
        <v>0</v>
      </c>
      <c r="BF432">
        <f>IF(AK432=SecureLabel,AP432,0)</f>
        <v>0</v>
      </c>
      <c r="BG432">
        <f>IF(AK432=SureThingLabel,AP432,0)</f>
        <v>0</v>
      </c>
      <c r="BH432">
        <f>MAX(BC432:BG432)</f>
        <v>0</v>
      </c>
      <c r="BI432">
        <f>MAX(BD432:BG432)</f>
        <v>0</v>
      </c>
      <c r="BJ432">
        <f>MAX(BE432:BG432)</f>
        <v>0</v>
      </c>
      <c r="BK432">
        <f>IF(AND(AK432=ReachLabel,AY432=1),AP432,0)</f>
        <v>0</v>
      </c>
      <c r="BL432">
        <f>IF(AND(AK432=MatchLabel,AY432=1),AP432,0)</f>
        <v>0</v>
      </c>
      <c r="BM432">
        <f>IF(AND(AK432=SafetyLabel,AY432=1),AP432,0)</f>
        <v>0</v>
      </c>
      <c r="BN432">
        <f>IF(AND(AK432=SecureLabel,AY432=1),AP432,0)</f>
        <v>0</v>
      </c>
      <c r="BO432">
        <f>IF(AND(AK432=SureThingLabel,AY432=1),AP432,0)</f>
        <v>0</v>
      </c>
      <c r="BP432">
        <f>MAX(BK432:BO432)</f>
        <v>0</v>
      </c>
      <c r="BQ432">
        <f>MAX(BL432:BO432)</f>
        <v>0</v>
      </c>
      <c r="BR432">
        <f>MAX(BM432:BO432)</f>
        <v>0</v>
      </c>
      <c r="BS432">
        <f>IF(ISNUMBER(Y432),INDEX(AllCollegeChicago, MATCH(N432,AllCollegeNCES,0))*AY432,0)</f>
        <v>0</v>
      </c>
      <c r="BT432">
        <f>IF(ISNUMBER(Y432),INDEX(AllCollegeMoneyCode, MATCH(N432,AllCollegeNCES,0)),"?")</f>
        <v>0</v>
      </c>
      <c r="BU432">
        <f>IF(OR(BT432="---",BT432="--",BT432="+/--",BT432="+/---"),1,0)</f>
        <v>0</v>
      </c>
      <c r="BV432">
        <f>AY432*AO432*AQ432</f>
        <v>0</v>
      </c>
    </row>
    <row r="433" spans="1:74">
      <c r="A433" t="s">
        <v>86</v>
      </c>
      <c r="B433">
        <v>23403578</v>
      </c>
      <c r="C433" t="s">
        <v>245</v>
      </c>
      <c r="D433" t="s">
        <v>246</v>
      </c>
      <c r="E433" t="s">
        <v>428</v>
      </c>
      <c r="F433" t="s">
        <v>435</v>
      </c>
      <c r="G433" t="s">
        <v>430</v>
      </c>
      <c r="H433" t="s">
        <v>431</v>
      </c>
      <c r="I433" t="s">
        <v>432</v>
      </c>
      <c r="J433" t="s">
        <v>432</v>
      </c>
      <c r="K433">
        <v>0</v>
      </c>
      <c r="L433" t="s">
        <v>428</v>
      </c>
      <c r="M433" t="s">
        <v>428</v>
      </c>
      <c r="N433">
        <v>144892</v>
      </c>
      <c r="O433">
        <f>INDEX(AllCollegeBarrons,MATCH(N433,AllCollegeNCES,0))</f>
        <v>0</v>
      </c>
      <c r="P433">
        <f>INDEX(KidGPAs,MATCH(B433,KidIDs,0))</f>
        <v>0</v>
      </c>
      <c r="Q433">
        <f>INDEX(KidACTs,MATCH(B433,KidIDs,0))</f>
        <v>0</v>
      </c>
      <c r="R433">
        <f>INDEX(Strats,MATCH(B433,KidIDs,0))</f>
        <v>0</v>
      </c>
      <c r="S433">
        <f>INDEX(KidRace,MATCH(B433,KidIDs,0))</f>
        <v>0</v>
      </c>
      <c r="T433">
        <f>IF(OR(S433="M",S433="I"),"H",S433)</f>
        <v>0</v>
      </c>
      <c r="U433">
        <f>INDEX(StudentTargets,MATCH(B433,KidIDs,0))</f>
        <v>0</v>
      </c>
      <c r="V433">
        <f>INDEX(ReachStudentTargets,MATCH(B433,KidIDs,0))</f>
        <v>0</v>
      </c>
      <c r="W433">
        <f>IF(OR(M433="Posse"),1,0)</f>
        <v>0</v>
      </c>
      <c r="X433">
        <f>IF(ISNUMBER(INDEX(AllCollegeGR, MATCH(N433,AllCollegeNCES,0))),ROUND(INDEX(AllCollegeGR, MATCH(N433,AllCollegeNCES,0))+W433*IF(INDEX(AllCollegeGR, MATCH(N433,AllCollegeNCES,0))&gt;0.7,(1-INDEX(AllCollegeGR, MATCH(N433,AllCollegeNCES,0)))/2,0.15),2),INDEX(AllCollegeGR, MATCH(N433,AllCollegeNCES,0)))</f>
        <v>0</v>
      </c>
      <c r="Y433">
        <f>IF(ISNUMBER(INDEX(AllCollegeAAHGR, MATCH(N433,AllCollegeNCES,0))),ROUND(INDEX(AllCollegeAAHGR, MATCH(N433,AllCollegeNCES,0))+W433*IF(INDEX(AllCollegeAAHGR, MATCH(N433,AllCollegeNCES,0))&gt;0.7,(1-INDEX(AllCollegeAAHGR, MATCH(N433,AllCollegeNCES,0)))/2,0.15),2),INDEX(AllCollegeAAHGR, MATCH(N433,AllCollegeNCES,0)))</f>
        <v>0</v>
      </c>
      <c r="Z433">
        <f>IF(OR(T433="H",T433="B"),INDEX(AllCollegeACT25, MATCH(N433,AllCollegeNCES,0)),INDEX(AllCollegeACT50, MATCH(N433,AllCollegeNCES,0)))</f>
        <v>0</v>
      </c>
      <c r="AA433">
        <f>INDEX(CustomWeightsGPA,MATCH(T433&amp;":"&amp;N433,CustomWeightsIndex,0))</f>
        <v>0</v>
      </c>
      <c r="AB433">
        <f>INDEX(CustomWeightsACT,MATCH(T433&amp;":"&amp;N433,CustomWeightsIndex,0))</f>
        <v>0</v>
      </c>
      <c r="AC433">
        <f>INDEX(CustomWeightsIntercept,MATCH(T433&amp;":"&amp;N433,CustomWeightsIndex,0))</f>
        <v>0</v>
      </c>
      <c r="AD433">
        <f>AA433*P433+AB433*Q433+AC433</f>
        <v>0</v>
      </c>
      <c r="AE433">
        <f>INDEX(CoefficientsGPA,MATCH(T433&amp;":"&amp;O433,CoefficientsIndex,0))</f>
        <v>0</v>
      </c>
      <c r="AF433">
        <f>INDEX(CoefficientsACT,MATCH(T433&amp;":"&amp;O433,CoefficientsIndex,0))</f>
        <v>0</v>
      </c>
      <c r="AG433">
        <f>INDEX(CoefficientsIntercept,MATCH(T433&amp;":"&amp;O433,CoefficientsIndex,0))</f>
        <v>0</v>
      </c>
      <c r="AH433">
        <f>AE433*P433+(Q433-Z433)*AF433+AG433</f>
        <v>0</v>
      </c>
      <c r="AI433">
        <f>IF(ISNUMBER(AD433),AD433,AH433)</f>
        <v>0</v>
      </c>
      <c r="AJ433">
        <f>IF(ISNUMBER(AI433),IF(ISNUMBER(AE433),IF(AND(AE433=1,AF433=1,AG433=1),100,ROUND(100*EXP(AI433)/(1+EXP(AI433)),2)),ROUND(100*EXP(AI433)/(1+EXP(AI433)),2)),IF(ISTEXT(O433),IF(LEFT(O433,1)="2",100,"N/A"),"N/A"))</f>
        <v>0</v>
      </c>
      <c r="AK433">
        <f>IF(ISNUMBER(AJ433),IF(AJ433&gt;=99,IF(OR(R433=10,R433=11),MatchLabel,SureThingLabel),IF(AJ433&gt;=95,SecureLabel,IF(AJ433&gt;=80,SafetyLabel,IF(AJ433&gt;=50,MatchLabel,IF(AJ433&gt;=20,ReachLabel,IF(AJ433&gt;=10,LongshotLabel,HailMaryLabel)))))),"Other")</f>
        <v>0</v>
      </c>
      <c r="AL433">
        <f>IF(OR(I433="accepted",I433="cond. accept",I433="summer admit"),IF(J433="yes","CHOICE!","Accepted!"),IF(I433="denied","Denied",IF(K433=1,"Waitlist",IF(L433=1,"Deferred",IF(G433="pending","Pending",IF(OR(G433="initial materials submitted",G433="mid-year submitted",G433="final submitted"),"Submitted",IF(H433="interest","Interest","?")))))))</f>
        <v>0</v>
      </c>
      <c r="AM433">
        <f>IF(OR(AK433=ReachLabel,AK433=LongshotLabel,AK433=HailMaryLabel),1,0)</f>
        <v>0</v>
      </c>
      <c r="AN433">
        <f>IF(OR(AM433=1,AK433=MatchLabel),1,0)</f>
        <v>0</v>
      </c>
      <c r="AO433">
        <f>IF(OR(AK433=MatchLabel,AK433=SafetyLabel,AK433=SecureLabel,AK433=SureThingLabel),1,0)</f>
        <v>0</v>
      </c>
      <c r="AP433">
        <f>IF(OR(T433="H",T433="B"),IF(ISNUMBER(Y433),ROUND(Y433,2),0),IF(ISNUMBER(X433),ROUND(X433,2),0))</f>
        <v>0</v>
      </c>
      <c r="AQ433">
        <f>IF(AP433&gt;=U433,1,0)</f>
        <v>0</v>
      </c>
      <c r="AR433">
        <f>IF(AP433&gt;=V433,1,0)</f>
        <v>0</v>
      </c>
      <c r="AS433">
        <f>IF(AP433&lt;(U433-0.10),1,0)</f>
        <v>0</v>
      </c>
      <c r="AT433">
        <f>1-AJ433/100</f>
        <v>0</v>
      </c>
      <c r="AU433">
        <f>IF(AN433=1,AT433,1)</f>
        <v>0</v>
      </c>
      <c r="AV433">
        <f>IF(AM433=1,AT433,1)</f>
        <v>0</v>
      </c>
      <c r="AW433">
        <f>IF(AND(AQ433=1,ISNUMBER(AT433)),$AT433,1)</f>
        <v>0</v>
      </c>
      <c r="AX433">
        <f>IF(AND(AR433=1,ISNUMBER(AT433)),$AT433,1)</f>
        <v>0</v>
      </c>
      <c r="AY433">
        <f>IF(ISNUMBER(Y433),INDEX(AllCollegeMoney, MATCH(N433,AllCollegeNCES,0)),0)</f>
        <v>0</v>
      </c>
      <c r="AZ433">
        <f>IF(AND(AQ433=1,ISNUMBER(AT433),AY433=1),$AT433,1)</f>
        <v>0</v>
      </c>
      <c r="BA433">
        <f>IF(AND(AR433=1,ISNUMBER(AT433),AY433=1),$AT433,1)</f>
        <v>0</v>
      </c>
      <c r="BB433">
        <f>IF(ISNUMBER(Y433),INDEX(AllCollegeILPub, MATCH(N433,AllCollegeNCES,0)),0)</f>
        <v>0</v>
      </c>
      <c r="BC433">
        <f>IF(AK433=ReachLabel,AP433,0)</f>
        <v>0</v>
      </c>
      <c r="BD433">
        <f>IF(AK433=MatchLabel,AP433,0)</f>
        <v>0</v>
      </c>
      <c r="BE433">
        <f>IF(AK433=SafetyLabel,AP433,0)</f>
        <v>0</v>
      </c>
      <c r="BF433">
        <f>IF(AK433=SecureLabel,AP433,0)</f>
        <v>0</v>
      </c>
      <c r="BG433">
        <f>IF(AK433=SureThingLabel,AP433,0)</f>
        <v>0</v>
      </c>
      <c r="BH433">
        <f>MAX(BC433:BG433)</f>
        <v>0</v>
      </c>
      <c r="BI433">
        <f>MAX(BD433:BG433)</f>
        <v>0</v>
      </c>
      <c r="BJ433">
        <f>MAX(BE433:BG433)</f>
        <v>0</v>
      </c>
      <c r="BK433">
        <f>IF(AND(AK433=ReachLabel,AY433=1),AP433,0)</f>
        <v>0</v>
      </c>
      <c r="BL433">
        <f>IF(AND(AK433=MatchLabel,AY433=1),AP433,0)</f>
        <v>0</v>
      </c>
      <c r="BM433">
        <f>IF(AND(AK433=SafetyLabel,AY433=1),AP433,0)</f>
        <v>0</v>
      </c>
      <c r="BN433">
        <f>IF(AND(AK433=SecureLabel,AY433=1),AP433,0)</f>
        <v>0</v>
      </c>
      <c r="BO433">
        <f>IF(AND(AK433=SureThingLabel,AY433=1),AP433,0)</f>
        <v>0</v>
      </c>
      <c r="BP433">
        <f>MAX(BK433:BO433)</f>
        <v>0</v>
      </c>
      <c r="BQ433">
        <f>MAX(BL433:BO433)</f>
        <v>0</v>
      </c>
      <c r="BR433">
        <f>MAX(BM433:BO433)</f>
        <v>0</v>
      </c>
      <c r="BS433">
        <f>IF(ISNUMBER(Y433),INDEX(AllCollegeChicago, MATCH(N433,AllCollegeNCES,0))*AY433,0)</f>
        <v>0</v>
      </c>
      <c r="BT433">
        <f>IF(ISNUMBER(Y433),INDEX(AllCollegeMoneyCode, MATCH(N433,AllCollegeNCES,0)),"?")</f>
        <v>0</v>
      </c>
      <c r="BU433">
        <f>IF(OR(BT433="---",BT433="--",BT433="+/--",BT433="+/---"),1,0)</f>
        <v>0</v>
      </c>
      <c r="BV433">
        <f>AY433*AO433*AQ433</f>
        <v>0</v>
      </c>
    </row>
    <row r="434" spans="1:74">
      <c r="A434" t="s">
        <v>86</v>
      </c>
      <c r="B434">
        <v>23403578</v>
      </c>
      <c r="C434" t="s">
        <v>245</v>
      </c>
      <c r="D434" t="s">
        <v>246</v>
      </c>
      <c r="E434" t="s">
        <v>428</v>
      </c>
      <c r="F434" t="s">
        <v>437</v>
      </c>
      <c r="G434" t="s">
        <v>463</v>
      </c>
      <c r="H434" t="s">
        <v>431</v>
      </c>
      <c r="I434" t="s">
        <v>432</v>
      </c>
      <c r="J434" t="s">
        <v>432</v>
      </c>
      <c r="K434">
        <v>0</v>
      </c>
      <c r="L434" t="s">
        <v>428</v>
      </c>
      <c r="M434" t="s">
        <v>428</v>
      </c>
      <c r="N434">
        <v>149772</v>
      </c>
      <c r="O434">
        <f>INDEX(AllCollegeBarrons,MATCH(N434,AllCollegeNCES,0))</f>
        <v>0</v>
      </c>
      <c r="P434">
        <f>INDEX(KidGPAs,MATCH(B434,KidIDs,0))</f>
        <v>0</v>
      </c>
      <c r="Q434">
        <f>INDEX(KidACTs,MATCH(B434,KidIDs,0))</f>
        <v>0</v>
      </c>
      <c r="R434">
        <f>INDEX(Strats,MATCH(B434,KidIDs,0))</f>
        <v>0</v>
      </c>
      <c r="S434">
        <f>INDEX(KidRace,MATCH(B434,KidIDs,0))</f>
        <v>0</v>
      </c>
      <c r="T434">
        <f>IF(OR(S434="M",S434="I"),"H",S434)</f>
        <v>0</v>
      </c>
      <c r="U434">
        <f>INDEX(StudentTargets,MATCH(B434,KidIDs,0))</f>
        <v>0</v>
      </c>
      <c r="V434">
        <f>INDEX(ReachStudentTargets,MATCH(B434,KidIDs,0))</f>
        <v>0</v>
      </c>
      <c r="W434">
        <f>IF(OR(M434="Posse"),1,0)</f>
        <v>0</v>
      </c>
      <c r="X434">
        <f>IF(ISNUMBER(INDEX(AllCollegeGR, MATCH(N434,AllCollegeNCES,0))),ROUND(INDEX(AllCollegeGR, MATCH(N434,AllCollegeNCES,0))+W434*IF(INDEX(AllCollegeGR, MATCH(N434,AllCollegeNCES,0))&gt;0.7,(1-INDEX(AllCollegeGR, MATCH(N434,AllCollegeNCES,0)))/2,0.15),2),INDEX(AllCollegeGR, MATCH(N434,AllCollegeNCES,0)))</f>
        <v>0</v>
      </c>
      <c r="Y434">
        <f>IF(ISNUMBER(INDEX(AllCollegeAAHGR, MATCH(N434,AllCollegeNCES,0))),ROUND(INDEX(AllCollegeAAHGR, MATCH(N434,AllCollegeNCES,0))+W434*IF(INDEX(AllCollegeAAHGR, MATCH(N434,AllCollegeNCES,0))&gt;0.7,(1-INDEX(AllCollegeAAHGR, MATCH(N434,AllCollegeNCES,0)))/2,0.15),2),INDEX(AllCollegeAAHGR, MATCH(N434,AllCollegeNCES,0)))</f>
        <v>0</v>
      </c>
      <c r="Z434">
        <f>IF(OR(T434="H",T434="B"),INDEX(AllCollegeACT25, MATCH(N434,AllCollegeNCES,0)),INDEX(AllCollegeACT50, MATCH(N434,AllCollegeNCES,0)))</f>
        <v>0</v>
      </c>
      <c r="AA434">
        <f>INDEX(CustomWeightsGPA,MATCH(T434&amp;":"&amp;N434,CustomWeightsIndex,0))</f>
        <v>0</v>
      </c>
      <c r="AB434">
        <f>INDEX(CustomWeightsACT,MATCH(T434&amp;":"&amp;N434,CustomWeightsIndex,0))</f>
        <v>0</v>
      </c>
      <c r="AC434">
        <f>INDEX(CustomWeightsIntercept,MATCH(T434&amp;":"&amp;N434,CustomWeightsIndex,0))</f>
        <v>0</v>
      </c>
      <c r="AD434">
        <f>AA434*P434+AB434*Q434+AC434</f>
        <v>0</v>
      </c>
      <c r="AE434">
        <f>INDEX(CoefficientsGPA,MATCH(T434&amp;":"&amp;O434,CoefficientsIndex,0))</f>
        <v>0</v>
      </c>
      <c r="AF434">
        <f>INDEX(CoefficientsACT,MATCH(T434&amp;":"&amp;O434,CoefficientsIndex,0))</f>
        <v>0</v>
      </c>
      <c r="AG434">
        <f>INDEX(CoefficientsIntercept,MATCH(T434&amp;":"&amp;O434,CoefficientsIndex,0))</f>
        <v>0</v>
      </c>
      <c r="AH434">
        <f>AE434*P434+(Q434-Z434)*AF434+AG434</f>
        <v>0</v>
      </c>
      <c r="AI434">
        <f>IF(ISNUMBER(AD434),AD434,AH434)</f>
        <v>0</v>
      </c>
      <c r="AJ434">
        <f>IF(ISNUMBER(AI434),IF(ISNUMBER(AE434),IF(AND(AE434=1,AF434=1,AG434=1),100,ROUND(100*EXP(AI434)/(1+EXP(AI434)),2)),ROUND(100*EXP(AI434)/(1+EXP(AI434)),2)),IF(ISTEXT(O434),IF(LEFT(O434,1)="2",100,"N/A"),"N/A"))</f>
        <v>0</v>
      </c>
      <c r="AK434">
        <f>IF(ISNUMBER(AJ434),IF(AJ434&gt;=99,IF(OR(R434=10,R434=11),MatchLabel,SureThingLabel),IF(AJ434&gt;=95,SecureLabel,IF(AJ434&gt;=80,SafetyLabel,IF(AJ434&gt;=50,MatchLabel,IF(AJ434&gt;=20,ReachLabel,IF(AJ434&gt;=10,LongshotLabel,HailMaryLabel)))))),"Other")</f>
        <v>0</v>
      </c>
      <c r="AL434">
        <f>IF(OR(I434="accepted",I434="cond. accept",I434="summer admit"),IF(J434="yes","CHOICE!","Accepted!"),IF(I434="denied","Denied",IF(K434=1,"Waitlist",IF(L434=1,"Deferred",IF(G434="pending","Pending",IF(OR(G434="initial materials submitted",G434="mid-year submitted",G434="final submitted"),"Submitted",IF(H434="interest","Interest","?")))))))</f>
        <v>0</v>
      </c>
      <c r="AM434">
        <f>IF(OR(AK434=ReachLabel,AK434=LongshotLabel,AK434=HailMaryLabel),1,0)</f>
        <v>0</v>
      </c>
      <c r="AN434">
        <f>IF(OR(AM434=1,AK434=MatchLabel),1,0)</f>
        <v>0</v>
      </c>
      <c r="AO434">
        <f>IF(OR(AK434=MatchLabel,AK434=SafetyLabel,AK434=SecureLabel,AK434=SureThingLabel),1,0)</f>
        <v>0</v>
      </c>
      <c r="AP434">
        <f>IF(OR(T434="H",T434="B"),IF(ISNUMBER(Y434),ROUND(Y434,2),0),IF(ISNUMBER(X434),ROUND(X434,2),0))</f>
        <v>0</v>
      </c>
      <c r="AQ434">
        <f>IF(AP434&gt;=U434,1,0)</f>
        <v>0</v>
      </c>
      <c r="AR434">
        <f>IF(AP434&gt;=V434,1,0)</f>
        <v>0</v>
      </c>
      <c r="AS434">
        <f>IF(AP434&lt;(U434-0.10),1,0)</f>
        <v>0</v>
      </c>
      <c r="AT434">
        <f>1-AJ434/100</f>
        <v>0</v>
      </c>
      <c r="AU434">
        <f>IF(AN434=1,AT434,1)</f>
        <v>0</v>
      </c>
      <c r="AV434">
        <f>IF(AM434=1,AT434,1)</f>
        <v>0</v>
      </c>
      <c r="AW434">
        <f>IF(AND(AQ434=1,ISNUMBER(AT434)),$AT434,1)</f>
        <v>0</v>
      </c>
      <c r="AX434">
        <f>IF(AND(AR434=1,ISNUMBER(AT434)),$AT434,1)</f>
        <v>0</v>
      </c>
      <c r="AY434">
        <f>IF(ISNUMBER(Y434),INDEX(AllCollegeMoney, MATCH(N434,AllCollegeNCES,0)),0)</f>
        <v>0</v>
      </c>
      <c r="AZ434">
        <f>IF(AND(AQ434=1,ISNUMBER(AT434),AY434=1),$AT434,1)</f>
        <v>0</v>
      </c>
      <c r="BA434">
        <f>IF(AND(AR434=1,ISNUMBER(AT434),AY434=1),$AT434,1)</f>
        <v>0</v>
      </c>
      <c r="BB434">
        <f>IF(ISNUMBER(Y434),INDEX(AllCollegeILPub, MATCH(N434,AllCollegeNCES,0)),0)</f>
        <v>0</v>
      </c>
      <c r="BC434">
        <f>IF(AK434=ReachLabel,AP434,0)</f>
        <v>0</v>
      </c>
      <c r="BD434">
        <f>IF(AK434=MatchLabel,AP434,0)</f>
        <v>0</v>
      </c>
      <c r="BE434">
        <f>IF(AK434=SafetyLabel,AP434,0)</f>
        <v>0</v>
      </c>
      <c r="BF434">
        <f>IF(AK434=SecureLabel,AP434,0)</f>
        <v>0</v>
      </c>
      <c r="BG434">
        <f>IF(AK434=SureThingLabel,AP434,0)</f>
        <v>0</v>
      </c>
      <c r="BH434">
        <f>MAX(BC434:BG434)</f>
        <v>0</v>
      </c>
      <c r="BI434">
        <f>MAX(BD434:BG434)</f>
        <v>0</v>
      </c>
      <c r="BJ434">
        <f>MAX(BE434:BG434)</f>
        <v>0</v>
      </c>
      <c r="BK434">
        <f>IF(AND(AK434=ReachLabel,AY434=1),AP434,0)</f>
        <v>0</v>
      </c>
      <c r="BL434">
        <f>IF(AND(AK434=MatchLabel,AY434=1),AP434,0)</f>
        <v>0</v>
      </c>
      <c r="BM434">
        <f>IF(AND(AK434=SafetyLabel,AY434=1),AP434,0)</f>
        <v>0</v>
      </c>
      <c r="BN434">
        <f>IF(AND(AK434=SecureLabel,AY434=1),AP434,0)</f>
        <v>0</v>
      </c>
      <c r="BO434">
        <f>IF(AND(AK434=SureThingLabel,AY434=1),AP434,0)</f>
        <v>0</v>
      </c>
      <c r="BP434">
        <f>MAX(BK434:BO434)</f>
        <v>0</v>
      </c>
      <c r="BQ434">
        <f>MAX(BL434:BO434)</f>
        <v>0</v>
      </c>
      <c r="BR434">
        <f>MAX(BM434:BO434)</f>
        <v>0</v>
      </c>
      <c r="BS434">
        <f>IF(ISNUMBER(Y434),INDEX(AllCollegeChicago, MATCH(N434,AllCollegeNCES,0))*AY434,0)</f>
        <v>0</v>
      </c>
      <c r="BT434">
        <f>IF(ISNUMBER(Y434),INDEX(AllCollegeMoneyCode, MATCH(N434,AllCollegeNCES,0)),"?")</f>
        <v>0</v>
      </c>
      <c r="BU434">
        <f>IF(OR(BT434="---",BT434="--",BT434="+/--",BT434="+/---"),1,0)</f>
        <v>0</v>
      </c>
      <c r="BV434">
        <f>AY434*AO434*AQ434</f>
        <v>0</v>
      </c>
    </row>
    <row r="435" spans="1:74">
      <c r="A435" t="s">
        <v>86</v>
      </c>
      <c r="B435">
        <v>23403578</v>
      </c>
      <c r="C435" t="s">
        <v>245</v>
      </c>
      <c r="D435" t="s">
        <v>246</v>
      </c>
      <c r="E435" t="s">
        <v>428</v>
      </c>
      <c r="F435" t="s">
        <v>550</v>
      </c>
      <c r="G435" t="s">
        <v>430</v>
      </c>
      <c r="H435" t="s">
        <v>431</v>
      </c>
      <c r="I435" t="s">
        <v>432</v>
      </c>
      <c r="J435" t="s">
        <v>432</v>
      </c>
      <c r="K435">
        <v>0</v>
      </c>
      <c r="L435" t="s">
        <v>428</v>
      </c>
      <c r="M435" t="s">
        <v>428</v>
      </c>
      <c r="N435">
        <v>206437</v>
      </c>
      <c r="O435">
        <f>INDEX(AllCollegeBarrons,MATCH(N435,AllCollegeNCES,0))</f>
        <v>0</v>
      </c>
      <c r="P435">
        <f>INDEX(KidGPAs,MATCH(B435,KidIDs,0))</f>
        <v>0</v>
      </c>
      <c r="Q435">
        <f>INDEX(KidACTs,MATCH(B435,KidIDs,0))</f>
        <v>0</v>
      </c>
      <c r="R435">
        <f>INDEX(Strats,MATCH(B435,KidIDs,0))</f>
        <v>0</v>
      </c>
      <c r="S435">
        <f>INDEX(KidRace,MATCH(B435,KidIDs,0))</f>
        <v>0</v>
      </c>
      <c r="T435">
        <f>IF(OR(S435="M",S435="I"),"H",S435)</f>
        <v>0</v>
      </c>
      <c r="U435">
        <f>INDEX(StudentTargets,MATCH(B435,KidIDs,0))</f>
        <v>0</v>
      </c>
      <c r="V435">
        <f>INDEX(ReachStudentTargets,MATCH(B435,KidIDs,0))</f>
        <v>0</v>
      </c>
      <c r="W435">
        <f>IF(OR(M435="Posse"),1,0)</f>
        <v>0</v>
      </c>
      <c r="X435">
        <f>IF(ISNUMBER(INDEX(AllCollegeGR, MATCH(N435,AllCollegeNCES,0))),ROUND(INDEX(AllCollegeGR, MATCH(N435,AllCollegeNCES,0))+W435*IF(INDEX(AllCollegeGR, MATCH(N435,AllCollegeNCES,0))&gt;0.7,(1-INDEX(AllCollegeGR, MATCH(N435,AllCollegeNCES,0)))/2,0.15),2),INDEX(AllCollegeGR, MATCH(N435,AllCollegeNCES,0)))</f>
        <v>0</v>
      </c>
      <c r="Y435">
        <f>IF(ISNUMBER(INDEX(AllCollegeAAHGR, MATCH(N435,AllCollegeNCES,0))),ROUND(INDEX(AllCollegeAAHGR, MATCH(N435,AllCollegeNCES,0))+W435*IF(INDEX(AllCollegeAAHGR, MATCH(N435,AllCollegeNCES,0))&gt;0.7,(1-INDEX(AllCollegeAAHGR, MATCH(N435,AllCollegeNCES,0)))/2,0.15),2),INDEX(AllCollegeAAHGR, MATCH(N435,AllCollegeNCES,0)))</f>
        <v>0</v>
      </c>
      <c r="Z435">
        <f>IF(OR(T435="H",T435="B"),INDEX(AllCollegeACT25, MATCH(N435,AllCollegeNCES,0)),INDEX(AllCollegeACT50, MATCH(N435,AllCollegeNCES,0)))</f>
        <v>0</v>
      </c>
      <c r="AA435">
        <f>INDEX(CustomWeightsGPA,MATCH(T435&amp;":"&amp;N435,CustomWeightsIndex,0))</f>
        <v>0</v>
      </c>
      <c r="AB435">
        <f>INDEX(CustomWeightsACT,MATCH(T435&amp;":"&amp;N435,CustomWeightsIndex,0))</f>
        <v>0</v>
      </c>
      <c r="AC435">
        <f>INDEX(CustomWeightsIntercept,MATCH(T435&amp;":"&amp;N435,CustomWeightsIndex,0))</f>
        <v>0</v>
      </c>
      <c r="AD435">
        <f>AA435*P435+AB435*Q435+AC435</f>
        <v>0</v>
      </c>
      <c r="AE435">
        <f>INDEX(CoefficientsGPA,MATCH(T435&amp;":"&amp;O435,CoefficientsIndex,0))</f>
        <v>0</v>
      </c>
      <c r="AF435">
        <f>INDEX(CoefficientsACT,MATCH(T435&amp;":"&amp;O435,CoefficientsIndex,0))</f>
        <v>0</v>
      </c>
      <c r="AG435">
        <f>INDEX(CoefficientsIntercept,MATCH(T435&amp;":"&amp;O435,CoefficientsIndex,0))</f>
        <v>0</v>
      </c>
      <c r="AH435">
        <f>AE435*P435+(Q435-Z435)*AF435+AG435</f>
        <v>0</v>
      </c>
      <c r="AI435">
        <f>IF(ISNUMBER(AD435),AD435,AH435)</f>
        <v>0</v>
      </c>
      <c r="AJ435">
        <f>IF(ISNUMBER(AI435),IF(ISNUMBER(AE435),IF(AND(AE435=1,AF435=1,AG435=1),100,ROUND(100*EXP(AI435)/(1+EXP(AI435)),2)),ROUND(100*EXP(AI435)/(1+EXP(AI435)),2)),IF(ISTEXT(O435),IF(LEFT(O435,1)="2",100,"N/A"),"N/A"))</f>
        <v>0</v>
      </c>
      <c r="AK435">
        <f>IF(ISNUMBER(AJ435),IF(AJ435&gt;=99,IF(OR(R435=10,R435=11),MatchLabel,SureThingLabel),IF(AJ435&gt;=95,SecureLabel,IF(AJ435&gt;=80,SafetyLabel,IF(AJ435&gt;=50,MatchLabel,IF(AJ435&gt;=20,ReachLabel,IF(AJ435&gt;=10,LongshotLabel,HailMaryLabel)))))),"Other")</f>
        <v>0</v>
      </c>
      <c r="AL435">
        <f>IF(OR(I435="accepted",I435="cond. accept",I435="summer admit"),IF(J435="yes","CHOICE!","Accepted!"),IF(I435="denied","Denied",IF(K435=1,"Waitlist",IF(L435=1,"Deferred",IF(G435="pending","Pending",IF(OR(G435="initial materials submitted",G435="mid-year submitted",G435="final submitted"),"Submitted",IF(H435="interest","Interest","?")))))))</f>
        <v>0</v>
      </c>
      <c r="AM435">
        <f>IF(OR(AK435=ReachLabel,AK435=LongshotLabel,AK435=HailMaryLabel),1,0)</f>
        <v>0</v>
      </c>
      <c r="AN435">
        <f>IF(OR(AM435=1,AK435=MatchLabel),1,0)</f>
        <v>0</v>
      </c>
      <c r="AO435">
        <f>IF(OR(AK435=MatchLabel,AK435=SafetyLabel,AK435=SecureLabel,AK435=SureThingLabel),1,0)</f>
        <v>0</v>
      </c>
      <c r="AP435">
        <f>IF(OR(T435="H",T435="B"),IF(ISNUMBER(Y435),ROUND(Y435,2),0),IF(ISNUMBER(X435),ROUND(X435,2),0))</f>
        <v>0</v>
      </c>
      <c r="AQ435">
        <f>IF(AP435&gt;=U435,1,0)</f>
        <v>0</v>
      </c>
      <c r="AR435">
        <f>IF(AP435&gt;=V435,1,0)</f>
        <v>0</v>
      </c>
      <c r="AS435">
        <f>IF(AP435&lt;(U435-0.10),1,0)</f>
        <v>0</v>
      </c>
      <c r="AT435">
        <f>1-AJ435/100</f>
        <v>0</v>
      </c>
      <c r="AU435">
        <f>IF(AN435=1,AT435,1)</f>
        <v>0</v>
      </c>
      <c r="AV435">
        <f>IF(AM435=1,AT435,1)</f>
        <v>0</v>
      </c>
      <c r="AW435">
        <f>IF(AND(AQ435=1,ISNUMBER(AT435)),$AT435,1)</f>
        <v>0</v>
      </c>
      <c r="AX435">
        <f>IF(AND(AR435=1,ISNUMBER(AT435)),$AT435,1)</f>
        <v>0</v>
      </c>
      <c r="AY435">
        <f>IF(ISNUMBER(Y435),INDEX(AllCollegeMoney, MATCH(N435,AllCollegeNCES,0)),0)</f>
        <v>0</v>
      </c>
      <c r="AZ435">
        <f>IF(AND(AQ435=1,ISNUMBER(AT435),AY435=1),$AT435,1)</f>
        <v>0</v>
      </c>
      <c r="BA435">
        <f>IF(AND(AR435=1,ISNUMBER(AT435),AY435=1),$AT435,1)</f>
        <v>0</v>
      </c>
      <c r="BB435">
        <f>IF(ISNUMBER(Y435),INDEX(AllCollegeILPub, MATCH(N435,AllCollegeNCES,0)),0)</f>
        <v>0</v>
      </c>
      <c r="BC435">
        <f>IF(AK435=ReachLabel,AP435,0)</f>
        <v>0</v>
      </c>
      <c r="BD435">
        <f>IF(AK435=MatchLabel,AP435,0)</f>
        <v>0</v>
      </c>
      <c r="BE435">
        <f>IF(AK435=SafetyLabel,AP435,0)</f>
        <v>0</v>
      </c>
      <c r="BF435">
        <f>IF(AK435=SecureLabel,AP435,0)</f>
        <v>0</v>
      </c>
      <c r="BG435">
        <f>IF(AK435=SureThingLabel,AP435,0)</f>
        <v>0</v>
      </c>
      <c r="BH435">
        <f>MAX(BC435:BG435)</f>
        <v>0</v>
      </c>
      <c r="BI435">
        <f>MAX(BD435:BG435)</f>
        <v>0</v>
      </c>
      <c r="BJ435">
        <f>MAX(BE435:BG435)</f>
        <v>0</v>
      </c>
      <c r="BK435">
        <f>IF(AND(AK435=ReachLabel,AY435=1),AP435,0)</f>
        <v>0</v>
      </c>
      <c r="BL435">
        <f>IF(AND(AK435=MatchLabel,AY435=1),AP435,0)</f>
        <v>0</v>
      </c>
      <c r="BM435">
        <f>IF(AND(AK435=SafetyLabel,AY435=1),AP435,0)</f>
        <v>0</v>
      </c>
      <c r="BN435">
        <f>IF(AND(AK435=SecureLabel,AY435=1),AP435,0)</f>
        <v>0</v>
      </c>
      <c r="BO435">
        <f>IF(AND(AK435=SureThingLabel,AY435=1),AP435,0)</f>
        <v>0</v>
      </c>
      <c r="BP435">
        <f>MAX(BK435:BO435)</f>
        <v>0</v>
      </c>
      <c r="BQ435">
        <f>MAX(BL435:BO435)</f>
        <v>0</v>
      </c>
      <c r="BR435">
        <f>MAX(BM435:BO435)</f>
        <v>0</v>
      </c>
      <c r="BS435">
        <f>IF(ISNUMBER(Y435),INDEX(AllCollegeChicago, MATCH(N435,AllCollegeNCES,0))*AY435,0)</f>
        <v>0</v>
      </c>
      <c r="BT435">
        <f>IF(ISNUMBER(Y435),INDEX(AllCollegeMoneyCode, MATCH(N435,AllCollegeNCES,0)),"?")</f>
        <v>0</v>
      </c>
      <c r="BU435">
        <f>IF(OR(BT435="---",BT435="--",BT435="+/--",BT435="+/---"),1,0)</f>
        <v>0</v>
      </c>
      <c r="BV435">
        <f>AY435*AO435*AQ435</f>
        <v>0</v>
      </c>
    </row>
    <row r="436" spans="1:74">
      <c r="A436" t="s">
        <v>86</v>
      </c>
      <c r="B436">
        <v>23403578</v>
      </c>
      <c r="C436" t="s">
        <v>245</v>
      </c>
      <c r="D436" t="s">
        <v>246</v>
      </c>
      <c r="E436" t="s">
        <v>428</v>
      </c>
      <c r="F436" t="s">
        <v>551</v>
      </c>
      <c r="G436" t="s">
        <v>430</v>
      </c>
      <c r="H436" t="s">
        <v>431</v>
      </c>
      <c r="I436" t="s">
        <v>432</v>
      </c>
      <c r="J436" t="s">
        <v>432</v>
      </c>
      <c r="K436">
        <v>0</v>
      </c>
      <c r="L436" t="s">
        <v>428</v>
      </c>
      <c r="M436" t="s">
        <v>428</v>
      </c>
      <c r="N436">
        <v>151786</v>
      </c>
      <c r="O436">
        <f>INDEX(AllCollegeBarrons,MATCH(N436,AllCollegeNCES,0))</f>
        <v>0</v>
      </c>
      <c r="P436">
        <f>INDEX(KidGPAs,MATCH(B436,KidIDs,0))</f>
        <v>0</v>
      </c>
      <c r="Q436">
        <f>INDEX(KidACTs,MATCH(B436,KidIDs,0))</f>
        <v>0</v>
      </c>
      <c r="R436">
        <f>INDEX(Strats,MATCH(B436,KidIDs,0))</f>
        <v>0</v>
      </c>
      <c r="S436">
        <f>INDEX(KidRace,MATCH(B436,KidIDs,0))</f>
        <v>0</v>
      </c>
      <c r="T436">
        <f>IF(OR(S436="M",S436="I"),"H",S436)</f>
        <v>0</v>
      </c>
      <c r="U436">
        <f>INDEX(StudentTargets,MATCH(B436,KidIDs,0))</f>
        <v>0</v>
      </c>
      <c r="V436">
        <f>INDEX(ReachStudentTargets,MATCH(B436,KidIDs,0))</f>
        <v>0</v>
      </c>
      <c r="W436">
        <f>IF(OR(M436="Posse"),1,0)</f>
        <v>0</v>
      </c>
      <c r="X436">
        <f>IF(ISNUMBER(INDEX(AllCollegeGR, MATCH(N436,AllCollegeNCES,0))),ROUND(INDEX(AllCollegeGR, MATCH(N436,AllCollegeNCES,0))+W436*IF(INDEX(AllCollegeGR, MATCH(N436,AllCollegeNCES,0))&gt;0.7,(1-INDEX(AllCollegeGR, MATCH(N436,AllCollegeNCES,0)))/2,0.15),2),INDEX(AllCollegeGR, MATCH(N436,AllCollegeNCES,0)))</f>
        <v>0</v>
      </c>
      <c r="Y436">
        <f>IF(ISNUMBER(INDEX(AllCollegeAAHGR, MATCH(N436,AllCollegeNCES,0))),ROUND(INDEX(AllCollegeAAHGR, MATCH(N436,AllCollegeNCES,0))+W436*IF(INDEX(AllCollegeAAHGR, MATCH(N436,AllCollegeNCES,0))&gt;0.7,(1-INDEX(AllCollegeAAHGR, MATCH(N436,AllCollegeNCES,0)))/2,0.15),2),INDEX(AllCollegeAAHGR, MATCH(N436,AllCollegeNCES,0)))</f>
        <v>0</v>
      </c>
      <c r="Z436">
        <f>IF(OR(T436="H",T436="B"),INDEX(AllCollegeACT25, MATCH(N436,AllCollegeNCES,0)),INDEX(AllCollegeACT50, MATCH(N436,AllCollegeNCES,0)))</f>
        <v>0</v>
      </c>
      <c r="AA436">
        <f>INDEX(CustomWeightsGPA,MATCH(T436&amp;":"&amp;N436,CustomWeightsIndex,0))</f>
        <v>0</v>
      </c>
      <c r="AB436">
        <f>INDEX(CustomWeightsACT,MATCH(T436&amp;":"&amp;N436,CustomWeightsIndex,0))</f>
        <v>0</v>
      </c>
      <c r="AC436">
        <f>INDEX(CustomWeightsIntercept,MATCH(T436&amp;":"&amp;N436,CustomWeightsIndex,0))</f>
        <v>0</v>
      </c>
      <c r="AD436">
        <f>AA436*P436+AB436*Q436+AC436</f>
        <v>0</v>
      </c>
      <c r="AE436">
        <f>INDEX(CoefficientsGPA,MATCH(T436&amp;":"&amp;O436,CoefficientsIndex,0))</f>
        <v>0</v>
      </c>
      <c r="AF436">
        <f>INDEX(CoefficientsACT,MATCH(T436&amp;":"&amp;O436,CoefficientsIndex,0))</f>
        <v>0</v>
      </c>
      <c r="AG436">
        <f>INDEX(CoefficientsIntercept,MATCH(T436&amp;":"&amp;O436,CoefficientsIndex,0))</f>
        <v>0</v>
      </c>
      <c r="AH436">
        <f>AE436*P436+(Q436-Z436)*AF436+AG436</f>
        <v>0</v>
      </c>
      <c r="AI436">
        <f>IF(ISNUMBER(AD436),AD436,AH436)</f>
        <v>0</v>
      </c>
      <c r="AJ436">
        <f>IF(ISNUMBER(AI436),IF(ISNUMBER(AE436),IF(AND(AE436=1,AF436=1,AG436=1),100,ROUND(100*EXP(AI436)/(1+EXP(AI436)),2)),ROUND(100*EXP(AI436)/(1+EXP(AI436)),2)),IF(ISTEXT(O436),IF(LEFT(O436,1)="2",100,"N/A"),"N/A"))</f>
        <v>0</v>
      </c>
      <c r="AK436">
        <f>IF(ISNUMBER(AJ436),IF(AJ436&gt;=99,IF(OR(R436=10,R436=11),MatchLabel,SureThingLabel),IF(AJ436&gt;=95,SecureLabel,IF(AJ436&gt;=80,SafetyLabel,IF(AJ436&gt;=50,MatchLabel,IF(AJ436&gt;=20,ReachLabel,IF(AJ436&gt;=10,LongshotLabel,HailMaryLabel)))))),"Other")</f>
        <v>0</v>
      </c>
      <c r="AL436">
        <f>IF(OR(I436="accepted",I436="cond. accept",I436="summer admit"),IF(J436="yes","CHOICE!","Accepted!"),IF(I436="denied","Denied",IF(K436=1,"Waitlist",IF(L436=1,"Deferred",IF(G436="pending","Pending",IF(OR(G436="initial materials submitted",G436="mid-year submitted",G436="final submitted"),"Submitted",IF(H436="interest","Interest","?")))))))</f>
        <v>0</v>
      </c>
      <c r="AM436">
        <f>IF(OR(AK436=ReachLabel,AK436=LongshotLabel,AK436=HailMaryLabel),1,0)</f>
        <v>0</v>
      </c>
      <c r="AN436">
        <f>IF(OR(AM436=1,AK436=MatchLabel),1,0)</f>
        <v>0</v>
      </c>
      <c r="AO436">
        <f>IF(OR(AK436=MatchLabel,AK436=SafetyLabel,AK436=SecureLabel,AK436=SureThingLabel),1,0)</f>
        <v>0</v>
      </c>
      <c r="AP436">
        <f>IF(OR(T436="H",T436="B"),IF(ISNUMBER(Y436),ROUND(Y436,2),0),IF(ISNUMBER(X436),ROUND(X436,2),0))</f>
        <v>0</v>
      </c>
      <c r="AQ436">
        <f>IF(AP436&gt;=U436,1,0)</f>
        <v>0</v>
      </c>
      <c r="AR436">
        <f>IF(AP436&gt;=V436,1,0)</f>
        <v>0</v>
      </c>
      <c r="AS436">
        <f>IF(AP436&lt;(U436-0.10),1,0)</f>
        <v>0</v>
      </c>
      <c r="AT436">
        <f>1-AJ436/100</f>
        <v>0</v>
      </c>
      <c r="AU436">
        <f>IF(AN436=1,AT436,1)</f>
        <v>0</v>
      </c>
      <c r="AV436">
        <f>IF(AM436=1,AT436,1)</f>
        <v>0</v>
      </c>
      <c r="AW436">
        <f>IF(AND(AQ436=1,ISNUMBER(AT436)),$AT436,1)</f>
        <v>0</v>
      </c>
      <c r="AX436">
        <f>IF(AND(AR436=1,ISNUMBER(AT436)),$AT436,1)</f>
        <v>0</v>
      </c>
      <c r="AY436">
        <f>IF(ISNUMBER(Y436),INDEX(AllCollegeMoney, MATCH(N436,AllCollegeNCES,0)),0)</f>
        <v>0</v>
      </c>
      <c r="AZ436">
        <f>IF(AND(AQ436=1,ISNUMBER(AT436),AY436=1),$AT436,1)</f>
        <v>0</v>
      </c>
      <c r="BA436">
        <f>IF(AND(AR436=1,ISNUMBER(AT436),AY436=1),$AT436,1)</f>
        <v>0</v>
      </c>
      <c r="BB436">
        <f>IF(ISNUMBER(Y436),INDEX(AllCollegeILPub, MATCH(N436,AllCollegeNCES,0)),0)</f>
        <v>0</v>
      </c>
      <c r="BC436">
        <f>IF(AK436=ReachLabel,AP436,0)</f>
        <v>0</v>
      </c>
      <c r="BD436">
        <f>IF(AK436=MatchLabel,AP436,0)</f>
        <v>0</v>
      </c>
      <c r="BE436">
        <f>IF(AK436=SafetyLabel,AP436,0)</f>
        <v>0</v>
      </c>
      <c r="BF436">
        <f>IF(AK436=SecureLabel,AP436,0)</f>
        <v>0</v>
      </c>
      <c r="BG436">
        <f>IF(AK436=SureThingLabel,AP436,0)</f>
        <v>0</v>
      </c>
      <c r="BH436">
        <f>MAX(BC436:BG436)</f>
        <v>0</v>
      </c>
      <c r="BI436">
        <f>MAX(BD436:BG436)</f>
        <v>0</v>
      </c>
      <c r="BJ436">
        <f>MAX(BE436:BG436)</f>
        <v>0</v>
      </c>
      <c r="BK436">
        <f>IF(AND(AK436=ReachLabel,AY436=1),AP436,0)</f>
        <v>0</v>
      </c>
      <c r="BL436">
        <f>IF(AND(AK436=MatchLabel,AY436=1),AP436,0)</f>
        <v>0</v>
      </c>
      <c r="BM436">
        <f>IF(AND(AK436=SafetyLabel,AY436=1),AP436,0)</f>
        <v>0</v>
      </c>
      <c r="BN436">
        <f>IF(AND(AK436=SecureLabel,AY436=1),AP436,0)</f>
        <v>0</v>
      </c>
      <c r="BO436">
        <f>IF(AND(AK436=SureThingLabel,AY436=1),AP436,0)</f>
        <v>0</v>
      </c>
      <c r="BP436">
        <f>MAX(BK436:BO436)</f>
        <v>0</v>
      </c>
      <c r="BQ436">
        <f>MAX(BL436:BO436)</f>
        <v>0</v>
      </c>
      <c r="BR436">
        <f>MAX(BM436:BO436)</f>
        <v>0</v>
      </c>
      <c r="BS436">
        <f>IF(ISNUMBER(Y436),INDEX(AllCollegeChicago, MATCH(N436,AllCollegeNCES,0))*AY436,0)</f>
        <v>0</v>
      </c>
      <c r="BT436">
        <f>IF(ISNUMBER(Y436),INDEX(AllCollegeMoneyCode, MATCH(N436,AllCollegeNCES,0)),"?")</f>
        <v>0</v>
      </c>
      <c r="BU436">
        <f>IF(OR(BT436="---",BT436="--",BT436="+/--",BT436="+/---"),1,0)</f>
        <v>0</v>
      </c>
      <c r="BV436">
        <f>AY436*AO436*AQ436</f>
        <v>0</v>
      </c>
    </row>
    <row r="437" spans="1:74">
      <c r="A437" t="s">
        <v>86</v>
      </c>
      <c r="B437">
        <v>23416005</v>
      </c>
      <c r="C437" t="s">
        <v>194</v>
      </c>
      <c r="D437" t="s">
        <v>195</v>
      </c>
      <c r="E437" t="s">
        <v>428</v>
      </c>
      <c r="F437" t="s">
        <v>467</v>
      </c>
      <c r="G437" t="s">
        <v>430</v>
      </c>
      <c r="H437" t="s">
        <v>431</v>
      </c>
      <c r="I437" t="s">
        <v>432</v>
      </c>
      <c r="J437" t="s">
        <v>432</v>
      </c>
      <c r="K437">
        <v>0</v>
      </c>
      <c r="L437" t="s">
        <v>428</v>
      </c>
      <c r="M437" t="s">
        <v>428</v>
      </c>
      <c r="N437">
        <v>170976</v>
      </c>
      <c r="O437">
        <f>INDEX(AllCollegeBarrons,MATCH(N437,AllCollegeNCES,0))</f>
        <v>0</v>
      </c>
      <c r="P437">
        <f>INDEX(KidGPAs,MATCH(B437,KidIDs,0))</f>
        <v>0</v>
      </c>
      <c r="Q437">
        <f>INDEX(KidACTs,MATCH(B437,KidIDs,0))</f>
        <v>0</v>
      </c>
      <c r="R437">
        <f>INDEX(Strats,MATCH(B437,KidIDs,0))</f>
        <v>0</v>
      </c>
      <c r="S437">
        <f>INDEX(KidRace,MATCH(B437,KidIDs,0))</f>
        <v>0</v>
      </c>
      <c r="T437">
        <f>IF(OR(S437="M",S437="I"),"H",S437)</f>
        <v>0</v>
      </c>
      <c r="U437">
        <f>INDEX(StudentTargets,MATCH(B437,KidIDs,0))</f>
        <v>0</v>
      </c>
      <c r="V437">
        <f>INDEX(ReachStudentTargets,MATCH(B437,KidIDs,0))</f>
        <v>0</v>
      </c>
      <c r="W437">
        <f>IF(OR(M437="Posse"),1,0)</f>
        <v>0</v>
      </c>
      <c r="X437">
        <f>IF(ISNUMBER(INDEX(AllCollegeGR, MATCH(N437,AllCollegeNCES,0))),ROUND(INDEX(AllCollegeGR, MATCH(N437,AllCollegeNCES,0))+W437*IF(INDEX(AllCollegeGR, MATCH(N437,AllCollegeNCES,0))&gt;0.7,(1-INDEX(AllCollegeGR, MATCH(N437,AllCollegeNCES,0)))/2,0.15),2),INDEX(AllCollegeGR, MATCH(N437,AllCollegeNCES,0)))</f>
        <v>0</v>
      </c>
      <c r="Y437">
        <f>IF(ISNUMBER(INDEX(AllCollegeAAHGR, MATCH(N437,AllCollegeNCES,0))),ROUND(INDEX(AllCollegeAAHGR, MATCH(N437,AllCollegeNCES,0))+W437*IF(INDEX(AllCollegeAAHGR, MATCH(N437,AllCollegeNCES,0))&gt;0.7,(1-INDEX(AllCollegeAAHGR, MATCH(N437,AllCollegeNCES,0)))/2,0.15),2),INDEX(AllCollegeAAHGR, MATCH(N437,AllCollegeNCES,0)))</f>
        <v>0</v>
      </c>
      <c r="Z437">
        <f>IF(OR(T437="H",T437="B"),INDEX(AllCollegeACT25, MATCH(N437,AllCollegeNCES,0)),INDEX(AllCollegeACT50, MATCH(N437,AllCollegeNCES,0)))</f>
        <v>0</v>
      </c>
      <c r="AA437">
        <f>INDEX(CustomWeightsGPA,MATCH(T437&amp;":"&amp;N437,CustomWeightsIndex,0))</f>
        <v>0</v>
      </c>
      <c r="AB437">
        <f>INDEX(CustomWeightsACT,MATCH(T437&amp;":"&amp;N437,CustomWeightsIndex,0))</f>
        <v>0</v>
      </c>
      <c r="AC437">
        <f>INDEX(CustomWeightsIntercept,MATCH(T437&amp;":"&amp;N437,CustomWeightsIndex,0))</f>
        <v>0</v>
      </c>
      <c r="AD437">
        <f>AA437*P437+AB437*Q437+AC437</f>
        <v>0</v>
      </c>
      <c r="AE437">
        <f>INDEX(CoefficientsGPA,MATCH(T437&amp;":"&amp;O437,CoefficientsIndex,0))</f>
        <v>0</v>
      </c>
      <c r="AF437">
        <f>INDEX(CoefficientsACT,MATCH(T437&amp;":"&amp;O437,CoefficientsIndex,0))</f>
        <v>0</v>
      </c>
      <c r="AG437">
        <f>INDEX(CoefficientsIntercept,MATCH(T437&amp;":"&amp;O437,CoefficientsIndex,0))</f>
        <v>0</v>
      </c>
      <c r="AH437">
        <f>AE437*P437+(Q437-Z437)*AF437+AG437</f>
        <v>0</v>
      </c>
      <c r="AI437">
        <f>IF(ISNUMBER(AD437),AD437,AH437)</f>
        <v>0</v>
      </c>
      <c r="AJ437">
        <f>IF(ISNUMBER(AI437),IF(ISNUMBER(AE437),IF(AND(AE437=1,AF437=1,AG437=1),100,ROUND(100*EXP(AI437)/(1+EXP(AI437)),2)),ROUND(100*EXP(AI437)/(1+EXP(AI437)),2)),IF(ISTEXT(O437),IF(LEFT(O437,1)="2",100,"N/A"),"N/A"))</f>
        <v>0</v>
      </c>
      <c r="AK437">
        <f>IF(ISNUMBER(AJ437),IF(AJ437&gt;=99,IF(OR(R437=10,R437=11),MatchLabel,SureThingLabel),IF(AJ437&gt;=95,SecureLabel,IF(AJ437&gt;=80,SafetyLabel,IF(AJ437&gt;=50,MatchLabel,IF(AJ437&gt;=20,ReachLabel,IF(AJ437&gt;=10,LongshotLabel,HailMaryLabel)))))),"Other")</f>
        <v>0</v>
      </c>
      <c r="AL437">
        <f>IF(OR(I437="accepted",I437="cond. accept",I437="summer admit"),IF(J437="yes","CHOICE!","Accepted!"),IF(I437="denied","Denied",IF(K437=1,"Waitlist",IF(L437=1,"Deferred",IF(G437="pending","Pending",IF(OR(G437="initial materials submitted",G437="mid-year submitted",G437="final submitted"),"Submitted",IF(H437="interest","Interest","?")))))))</f>
        <v>0</v>
      </c>
      <c r="AM437">
        <f>IF(OR(AK437=ReachLabel,AK437=LongshotLabel,AK437=HailMaryLabel),1,0)</f>
        <v>0</v>
      </c>
      <c r="AN437">
        <f>IF(OR(AM437=1,AK437=MatchLabel),1,0)</f>
        <v>0</v>
      </c>
      <c r="AO437">
        <f>IF(OR(AK437=MatchLabel,AK437=SafetyLabel,AK437=SecureLabel,AK437=SureThingLabel),1,0)</f>
        <v>0</v>
      </c>
      <c r="AP437">
        <f>IF(OR(T437="H",T437="B"),IF(ISNUMBER(Y437),ROUND(Y437,2),0),IF(ISNUMBER(X437),ROUND(X437,2),0))</f>
        <v>0</v>
      </c>
      <c r="AQ437">
        <f>IF(AP437&gt;=U437,1,0)</f>
        <v>0</v>
      </c>
      <c r="AR437">
        <f>IF(AP437&gt;=V437,1,0)</f>
        <v>0</v>
      </c>
      <c r="AS437">
        <f>IF(AP437&lt;(U437-0.10),1,0)</f>
        <v>0</v>
      </c>
      <c r="AT437">
        <f>1-AJ437/100</f>
        <v>0</v>
      </c>
      <c r="AU437">
        <f>IF(AN437=1,AT437,1)</f>
        <v>0</v>
      </c>
      <c r="AV437">
        <f>IF(AM437=1,AT437,1)</f>
        <v>0</v>
      </c>
      <c r="AW437">
        <f>IF(AND(AQ437=1,ISNUMBER(AT437)),$AT437,1)</f>
        <v>0</v>
      </c>
      <c r="AX437">
        <f>IF(AND(AR437=1,ISNUMBER(AT437)),$AT437,1)</f>
        <v>0</v>
      </c>
      <c r="AY437">
        <f>IF(ISNUMBER(Y437),INDEX(AllCollegeMoney, MATCH(N437,AllCollegeNCES,0)),0)</f>
        <v>0</v>
      </c>
      <c r="AZ437">
        <f>IF(AND(AQ437=1,ISNUMBER(AT437),AY437=1),$AT437,1)</f>
        <v>0</v>
      </c>
      <c r="BA437">
        <f>IF(AND(AR437=1,ISNUMBER(AT437),AY437=1),$AT437,1)</f>
        <v>0</v>
      </c>
      <c r="BB437">
        <f>IF(ISNUMBER(Y437),INDEX(AllCollegeILPub, MATCH(N437,AllCollegeNCES,0)),0)</f>
        <v>0</v>
      </c>
      <c r="BC437">
        <f>IF(AK437=ReachLabel,AP437,0)</f>
        <v>0</v>
      </c>
      <c r="BD437">
        <f>IF(AK437=MatchLabel,AP437,0)</f>
        <v>0</v>
      </c>
      <c r="BE437">
        <f>IF(AK437=SafetyLabel,AP437,0)</f>
        <v>0</v>
      </c>
      <c r="BF437">
        <f>IF(AK437=SecureLabel,AP437,0)</f>
        <v>0</v>
      </c>
      <c r="BG437">
        <f>IF(AK437=SureThingLabel,AP437,0)</f>
        <v>0</v>
      </c>
      <c r="BH437">
        <f>MAX(BC437:BG437)</f>
        <v>0</v>
      </c>
      <c r="BI437">
        <f>MAX(BD437:BG437)</f>
        <v>0</v>
      </c>
      <c r="BJ437">
        <f>MAX(BE437:BG437)</f>
        <v>0</v>
      </c>
      <c r="BK437">
        <f>IF(AND(AK437=ReachLabel,AY437=1),AP437,0)</f>
        <v>0</v>
      </c>
      <c r="BL437">
        <f>IF(AND(AK437=MatchLabel,AY437=1),AP437,0)</f>
        <v>0</v>
      </c>
      <c r="BM437">
        <f>IF(AND(AK437=SafetyLabel,AY437=1),AP437,0)</f>
        <v>0</v>
      </c>
      <c r="BN437">
        <f>IF(AND(AK437=SecureLabel,AY437=1),AP437,0)</f>
        <v>0</v>
      </c>
      <c r="BO437">
        <f>IF(AND(AK437=SureThingLabel,AY437=1),AP437,0)</f>
        <v>0</v>
      </c>
      <c r="BP437">
        <f>MAX(BK437:BO437)</f>
        <v>0</v>
      </c>
      <c r="BQ437">
        <f>MAX(BL437:BO437)</f>
        <v>0</v>
      </c>
      <c r="BR437">
        <f>MAX(BM437:BO437)</f>
        <v>0</v>
      </c>
      <c r="BS437">
        <f>IF(ISNUMBER(Y437),INDEX(AllCollegeChicago, MATCH(N437,AllCollegeNCES,0))*AY437,0)</f>
        <v>0</v>
      </c>
      <c r="BT437">
        <f>IF(ISNUMBER(Y437),INDEX(AllCollegeMoneyCode, MATCH(N437,AllCollegeNCES,0)),"?")</f>
        <v>0</v>
      </c>
      <c r="BU437">
        <f>IF(OR(BT437="---",BT437="--",BT437="+/--",BT437="+/---"),1,0)</f>
        <v>0</v>
      </c>
      <c r="BV437">
        <f>AY437*AO437*AQ437</f>
        <v>0</v>
      </c>
    </row>
    <row r="438" spans="1:74">
      <c r="A438" t="s">
        <v>86</v>
      </c>
      <c r="B438">
        <v>23416005</v>
      </c>
      <c r="C438" t="s">
        <v>194</v>
      </c>
      <c r="D438" t="s">
        <v>195</v>
      </c>
      <c r="E438" t="s">
        <v>428</v>
      </c>
      <c r="F438" t="s">
        <v>455</v>
      </c>
      <c r="G438" t="s">
        <v>430</v>
      </c>
      <c r="H438" t="s">
        <v>431</v>
      </c>
      <c r="I438" t="s">
        <v>432</v>
      </c>
      <c r="J438" t="s">
        <v>432</v>
      </c>
      <c r="K438">
        <v>0</v>
      </c>
      <c r="L438" t="s">
        <v>428</v>
      </c>
      <c r="M438" t="s">
        <v>428</v>
      </c>
      <c r="N438">
        <v>240444</v>
      </c>
      <c r="O438">
        <f>INDEX(AllCollegeBarrons,MATCH(N438,AllCollegeNCES,0))</f>
        <v>0</v>
      </c>
      <c r="P438">
        <f>INDEX(KidGPAs,MATCH(B438,KidIDs,0))</f>
        <v>0</v>
      </c>
      <c r="Q438">
        <f>INDEX(KidACTs,MATCH(B438,KidIDs,0))</f>
        <v>0</v>
      </c>
      <c r="R438">
        <f>INDEX(Strats,MATCH(B438,KidIDs,0))</f>
        <v>0</v>
      </c>
      <c r="S438">
        <f>INDEX(KidRace,MATCH(B438,KidIDs,0))</f>
        <v>0</v>
      </c>
      <c r="T438">
        <f>IF(OR(S438="M",S438="I"),"H",S438)</f>
        <v>0</v>
      </c>
      <c r="U438">
        <f>INDEX(StudentTargets,MATCH(B438,KidIDs,0))</f>
        <v>0</v>
      </c>
      <c r="V438">
        <f>INDEX(ReachStudentTargets,MATCH(B438,KidIDs,0))</f>
        <v>0</v>
      </c>
      <c r="W438">
        <f>IF(OR(M438="Posse"),1,0)</f>
        <v>0</v>
      </c>
      <c r="X438">
        <f>IF(ISNUMBER(INDEX(AllCollegeGR, MATCH(N438,AllCollegeNCES,0))),ROUND(INDEX(AllCollegeGR, MATCH(N438,AllCollegeNCES,0))+W438*IF(INDEX(AllCollegeGR, MATCH(N438,AllCollegeNCES,0))&gt;0.7,(1-INDEX(AllCollegeGR, MATCH(N438,AllCollegeNCES,0)))/2,0.15),2),INDEX(AllCollegeGR, MATCH(N438,AllCollegeNCES,0)))</f>
        <v>0</v>
      </c>
      <c r="Y438">
        <f>IF(ISNUMBER(INDEX(AllCollegeAAHGR, MATCH(N438,AllCollegeNCES,0))),ROUND(INDEX(AllCollegeAAHGR, MATCH(N438,AllCollegeNCES,0))+W438*IF(INDEX(AllCollegeAAHGR, MATCH(N438,AllCollegeNCES,0))&gt;0.7,(1-INDEX(AllCollegeAAHGR, MATCH(N438,AllCollegeNCES,0)))/2,0.15),2),INDEX(AllCollegeAAHGR, MATCH(N438,AllCollegeNCES,0)))</f>
        <v>0</v>
      </c>
      <c r="Z438">
        <f>IF(OR(T438="H",T438="B"),INDEX(AllCollegeACT25, MATCH(N438,AllCollegeNCES,0)),INDEX(AllCollegeACT50, MATCH(N438,AllCollegeNCES,0)))</f>
        <v>0</v>
      </c>
      <c r="AA438">
        <f>INDEX(CustomWeightsGPA,MATCH(T438&amp;":"&amp;N438,CustomWeightsIndex,0))</f>
        <v>0</v>
      </c>
      <c r="AB438">
        <f>INDEX(CustomWeightsACT,MATCH(T438&amp;":"&amp;N438,CustomWeightsIndex,0))</f>
        <v>0</v>
      </c>
      <c r="AC438">
        <f>INDEX(CustomWeightsIntercept,MATCH(T438&amp;":"&amp;N438,CustomWeightsIndex,0))</f>
        <v>0</v>
      </c>
      <c r="AD438">
        <f>AA438*P438+AB438*Q438+AC438</f>
        <v>0</v>
      </c>
      <c r="AE438">
        <f>INDEX(CoefficientsGPA,MATCH(T438&amp;":"&amp;O438,CoefficientsIndex,0))</f>
        <v>0</v>
      </c>
      <c r="AF438">
        <f>INDEX(CoefficientsACT,MATCH(T438&amp;":"&amp;O438,CoefficientsIndex,0))</f>
        <v>0</v>
      </c>
      <c r="AG438">
        <f>INDEX(CoefficientsIntercept,MATCH(T438&amp;":"&amp;O438,CoefficientsIndex,0))</f>
        <v>0</v>
      </c>
      <c r="AH438">
        <f>AE438*P438+(Q438-Z438)*AF438+AG438</f>
        <v>0</v>
      </c>
      <c r="AI438">
        <f>IF(ISNUMBER(AD438),AD438,AH438)</f>
        <v>0</v>
      </c>
      <c r="AJ438">
        <f>IF(ISNUMBER(AI438),IF(ISNUMBER(AE438),IF(AND(AE438=1,AF438=1,AG438=1),100,ROUND(100*EXP(AI438)/(1+EXP(AI438)),2)),ROUND(100*EXP(AI438)/(1+EXP(AI438)),2)),IF(ISTEXT(O438),IF(LEFT(O438,1)="2",100,"N/A"),"N/A"))</f>
        <v>0</v>
      </c>
      <c r="AK438">
        <f>IF(ISNUMBER(AJ438),IF(AJ438&gt;=99,IF(OR(R438=10,R438=11),MatchLabel,SureThingLabel),IF(AJ438&gt;=95,SecureLabel,IF(AJ438&gt;=80,SafetyLabel,IF(AJ438&gt;=50,MatchLabel,IF(AJ438&gt;=20,ReachLabel,IF(AJ438&gt;=10,LongshotLabel,HailMaryLabel)))))),"Other")</f>
        <v>0</v>
      </c>
      <c r="AL438">
        <f>IF(OR(I438="accepted",I438="cond. accept",I438="summer admit"),IF(J438="yes","CHOICE!","Accepted!"),IF(I438="denied","Denied",IF(K438=1,"Waitlist",IF(L438=1,"Deferred",IF(G438="pending","Pending",IF(OR(G438="initial materials submitted",G438="mid-year submitted",G438="final submitted"),"Submitted",IF(H438="interest","Interest","?")))))))</f>
        <v>0</v>
      </c>
      <c r="AM438">
        <f>IF(OR(AK438=ReachLabel,AK438=LongshotLabel,AK438=HailMaryLabel),1,0)</f>
        <v>0</v>
      </c>
      <c r="AN438">
        <f>IF(OR(AM438=1,AK438=MatchLabel),1,0)</f>
        <v>0</v>
      </c>
      <c r="AO438">
        <f>IF(OR(AK438=MatchLabel,AK438=SafetyLabel,AK438=SecureLabel,AK438=SureThingLabel),1,0)</f>
        <v>0</v>
      </c>
      <c r="AP438">
        <f>IF(OR(T438="H",T438="B"),IF(ISNUMBER(Y438),ROUND(Y438,2),0),IF(ISNUMBER(X438),ROUND(X438,2),0))</f>
        <v>0</v>
      </c>
      <c r="AQ438">
        <f>IF(AP438&gt;=U438,1,0)</f>
        <v>0</v>
      </c>
      <c r="AR438">
        <f>IF(AP438&gt;=V438,1,0)</f>
        <v>0</v>
      </c>
      <c r="AS438">
        <f>IF(AP438&lt;(U438-0.10),1,0)</f>
        <v>0</v>
      </c>
      <c r="AT438">
        <f>1-AJ438/100</f>
        <v>0</v>
      </c>
      <c r="AU438">
        <f>IF(AN438=1,AT438,1)</f>
        <v>0</v>
      </c>
      <c r="AV438">
        <f>IF(AM438=1,AT438,1)</f>
        <v>0</v>
      </c>
      <c r="AW438">
        <f>IF(AND(AQ438=1,ISNUMBER(AT438)),$AT438,1)</f>
        <v>0</v>
      </c>
      <c r="AX438">
        <f>IF(AND(AR438=1,ISNUMBER(AT438)),$AT438,1)</f>
        <v>0</v>
      </c>
      <c r="AY438">
        <f>IF(ISNUMBER(Y438),INDEX(AllCollegeMoney, MATCH(N438,AllCollegeNCES,0)),0)</f>
        <v>0</v>
      </c>
      <c r="AZ438">
        <f>IF(AND(AQ438=1,ISNUMBER(AT438),AY438=1),$AT438,1)</f>
        <v>0</v>
      </c>
      <c r="BA438">
        <f>IF(AND(AR438=1,ISNUMBER(AT438),AY438=1),$AT438,1)</f>
        <v>0</v>
      </c>
      <c r="BB438">
        <f>IF(ISNUMBER(Y438),INDEX(AllCollegeILPub, MATCH(N438,AllCollegeNCES,0)),0)</f>
        <v>0</v>
      </c>
      <c r="BC438">
        <f>IF(AK438=ReachLabel,AP438,0)</f>
        <v>0</v>
      </c>
      <c r="BD438">
        <f>IF(AK438=MatchLabel,AP438,0)</f>
        <v>0</v>
      </c>
      <c r="BE438">
        <f>IF(AK438=SafetyLabel,AP438,0)</f>
        <v>0</v>
      </c>
      <c r="BF438">
        <f>IF(AK438=SecureLabel,AP438,0)</f>
        <v>0</v>
      </c>
      <c r="BG438">
        <f>IF(AK438=SureThingLabel,AP438,0)</f>
        <v>0</v>
      </c>
      <c r="BH438">
        <f>MAX(BC438:BG438)</f>
        <v>0</v>
      </c>
      <c r="BI438">
        <f>MAX(BD438:BG438)</f>
        <v>0</v>
      </c>
      <c r="BJ438">
        <f>MAX(BE438:BG438)</f>
        <v>0</v>
      </c>
      <c r="BK438">
        <f>IF(AND(AK438=ReachLabel,AY438=1),AP438,0)</f>
        <v>0</v>
      </c>
      <c r="BL438">
        <f>IF(AND(AK438=MatchLabel,AY438=1),AP438,0)</f>
        <v>0</v>
      </c>
      <c r="BM438">
        <f>IF(AND(AK438=SafetyLabel,AY438=1),AP438,0)</f>
        <v>0</v>
      </c>
      <c r="BN438">
        <f>IF(AND(AK438=SecureLabel,AY438=1),AP438,0)</f>
        <v>0</v>
      </c>
      <c r="BO438">
        <f>IF(AND(AK438=SureThingLabel,AY438=1),AP438,0)</f>
        <v>0</v>
      </c>
      <c r="BP438">
        <f>MAX(BK438:BO438)</f>
        <v>0</v>
      </c>
      <c r="BQ438">
        <f>MAX(BL438:BO438)</f>
        <v>0</v>
      </c>
      <c r="BR438">
        <f>MAX(BM438:BO438)</f>
        <v>0</v>
      </c>
      <c r="BS438">
        <f>IF(ISNUMBER(Y438),INDEX(AllCollegeChicago, MATCH(N438,AllCollegeNCES,0))*AY438,0)</f>
        <v>0</v>
      </c>
      <c r="BT438">
        <f>IF(ISNUMBER(Y438),INDEX(AllCollegeMoneyCode, MATCH(N438,AllCollegeNCES,0)),"?")</f>
        <v>0</v>
      </c>
      <c r="BU438">
        <f>IF(OR(BT438="---",BT438="--",BT438="+/--",BT438="+/---"),1,0)</f>
        <v>0</v>
      </c>
      <c r="BV438">
        <f>AY438*AO438*AQ438</f>
        <v>0</v>
      </c>
    </row>
    <row r="439" spans="1:74">
      <c r="A439" t="s">
        <v>86</v>
      </c>
      <c r="B439">
        <v>23416005</v>
      </c>
      <c r="C439" t="s">
        <v>194</v>
      </c>
      <c r="D439" t="s">
        <v>195</v>
      </c>
      <c r="E439" t="s">
        <v>428</v>
      </c>
      <c r="F439" t="s">
        <v>457</v>
      </c>
      <c r="G439" t="s">
        <v>463</v>
      </c>
      <c r="H439" t="s">
        <v>431</v>
      </c>
      <c r="I439" t="s">
        <v>432</v>
      </c>
      <c r="J439" t="s">
        <v>432</v>
      </c>
      <c r="K439">
        <v>0</v>
      </c>
      <c r="L439" t="s">
        <v>428</v>
      </c>
      <c r="M439" t="s">
        <v>428</v>
      </c>
      <c r="N439">
        <v>145637</v>
      </c>
      <c r="O439">
        <f>INDEX(AllCollegeBarrons,MATCH(N439,AllCollegeNCES,0))</f>
        <v>0</v>
      </c>
      <c r="P439">
        <f>INDEX(KidGPAs,MATCH(B439,KidIDs,0))</f>
        <v>0</v>
      </c>
      <c r="Q439">
        <f>INDEX(KidACTs,MATCH(B439,KidIDs,0))</f>
        <v>0</v>
      </c>
      <c r="R439">
        <f>INDEX(Strats,MATCH(B439,KidIDs,0))</f>
        <v>0</v>
      </c>
      <c r="S439">
        <f>INDEX(KidRace,MATCH(B439,KidIDs,0))</f>
        <v>0</v>
      </c>
      <c r="T439">
        <f>IF(OR(S439="M",S439="I"),"H",S439)</f>
        <v>0</v>
      </c>
      <c r="U439">
        <f>INDEX(StudentTargets,MATCH(B439,KidIDs,0))</f>
        <v>0</v>
      </c>
      <c r="V439">
        <f>INDEX(ReachStudentTargets,MATCH(B439,KidIDs,0))</f>
        <v>0</v>
      </c>
      <c r="W439">
        <f>IF(OR(M439="Posse"),1,0)</f>
        <v>0</v>
      </c>
      <c r="X439">
        <f>IF(ISNUMBER(INDEX(AllCollegeGR, MATCH(N439,AllCollegeNCES,0))),ROUND(INDEX(AllCollegeGR, MATCH(N439,AllCollegeNCES,0))+W439*IF(INDEX(AllCollegeGR, MATCH(N439,AllCollegeNCES,0))&gt;0.7,(1-INDEX(AllCollegeGR, MATCH(N439,AllCollegeNCES,0)))/2,0.15),2),INDEX(AllCollegeGR, MATCH(N439,AllCollegeNCES,0)))</f>
        <v>0</v>
      </c>
      <c r="Y439">
        <f>IF(ISNUMBER(INDEX(AllCollegeAAHGR, MATCH(N439,AllCollegeNCES,0))),ROUND(INDEX(AllCollegeAAHGR, MATCH(N439,AllCollegeNCES,0))+W439*IF(INDEX(AllCollegeAAHGR, MATCH(N439,AllCollegeNCES,0))&gt;0.7,(1-INDEX(AllCollegeAAHGR, MATCH(N439,AllCollegeNCES,0)))/2,0.15),2),INDEX(AllCollegeAAHGR, MATCH(N439,AllCollegeNCES,0)))</f>
        <v>0</v>
      </c>
      <c r="Z439">
        <f>IF(OR(T439="H",T439="B"),INDEX(AllCollegeACT25, MATCH(N439,AllCollegeNCES,0)),INDEX(AllCollegeACT50, MATCH(N439,AllCollegeNCES,0)))</f>
        <v>0</v>
      </c>
      <c r="AA439">
        <f>INDEX(CustomWeightsGPA,MATCH(T439&amp;":"&amp;N439,CustomWeightsIndex,0))</f>
        <v>0</v>
      </c>
      <c r="AB439">
        <f>INDEX(CustomWeightsACT,MATCH(T439&amp;":"&amp;N439,CustomWeightsIndex,0))</f>
        <v>0</v>
      </c>
      <c r="AC439">
        <f>INDEX(CustomWeightsIntercept,MATCH(T439&amp;":"&amp;N439,CustomWeightsIndex,0))</f>
        <v>0</v>
      </c>
      <c r="AD439">
        <f>AA439*P439+AB439*Q439+AC439</f>
        <v>0</v>
      </c>
      <c r="AE439">
        <f>INDEX(CoefficientsGPA,MATCH(T439&amp;":"&amp;O439,CoefficientsIndex,0))</f>
        <v>0</v>
      </c>
      <c r="AF439">
        <f>INDEX(CoefficientsACT,MATCH(T439&amp;":"&amp;O439,CoefficientsIndex,0))</f>
        <v>0</v>
      </c>
      <c r="AG439">
        <f>INDEX(CoefficientsIntercept,MATCH(T439&amp;":"&amp;O439,CoefficientsIndex,0))</f>
        <v>0</v>
      </c>
      <c r="AH439">
        <f>AE439*P439+(Q439-Z439)*AF439+AG439</f>
        <v>0</v>
      </c>
      <c r="AI439">
        <f>IF(ISNUMBER(AD439),AD439,AH439)</f>
        <v>0</v>
      </c>
      <c r="AJ439">
        <f>IF(ISNUMBER(AI439),IF(ISNUMBER(AE439),IF(AND(AE439=1,AF439=1,AG439=1),100,ROUND(100*EXP(AI439)/(1+EXP(AI439)),2)),ROUND(100*EXP(AI439)/(1+EXP(AI439)),2)),IF(ISTEXT(O439),IF(LEFT(O439,1)="2",100,"N/A"),"N/A"))</f>
        <v>0</v>
      </c>
      <c r="AK439">
        <f>IF(ISNUMBER(AJ439),IF(AJ439&gt;=99,IF(OR(R439=10,R439=11),MatchLabel,SureThingLabel),IF(AJ439&gt;=95,SecureLabel,IF(AJ439&gt;=80,SafetyLabel,IF(AJ439&gt;=50,MatchLabel,IF(AJ439&gt;=20,ReachLabel,IF(AJ439&gt;=10,LongshotLabel,HailMaryLabel)))))),"Other")</f>
        <v>0</v>
      </c>
      <c r="AL439">
        <f>IF(OR(I439="accepted",I439="cond. accept",I439="summer admit"),IF(J439="yes","CHOICE!","Accepted!"),IF(I439="denied","Denied",IF(K439=1,"Waitlist",IF(L439=1,"Deferred",IF(G439="pending","Pending",IF(OR(G439="initial materials submitted",G439="mid-year submitted",G439="final submitted"),"Submitted",IF(H439="interest","Interest","?")))))))</f>
        <v>0</v>
      </c>
      <c r="AM439">
        <f>IF(OR(AK439=ReachLabel,AK439=LongshotLabel,AK439=HailMaryLabel),1,0)</f>
        <v>0</v>
      </c>
      <c r="AN439">
        <f>IF(OR(AM439=1,AK439=MatchLabel),1,0)</f>
        <v>0</v>
      </c>
      <c r="AO439">
        <f>IF(OR(AK439=MatchLabel,AK439=SafetyLabel,AK439=SecureLabel,AK439=SureThingLabel),1,0)</f>
        <v>0</v>
      </c>
      <c r="AP439">
        <f>IF(OR(T439="H",T439="B"),IF(ISNUMBER(Y439),ROUND(Y439,2),0),IF(ISNUMBER(X439),ROUND(X439,2),0))</f>
        <v>0</v>
      </c>
      <c r="AQ439">
        <f>IF(AP439&gt;=U439,1,0)</f>
        <v>0</v>
      </c>
      <c r="AR439">
        <f>IF(AP439&gt;=V439,1,0)</f>
        <v>0</v>
      </c>
      <c r="AS439">
        <f>IF(AP439&lt;(U439-0.10),1,0)</f>
        <v>0</v>
      </c>
      <c r="AT439">
        <f>1-AJ439/100</f>
        <v>0</v>
      </c>
      <c r="AU439">
        <f>IF(AN439=1,AT439,1)</f>
        <v>0</v>
      </c>
      <c r="AV439">
        <f>IF(AM439=1,AT439,1)</f>
        <v>0</v>
      </c>
      <c r="AW439">
        <f>IF(AND(AQ439=1,ISNUMBER(AT439)),$AT439,1)</f>
        <v>0</v>
      </c>
      <c r="AX439">
        <f>IF(AND(AR439=1,ISNUMBER(AT439)),$AT439,1)</f>
        <v>0</v>
      </c>
      <c r="AY439">
        <f>IF(ISNUMBER(Y439),INDEX(AllCollegeMoney, MATCH(N439,AllCollegeNCES,0)),0)</f>
        <v>0</v>
      </c>
      <c r="AZ439">
        <f>IF(AND(AQ439=1,ISNUMBER(AT439),AY439=1),$AT439,1)</f>
        <v>0</v>
      </c>
      <c r="BA439">
        <f>IF(AND(AR439=1,ISNUMBER(AT439),AY439=1),$AT439,1)</f>
        <v>0</v>
      </c>
      <c r="BB439">
        <f>IF(ISNUMBER(Y439),INDEX(AllCollegeILPub, MATCH(N439,AllCollegeNCES,0)),0)</f>
        <v>0</v>
      </c>
      <c r="BC439">
        <f>IF(AK439=ReachLabel,AP439,0)</f>
        <v>0</v>
      </c>
      <c r="BD439">
        <f>IF(AK439=MatchLabel,AP439,0)</f>
        <v>0</v>
      </c>
      <c r="BE439">
        <f>IF(AK439=SafetyLabel,AP439,0)</f>
        <v>0</v>
      </c>
      <c r="BF439">
        <f>IF(AK439=SecureLabel,AP439,0)</f>
        <v>0</v>
      </c>
      <c r="BG439">
        <f>IF(AK439=SureThingLabel,AP439,0)</f>
        <v>0</v>
      </c>
      <c r="BH439">
        <f>MAX(BC439:BG439)</f>
        <v>0</v>
      </c>
      <c r="BI439">
        <f>MAX(BD439:BG439)</f>
        <v>0</v>
      </c>
      <c r="BJ439">
        <f>MAX(BE439:BG439)</f>
        <v>0</v>
      </c>
      <c r="BK439">
        <f>IF(AND(AK439=ReachLabel,AY439=1),AP439,0)</f>
        <v>0</v>
      </c>
      <c r="BL439">
        <f>IF(AND(AK439=MatchLabel,AY439=1),AP439,0)</f>
        <v>0</v>
      </c>
      <c r="BM439">
        <f>IF(AND(AK439=SafetyLabel,AY439=1),AP439,0)</f>
        <v>0</v>
      </c>
      <c r="BN439">
        <f>IF(AND(AK439=SecureLabel,AY439=1),AP439,0)</f>
        <v>0</v>
      </c>
      <c r="BO439">
        <f>IF(AND(AK439=SureThingLabel,AY439=1),AP439,0)</f>
        <v>0</v>
      </c>
      <c r="BP439">
        <f>MAX(BK439:BO439)</f>
        <v>0</v>
      </c>
      <c r="BQ439">
        <f>MAX(BL439:BO439)</f>
        <v>0</v>
      </c>
      <c r="BR439">
        <f>MAX(BM439:BO439)</f>
        <v>0</v>
      </c>
      <c r="BS439">
        <f>IF(ISNUMBER(Y439),INDEX(AllCollegeChicago, MATCH(N439,AllCollegeNCES,0))*AY439,0)</f>
        <v>0</v>
      </c>
      <c r="BT439">
        <f>IF(ISNUMBER(Y439),INDEX(AllCollegeMoneyCode, MATCH(N439,AllCollegeNCES,0)),"?")</f>
        <v>0</v>
      </c>
      <c r="BU439">
        <f>IF(OR(BT439="---",BT439="--",BT439="+/--",BT439="+/---"),1,0)</f>
        <v>0</v>
      </c>
      <c r="BV439">
        <f>AY439*AO439*AQ439</f>
        <v>0</v>
      </c>
    </row>
    <row r="440" spans="1:74">
      <c r="A440" t="s">
        <v>86</v>
      </c>
      <c r="B440">
        <v>23416005</v>
      </c>
      <c r="C440" t="s">
        <v>194</v>
      </c>
      <c r="D440" t="s">
        <v>195</v>
      </c>
      <c r="E440" t="s">
        <v>428</v>
      </c>
      <c r="F440" t="s">
        <v>458</v>
      </c>
      <c r="G440" t="s">
        <v>463</v>
      </c>
      <c r="H440" t="s">
        <v>431</v>
      </c>
      <c r="I440" t="s">
        <v>432</v>
      </c>
      <c r="J440" t="s">
        <v>432</v>
      </c>
      <c r="K440">
        <v>0</v>
      </c>
      <c r="L440" t="s">
        <v>428</v>
      </c>
      <c r="M440" t="s">
        <v>428</v>
      </c>
      <c r="N440">
        <v>202523</v>
      </c>
      <c r="O440">
        <f>INDEX(AllCollegeBarrons,MATCH(N440,AllCollegeNCES,0))</f>
        <v>0</v>
      </c>
      <c r="P440">
        <f>INDEX(KidGPAs,MATCH(B440,KidIDs,0))</f>
        <v>0</v>
      </c>
      <c r="Q440">
        <f>INDEX(KidACTs,MATCH(B440,KidIDs,0))</f>
        <v>0</v>
      </c>
      <c r="R440">
        <f>INDEX(Strats,MATCH(B440,KidIDs,0))</f>
        <v>0</v>
      </c>
      <c r="S440">
        <f>INDEX(KidRace,MATCH(B440,KidIDs,0))</f>
        <v>0</v>
      </c>
      <c r="T440">
        <f>IF(OR(S440="M",S440="I"),"H",S440)</f>
        <v>0</v>
      </c>
      <c r="U440">
        <f>INDEX(StudentTargets,MATCH(B440,KidIDs,0))</f>
        <v>0</v>
      </c>
      <c r="V440">
        <f>INDEX(ReachStudentTargets,MATCH(B440,KidIDs,0))</f>
        <v>0</v>
      </c>
      <c r="W440">
        <f>IF(OR(M440="Posse"),1,0)</f>
        <v>0</v>
      </c>
      <c r="X440">
        <f>IF(ISNUMBER(INDEX(AllCollegeGR, MATCH(N440,AllCollegeNCES,0))),ROUND(INDEX(AllCollegeGR, MATCH(N440,AllCollegeNCES,0))+W440*IF(INDEX(AllCollegeGR, MATCH(N440,AllCollegeNCES,0))&gt;0.7,(1-INDEX(AllCollegeGR, MATCH(N440,AllCollegeNCES,0)))/2,0.15),2),INDEX(AllCollegeGR, MATCH(N440,AllCollegeNCES,0)))</f>
        <v>0</v>
      </c>
      <c r="Y440">
        <f>IF(ISNUMBER(INDEX(AllCollegeAAHGR, MATCH(N440,AllCollegeNCES,0))),ROUND(INDEX(AllCollegeAAHGR, MATCH(N440,AllCollegeNCES,0))+W440*IF(INDEX(AllCollegeAAHGR, MATCH(N440,AllCollegeNCES,0))&gt;0.7,(1-INDEX(AllCollegeAAHGR, MATCH(N440,AllCollegeNCES,0)))/2,0.15),2),INDEX(AllCollegeAAHGR, MATCH(N440,AllCollegeNCES,0)))</f>
        <v>0</v>
      </c>
      <c r="Z440">
        <f>IF(OR(T440="H",T440="B"),INDEX(AllCollegeACT25, MATCH(N440,AllCollegeNCES,0)),INDEX(AllCollegeACT50, MATCH(N440,AllCollegeNCES,0)))</f>
        <v>0</v>
      </c>
      <c r="AA440">
        <f>INDEX(CustomWeightsGPA,MATCH(T440&amp;":"&amp;N440,CustomWeightsIndex,0))</f>
        <v>0</v>
      </c>
      <c r="AB440">
        <f>INDEX(CustomWeightsACT,MATCH(T440&amp;":"&amp;N440,CustomWeightsIndex,0))</f>
        <v>0</v>
      </c>
      <c r="AC440">
        <f>INDEX(CustomWeightsIntercept,MATCH(T440&amp;":"&amp;N440,CustomWeightsIndex,0))</f>
        <v>0</v>
      </c>
      <c r="AD440">
        <f>AA440*P440+AB440*Q440+AC440</f>
        <v>0</v>
      </c>
      <c r="AE440">
        <f>INDEX(CoefficientsGPA,MATCH(T440&amp;":"&amp;O440,CoefficientsIndex,0))</f>
        <v>0</v>
      </c>
      <c r="AF440">
        <f>INDEX(CoefficientsACT,MATCH(T440&amp;":"&amp;O440,CoefficientsIndex,0))</f>
        <v>0</v>
      </c>
      <c r="AG440">
        <f>INDEX(CoefficientsIntercept,MATCH(T440&amp;":"&amp;O440,CoefficientsIndex,0))</f>
        <v>0</v>
      </c>
      <c r="AH440">
        <f>AE440*P440+(Q440-Z440)*AF440+AG440</f>
        <v>0</v>
      </c>
      <c r="AI440">
        <f>IF(ISNUMBER(AD440),AD440,AH440)</f>
        <v>0</v>
      </c>
      <c r="AJ440">
        <f>IF(ISNUMBER(AI440),IF(ISNUMBER(AE440),IF(AND(AE440=1,AF440=1,AG440=1),100,ROUND(100*EXP(AI440)/(1+EXP(AI440)),2)),ROUND(100*EXP(AI440)/(1+EXP(AI440)),2)),IF(ISTEXT(O440),IF(LEFT(O440,1)="2",100,"N/A"),"N/A"))</f>
        <v>0</v>
      </c>
      <c r="AK440">
        <f>IF(ISNUMBER(AJ440),IF(AJ440&gt;=99,IF(OR(R440=10,R440=11),MatchLabel,SureThingLabel),IF(AJ440&gt;=95,SecureLabel,IF(AJ440&gt;=80,SafetyLabel,IF(AJ440&gt;=50,MatchLabel,IF(AJ440&gt;=20,ReachLabel,IF(AJ440&gt;=10,LongshotLabel,HailMaryLabel)))))),"Other")</f>
        <v>0</v>
      </c>
      <c r="AL440">
        <f>IF(OR(I440="accepted",I440="cond. accept",I440="summer admit"),IF(J440="yes","CHOICE!","Accepted!"),IF(I440="denied","Denied",IF(K440=1,"Waitlist",IF(L440=1,"Deferred",IF(G440="pending","Pending",IF(OR(G440="initial materials submitted",G440="mid-year submitted",G440="final submitted"),"Submitted",IF(H440="interest","Interest","?")))))))</f>
        <v>0</v>
      </c>
      <c r="AM440">
        <f>IF(OR(AK440=ReachLabel,AK440=LongshotLabel,AK440=HailMaryLabel),1,0)</f>
        <v>0</v>
      </c>
      <c r="AN440">
        <f>IF(OR(AM440=1,AK440=MatchLabel),1,0)</f>
        <v>0</v>
      </c>
      <c r="AO440">
        <f>IF(OR(AK440=MatchLabel,AK440=SafetyLabel,AK440=SecureLabel,AK440=SureThingLabel),1,0)</f>
        <v>0</v>
      </c>
      <c r="AP440">
        <f>IF(OR(T440="H",T440="B"),IF(ISNUMBER(Y440),ROUND(Y440,2),0),IF(ISNUMBER(X440),ROUND(X440,2),0))</f>
        <v>0</v>
      </c>
      <c r="AQ440">
        <f>IF(AP440&gt;=U440,1,0)</f>
        <v>0</v>
      </c>
      <c r="AR440">
        <f>IF(AP440&gt;=V440,1,0)</f>
        <v>0</v>
      </c>
      <c r="AS440">
        <f>IF(AP440&lt;(U440-0.10),1,0)</f>
        <v>0</v>
      </c>
      <c r="AT440">
        <f>1-AJ440/100</f>
        <v>0</v>
      </c>
      <c r="AU440">
        <f>IF(AN440=1,AT440,1)</f>
        <v>0</v>
      </c>
      <c r="AV440">
        <f>IF(AM440=1,AT440,1)</f>
        <v>0</v>
      </c>
      <c r="AW440">
        <f>IF(AND(AQ440=1,ISNUMBER(AT440)),$AT440,1)</f>
        <v>0</v>
      </c>
      <c r="AX440">
        <f>IF(AND(AR440=1,ISNUMBER(AT440)),$AT440,1)</f>
        <v>0</v>
      </c>
      <c r="AY440">
        <f>IF(ISNUMBER(Y440),INDEX(AllCollegeMoney, MATCH(N440,AllCollegeNCES,0)),0)</f>
        <v>0</v>
      </c>
      <c r="AZ440">
        <f>IF(AND(AQ440=1,ISNUMBER(AT440),AY440=1),$AT440,1)</f>
        <v>0</v>
      </c>
      <c r="BA440">
        <f>IF(AND(AR440=1,ISNUMBER(AT440),AY440=1),$AT440,1)</f>
        <v>0</v>
      </c>
      <c r="BB440">
        <f>IF(ISNUMBER(Y440),INDEX(AllCollegeILPub, MATCH(N440,AllCollegeNCES,0)),0)</f>
        <v>0</v>
      </c>
      <c r="BC440">
        <f>IF(AK440=ReachLabel,AP440,0)</f>
        <v>0</v>
      </c>
      <c r="BD440">
        <f>IF(AK440=MatchLabel,AP440,0)</f>
        <v>0</v>
      </c>
      <c r="BE440">
        <f>IF(AK440=SafetyLabel,AP440,0)</f>
        <v>0</v>
      </c>
      <c r="BF440">
        <f>IF(AK440=SecureLabel,AP440,0)</f>
        <v>0</v>
      </c>
      <c r="BG440">
        <f>IF(AK440=SureThingLabel,AP440,0)</f>
        <v>0</v>
      </c>
      <c r="BH440">
        <f>MAX(BC440:BG440)</f>
        <v>0</v>
      </c>
      <c r="BI440">
        <f>MAX(BD440:BG440)</f>
        <v>0</v>
      </c>
      <c r="BJ440">
        <f>MAX(BE440:BG440)</f>
        <v>0</v>
      </c>
      <c r="BK440">
        <f>IF(AND(AK440=ReachLabel,AY440=1),AP440,0)</f>
        <v>0</v>
      </c>
      <c r="BL440">
        <f>IF(AND(AK440=MatchLabel,AY440=1),AP440,0)</f>
        <v>0</v>
      </c>
      <c r="BM440">
        <f>IF(AND(AK440=SafetyLabel,AY440=1),AP440,0)</f>
        <v>0</v>
      </c>
      <c r="BN440">
        <f>IF(AND(AK440=SecureLabel,AY440=1),AP440,0)</f>
        <v>0</v>
      </c>
      <c r="BO440">
        <f>IF(AND(AK440=SureThingLabel,AY440=1),AP440,0)</f>
        <v>0</v>
      </c>
      <c r="BP440">
        <f>MAX(BK440:BO440)</f>
        <v>0</v>
      </c>
      <c r="BQ440">
        <f>MAX(BL440:BO440)</f>
        <v>0</v>
      </c>
      <c r="BR440">
        <f>MAX(BM440:BO440)</f>
        <v>0</v>
      </c>
      <c r="BS440">
        <f>IF(ISNUMBER(Y440),INDEX(AllCollegeChicago, MATCH(N440,AllCollegeNCES,0))*AY440,0)</f>
        <v>0</v>
      </c>
      <c r="BT440">
        <f>IF(ISNUMBER(Y440),INDEX(AllCollegeMoneyCode, MATCH(N440,AllCollegeNCES,0)),"?")</f>
        <v>0</v>
      </c>
      <c r="BU440">
        <f>IF(OR(BT440="---",BT440="--",BT440="+/--",BT440="+/---"),1,0)</f>
        <v>0</v>
      </c>
      <c r="BV440">
        <f>AY440*AO440*AQ440</f>
        <v>0</v>
      </c>
    </row>
    <row r="441" spans="1:74">
      <c r="A441" t="s">
        <v>86</v>
      </c>
      <c r="B441">
        <v>23416005</v>
      </c>
      <c r="C441" t="s">
        <v>194</v>
      </c>
      <c r="D441" t="s">
        <v>195</v>
      </c>
      <c r="E441" t="s">
        <v>428</v>
      </c>
      <c r="F441" t="s">
        <v>459</v>
      </c>
      <c r="G441" t="s">
        <v>430</v>
      </c>
      <c r="H441" t="s">
        <v>431</v>
      </c>
      <c r="I441" t="s">
        <v>432</v>
      </c>
      <c r="J441" t="s">
        <v>432</v>
      </c>
      <c r="K441">
        <v>0</v>
      </c>
      <c r="L441" t="s">
        <v>428</v>
      </c>
      <c r="M441" t="s">
        <v>428</v>
      </c>
      <c r="N441">
        <v>146427</v>
      </c>
      <c r="O441">
        <f>INDEX(AllCollegeBarrons,MATCH(N441,AllCollegeNCES,0))</f>
        <v>0</v>
      </c>
      <c r="P441">
        <f>INDEX(KidGPAs,MATCH(B441,KidIDs,0))</f>
        <v>0</v>
      </c>
      <c r="Q441">
        <f>INDEX(KidACTs,MATCH(B441,KidIDs,0))</f>
        <v>0</v>
      </c>
      <c r="R441">
        <f>INDEX(Strats,MATCH(B441,KidIDs,0))</f>
        <v>0</v>
      </c>
      <c r="S441">
        <f>INDEX(KidRace,MATCH(B441,KidIDs,0))</f>
        <v>0</v>
      </c>
      <c r="T441">
        <f>IF(OR(S441="M",S441="I"),"H",S441)</f>
        <v>0</v>
      </c>
      <c r="U441">
        <f>INDEX(StudentTargets,MATCH(B441,KidIDs,0))</f>
        <v>0</v>
      </c>
      <c r="V441">
        <f>INDEX(ReachStudentTargets,MATCH(B441,KidIDs,0))</f>
        <v>0</v>
      </c>
      <c r="W441">
        <f>IF(OR(M441="Posse"),1,0)</f>
        <v>0</v>
      </c>
      <c r="X441">
        <f>IF(ISNUMBER(INDEX(AllCollegeGR, MATCH(N441,AllCollegeNCES,0))),ROUND(INDEX(AllCollegeGR, MATCH(N441,AllCollegeNCES,0))+W441*IF(INDEX(AllCollegeGR, MATCH(N441,AllCollegeNCES,0))&gt;0.7,(1-INDEX(AllCollegeGR, MATCH(N441,AllCollegeNCES,0)))/2,0.15),2),INDEX(AllCollegeGR, MATCH(N441,AllCollegeNCES,0)))</f>
        <v>0</v>
      </c>
      <c r="Y441">
        <f>IF(ISNUMBER(INDEX(AllCollegeAAHGR, MATCH(N441,AllCollegeNCES,0))),ROUND(INDEX(AllCollegeAAHGR, MATCH(N441,AllCollegeNCES,0))+W441*IF(INDEX(AllCollegeAAHGR, MATCH(N441,AllCollegeNCES,0))&gt;0.7,(1-INDEX(AllCollegeAAHGR, MATCH(N441,AllCollegeNCES,0)))/2,0.15),2),INDEX(AllCollegeAAHGR, MATCH(N441,AllCollegeNCES,0)))</f>
        <v>0</v>
      </c>
      <c r="Z441">
        <f>IF(OR(T441="H",T441="B"),INDEX(AllCollegeACT25, MATCH(N441,AllCollegeNCES,0)),INDEX(AllCollegeACT50, MATCH(N441,AllCollegeNCES,0)))</f>
        <v>0</v>
      </c>
      <c r="AA441">
        <f>INDEX(CustomWeightsGPA,MATCH(T441&amp;":"&amp;N441,CustomWeightsIndex,0))</f>
        <v>0</v>
      </c>
      <c r="AB441">
        <f>INDEX(CustomWeightsACT,MATCH(T441&amp;":"&amp;N441,CustomWeightsIndex,0))</f>
        <v>0</v>
      </c>
      <c r="AC441">
        <f>INDEX(CustomWeightsIntercept,MATCH(T441&amp;":"&amp;N441,CustomWeightsIndex,0))</f>
        <v>0</v>
      </c>
      <c r="AD441">
        <f>AA441*P441+AB441*Q441+AC441</f>
        <v>0</v>
      </c>
      <c r="AE441">
        <f>INDEX(CoefficientsGPA,MATCH(T441&amp;":"&amp;O441,CoefficientsIndex,0))</f>
        <v>0</v>
      </c>
      <c r="AF441">
        <f>INDEX(CoefficientsACT,MATCH(T441&amp;":"&amp;O441,CoefficientsIndex,0))</f>
        <v>0</v>
      </c>
      <c r="AG441">
        <f>INDEX(CoefficientsIntercept,MATCH(T441&amp;":"&amp;O441,CoefficientsIndex,0))</f>
        <v>0</v>
      </c>
      <c r="AH441">
        <f>AE441*P441+(Q441-Z441)*AF441+AG441</f>
        <v>0</v>
      </c>
      <c r="AI441">
        <f>IF(ISNUMBER(AD441),AD441,AH441)</f>
        <v>0</v>
      </c>
      <c r="AJ441">
        <f>IF(ISNUMBER(AI441),IF(ISNUMBER(AE441),IF(AND(AE441=1,AF441=1,AG441=1),100,ROUND(100*EXP(AI441)/(1+EXP(AI441)),2)),ROUND(100*EXP(AI441)/(1+EXP(AI441)),2)),IF(ISTEXT(O441),IF(LEFT(O441,1)="2",100,"N/A"),"N/A"))</f>
        <v>0</v>
      </c>
      <c r="AK441">
        <f>IF(ISNUMBER(AJ441),IF(AJ441&gt;=99,IF(OR(R441=10,R441=11),MatchLabel,SureThingLabel),IF(AJ441&gt;=95,SecureLabel,IF(AJ441&gt;=80,SafetyLabel,IF(AJ441&gt;=50,MatchLabel,IF(AJ441&gt;=20,ReachLabel,IF(AJ441&gt;=10,LongshotLabel,HailMaryLabel)))))),"Other")</f>
        <v>0</v>
      </c>
      <c r="AL441">
        <f>IF(OR(I441="accepted",I441="cond. accept",I441="summer admit"),IF(J441="yes","CHOICE!","Accepted!"),IF(I441="denied","Denied",IF(K441=1,"Waitlist",IF(L441=1,"Deferred",IF(G441="pending","Pending",IF(OR(G441="initial materials submitted",G441="mid-year submitted",G441="final submitted"),"Submitted",IF(H441="interest","Interest","?")))))))</f>
        <v>0</v>
      </c>
      <c r="AM441">
        <f>IF(OR(AK441=ReachLabel,AK441=LongshotLabel,AK441=HailMaryLabel),1,0)</f>
        <v>0</v>
      </c>
      <c r="AN441">
        <f>IF(OR(AM441=1,AK441=MatchLabel),1,0)</f>
        <v>0</v>
      </c>
      <c r="AO441">
        <f>IF(OR(AK441=MatchLabel,AK441=SafetyLabel,AK441=SecureLabel,AK441=SureThingLabel),1,0)</f>
        <v>0</v>
      </c>
      <c r="AP441">
        <f>IF(OR(T441="H",T441="B"),IF(ISNUMBER(Y441),ROUND(Y441,2),0),IF(ISNUMBER(X441),ROUND(X441,2),0))</f>
        <v>0</v>
      </c>
      <c r="AQ441">
        <f>IF(AP441&gt;=U441,1,0)</f>
        <v>0</v>
      </c>
      <c r="AR441">
        <f>IF(AP441&gt;=V441,1,0)</f>
        <v>0</v>
      </c>
      <c r="AS441">
        <f>IF(AP441&lt;(U441-0.10),1,0)</f>
        <v>0</v>
      </c>
      <c r="AT441">
        <f>1-AJ441/100</f>
        <v>0</v>
      </c>
      <c r="AU441">
        <f>IF(AN441=1,AT441,1)</f>
        <v>0</v>
      </c>
      <c r="AV441">
        <f>IF(AM441=1,AT441,1)</f>
        <v>0</v>
      </c>
      <c r="AW441">
        <f>IF(AND(AQ441=1,ISNUMBER(AT441)),$AT441,1)</f>
        <v>0</v>
      </c>
      <c r="AX441">
        <f>IF(AND(AR441=1,ISNUMBER(AT441)),$AT441,1)</f>
        <v>0</v>
      </c>
      <c r="AY441">
        <f>IF(ISNUMBER(Y441),INDEX(AllCollegeMoney, MATCH(N441,AllCollegeNCES,0)),0)</f>
        <v>0</v>
      </c>
      <c r="AZ441">
        <f>IF(AND(AQ441=1,ISNUMBER(AT441),AY441=1),$AT441,1)</f>
        <v>0</v>
      </c>
      <c r="BA441">
        <f>IF(AND(AR441=1,ISNUMBER(AT441),AY441=1),$AT441,1)</f>
        <v>0</v>
      </c>
      <c r="BB441">
        <f>IF(ISNUMBER(Y441),INDEX(AllCollegeILPub, MATCH(N441,AllCollegeNCES,0)),0)</f>
        <v>0</v>
      </c>
      <c r="BC441">
        <f>IF(AK441=ReachLabel,AP441,0)</f>
        <v>0</v>
      </c>
      <c r="BD441">
        <f>IF(AK441=MatchLabel,AP441,0)</f>
        <v>0</v>
      </c>
      <c r="BE441">
        <f>IF(AK441=SafetyLabel,AP441,0)</f>
        <v>0</v>
      </c>
      <c r="BF441">
        <f>IF(AK441=SecureLabel,AP441,0)</f>
        <v>0</v>
      </c>
      <c r="BG441">
        <f>IF(AK441=SureThingLabel,AP441,0)</f>
        <v>0</v>
      </c>
      <c r="BH441">
        <f>MAX(BC441:BG441)</f>
        <v>0</v>
      </c>
      <c r="BI441">
        <f>MAX(BD441:BG441)</f>
        <v>0</v>
      </c>
      <c r="BJ441">
        <f>MAX(BE441:BG441)</f>
        <v>0</v>
      </c>
      <c r="BK441">
        <f>IF(AND(AK441=ReachLabel,AY441=1),AP441,0)</f>
        <v>0</v>
      </c>
      <c r="BL441">
        <f>IF(AND(AK441=MatchLabel,AY441=1),AP441,0)</f>
        <v>0</v>
      </c>
      <c r="BM441">
        <f>IF(AND(AK441=SafetyLabel,AY441=1),AP441,0)</f>
        <v>0</v>
      </c>
      <c r="BN441">
        <f>IF(AND(AK441=SecureLabel,AY441=1),AP441,0)</f>
        <v>0</v>
      </c>
      <c r="BO441">
        <f>IF(AND(AK441=SureThingLabel,AY441=1),AP441,0)</f>
        <v>0</v>
      </c>
      <c r="BP441">
        <f>MAX(BK441:BO441)</f>
        <v>0</v>
      </c>
      <c r="BQ441">
        <f>MAX(BL441:BO441)</f>
        <v>0</v>
      </c>
      <c r="BR441">
        <f>MAX(BM441:BO441)</f>
        <v>0</v>
      </c>
      <c r="BS441">
        <f>IF(ISNUMBER(Y441),INDEX(AllCollegeChicago, MATCH(N441,AllCollegeNCES,0))*AY441,0)</f>
        <v>0</v>
      </c>
      <c r="BT441">
        <f>IF(ISNUMBER(Y441),INDEX(AllCollegeMoneyCode, MATCH(N441,AllCollegeNCES,0)),"?")</f>
        <v>0</v>
      </c>
      <c r="BU441">
        <f>IF(OR(BT441="---",BT441="--",BT441="+/--",BT441="+/---"),1,0)</f>
        <v>0</v>
      </c>
      <c r="BV441">
        <f>AY441*AO441*AQ441</f>
        <v>0</v>
      </c>
    </row>
    <row r="442" spans="1:74">
      <c r="A442" t="s">
        <v>86</v>
      </c>
      <c r="B442">
        <v>23416005</v>
      </c>
      <c r="C442" t="s">
        <v>194</v>
      </c>
      <c r="D442" t="s">
        <v>195</v>
      </c>
      <c r="E442" t="s">
        <v>428</v>
      </c>
      <c r="F442" t="s">
        <v>470</v>
      </c>
      <c r="G442" t="s">
        <v>430</v>
      </c>
      <c r="H442" t="s">
        <v>431</v>
      </c>
      <c r="I442" t="s">
        <v>432</v>
      </c>
      <c r="J442" t="s">
        <v>432</v>
      </c>
      <c r="K442">
        <v>0</v>
      </c>
      <c r="L442" t="s">
        <v>428</v>
      </c>
      <c r="M442" t="s">
        <v>428</v>
      </c>
      <c r="N442">
        <v>206589</v>
      </c>
      <c r="O442">
        <f>INDEX(AllCollegeBarrons,MATCH(N442,AllCollegeNCES,0))</f>
        <v>0</v>
      </c>
      <c r="P442">
        <f>INDEX(KidGPAs,MATCH(B442,KidIDs,0))</f>
        <v>0</v>
      </c>
      <c r="Q442">
        <f>INDEX(KidACTs,MATCH(B442,KidIDs,0))</f>
        <v>0</v>
      </c>
      <c r="R442">
        <f>INDEX(Strats,MATCH(B442,KidIDs,0))</f>
        <v>0</v>
      </c>
      <c r="S442">
        <f>INDEX(KidRace,MATCH(B442,KidIDs,0))</f>
        <v>0</v>
      </c>
      <c r="T442">
        <f>IF(OR(S442="M",S442="I"),"H",S442)</f>
        <v>0</v>
      </c>
      <c r="U442">
        <f>INDEX(StudentTargets,MATCH(B442,KidIDs,0))</f>
        <v>0</v>
      </c>
      <c r="V442">
        <f>INDEX(ReachStudentTargets,MATCH(B442,KidIDs,0))</f>
        <v>0</v>
      </c>
      <c r="W442">
        <f>IF(OR(M442="Posse"),1,0)</f>
        <v>0</v>
      </c>
      <c r="X442">
        <f>IF(ISNUMBER(INDEX(AllCollegeGR, MATCH(N442,AllCollegeNCES,0))),ROUND(INDEX(AllCollegeGR, MATCH(N442,AllCollegeNCES,0))+W442*IF(INDEX(AllCollegeGR, MATCH(N442,AllCollegeNCES,0))&gt;0.7,(1-INDEX(AllCollegeGR, MATCH(N442,AllCollegeNCES,0)))/2,0.15),2),INDEX(AllCollegeGR, MATCH(N442,AllCollegeNCES,0)))</f>
        <v>0</v>
      </c>
      <c r="Y442">
        <f>IF(ISNUMBER(INDEX(AllCollegeAAHGR, MATCH(N442,AllCollegeNCES,0))),ROUND(INDEX(AllCollegeAAHGR, MATCH(N442,AllCollegeNCES,0))+W442*IF(INDEX(AllCollegeAAHGR, MATCH(N442,AllCollegeNCES,0))&gt;0.7,(1-INDEX(AllCollegeAAHGR, MATCH(N442,AllCollegeNCES,0)))/2,0.15),2),INDEX(AllCollegeAAHGR, MATCH(N442,AllCollegeNCES,0)))</f>
        <v>0</v>
      </c>
      <c r="Z442">
        <f>IF(OR(T442="H",T442="B"),INDEX(AllCollegeACT25, MATCH(N442,AllCollegeNCES,0)),INDEX(AllCollegeACT50, MATCH(N442,AllCollegeNCES,0)))</f>
        <v>0</v>
      </c>
      <c r="AA442">
        <f>INDEX(CustomWeightsGPA,MATCH(T442&amp;":"&amp;N442,CustomWeightsIndex,0))</f>
        <v>0</v>
      </c>
      <c r="AB442">
        <f>INDEX(CustomWeightsACT,MATCH(T442&amp;":"&amp;N442,CustomWeightsIndex,0))</f>
        <v>0</v>
      </c>
      <c r="AC442">
        <f>INDEX(CustomWeightsIntercept,MATCH(T442&amp;":"&amp;N442,CustomWeightsIndex,0))</f>
        <v>0</v>
      </c>
      <c r="AD442">
        <f>AA442*P442+AB442*Q442+AC442</f>
        <v>0</v>
      </c>
      <c r="AE442">
        <f>INDEX(CoefficientsGPA,MATCH(T442&amp;":"&amp;O442,CoefficientsIndex,0))</f>
        <v>0</v>
      </c>
      <c r="AF442">
        <f>INDEX(CoefficientsACT,MATCH(T442&amp;":"&amp;O442,CoefficientsIndex,0))</f>
        <v>0</v>
      </c>
      <c r="AG442">
        <f>INDEX(CoefficientsIntercept,MATCH(T442&amp;":"&amp;O442,CoefficientsIndex,0))</f>
        <v>0</v>
      </c>
      <c r="AH442">
        <f>AE442*P442+(Q442-Z442)*AF442+AG442</f>
        <v>0</v>
      </c>
      <c r="AI442">
        <f>IF(ISNUMBER(AD442),AD442,AH442)</f>
        <v>0</v>
      </c>
      <c r="AJ442">
        <f>IF(ISNUMBER(AI442),IF(ISNUMBER(AE442),IF(AND(AE442=1,AF442=1,AG442=1),100,ROUND(100*EXP(AI442)/(1+EXP(AI442)),2)),ROUND(100*EXP(AI442)/(1+EXP(AI442)),2)),IF(ISTEXT(O442),IF(LEFT(O442,1)="2",100,"N/A"),"N/A"))</f>
        <v>0</v>
      </c>
      <c r="AK442">
        <f>IF(ISNUMBER(AJ442),IF(AJ442&gt;=99,IF(OR(R442=10,R442=11),MatchLabel,SureThingLabel),IF(AJ442&gt;=95,SecureLabel,IF(AJ442&gt;=80,SafetyLabel,IF(AJ442&gt;=50,MatchLabel,IF(AJ442&gt;=20,ReachLabel,IF(AJ442&gt;=10,LongshotLabel,HailMaryLabel)))))),"Other")</f>
        <v>0</v>
      </c>
      <c r="AL442">
        <f>IF(OR(I442="accepted",I442="cond. accept",I442="summer admit"),IF(J442="yes","CHOICE!","Accepted!"),IF(I442="denied","Denied",IF(K442=1,"Waitlist",IF(L442=1,"Deferred",IF(G442="pending","Pending",IF(OR(G442="initial materials submitted",G442="mid-year submitted",G442="final submitted"),"Submitted",IF(H442="interest","Interest","?")))))))</f>
        <v>0</v>
      </c>
      <c r="AM442">
        <f>IF(OR(AK442=ReachLabel,AK442=LongshotLabel,AK442=HailMaryLabel),1,0)</f>
        <v>0</v>
      </c>
      <c r="AN442">
        <f>IF(OR(AM442=1,AK442=MatchLabel),1,0)</f>
        <v>0</v>
      </c>
      <c r="AO442">
        <f>IF(OR(AK442=MatchLabel,AK442=SafetyLabel,AK442=SecureLabel,AK442=SureThingLabel),1,0)</f>
        <v>0</v>
      </c>
      <c r="AP442">
        <f>IF(OR(T442="H",T442="B"),IF(ISNUMBER(Y442),ROUND(Y442,2),0),IF(ISNUMBER(X442),ROUND(X442,2),0))</f>
        <v>0</v>
      </c>
      <c r="AQ442">
        <f>IF(AP442&gt;=U442,1,0)</f>
        <v>0</v>
      </c>
      <c r="AR442">
        <f>IF(AP442&gt;=V442,1,0)</f>
        <v>0</v>
      </c>
      <c r="AS442">
        <f>IF(AP442&lt;(U442-0.10),1,0)</f>
        <v>0</v>
      </c>
      <c r="AT442">
        <f>1-AJ442/100</f>
        <v>0</v>
      </c>
      <c r="AU442">
        <f>IF(AN442=1,AT442,1)</f>
        <v>0</v>
      </c>
      <c r="AV442">
        <f>IF(AM442=1,AT442,1)</f>
        <v>0</v>
      </c>
      <c r="AW442">
        <f>IF(AND(AQ442=1,ISNUMBER(AT442)),$AT442,1)</f>
        <v>0</v>
      </c>
      <c r="AX442">
        <f>IF(AND(AR442=1,ISNUMBER(AT442)),$AT442,1)</f>
        <v>0</v>
      </c>
      <c r="AY442">
        <f>IF(ISNUMBER(Y442),INDEX(AllCollegeMoney, MATCH(N442,AllCollegeNCES,0)),0)</f>
        <v>0</v>
      </c>
      <c r="AZ442">
        <f>IF(AND(AQ442=1,ISNUMBER(AT442),AY442=1),$AT442,1)</f>
        <v>0</v>
      </c>
      <c r="BA442">
        <f>IF(AND(AR442=1,ISNUMBER(AT442),AY442=1),$AT442,1)</f>
        <v>0</v>
      </c>
      <c r="BB442">
        <f>IF(ISNUMBER(Y442),INDEX(AllCollegeILPub, MATCH(N442,AllCollegeNCES,0)),0)</f>
        <v>0</v>
      </c>
      <c r="BC442">
        <f>IF(AK442=ReachLabel,AP442,0)</f>
        <v>0</v>
      </c>
      <c r="BD442">
        <f>IF(AK442=MatchLabel,AP442,0)</f>
        <v>0</v>
      </c>
      <c r="BE442">
        <f>IF(AK442=SafetyLabel,AP442,0)</f>
        <v>0</v>
      </c>
      <c r="BF442">
        <f>IF(AK442=SecureLabel,AP442,0)</f>
        <v>0</v>
      </c>
      <c r="BG442">
        <f>IF(AK442=SureThingLabel,AP442,0)</f>
        <v>0</v>
      </c>
      <c r="BH442">
        <f>MAX(BC442:BG442)</f>
        <v>0</v>
      </c>
      <c r="BI442">
        <f>MAX(BD442:BG442)</f>
        <v>0</v>
      </c>
      <c r="BJ442">
        <f>MAX(BE442:BG442)</f>
        <v>0</v>
      </c>
      <c r="BK442">
        <f>IF(AND(AK442=ReachLabel,AY442=1),AP442,0)</f>
        <v>0</v>
      </c>
      <c r="BL442">
        <f>IF(AND(AK442=MatchLabel,AY442=1),AP442,0)</f>
        <v>0</v>
      </c>
      <c r="BM442">
        <f>IF(AND(AK442=SafetyLabel,AY442=1),AP442,0)</f>
        <v>0</v>
      </c>
      <c r="BN442">
        <f>IF(AND(AK442=SecureLabel,AY442=1),AP442,0)</f>
        <v>0</v>
      </c>
      <c r="BO442">
        <f>IF(AND(AK442=SureThingLabel,AY442=1),AP442,0)</f>
        <v>0</v>
      </c>
      <c r="BP442">
        <f>MAX(BK442:BO442)</f>
        <v>0</v>
      </c>
      <c r="BQ442">
        <f>MAX(BL442:BO442)</f>
        <v>0</v>
      </c>
      <c r="BR442">
        <f>MAX(BM442:BO442)</f>
        <v>0</v>
      </c>
      <c r="BS442">
        <f>IF(ISNUMBER(Y442),INDEX(AllCollegeChicago, MATCH(N442,AllCollegeNCES,0))*AY442,0)</f>
        <v>0</v>
      </c>
      <c r="BT442">
        <f>IF(ISNUMBER(Y442),INDEX(AllCollegeMoneyCode, MATCH(N442,AllCollegeNCES,0)),"?")</f>
        <v>0</v>
      </c>
      <c r="BU442">
        <f>IF(OR(BT442="---",BT442="--",BT442="+/--",BT442="+/---"),1,0)</f>
        <v>0</v>
      </c>
      <c r="BV442">
        <f>AY442*AO442*AQ442</f>
        <v>0</v>
      </c>
    </row>
    <row r="443" spans="1:74">
      <c r="A443" t="s">
        <v>86</v>
      </c>
      <c r="B443">
        <v>23416005</v>
      </c>
      <c r="C443" t="s">
        <v>194</v>
      </c>
      <c r="D443" t="s">
        <v>195</v>
      </c>
      <c r="E443" t="s">
        <v>428</v>
      </c>
      <c r="F443" t="s">
        <v>471</v>
      </c>
      <c r="G443" t="s">
        <v>463</v>
      </c>
      <c r="H443" t="s">
        <v>431</v>
      </c>
      <c r="I443" t="s">
        <v>432</v>
      </c>
      <c r="J443" t="s">
        <v>432</v>
      </c>
      <c r="K443">
        <v>0</v>
      </c>
      <c r="L443" t="s">
        <v>428</v>
      </c>
      <c r="M443" t="s">
        <v>428</v>
      </c>
      <c r="N443">
        <v>170301</v>
      </c>
      <c r="O443">
        <f>INDEX(AllCollegeBarrons,MATCH(N443,AllCollegeNCES,0))</f>
        <v>0</v>
      </c>
      <c r="P443">
        <f>INDEX(KidGPAs,MATCH(B443,KidIDs,0))</f>
        <v>0</v>
      </c>
      <c r="Q443">
        <f>INDEX(KidACTs,MATCH(B443,KidIDs,0))</f>
        <v>0</v>
      </c>
      <c r="R443">
        <f>INDEX(Strats,MATCH(B443,KidIDs,0))</f>
        <v>0</v>
      </c>
      <c r="S443">
        <f>INDEX(KidRace,MATCH(B443,KidIDs,0))</f>
        <v>0</v>
      </c>
      <c r="T443">
        <f>IF(OR(S443="M",S443="I"),"H",S443)</f>
        <v>0</v>
      </c>
      <c r="U443">
        <f>INDEX(StudentTargets,MATCH(B443,KidIDs,0))</f>
        <v>0</v>
      </c>
      <c r="V443">
        <f>INDEX(ReachStudentTargets,MATCH(B443,KidIDs,0))</f>
        <v>0</v>
      </c>
      <c r="W443">
        <f>IF(OR(M443="Posse"),1,0)</f>
        <v>0</v>
      </c>
      <c r="X443">
        <f>IF(ISNUMBER(INDEX(AllCollegeGR, MATCH(N443,AllCollegeNCES,0))),ROUND(INDEX(AllCollegeGR, MATCH(N443,AllCollegeNCES,0))+W443*IF(INDEX(AllCollegeGR, MATCH(N443,AllCollegeNCES,0))&gt;0.7,(1-INDEX(AllCollegeGR, MATCH(N443,AllCollegeNCES,0)))/2,0.15),2),INDEX(AllCollegeGR, MATCH(N443,AllCollegeNCES,0)))</f>
        <v>0</v>
      </c>
      <c r="Y443">
        <f>IF(ISNUMBER(INDEX(AllCollegeAAHGR, MATCH(N443,AllCollegeNCES,0))),ROUND(INDEX(AllCollegeAAHGR, MATCH(N443,AllCollegeNCES,0))+W443*IF(INDEX(AllCollegeAAHGR, MATCH(N443,AllCollegeNCES,0))&gt;0.7,(1-INDEX(AllCollegeAAHGR, MATCH(N443,AllCollegeNCES,0)))/2,0.15),2),INDEX(AllCollegeAAHGR, MATCH(N443,AllCollegeNCES,0)))</f>
        <v>0</v>
      </c>
      <c r="Z443">
        <f>IF(OR(T443="H",T443="B"),INDEX(AllCollegeACT25, MATCH(N443,AllCollegeNCES,0)),INDEX(AllCollegeACT50, MATCH(N443,AllCollegeNCES,0)))</f>
        <v>0</v>
      </c>
      <c r="AA443">
        <f>INDEX(CustomWeightsGPA,MATCH(T443&amp;":"&amp;N443,CustomWeightsIndex,0))</f>
        <v>0</v>
      </c>
      <c r="AB443">
        <f>INDEX(CustomWeightsACT,MATCH(T443&amp;":"&amp;N443,CustomWeightsIndex,0))</f>
        <v>0</v>
      </c>
      <c r="AC443">
        <f>INDEX(CustomWeightsIntercept,MATCH(T443&amp;":"&amp;N443,CustomWeightsIndex,0))</f>
        <v>0</v>
      </c>
      <c r="AD443">
        <f>AA443*P443+AB443*Q443+AC443</f>
        <v>0</v>
      </c>
      <c r="AE443">
        <f>INDEX(CoefficientsGPA,MATCH(T443&amp;":"&amp;O443,CoefficientsIndex,0))</f>
        <v>0</v>
      </c>
      <c r="AF443">
        <f>INDEX(CoefficientsACT,MATCH(T443&amp;":"&amp;O443,CoefficientsIndex,0))</f>
        <v>0</v>
      </c>
      <c r="AG443">
        <f>INDEX(CoefficientsIntercept,MATCH(T443&amp;":"&amp;O443,CoefficientsIndex,0))</f>
        <v>0</v>
      </c>
      <c r="AH443">
        <f>AE443*P443+(Q443-Z443)*AF443+AG443</f>
        <v>0</v>
      </c>
      <c r="AI443">
        <f>IF(ISNUMBER(AD443),AD443,AH443)</f>
        <v>0</v>
      </c>
      <c r="AJ443">
        <f>IF(ISNUMBER(AI443),IF(ISNUMBER(AE443),IF(AND(AE443=1,AF443=1,AG443=1),100,ROUND(100*EXP(AI443)/(1+EXP(AI443)),2)),ROUND(100*EXP(AI443)/(1+EXP(AI443)),2)),IF(ISTEXT(O443),IF(LEFT(O443,1)="2",100,"N/A"),"N/A"))</f>
        <v>0</v>
      </c>
      <c r="AK443">
        <f>IF(ISNUMBER(AJ443),IF(AJ443&gt;=99,IF(OR(R443=10,R443=11),MatchLabel,SureThingLabel),IF(AJ443&gt;=95,SecureLabel,IF(AJ443&gt;=80,SafetyLabel,IF(AJ443&gt;=50,MatchLabel,IF(AJ443&gt;=20,ReachLabel,IF(AJ443&gt;=10,LongshotLabel,HailMaryLabel)))))),"Other")</f>
        <v>0</v>
      </c>
      <c r="AL443">
        <f>IF(OR(I443="accepted",I443="cond. accept",I443="summer admit"),IF(J443="yes","CHOICE!","Accepted!"),IF(I443="denied","Denied",IF(K443=1,"Waitlist",IF(L443=1,"Deferred",IF(G443="pending","Pending",IF(OR(G443="initial materials submitted",G443="mid-year submitted",G443="final submitted"),"Submitted",IF(H443="interest","Interest","?")))))))</f>
        <v>0</v>
      </c>
      <c r="AM443">
        <f>IF(OR(AK443=ReachLabel,AK443=LongshotLabel,AK443=HailMaryLabel),1,0)</f>
        <v>0</v>
      </c>
      <c r="AN443">
        <f>IF(OR(AM443=1,AK443=MatchLabel),1,0)</f>
        <v>0</v>
      </c>
      <c r="AO443">
        <f>IF(OR(AK443=MatchLabel,AK443=SafetyLabel,AK443=SecureLabel,AK443=SureThingLabel),1,0)</f>
        <v>0</v>
      </c>
      <c r="AP443">
        <f>IF(OR(T443="H",T443="B"),IF(ISNUMBER(Y443),ROUND(Y443,2),0),IF(ISNUMBER(X443),ROUND(X443,2),0))</f>
        <v>0</v>
      </c>
      <c r="AQ443">
        <f>IF(AP443&gt;=U443,1,0)</f>
        <v>0</v>
      </c>
      <c r="AR443">
        <f>IF(AP443&gt;=V443,1,0)</f>
        <v>0</v>
      </c>
      <c r="AS443">
        <f>IF(AP443&lt;(U443-0.10),1,0)</f>
        <v>0</v>
      </c>
      <c r="AT443">
        <f>1-AJ443/100</f>
        <v>0</v>
      </c>
      <c r="AU443">
        <f>IF(AN443=1,AT443,1)</f>
        <v>0</v>
      </c>
      <c r="AV443">
        <f>IF(AM443=1,AT443,1)</f>
        <v>0</v>
      </c>
      <c r="AW443">
        <f>IF(AND(AQ443=1,ISNUMBER(AT443)),$AT443,1)</f>
        <v>0</v>
      </c>
      <c r="AX443">
        <f>IF(AND(AR443=1,ISNUMBER(AT443)),$AT443,1)</f>
        <v>0</v>
      </c>
      <c r="AY443">
        <f>IF(ISNUMBER(Y443),INDEX(AllCollegeMoney, MATCH(N443,AllCollegeNCES,0)),0)</f>
        <v>0</v>
      </c>
      <c r="AZ443">
        <f>IF(AND(AQ443=1,ISNUMBER(AT443),AY443=1),$AT443,1)</f>
        <v>0</v>
      </c>
      <c r="BA443">
        <f>IF(AND(AR443=1,ISNUMBER(AT443),AY443=1),$AT443,1)</f>
        <v>0</v>
      </c>
      <c r="BB443">
        <f>IF(ISNUMBER(Y443),INDEX(AllCollegeILPub, MATCH(N443,AllCollegeNCES,0)),0)</f>
        <v>0</v>
      </c>
      <c r="BC443">
        <f>IF(AK443=ReachLabel,AP443,0)</f>
        <v>0</v>
      </c>
      <c r="BD443">
        <f>IF(AK443=MatchLabel,AP443,0)</f>
        <v>0</v>
      </c>
      <c r="BE443">
        <f>IF(AK443=SafetyLabel,AP443,0)</f>
        <v>0</v>
      </c>
      <c r="BF443">
        <f>IF(AK443=SecureLabel,AP443,0)</f>
        <v>0</v>
      </c>
      <c r="BG443">
        <f>IF(AK443=SureThingLabel,AP443,0)</f>
        <v>0</v>
      </c>
      <c r="BH443">
        <f>MAX(BC443:BG443)</f>
        <v>0</v>
      </c>
      <c r="BI443">
        <f>MAX(BD443:BG443)</f>
        <v>0</v>
      </c>
      <c r="BJ443">
        <f>MAX(BE443:BG443)</f>
        <v>0</v>
      </c>
      <c r="BK443">
        <f>IF(AND(AK443=ReachLabel,AY443=1),AP443,0)</f>
        <v>0</v>
      </c>
      <c r="BL443">
        <f>IF(AND(AK443=MatchLabel,AY443=1),AP443,0)</f>
        <v>0</v>
      </c>
      <c r="BM443">
        <f>IF(AND(AK443=SafetyLabel,AY443=1),AP443,0)</f>
        <v>0</v>
      </c>
      <c r="BN443">
        <f>IF(AND(AK443=SecureLabel,AY443=1),AP443,0)</f>
        <v>0</v>
      </c>
      <c r="BO443">
        <f>IF(AND(AK443=SureThingLabel,AY443=1),AP443,0)</f>
        <v>0</v>
      </c>
      <c r="BP443">
        <f>MAX(BK443:BO443)</f>
        <v>0</v>
      </c>
      <c r="BQ443">
        <f>MAX(BL443:BO443)</f>
        <v>0</v>
      </c>
      <c r="BR443">
        <f>MAX(BM443:BO443)</f>
        <v>0</v>
      </c>
      <c r="BS443">
        <f>IF(ISNUMBER(Y443),INDEX(AllCollegeChicago, MATCH(N443,AllCollegeNCES,0))*AY443,0)</f>
        <v>0</v>
      </c>
      <c r="BT443">
        <f>IF(ISNUMBER(Y443),INDEX(AllCollegeMoneyCode, MATCH(N443,AllCollegeNCES,0)),"?")</f>
        <v>0</v>
      </c>
      <c r="BU443">
        <f>IF(OR(BT443="---",BT443="--",BT443="+/--",BT443="+/---"),1,0)</f>
        <v>0</v>
      </c>
      <c r="BV443">
        <f>AY443*AO443*AQ443</f>
        <v>0</v>
      </c>
    </row>
    <row r="444" spans="1:74">
      <c r="A444" t="s">
        <v>86</v>
      </c>
      <c r="B444">
        <v>23416005</v>
      </c>
      <c r="C444" t="s">
        <v>194</v>
      </c>
      <c r="D444" t="s">
        <v>195</v>
      </c>
      <c r="E444" t="s">
        <v>428</v>
      </c>
      <c r="F444" t="s">
        <v>460</v>
      </c>
      <c r="G444" t="s">
        <v>463</v>
      </c>
      <c r="H444" t="s">
        <v>431</v>
      </c>
      <c r="I444" t="s">
        <v>432</v>
      </c>
      <c r="J444" t="s">
        <v>432</v>
      </c>
      <c r="K444">
        <v>0</v>
      </c>
      <c r="L444" t="s">
        <v>428</v>
      </c>
      <c r="M444" t="s">
        <v>428</v>
      </c>
      <c r="N444">
        <v>221519</v>
      </c>
      <c r="O444">
        <f>INDEX(AllCollegeBarrons,MATCH(N444,AllCollegeNCES,0))</f>
        <v>0</v>
      </c>
      <c r="P444">
        <f>INDEX(KidGPAs,MATCH(B444,KidIDs,0))</f>
        <v>0</v>
      </c>
      <c r="Q444">
        <f>INDEX(KidACTs,MATCH(B444,KidIDs,0))</f>
        <v>0</v>
      </c>
      <c r="R444">
        <f>INDEX(Strats,MATCH(B444,KidIDs,0))</f>
        <v>0</v>
      </c>
      <c r="S444">
        <f>INDEX(KidRace,MATCH(B444,KidIDs,0))</f>
        <v>0</v>
      </c>
      <c r="T444">
        <f>IF(OR(S444="M",S444="I"),"H",S444)</f>
        <v>0</v>
      </c>
      <c r="U444">
        <f>INDEX(StudentTargets,MATCH(B444,KidIDs,0))</f>
        <v>0</v>
      </c>
      <c r="V444">
        <f>INDEX(ReachStudentTargets,MATCH(B444,KidIDs,0))</f>
        <v>0</v>
      </c>
      <c r="W444">
        <f>IF(OR(M444="Posse"),1,0)</f>
        <v>0</v>
      </c>
      <c r="X444">
        <f>IF(ISNUMBER(INDEX(AllCollegeGR, MATCH(N444,AllCollegeNCES,0))),ROUND(INDEX(AllCollegeGR, MATCH(N444,AllCollegeNCES,0))+W444*IF(INDEX(AllCollegeGR, MATCH(N444,AllCollegeNCES,0))&gt;0.7,(1-INDEX(AllCollegeGR, MATCH(N444,AllCollegeNCES,0)))/2,0.15),2),INDEX(AllCollegeGR, MATCH(N444,AllCollegeNCES,0)))</f>
        <v>0</v>
      </c>
      <c r="Y444">
        <f>IF(ISNUMBER(INDEX(AllCollegeAAHGR, MATCH(N444,AllCollegeNCES,0))),ROUND(INDEX(AllCollegeAAHGR, MATCH(N444,AllCollegeNCES,0))+W444*IF(INDEX(AllCollegeAAHGR, MATCH(N444,AllCollegeNCES,0))&gt;0.7,(1-INDEX(AllCollegeAAHGR, MATCH(N444,AllCollegeNCES,0)))/2,0.15),2),INDEX(AllCollegeAAHGR, MATCH(N444,AllCollegeNCES,0)))</f>
        <v>0</v>
      </c>
      <c r="Z444">
        <f>IF(OR(T444="H",T444="B"),INDEX(AllCollegeACT25, MATCH(N444,AllCollegeNCES,0)),INDEX(AllCollegeACT50, MATCH(N444,AllCollegeNCES,0)))</f>
        <v>0</v>
      </c>
      <c r="AA444">
        <f>INDEX(CustomWeightsGPA,MATCH(T444&amp;":"&amp;N444,CustomWeightsIndex,0))</f>
        <v>0</v>
      </c>
      <c r="AB444">
        <f>INDEX(CustomWeightsACT,MATCH(T444&amp;":"&amp;N444,CustomWeightsIndex,0))</f>
        <v>0</v>
      </c>
      <c r="AC444">
        <f>INDEX(CustomWeightsIntercept,MATCH(T444&amp;":"&amp;N444,CustomWeightsIndex,0))</f>
        <v>0</v>
      </c>
      <c r="AD444">
        <f>AA444*P444+AB444*Q444+AC444</f>
        <v>0</v>
      </c>
      <c r="AE444">
        <f>INDEX(CoefficientsGPA,MATCH(T444&amp;":"&amp;O444,CoefficientsIndex,0))</f>
        <v>0</v>
      </c>
      <c r="AF444">
        <f>INDEX(CoefficientsACT,MATCH(T444&amp;":"&amp;O444,CoefficientsIndex,0))</f>
        <v>0</v>
      </c>
      <c r="AG444">
        <f>INDEX(CoefficientsIntercept,MATCH(T444&amp;":"&amp;O444,CoefficientsIndex,0))</f>
        <v>0</v>
      </c>
      <c r="AH444">
        <f>AE444*P444+(Q444-Z444)*AF444+AG444</f>
        <v>0</v>
      </c>
      <c r="AI444">
        <f>IF(ISNUMBER(AD444),AD444,AH444)</f>
        <v>0</v>
      </c>
      <c r="AJ444">
        <f>IF(ISNUMBER(AI444),IF(ISNUMBER(AE444),IF(AND(AE444=1,AF444=1,AG444=1),100,ROUND(100*EXP(AI444)/(1+EXP(AI444)),2)),ROUND(100*EXP(AI444)/(1+EXP(AI444)),2)),IF(ISTEXT(O444),IF(LEFT(O444,1)="2",100,"N/A"),"N/A"))</f>
        <v>0</v>
      </c>
      <c r="AK444">
        <f>IF(ISNUMBER(AJ444),IF(AJ444&gt;=99,IF(OR(R444=10,R444=11),MatchLabel,SureThingLabel),IF(AJ444&gt;=95,SecureLabel,IF(AJ444&gt;=80,SafetyLabel,IF(AJ444&gt;=50,MatchLabel,IF(AJ444&gt;=20,ReachLabel,IF(AJ444&gt;=10,LongshotLabel,HailMaryLabel)))))),"Other")</f>
        <v>0</v>
      </c>
      <c r="AL444">
        <f>IF(OR(I444="accepted",I444="cond. accept",I444="summer admit"),IF(J444="yes","CHOICE!","Accepted!"),IF(I444="denied","Denied",IF(K444=1,"Waitlist",IF(L444=1,"Deferred",IF(G444="pending","Pending",IF(OR(G444="initial materials submitted",G444="mid-year submitted",G444="final submitted"),"Submitted",IF(H444="interest","Interest","?")))))))</f>
        <v>0</v>
      </c>
      <c r="AM444">
        <f>IF(OR(AK444=ReachLabel,AK444=LongshotLabel,AK444=HailMaryLabel),1,0)</f>
        <v>0</v>
      </c>
      <c r="AN444">
        <f>IF(OR(AM444=1,AK444=MatchLabel),1,0)</f>
        <v>0</v>
      </c>
      <c r="AO444">
        <f>IF(OR(AK444=MatchLabel,AK444=SafetyLabel,AK444=SecureLabel,AK444=SureThingLabel),1,0)</f>
        <v>0</v>
      </c>
      <c r="AP444">
        <f>IF(OR(T444="H",T444="B"),IF(ISNUMBER(Y444),ROUND(Y444,2),0),IF(ISNUMBER(X444),ROUND(X444,2),0))</f>
        <v>0</v>
      </c>
      <c r="AQ444">
        <f>IF(AP444&gt;=U444,1,0)</f>
        <v>0</v>
      </c>
      <c r="AR444">
        <f>IF(AP444&gt;=V444,1,0)</f>
        <v>0</v>
      </c>
      <c r="AS444">
        <f>IF(AP444&lt;(U444-0.10),1,0)</f>
        <v>0</v>
      </c>
      <c r="AT444">
        <f>1-AJ444/100</f>
        <v>0</v>
      </c>
      <c r="AU444">
        <f>IF(AN444=1,AT444,1)</f>
        <v>0</v>
      </c>
      <c r="AV444">
        <f>IF(AM444=1,AT444,1)</f>
        <v>0</v>
      </c>
      <c r="AW444">
        <f>IF(AND(AQ444=1,ISNUMBER(AT444)),$AT444,1)</f>
        <v>0</v>
      </c>
      <c r="AX444">
        <f>IF(AND(AR444=1,ISNUMBER(AT444)),$AT444,1)</f>
        <v>0</v>
      </c>
      <c r="AY444">
        <f>IF(ISNUMBER(Y444),INDEX(AllCollegeMoney, MATCH(N444,AllCollegeNCES,0)),0)</f>
        <v>0</v>
      </c>
      <c r="AZ444">
        <f>IF(AND(AQ444=1,ISNUMBER(AT444),AY444=1),$AT444,1)</f>
        <v>0</v>
      </c>
      <c r="BA444">
        <f>IF(AND(AR444=1,ISNUMBER(AT444),AY444=1),$AT444,1)</f>
        <v>0</v>
      </c>
      <c r="BB444">
        <f>IF(ISNUMBER(Y444),INDEX(AllCollegeILPub, MATCH(N444,AllCollegeNCES,0)),0)</f>
        <v>0</v>
      </c>
      <c r="BC444">
        <f>IF(AK444=ReachLabel,AP444,0)</f>
        <v>0</v>
      </c>
      <c r="BD444">
        <f>IF(AK444=MatchLabel,AP444,0)</f>
        <v>0</v>
      </c>
      <c r="BE444">
        <f>IF(AK444=SafetyLabel,AP444,0)</f>
        <v>0</v>
      </c>
      <c r="BF444">
        <f>IF(AK444=SecureLabel,AP444,0)</f>
        <v>0</v>
      </c>
      <c r="BG444">
        <f>IF(AK444=SureThingLabel,AP444,0)</f>
        <v>0</v>
      </c>
      <c r="BH444">
        <f>MAX(BC444:BG444)</f>
        <v>0</v>
      </c>
      <c r="BI444">
        <f>MAX(BD444:BG444)</f>
        <v>0</v>
      </c>
      <c r="BJ444">
        <f>MAX(BE444:BG444)</f>
        <v>0</v>
      </c>
      <c r="BK444">
        <f>IF(AND(AK444=ReachLabel,AY444=1),AP444,0)</f>
        <v>0</v>
      </c>
      <c r="BL444">
        <f>IF(AND(AK444=MatchLabel,AY444=1),AP444,0)</f>
        <v>0</v>
      </c>
      <c r="BM444">
        <f>IF(AND(AK444=SafetyLabel,AY444=1),AP444,0)</f>
        <v>0</v>
      </c>
      <c r="BN444">
        <f>IF(AND(AK444=SecureLabel,AY444=1),AP444,0)</f>
        <v>0</v>
      </c>
      <c r="BO444">
        <f>IF(AND(AK444=SureThingLabel,AY444=1),AP444,0)</f>
        <v>0</v>
      </c>
      <c r="BP444">
        <f>MAX(BK444:BO444)</f>
        <v>0</v>
      </c>
      <c r="BQ444">
        <f>MAX(BL444:BO444)</f>
        <v>0</v>
      </c>
      <c r="BR444">
        <f>MAX(BM444:BO444)</f>
        <v>0</v>
      </c>
      <c r="BS444">
        <f>IF(ISNUMBER(Y444),INDEX(AllCollegeChicago, MATCH(N444,AllCollegeNCES,0))*AY444,0)</f>
        <v>0</v>
      </c>
      <c r="BT444">
        <f>IF(ISNUMBER(Y444),INDEX(AllCollegeMoneyCode, MATCH(N444,AllCollegeNCES,0)),"?")</f>
        <v>0</v>
      </c>
      <c r="BU444">
        <f>IF(OR(BT444="---",BT444="--",BT444="+/--",BT444="+/---"),1,0)</f>
        <v>0</v>
      </c>
      <c r="BV444">
        <f>AY444*AO444*AQ444</f>
        <v>0</v>
      </c>
    </row>
    <row r="445" spans="1:74">
      <c r="A445" t="s">
        <v>86</v>
      </c>
      <c r="B445">
        <v>23416005</v>
      </c>
      <c r="C445" t="s">
        <v>194</v>
      </c>
      <c r="D445" t="s">
        <v>195</v>
      </c>
      <c r="E445" t="s">
        <v>428</v>
      </c>
      <c r="F445" t="s">
        <v>462</v>
      </c>
      <c r="G445" t="s">
        <v>463</v>
      </c>
      <c r="H445" t="s">
        <v>431</v>
      </c>
      <c r="I445" t="s">
        <v>432</v>
      </c>
      <c r="J445" t="s">
        <v>432</v>
      </c>
      <c r="K445">
        <v>0</v>
      </c>
      <c r="L445" t="s">
        <v>428</v>
      </c>
      <c r="M445" t="s">
        <v>428</v>
      </c>
      <c r="N445">
        <v>168546</v>
      </c>
      <c r="O445">
        <f>INDEX(AllCollegeBarrons,MATCH(N445,AllCollegeNCES,0))</f>
        <v>0</v>
      </c>
      <c r="P445">
        <f>INDEX(KidGPAs,MATCH(B445,KidIDs,0))</f>
        <v>0</v>
      </c>
      <c r="Q445">
        <f>INDEX(KidACTs,MATCH(B445,KidIDs,0))</f>
        <v>0</v>
      </c>
      <c r="R445">
        <f>INDEX(Strats,MATCH(B445,KidIDs,0))</f>
        <v>0</v>
      </c>
      <c r="S445">
        <f>INDEX(KidRace,MATCH(B445,KidIDs,0))</f>
        <v>0</v>
      </c>
      <c r="T445">
        <f>IF(OR(S445="M",S445="I"),"H",S445)</f>
        <v>0</v>
      </c>
      <c r="U445">
        <f>INDEX(StudentTargets,MATCH(B445,KidIDs,0))</f>
        <v>0</v>
      </c>
      <c r="V445">
        <f>INDEX(ReachStudentTargets,MATCH(B445,KidIDs,0))</f>
        <v>0</v>
      </c>
      <c r="W445">
        <f>IF(OR(M445="Posse"),1,0)</f>
        <v>0</v>
      </c>
      <c r="X445">
        <f>IF(ISNUMBER(INDEX(AllCollegeGR, MATCH(N445,AllCollegeNCES,0))),ROUND(INDEX(AllCollegeGR, MATCH(N445,AllCollegeNCES,0))+W445*IF(INDEX(AllCollegeGR, MATCH(N445,AllCollegeNCES,0))&gt;0.7,(1-INDEX(AllCollegeGR, MATCH(N445,AllCollegeNCES,0)))/2,0.15),2),INDEX(AllCollegeGR, MATCH(N445,AllCollegeNCES,0)))</f>
        <v>0</v>
      </c>
      <c r="Y445">
        <f>IF(ISNUMBER(INDEX(AllCollegeAAHGR, MATCH(N445,AllCollegeNCES,0))),ROUND(INDEX(AllCollegeAAHGR, MATCH(N445,AllCollegeNCES,0))+W445*IF(INDEX(AllCollegeAAHGR, MATCH(N445,AllCollegeNCES,0))&gt;0.7,(1-INDEX(AllCollegeAAHGR, MATCH(N445,AllCollegeNCES,0)))/2,0.15),2),INDEX(AllCollegeAAHGR, MATCH(N445,AllCollegeNCES,0)))</f>
        <v>0</v>
      </c>
      <c r="Z445">
        <f>IF(OR(T445="H",T445="B"),INDEX(AllCollegeACT25, MATCH(N445,AllCollegeNCES,0)),INDEX(AllCollegeACT50, MATCH(N445,AllCollegeNCES,0)))</f>
        <v>0</v>
      </c>
      <c r="AA445">
        <f>INDEX(CustomWeightsGPA,MATCH(T445&amp;":"&amp;N445,CustomWeightsIndex,0))</f>
        <v>0</v>
      </c>
      <c r="AB445">
        <f>INDEX(CustomWeightsACT,MATCH(T445&amp;":"&amp;N445,CustomWeightsIndex,0))</f>
        <v>0</v>
      </c>
      <c r="AC445">
        <f>INDEX(CustomWeightsIntercept,MATCH(T445&amp;":"&amp;N445,CustomWeightsIndex,0))</f>
        <v>0</v>
      </c>
      <c r="AD445">
        <f>AA445*P445+AB445*Q445+AC445</f>
        <v>0</v>
      </c>
      <c r="AE445">
        <f>INDEX(CoefficientsGPA,MATCH(T445&amp;":"&amp;O445,CoefficientsIndex,0))</f>
        <v>0</v>
      </c>
      <c r="AF445">
        <f>INDEX(CoefficientsACT,MATCH(T445&amp;":"&amp;O445,CoefficientsIndex,0))</f>
        <v>0</v>
      </c>
      <c r="AG445">
        <f>INDEX(CoefficientsIntercept,MATCH(T445&amp;":"&amp;O445,CoefficientsIndex,0))</f>
        <v>0</v>
      </c>
      <c r="AH445">
        <f>AE445*P445+(Q445-Z445)*AF445+AG445</f>
        <v>0</v>
      </c>
      <c r="AI445">
        <f>IF(ISNUMBER(AD445),AD445,AH445)</f>
        <v>0</v>
      </c>
      <c r="AJ445">
        <f>IF(ISNUMBER(AI445),IF(ISNUMBER(AE445),IF(AND(AE445=1,AF445=1,AG445=1),100,ROUND(100*EXP(AI445)/(1+EXP(AI445)),2)),ROUND(100*EXP(AI445)/(1+EXP(AI445)),2)),IF(ISTEXT(O445),IF(LEFT(O445,1)="2",100,"N/A"),"N/A"))</f>
        <v>0</v>
      </c>
      <c r="AK445">
        <f>IF(ISNUMBER(AJ445),IF(AJ445&gt;=99,IF(OR(R445=10,R445=11),MatchLabel,SureThingLabel),IF(AJ445&gt;=95,SecureLabel,IF(AJ445&gt;=80,SafetyLabel,IF(AJ445&gt;=50,MatchLabel,IF(AJ445&gt;=20,ReachLabel,IF(AJ445&gt;=10,LongshotLabel,HailMaryLabel)))))),"Other")</f>
        <v>0</v>
      </c>
      <c r="AL445">
        <f>IF(OR(I445="accepted",I445="cond. accept",I445="summer admit"),IF(J445="yes","CHOICE!","Accepted!"),IF(I445="denied","Denied",IF(K445=1,"Waitlist",IF(L445=1,"Deferred",IF(G445="pending","Pending",IF(OR(G445="initial materials submitted",G445="mid-year submitted",G445="final submitted"),"Submitted",IF(H445="interest","Interest","?")))))))</f>
        <v>0</v>
      </c>
      <c r="AM445">
        <f>IF(OR(AK445=ReachLabel,AK445=LongshotLabel,AK445=HailMaryLabel),1,0)</f>
        <v>0</v>
      </c>
      <c r="AN445">
        <f>IF(OR(AM445=1,AK445=MatchLabel),1,0)</f>
        <v>0</v>
      </c>
      <c r="AO445">
        <f>IF(OR(AK445=MatchLabel,AK445=SafetyLabel,AK445=SecureLabel,AK445=SureThingLabel),1,0)</f>
        <v>0</v>
      </c>
      <c r="AP445">
        <f>IF(OR(T445="H",T445="B"),IF(ISNUMBER(Y445),ROUND(Y445,2),0),IF(ISNUMBER(X445),ROUND(X445,2),0))</f>
        <v>0</v>
      </c>
      <c r="AQ445">
        <f>IF(AP445&gt;=U445,1,0)</f>
        <v>0</v>
      </c>
      <c r="AR445">
        <f>IF(AP445&gt;=V445,1,0)</f>
        <v>0</v>
      </c>
      <c r="AS445">
        <f>IF(AP445&lt;(U445-0.10),1,0)</f>
        <v>0</v>
      </c>
      <c r="AT445">
        <f>1-AJ445/100</f>
        <v>0</v>
      </c>
      <c r="AU445">
        <f>IF(AN445=1,AT445,1)</f>
        <v>0</v>
      </c>
      <c r="AV445">
        <f>IF(AM445=1,AT445,1)</f>
        <v>0</v>
      </c>
      <c r="AW445">
        <f>IF(AND(AQ445=1,ISNUMBER(AT445)),$AT445,1)</f>
        <v>0</v>
      </c>
      <c r="AX445">
        <f>IF(AND(AR445=1,ISNUMBER(AT445)),$AT445,1)</f>
        <v>0</v>
      </c>
      <c r="AY445">
        <f>IF(ISNUMBER(Y445),INDEX(AllCollegeMoney, MATCH(N445,AllCollegeNCES,0)),0)</f>
        <v>0</v>
      </c>
      <c r="AZ445">
        <f>IF(AND(AQ445=1,ISNUMBER(AT445),AY445=1),$AT445,1)</f>
        <v>0</v>
      </c>
      <c r="BA445">
        <f>IF(AND(AR445=1,ISNUMBER(AT445),AY445=1),$AT445,1)</f>
        <v>0</v>
      </c>
      <c r="BB445">
        <f>IF(ISNUMBER(Y445),INDEX(AllCollegeILPub, MATCH(N445,AllCollegeNCES,0)),0)</f>
        <v>0</v>
      </c>
      <c r="BC445">
        <f>IF(AK445=ReachLabel,AP445,0)</f>
        <v>0</v>
      </c>
      <c r="BD445">
        <f>IF(AK445=MatchLabel,AP445,0)</f>
        <v>0</v>
      </c>
      <c r="BE445">
        <f>IF(AK445=SafetyLabel,AP445,0)</f>
        <v>0</v>
      </c>
      <c r="BF445">
        <f>IF(AK445=SecureLabel,AP445,0)</f>
        <v>0</v>
      </c>
      <c r="BG445">
        <f>IF(AK445=SureThingLabel,AP445,0)</f>
        <v>0</v>
      </c>
      <c r="BH445">
        <f>MAX(BC445:BG445)</f>
        <v>0</v>
      </c>
      <c r="BI445">
        <f>MAX(BD445:BG445)</f>
        <v>0</v>
      </c>
      <c r="BJ445">
        <f>MAX(BE445:BG445)</f>
        <v>0</v>
      </c>
      <c r="BK445">
        <f>IF(AND(AK445=ReachLabel,AY445=1),AP445,0)</f>
        <v>0</v>
      </c>
      <c r="BL445">
        <f>IF(AND(AK445=MatchLabel,AY445=1),AP445,0)</f>
        <v>0</v>
      </c>
      <c r="BM445">
        <f>IF(AND(AK445=SafetyLabel,AY445=1),AP445,0)</f>
        <v>0</v>
      </c>
      <c r="BN445">
        <f>IF(AND(AK445=SecureLabel,AY445=1),AP445,0)</f>
        <v>0</v>
      </c>
      <c r="BO445">
        <f>IF(AND(AK445=SureThingLabel,AY445=1),AP445,0)</f>
        <v>0</v>
      </c>
      <c r="BP445">
        <f>MAX(BK445:BO445)</f>
        <v>0</v>
      </c>
      <c r="BQ445">
        <f>MAX(BL445:BO445)</f>
        <v>0</v>
      </c>
      <c r="BR445">
        <f>MAX(BM445:BO445)</f>
        <v>0</v>
      </c>
      <c r="BS445">
        <f>IF(ISNUMBER(Y445),INDEX(AllCollegeChicago, MATCH(N445,AllCollegeNCES,0))*AY445,0)</f>
        <v>0</v>
      </c>
      <c r="BT445">
        <f>IF(ISNUMBER(Y445),INDEX(AllCollegeMoneyCode, MATCH(N445,AllCollegeNCES,0)),"?")</f>
        <v>0</v>
      </c>
      <c r="BU445">
        <f>IF(OR(BT445="---",BT445="--",BT445="+/--",BT445="+/---"),1,0)</f>
        <v>0</v>
      </c>
      <c r="BV445">
        <f>AY445*AO445*AQ445</f>
        <v>0</v>
      </c>
    </row>
    <row r="446" spans="1:74">
      <c r="A446" t="s">
        <v>86</v>
      </c>
      <c r="B446">
        <v>23416005</v>
      </c>
      <c r="C446" t="s">
        <v>194</v>
      </c>
      <c r="D446" t="s">
        <v>195</v>
      </c>
      <c r="E446" t="s">
        <v>428</v>
      </c>
      <c r="F446" t="s">
        <v>502</v>
      </c>
      <c r="G446" t="s">
        <v>430</v>
      </c>
      <c r="H446" t="s">
        <v>431</v>
      </c>
      <c r="I446" t="s">
        <v>432</v>
      </c>
      <c r="J446" t="s">
        <v>432</v>
      </c>
      <c r="K446">
        <v>0</v>
      </c>
      <c r="L446" t="s">
        <v>428</v>
      </c>
      <c r="M446" t="s">
        <v>428</v>
      </c>
      <c r="N446">
        <v>145813</v>
      </c>
      <c r="O446">
        <f>INDEX(AllCollegeBarrons,MATCH(N446,AllCollegeNCES,0))</f>
        <v>0</v>
      </c>
      <c r="P446">
        <f>INDEX(KidGPAs,MATCH(B446,KidIDs,0))</f>
        <v>0</v>
      </c>
      <c r="Q446">
        <f>INDEX(KidACTs,MATCH(B446,KidIDs,0))</f>
        <v>0</v>
      </c>
      <c r="R446">
        <f>INDEX(Strats,MATCH(B446,KidIDs,0))</f>
        <v>0</v>
      </c>
      <c r="S446">
        <f>INDEX(KidRace,MATCH(B446,KidIDs,0))</f>
        <v>0</v>
      </c>
      <c r="T446">
        <f>IF(OR(S446="M",S446="I"),"H",S446)</f>
        <v>0</v>
      </c>
      <c r="U446">
        <f>INDEX(StudentTargets,MATCH(B446,KidIDs,0))</f>
        <v>0</v>
      </c>
      <c r="V446">
        <f>INDEX(ReachStudentTargets,MATCH(B446,KidIDs,0))</f>
        <v>0</v>
      </c>
      <c r="W446">
        <f>IF(OR(M446="Posse"),1,0)</f>
        <v>0</v>
      </c>
      <c r="X446">
        <f>IF(ISNUMBER(INDEX(AllCollegeGR, MATCH(N446,AllCollegeNCES,0))),ROUND(INDEX(AllCollegeGR, MATCH(N446,AllCollegeNCES,0))+W446*IF(INDEX(AllCollegeGR, MATCH(N446,AllCollegeNCES,0))&gt;0.7,(1-INDEX(AllCollegeGR, MATCH(N446,AllCollegeNCES,0)))/2,0.15),2),INDEX(AllCollegeGR, MATCH(N446,AllCollegeNCES,0)))</f>
        <v>0</v>
      </c>
      <c r="Y446">
        <f>IF(ISNUMBER(INDEX(AllCollegeAAHGR, MATCH(N446,AllCollegeNCES,0))),ROUND(INDEX(AllCollegeAAHGR, MATCH(N446,AllCollegeNCES,0))+W446*IF(INDEX(AllCollegeAAHGR, MATCH(N446,AllCollegeNCES,0))&gt;0.7,(1-INDEX(AllCollegeAAHGR, MATCH(N446,AllCollegeNCES,0)))/2,0.15),2),INDEX(AllCollegeAAHGR, MATCH(N446,AllCollegeNCES,0)))</f>
        <v>0</v>
      </c>
      <c r="Z446">
        <f>IF(OR(T446="H",T446="B"),INDEX(AllCollegeACT25, MATCH(N446,AllCollegeNCES,0)),INDEX(AllCollegeACT50, MATCH(N446,AllCollegeNCES,0)))</f>
        <v>0</v>
      </c>
      <c r="AA446">
        <f>INDEX(CustomWeightsGPA,MATCH(T446&amp;":"&amp;N446,CustomWeightsIndex,0))</f>
        <v>0</v>
      </c>
      <c r="AB446">
        <f>INDEX(CustomWeightsACT,MATCH(T446&amp;":"&amp;N446,CustomWeightsIndex,0))</f>
        <v>0</v>
      </c>
      <c r="AC446">
        <f>INDEX(CustomWeightsIntercept,MATCH(T446&amp;":"&amp;N446,CustomWeightsIndex,0))</f>
        <v>0</v>
      </c>
      <c r="AD446">
        <f>AA446*P446+AB446*Q446+AC446</f>
        <v>0</v>
      </c>
      <c r="AE446">
        <f>INDEX(CoefficientsGPA,MATCH(T446&amp;":"&amp;O446,CoefficientsIndex,0))</f>
        <v>0</v>
      </c>
      <c r="AF446">
        <f>INDEX(CoefficientsACT,MATCH(T446&amp;":"&amp;O446,CoefficientsIndex,0))</f>
        <v>0</v>
      </c>
      <c r="AG446">
        <f>INDEX(CoefficientsIntercept,MATCH(T446&amp;":"&amp;O446,CoefficientsIndex,0))</f>
        <v>0</v>
      </c>
      <c r="AH446">
        <f>AE446*P446+(Q446-Z446)*AF446+AG446</f>
        <v>0</v>
      </c>
      <c r="AI446">
        <f>IF(ISNUMBER(AD446),AD446,AH446)</f>
        <v>0</v>
      </c>
      <c r="AJ446">
        <f>IF(ISNUMBER(AI446),IF(ISNUMBER(AE446),IF(AND(AE446=1,AF446=1,AG446=1),100,ROUND(100*EXP(AI446)/(1+EXP(AI446)),2)),ROUND(100*EXP(AI446)/(1+EXP(AI446)),2)),IF(ISTEXT(O446),IF(LEFT(O446,1)="2",100,"N/A"),"N/A"))</f>
        <v>0</v>
      </c>
      <c r="AK446">
        <f>IF(ISNUMBER(AJ446),IF(AJ446&gt;=99,IF(OR(R446=10,R446=11),MatchLabel,SureThingLabel),IF(AJ446&gt;=95,SecureLabel,IF(AJ446&gt;=80,SafetyLabel,IF(AJ446&gt;=50,MatchLabel,IF(AJ446&gt;=20,ReachLabel,IF(AJ446&gt;=10,LongshotLabel,HailMaryLabel)))))),"Other")</f>
        <v>0</v>
      </c>
      <c r="AL446">
        <f>IF(OR(I446="accepted",I446="cond. accept",I446="summer admit"),IF(J446="yes","CHOICE!","Accepted!"),IF(I446="denied","Denied",IF(K446=1,"Waitlist",IF(L446=1,"Deferred",IF(G446="pending","Pending",IF(OR(G446="initial materials submitted",G446="mid-year submitted",G446="final submitted"),"Submitted",IF(H446="interest","Interest","?")))))))</f>
        <v>0</v>
      </c>
      <c r="AM446">
        <f>IF(OR(AK446=ReachLabel,AK446=LongshotLabel,AK446=HailMaryLabel),1,0)</f>
        <v>0</v>
      </c>
      <c r="AN446">
        <f>IF(OR(AM446=1,AK446=MatchLabel),1,0)</f>
        <v>0</v>
      </c>
      <c r="AO446">
        <f>IF(OR(AK446=MatchLabel,AK446=SafetyLabel,AK446=SecureLabel,AK446=SureThingLabel),1,0)</f>
        <v>0</v>
      </c>
      <c r="AP446">
        <f>IF(OR(T446="H",T446="B"),IF(ISNUMBER(Y446),ROUND(Y446,2),0),IF(ISNUMBER(X446),ROUND(X446,2),0))</f>
        <v>0</v>
      </c>
      <c r="AQ446">
        <f>IF(AP446&gt;=U446,1,0)</f>
        <v>0</v>
      </c>
      <c r="AR446">
        <f>IF(AP446&gt;=V446,1,0)</f>
        <v>0</v>
      </c>
      <c r="AS446">
        <f>IF(AP446&lt;(U446-0.10),1,0)</f>
        <v>0</v>
      </c>
      <c r="AT446">
        <f>1-AJ446/100</f>
        <v>0</v>
      </c>
      <c r="AU446">
        <f>IF(AN446=1,AT446,1)</f>
        <v>0</v>
      </c>
      <c r="AV446">
        <f>IF(AM446=1,AT446,1)</f>
        <v>0</v>
      </c>
      <c r="AW446">
        <f>IF(AND(AQ446=1,ISNUMBER(AT446)),$AT446,1)</f>
        <v>0</v>
      </c>
      <c r="AX446">
        <f>IF(AND(AR446=1,ISNUMBER(AT446)),$AT446,1)</f>
        <v>0</v>
      </c>
      <c r="AY446">
        <f>IF(ISNUMBER(Y446),INDEX(AllCollegeMoney, MATCH(N446,AllCollegeNCES,0)),0)</f>
        <v>0</v>
      </c>
      <c r="AZ446">
        <f>IF(AND(AQ446=1,ISNUMBER(AT446),AY446=1),$AT446,1)</f>
        <v>0</v>
      </c>
      <c r="BA446">
        <f>IF(AND(AR446=1,ISNUMBER(AT446),AY446=1),$AT446,1)</f>
        <v>0</v>
      </c>
      <c r="BB446">
        <f>IF(ISNUMBER(Y446),INDEX(AllCollegeILPub, MATCH(N446,AllCollegeNCES,0)),0)</f>
        <v>0</v>
      </c>
      <c r="BC446">
        <f>IF(AK446=ReachLabel,AP446,0)</f>
        <v>0</v>
      </c>
      <c r="BD446">
        <f>IF(AK446=MatchLabel,AP446,0)</f>
        <v>0</v>
      </c>
      <c r="BE446">
        <f>IF(AK446=SafetyLabel,AP446,0)</f>
        <v>0</v>
      </c>
      <c r="BF446">
        <f>IF(AK446=SecureLabel,AP446,0)</f>
        <v>0</v>
      </c>
      <c r="BG446">
        <f>IF(AK446=SureThingLabel,AP446,0)</f>
        <v>0</v>
      </c>
      <c r="BH446">
        <f>MAX(BC446:BG446)</f>
        <v>0</v>
      </c>
      <c r="BI446">
        <f>MAX(BD446:BG446)</f>
        <v>0</v>
      </c>
      <c r="BJ446">
        <f>MAX(BE446:BG446)</f>
        <v>0</v>
      </c>
      <c r="BK446">
        <f>IF(AND(AK446=ReachLabel,AY446=1),AP446,0)</f>
        <v>0</v>
      </c>
      <c r="BL446">
        <f>IF(AND(AK446=MatchLabel,AY446=1),AP446,0)</f>
        <v>0</v>
      </c>
      <c r="BM446">
        <f>IF(AND(AK446=SafetyLabel,AY446=1),AP446,0)</f>
        <v>0</v>
      </c>
      <c r="BN446">
        <f>IF(AND(AK446=SecureLabel,AY446=1),AP446,0)</f>
        <v>0</v>
      </c>
      <c r="BO446">
        <f>IF(AND(AK446=SureThingLabel,AY446=1),AP446,0)</f>
        <v>0</v>
      </c>
      <c r="BP446">
        <f>MAX(BK446:BO446)</f>
        <v>0</v>
      </c>
      <c r="BQ446">
        <f>MAX(BL446:BO446)</f>
        <v>0</v>
      </c>
      <c r="BR446">
        <f>MAX(BM446:BO446)</f>
        <v>0</v>
      </c>
      <c r="BS446">
        <f>IF(ISNUMBER(Y446),INDEX(AllCollegeChicago, MATCH(N446,AllCollegeNCES,0))*AY446,0)</f>
        <v>0</v>
      </c>
      <c r="BT446">
        <f>IF(ISNUMBER(Y446),INDEX(AllCollegeMoneyCode, MATCH(N446,AllCollegeNCES,0)),"?")</f>
        <v>0</v>
      </c>
      <c r="BU446">
        <f>IF(OR(BT446="---",BT446="--",BT446="+/--",BT446="+/---"),1,0)</f>
        <v>0</v>
      </c>
      <c r="BV446">
        <f>AY446*AO446*AQ446</f>
        <v>0</v>
      </c>
    </row>
    <row r="447" spans="1:74">
      <c r="A447" t="s">
        <v>86</v>
      </c>
      <c r="B447">
        <v>23416005</v>
      </c>
      <c r="C447" t="s">
        <v>194</v>
      </c>
      <c r="D447" t="s">
        <v>195</v>
      </c>
      <c r="E447" t="s">
        <v>428</v>
      </c>
      <c r="F447" t="s">
        <v>447</v>
      </c>
      <c r="G447" t="s">
        <v>430</v>
      </c>
      <c r="H447" t="s">
        <v>431</v>
      </c>
      <c r="I447" t="s">
        <v>432</v>
      </c>
      <c r="J447" t="s">
        <v>432</v>
      </c>
      <c r="K447">
        <v>0</v>
      </c>
      <c r="L447" t="s">
        <v>428</v>
      </c>
      <c r="M447" t="s">
        <v>428</v>
      </c>
      <c r="N447">
        <v>145600</v>
      </c>
      <c r="O447">
        <f>INDEX(AllCollegeBarrons,MATCH(N447,AllCollegeNCES,0))</f>
        <v>0</v>
      </c>
      <c r="P447">
        <f>INDEX(KidGPAs,MATCH(B447,KidIDs,0))</f>
        <v>0</v>
      </c>
      <c r="Q447">
        <f>INDEX(KidACTs,MATCH(B447,KidIDs,0))</f>
        <v>0</v>
      </c>
      <c r="R447">
        <f>INDEX(Strats,MATCH(B447,KidIDs,0))</f>
        <v>0</v>
      </c>
      <c r="S447">
        <f>INDEX(KidRace,MATCH(B447,KidIDs,0))</f>
        <v>0</v>
      </c>
      <c r="T447">
        <f>IF(OR(S447="M",S447="I"),"H",S447)</f>
        <v>0</v>
      </c>
      <c r="U447">
        <f>INDEX(StudentTargets,MATCH(B447,KidIDs,0))</f>
        <v>0</v>
      </c>
      <c r="V447">
        <f>INDEX(ReachStudentTargets,MATCH(B447,KidIDs,0))</f>
        <v>0</v>
      </c>
      <c r="W447">
        <f>IF(OR(M447="Posse"),1,0)</f>
        <v>0</v>
      </c>
      <c r="X447">
        <f>IF(ISNUMBER(INDEX(AllCollegeGR, MATCH(N447,AllCollegeNCES,0))),ROUND(INDEX(AllCollegeGR, MATCH(N447,AllCollegeNCES,0))+W447*IF(INDEX(AllCollegeGR, MATCH(N447,AllCollegeNCES,0))&gt;0.7,(1-INDEX(AllCollegeGR, MATCH(N447,AllCollegeNCES,0)))/2,0.15),2),INDEX(AllCollegeGR, MATCH(N447,AllCollegeNCES,0)))</f>
        <v>0</v>
      </c>
      <c r="Y447">
        <f>IF(ISNUMBER(INDEX(AllCollegeAAHGR, MATCH(N447,AllCollegeNCES,0))),ROUND(INDEX(AllCollegeAAHGR, MATCH(N447,AllCollegeNCES,0))+W447*IF(INDEX(AllCollegeAAHGR, MATCH(N447,AllCollegeNCES,0))&gt;0.7,(1-INDEX(AllCollegeAAHGR, MATCH(N447,AllCollegeNCES,0)))/2,0.15),2),INDEX(AllCollegeAAHGR, MATCH(N447,AllCollegeNCES,0)))</f>
        <v>0</v>
      </c>
      <c r="Z447">
        <f>IF(OR(T447="H",T447="B"),INDEX(AllCollegeACT25, MATCH(N447,AllCollegeNCES,0)),INDEX(AllCollegeACT50, MATCH(N447,AllCollegeNCES,0)))</f>
        <v>0</v>
      </c>
      <c r="AA447">
        <f>INDEX(CustomWeightsGPA,MATCH(T447&amp;":"&amp;N447,CustomWeightsIndex,0))</f>
        <v>0</v>
      </c>
      <c r="AB447">
        <f>INDEX(CustomWeightsACT,MATCH(T447&amp;":"&amp;N447,CustomWeightsIndex,0))</f>
        <v>0</v>
      </c>
      <c r="AC447">
        <f>INDEX(CustomWeightsIntercept,MATCH(T447&amp;":"&amp;N447,CustomWeightsIndex,0))</f>
        <v>0</v>
      </c>
      <c r="AD447">
        <f>AA447*P447+AB447*Q447+AC447</f>
        <v>0</v>
      </c>
      <c r="AE447">
        <f>INDEX(CoefficientsGPA,MATCH(T447&amp;":"&amp;O447,CoefficientsIndex,0))</f>
        <v>0</v>
      </c>
      <c r="AF447">
        <f>INDEX(CoefficientsACT,MATCH(T447&amp;":"&amp;O447,CoefficientsIndex,0))</f>
        <v>0</v>
      </c>
      <c r="AG447">
        <f>INDEX(CoefficientsIntercept,MATCH(T447&amp;":"&amp;O447,CoefficientsIndex,0))</f>
        <v>0</v>
      </c>
      <c r="AH447">
        <f>AE447*P447+(Q447-Z447)*AF447+AG447</f>
        <v>0</v>
      </c>
      <c r="AI447">
        <f>IF(ISNUMBER(AD447),AD447,AH447)</f>
        <v>0</v>
      </c>
      <c r="AJ447">
        <f>IF(ISNUMBER(AI447),IF(ISNUMBER(AE447),IF(AND(AE447=1,AF447=1,AG447=1),100,ROUND(100*EXP(AI447)/(1+EXP(AI447)),2)),ROUND(100*EXP(AI447)/(1+EXP(AI447)),2)),IF(ISTEXT(O447),IF(LEFT(O447,1)="2",100,"N/A"),"N/A"))</f>
        <v>0</v>
      </c>
      <c r="AK447">
        <f>IF(ISNUMBER(AJ447),IF(AJ447&gt;=99,IF(OR(R447=10,R447=11),MatchLabel,SureThingLabel),IF(AJ447&gt;=95,SecureLabel,IF(AJ447&gt;=80,SafetyLabel,IF(AJ447&gt;=50,MatchLabel,IF(AJ447&gt;=20,ReachLabel,IF(AJ447&gt;=10,LongshotLabel,HailMaryLabel)))))),"Other")</f>
        <v>0</v>
      </c>
      <c r="AL447">
        <f>IF(OR(I447="accepted",I447="cond. accept",I447="summer admit"),IF(J447="yes","CHOICE!","Accepted!"),IF(I447="denied","Denied",IF(K447=1,"Waitlist",IF(L447=1,"Deferred",IF(G447="pending","Pending",IF(OR(G447="initial materials submitted",G447="mid-year submitted",G447="final submitted"),"Submitted",IF(H447="interest","Interest","?")))))))</f>
        <v>0</v>
      </c>
      <c r="AM447">
        <f>IF(OR(AK447=ReachLabel,AK447=LongshotLabel,AK447=HailMaryLabel),1,0)</f>
        <v>0</v>
      </c>
      <c r="AN447">
        <f>IF(OR(AM447=1,AK447=MatchLabel),1,0)</f>
        <v>0</v>
      </c>
      <c r="AO447">
        <f>IF(OR(AK447=MatchLabel,AK447=SafetyLabel,AK447=SecureLabel,AK447=SureThingLabel),1,0)</f>
        <v>0</v>
      </c>
      <c r="AP447">
        <f>IF(OR(T447="H",T447="B"),IF(ISNUMBER(Y447),ROUND(Y447,2),0),IF(ISNUMBER(X447),ROUND(X447,2),0))</f>
        <v>0</v>
      </c>
      <c r="AQ447">
        <f>IF(AP447&gt;=U447,1,0)</f>
        <v>0</v>
      </c>
      <c r="AR447">
        <f>IF(AP447&gt;=V447,1,0)</f>
        <v>0</v>
      </c>
      <c r="AS447">
        <f>IF(AP447&lt;(U447-0.10),1,0)</f>
        <v>0</v>
      </c>
      <c r="AT447">
        <f>1-AJ447/100</f>
        <v>0</v>
      </c>
      <c r="AU447">
        <f>IF(AN447=1,AT447,1)</f>
        <v>0</v>
      </c>
      <c r="AV447">
        <f>IF(AM447=1,AT447,1)</f>
        <v>0</v>
      </c>
      <c r="AW447">
        <f>IF(AND(AQ447=1,ISNUMBER(AT447)),$AT447,1)</f>
        <v>0</v>
      </c>
      <c r="AX447">
        <f>IF(AND(AR447=1,ISNUMBER(AT447)),$AT447,1)</f>
        <v>0</v>
      </c>
      <c r="AY447">
        <f>IF(ISNUMBER(Y447),INDEX(AllCollegeMoney, MATCH(N447,AllCollegeNCES,0)),0)</f>
        <v>0</v>
      </c>
      <c r="AZ447">
        <f>IF(AND(AQ447=1,ISNUMBER(AT447),AY447=1),$AT447,1)</f>
        <v>0</v>
      </c>
      <c r="BA447">
        <f>IF(AND(AR447=1,ISNUMBER(AT447),AY447=1),$AT447,1)</f>
        <v>0</v>
      </c>
      <c r="BB447">
        <f>IF(ISNUMBER(Y447),INDEX(AllCollegeILPub, MATCH(N447,AllCollegeNCES,0)),0)</f>
        <v>0</v>
      </c>
      <c r="BC447">
        <f>IF(AK447=ReachLabel,AP447,0)</f>
        <v>0</v>
      </c>
      <c r="BD447">
        <f>IF(AK447=MatchLabel,AP447,0)</f>
        <v>0</v>
      </c>
      <c r="BE447">
        <f>IF(AK447=SafetyLabel,AP447,0)</f>
        <v>0</v>
      </c>
      <c r="BF447">
        <f>IF(AK447=SecureLabel,AP447,0)</f>
        <v>0</v>
      </c>
      <c r="BG447">
        <f>IF(AK447=SureThingLabel,AP447,0)</f>
        <v>0</v>
      </c>
      <c r="BH447">
        <f>MAX(BC447:BG447)</f>
        <v>0</v>
      </c>
      <c r="BI447">
        <f>MAX(BD447:BG447)</f>
        <v>0</v>
      </c>
      <c r="BJ447">
        <f>MAX(BE447:BG447)</f>
        <v>0</v>
      </c>
      <c r="BK447">
        <f>IF(AND(AK447=ReachLabel,AY447=1),AP447,0)</f>
        <v>0</v>
      </c>
      <c r="BL447">
        <f>IF(AND(AK447=MatchLabel,AY447=1),AP447,0)</f>
        <v>0</v>
      </c>
      <c r="BM447">
        <f>IF(AND(AK447=SafetyLabel,AY447=1),AP447,0)</f>
        <v>0</v>
      </c>
      <c r="BN447">
        <f>IF(AND(AK447=SecureLabel,AY447=1),AP447,0)</f>
        <v>0</v>
      </c>
      <c r="BO447">
        <f>IF(AND(AK447=SureThingLabel,AY447=1),AP447,0)</f>
        <v>0</v>
      </c>
      <c r="BP447">
        <f>MAX(BK447:BO447)</f>
        <v>0</v>
      </c>
      <c r="BQ447">
        <f>MAX(BL447:BO447)</f>
        <v>0</v>
      </c>
      <c r="BR447">
        <f>MAX(BM447:BO447)</f>
        <v>0</v>
      </c>
      <c r="BS447">
        <f>IF(ISNUMBER(Y447),INDEX(AllCollegeChicago, MATCH(N447,AllCollegeNCES,0))*AY447,0)</f>
        <v>0</v>
      </c>
      <c r="BT447">
        <f>IF(ISNUMBER(Y447),INDEX(AllCollegeMoneyCode, MATCH(N447,AllCollegeNCES,0)),"?")</f>
        <v>0</v>
      </c>
      <c r="BU447">
        <f>IF(OR(BT447="---",BT447="--",BT447="+/--",BT447="+/---"),1,0)</f>
        <v>0</v>
      </c>
      <c r="BV447">
        <f>AY447*AO447*AQ447</f>
        <v>0</v>
      </c>
    </row>
    <row r="448" spans="1:74">
      <c r="A448" t="s">
        <v>86</v>
      </c>
      <c r="B448">
        <v>23438312</v>
      </c>
      <c r="C448" t="s">
        <v>212</v>
      </c>
      <c r="D448" t="s">
        <v>213</v>
      </c>
      <c r="E448" t="s">
        <v>428</v>
      </c>
      <c r="F448" t="s">
        <v>455</v>
      </c>
      <c r="G448" t="s">
        <v>430</v>
      </c>
      <c r="H448" t="s">
        <v>431</v>
      </c>
      <c r="I448" t="s">
        <v>432</v>
      </c>
      <c r="J448" t="s">
        <v>432</v>
      </c>
      <c r="K448">
        <v>0</v>
      </c>
      <c r="L448" t="s">
        <v>428</v>
      </c>
      <c r="M448" t="s">
        <v>428</v>
      </c>
      <c r="N448">
        <v>240444</v>
      </c>
      <c r="O448">
        <f>INDEX(AllCollegeBarrons,MATCH(N448,AllCollegeNCES,0))</f>
        <v>0</v>
      </c>
      <c r="P448">
        <f>INDEX(KidGPAs,MATCH(B448,KidIDs,0))</f>
        <v>0</v>
      </c>
      <c r="Q448">
        <f>INDEX(KidACTs,MATCH(B448,KidIDs,0))</f>
        <v>0</v>
      </c>
      <c r="R448">
        <f>INDEX(Strats,MATCH(B448,KidIDs,0))</f>
        <v>0</v>
      </c>
      <c r="S448">
        <f>INDEX(KidRace,MATCH(B448,KidIDs,0))</f>
        <v>0</v>
      </c>
      <c r="T448">
        <f>IF(OR(S448="M",S448="I"),"H",S448)</f>
        <v>0</v>
      </c>
      <c r="U448">
        <f>INDEX(StudentTargets,MATCH(B448,KidIDs,0))</f>
        <v>0</v>
      </c>
      <c r="V448">
        <f>INDEX(ReachStudentTargets,MATCH(B448,KidIDs,0))</f>
        <v>0</v>
      </c>
      <c r="W448">
        <f>IF(OR(M448="Posse"),1,0)</f>
        <v>0</v>
      </c>
      <c r="X448">
        <f>IF(ISNUMBER(INDEX(AllCollegeGR, MATCH(N448,AllCollegeNCES,0))),ROUND(INDEX(AllCollegeGR, MATCH(N448,AllCollegeNCES,0))+W448*IF(INDEX(AllCollegeGR, MATCH(N448,AllCollegeNCES,0))&gt;0.7,(1-INDEX(AllCollegeGR, MATCH(N448,AllCollegeNCES,0)))/2,0.15),2),INDEX(AllCollegeGR, MATCH(N448,AllCollegeNCES,0)))</f>
        <v>0</v>
      </c>
      <c r="Y448">
        <f>IF(ISNUMBER(INDEX(AllCollegeAAHGR, MATCH(N448,AllCollegeNCES,0))),ROUND(INDEX(AllCollegeAAHGR, MATCH(N448,AllCollegeNCES,0))+W448*IF(INDEX(AllCollegeAAHGR, MATCH(N448,AllCollegeNCES,0))&gt;0.7,(1-INDEX(AllCollegeAAHGR, MATCH(N448,AllCollegeNCES,0)))/2,0.15),2),INDEX(AllCollegeAAHGR, MATCH(N448,AllCollegeNCES,0)))</f>
        <v>0</v>
      </c>
      <c r="Z448">
        <f>IF(OR(T448="H",T448="B"),INDEX(AllCollegeACT25, MATCH(N448,AllCollegeNCES,0)),INDEX(AllCollegeACT50, MATCH(N448,AllCollegeNCES,0)))</f>
        <v>0</v>
      </c>
      <c r="AA448">
        <f>INDEX(CustomWeightsGPA,MATCH(T448&amp;":"&amp;N448,CustomWeightsIndex,0))</f>
        <v>0</v>
      </c>
      <c r="AB448">
        <f>INDEX(CustomWeightsACT,MATCH(T448&amp;":"&amp;N448,CustomWeightsIndex,0))</f>
        <v>0</v>
      </c>
      <c r="AC448">
        <f>INDEX(CustomWeightsIntercept,MATCH(T448&amp;":"&amp;N448,CustomWeightsIndex,0))</f>
        <v>0</v>
      </c>
      <c r="AD448">
        <f>AA448*P448+AB448*Q448+AC448</f>
        <v>0</v>
      </c>
      <c r="AE448">
        <f>INDEX(CoefficientsGPA,MATCH(T448&amp;":"&amp;O448,CoefficientsIndex,0))</f>
        <v>0</v>
      </c>
      <c r="AF448">
        <f>INDEX(CoefficientsACT,MATCH(T448&amp;":"&amp;O448,CoefficientsIndex,0))</f>
        <v>0</v>
      </c>
      <c r="AG448">
        <f>INDEX(CoefficientsIntercept,MATCH(T448&amp;":"&amp;O448,CoefficientsIndex,0))</f>
        <v>0</v>
      </c>
      <c r="AH448">
        <f>AE448*P448+(Q448-Z448)*AF448+AG448</f>
        <v>0</v>
      </c>
      <c r="AI448">
        <f>IF(ISNUMBER(AD448),AD448,AH448)</f>
        <v>0</v>
      </c>
      <c r="AJ448">
        <f>IF(ISNUMBER(AI448),IF(ISNUMBER(AE448),IF(AND(AE448=1,AF448=1,AG448=1),100,ROUND(100*EXP(AI448)/(1+EXP(AI448)),2)),ROUND(100*EXP(AI448)/(1+EXP(AI448)),2)),IF(ISTEXT(O448),IF(LEFT(O448,1)="2",100,"N/A"),"N/A"))</f>
        <v>0</v>
      </c>
      <c r="AK448">
        <f>IF(ISNUMBER(AJ448),IF(AJ448&gt;=99,IF(OR(R448=10,R448=11),MatchLabel,SureThingLabel),IF(AJ448&gt;=95,SecureLabel,IF(AJ448&gt;=80,SafetyLabel,IF(AJ448&gt;=50,MatchLabel,IF(AJ448&gt;=20,ReachLabel,IF(AJ448&gt;=10,LongshotLabel,HailMaryLabel)))))),"Other")</f>
        <v>0</v>
      </c>
      <c r="AL448">
        <f>IF(OR(I448="accepted",I448="cond. accept",I448="summer admit"),IF(J448="yes","CHOICE!","Accepted!"),IF(I448="denied","Denied",IF(K448=1,"Waitlist",IF(L448=1,"Deferred",IF(G448="pending","Pending",IF(OR(G448="initial materials submitted",G448="mid-year submitted",G448="final submitted"),"Submitted",IF(H448="interest","Interest","?")))))))</f>
        <v>0</v>
      </c>
      <c r="AM448">
        <f>IF(OR(AK448=ReachLabel,AK448=LongshotLabel,AK448=HailMaryLabel),1,0)</f>
        <v>0</v>
      </c>
      <c r="AN448">
        <f>IF(OR(AM448=1,AK448=MatchLabel),1,0)</f>
        <v>0</v>
      </c>
      <c r="AO448">
        <f>IF(OR(AK448=MatchLabel,AK448=SafetyLabel,AK448=SecureLabel,AK448=SureThingLabel),1,0)</f>
        <v>0</v>
      </c>
      <c r="AP448">
        <f>IF(OR(T448="H",T448="B"),IF(ISNUMBER(Y448),ROUND(Y448,2),0),IF(ISNUMBER(X448),ROUND(X448,2),0))</f>
        <v>0</v>
      </c>
      <c r="AQ448">
        <f>IF(AP448&gt;=U448,1,0)</f>
        <v>0</v>
      </c>
      <c r="AR448">
        <f>IF(AP448&gt;=V448,1,0)</f>
        <v>0</v>
      </c>
      <c r="AS448">
        <f>IF(AP448&lt;(U448-0.10),1,0)</f>
        <v>0</v>
      </c>
      <c r="AT448">
        <f>1-AJ448/100</f>
        <v>0</v>
      </c>
      <c r="AU448">
        <f>IF(AN448=1,AT448,1)</f>
        <v>0</v>
      </c>
      <c r="AV448">
        <f>IF(AM448=1,AT448,1)</f>
        <v>0</v>
      </c>
      <c r="AW448">
        <f>IF(AND(AQ448=1,ISNUMBER(AT448)),$AT448,1)</f>
        <v>0</v>
      </c>
      <c r="AX448">
        <f>IF(AND(AR448=1,ISNUMBER(AT448)),$AT448,1)</f>
        <v>0</v>
      </c>
      <c r="AY448">
        <f>IF(ISNUMBER(Y448),INDEX(AllCollegeMoney, MATCH(N448,AllCollegeNCES,0)),0)</f>
        <v>0</v>
      </c>
      <c r="AZ448">
        <f>IF(AND(AQ448=1,ISNUMBER(AT448),AY448=1),$AT448,1)</f>
        <v>0</v>
      </c>
      <c r="BA448">
        <f>IF(AND(AR448=1,ISNUMBER(AT448),AY448=1),$AT448,1)</f>
        <v>0</v>
      </c>
      <c r="BB448">
        <f>IF(ISNUMBER(Y448),INDEX(AllCollegeILPub, MATCH(N448,AllCollegeNCES,0)),0)</f>
        <v>0</v>
      </c>
      <c r="BC448">
        <f>IF(AK448=ReachLabel,AP448,0)</f>
        <v>0</v>
      </c>
      <c r="BD448">
        <f>IF(AK448=MatchLabel,AP448,0)</f>
        <v>0</v>
      </c>
      <c r="BE448">
        <f>IF(AK448=SafetyLabel,AP448,0)</f>
        <v>0</v>
      </c>
      <c r="BF448">
        <f>IF(AK448=SecureLabel,AP448,0)</f>
        <v>0</v>
      </c>
      <c r="BG448">
        <f>IF(AK448=SureThingLabel,AP448,0)</f>
        <v>0</v>
      </c>
      <c r="BH448">
        <f>MAX(BC448:BG448)</f>
        <v>0</v>
      </c>
      <c r="BI448">
        <f>MAX(BD448:BG448)</f>
        <v>0</v>
      </c>
      <c r="BJ448">
        <f>MAX(BE448:BG448)</f>
        <v>0</v>
      </c>
      <c r="BK448">
        <f>IF(AND(AK448=ReachLabel,AY448=1),AP448,0)</f>
        <v>0</v>
      </c>
      <c r="BL448">
        <f>IF(AND(AK448=MatchLabel,AY448=1),AP448,0)</f>
        <v>0</v>
      </c>
      <c r="BM448">
        <f>IF(AND(AK448=SafetyLabel,AY448=1),AP448,0)</f>
        <v>0</v>
      </c>
      <c r="BN448">
        <f>IF(AND(AK448=SecureLabel,AY448=1),AP448,0)</f>
        <v>0</v>
      </c>
      <c r="BO448">
        <f>IF(AND(AK448=SureThingLabel,AY448=1),AP448,0)</f>
        <v>0</v>
      </c>
      <c r="BP448">
        <f>MAX(BK448:BO448)</f>
        <v>0</v>
      </c>
      <c r="BQ448">
        <f>MAX(BL448:BO448)</f>
        <v>0</v>
      </c>
      <c r="BR448">
        <f>MAX(BM448:BO448)</f>
        <v>0</v>
      </c>
      <c r="BS448">
        <f>IF(ISNUMBER(Y448),INDEX(AllCollegeChicago, MATCH(N448,AllCollegeNCES,0))*AY448,0)</f>
        <v>0</v>
      </c>
      <c r="BT448">
        <f>IF(ISNUMBER(Y448),INDEX(AllCollegeMoneyCode, MATCH(N448,AllCollegeNCES,0)),"?")</f>
        <v>0</v>
      </c>
      <c r="BU448">
        <f>IF(OR(BT448="---",BT448="--",BT448="+/--",BT448="+/---"),1,0)</f>
        <v>0</v>
      </c>
      <c r="BV448">
        <f>AY448*AO448*AQ448</f>
        <v>0</v>
      </c>
    </row>
    <row r="449" spans="1:74">
      <c r="A449" t="s">
        <v>86</v>
      </c>
      <c r="B449">
        <v>23438312</v>
      </c>
      <c r="C449" t="s">
        <v>212</v>
      </c>
      <c r="D449" t="s">
        <v>213</v>
      </c>
      <c r="E449" t="s">
        <v>428</v>
      </c>
      <c r="F449" t="s">
        <v>457</v>
      </c>
      <c r="G449" t="s">
        <v>430</v>
      </c>
      <c r="H449" t="s">
        <v>431</v>
      </c>
      <c r="I449" t="s">
        <v>432</v>
      </c>
      <c r="J449" t="s">
        <v>432</v>
      </c>
      <c r="K449">
        <v>0</v>
      </c>
      <c r="L449" t="s">
        <v>428</v>
      </c>
      <c r="M449" t="s">
        <v>428</v>
      </c>
      <c r="N449">
        <v>145637</v>
      </c>
      <c r="O449">
        <f>INDEX(AllCollegeBarrons,MATCH(N449,AllCollegeNCES,0))</f>
        <v>0</v>
      </c>
      <c r="P449">
        <f>INDEX(KidGPAs,MATCH(B449,KidIDs,0))</f>
        <v>0</v>
      </c>
      <c r="Q449">
        <f>INDEX(KidACTs,MATCH(B449,KidIDs,0))</f>
        <v>0</v>
      </c>
      <c r="R449">
        <f>INDEX(Strats,MATCH(B449,KidIDs,0))</f>
        <v>0</v>
      </c>
      <c r="S449">
        <f>INDEX(KidRace,MATCH(B449,KidIDs,0))</f>
        <v>0</v>
      </c>
      <c r="T449">
        <f>IF(OR(S449="M",S449="I"),"H",S449)</f>
        <v>0</v>
      </c>
      <c r="U449">
        <f>INDEX(StudentTargets,MATCH(B449,KidIDs,0))</f>
        <v>0</v>
      </c>
      <c r="V449">
        <f>INDEX(ReachStudentTargets,MATCH(B449,KidIDs,0))</f>
        <v>0</v>
      </c>
      <c r="W449">
        <f>IF(OR(M449="Posse"),1,0)</f>
        <v>0</v>
      </c>
      <c r="X449">
        <f>IF(ISNUMBER(INDEX(AllCollegeGR, MATCH(N449,AllCollegeNCES,0))),ROUND(INDEX(AllCollegeGR, MATCH(N449,AllCollegeNCES,0))+W449*IF(INDEX(AllCollegeGR, MATCH(N449,AllCollegeNCES,0))&gt;0.7,(1-INDEX(AllCollegeGR, MATCH(N449,AllCollegeNCES,0)))/2,0.15),2),INDEX(AllCollegeGR, MATCH(N449,AllCollegeNCES,0)))</f>
        <v>0</v>
      </c>
      <c r="Y449">
        <f>IF(ISNUMBER(INDEX(AllCollegeAAHGR, MATCH(N449,AllCollegeNCES,0))),ROUND(INDEX(AllCollegeAAHGR, MATCH(N449,AllCollegeNCES,0))+W449*IF(INDEX(AllCollegeAAHGR, MATCH(N449,AllCollegeNCES,0))&gt;0.7,(1-INDEX(AllCollegeAAHGR, MATCH(N449,AllCollegeNCES,0)))/2,0.15),2),INDEX(AllCollegeAAHGR, MATCH(N449,AllCollegeNCES,0)))</f>
        <v>0</v>
      </c>
      <c r="Z449">
        <f>IF(OR(T449="H",T449="B"),INDEX(AllCollegeACT25, MATCH(N449,AllCollegeNCES,0)),INDEX(AllCollegeACT50, MATCH(N449,AllCollegeNCES,0)))</f>
        <v>0</v>
      </c>
      <c r="AA449">
        <f>INDEX(CustomWeightsGPA,MATCH(T449&amp;":"&amp;N449,CustomWeightsIndex,0))</f>
        <v>0</v>
      </c>
      <c r="AB449">
        <f>INDEX(CustomWeightsACT,MATCH(T449&amp;":"&amp;N449,CustomWeightsIndex,0))</f>
        <v>0</v>
      </c>
      <c r="AC449">
        <f>INDEX(CustomWeightsIntercept,MATCH(T449&amp;":"&amp;N449,CustomWeightsIndex,0))</f>
        <v>0</v>
      </c>
      <c r="AD449">
        <f>AA449*P449+AB449*Q449+AC449</f>
        <v>0</v>
      </c>
      <c r="AE449">
        <f>INDEX(CoefficientsGPA,MATCH(T449&amp;":"&amp;O449,CoefficientsIndex,0))</f>
        <v>0</v>
      </c>
      <c r="AF449">
        <f>INDEX(CoefficientsACT,MATCH(T449&amp;":"&amp;O449,CoefficientsIndex,0))</f>
        <v>0</v>
      </c>
      <c r="AG449">
        <f>INDEX(CoefficientsIntercept,MATCH(T449&amp;":"&amp;O449,CoefficientsIndex,0))</f>
        <v>0</v>
      </c>
      <c r="AH449">
        <f>AE449*P449+(Q449-Z449)*AF449+AG449</f>
        <v>0</v>
      </c>
      <c r="AI449">
        <f>IF(ISNUMBER(AD449),AD449,AH449)</f>
        <v>0</v>
      </c>
      <c r="AJ449">
        <f>IF(ISNUMBER(AI449),IF(ISNUMBER(AE449),IF(AND(AE449=1,AF449=1,AG449=1),100,ROUND(100*EXP(AI449)/(1+EXP(AI449)),2)),ROUND(100*EXP(AI449)/(1+EXP(AI449)),2)),IF(ISTEXT(O449),IF(LEFT(O449,1)="2",100,"N/A"),"N/A"))</f>
        <v>0</v>
      </c>
      <c r="AK449">
        <f>IF(ISNUMBER(AJ449),IF(AJ449&gt;=99,IF(OR(R449=10,R449=11),MatchLabel,SureThingLabel),IF(AJ449&gt;=95,SecureLabel,IF(AJ449&gt;=80,SafetyLabel,IF(AJ449&gt;=50,MatchLabel,IF(AJ449&gt;=20,ReachLabel,IF(AJ449&gt;=10,LongshotLabel,HailMaryLabel)))))),"Other")</f>
        <v>0</v>
      </c>
      <c r="AL449">
        <f>IF(OR(I449="accepted",I449="cond. accept",I449="summer admit"),IF(J449="yes","CHOICE!","Accepted!"),IF(I449="denied","Denied",IF(K449=1,"Waitlist",IF(L449=1,"Deferred",IF(G449="pending","Pending",IF(OR(G449="initial materials submitted",G449="mid-year submitted",G449="final submitted"),"Submitted",IF(H449="interest","Interest","?")))))))</f>
        <v>0</v>
      </c>
      <c r="AM449">
        <f>IF(OR(AK449=ReachLabel,AK449=LongshotLabel,AK449=HailMaryLabel),1,0)</f>
        <v>0</v>
      </c>
      <c r="AN449">
        <f>IF(OR(AM449=1,AK449=MatchLabel),1,0)</f>
        <v>0</v>
      </c>
      <c r="AO449">
        <f>IF(OR(AK449=MatchLabel,AK449=SafetyLabel,AK449=SecureLabel,AK449=SureThingLabel),1,0)</f>
        <v>0</v>
      </c>
      <c r="AP449">
        <f>IF(OR(T449="H",T449="B"),IF(ISNUMBER(Y449),ROUND(Y449,2),0),IF(ISNUMBER(X449),ROUND(X449,2),0))</f>
        <v>0</v>
      </c>
      <c r="AQ449">
        <f>IF(AP449&gt;=U449,1,0)</f>
        <v>0</v>
      </c>
      <c r="AR449">
        <f>IF(AP449&gt;=V449,1,0)</f>
        <v>0</v>
      </c>
      <c r="AS449">
        <f>IF(AP449&lt;(U449-0.10),1,0)</f>
        <v>0</v>
      </c>
      <c r="AT449">
        <f>1-AJ449/100</f>
        <v>0</v>
      </c>
      <c r="AU449">
        <f>IF(AN449=1,AT449,1)</f>
        <v>0</v>
      </c>
      <c r="AV449">
        <f>IF(AM449=1,AT449,1)</f>
        <v>0</v>
      </c>
      <c r="AW449">
        <f>IF(AND(AQ449=1,ISNUMBER(AT449)),$AT449,1)</f>
        <v>0</v>
      </c>
      <c r="AX449">
        <f>IF(AND(AR449=1,ISNUMBER(AT449)),$AT449,1)</f>
        <v>0</v>
      </c>
      <c r="AY449">
        <f>IF(ISNUMBER(Y449),INDEX(AllCollegeMoney, MATCH(N449,AllCollegeNCES,0)),0)</f>
        <v>0</v>
      </c>
      <c r="AZ449">
        <f>IF(AND(AQ449=1,ISNUMBER(AT449),AY449=1),$AT449,1)</f>
        <v>0</v>
      </c>
      <c r="BA449">
        <f>IF(AND(AR449=1,ISNUMBER(AT449),AY449=1),$AT449,1)</f>
        <v>0</v>
      </c>
      <c r="BB449">
        <f>IF(ISNUMBER(Y449),INDEX(AllCollegeILPub, MATCH(N449,AllCollegeNCES,0)),0)</f>
        <v>0</v>
      </c>
      <c r="BC449">
        <f>IF(AK449=ReachLabel,AP449,0)</f>
        <v>0</v>
      </c>
      <c r="BD449">
        <f>IF(AK449=MatchLabel,AP449,0)</f>
        <v>0</v>
      </c>
      <c r="BE449">
        <f>IF(AK449=SafetyLabel,AP449,0)</f>
        <v>0</v>
      </c>
      <c r="BF449">
        <f>IF(AK449=SecureLabel,AP449,0)</f>
        <v>0</v>
      </c>
      <c r="BG449">
        <f>IF(AK449=SureThingLabel,AP449,0)</f>
        <v>0</v>
      </c>
      <c r="BH449">
        <f>MAX(BC449:BG449)</f>
        <v>0</v>
      </c>
      <c r="BI449">
        <f>MAX(BD449:BG449)</f>
        <v>0</v>
      </c>
      <c r="BJ449">
        <f>MAX(BE449:BG449)</f>
        <v>0</v>
      </c>
      <c r="BK449">
        <f>IF(AND(AK449=ReachLabel,AY449=1),AP449,0)</f>
        <v>0</v>
      </c>
      <c r="BL449">
        <f>IF(AND(AK449=MatchLabel,AY449=1),AP449,0)</f>
        <v>0</v>
      </c>
      <c r="BM449">
        <f>IF(AND(AK449=SafetyLabel,AY449=1),AP449,0)</f>
        <v>0</v>
      </c>
      <c r="BN449">
        <f>IF(AND(AK449=SecureLabel,AY449=1),AP449,0)</f>
        <v>0</v>
      </c>
      <c r="BO449">
        <f>IF(AND(AK449=SureThingLabel,AY449=1),AP449,0)</f>
        <v>0</v>
      </c>
      <c r="BP449">
        <f>MAX(BK449:BO449)</f>
        <v>0</v>
      </c>
      <c r="BQ449">
        <f>MAX(BL449:BO449)</f>
        <v>0</v>
      </c>
      <c r="BR449">
        <f>MAX(BM449:BO449)</f>
        <v>0</v>
      </c>
      <c r="BS449">
        <f>IF(ISNUMBER(Y449),INDEX(AllCollegeChicago, MATCH(N449,AllCollegeNCES,0))*AY449,0)</f>
        <v>0</v>
      </c>
      <c r="BT449">
        <f>IF(ISNUMBER(Y449),INDEX(AllCollegeMoneyCode, MATCH(N449,AllCollegeNCES,0)),"?")</f>
        <v>0</v>
      </c>
      <c r="BU449">
        <f>IF(OR(BT449="---",BT449="--",BT449="+/--",BT449="+/---"),1,0)</f>
        <v>0</v>
      </c>
      <c r="BV449">
        <f>AY449*AO449*AQ449</f>
        <v>0</v>
      </c>
    </row>
    <row r="450" spans="1:74">
      <c r="A450" t="s">
        <v>86</v>
      </c>
      <c r="B450">
        <v>23438312</v>
      </c>
      <c r="C450" t="s">
        <v>212</v>
      </c>
      <c r="D450" t="s">
        <v>213</v>
      </c>
      <c r="E450" t="s">
        <v>428</v>
      </c>
      <c r="F450" t="s">
        <v>458</v>
      </c>
      <c r="G450" t="s">
        <v>463</v>
      </c>
      <c r="H450" t="s">
        <v>431</v>
      </c>
      <c r="I450" t="s">
        <v>432</v>
      </c>
      <c r="J450" t="s">
        <v>432</v>
      </c>
      <c r="K450">
        <v>0</v>
      </c>
      <c r="L450" t="s">
        <v>428</v>
      </c>
      <c r="M450" t="s">
        <v>428</v>
      </c>
      <c r="N450">
        <v>202523</v>
      </c>
      <c r="O450">
        <f>INDEX(AllCollegeBarrons,MATCH(N450,AllCollegeNCES,0))</f>
        <v>0</v>
      </c>
      <c r="P450">
        <f>INDEX(KidGPAs,MATCH(B450,KidIDs,0))</f>
        <v>0</v>
      </c>
      <c r="Q450">
        <f>INDEX(KidACTs,MATCH(B450,KidIDs,0))</f>
        <v>0</v>
      </c>
      <c r="R450">
        <f>INDEX(Strats,MATCH(B450,KidIDs,0))</f>
        <v>0</v>
      </c>
      <c r="S450">
        <f>INDEX(KidRace,MATCH(B450,KidIDs,0))</f>
        <v>0</v>
      </c>
      <c r="T450">
        <f>IF(OR(S450="M",S450="I"),"H",S450)</f>
        <v>0</v>
      </c>
      <c r="U450">
        <f>INDEX(StudentTargets,MATCH(B450,KidIDs,0))</f>
        <v>0</v>
      </c>
      <c r="V450">
        <f>INDEX(ReachStudentTargets,MATCH(B450,KidIDs,0))</f>
        <v>0</v>
      </c>
      <c r="W450">
        <f>IF(OR(M450="Posse"),1,0)</f>
        <v>0</v>
      </c>
      <c r="X450">
        <f>IF(ISNUMBER(INDEX(AllCollegeGR, MATCH(N450,AllCollegeNCES,0))),ROUND(INDEX(AllCollegeGR, MATCH(N450,AllCollegeNCES,0))+W450*IF(INDEX(AllCollegeGR, MATCH(N450,AllCollegeNCES,0))&gt;0.7,(1-INDEX(AllCollegeGR, MATCH(N450,AllCollegeNCES,0)))/2,0.15),2),INDEX(AllCollegeGR, MATCH(N450,AllCollegeNCES,0)))</f>
        <v>0</v>
      </c>
      <c r="Y450">
        <f>IF(ISNUMBER(INDEX(AllCollegeAAHGR, MATCH(N450,AllCollegeNCES,0))),ROUND(INDEX(AllCollegeAAHGR, MATCH(N450,AllCollegeNCES,0))+W450*IF(INDEX(AllCollegeAAHGR, MATCH(N450,AllCollegeNCES,0))&gt;0.7,(1-INDEX(AllCollegeAAHGR, MATCH(N450,AllCollegeNCES,0)))/2,0.15),2),INDEX(AllCollegeAAHGR, MATCH(N450,AllCollegeNCES,0)))</f>
        <v>0</v>
      </c>
      <c r="Z450">
        <f>IF(OR(T450="H",T450="B"),INDEX(AllCollegeACT25, MATCH(N450,AllCollegeNCES,0)),INDEX(AllCollegeACT50, MATCH(N450,AllCollegeNCES,0)))</f>
        <v>0</v>
      </c>
      <c r="AA450">
        <f>INDEX(CustomWeightsGPA,MATCH(T450&amp;":"&amp;N450,CustomWeightsIndex,0))</f>
        <v>0</v>
      </c>
      <c r="AB450">
        <f>INDEX(CustomWeightsACT,MATCH(T450&amp;":"&amp;N450,CustomWeightsIndex,0))</f>
        <v>0</v>
      </c>
      <c r="AC450">
        <f>INDEX(CustomWeightsIntercept,MATCH(T450&amp;":"&amp;N450,CustomWeightsIndex,0))</f>
        <v>0</v>
      </c>
      <c r="AD450">
        <f>AA450*P450+AB450*Q450+AC450</f>
        <v>0</v>
      </c>
      <c r="AE450">
        <f>INDEX(CoefficientsGPA,MATCH(T450&amp;":"&amp;O450,CoefficientsIndex,0))</f>
        <v>0</v>
      </c>
      <c r="AF450">
        <f>INDEX(CoefficientsACT,MATCH(T450&amp;":"&amp;O450,CoefficientsIndex,0))</f>
        <v>0</v>
      </c>
      <c r="AG450">
        <f>INDEX(CoefficientsIntercept,MATCH(T450&amp;":"&amp;O450,CoefficientsIndex,0))</f>
        <v>0</v>
      </c>
      <c r="AH450">
        <f>AE450*P450+(Q450-Z450)*AF450+AG450</f>
        <v>0</v>
      </c>
      <c r="AI450">
        <f>IF(ISNUMBER(AD450),AD450,AH450)</f>
        <v>0</v>
      </c>
      <c r="AJ450">
        <f>IF(ISNUMBER(AI450),IF(ISNUMBER(AE450),IF(AND(AE450=1,AF450=1,AG450=1),100,ROUND(100*EXP(AI450)/(1+EXP(AI450)),2)),ROUND(100*EXP(AI450)/(1+EXP(AI450)),2)),IF(ISTEXT(O450),IF(LEFT(O450,1)="2",100,"N/A"),"N/A"))</f>
        <v>0</v>
      </c>
      <c r="AK450">
        <f>IF(ISNUMBER(AJ450),IF(AJ450&gt;=99,IF(OR(R450=10,R450=11),MatchLabel,SureThingLabel),IF(AJ450&gt;=95,SecureLabel,IF(AJ450&gt;=80,SafetyLabel,IF(AJ450&gt;=50,MatchLabel,IF(AJ450&gt;=20,ReachLabel,IF(AJ450&gt;=10,LongshotLabel,HailMaryLabel)))))),"Other")</f>
        <v>0</v>
      </c>
      <c r="AL450">
        <f>IF(OR(I450="accepted",I450="cond. accept",I450="summer admit"),IF(J450="yes","CHOICE!","Accepted!"),IF(I450="denied","Denied",IF(K450=1,"Waitlist",IF(L450=1,"Deferred",IF(G450="pending","Pending",IF(OR(G450="initial materials submitted",G450="mid-year submitted",G450="final submitted"),"Submitted",IF(H450="interest","Interest","?")))))))</f>
        <v>0</v>
      </c>
      <c r="AM450">
        <f>IF(OR(AK450=ReachLabel,AK450=LongshotLabel,AK450=HailMaryLabel),1,0)</f>
        <v>0</v>
      </c>
      <c r="AN450">
        <f>IF(OR(AM450=1,AK450=MatchLabel),1,0)</f>
        <v>0</v>
      </c>
      <c r="AO450">
        <f>IF(OR(AK450=MatchLabel,AK450=SafetyLabel,AK450=SecureLabel,AK450=SureThingLabel),1,0)</f>
        <v>0</v>
      </c>
      <c r="AP450">
        <f>IF(OR(T450="H",T450="B"),IF(ISNUMBER(Y450),ROUND(Y450,2),0),IF(ISNUMBER(X450),ROUND(X450,2),0))</f>
        <v>0</v>
      </c>
      <c r="AQ450">
        <f>IF(AP450&gt;=U450,1,0)</f>
        <v>0</v>
      </c>
      <c r="AR450">
        <f>IF(AP450&gt;=V450,1,0)</f>
        <v>0</v>
      </c>
      <c r="AS450">
        <f>IF(AP450&lt;(U450-0.10),1,0)</f>
        <v>0</v>
      </c>
      <c r="AT450">
        <f>1-AJ450/100</f>
        <v>0</v>
      </c>
      <c r="AU450">
        <f>IF(AN450=1,AT450,1)</f>
        <v>0</v>
      </c>
      <c r="AV450">
        <f>IF(AM450=1,AT450,1)</f>
        <v>0</v>
      </c>
      <c r="AW450">
        <f>IF(AND(AQ450=1,ISNUMBER(AT450)),$AT450,1)</f>
        <v>0</v>
      </c>
      <c r="AX450">
        <f>IF(AND(AR450=1,ISNUMBER(AT450)),$AT450,1)</f>
        <v>0</v>
      </c>
      <c r="AY450">
        <f>IF(ISNUMBER(Y450),INDEX(AllCollegeMoney, MATCH(N450,AllCollegeNCES,0)),0)</f>
        <v>0</v>
      </c>
      <c r="AZ450">
        <f>IF(AND(AQ450=1,ISNUMBER(AT450),AY450=1),$AT450,1)</f>
        <v>0</v>
      </c>
      <c r="BA450">
        <f>IF(AND(AR450=1,ISNUMBER(AT450),AY450=1),$AT450,1)</f>
        <v>0</v>
      </c>
      <c r="BB450">
        <f>IF(ISNUMBER(Y450),INDEX(AllCollegeILPub, MATCH(N450,AllCollegeNCES,0)),0)</f>
        <v>0</v>
      </c>
      <c r="BC450">
        <f>IF(AK450=ReachLabel,AP450,0)</f>
        <v>0</v>
      </c>
      <c r="BD450">
        <f>IF(AK450=MatchLabel,AP450,0)</f>
        <v>0</v>
      </c>
      <c r="BE450">
        <f>IF(AK450=SafetyLabel,AP450,0)</f>
        <v>0</v>
      </c>
      <c r="BF450">
        <f>IF(AK450=SecureLabel,AP450,0)</f>
        <v>0</v>
      </c>
      <c r="BG450">
        <f>IF(AK450=SureThingLabel,AP450,0)</f>
        <v>0</v>
      </c>
      <c r="BH450">
        <f>MAX(BC450:BG450)</f>
        <v>0</v>
      </c>
      <c r="BI450">
        <f>MAX(BD450:BG450)</f>
        <v>0</v>
      </c>
      <c r="BJ450">
        <f>MAX(BE450:BG450)</f>
        <v>0</v>
      </c>
      <c r="BK450">
        <f>IF(AND(AK450=ReachLabel,AY450=1),AP450,0)</f>
        <v>0</v>
      </c>
      <c r="BL450">
        <f>IF(AND(AK450=MatchLabel,AY450=1),AP450,0)</f>
        <v>0</v>
      </c>
      <c r="BM450">
        <f>IF(AND(AK450=SafetyLabel,AY450=1),AP450,0)</f>
        <v>0</v>
      </c>
      <c r="BN450">
        <f>IF(AND(AK450=SecureLabel,AY450=1),AP450,0)</f>
        <v>0</v>
      </c>
      <c r="BO450">
        <f>IF(AND(AK450=SureThingLabel,AY450=1),AP450,0)</f>
        <v>0</v>
      </c>
      <c r="BP450">
        <f>MAX(BK450:BO450)</f>
        <v>0</v>
      </c>
      <c r="BQ450">
        <f>MAX(BL450:BO450)</f>
        <v>0</v>
      </c>
      <c r="BR450">
        <f>MAX(BM450:BO450)</f>
        <v>0</v>
      </c>
      <c r="BS450">
        <f>IF(ISNUMBER(Y450),INDEX(AllCollegeChicago, MATCH(N450,AllCollegeNCES,0))*AY450,0)</f>
        <v>0</v>
      </c>
      <c r="BT450">
        <f>IF(ISNUMBER(Y450),INDEX(AllCollegeMoneyCode, MATCH(N450,AllCollegeNCES,0)),"?")</f>
        <v>0</v>
      </c>
      <c r="BU450">
        <f>IF(OR(BT450="---",BT450="--",BT450="+/--",BT450="+/---"),1,0)</f>
        <v>0</v>
      </c>
      <c r="BV450">
        <f>AY450*AO450*AQ450</f>
        <v>0</v>
      </c>
    </row>
    <row r="451" spans="1:74">
      <c r="A451" t="s">
        <v>86</v>
      </c>
      <c r="B451">
        <v>23438312</v>
      </c>
      <c r="C451" t="s">
        <v>212</v>
      </c>
      <c r="D451" t="s">
        <v>213</v>
      </c>
      <c r="E451" t="s">
        <v>428</v>
      </c>
      <c r="F451" t="s">
        <v>459</v>
      </c>
      <c r="G451" t="s">
        <v>430</v>
      </c>
      <c r="H451" t="s">
        <v>431</v>
      </c>
      <c r="I451" t="s">
        <v>432</v>
      </c>
      <c r="J451" t="s">
        <v>432</v>
      </c>
      <c r="K451">
        <v>0</v>
      </c>
      <c r="L451" t="s">
        <v>428</v>
      </c>
      <c r="M451" t="s">
        <v>428</v>
      </c>
      <c r="N451">
        <v>146427</v>
      </c>
      <c r="O451">
        <f>INDEX(AllCollegeBarrons,MATCH(N451,AllCollegeNCES,0))</f>
        <v>0</v>
      </c>
      <c r="P451">
        <f>INDEX(KidGPAs,MATCH(B451,KidIDs,0))</f>
        <v>0</v>
      </c>
      <c r="Q451">
        <f>INDEX(KidACTs,MATCH(B451,KidIDs,0))</f>
        <v>0</v>
      </c>
      <c r="R451">
        <f>INDEX(Strats,MATCH(B451,KidIDs,0))</f>
        <v>0</v>
      </c>
      <c r="S451">
        <f>INDEX(KidRace,MATCH(B451,KidIDs,0))</f>
        <v>0</v>
      </c>
      <c r="T451">
        <f>IF(OR(S451="M",S451="I"),"H",S451)</f>
        <v>0</v>
      </c>
      <c r="U451">
        <f>INDEX(StudentTargets,MATCH(B451,KidIDs,0))</f>
        <v>0</v>
      </c>
      <c r="V451">
        <f>INDEX(ReachStudentTargets,MATCH(B451,KidIDs,0))</f>
        <v>0</v>
      </c>
      <c r="W451">
        <f>IF(OR(M451="Posse"),1,0)</f>
        <v>0</v>
      </c>
      <c r="X451">
        <f>IF(ISNUMBER(INDEX(AllCollegeGR, MATCH(N451,AllCollegeNCES,0))),ROUND(INDEX(AllCollegeGR, MATCH(N451,AllCollegeNCES,0))+W451*IF(INDEX(AllCollegeGR, MATCH(N451,AllCollegeNCES,0))&gt;0.7,(1-INDEX(AllCollegeGR, MATCH(N451,AllCollegeNCES,0)))/2,0.15),2),INDEX(AllCollegeGR, MATCH(N451,AllCollegeNCES,0)))</f>
        <v>0</v>
      </c>
      <c r="Y451">
        <f>IF(ISNUMBER(INDEX(AllCollegeAAHGR, MATCH(N451,AllCollegeNCES,0))),ROUND(INDEX(AllCollegeAAHGR, MATCH(N451,AllCollegeNCES,0))+W451*IF(INDEX(AllCollegeAAHGR, MATCH(N451,AllCollegeNCES,0))&gt;0.7,(1-INDEX(AllCollegeAAHGR, MATCH(N451,AllCollegeNCES,0)))/2,0.15),2),INDEX(AllCollegeAAHGR, MATCH(N451,AllCollegeNCES,0)))</f>
        <v>0</v>
      </c>
      <c r="Z451">
        <f>IF(OR(T451="H",T451="B"),INDEX(AllCollegeACT25, MATCH(N451,AllCollegeNCES,0)),INDEX(AllCollegeACT50, MATCH(N451,AllCollegeNCES,0)))</f>
        <v>0</v>
      </c>
      <c r="AA451">
        <f>INDEX(CustomWeightsGPA,MATCH(T451&amp;":"&amp;N451,CustomWeightsIndex,0))</f>
        <v>0</v>
      </c>
      <c r="AB451">
        <f>INDEX(CustomWeightsACT,MATCH(T451&amp;":"&amp;N451,CustomWeightsIndex,0))</f>
        <v>0</v>
      </c>
      <c r="AC451">
        <f>INDEX(CustomWeightsIntercept,MATCH(T451&amp;":"&amp;N451,CustomWeightsIndex,0))</f>
        <v>0</v>
      </c>
      <c r="AD451">
        <f>AA451*P451+AB451*Q451+AC451</f>
        <v>0</v>
      </c>
      <c r="AE451">
        <f>INDEX(CoefficientsGPA,MATCH(T451&amp;":"&amp;O451,CoefficientsIndex,0))</f>
        <v>0</v>
      </c>
      <c r="AF451">
        <f>INDEX(CoefficientsACT,MATCH(T451&amp;":"&amp;O451,CoefficientsIndex,0))</f>
        <v>0</v>
      </c>
      <c r="AG451">
        <f>INDEX(CoefficientsIntercept,MATCH(T451&amp;":"&amp;O451,CoefficientsIndex,0))</f>
        <v>0</v>
      </c>
      <c r="AH451">
        <f>AE451*P451+(Q451-Z451)*AF451+AG451</f>
        <v>0</v>
      </c>
      <c r="AI451">
        <f>IF(ISNUMBER(AD451),AD451,AH451)</f>
        <v>0</v>
      </c>
      <c r="AJ451">
        <f>IF(ISNUMBER(AI451),IF(ISNUMBER(AE451),IF(AND(AE451=1,AF451=1,AG451=1),100,ROUND(100*EXP(AI451)/(1+EXP(AI451)),2)),ROUND(100*EXP(AI451)/(1+EXP(AI451)),2)),IF(ISTEXT(O451),IF(LEFT(O451,1)="2",100,"N/A"),"N/A"))</f>
        <v>0</v>
      </c>
      <c r="AK451">
        <f>IF(ISNUMBER(AJ451),IF(AJ451&gt;=99,IF(OR(R451=10,R451=11),MatchLabel,SureThingLabel),IF(AJ451&gt;=95,SecureLabel,IF(AJ451&gt;=80,SafetyLabel,IF(AJ451&gt;=50,MatchLabel,IF(AJ451&gt;=20,ReachLabel,IF(AJ451&gt;=10,LongshotLabel,HailMaryLabel)))))),"Other")</f>
        <v>0</v>
      </c>
      <c r="AL451">
        <f>IF(OR(I451="accepted",I451="cond. accept",I451="summer admit"),IF(J451="yes","CHOICE!","Accepted!"),IF(I451="denied","Denied",IF(K451=1,"Waitlist",IF(L451=1,"Deferred",IF(G451="pending","Pending",IF(OR(G451="initial materials submitted",G451="mid-year submitted",G451="final submitted"),"Submitted",IF(H451="interest","Interest","?")))))))</f>
        <v>0</v>
      </c>
      <c r="AM451">
        <f>IF(OR(AK451=ReachLabel,AK451=LongshotLabel,AK451=HailMaryLabel),1,0)</f>
        <v>0</v>
      </c>
      <c r="AN451">
        <f>IF(OR(AM451=1,AK451=MatchLabel),1,0)</f>
        <v>0</v>
      </c>
      <c r="AO451">
        <f>IF(OR(AK451=MatchLabel,AK451=SafetyLabel,AK451=SecureLabel,AK451=SureThingLabel),1,0)</f>
        <v>0</v>
      </c>
      <c r="AP451">
        <f>IF(OR(T451="H",T451="B"),IF(ISNUMBER(Y451),ROUND(Y451,2),0),IF(ISNUMBER(X451),ROUND(X451,2),0))</f>
        <v>0</v>
      </c>
      <c r="AQ451">
        <f>IF(AP451&gt;=U451,1,0)</f>
        <v>0</v>
      </c>
      <c r="AR451">
        <f>IF(AP451&gt;=V451,1,0)</f>
        <v>0</v>
      </c>
      <c r="AS451">
        <f>IF(AP451&lt;(U451-0.10),1,0)</f>
        <v>0</v>
      </c>
      <c r="AT451">
        <f>1-AJ451/100</f>
        <v>0</v>
      </c>
      <c r="AU451">
        <f>IF(AN451=1,AT451,1)</f>
        <v>0</v>
      </c>
      <c r="AV451">
        <f>IF(AM451=1,AT451,1)</f>
        <v>0</v>
      </c>
      <c r="AW451">
        <f>IF(AND(AQ451=1,ISNUMBER(AT451)),$AT451,1)</f>
        <v>0</v>
      </c>
      <c r="AX451">
        <f>IF(AND(AR451=1,ISNUMBER(AT451)),$AT451,1)</f>
        <v>0</v>
      </c>
      <c r="AY451">
        <f>IF(ISNUMBER(Y451),INDEX(AllCollegeMoney, MATCH(N451,AllCollegeNCES,0)),0)</f>
        <v>0</v>
      </c>
      <c r="AZ451">
        <f>IF(AND(AQ451=1,ISNUMBER(AT451),AY451=1),$AT451,1)</f>
        <v>0</v>
      </c>
      <c r="BA451">
        <f>IF(AND(AR451=1,ISNUMBER(AT451),AY451=1),$AT451,1)</f>
        <v>0</v>
      </c>
      <c r="BB451">
        <f>IF(ISNUMBER(Y451),INDEX(AllCollegeILPub, MATCH(N451,AllCollegeNCES,0)),0)</f>
        <v>0</v>
      </c>
      <c r="BC451">
        <f>IF(AK451=ReachLabel,AP451,0)</f>
        <v>0</v>
      </c>
      <c r="BD451">
        <f>IF(AK451=MatchLabel,AP451,0)</f>
        <v>0</v>
      </c>
      <c r="BE451">
        <f>IF(AK451=SafetyLabel,AP451,0)</f>
        <v>0</v>
      </c>
      <c r="BF451">
        <f>IF(AK451=SecureLabel,AP451,0)</f>
        <v>0</v>
      </c>
      <c r="BG451">
        <f>IF(AK451=SureThingLabel,AP451,0)</f>
        <v>0</v>
      </c>
      <c r="BH451">
        <f>MAX(BC451:BG451)</f>
        <v>0</v>
      </c>
      <c r="BI451">
        <f>MAX(BD451:BG451)</f>
        <v>0</v>
      </c>
      <c r="BJ451">
        <f>MAX(BE451:BG451)</f>
        <v>0</v>
      </c>
      <c r="BK451">
        <f>IF(AND(AK451=ReachLabel,AY451=1),AP451,0)</f>
        <v>0</v>
      </c>
      <c r="BL451">
        <f>IF(AND(AK451=MatchLabel,AY451=1),AP451,0)</f>
        <v>0</v>
      </c>
      <c r="BM451">
        <f>IF(AND(AK451=SafetyLabel,AY451=1),AP451,0)</f>
        <v>0</v>
      </c>
      <c r="BN451">
        <f>IF(AND(AK451=SecureLabel,AY451=1),AP451,0)</f>
        <v>0</v>
      </c>
      <c r="BO451">
        <f>IF(AND(AK451=SureThingLabel,AY451=1),AP451,0)</f>
        <v>0</v>
      </c>
      <c r="BP451">
        <f>MAX(BK451:BO451)</f>
        <v>0</v>
      </c>
      <c r="BQ451">
        <f>MAX(BL451:BO451)</f>
        <v>0</v>
      </c>
      <c r="BR451">
        <f>MAX(BM451:BO451)</f>
        <v>0</v>
      </c>
      <c r="BS451">
        <f>IF(ISNUMBER(Y451),INDEX(AllCollegeChicago, MATCH(N451,AllCollegeNCES,0))*AY451,0)</f>
        <v>0</v>
      </c>
      <c r="BT451">
        <f>IF(ISNUMBER(Y451),INDEX(AllCollegeMoneyCode, MATCH(N451,AllCollegeNCES,0)),"?")</f>
        <v>0</v>
      </c>
      <c r="BU451">
        <f>IF(OR(BT451="---",BT451="--",BT451="+/--",BT451="+/---"),1,0)</f>
        <v>0</v>
      </c>
      <c r="BV451">
        <f>AY451*AO451*AQ451</f>
        <v>0</v>
      </c>
    </row>
    <row r="452" spans="1:74">
      <c r="A452" t="s">
        <v>86</v>
      </c>
      <c r="B452">
        <v>23438312</v>
      </c>
      <c r="C452" t="s">
        <v>212</v>
      </c>
      <c r="D452" t="s">
        <v>213</v>
      </c>
      <c r="E452" t="s">
        <v>428</v>
      </c>
      <c r="F452" t="s">
        <v>470</v>
      </c>
      <c r="G452" t="s">
        <v>430</v>
      </c>
      <c r="H452" t="s">
        <v>431</v>
      </c>
      <c r="I452" t="s">
        <v>432</v>
      </c>
      <c r="J452" t="s">
        <v>432</v>
      </c>
      <c r="K452">
        <v>0</v>
      </c>
      <c r="L452" t="s">
        <v>428</v>
      </c>
      <c r="M452" t="s">
        <v>428</v>
      </c>
      <c r="N452">
        <v>206589</v>
      </c>
      <c r="O452">
        <f>INDEX(AllCollegeBarrons,MATCH(N452,AllCollegeNCES,0))</f>
        <v>0</v>
      </c>
      <c r="P452">
        <f>INDEX(KidGPAs,MATCH(B452,KidIDs,0))</f>
        <v>0</v>
      </c>
      <c r="Q452">
        <f>INDEX(KidACTs,MATCH(B452,KidIDs,0))</f>
        <v>0</v>
      </c>
      <c r="R452">
        <f>INDEX(Strats,MATCH(B452,KidIDs,0))</f>
        <v>0</v>
      </c>
      <c r="S452">
        <f>INDEX(KidRace,MATCH(B452,KidIDs,0))</f>
        <v>0</v>
      </c>
      <c r="T452">
        <f>IF(OR(S452="M",S452="I"),"H",S452)</f>
        <v>0</v>
      </c>
      <c r="U452">
        <f>INDEX(StudentTargets,MATCH(B452,KidIDs,0))</f>
        <v>0</v>
      </c>
      <c r="V452">
        <f>INDEX(ReachStudentTargets,MATCH(B452,KidIDs,0))</f>
        <v>0</v>
      </c>
      <c r="W452">
        <f>IF(OR(M452="Posse"),1,0)</f>
        <v>0</v>
      </c>
      <c r="X452">
        <f>IF(ISNUMBER(INDEX(AllCollegeGR, MATCH(N452,AllCollegeNCES,0))),ROUND(INDEX(AllCollegeGR, MATCH(N452,AllCollegeNCES,0))+W452*IF(INDEX(AllCollegeGR, MATCH(N452,AllCollegeNCES,0))&gt;0.7,(1-INDEX(AllCollegeGR, MATCH(N452,AllCollegeNCES,0)))/2,0.15),2),INDEX(AllCollegeGR, MATCH(N452,AllCollegeNCES,0)))</f>
        <v>0</v>
      </c>
      <c r="Y452">
        <f>IF(ISNUMBER(INDEX(AllCollegeAAHGR, MATCH(N452,AllCollegeNCES,0))),ROUND(INDEX(AllCollegeAAHGR, MATCH(N452,AllCollegeNCES,0))+W452*IF(INDEX(AllCollegeAAHGR, MATCH(N452,AllCollegeNCES,0))&gt;0.7,(1-INDEX(AllCollegeAAHGR, MATCH(N452,AllCollegeNCES,0)))/2,0.15),2),INDEX(AllCollegeAAHGR, MATCH(N452,AllCollegeNCES,0)))</f>
        <v>0</v>
      </c>
      <c r="Z452">
        <f>IF(OR(T452="H",T452="B"),INDEX(AllCollegeACT25, MATCH(N452,AllCollegeNCES,0)),INDEX(AllCollegeACT50, MATCH(N452,AllCollegeNCES,0)))</f>
        <v>0</v>
      </c>
      <c r="AA452">
        <f>INDEX(CustomWeightsGPA,MATCH(T452&amp;":"&amp;N452,CustomWeightsIndex,0))</f>
        <v>0</v>
      </c>
      <c r="AB452">
        <f>INDEX(CustomWeightsACT,MATCH(T452&amp;":"&amp;N452,CustomWeightsIndex,0))</f>
        <v>0</v>
      </c>
      <c r="AC452">
        <f>INDEX(CustomWeightsIntercept,MATCH(T452&amp;":"&amp;N452,CustomWeightsIndex,0))</f>
        <v>0</v>
      </c>
      <c r="AD452">
        <f>AA452*P452+AB452*Q452+AC452</f>
        <v>0</v>
      </c>
      <c r="AE452">
        <f>INDEX(CoefficientsGPA,MATCH(T452&amp;":"&amp;O452,CoefficientsIndex,0))</f>
        <v>0</v>
      </c>
      <c r="AF452">
        <f>INDEX(CoefficientsACT,MATCH(T452&amp;":"&amp;O452,CoefficientsIndex,0))</f>
        <v>0</v>
      </c>
      <c r="AG452">
        <f>INDEX(CoefficientsIntercept,MATCH(T452&amp;":"&amp;O452,CoefficientsIndex,0))</f>
        <v>0</v>
      </c>
      <c r="AH452">
        <f>AE452*P452+(Q452-Z452)*AF452+AG452</f>
        <v>0</v>
      </c>
      <c r="AI452">
        <f>IF(ISNUMBER(AD452),AD452,AH452)</f>
        <v>0</v>
      </c>
      <c r="AJ452">
        <f>IF(ISNUMBER(AI452),IF(ISNUMBER(AE452),IF(AND(AE452=1,AF452=1,AG452=1),100,ROUND(100*EXP(AI452)/(1+EXP(AI452)),2)),ROUND(100*EXP(AI452)/(1+EXP(AI452)),2)),IF(ISTEXT(O452),IF(LEFT(O452,1)="2",100,"N/A"),"N/A"))</f>
        <v>0</v>
      </c>
      <c r="AK452">
        <f>IF(ISNUMBER(AJ452),IF(AJ452&gt;=99,IF(OR(R452=10,R452=11),MatchLabel,SureThingLabel),IF(AJ452&gt;=95,SecureLabel,IF(AJ452&gt;=80,SafetyLabel,IF(AJ452&gt;=50,MatchLabel,IF(AJ452&gt;=20,ReachLabel,IF(AJ452&gt;=10,LongshotLabel,HailMaryLabel)))))),"Other")</f>
        <v>0</v>
      </c>
      <c r="AL452">
        <f>IF(OR(I452="accepted",I452="cond. accept",I452="summer admit"),IF(J452="yes","CHOICE!","Accepted!"),IF(I452="denied","Denied",IF(K452=1,"Waitlist",IF(L452=1,"Deferred",IF(G452="pending","Pending",IF(OR(G452="initial materials submitted",G452="mid-year submitted",G452="final submitted"),"Submitted",IF(H452="interest","Interest","?")))))))</f>
        <v>0</v>
      </c>
      <c r="AM452">
        <f>IF(OR(AK452=ReachLabel,AK452=LongshotLabel,AK452=HailMaryLabel),1,0)</f>
        <v>0</v>
      </c>
      <c r="AN452">
        <f>IF(OR(AM452=1,AK452=MatchLabel),1,0)</f>
        <v>0</v>
      </c>
      <c r="AO452">
        <f>IF(OR(AK452=MatchLabel,AK452=SafetyLabel,AK452=SecureLabel,AK452=SureThingLabel),1,0)</f>
        <v>0</v>
      </c>
      <c r="AP452">
        <f>IF(OR(T452="H",T452="B"),IF(ISNUMBER(Y452),ROUND(Y452,2),0),IF(ISNUMBER(X452),ROUND(X452,2),0))</f>
        <v>0</v>
      </c>
      <c r="AQ452">
        <f>IF(AP452&gt;=U452,1,0)</f>
        <v>0</v>
      </c>
      <c r="AR452">
        <f>IF(AP452&gt;=V452,1,0)</f>
        <v>0</v>
      </c>
      <c r="AS452">
        <f>IF(AP452&lt;(U452-0.10),1,0)</f>
        <v>0</v>
      </c>
      <c r="AT452">
        <f>1-AJ452/100</f>
        <v>0</v>
      </c>
      <c r="AU452">
        <f>IF(AN452=1,AT452,1)</f>
        <v>0</v>
      </c>
      <c r="AV452">
        <f>IF(AM452=1,AT452,1)</f>
        <v>0</v>
      </c>
      <c r="AW452">
        <f>IF(AND(AQ452=1,ISNUMBER(AT452)),$AT452,1)</f>
        <v>0</v>
      </c>
      <c r="AX452">
        <f>IF(AND(AR452=1,ISNUMBER(AT452)),$AT452,1)</f>
        <v>0</v>
      </c>
      <c r="AY452">
        <f>IF(ISNUMBER(Y452),INDEX(AllCollegeMoney, MATCH(N452,AllCollegeNCES,0)),0)</f>
        <v>0</v>
      </c>
      <c r="AZ452">
        <f>IF(AND(AQ452=1,ISNUMBER(AT452),AY452=1),$AT452,1)</f>
        <v>0</v>
      </c>
      <c r="BA452">
        <f>IF(AND(AR452=1,ISNUMBER(AT452),AY452=1),$AT452,1)</f>
        <v>0</v>
      </c>
      <c r="BB452">
        <f>IF(ISNUMBER(Y452),INDEX(AllCollegeILPub, MATCH(N452,AllCollegeNCES,0)),0)</f>
        <v>0</v>
      </c>
      <c r="BC452">
        <f>IF(AK452=ReachLabel,AP452,0)</f>
        <v>0</v>
      </c>
      <c r="BD452">
        <f>IF(AK452=MatchLabel,AP452,0)</f>
        <v>0</v>
      </c>
      <c r="BE452">
        <f>IF(AK452=SafetyLabel,AP452,0)</f>
        <v>0</v>
      </c>
      <c r="BF452">
        <f>IF(AK452=SecureLabel,AP452,0)</f>
        <v>0</v>
      </c>
      <c r="BG452">
        <f>IF(AK452=SureThingLabel,AP452,0)</f>
        <v>0</v>
      </c>
      <c r="BH452">
        <f>MAX(BC452:BG452)</f>
        <v>0</v>
      </c>
      <c r="BI452">
        <f>MAX(BD452:BG452)</f>
        <v>0</v>
      </c>
      <c r="BJ452">
        <f>MAX(BE452:BG452)</f>
        <v>0</v>
      </c>
      <c r="BK452">
        <f>IF(AND(AK452=ReachLabel,AY452=1),AP452,0)</f>
        <v>0</v>
      </c>
      <c r="BL452">
        <f>IF(AND(AK452=MatchLabel,AY452=1),AP452,0)</f>
        <v>0</v>
      </c>
      <c r="BM452">
        <f>IF(AND(AK452=SafetyLabel,AY452=1),AP452,0)</f>
        <v>0</v>
      </c>
      <c r="BN452">
        <f>IF(AND(AK452=SecureLabel,AY452=1),AP452,0)</f>
        <v>0</v>
      </c>
      <c r="BO452">
        <f>IF(AND(AK452=SureThingLabel,AY452=1),AP452,0)</f>
        <v>0</v>
      </c>
      <c r="BP452">
        <f>MAX(BK452:BO452)</f>
        <v>0</v>
      </c>
      <c r="BQ452">
        <f>MAX(BL452:BO452)</f>
        <v>0</v>
      </c>
      <c r="BR452">
        <f>MAX(BM452:BO452)</f>
        <v>0</v>
      </c>
      <c r="BS452">
        <f>IF(ISNUMBER(Y452),INDEX(AllCollegeChicago, MATCH(N452,AllCollegeNCES,0))*AY452,0)</f>
        <v>0</v>
      </c>
      <c r="BT452">
        <f>IF(ISNUMBER(Y452),INDEX(AllCollegeMoneyCode, MATCH(N452,AllCollegeNCES,0)),"?")</f>
        <v>0</v>
      </c>
      <c r="BU452">
        <f>IF(OR(BT452="---",BT452="--",BT452="+/--",BT452="+/---"),1,0)</f>
        <v>0</v>
      </c>
      <c r="BV452">
        <f>AY452*AO452*AQ452</f>
        <v>0</v>
      </c>
    </row>
    <row r="453" spans="1:74">
      <c r="A453" t="s">
        <v>86</v>
      </c>
      <c r="B453">
        <v>23438312</v>
      </c>
      <c r="C453" t="s">
        <v>212</v>
      </c>
      <c r="D453" t="s">
        <v>213</v>
      </c>
      <c r="E453" t="s">
        <v>428</v>
      </c>
      <c r="F453" t="s">
        <v>460</v>
      </c>
      <c r="G453" t="s">
        <v>463</v>
      </c>
      <c r="H453" t="s">
        <v>431</v>
      </c>
      <c r="I453" t="s">
        <v>432</v>
      </c>
      <c r="J453" t="s">
        <v>432</v>
      </c>
      <c r="K453">
        <v>0</v>
      </c>
      <c r="L453" t="s">
        <v>428</v>
      </c>
      <c r="M453" t="s">
        <v>428</v>
      </c>
      <c r="N453">
        <v>221519</v>
      </c>
      <c r="O453">
        <f>INDEX(AllCollegeBarrons,MATCH(N453,AllCollegeNCES,0))</f>
        <v>0</v>
      </c>
      <c r="P453">
        <f>INDEX(KidGPAs,MATCH(B453,KidIDs,0))</f>
        <v>0</v>
      </c>
      <c r="Q453">
        <f>INDEX(KidACTs,MATCH(B453,KidIDs,0))</f>
        <v>0</v>
      </c>
      <c r="R453">
        <f>INDEX(Strats,MATCH(B453,KidIDs,0))</f>
        <v>0</v>
      </c>
      <c r="S453">
        <f>INDEX(KidRace,MATCH(B453,KidIDs,0))</f>
        <v>0</v>
      </c>
      <c r="T453">
        <f>IF(OR(S453="M",S453="I"),"H",S453)</f>
        <v>0</v>
      </c>
      <c r="U453">
        <f>INDEX(StudentTargets,MATCH(B453,KidIDs,0))</f>
        <v>0</v>
      </c>
      <c r="V453">
        <f>INDEX(ReachStudentTargets,MATCH(B453,KidIDs,0))</f>
        <v>0</v>
      </c>
      <c r="W453">
        <f>IF(OR(M453="Posse"),1,0)</f>
        <v>0</v>
      </c>
      <c r="X453">
        <f>IF(ISNUMBER(INDEX(AllCollegeGR, MATCH(N453,AllCollegeNCES,0))),ROUND(INDEX(AllCollegeGR, MATCH(N453,AllCollegeNCES,0))+W453*IF(INDEX(AllCollegeGR, MATCH(N453,AllCollegeNCES,0))&gt;0.7,(1-INDEX(AllCollegeGR, MATCH(N453,AllCollegeNCES,0)))/2,0.15),2),INDEX(AllCollegeGR, MATCH(N453,AllCollegeNCES,0)))</f>
        <v>0</v>
      </c>
      <c r="Y453">
        <f>IF(ISNUMBER(INDEX(AllCollegeAAHGR, MATCH(N453,AllCollegeNCES,0))),ROUND(INDEX(AllCollegeAAHGR, MATCH(N453,AllCollegeNCES,0))+W453*IF(INDEX(AllCollegeAAHGR, MATCH(N453,AllCollegeNCES,0))&gt;0.7,(1-INDEX(AllCollegeAAHGR, MATCH(N453,AllCollegeNCES,0)))/2,0.15),2),INDEX(AllCollegeAAHGR, MATCH(N453,AllCollegeNCES,0)))</f>
        <v>0</v>
      </c>
      <c r="Z453">
        <f>IF(OR(T453="H",T453="B"),INDEX(AllCollegeACT25, MATCH(N453,AllCollegeNCES,0)),INDEX(AllCollegeACT50, MATCH(N453,AllCollegeNCES,0)))</f>
        <v>0</v>
      </c>
      <c r="AA453">
        <f>INDEX(CustomWeightsGPA,MATCH(T453&amp;":"&amp;N453,CustomWeightsIndex,0))</f>
        <v>0</v>
      </c>
      <c r="AB453">
        <f>INDEX(CustomWeightsACT,MATCH(T453&amp;":"&amp;N453,CustomWeightsIndex,0))</f>
        <v>0</v>
      </c>
      <c r="AC453">
        <f>INDEX(CustomWeightsIntercept,MATCH(T453&amp;":"&amp;N453,CustomWeightsIndex,0))</f>
        <v>0</v>
      </c>
      <c r="AD453">
        <f>AA453*P453+AB453*Q453+AC453</f>
        <v>0</v>
      </c>
      <c r="AE453">
        <f>INDEX(CoefficientsGPA,MATCH(T453&amp;":"&amp;O453,CoefficientsIndex,0))</f>
        <v>0</v>
      </c>
      <c r="AF453">
        <f>INDEX(CoefficientsACT,MATCH(T453&amp;":"&amp;O453,CoefficientsIndex,0))</f>
        <v>0</v>
      </c>
      <c r="AG453">
        <f>INDEX(CoefficientsIntercept,MATCH(T453&amp;":"&amp;O453,CoefficientsIndex,0))</f>
        <v>0</v>
      </c>
      <c r="AH453">
        <f>AE453*P453+(Q453-Z453)*AF453+AG453</f>
        <v>0</v>
      </c>
      <c r="AI453">
        <f>IF(ISNUMBER(AD453),AD453,AH453)</f>
        <v>0</v>
      </c>
      <c r="AJ453">
        <f>IF(ISNUMBER(AI453),IF(ISNUMBER(AE453),IF(AND(AE453=1,AF453=1,AG453=1),100,ROUND(100*EXP(AI453)/(1+EXP(AI453)),2)),ROUND(100*EXP(AI453)/(1+EXP(AI453)),2)),IF(ISTEXT(O453),IF(LEFT(O453,1)="2",100,"N/A"),"N/A"))</f>
        <v>0</v>
      </c>
      <c r="AK453">
        <f>IF(ISNUMBER(AJ453),IF(AJ453&gt;=99,IF(OR(R453=10,R453=11),MatchLabel,SureThingLabel),IF(AJ453&gt;=95,SecureLabel,IF(AJ453&gt;=80,SafetyLabel,IF(AJ453&gt;=50,MatchLabel,IF(AJ453&gt;=20,ReachLabel,IF(AJ453&gt;=10,LongshotLabel,HailMaryLabel)))))),"Other")</f>
        <v>0</v>
      </c>
      <c r="AL453">
        <f>IF(OR(I453="accepted",I453="cond. accept",I453="summer admit"),IF(J453="yes","CHOICE!","Accepted!"),IF(I453="denied","Denied",IF(K453=1,"Waitlist",IF(L453=1,"Deferred",IF(G453="pending","Pending",IF(OR(G453="initial materials submitted",G453="mid-year submitted",G453="final submitted"),"Submitted",IF(H453="interest","Interest","?")))))))</f>
        <v>0</v>
      </c>
      <c r="AM453">
        <f>IF(OR(AK453=ReachLabel,AK453=LongshotLabel,AK453=HailMaryLabel),1,0)</f>
        <v>0</v>
      </c>
      <c r="AN453">
        <f>IF(OR(AM453=1,AK453=MatchLabel),1,0)</f>
        <v>0</v>
      </c>
      <c r="AO453">
        <f>IF(OR(AK453=MatchLabel,AK453=SafetyLabel,AK453=SecureLabel,AK453=SureThingLabel),1,0)</f>
        <v>0</v>
      </c>
      <c r="AP453">
        <f>IF(OR(T453="H",T453="B"),IF(ISNUMBER(Y453),ROUND(Y453,2),0),IF(ISNUMBER(X453),ROUND(X453,2),0))</f>
        <v>0</v>
      </c>
      <c r="AQ453">
        <f>IF(AP453&gt;=U453,1,0)</f>
        <v>0</v>
      </c>
      <c r="AR453">
        <f>IF(AP453&gt;=V453,1,0)</f>
        <v>0</v>
      </c>
      <c r="AS453">
        <f>IF(AP453&lt;(U453-0.10),1,0)</f>
        <v>0</v>
      </c>
      <c r="AT453">
        <f>1-AJ453/100</f>
        <v>0</v>
      </c>
      <c r="AU453">
        <f>IF(AN453=1,AT453,1)</f>
        <v>0</v>
      </c>
      <c r="AV453">
        <f>IF(AM453=1,AT453,1)</f>
        <v>0</v>
      </c>
      <c r="AW453">
        <f>IF(AND(AQ453=1,ISNUMBER(AT453)),$AT453,1)</f>
        <v>0</v>
      </c>
      <c r="AX453">
        <f>IF(AND(AR453=1,ISNUMBER(AT453)),$AT453,1)</f>
        <v>0</v>
      </c>
      <c r="AY453">
        <f>IF(ISNUMBER(Y453),INDEX(AllCollegeMoney, MATCH(N453,AllCollegeNCES,0)),0)</f>
        <v>0</v>
      </c>
      <c r="AZ453">
        <f>IF(AND(AQ453=1,ISNUMBER(AT453),AY453=1),$AT453,1)</f>
        <v>0</v>
      </c>
      <c r="BA453">
        <f>IF(AND(AR453=1,ISNUMBER(AT453),AY453=1),$AT453,1)</f>
        <v>0</v>
      </c>
      <c r="BB453">
        <f>IF(ISNUMBER(Y453),INDEX(AllCollegeILPub, MATCH(N453,AllCollegeNCES,0)),0)</f>
        <v>0</v>
      </c>
      <c r="BC453">
        <f>IF(AK453=ReachLabel,AP453,0)</f>
        <v>0</v>
      </c>
      <c r="BD453">
        <f>IF(AK453=MatchLabel,AP453,0)</f>
        <v>0</v>
      </c>
      <c r="BE453">
        <f>IF(AK453=SafetyLabel,AP453,0)</f>
        <v>0</v>
      </c>
      <c r="BF453">
        <f>IF(AK453=SecureLabel,AP453,0)</f>
        <v>0</v>
      </c>
      <c r="BG453">
        <f>IF(AK453=SureThingLabel,AP453,0)</f>
        <v>0</v>
      </c>
      <c r="BH453">
        <f>MAX(BC453:BG453)</f>
        <v>0</v>
      </c>
      <c r="BI453">
        <f>MAX(BD453:BG453)</f>
        <v>0</v>
      </c>
      <c r="BJ453">
        <f>MAX(BE453:BG453)</f>
        <v>0</v>
      </c>
      <c r="BK453">
        <f>IF(AND(AK453=ReachLabel,AY453=1),AP453,0)</f>
        <v>0</v>
      </c>
      <c r="BL453">
        <f>IF(AND(AK453=MatchLabel,AY453=1),AP453,0)</f>
        <v>0</v>
      </c>
      <c r="BM453">
        <f>IF(AND(AK453=SafetyLabel,AY453=1),AP453,0)</f>
        <v>0</v>
      </c>
      <c r="BN453">
        <f>IF(AND(AK453=SecureLabel,AY453=1),AP453,0)</f>
        <v>0</v>
      </c>
      <c r="BO453">
        <f>IF(AND(AK453=SureThingLabel,AY453=1),AP453,0)</f>
        <v>0</v>
      </c>
      <c r="BP453">
        <f>MAX(BK453:BO453)</f>
        <v>0</v>
      </c>
      <c r="BQ453">
        <f>MAX(BL453:BO453)</f>
        <v>0</v>
      </c>
      <c r="BR453">
        <f>MAX(BM453:BO453)</f>
        <v>0</v>
      </c>
      <c r="BS453">
        <f>IF(ISNUMBER(Y453),INDEX(AllCollegeChicago, MATCH(N453,AllCollegeNCES,0))*AY453,0)</f>
        <v>0</v>
      </c>
      <c r="BT453">
        <f>IF(ISNUMBER(Y453),INDEX(AllCollegeMoneyCode, MATCH(N453,AllCollegeNCES,0)),"?")</f>
        <v>0</v>
      </c>
      <c r="BU453">
        <f>IF(OR(BT453="---",BT453="--",BT453="+/--",BT453="+/---"),1,0)</f>
        <v>0</v>
      </c>
      <c r="BV453">
        <f>AY453*AO453*AQ453</f>
        <v>0</v>
      </c>
    </row>
    <row r="454" spans="1:74">
      <c r="A454" t="s">
        <v>86</v>
      </c>
      <c r="B454">
        <v>23438312</v>
      </c>
      <c r="C454" t="s">
        <v>212</v>
      </c>
      <c r="D454" t="s">
        <v>213</v>
      </c>
      <c r="E454" t="s">
        <v>428</v>
      </c>
      <c r="F454" t="s">
        <v>552</v>
      </c>
      <c r="G454" t="s">
        <v>430</v>
      </c>
      <c r="H454" t="s">
        <v>431</v>
      </c>
      <c r="I454" t="s">
        <v>432</v>
      </c>
      <c r="J454" t="s">
        <v>432</v>
      </c>
      <c r="K454">
        <v>0</v>
      </c>
      <c r="L454" t="s">
        <v>428</v>
      </c>
      <c r="M454" t="s">
        <v>428</v>
      </c>
      <c r="N454">
        <v>171100</v>
      </c>
      <c r="O454">
        <f>INDEX(AllCollegeBarrons,MATCH(N454,AllCollegeNCES,0))</f>
        <v>0</v>
      </c>
      <c r="P454">
        <f>INDEX(KidGPAs,MATCH(B454,KidIDs,0))</f>
        <v>0</v>
      </c>
      <c r="Q454">
        <f>INDEX(KidACTs,MATCH(B454,KidIDs,0))</f>
        <v>0</v>
      </c>
      <c r="R454">
        <f>INDEX(Strats,MATCH(B454,KidIDs,0))</f>
        <v>0</v>
      </c>
      <c r="S454">
        <f>INDEX(KidRace,MATCH(B454,KidIDs,0))</f>
        <v>0</v>
      </c>
      <c r="T454">
        <f>IF(OR(S454="M",S454="I"),"H",S454)</f>
        <v>0</v>
      </c>
      <c r="U454">
        <f>INDEX(StudentTargets,MATCH(B454,KidIDs,0))</f>
        <v>0</v>
      </c>
      <c r="V454">
        <f>INDEX(ReachStudentTargets,MATCH(B454,KidIDs,0))</f>
        <v>0</v>
      </c>
      <c r="W454">
        <f>IF(OR(M454="Posse"),1,0)</f>
        <v>0</v>
      </c>
      <c r="X454">
        <f>IF(ISNUMBER(INDEX(AllCollegeGR, MATCH(N454,AllCollegeNCES,0))),ROUND(INDEX(AllCollegeGR, MATCH(N454,AllCollegeNCES,0))+W454*IF(INDEX(AllCollegeGR, MATCH(N454,AllCollegeNCES,0))&gt;0.7,(1-INDEX(AllCollegeGR, MATCH(N454,AllCollegeNCES,0)))/2,0.15),2),INDEX(AllCollegeGR, MATCH(N454,AllCollegeNCES,0)))</f>
        <v>0</v>
      </c>
      <c r="Y454">
        <f>IF(ISNUMBER(INDEX(AllCollegeAAHGR, MATCH(N454,AllCollegeNCES,0))),ROUND(INDEX(AllCollegeAAHGR, MATCH(N454,AllCollegeNCES,0))+W454*IF(INDEX(AllCollegeAAHGR, MATCH(N454,AllCollegeNCES,0))&gt;0.7,(1-INDEX(AllCollegeAAHGR, MATCH(N454,AllCollegeNCES,0)))/2,0.15),2),INDEX(AllCollegeAAHGR, MATCH(N454,AllCollegeNCES,0)))</f>
        <v>0</v>
      </c>
      <c r="Z454">
        <f>IF(OR(T454="H",T454="B"),INDEX(AllCollegeACT25, MATCH(N454,AllCollegeNCES,0)),INDEX(AllCollegeACT50, MATCH(N454,AllCollegeNCES,0)))</f>
        <v>0</v>
      </c>
      <c r="AA454">
        <f>INDEX(CustomWeightsGPA,MATCH(T454&amp;":"&amp;N454,CustomWeightsIndex,0))</f>
        <v>0</v>
      </c>
      <c r="AB454">
        <f>INDEX(CustomWeightsACT,MATCH(T454&amp;":"&amp;N454,CustomWeightsIndex,0))</f>
        <v>0</v>
      </c>
      <c r="AC454">
        <f>INDEX(CustomWeightsIntercept,MATCH(T454&amp;":"&amp;N454,CustomWeightsIndex,0))</f>
        <v>0</v>
      </c>
      <c r="AD454">
        <f>AA454*P454+AB454*Q454+AC454</f>
        <v>0</v>
      </c>
      <c r="AE454">
        <f>INDEX(CoefficientsGPA,MATCH(T454&amp;":"&amp;O454,CoefficientsIndex,0))</f>
        <v>0</v>
      </c>
      <c r="AF454">
        <f>INDEX(CoefficientsACT,MATCH(T454&amp;":"&amp;O454,CoefficientsIndex,0))</f>
        <v>0</v>
      </c>
      <c r="AG454">
        <f>INDEX(CoefficientsIntercept,MATCH(T454&amp;":"&amp;O454,CoefficientsIndex,0))</f>
        <v>0</v>
      </c>
      <c r="AH454">
        <f>AE454*P454+(Q454-Z454)*AF454+AG454</f>
        <v>0</v>
      </c>
      <c r="AI454">
        <f>IF(ISNUMBER(AD454),AD454,AH454)</f>
        <v>0</v>
      </c>
      <c r="AJ454">
        <f>IF(ISNUMBER(AI454),IF(ISNUMBER(AE454),IF(AND(AE454=1,AF454=1,AG454=1),100,ROUND(100*EXP(AI454)/(1+EXP(AI454)),2)),ROUND(100*EXP(AI454)/(1+EXP(AI454)),2)),IF(ISTEXT(O454),IF(LEFT(O454,1)="2",100,"N/A"),"N/A"))</f>
        <v>0</v>
      </c>
      <c r="AK454">
        <f>IF(ISNUMBER(AJ454),IF(AJ454&gt;=99,IF(OR(R454=10,R454=11),MatchLabel,SureThingLabel),IF(AJ454&gt;=95,SecureLabel,IF(AJ454&gt;=80,SafetyLabel,IF(AJ454&gt;=50,MatchLabel,IF(AJ454&gt;=20,ReachLabel,IF(AJ454&gt;=10,LongshotLabel,HailMaryLabel)))))),"Other")</f>
        <v>0</v>
      </c>
      <c r="AL454">
        <f>IF(OR(I454="accepted",I454="cond. accept",I454="summer admit"),IF(J454="yes","CHOICE!","Accepted!"),IF(I454="denied","Denied",IF(K454=1,"Waitlist",IF(L454=1,"Deferred",IF(G454="pending","Pending",IF(OR(G454="initial materials submitted",G454="mid-year submitted",G454="final submitted"),"Submitted",IF(H454="interest","Interest","?")))))))</f>
        <v>0</v>
      </c>
      <c r="AM454">
        <f>IF(OR(AK454=ReachLabel,AK454=LongshotLabel,AK454=HailMaryLabel),1,0)</f>
        <v>0</v>
      </c>
      <c r="AN454">
        <f>IF(OR(AM454=1,AK454=MatchLabel),1,0)</f>
        <v>0</v>
      </c>
      <c r="AO454">
        <f>IF(OR(AK454=MatchLabel,AK454=SafetyLabel,AK454=SecureLabel,AK454=SureThingLabel),1,0)</f>
        <v>0</v>
      </c>
      <c r="AP454">
        <f>IF(OR(T454="H",T454="B"),IF(ISNUMBER(Y454),ROUND(Y454,2),0),IF(ISNUMBER(X454),ROUND(X454,2),0))</f>
        <v>0</v>
      </c>
      <c r="AQ454">
        <f>IF(AP454&gt;=U454,1,0)</f>
        <v>0</v>
      </c>
      <c r="AR454">
        <f>IF(AP454&gt;=V454,1,0)</f>
        <v>0</v>
      </c>
      <c r="AS454">
        <f>IF(AP454&lt;(U454-0.10),1,0)</f>
        <v>0</v>
      </c>
      <c r="AT454">
        <f>1-AJ454/100</f>
        <v>0</v>
      </c>
      <c r="AU454">
        <f>IF(AN454=1,AT454,1)</f>
        <v>0</v>
      </c>
      <c r="AV454">
        <f>IF(AM454=1,AT454,1)</f>
        <v>0</v>
      </c>
      <c r="AW454">
        <f>IF(AND(AQ454=1,ISNUMBER(AT454)),$AT454,1)</f>
        <v>0</v>
      </c>
      <c r="AX454">
        <f>IF(AND(AR454=1,ISNUMBER(AT454)),$AT454,1)</f>
        <v>0</v>
      </c>
      <c r="AY454">
        <f>IF(ISNUMBER(Y454),INDEX(AllCollegeMoney, MATCH(N454,AllCollegeNCES,0)),0)</f>
        <v>0</v>
      </c>
      <c r="AZ454">
        <f>IF(AND(AQ454=1,ISNUMBER(AT454),AY454=1),$AT454,1)</f>
        <v>0</v>
      </c>
      <c r="BA454">
        <f>IF(AND(AR454=1,ISNUMBER(AT454),AY454=1),$AT454,1)</f>
        <v>0</v>
      </c>
      <c r="BB454">
        <f>IF(ISNUMBER(Y454),INDEX(AllCollegeILPub, MATCH(N454,AllCollegeNCES,0)),0)</f>
        <v>0</v>
      </c>
      <c r="BC454">
        <f>IF(AK454=ReachLabel,AP454,0)</f>
        <v>0</v>
      </c>
      <c r="BD454">
        <f>IF(AK454=MatchLabel,AP454,0)</f>
        <v>0</v>
      </c>
      <c r="BE454">
        <f>IF(AK454=SafetyLabel,AP454,0)</f>
        <v>0</v>
      </c>
      <c r="BF454">
        <f>IF(AK454=SecureLabel,AP454,0)</f>
        <v>0</v>
      </c>
      <c r="BG454">
        <f>IF(AK454=SureThingLabel,AP454,0)</f>
        <v>0</v>
      </c>
      <c r="BH454">
        <f>MAX(BC454:BG454)</f>
        <v>0</v>
      </c>
      <c r="BI454">
        <f>MAX(BD454:BG454)</f>
        <v>0</v>
      </c>
      <c r="BJ454">
        <f>MAX(BE454:BG454)</f>
        <v>0</v>
      </c>
      <c r="BK454">
        <f>IF(AND(AK454=ReachLabel,AY454=1),AP454,0)</f>
        <v>0</v>
      </c>
      <c r="BL454">
        <f>IF(AND(AK454=MatchLabel,AY454=1),AP454,0)</f>
        <v>0</v>
      </c>
      <c r="BM454">
        <f>IF(AND(AK454=SafetyLabel,AY454=1),AP454,0)</f>
        <v>0</v>
      </c>
      <c r="BN454">
        <f>IF(AND(AK454=SecureLabel,AY454=1),AP454,0)</f>
        <v>0</v>
      </c>
      <c r="BO454">
        <f>IF(AND(AK454=SureThingLabel,AY454=1),AP454,0)</f>
        <v>0</v>
      </c>
      <c r="BP454">
        <f>MAX(BK454:BO454)</f>
        <v>0</v>
      </c>
      <c r="BQ454">
        <f>MAX(BL454:BO454)</f>
        <v>0</v>
      </c>
      <c r="BR454">
        <f>MAX(BM454:BO454)</f>
        <v>0</v>
      </c>
      <c r="BS454">
        <f>IF(ISNUMBER(Y454),INDEX(AllCollegeChicago, MATCH(N454,AllCollegeNCES,0))*AY454,0)</f>
        <v>0</v>
      </c>
      <c r="BT454">
        <f>IF(ISNUMBER(Y454),INDEX(AllCollegeMoneyCode, MATCH(N454,AllCollegeNCES,0)),"?")</f>
        <v>0</v>
      </c>
      <c r="BU454">
        <f>IF(OR(BT454="---",BT454="--",BT454="+/--",BT454="+/---"),1,0)</f>
        <v>0</v>
      </c>
      <c r="BV454">
        <f>AY454*AO454*AQ454</f>
        <v>0</v>
      </c>
    </row>
    <row r="455" spans="1:74">
      <c r="A455" t="s">
        <v>86</v>
      </c>
      <c r="B455">
        <v>23438312</v>
      </c>
      <c r="C455" t="s">
        <v>212</v>
      </c>
      <c r="D455" t="s">
        <v>213</v>
      </c>
      <c r="E455" t="s">
        <v>428</v>
      </c>
      <c r="F455" t="s">
        <v>462</v>
      </c>
      <c r="G455" t="s">
        <v>463</v>
      </c>
      <c r="H455" t="s">
        <v>431</v>
      </c>
      <c r="I455" t="s">
        <v>432</v>
      </c>
      <c r="J455" t="s">
        <v>432</v>
      </c>
      <c r="K455">
        <v>0</v>
      </c>
      <c r="L455" t="s">
        <v>428</v>
      </c>
      <c r="M455" t="s">
        <v>428</v>
      </c>
      <c r="N455">
        <v>168546</v>
      </c>
      <c r="O455">
        <f>INDEX(AllCollegeBarrons,MATCH(N455,AllCollegeNCES,0))</f>
        <v>0</v>
      </c>
      <c r="P455">
        <f>INDEX(KidGPAs,MATCH(B455,KidIDs,0))</f>
        <v>0</v>
      </c>
      <c r="Q455">
        <f>INDEX(KidACTs,MATCH(B455,KidIDs,0))</f>
        <v>0</v>
      </c>
      <c r="R455">
        <f>INDEX(Strats,MATCH(B455,KidIDs,0))</f>
        <v>0</v>
      </c>
      <c r="S455">
        <f>INDEX(KidRace,MATCH(B455,KidIDs,0))</f>
        <v>0</v>
      </c>
      <c r="T455">
        <f>IF(OR(S455="M",S455="I"),"H",S455)</f>
        <v>0</v>
      </c>
      <c r="U455">
        <f>INDEX(StudentTargets,MATCH(B455,KidIDs,0))</f>
        <v>0</v>
      </c>
      <c r="V455">
        <f>INDEX(ReachStudentTargets,MATCH(B455,KidIDs,0))</f>
        <v>0</v>
      </c>
      <c r="W455">
        <f>IF(OR(M455="Posse"),1,0)</f>
        <v>0</v>
      </c>
      <c r="X455">
        <f>IF(ISNUMBER(INDEX(AllCollegeGR, MATCH(N455,AllCollegeNCES,0))),ROUND(INDEX(AllCollegeGR, MATCH(N455,AllCollegeNCES,0))+W455*IF(INDEX(AllCollegeGR, MATCH(N455,AllCollegeNCES,0))&gt;0.7,(1-INDEX(AllCollegeGR, MATCH(N455,AllCollegeNCES,0)))/2,0.15),2),INDEX(AllCollegeGR, MATCH(N455,AllCollegeNCES,0)))</f>
        <v>0</v>
      </c>
      <c r="Y455">
        <f>IF(ISNUMBER(INDEX(AllCollegeAAHGR, MATCH(N455,AllCollegeNCES,0))),ROUND(INDEX(AllCollegeAAHGR, MATCH(N455,AllCollegeNCES,0))+W455*IF(INDEX(AllCollegeAAHGR, MATCH(N455,AllCollegeNCES,0))&gt;0.7,(1-INDEX(AllCollegeAAHGR, MATCH(N455,AllCollegeNCES,0)))/2,0.15),2),INDEX(AllCollegeAAHGR, MATCH(N455,AllCollegeNCES,0)))</f>
        <v>0</v>
      </c>
      <c r="Z455">
        <f>IF(OR(T455="H",T455="B"),INDEX(AllCollegeACT25, MATCH(N455,AllCollegeNCES,0)),INDEX(AllCollegeACT50, MATCH(N455,AllCollegeNCES,0)))</f>
        <v>0</v>
      </c>
      <c r="AA455">
        <f>INDEX(CustomWeightsGPA,MATCH(T455&amp;":"&amp;N455,CustomWeightsIndex,0))</f>
        <v>0</v>
      </c>
      <c r="AB455">
        <f>INDEX(CustomWeightsACT,MATCH(T455&amp;":"&amp;N455,CustomWeightsIndex,0))</f>
        <v>0</v>
      </c>
      <c r="AC455">
        <f>INDEX(CustomWeightsIntercept,MATCH(T455&amp;":"&amp;N455,CustomWeightsIndex,0))</f>
        <v>0</v>
      </c>
      <c r="AD455">
        <f>AA455*P455+AB455*Q455+AC455</f>
        <v>0</v>
      </c>
      <c r="AE455">
        <f>INDEX(CoefficientsGPA,MATCH(T455&amp;":"&amp;O455,CoefficientsIndex,0))</f>
        <v>0</v>
      </c>
      <c r="AF455">
        <f>INDEX(CoefficientsACT,MATCH(T455&amp;":"&amp;O455,CoefficientsIndex,0))</f>
        <v>0</v>
      </c>
      <c r="AG455">
        <f>INDEX(CoefficientsIntercept,MATCH(T455&amp;":"&amp;O455,CoefficientsIndex,0))</f>
        <v>0</v>
      </c>
      <c r="AH455">
        <f>AE455*P455+(Q455-Z455)*AF455+AG455</f>
        <v>0</v>
      </c>
      <c r="AI455">
        <f>IF(ISNUMBER(AD455),AD455,AH455)</f>
        <v>0</v>
      </c>
      <c r="AJ455">
        <f>IF(ISNUMBER(AI455),IF(ISNUMBER(AE455),IF(AND(AE455=1,AF455=1,AG455=1),100,ROUND(100*EXP(AI455)/(1+EXP(AI455)),2)),ROUND(100*EXP(AI455)/(1+EXP(AI455)),2)),IF(ISTEXT(O455),IF(LEFT(O455,1)="2",100,"N/A"),"N/A"))</f>
        <v>0</v>
      </c>
      <c r="AK455">
        <f>IF(ISNUMBER(AJ455),IF(AJ455&gt;=99,IF(OR(R455=10,R455=11),MatchLabel,SureThingLabel),IF(AJ455&gt;=95,SecureLabel,IF(AJ455&gt;=80,SafetyLabel,IF(AJ455&gt;=50,MatchLabel,IF(AJ455&gt;=20,ReachLabel,IF(AJ455&gt;=10,LongshotLabel,HailMaryLabel)))))),"Other")</f>
        <v>0</v>
      </c>
      <c r="AL455">
        <f>IF(OR(I455="accepted",I455="cond. accept",I455="summer admit"),IF(J455="yes","CHOICE!","Accepted!"),IF(I455="denied","Denied",IF(K455=1,"Waitlist",IF(L455=1,"Deferred",IF(G455="pending","Pending",IF(OR(G455="initial materials submitted",G455="mid-year submitted",G455="final submitted"),"Submitted",IF(H455="interest","Interest","?")))))))</f>
        <v>0</v>
      </c>
      <c r="AM455">
        <f>IF(OR(AK455=ReachLabel,AK455=LongshotLabel,AK455=HailMaryLabel),1,0)</f>
        <v>0</v>
      </c>
      <c r="AN455">
        <f>IF(OR(AM455=1,AK455=MatchLabel),1,0)</f>
        <v>0</v>
      </c>
      <c r="AO455">
        <f>IF(OR(AK455=MatchLabel,AK455=SafetyLabel,AK455=SecureLabel,AK455=SureThingLabel),1,0)</f>
        <v>0</v>
      </c>
      <c r="AP455">
        <f>IF(OR(T455="H",T455="B"),IF(ISNUMBER(Y455),ROUND(Y455,2),0),IF(ISNUMBER(X455),ROUND(X455,2),0))</f>
        <v>0</v>
      </c>
      <c r="AQ455">
        <f>IF(AP455&gt;=U455,1,0)</f>
        <v>0</v>
      </c>
      <c r="AR455">
        <f>IF(AP455&gt;=V455,1,0)</f>
        <v>0</v>
      </c>
      <c r="AS455">
        <f>IF(AP455&lt;(U455-0.10),1,0)</f>
        <v>0</v>
      </c>
      <c r="AT455">
        <f>1-AJ455/100</f>
        <v>0</v>
      </c>
      <c r="AU455">
        <f>IF(AN455=1,AT455,1)</f>
        <v>0</v>
      </c>
      <c r="AV455">
        <f>IF(AM455=1,AT455,1)</f>
        <v>0</v>
      </c>
      <c r="AW455">
        <f>IF(AND(AQ455=1,ISNUMBER(AT455)),$AT455,1)</f>
        <v>0</v>
      </c>
      <c r="AX455">
        <f>IF(AND(AR455=1,ISNUMBER(AT455)),$AT455,1)</f>
        <v>0</v>
      </c>
      <c r="AY455">
        <f>IF(ISNUMBER(Y455),INDEX(AllCollegeMoney, MATCH(N455,AllCollegeNCES,0)),0)</f>
        <v>0</v>
      </c>
      <c r="AZ455">
        <f>IF(AND(AQ455=1,ISNUMBER(AT455),AY455=1),$AT455,1)</f>
        <v>0</v>
      </c>
      <c r="BA455">
        <f>IF(AND(AR455=1,ISNUMBER(AT455),AY455=1),$AT455,1)</f>
        <v>0</v>
      </c>
      <c r="BB455">
        <f>IF(ISNUMBER(Y455),INDEX(AllCollegeILPub, MATCH(N455,AllCollegeNCES,0)),0)</f>
        <v>0</v>
      </c>
      <c r="BC455">
        <f>IF(AK455=ReachLabel,AP455,0)</f>
        <v>0</v>
      </c>
      <c r="BD455">
        <f>IF(AK455=MatchLabel,AP455,0)</f>
        <v>0</v>
      </c>
      <c r="BE455">
        <f>IF(AK455=SafetyLabel,AP455,0)</f>
        <v>0</v>
      </c>
      <c r="BF455">
        <f>IF(AK455=SecureLabel,AP455,0)</f>
        <v>0</v>
      </c>
      <c r="BG455">
        <f>IF(AK455=SureThingLabel,AP455,0)</f>
        <v>0</v>
      </c>
      <c r="BH455">
        <f>MAX(BC455:BG455)</f>
        <v>0</v>
      </c>
      <c r="BI455">
        <f>MAX(BD455:BG455)</f>
        <v>0</v>
      </c>
      <c r="BJ455">
        <f>MAX(BE455:BG455)</f>
        <v>0</v>
      </c>
      <c r="BK455">
        <f>IF(AND(AK455=ReachLabel,AY455=1),AP455,0)</f>
        <v>0</v>
      </c>
      <c r="BL455">
        <f>IF(AND(AK455=MatchLabel,AY455=1),AP455,0)</f>
        <v>0</v>
      </c>
      <c r="BM455">
        <f>IF(AND(AK455=SafetyLabel,AY455=1),AP455,0)</f>
        <v>0</v>
      </c>
      <c r="BN455">
        <f>IF(AND(AK455=SecureLabel,AY455=1),AP455,0)</f>
        <v>0</v>
      </c>
      <c r="BO455">
        <f>IF(AND(AK455=SureThingLabel,AY455=1),AP455,0)</f>
        <v>0</v>
      </c>
      <c r="BP455">
        <f>MAX(BK455:BO455)</f>
        <v>0</v>
      </c>
      <c r="BQ455">
        <f>MAX(BL455:BO455)</f>
        <v>0</v>
      </c>
      <c r="BR455">
        <f>MAX(BM455:BO455)</f>
        <v>0</v>
      </c>
      <c r="BS455">
        <f>IF(ISNUMBER(Y455),INDEX(AllCollegeChicago, MATCH(N455,AllCollegeNCES,0))*AY455,0)</f>
        <v>0</v>
      </c>
      <c r="BT455">
        <f>IF(ISNUMBER(Y455),INDEX(AllCollegeMoneyCode, MATCH(N455,AllCollegeNCES,0)),"?")</f>
        <v>0</v>
      </c>
      <c r="BU455">
        <f>IF(OR(BT455="---",BT455="--",BT455="+/--",BT455="+/---"),1,0)</f>
        <v>0</v>
      </c>
      <c r="BV455">
        <f>AY455*AO455*AQ455</f>
        <v>0</v>
      </c>
    </row>
    <row r="456" spans="1:74">
      <c r="A456" t="s">
        <v>86</v>
      </c>
      <c r="B456">
        <v>23438312</v>
      </c>
      <c r="C456" t="s">
        <v>212</v>
      </c>
      <c r="D456" t="s">
        <v>213</v>
      </c>
      <c r="E456" t="s">
        <v>428</v>
      </c>
      <c r="F456" t="s">
        <v>485</v>
      </c>
      <c r="G456" t="s">
        <v>430</v>
      </c>
      <c r="H456" t="s">
        <v>431</v>
      </c>
      <c r="I456" t="s">
        <v>432</v>
      </c>
      <c r="J456" t="s">
        <v>432</v>
      </c>
      <c r="K456">
        <v>0</v>
      </c>
      <c r="L456" t="s">
        <v>428</v>
      </c>
      <c r="M456" t="s">
        <v>428</v>
      </c>
      <c r="N456">
        <v>170082</v>
      </c>
      <c r="O456">
        <f>INDEX(AllCollegeBarrons,MATCH(N456,AllCollegeNCES,0))</f>
        <v>0</v>
      </c>
      <c r="P456">
        <f>INDEX(KidGPAs,MATCH(B456,KidIDs,0))</f>
        <v>0</v>
      </c>
      <c r="Q456">
        <f>INDEX(KidACTs,MATCH(B456,KidIDs,0))</f>
        <v>0</v>
      </c>
      <c r="R456">
        <f>INDEX(Strats,MATCH(B456,KidIDs,0))</f>
        <v>0</v>
      </c>
      <c r="S456">
        <f>INDEX(KidRace,MATCH(B456,KidIDs,0))</f>
        <v>0</v>
      </c>
      <c r="T456">
        <f>IF(OR(S456="M",S456="I"),"H",S456)</f>
        <v>0</v>
      </c>
      <c r="U456">
        <f>INDEX(StudentTargets,MATCH(B456,KidIDs,0))</f>
        <v>0</v>
      </c>
      <c r="V456">
        <f>INDEX(ReachStudentTargets,MATCH(B456,KidIDs,0))</f>
        <v>0</v>
      </c>
      <c r="W456">
        <f>IF(OR(M456="Posse"),1,0)</f>
        <v>0</v>
      </c>
      <c r="X456">
        <f>IF(ISNUMBER(INDEX(AllCollegeGR, MATCH(N456,AllCollegeNCES,0))),ROUND(INDEX(AllCollegeGR, MATCH(N456,AllCollegeNCES,0))+W456*IF(INDEX(AllCollegeGR, MATCH(N456,AllCollegeNCES,0))&gt;0.7,(1-INDEX(AllCollegeGR, MATCH(N456,AllCollegeNCES,0)))/2,0.15),2),INDEX(AllCollegeGR, MATCH(N456,AllCollegeNCES,0)))</f>
        <v>0</v>
      </c>
      <c r="Y456">
        <f>IF(ISNUMBER(INDEX(AllCollegeAAHGR, MATCH(N456,AllCollegeNCES,0))),ROUND(INDEX(AllCollegeAAHGR, MATCH(N456,AllCollegeNCES,0))+W456*IF(INDEX(AllCollegeAAHGR, MATCH(N456,AllCollegeNCES,0))&gt;0.7,(1-INDEX(AllCollegeAAHGR, MATCH(N456,AllCollegeNCES,0)))/2,0.15),2),INDEX(AllCollegeAAHGR, MATCH(N456,AllCollegeNCES,0)))</f>
        <v>0</v>
      </c>
      <c r="Z456">
        <f>IF(OR(T456="H",T456="B"),INDEX(AllCollegeACT25, MATCH(N456,AllCollegeNCES,0)),INDEX(AllCollegeACT50, MATCH(N456,AllCollegeNCES,0)))</f>
        <v>0</v>
      </c>
      <c r="AA456">
        <f>INDEX(CustomWeightsGPA,MATCH(T456&amp;":"&amp;N456,CustomWeightsIndex,0))</f>
        <v>0</v>
      </c>
      <c r="AB456">
        <f>INDEX(CustomWeightsACT,MATCH(T456&amp;":"&amp;N456,CustomWeightsIndex,0))</f>
        <v>0</v>
      </c>
      <c r="AC456">
        <f>INDEX(CustomWeightsIntercept,MATCH(T456&amp;":"&amp;N456,CustomWeightsIndex,0))</f>
        <v>0</v>
      </c>
      <c r="AD456">
        <f>AA456*P456+AB456*Q456+AC456</f>
        <v>0</v>
      </c>
      <c r="AE456">
        <f>INDEX(CoefficientsGPA,MATCH(T456&amp;":"&amp;O456,CoefficientsIndex,0))</f>
        <v>0</v>
      </c>
      <c r="AF456">
        <f>INDEX(CoefficientsACT,MATCH(T456&amp;":"&amp;O456,CoefficientsIndex,0))</f>
        <v>0</v>
      </c>
      <c r="AG456">
        <f>INDEX(CoefficientsIntercept,MATCH(T456&amp;":"&amp;O456,CoefficientsIndex,0))</f>
        <v>0</v>
      </c>
      <c r="AH456">
        <f>AE456*P456+(Q456-Z456)*AF456+AG456</f>
        <v>0</v>
      </c>
      <c r="AI456">
        <f>IF(ISNUMBER(AD456),AD456,AH456)</f>
        <v>0</v>
      </c>
      <c r="AJ456">
        <f>IF(ISNUMBER(AI456),IF(ISNUMBER(AE456),IF(AND(AE456=1,AF456=1,AG456=1),100,ROUND(100*EXP(AI456)/(1+EXP(AI456)),2)),ROUND(100*EXP(AI456)/(1+EXP(AI456)),2)),IF(ISTEXT(O456),IF(LEFT(O456,1)="2",100,"N/A"),"N/A"))</f>
        <v>0</v>
      </c>
      <c r="AK456">
        <f>IF(ISNUMBER(AJ456),IF(AJ456&gt;=99,IF(OR(R456=10,R456=11),MatchLabel,SureThingLabel),IF(AJ456&gt;=95,SecureLabel,IF(AJ456&gt;=80,SafetyLabel,IF(AJ456&gt;=50,MatchLabel,IF(AJ456&gt;=20,ReachLabel,IF(AJ456&gt;=10,LongshotLabel,HailMaryLabel)))))),"Other")</f>
        <v>0</v>
      </c>
      <c r="AL456">
        <f>IF(OR(I456="accepted",I456="cond. accept",I456="summer admit"),IF(J456="yes","CHOICE!","Accepted!"),IF(I456="denied","Denied",IF(K456=1,"Waitlist",IF(L456=1,"Deferred",IF(G456="pending","Pending",IF(OR(G456="initial materials submitted",G456="mid-year submitted",G456="final submitted"),"Submitted",IF(H456="interest","Interest","?")))))))</f>
        <v>0</v>
      </c>
      <c r="AM456">
        <f>IF(OR(AK456=ReachLabel,AK456=LongshotLabel,AK456=HailMaryLabel),1,0)</f>
        <v>0</v>
      </c>
      <c r="AN456">
        <f>IF(OR(AM456=1,AK456=MatchLabel),1,0)</f>
        <v>0</v>
      </c>
      <c r="AO456">
        <f>IF(OR(AK456=MatchLabel,AK456=SafetyLabel,AK456=SecureLabel,AK456=SureThingLabel),1,0)</f>
        <v>0</v>
      </c>
      <c r="AP456">
        <f>IF(OR(T456="H",T456="B"),IF(ISNUMBER(Y456),ROUND(Y456,2),0),IF(ISNUMBER(X456),ROUND(X456,2),0))</f>
        <v>0</v>
      </c>
      <c r="AQ456">
        <f>IF(AP456&gt;=U456,1,0)</f>
        <v>0</v>
      </c>
      <c r="AR456">
        <f>IF(AP456&gt;=V456,1,0)</f>
        <v>0</v>
      </c>
      <c r="AS456">
        <f>IF(AP456&lt;(U456-0.10),1,0)</f>
        <v>0</v>
      </c>
      <c r="AT456">
        <f>1-AJ456/100</f>
        <v>0</v>
      </c>
      <c r="AU456">
        <f>IF(AN456=1,AT456,1)</f>
        <v>0</v>
      </c>
      <c r="AV456">
        <f>IF(AM456=1,AT456,1)</f>
        <v>0</v>
      </c>
      <c r="AW456">
        <f>IF(AND(AQ456=1,ISNUMBER(AT456)),$AT456,1)</f>
        <v>0</v>
      </c>
      <c r="AX456">
        <f>IF(AND(AR456=1,ISNUMBER(AT456)),$AT456,1)</f>
        <v>0</v>
      </c>
      <c r="AY456">
        <f>IF(ISNUMBER(Y456),INDEX(AllCollegeMoney, MATCH(N456,AllCollegeNCES,0)),0)</f>
        <v>0</v>
      </c>
      <c r="AZ456">
        <f>IF(AND(AQ456=1,ISNUMBER(AT456),AY456=1),$AT456,1)</f>
        <v>0</v>
      </c>
      <c r="BA456">
        <f>IF(AND(AR456=1,ISNUMBER(AT456),AY456=1),$AT456,1)</f>
        <v>0</v>
      </c>
      <c r="BB456">
        <f>IF(ISNUMBER(Y456),INDEX(AllCollegeILPub, MATCH(N456,AllCollegeNCES,0)),0)</f>
        <v>0</v>
      </c>
      <c r="BC456">
        <f>IF(AK456=ReachLabel,AP456,0)</f>
        <v>0</v>
      </c>
      <c r="BD456">
        <f>IF(AK456=MatchLabel,AP456,0)</f>
        <v>0</v>
      </c>
      <c r="BE456">
        <f>IF(AK456=SafetyLabel,AP456,0)</f>
        <v>0</v>
      </c>
      <c r="BF456">
        <f>IF(AK456=SecureLabel,AP456,0)</f>
        <v>0</v>
      </c>
      <c r="BG456">
        <f>IF(AK456=SureThingLabel,AP456,0)</f>
        <v>0</v>
      </c>
      <c r="BH456">
        <f>MAX(BC456:BG456)</f>
        <v>0</v>
      </c>
      <c r="BI456">
        <f>MAX(BD456:BG456)</f>
        <v>0</v>
      </c>
      <c r="BJ456">
        <f>MAX(BE456:BG456)</f>
        <v>0</v>
      </c>
      <c r="BK456">
        <f>IF(AND(AK456=ReachLabel,AY456=1),AP456,0)</f>
        <v>0</v>
      </c>
      <c r="BL456">
        <f>IF(AND(AK456=MatchLabel,AY456=1),AP456,0)</f>
        <v>0</v>
      </c>
      <c r="BM456">
        <f>IF(AND(AK456=SafetyLabel,AY456=1),AP456,0)</f>
        <v>0</v>
      </c>
      <c r="BN456">
        <f>IF(AND(AK456=SecureLabel,AY456=1),AP456,0)</f>
        <v>0</v>
      </c>
      <c r="BO456">
        <f>IF(AND(AK456=SureThingLabel,AY456=1),AP456,0)</f>
        <v>0</v>
      </c>
      <c r="BP456">
        <f>MAX(BK456:BO456)</f>
        <v>0</v>
      </c>
      <c r="BQ456">
        <f>MAX(BL456:BO456)</f>
        <v>0</v>
      </c>
      <c r="BR456">
        <f>MAX(BM456:BO456)</f>
        <v>0</v>
      </c>
      <c r="BS456">
        <f>IF(ISNUMBER(Y456),INDEX(AllCollegeChicago, MATCH(N456,AllCollegeNCES,0))*AY456,0)</f>
        <v>0</v>
      </c>
      <c r="BT456">
        <f>IF(ISNUMBER(Y456),INDEX(AllCollegeMoneyCode, MATCH(N456,AllCollegeNCES,0)),"?")</f>
        <v>0</v>
      </c>
      <c r="BU456">
        <f>IF(OR(BT456="---",BT456="--",BT456="+/--",BT456="+/---"),1,0)</f>
        <v>0</v>
      </c>
      <c r="BV456">
        <f>AY456*AO456*AQ456</f>
        <v>0</v>
      </c>
    </row>
    <row r="457" spans="1:74">
      <c r="A457" t="s">
        <v>86</v>
      </c>
      <c r="B457">
        <v>23438312</v>
      </c>
      <c r="C457" t="s">
        <v>212</v>
      </c>
      <c r="D457" t="s">
        <v>213</v>
      </c>
      <c r="E457" t="s">
        <v>428</v>
      </c>
      <c r="F457" t="s">
        <v>553</v>
      </c>
      <c r="G457" t="s">
        <v>430</v>
      </c>
      <c r="H457" t="s">
        <v>431</v>
      </c>
      <c r="I457" t="s">
        <v>432</v>
      </c>
      <c r="J457" t="s">
        <v>432</v>
      </c>
      <c r="K457">
        <v>0</v>
      </c>
      <c r="L457" t="s">
        <v>428</v>
      </c>
      <c r="M457" t="s">
        <v>428</v>
      </c>
      <c r="N457">
        <v>171456</v>
      </c>
      <c r="O457">
        <f>INDEX(AllCollegeBarrons,MATCH(N457,AllCollegeNCES,0))</f>
        <v>0</v>
      </c>
      <c r="P457">
        <f>INDEX(KidGPAs,MATCH(B457,KidIDs,0))</f>
        <v>0</v>
      </c>
      <c r="Q457">
        <f>INDEX(KidACTs,MATCH(B457,KidIDs,0))</f>
        <v>0</v>
      </c>
      <c r="R457">
        <f>INDEX(Strats,MATCH(B457,KidIDs,0))</f>
        <v>0</v>
      </c>
      <c r="S457">
        <f>INDEX(KidRace,MATCH(B457,KidIDs,0))</f>
        <v>0</v>
      </c>
      <c r="T457">
        <f>IF(OR(S457="M",S457="I"),"H",S457)</f>
        <v>0</v>
      </c>
      <c r="U457">
        <f>INDEX(StudentTargets,MATCH(B457,KidIDs,0))</f>
        <v>0</v>
      </c>
      <c r="V457">
        <f>INDEX(ReachStudentTargets,MATCH(B457,KidIDs,0))</f>
        <v>0</v>
      </c>
      <c r="W457">
        <f>IF(OR(M457="Posse"),1,0)</f>
        <v>0</v>
      </c>
      <c r="X457">
        <f>IF(ISNUMBER(INDEX(AllCollegeGR, MATCH(N457,AllCollegeNCES,0))),ROUND(INDEX(AllCollegeGR, MATCH(N457,AllCollegeNCES,0))+W457*IF(INDEX(AllCollegeGR, MATCH(N457,AllCollegeNCES,0))&gt;0.7,(1-INDEX(AllCollegeGR, MATCH(N457,AllCollegeNCES,0)))/2,0.15),2),INDEX(AllCollegeGR, MATCH(N457,AllCollegeNCES,0)))</f>
        <v>0</v>
      </c>
      <c r="Y457">
        <f>IF(ISNUMBER(INDEX(AllCollegeAAHGR, MATCH(N457,AllCollegeNCES,0))),ROUND(INDEX(AllCollegeAAHGR, MATCH(N457,AllCollegeNCES,0))+W457*IF(INDEX(AllCollegeAAHGR, MATCH(N457,AllCollegeNCES,0))&gt;0.7,(1-INDEX(AllCollegeAAHGR, MATCH(N457,AllCollegeNCES,0)))/2,0.15),2),INDEX(AllCollegeAAHGR, MATCH(N457,AllCollegeNCES,0)))</f>
        <v>0</v>
      </c>
      <c r="Z457">
        <f>IF(OR(T457="H",T457="B"),INDEX(AllCollegeACT25, MATCH(N457,AllCollegeNCES,0)),INDEX(AllCollegeACT50, MATCH(N457,AllCollegeNCES,0)))</f>
        <v>0</v>
      </c>
      <c r="AA457">
        <f>INDEX(CustomWeightsGPA,MATCH(T457&amp;":"&amp;N457,CustomWeightsIndex,0))</f>
        <v>0</v>
      </c>
      <c r="AB457">
        <f>INDEX(CustomWeightsACT,MATCH(T457&amp;":"&amp;N457,CustomWeightsIndex,0))</f>
        <v>0</v>
      </c>
      <c r="AC457">
        <f>INDEX(CustomWeightsIntercept,MATCH(T457&amp;":"&amp;N457,CustomWeightsIndex,0))</f>
        <v>0</v>
      </c>
      <c r="AD457">
        <f>AA457*P457+AB457*Q457+AC457</f>
        <v>0</v>
      </c>
      <c r="AE457">
        <f>INDEX(CoefficientsGPA,MATCH(T457&amp;":"&amp;O457,CoefficientsIndex,0))</f>
        <v>0</v>
      </c>
      <c r="AF457">
        <f>INDEX(CoefficientsACT,MATCH(T457&amp;":"&amp;O457,CoefficientsIndex,0))</f>
        <v>0</v>
      </c>
      <c r="AG457">
        <f>INDEX(CoefficientsIntercept,MATCH(T457&amp;":"&amp;O457,CoefficientsIndex,0))</f>
        <v>0</v>
      </c>
      <c r="AH457">
        <f>AE457*P457+(Q457-Z457)*AF457+AG457</f>
        <v>0</v>
      </c>
      <c r="AI457">
        <f>IF(ISNUMBER(AD457),AD457,AH457)</f>
        <v>0</v>
      </c>
      <c r="AJ457">
        <f>IF(ISNUMBER(AI457),IF(ISNUMBER(AE457),IF(AND(AE457=1,AF457=1,AG457=1),100,ROUND(100*EXP(AI457)/(1+EXP(AI457)),2)),ROUND(100*EXP(AI457)/(1+EXP(AI457)),2)),IF(ISTEXT(O457),IF(LEFT(O457,1)="2",100,"N/A"),"N/A"))</f>
        <v>0</v>
      </c>
      <c r="AK457">
        <f>IF(ISNUMBER(AJ457),IF(AJ457&gt;=99,IF(OR(R457=10,R457=11),MatchLabel,SureThingLabel),IF(AJ457&gt;=95,SecureLabel,IF(AJ457&gt;=80,SafetyLabel,IF(AJ457&gt;=50,MatchLabel,IF(AJ457&gt;=20,ReachLabel,IF(AJ457&gt;=10,LongshotLabel,HailMaryLabel)))))),"Other")</f>
        <v>0</v>
      </c>
      <c r="AL457">
        <f>IF(OR(I457="accepted",I457="cond. accept",I457="summer admit"),IF(J457="yes","CHOICE!","Accepted!"),IF(I457="denied","Denied",IF(K457=1,"Waitlist",IF(L457=1,"Deferred",IF(G457="pending","Pending",IF(OR(G457="initial materials submitted",G457="mid-year submitted",G457="final submitted"),"Submitted",IF(H457="interest","Interest","?")))))))</f>
        <v>0</v>
      </c>
      <c r="AM457">
        <f>IF(OR(AK457=ReachLabel,AK457=LongshotLabel,AK457=HailMaryLabel),1,0)</f>
        <v>0</v>
      </c>
      <c r="AN457">
        <f>IF(OR(AM457=1,AK457=MatchLabel),1,0)</f>
        <v>0</v>
      </c>
      <c r="AO457">
        <f>IF(OR(AK457=MatchLabel,AK457=SafetyLabel,AK457=SecureLabel,AK457=SureThingLabel),1,0)</f>
        <v>0</v>
      </c>
      <c r="AP457">
        <f>IF(OR(T457="H",T457="B"),IF(ISNUMBER(Y457),ROUND(Y457,2),0),IF(ISNUMBER(X457),ROUND(X457,2),0))</f>
        <v>0</v>
      </c>
      <c r="AQ457">
        <f>IF(AP457&gt;=U457,1,0)</f>
        <v>0</v>
      </c>
      <c r="AR457">
        <f>IF(AP457&gt;=V457,1,0)</f>
        <v>0</v>
      </c>
      <c r="AS457">
        <f>IF(AP457&lt;(U457-0.10),1,0)</f>
        <v>0</v>
      </c>
      <c r="AT457">
        <f>1-AJ457/100</f>
        <v>0</v>
      </c>
      <c r="AU457">
        <f>IF(AN457=1,AT457,1)</f>
        <v>0</v>
      </c>
      <c r="AV457">
        <f>IF(AM457=1,AT457,1)</f>
        <v>0</v>
      </c>
      <c r="AW457">
        <f>IF(AND(AQ457=1,ISNUMBER(AT457)),$AT457,1)</f>
        <v>0</v>
      </c>
      <c r="AX457">
        <f>IF(AND(AR457=1,ISNUMBER(AT457)),$AT457,1)</f>
        <v>0</v>
      </c>
      <c r="AY457">
        <f>IF(ISNUMBER(Y457),INDEX(AllCollegeMoney, MATCH(N457,AllCollegeNCES,0)),0)</f>
        <v>0</v>
      </c>
      <c r="AZ457">
        <f>IF(AND(AQ457=1,ISNUMBER(AT457),AY457=1),$AT457,1)</f>
        <v>0</v>
      </c>
      <c r="BA457">
        <f>IF(AND(AR457=1,ISNUMBER(AT457),AY457=1),$AT457,1)</f>
        <v>0</v>
      </c>
      <c r="BB457">
        <f>IF(ISNUMBER(Y457),INDEX(AllCollegeILPub, MATCH(N457,AllCollegeNCES,0)),0)</f>
        <v>0</v>
      </c>
      <c r="BC457">
        <f>IF(AK457=ReachLabel,AP457,0)</f>
        <v>0</v>
      </c>
      <c r="BD457">
        <f>IF(AK457=MatchLabel,AP457,0)</f>
        <v>0</v>
      </c>
      <c r="BE457">
        <f>IF(AK457=SafetyLabel,AP457,0)</f>
        <v>0</v>
      </c>
      <c r="BF457">
        <f>IF(AK457=SecureLabel,AP457,0)</f>
        <v>0</v>
      </c>
      <c r="BG457">
        <f>IF(AK457=SureThingLabel,AP457,0)</f>
        <v>0</v>
      </c>
      <c r="BH457">
        <f>MAX(BC457:BG457)</f>
        <v>0</v>
      </c>
      <c r="BI457">
        <f>MAX(BD457:BG457)</f>
        <v>0</v>
      </c>
      <c r="BJ457">
        <f>MAX(BE457:BG457)</f>
        <v>0</v>
      </c>
      <c r="BK457">
        <f>IF(AND(AK457=ReachLabel,AY457=1),AP457,0)</f>
        <v>0</v>
      </c>
      <c r="BL457">
        <f>IF(AND(AK457=MatchLabel,AY457=1),AP457,0)</f>
        <v>0</v>
      </c>
      <c r="BM457">
        <f>IF(AND(AK457=SafetyLabel,AY457=1),AP457,0)</f>
        <v>0</v>
      </c>
      <c r="BN457">
        <f>IF(AND(AK457=SecureLabel,AY457=1),AP457,0)</f>
        <v>0</v>
      </c>
      <c r="BO457">
        <f>IF(AND(AK457=SureThingLabel,AY457=1),AP457,0)</f>
        <v>0</v>
      </c>
      <c r="BP457">
        <f>MAX(BK457:BO457)</f>
        <v>0</v>
      </c>
      <c r="BQ457">
        <f>MAX(BL457:BO457)</f>
        <v>0</v>
      </c>
      <c r="BR457">
        <f>MAX(BM457:BO457)</f>
        <v>0</v>
      </c>
      <c r="BS457">
        <f>IF(ISNUMBER(Y457),INDEX(AllCollegeChicago, MATCH(N457,AllCollegeNCES,0))*AY457,0)</f>
        <v>0</v>
      </c>
      <c r="BT457">
        <f>IF(ISNUMBER(Y457),INDEX(AllCollegeMoneyCode, MATCH(N457,AllCollegeNCES,0)),"?")</f>
        <v>0</v>
      </c>
      <c r="BU457">
        <f>IF(OR(BT457="---",BT457="--",BT457="+/--",BT457="+/---"),1,0)</f>
        <v>0</v>
      </c>
      <c r="BV457">
        <f>AY457*AO457*AQ457</f>
        <v>0</v>
      </c>
    </row>
    <row r="458" spans="1:74">
      <c r="A458" t="s">
        <v>86</v>
      </c>
      <c r="B458">
        <v>23452595</v>
      </c>
      <c r="C458" t="s">
        <v>330</v>
      </c>
      <c r="D458" t="s">
        <v>331</v>
      </c>
      <c r="E458" t="s">
        <v>428</v>
      </c>
      <c r="F458" t="s">
        <v>462</v>
      </c>
      <c r="G458" t="s">
        <v>430</v>
      </c>
      <c r="H458" t="s">
        <v>431</v>
      </c>
      <c r="I458" t="s">
        <v>432</v>
      </c>
      <c r="J458" t="s">
        <v>432</v>
      </c>
      <c r="K458">
        <v>0</v>
      </c>
      <c r="L458" t="s">
        <v>428</v>
      </c>
      <c r="M458" t="s">
        <v>428</v>
      </c>
      <c r="N458">
        <v>168546</v>
      </c>
      <c r="O458">
        <f>INDEX(AllCollegeBarrons,MATCH(N458,AllCollegeNCES,0))</f>
        <v>0</v>
      </c>
      <c r="P458">
        <f>INDEX(KidGPAs,MATCH(B458,KidIDs,0))</f>
        <v>0</v>
      </c>
      <c r="Q458">
        <f>INDEX(KidACTs,MATCH(B458,KidIDs,0))</f>
        <v>0</v>
      </c>
      <c r="R458">
        <f>INDEX(Strats,MATCH(B458,KidIDs,0))</f>
        <v>0</v>
      </c>
      <c r="S458">
        <f>INDEX(KidRace,MATCH(B458,KidIDs,0))</f>
        <v>0</v>
      </c>
      <c r="T458">
        <f>IF(OR(S458="M",S458="I"),"H",S458)</f>
        <v>0</v>
      </c>
      <c r="U458">
        <f>INDEX(StudentTargets,MATCH(B458,KidIDs,0))</f>
        <v>0</v>
      </c>
      <c r="V458">
        <f>INDEX(ReachStudentTargets,MATCH(B458,KidIDs,0))</f>
        <v>0</v>
      </c>
      <c r="W458">
        <f>IF(OR(M458="Posse"),1,0)</f>
        <v>0</v>
      </c>
      <c r="X458">
        <f>IF(ISNUMBER(INDEX(AllCollegeGR, MATCH(N458,AllCollegeNCES,0))),ROUND(INDEX(AllCollegeGR, MATCH(N458,AllCollegeNCES,0))+W458*IF(INDEX(AllCollegeGR, MATCH(N458,AllCollegeNCES,0))&gt;0.7,(1-INDEX(AllCollegeGR, MATCH(N458,AllCollegeNCES,0)))/2,0.15),2),INDEX(AllCollegeGR, MATCH(N458,AllCollegeNCES,0)))</f>
        <v>0</v>
      </c>
      <c r="Y458">
        <f>IF(ISNUMBER(INDEX(AllCollegeAAHGR, MATCH(N458,AllCollegeNCES,0))),ROUND(INDEX(AllCollegeAAHGR, MATCH(N458,AllCollegeNCES,0))+W458*IF(INDEX(AllCollegeAAHGR, MATCH(N458,AllCollegeNCES,0))&gt;0.7,(1-INDEX(AllCollegeAAHGR, MATCH(N458,AllCollegeNCES,0)))/2,0.15),2),INDEX(AllCollegeAAHGR, MATCH(N458,AllCollegeNCES,0)))</f>
        <v>0</v>
      </c>
      <c r="Z458">
        <f>IF(OR(T458="H",T458="B"),INDEX(AllCollegeACT25, MATCH(N458,AllCollegeNCES,0)),INDEX(AllCollegeACT50, MATCH(N458,AllCollegeNCES,0)))</f>
        <v>0</v>
      </c>
      <c r="AA458">
        <f>INDEX(CustomWeightsGPA,MATCH(T458&amp;":"&amp;N458,CustomWeightsIndex,0))</f>
        <v>0</v>
      </c>
      <c r="AB458">
        <f>INDEX(CustomWeightsACT,MATCH(T458&amp;":"&amp;N458,CustomWeightsIndex,0))</f>
        <v>0</v>
      </c>
      <c r="AC458">
        <f>INDEX(CustomWeightsIntercept,MATCH(T458&amp;":"&amp;N458,CustomWeightsIndex,0))</f>
        <v>0</v>
      </c>
      <c r="AD458">
        <f>AA458*P458+AB458*Q458+AC458</f>
        <v>0</v>
      </c>
      <c r="AE458">
        <f>INDEX(CoefficientsGPA,MATCH(T458&amp;":"&amp;O458,CoefficientsIndex,0))</f>
        <v>0</v>
      </c>
      <c r="AF458">
        <f>INDEX(CoefficientsACT,MATCH(T458&amp;":"&amp;O458,CoefficientsIndex,0))</f>
        <v>0</v>
      </c>
      <c r="AG458">
        <f>INDEX(CoefficientsIntercept,MATCH(T458&amp;":"&amp;O458,CoefficientsIndex,0))</f>
        <v>0</v>
      </c>
      <c r="AH458">
        <f>AE458*P458+(Q458-Z458)*AF458+AG458</f>
        <v>0</v>
      </c>
      <c r="AI458">
        <f>IF(ISNUMBER(AD458),AD458,AH458)</f>
        <v>0</v>
      </c>
      <c r="AJ458">
        <f>IF(ISNUMBER(AI458),IF(ISNUMBER(AE458),IF(AND(AE458=1,AF458=1,AG458=1),100,ROUND(100*EXP(AI458)/(1+EXP(AI458)),2)),ROUND(100*EXP(AI458)/(1+EXP(AI458)),2)),IF(ISTEXT(O458),IF(LEFT(O458,1)="2",100,"N/A"),"N/A"))</f>
        <v>0</v>
      </c>
      <c r="AK458">
        <f>IF(ISNUMBER(AJ458),IF(AJ458&gt;=99,IF(OR(R458=10,R458=11),MatchLabel,SureThingLabel),IF(AJ458&gt;=95,SecureLabel,IF(AJ458&gt;=80,SafetyLabel,IF(AJ458&gt;=50,MatchLabel,IF(AJ458&gt;=20,ReachLabel,IF(AJ458&gt;=10,LongshotLabel,HailMaryLabel)))))),"Other")</f>
        <v>0</v>
      </c>
      <c r="AL458">
        <f>IF(OR(I458="accepted",I458="cond. accept",I458="summer admit"),IF(J458="yes","CHOICE!","Accepted!"),IF(I458="denied","Denied",IF(K458=1,"Waitlist",IF(L458=1,"Deferred",IF(G458="pending","Pending",IF(OR(G458="initial materials submitted",G458="mid-year submitted",G458="final submitted"),"Submitted",IF(H458="interest","Interest","?")))))))</f>
        <v>0</v>
      </c>
      <c r="AM458">
        <f>IF(OR(AK458=ReachLabel,AK458=LongshotLabel,AK458=HailMaryLabel),1,0)</f>
        <v>0</v>
      </c>
      <c r="AN458">
        <f>IF(OR(AM458=1,AK458=MatchLabel),1,0)</f>
        <v>0</v>
      </c>
      <c r="AO458">
        <f>IF(OR(AK458=MatchLabel,AK458=SafetyLabel,AK458=SecureLabel,AK458=SureThingLabel),1,0)</f>
        <v>0</v>
      </c>
      <c r="AP458">
        <f>IF(OR(T458="H",T458="B"),IF(ISNUMBER(Y458),ROUND(Y458,2),0),IF(ISNUMBER(X458),ROUND(X458,2),0))</f>
        <v>0</v>
      </c>
      <c r="AQ458">
        <f>IF(AP458&gt;=U458,1,0)</f>
        <v>0</v>
      </c>
      <c r="AR458">
        <f>IF(AP458&gt;=V458,1,0)</f>
        <v>0</v>
      </c>
      <c r="AS458">
        <f>IF(AP458&lt;(U458-0.10),1,0)</f>
        <v>0</v>
      </c>
      <c r="AT458">
        <f>1-AJ458/100</f>
        <v>0</v>
      </c>
      <c r="AU458">
        <f>IF(AN458=1,AT458,1)</f>
        <v>0</v>
      </c>
      <c r="AV458">
        <f>IF(AM458=1,AT458,1)</f>
        <v>0</v>
      </c>
      <c r="AW458">
        <f>IF(AND(AQ458=1,ISNUMBER(AT458)),$AT458,1)</f>
        <v>0</v>
      </c>
      <c r="AX458">
        <f>IF(AND(AR458=1,ISNUMBER(AT458)),$AT458,1)</f>
        <v>0</v>
      </c>
      <c r="AY458">
        <f>IF(ISNUMBER(Y458),INDEX(AllCollegeMoney, MATCH(N458,AllCollegeNCES,0)),0)</f>
        <v>0</v>
      </c>
      <c r="AZ458">
        <f>IF(AND(AQ458=1,ISNUMBER(AT458),AY458=1),$AT458,1)</f>
        <v>0</v>
      </c>
      <c r="BA458">
        <f>IF(AND(AR458=1,ISNUMBER(AT458),AY458=1),$AT458,1)</f>
        <v>0</v>
      </c>
      <c r="BB458">
        <f>IF(ISNUMBER(Y458),INDEX(AllCollegeILPub, MATCH(N458,AllCollegeNCES,0)),0)</f>
        <v>0</v>
      </c>
      <c r="BC458">
        <f>IF(AK458=ReachLabel,AP458,0)</f>
        <v>0</v>
      </c>
      <c r="BD458">
        <f>IF(AK458=MatchLabel,AP458,0)</f>
        <v>0</v>
      </c>
      <c r="BE458">
        <f>IF(AK458=SafetyLabel,AP458,0)</f>
        <v>0</v>
      </c>
      <c r="BF458">
        <f>IF(AK458=SecureLabel,AP458,0)</f>
        <v>0</v>
      </c>
      <c r="BG458">
        <f>IF(AK458=SureThingLabel,AP458,0)</f>
        <v>0</v>
      </c>
      <c r="BH458">
        <f>MAX(BC458:BG458)</f>
        <v>0</v>
      </c>
      <c r="BI458">
        <f>MAX(BD458:BG458)</f>
        <v>0</v>
      </c>
      <c r="BJ458">
        <f>MAX(BE458:BG458)</f>
        <v>0</v>
      </c>
      <c r="BK458">
        <f>IF(AND(AK458=ReachLabel,AY458=1),AP458,0)</f>
        <v>0</v>
      </c>
      <c r="BL458">
        <f>IF(AND(AK458=MatchLabel,AY458=1),AP458,0)</f>
        <v>0</v>
      </c>
      <c r="BM458">
        <f>IF(AND(AK458=SafetyLabel,AY458=1),AP458,0)</f>
        <v>0</v>
      </c>
      <c r="BN458">
        <f>IF(AND(AK458=SecureLabel,AY458=1),AP458,0)</f>
        <v>0</v>
      </c>
      <c r="BO458">
        <f>IF(AND(AK458=SureThingLabel,AY458=1),AP458,0)</f>
        <v>0</v>
      </c>
      <c r="BP458">
        <f>MAX(BK458:BO458)</f>
        <v>0</v>
      </c>
      <c r="BQ458">
        <f>MAX(BL458:BO458)</f>
        <v>0</v>
      </c>
      <c r="BR458">
        <f>MAX(BM458:BO458)</f>
        <v>0</v>
      </c>
      <c r="BS458">
        <f>IF(ISNUMBER(Y458),INDEX(AllCollegeChicago, MATCH(N458,AllCollegeNCES,0))*AY458,0)</f>
        <v>0</v>
      </c>
      <c r="BT458">
        <f>IF(ISNUMBER(Y458),INDEX(AllCollegeMoneyCode, MATCH(N458,AllCollegeNCES,0)),"?")</f>
        <v>0</v>
      </c>
      <c r="BU458">
        <f>IF(OR(BT458="---",BT458="--",BT458="+/--",BT458="+/---"),1,0)</f>
        <v>0</v>
      </c>
      <c r="BV458">
        <f>AY458*AO458*AQ458</f>
        <v>0</v>
      </c>
    </row>
    <row r="459" spans="1:74">
      <c r="A459" t="s">
        <v>86</v>
      </c>
      <c r="B459">
        <v>23452595</v>
      </c>
      <c r="C459" t="s">
        <v>330</v>
      </c>
      <c r="D459" t="s">
        <v>331</v>
      </c>
      <c r="E459" t="s">
        <v>428</v>
      </c>
      <c r="F459" t="s">
        <v>429</v>
      </c>
      <c r="G459" t="s">
        <v>430</v>
      </c>
      <c r="H459" t="s">
        <v>431</v>
      </c>
      <c r="I459" t="s">
        <v>432</v>
      </c>
      <c r="J459" t="s">
        <v>432</v>
      </c>
      <c r="K459">
        <v>0</v>
      </c>
      <c r="L459" t="s">
        <v>428</v>
      </c>
      <c r="M459" t="s">
        <v>428</v>
      </c>
      <c r="N459">
        <v>144962</v>
      </c>
      <c r="O459">
        <f>INDEX(AllCollegeBarrons,MATCH(N459,AllCollegeNCES,0))</f>
        <v>0</v>
      </c>
      <c r="P459">
        <f>INDEX(KidGPAs,MATCH(B459,KidIDs,0))</f>
        <v>0</v>
      </c>
      <c r="Q459">
        <f>INDEX(KidACTs,MATCH(B459,KidIDs,0))</f>
        <v>0</v>
      </c>
      <c r="R459">
        <f>INDEX(Strats,MATCH(B459,KidIDs,0))</f>
        <v>0</v>
      </c>
      <c r="S459">
        <f>INDEX(KidRace,MATCH(B459,KidIDs,0))</f>
        <v>0</v>
      </c>
      <c r="T459">
        <f>IF(OR(S459="M",S459="I"),"H",S459)</f>
        <v>0</v>
      </c>
      <c r="U459">
        <f>INDEX(StudentTargets,MATCH(B459,KidIDs,0))</f>
        <v>0</v>
      </c>
      <c r="V459">
        <f>INDEX(ReachStudentTargets,MATCH(B459,KidIDs,0))</f>
        <v>0</v>
      </c>
      <c r="W459">
        <f>IF(OR(M459="Posse"),1,0)</f>
        <v>0</v>
      </c>
      <c r="X459">
        <f>IF(ISNUMBER(INDEX(AllCollegeGR, MATCH(N459,AllCollegeNCES,0))),ROUND(INDEX(AllCollegeGR, MATCH(N459,AllCollegeNCES,0))+W459*IF(INDEX(AllCollegeGR, MATCH(N459,AllCollegeNCES,0))&gt;0.7,(1-INDEX(AllCollegeGR, MATCH(N459,AllCollegeNCES,0)))/2,0.15),2),INDEX(AllCollegeGR, MATCH(N459,AllCollegeNCES,0)))</f>
        <v>0</v>
      </c>
      <c r="Y459">
        <f>IF(ISNUMBER(INDEX(AllCollegeAAHGR, MATCH(N459,AllCollegeNCES,0))),ROUND(INDEX(AllCollegeAAHGR, MATCH(N459,AllCollegeNCES,0))+W459*IF(INDEX(AllCollegeAAHGR, MATCH(N459,AllCollegeNCES,0))&gt;0.7,(1-INDEX(AllCollegeAAHGR, MATCH(N459,AllCollegeNCES,0)))/2,0.15),2),INDEX(AllCollegeAAHGR, MATCH(N459,AllCollegeNCES,0)))</f>
        <v>0</v>
      </c>
      <c r="Z459">
        <f>IF(OR(T459="H",T459="B"),INDEX(AllCollegeACT25, MATCH(N459,AllCollegeNCES,0)),INDEX(AllCollegeACT50, MATCH(N459,AllCollegeNCES,0)))</f>
        <v>0</v>
      </c>
      <c r="AA459">
        <f>INDEX(CustomWeightsGPA,MATCH(T459&amp;":"&amp;N459,CustomWeightsIndex,0))</f>
        <v>0</v>
      </c>
      <c r="AB459">
        <f>INDEX(CustomWeightsACT,MATCH(T459&amp;":"&amp;N459,CustomWeightsIndex,0))</f>
        <v>0</v>
      </c>
      <c r="AC459">
        <f>INDEX(CustomWeightsIntercept,MATCH(T459&amp;":"&amp;N459,CustomWeightsIndex,0))</f>
        <v>0</v>
      </c>
      <c r="AD459">
        <f>AA459*P459+AB459*Q459+AC459</f>
        <v>0</v>
      </c>
      <c r="AE459">
        <f>INDEX(CoefficientsGPA,MATCH(T459&amp;":"&amp;O459,CoefficientsIndex,0))</f>
        <v>0</v>
      </c>
      <c r="AF459">
        <f>INDEX(CoefficientsACT,MATCH(T459&amp;":"&amp;O459,CoefficientsIndex,0))</f>
        <v>0</v>
      </c>
      <c r="AG459">
        <f>INDEX(CoefficientsIntercept,MATCH(T459&amp;":"&amp;O459,CoefficientsIndex,0))</f>
        <v>0</v>
      </c>
      <c r="AH459">
        <f>AE459*P459+(Q459-Z459)*AF459+AG459</f>
        <v>0</v>
      </c>
      <c r="AI459">
        <f>IF(ISNUMBER(AD459),AD459,AH459)</f>
        <v>0</v>
      </c>
      <c r="AJ459">
        <f>IF(ISNUMBER(AI459),IF(ISNUMBER(AE459),IF(AND(AE459=1,AF459=1,AG459=1),100,ROUND(100*EXP(AI459)/(1+EXP(AI459)),2)),ROUND(100*EXP(AI459)/(1+EXP(AI459)),2)),IF(ISTEXT(O459),IF(LEFT(O459,1)="2",100,"N/A"),"N/A"))</f>
        <v>0</v>
      </c>
      <c r="AK459">
        <f>IF(ISNUMBER(AJ459),IF(AJ459&gt;=99,IF(OR(R459=10,R459=11),MatchLabel,SureThingLabel),IF(AJ459&gt;=95,SecureLabel,IF(AJ459&gt;=80,SafetyLabel,IF(AJ459&gt;=50,MatchLabel,IF(AJ459&gt;=20,ReachLabel,IF(AJ459&gt;=10,LongshotLabel,HailMaryLabel)))))),"Other")</f>
        <v>0</v>
      </c>
      <c r="AL459">
        <f>IF(OR(I459="accepted",I459="cond. accept",I459="summer admit"),IF(J459="yes","CHOICE!","Accepted!"),IF(I459="denied","Denied",IF(K459=1,"Waitlist",IF(L459=1,"Deferred",IF(G459="pending","Pending",IF(OR(G459="initial materials submitted",G459="mid-year submitted",G459="final submitted"),"Submitted",IF(H459="interest","Interest","?")))))))</f>
        <v>0</v>
      </c>
      <c r="AM459">
        <f>IF(OR(AK459=ReachLabel,AK459=LongshotLabel,AK459=HailMaryLabel),1,0)</f>
        <v>0</v>
      </c>
      <c r="AN459">
        <f>IF(OR(AM459=1,AK459=MatchLabel),1,0)</f>
        <v>0</v>
      </c>
      <c r="AO459">
        <f>IF(OR(AK459=MatchLabel,AK459=SafetyLabel,AK459=SecureLabel,AK459=SureThingLabel),1,0)</f>
        <v>0</v>
      </c>
      <c r="AP459">
        <f>IF(OR(T459="H",T459="B"),IF(ISNUMBER(Y459),ROUND(Y459,2),0),IF(ISNUMBER(X459),ROUND(X459,2),0))</f>
        <v>0</v>
      </c>
      <c r="AQ459">
        <f>IF(AP459&gt;=U459,1,0)</f>
        <v>0</v>
      </c>
      <c r="AR459">
        <f>IF(AP459&gt;=V459,1,0)</f>
        <v>0</v>
      </c>
      <c r="AS459">
        <f>IF(AP459&lt;(U459-0.10),1,0)</f>
        <v>0</v>
      </c>
      <c r="AT459">
        <f>1-AJ459/100</f>
        <v>0</v>
      </c>
      <c r="AU459">
        <f>IF(AN459=1,AT459,1)</f>
        <v>0</v>
      </c>
      <c r="AV459">
        <f>IF(AM459=1,AT459,1)</f>
        <v>0</v>
      </c>
      <c r="AW459">
        <f>IF(AND(AQ459=1,ISNUMBER(AT459)),$AT459,1)</f>
        <v>0</v>
      </c>
      <c r="AX459">
        <f>IF(AND(AR459=1,ISNUMBER(AT459)),$AT459,1)</f>
        <v>0</v>
      </c>
      <c r="AY459">
        <f>IF(ISNUMBER(Y459),INDEX(AllCollegeMoney, MATCH(N459,AllCollegeNCES,0)),0)</f>
        <v>0</v>
      </c>
      <c r="AZ459">
        <f>IF(AND(AQ459=1,ISNUMBER(AT459),AY459=1),$AT459,1)</f>
        <v>0</v>
      </c>
      <c r="BA459">
        <f>IF(AND(AR459=1,ISNUMBER(AT459),AY459=1),$AT459,1)</f>
        <v>0</v>
      </c>
      <c r="BB459">
        <f>IF(ISNUMBER(Y459),INDEX(AllCollegeILPub, MATCH(N459,AllCollegeNCES,0)),0)</f>
        <v>0</v>
      </c>
      <c r="BC459">
        <f>IF(AK459=ReachLabel,AP459,0)</f>
        <v>0</v>
      </c>
      <c r="BD459">
        <f>IF(AK459=MatchLabel,AP459,0)</f>
        <v>0</v>
      </c>
      <c r="BE459">
        <f>IF(AK459=SafetyLabel,AP459,0)</f>
        <v>0</v>
      </c>
      <c r="BF459">
        <f>IF(AK459=SecureLabel,AP459,0)</f>
        <v>0</v>
      </c>
      <c r="BG459">
        <f>IF(AK459=SureThingLabel,AP459,0)</f>
        <v>0</v>
      </c>
      <c r="BH459">
        <f>MAX(BC459:BG459)</f>
        <v>0</v>
      </c>
      <c r="BI459">
        <f>MAX(BD459:BG459)</f>
        <v>0</v>
      </c>
      <c r="BJ459">
        <f>MAX(BE459:BG459)</f>
        <v>0</v>
      </c>
      <c r="BK459">
        <f>IF(AND(AK459=ReachLabel,AY459=1),AP459,0)</f>
        <v>0</v>
      </c>
      <c r="BL459">
        <f>IF(AND(AK459=MatchLabel,AY459=1),AP459,0)</f>
        <v>0</v>
      </c>
      <c r="BM459">
        <f>IF(AND(AK459=SafetyLabel,AY459=1),AP459,0)</f>
        <v>0</v>
      </c>
      <c r="BN459">
        <f>IF(AND(AK459=SecureLabel,AY459=1),AP459,0)</f>
        <v>0</v>
      </c>
      <c r="BO459">
        <f>IF(AND(AK459=SureThingLabel,AY459=1),AP459,0)</f>
        <v>0</v>
      </c>
      <c r="BP459">
        <f>MAX(BK459:BO459)</f>
        <v>0</v>
      </c>
      <c r="BQ459">
        <f>MAX(BL459:BO459)</f>
        <v>0</v>
      </c>
      <c r="BR459">
        <f>MAX(BM459:BO459)</f>
        <v>0</v>
      </c>
      <c r="BS459">
        <f>IF(ISNUMBER(Y459),INDEX(AllCollegeChicago, MATCH(N459,AllCollegeNCES,0))*AY459,0)</f>
        <v>0</v>
      </c>
      <c r="BT459">
        <f>IF(ISNUMBER(Y459),INDEX(AllCollegeMoneyCode, MATCH(N459,AllCollegeNCES,0)),"?")</f>
        <v>0</v>
      </c>
      <c r="BU459">
        <f>IF(OR(BT459="---",BT459="--",BT459="+/--",BT459="+/---"),1,0)</f>
        <v>0</v>
      </c>
      <c r="BV459">
        <f>AY459*AO459*AQ459</f>
        <v>0</v>
      </c>
    </row>
    <row r="460" spans="1:74">
      <c r="A460" t="s">
        <v>86</v>
      </c>
      <c r="B460">
        <v>23452595</v>
      </c>
      <c r="C460" t="s">
        <v>330</v>
      </c>
      <c r="D460" t="s">
        <v>331</v>
      </c>
      <c r="E460" t="s">
        <v>428</v>
      </c>
      <c r="F460" t="s">
        <v>433</v>
      </c>
      <c r="G460" t="s">
        <v>430</v>
      </c>
      <c r="H460" t="s">
        <v>431</v>
      </c>
      <c r="I460" t="s">
        <v>432</v>
      </c>
      <c r="J460" t="s">
        <v>432</v>
      </c>
      <c r="K460">
        <v>0</v>
      </c>
      <c r="L460" t="s">
        <v>428</v>
      </c>
      <c r="M460" t="s">
        <v>428</v>
      </c>
      <c r="N460">
        <v>148496</v>
      </c>
      <c r="O460">
        <f>INDEX(AllCollegeBarrons,MATCH(N460,AllCollegeNCES,0))</f>
        <v>0</v>
      </c>
      <c r="P460">
        <f>INDEX(KidGPAs,MATCH(B460,KidIDs,0))</f>
        <v>0</v>
      </c>
      <c r="Q460">
        <f>INDEX(KidACTs,MATCH(B460,KidIDs,0))</f>
        <v>0</v>
      </c>
      <c r="R460">
        <f>INDEX(Strats,MATCH(B460,KidIDs,0))</f>
        <v>0</v>
      </c>
      <c r="S460">
        <f>INDEX(KidRace,MATCH(B460,KidIDs,0))</f>
        <v>0</v>
      </c>
      <c r="T460">
        <f>IF(OR(S460="M",S460="I"),"H",S460)</f>
        <v>0</v>
      </c>
      <c r="U460">
        <f>INDEX(StudentTargets,MATCH(B460,KidIDs,0))</f>
        <v>0</v>
      </c>
      <c r="V460">
        <f>INDEX(ReachStudentTargets,MATCH(B460,KidIDs,0))</f>
        <v>0</v>
      </c>
      <c r="W460">
        <f>IF(OR(M460="Posse"),1,0)</f>
        <v>0</v>
      </c>
      <c r="X460">
        <f>IF(ISNUMBER(INDEX(AllCollegeGR, MATCH(N460,AllCollegeNCES,0))),ROUND(INDEX(AllCollegeGR, MATCH(N460,AllCollegeNCES,0))+W460*IF(INDEX(AllCollegeGR, MATCH(N460,AllCollegeNCES,0))&gt;0.7,(1-INDEX(AllCollegeGR, MATCH(N460,AllCollegeNCES,0)))/2,0.15),2),INDEX(AllCollegeGR, MATCH(N460,AllCollegeNCES,0)))</f>
        <v>0</v>
      </c>
      <c r="Y460">
        <f>IF(ISNUMBER(INDEX(AllCollegeAAHGR, MATCH(N460,AllCollegeNCES,0))),ROUND(INDEX(AllCollegeAAHGR, MATCH(N460,AllCollegeNCES,0))+W460*IF(INDEX(AllCollegeAAHGR, MATCH(N460,AllCollegeNCES,0))&gt;0.7,(1-INDEX(AllCollegeAAHGR, MATCH(N460,AllCollegeNCES,0)))/2,0.15),2),INDEX(AllCollegeAAHGR, MATCH(N460,AllCollegeNCES,0)))</f>
        <v>0</v>
      </c>
      <c r="Z460">
        <f>IF(OR(T460="H",T460="B"),INDEX(AllCollegeACT25, MATCH(N460,AllCollegeNCES,0)),INDEX(AllCollegeACT50, MATCH(N460,AllCollegeNCES,0)))</f>
        <v>0</v>
      </c>
      <c r="AA460">
        <f>INDEX(CustomWeightsGPA,MATCH(T460&amp;":"&amp;N460,CustomWeightsIndex,0))</f>
        <v>0</v>
      </c>
      <c r="AB460">
        <f>INDEX(CustomWeightsACT,MATCH(T460&amp;":"&amp;N460,CustomWeightsIndex,0))</f>
        <v>0</v>
      </c>
      <c r="AC460">
        <f>INDEX(CustomWeightsIntercept,MATCH(T460&amp;":"&amp;N460,CustomWeightsIndex,0))</f>
        <v>0</v>
      </c>
      <c r="AD460">
        <f>AA460*P460+AB460*Q460+AC460</f>
        <v>0</v>
      </c>
      <c r="AE460">
        <f>INDEX(CoefficientsGPA,MATCH(T460&amp;":"&amp;O460,CoefficientsIndex,0))</f>
        <v>0</v>
      </c>
      <c r="AF460">
        <f>INDEX(CoefficientsACT,MATCH(T460&amp;":"&amp;O460,CoefficientsIndex,0))</f>
        <v>0</v>
      </c>
      <c r="AG460">
        <f>INDEX(CoefficientsIntercept,MATCH(T460&amp;":"&amp;O460,CoefficientsIndex,0))</f>
        <v>0</v>
      </c>
      <c r="AH460">
        <f>AE460*P460+(Q460-Z460)*AF460+AG460</f>
        <v>0</v>
      </c>
      <c r="AI460">
        <f>IF(ISNUMBER(AD460),AD460,AH460)</f>
        <v>0</v>
      </c>
      <c r="AJ460">
        <f>IF(ISNUMBER(AI460),IF(ISNUMBER(AE460),IF(AND(AE460=1,AF460=1,AG460=1),100,ROUND(100*EXP(AI460)/(1+EXP(AI460)),2)),ROUND(100*EXP(AI460)/(1+EXP(AI460)),2)),IF(ISTEXT(O460),IF(LEFT(O460,1)="2",100,"N/A"),"N/A"))</f>
        <v>0</v>
      </c>
      <c r="AK460">
        <f>IF(ISNUMBER(AJ460),IF(AJ460&gt;=99,IF(OR(R460=10,R460=11),MatchLabel,SureThingLabel),IF(AJ460&gt;=95,SecureLabel,IF(AJ460&gt;=80,SafetyLabel,IF(AJ460&gt;=50,MatchLabel,IF(AJ460&gt;=20,ReachLabel,IF(AJ460&gt;=10,LongshotLabel,HailMaryLabel)))))),"Other")</f>
        <v>0</v>
      </c>
      <c r="AL460">
        <f>IF(OR(I460="accepted",I460="cond. accept",I460="summer admit"),IF(J460="yes","CHOICE!","Accepted!"),IF(I460="denied","Denied",IF(K460=1,"Waitlist",IF(L460=1,"Deferred",IF(G460="pending","Pending",IF(OR(G460="initial materials submitted",G460="mid-year submitted",G460="final submitted"),"Submitted",IF(H460="interest","Interest","?")))))))</f>
        <v>0</v>
      </c>
      <c r="AM460">
        <f>IF(OR(AK460=ReachLabel,AK460=LongshotLabel,AK460=HailMaryLabel),1,0)</f>
        <v>0</v>
      </c>
      <c r="AN460">
        <f>IF(OR(AM460=1,AK460=MatchLabel),1,0)</f>
        <v>0</v>
      </c>
      <c r="AO460">
        <f>IF(OR(AK460=MatchLabel,AK460=SafetyLabel,AK460=SecureLabel,AK460=SureThingLabel),1,0)</f>
        <v>0</v>
      </c>
      <c r="AP460">
        <f>IF(OR(T460="H",T460="B"),IF(ISNUMBER(Y460),ROUND(Y460,2),0),IF(ISNUMBER(X460),ROUND(X460,2),0))</f>
        <v>0</v>
      </c>
      <c r="AQ460">
        <f>IF(AP460&gt;=U460,1,0)</f>
        <v>0</v>
      </c>
      <c r="AR460">
        <f>IF(AP460&gt;=V460,1,0)</f>
        <v>0</v>
      </c>
      <c r="AS460">
        <f>IF(AP460&lt;(U460-0.10),1,0)</f>
        <v>0</v>
      </c>
      <c r="AT460">
        <f>1-AJ460/100</f>
        <v>0</v>
      </c>
      <c r="AU460">
        <f>IF(AN460=1,AT460,1)</f>
        <v>0</v>
      </c>
      <c r="AV460">
        <f>IF(AM460=1,AT460,1)</f>
        <v>0</v>
      </c>
      <c r="AW460">
        <f>IF(AND(AQ460=1,ISNUMBER(AT460)),$AT460,1)</f>
        <v>0</v>
      </c>
      <c r="AX460">
        <f>IF(AND(AR460=1,ISNUMBER(AT460)),$AT460,1)</f>
        <v>0</v>
      </c>
      <c r="AY460">
        <f>IF(ISNUMBER(Y460),INDEX(AllCollegeMoney, MATCH(N460,AllCollegeNCES,0)),0)</f>
        <v>0</v>
      </c>
      <c r="AZ460">
        <f>IF(AND(AQ460=1,ISNUMBER(AT460),AY460=1),$AT460,1)</f>
        <v>0</v>
      </c>
      <c r="BA460">
        <f>IF(AND(AR460=1,ISNUMBER(AT460),AY460=1),$AT460,1)</f>
        <v>0</v>
      </c>
      <c r="BB460">
        <f>IF(ISNUMBER(Y460),INDEX(AllCollegeILPub, MATCH(N460,AllCollegeNCES,0)),0)</f>
        <v>0</v>
      </c>
      <c r="BC460">
        <f>IF(AK460=ReachLabel,AP460,0)</f>
        <v>0</v>
      </c>
      <c r="BD460">
        <f>IF(AK460=MatchLabel,AP460,0)</f>
        <v>0</v>
      </c>
      <c r="BE460">
        <f>IF(AK460=SafetyLabel,AP460,0)</f>
        <v>0</v>
      </c>
      <c r="BF460">
        <f>IF(AK460=SecureLabel,AP460,0)</f>
        <v>0</v>
      </c>
      <c r="BG460">
        <f>IF(AK460=SureThingLabel,AP460,0)</f>
        <v>0</v>
      </c>
      <c r="BH460">
        <f>MAX(BC460:BG460)</f>
        <v>0</v>
      </c>
      <c r="BI460">
        <f>MAX(BD460:BG460)</f>
        <v>0</v>
      </c>
      <c r="BJ460">
        <f>MAX(BE460:BG460)</f>
        <v>0</v>
      </c>
      <c r="BK460">
        <f>IF(AND(AK460=ReachLabel,AY460=1),AP460,0)</f>
        <v>0</v>
      </c>
      <c r="BL460">
        <f>IF(AND(AK460=MatchLabel,AY460=1),AP460,0)</f>
        <v>0</v>
      </c>
      <c r="BM460">
        <f>IF(AND(AK460=SafetyLabel,AY460=1),AP460,0)</f>
        <v>0</v>
      </c>
      <c r="BN460">
        <f>IF(AND(AK460=SecureLabel,AY460=1),AP460,0)</f>
        <v>0</v>
      </c>
      <c r="BO460">
        <f>IF(AND(AK460=SureThingLabel,AY460=1),AP460,0)</f>
        <v>0</v>
      </c>
      <c r="BP460">
        <f>MAX(BK460:BO460)</f>
        <v>0</v>
      </c>
      <c r="BQ460">
        <f>MAX(BL460:BO460)</f>
        <v>0</v>
      </c>
      <c r="BR460">
        <f>MAX(BM460:BO460)</f>
        <v>0</v>
      </c>
      <c r="BS460">
        <f>IF(ISNUMBER(Y460),INDEX(AllCollegeChicago, MATCH(N460,AllCollegeNCES,0))*AY460,0)</f>
        <v>0</v>
      </c>
      <c r="BT460">
        <f>IF(ISNUMBER(Y460),INDEX(AllCollegeMoneyCode, MATCH(N460,AllCollegeNCES,0)),"?")</f>
        <v>0</v>
      </c>
      <c r="BU460">
        <f>IF(OR(BT460="---",BT460="--",BT460="+/--",BT460="+/---"),1,0)</f>
        <v>0</v>
      </c>
      <c r="BV460">
        <f>AY460*AO460*AQ460</f>
        <v>0</v>
      </c>
    </row>
    <row r="461" spans="1:74">
      <c r="A461" t="s">
        <v>86</v>
      </c>
      <c r="B461">
        <v>23452595</v>
      </c>
      <c r="C461" t="s">
        <v>330</v>
      </c>
      <c r="D461" t="s">
        <v>331</v>
      </c>
      <c r="E461" t="s">
        <v>428</v>
      </c>
      <c r="F461" t="s">
        <v>434</v>
      </c>
      <c r="G461" t="s">
        <v>430</v>
      </c>
      <c r="H461" t="s">
        <v>431</v>
      </c>
      <c r="I461" t="s">
        <v>432</v>
      </c>
      <c r="J461" t="s">
        <v>432</v>
      </c>
      <c r="K461">
        <v>0</v>
      </c>
      <c r="L461" t="s">
        <v>428</v>
      </c>
      <c r="M461" t="s">
        <v>428</v>
      </c>
      <c r="N461">
        <v>143118</v>
      </c>
      <c r="O461">
        <f>INDEX(AllCollegeBarrons,MATCH(N461,AllCollegeNCES,0))</f>
        <v>0</v>
      </c>
      <c r="P461">
        <f>INDEX(KidGPAs,MATCH(B461,KidIDs,0))</f>
        <v>0</v>
      </c>
      <c r="Q461">
        <f>INDEX(KidACTs,MATCH(B461,KidIDs,0))</f>
        <v>0</v>
      </c>
      <c r="R461">
        <f>INDEX(Strats,MATCH(B461,KidIDs,0))</f>
        <v>0</v>
      </c>
      <c r="S461">
        <f>INDEX(KidRace,MATCH(B461,KidIDs,0))</f>
        <v>0</v>
      </c>
      <c r="T461">
        <f>IF(OR(S461="M",S461="I"),"H",S461)</f>
        <v>0</v>
      </c>
      <c r="U461">
        <f>INDEX(StudentTargets,MATCH(B461,KidIDs,0))</f>
        <v>0</v>
      </c>
      <c r="V461">
        <f>INDEX(ReachStudentTargets,MATCH(B461,KidIDs,0))</f>
        <v>0</v>
      </c>
      <c r="W461">
        <f>IF(OR(M461="Posse"),1,0)</f>
        <v>0</v>
      </c>
      <c r="X461">
        <f>IF(ISNUMBER(INDEX(AllCollegeGR, MATCH(N461,AllCollegeNCES,0))),ROUND(INDEX(AllCollegeGR, MATCH(N461,AllCollegeNCES,0))+W461*IF(INDEX(AllCollegeGR, MATCH(N461,AllCollegeNCES,0))&gt;0.7,(1-INDEX(AllCollegeGR, MATCH(N461,AllCollegeNCES,0)))/2,0.15),2),INDEX(AllCollegeGR, MATCH(N461,AllCollegeNCES,0)))</f>
        <v>0</v>
      </c>
      <c r="Y461">
        <f>IF(ISNUMBER(INDEX(AllCollegeAAHGR, MATCH(N461,AllCollegeNCES,0))),ROUND(INDEX(AllCollegeAAHGR, MATCH(N461,AllCollegeNCES,0))+W461*IF(INDEX(AllCollegeAAHGR, MATCH(N461,AllCollegeNCES,0))&gt;0.7,(1-INDEX(AllCollegeAAHGR, MATCH(N461,AllCollegeNCES,0)))/2,0.15),2),INDEX(AllCollegeAAHGR, MATCH(N461,AllCollegeNCES,0)))</f>
        <v>0</v>
      </c>
      <c r="Z461">
        <f>IF(OR(T461="H",T461="B"),INDEX(AllCollegeACT25, MATCH(N461,AllCollegeNCES,0)),INDEX(AllCollegeACT50, MATCH(N461,AllCollegeNCES,0)))</f>
        <v>0</v>
      </c>
      <c r="AA461">
        <f>INDEX(CustomWeightsGPA,MATCH(T461&amp;":"&amp;N461,CustomWeightsIndex,0))</f>
        <v>0</v>
      </c>
      <c r="AB461">
        <f>INDEX(CustomWeightsACT,MATCH(T461&amp;":"&amp;N461,CustomWeightsIndex,0))</f>
        <v>0</v>
      </c>
      <c r="AC461">
        <f>INDEX(CustomWeightsIntercept,MATCH(T461&amp;":"&amp;N461,CustomWeightsIndex,0))</f>
        <v>0</v>
      </c>
      <c r="AD461">
        <f>AA461*P461+AB461*Q461+AC461</f>
        <v>0</v>
      </c>
      <c r="AE461">
        <f>INDEX(CoefficientsGPA,MATCH(T461&amp;":"&amp;O461,CoefficientsIndex,0))</f>
        <v>0</v>
      </c>
      <c r="AF461">
        <f>INDEX(CoefficientsACT,MATCH(T461&amp;":"&amp;O461,CoefficientsIndex,0))</f>
        <v>0</v>
      </c>
      <c r="AG461">
        <f>INDEX(CoefficientsIntercept,MATCH(T461&amp;":"&amp;O461,CoefficientsIndex,0))</f>
        <v>0</v>
      </c>
      <c r="AH461">
        <f>AE461*P461+(Q461-Z461)*AF461+AG461</f>
        <v>0</v>
      </c>
      <c r="AI461">
        <f>IF(ISNUMBER(AD461),AD461,AH461)</f>
        <v>0</v>
      </c>
      <c r="AJ461">
        <f>IF(ISNUMBER(AI461),IF(ISNUMBER(AE461),IF(AND(AE461=1,AF461=1,AG461=1),100,ROUND(100*EXP(AI461)/(1+EXP(AI461)),2)),ROUND(100*EXP(AI461)/(1+EXP(AI461)),2)),IF(ISTEXT(O461),IF(LEFT(O461,1)="2",100,"N/A"),"N/A"))</f>
        <v>0</v>
      </c>
      <c r="AK461">
        <f>IF(ISNUMBER(AJ461),IF(AJ461&gt;=99,IF(OR(R461=10,R461=11),MatchLabel,SureThingLabel),IF(AJ461&gt;=95,SecureLabel,IF(AJ461&gt;=80,SafetyLabel,IF(AJ461&gt;=50,MatchLabel,IF(AJ461&gt;=20,ReachLabel,IF(AJ461&gt;=10,LongshotLabel,HailMaryLabel)))))),"Other")</f>
        <v>0</v>
      </c>
      <c r="AL461">
        <f>IF(OR(I461="accepted",I461="cond. accept",I461="summer admit"),IF(J461="yes","CHOICE!","Accepted!"),IF(I461="denied","Denied",IF(K461=1,"Waitlist",IF(L461=1,"Deferred",IF(G461="pending","Pending",IF(OR(G461="initial materials submitted",G461="mid-year submitted",G461="final submitted"),"Submitted",IF(H461="interest","Interest","?")))))))</f>
        <v>0</v>
      </c>
      <c r="AM461">
        <f>IF(OR(AK461=ReachLabel,AK461=LongshotLabel,AK461=HailMaryLabel),1,0)</f>
        <v>0</v>
      </c>
      <c r="AN461">
        <f>IF(OR(AM461=1,AK461=MatchLabel),1,0)</f>
        <v>0</v>
      </c>
      <c r="AO461">
        <f>IF(OR(AK461=MatchLabel,AK461=SafetyLabel,AK461=SecureLabel,AK461=SureThingLabel),1,0)</f>
        <v>0</v>
      </c>
      <c r="AP461">
        <f>IF(OR(T461="H",T461="B"),IF(ISNUMBER(Y461),ROUND(Y461,2),0),IF(ISNUMBER(X461),ROUND(X461,2),0))</f>
        <v>0</v>
      </c>
      <c r="AQ461">
        <f>IF(AP461&gt;=U461,1,0)</f>
        <v>0</v>
      </c>
      <c r="AR461">
        <f>IF(AP461&gt;=V461,1,0)</f>
        <v>0</v>
      </c>
      <c r="AS461">
        <f>IF(AP461&lt;(U461-0.10),1,0)</f>
        <v>0</v>
      </c>
      <c r="AT461">
        <f>1-AJ461/100</f>
        <v>0</v>
      </c>
      <c r="AU461">
        <f>IF(AN461=1,AT461,1)</f>
        <v>0</v>
      </c>
      <c r="AV461">
        <f>IF(AM461=1,AT461,1)</f>
        <v>0</v>
      </c>
      <c r="AW461">
        <f>IF(AND(AQ461=1,ISNUMBER(AT461)),$AT461,1)</f>
        <v>0</v>
      </c>
      <c r="AX461">
        <f>IF(AND(AR461=1,ISNUMBER(AT461)),$AT461,1)</f>
        <v>0</v>
      </c>
      <c r="AY461">
        <f>IF(ISNUMBER(Y461),INDEX(AllCollegeMoney, MATCH(N461,AllCollegeNCES,0)),0)</f>
        <v>0</v>
      </c>
      <c r="AZ461">
        <f>IF(AND(AQ461=1,ISNUMBER(AT461),AY461=1),$AT461,1)</f>
        <v>0</v>
      </c>
      <c r="BA461">
        <f>IF(AND(AR461=1,ISNUMBER(AT461),AY461=1),$AT461,1)</f>
        <v>0</v>
      </c>
      <c r="BB461">
        <f>IF(ISNUMBER(Y461),INDEX(AllCollegeILPub, MATCH(N461,AllCollegeNCES,0)),0)</f>
        <v>0</v>
      </c>
      <c r="BC461">
        <f>IF(AK461=ReachLabel,AP461,0)</f>
        <v>0</v>
      </c>
      <c r="BD461">
        <f>IF(AK461=MatchLabel,AP461,0)</f>
        <v>0</v>
      </c>
      <c r="BE461">
        <f>IF(AK461=SafetyLabel,AP461,0)</f>
        <v>0</v>
      </c>
      <c r="BF461">
        <f>IF(AK461=SecureLabel,AP461,0)</f>
        <v>0</v>
      </c>
      <c r="BG461">
        <f>IF(AK461=SureThingLabel,AP461,0)</f>
        <v>0</v>
      </c>
      <c r="BH461">
        <f>MAX(BC461:BG461)</f>
        <v>0</v>
      </c>
      <c r="BI461">
        <f>MAX(BD461:BG461)</f>
        <v>0</v>
      </c>
      <c r="BJ461">
        <f>MAX(BE461:BG461)</f>
        <v>0</v>
      </c>
      <c r="BK461">
        <f>IF(AND(AK461=ReachLabel,AY461=1),AP461,0)</f>
        <v>0</v>
      </c>
      <c r="BL461">
        <f>IF(AND(AK461=MatchLabel,AY461=1),AP461,0)</f>
        <v>0</v>
      </c>
      <c r="BM461">
        <f>IF(AND(AK461=SafetyLabel,AY461=1),AP461,0)</f>
        <v>0</v>
      </c>
      <c r="BN461">
        <f>IF(AND(AK461=SecureLabel,AY461=1),AP461,0)</f>
        <v>0</v>
      </c>
      <c r="BO461">
        <f>IF(AND(AK461=SureThingLabel,AY461=1),AP461,0)</f>
        <v>0</v>
      </c>
      <c r="BP461">
        <f>MAX(BK461:BO461)</f>
        <v>0</v>
      </c>
      <c r="BQ461">
        <f>MAX(BL461:BO461)</f>
        <v>0</v>
      </c>
      <c r="BR461">
        <f>MAX(BM461:BO461)</f>
        <v>0</v>
      </c>
      <c r="BS461">
        <f>IF(ISNUMBER(Y461),INDEX(AllCollegeChicago, MATCH(N461,AllCollegeNCES,0))*AY461,0)</f>
        <v>0</v>
      </c>
      <c r="BT461">
        <f>IF(ISNUMBER(Y461),INDEX(AllCollegeMoneyCode, MATCH(N461,AllCollegeNCES,0)),"?")</f>
        <v>0</v>
      </c>
      <c r="BU461">
        <f>IF(OR(BT461="---",BT461="--",BT461="+/--",BT461="+/---"),1,0)</f>
        <v>0</v>
      </c>
      <c r="BV461">
        <f>AY461*AO461*AQ461</f>
        <v>0</v>
      </c>
    </row>
    <row r="462" spans="1:74">
      <c r="A462" t="s">
        <v>86</v>
      </c>
      <c r="B462">
        <v>23452595</v>
      </c>
      <c r="C462" t="s">
        <v>330</v>
      </c>
      <c r="D462" t="s">
        <v>331</v>
      </c>
      <c r="E462" t="s">
        <v>428</v>
      </c>
      <c r="F462" t="s">
        <v>502</v>
      </c>
      <c r="G462" t="s">
        <v>430</v>
      </c>
      <c r="H462" t="s">
        <v>431</v>
      </c>
      <c r="I462" t="s">
        <v>432</v>
      </c>
      <c r="J462" t="s">
        <v>432</v>
      </c>
      <c r="K462">
        <v>0</v>
      </c>
      <c r="L462" t="s">
        <v>428</v>
      </c>
      <c r="M462" t="s">
        <v>428</v>
      </c>
      <c r="N462">
        <v>145813</v>
      </c>
      <c r="O462">
        <f>INDEX(AllCollegeBarrons,MATCH(N462,AllCollegeNCES,0))</f>
        <v>0</v>
      </c>
      <c r="P462">
        <f>INDEX(KidGPAs,MATCH(B462,KidIDs,0))</f>
        <v>0</v>
      </c>
      <c r="Q462">
        <f>INDEX(KidACTs,MATCH(B462,KidIDs,0))</f>
        <v>0</v>
      </c>
      <c r="R462">
        <f>INDEX(Strats,MATCH(B462,KidIDs,0))</f>
        <v>0</v>
      </c>
      <c r="S462">
        <f>INDEX(KidRace,MATCH(B462,KidIDs,0))</f>
        <v>0</v>
      </c>
      <c r="T462">
        <f>IF(OR(S462="M",S462="I"),"H",S462)</f>
        <v>0</v>
      </c>
      <c r="U462">
        <f>INDEX(StudentTargets,MATCH(B462,KidIDs,0))</f>
        <v>0</v>
      </c>
      <c r="V462">
        <f>INDEX(ReachStudentTargets,MATCH(B462,KidIDs,0))</f>
        <v>0</v>
      </c>
      <c r="W462">
        <f>IF(OR(M462="Posse"),1,0)</f>
        <v>0</v>
      </c>
      <c r="X462">
        <f>IF(ISNUMBER(INDEX(AllCollegeGR, MATCH(N462,AllCollegeNCES,0))),ROUND(INDEX(AllCollegeGR, MATCH(N462,AllCollegeNCES,0))+W462*IF(INDEX(AllCollegeGR, MATCH(N462,AllCollegeNCES,0))&gt;0.7,(1-INDEX(AllCollegeGR, MATCH(N462,AllCollegeNCES,0)))/2,0.15),2),INDEX(AllCollegeGR, MATCH(N462,AllCollegeNCES,0)))</f>
        <v>0</v>
      </c>
      <c r="Y462">
        <f>IF(ISNUMBER(INDEX(AllCollegeAAHGR, MATCH(N462,AllCollegeNCES,0))),ROUND(INDEX(AllCollegeAAHGR, MATCH(N462,AllCollegeNCES,0))+W462*IF(INDEX(AllCollegeAAHGR, MATCH(N462,AllCollegeNCES,0))&gt;0.7,(1-INDEX(AllCollegeAAHGR, MATCH(N462,AllCollegeNCES,0)))/2,0.15),2),INDEX(AllCollegeAAHGR, MATCH(N462,AllCollegeNCES,0)))</f>
        <v>0</v>
      </c>
      <c r="Z462">
        <f>IF(OR(T462="H",T462="B"),INDEX(AllCollegeACT25, MATCH(N462,AllCollegeNCES,0)),INDEX(AllCollegeACT50, MATCH(N462,AllCollegeNCES,0)))</f>
        <v>0</v>
      </c>
      <c r="AA462">
        <f>INDEX(CustomWeightsGPA,MATCH(T462&amp;":"&amp;N462,CustomWeightsIndex,0))</f>
        <v>0</v>
      </c>
      <c r="AB462">
        <f>INDEX(CustomWeightsACT,MATCH(T462&amp;":"&amp;N462,CustomWeightsIndex,0))</f>
        <v>0</v>
      </c>
      <c r="AC462">
        <f>INDEX(CustomWeightsIntercept,MATCH(T462&amp;":"&amp;N462,CustomWeightsIndex,0))</f>
        <v>0</v>
      </c>
      <c r="AD462">
        <f>AA462*P462+AB462*Q462+AC462</f>
        <v>0</v>
      </c>
      <c r="AE462">
        <f>INDEX(CoefficientsGPA,MATCH(T462&amp;":"&amp;O462,CoefficientsIndex,0))</f>
        <v>0</v>
      </c>
      <c r="AF462">
        <f>INDEX(CoefficientsACT,MATCH(T462&amp;":"&amp;O462,CoefficientsIndex,0))</f>
        <v>0</v>
      </c>
      <c r="AG462">
        <f>INDEX(CoefficientsIntercept,MATCH(T462&amp;":"&amp;O462,CoefficientsIndex,0))</f>
        <v>0</v>
      </c>
      <c r="AH462">
        <f>AE462*P462+(Q462-Z462)*AF462+AG462</f>
        <v>0</v>
      </c>
      <c r="AI462">
        <f>IF(ISNUMBER(AD462),AD462,AH462)</f>
        <v>0</v>
      </c>
      <c r="AJ462">
        <f>IF(ISNUMBER(AI462),IF(ISNUMBER(AE462),IF(AND(AE462=1,AF462=1,AG462=1),100,ROUND(100*EXP(AI462)/(1+EXP(AI462)),2)),ROUND(100*EXP(AI462)/(1+EXP(AI462)),2)),IF(ISTEXT(O462),IF(LEFT(O462,1)="2",100,"N/A"),"N/A"))</f>
        <v>0</v>
      </c>
      <c r="AK462">
        <f>IF(ISNUMBER(AJ462),IF(AJ462&gt;=99,IF(OR(R462=10,R462=11),MatchLabel,SureThingLabel),IF(AJ462&gt;=95,SecureLabel,IF(AJ462&gt;=80,SafetyLabel,IF(AJ462&gt;=50,MatchLabel,IF(AJ462&gt;=20,ReachLabel,IF(AJ462&gt;=10,LongshotLabel,HailMaryLabel)))))),"Other")</f>
        <v>0</v>
      </c>
      <c r="AL462">
        <f>IF(OR(I462="accepted",I462="cond. accept",I462="summer admit"),IF(J462="yes","CHOICE!","Accepted!"),IF(I462="denied","Denied",IF(K462=1,"Waitlist",IF(L462=1,"Deferred",IF(G462="pending","Pending",IF(OR(G462="initial materials submitted",G462="mid-year submitted",G462="final submitted"),"Submitted",IF(H462="interest","Interest","?")))))))</f>
        <v>0</v>
      </c>
      <c r="AM462">
        <f>IF(OR(AK462=ReachLabel,AK462=LongshotLabel,AK462=HailMaryLabel),1,0)</f>
        <v>0</v>
      </c>
      <c r="AN462">
        <f>IF(OR(AM462=1,AK462=MatchLabel),1,0)</f>
        <v>0</v>
      </c>
      <c r="AO462">
        <f>IF(OR(AK462=MatchLabel,AK462=SafetyLabel,AK462=SecureLabel,AK462=SureThingLabel),1,0)</f>
        <v>0</v>
      </c>
      <c r="AP462">
        <f>IF(OR(T462="H",T462="B"),IF(ISNUMBER(Y462),ROUND(Y462,2),0),IF(ISNUMBER(X462),ROUND(X462,2),0))</f>
        <v>0</v>
      </c>
      <c r="AQ462">
        <f>IF(AP462&gt;=U462,1,0)</f>
        <v>0</v>
      </c>
      <c r="AR462">
        <f>IF(AP462&gt;=V462,1,0)</f>
        <v>0</v>
      </c>
      <c r="AS462">
        <f>IF(AP462&lt;(U462-0.10),1,0)</f>
        <v>0</v>
      </c>
      <c r="AT462">
        <f>1-AJ462/100</f>
        <v>0</v>
      </c>
      <c r="AU462">
        <f>IF(AN462=1,AT462,1)</f>
        <v>0</v>
      </c>
      <c r="AV462">
        <f>IF(AM462=1,AT462,1)</f>
        <v>0</v>
      </c>
      <c r="AW462">
        <f>IF(AND(AQ462=1,ISNUMBER(AT462)),$AT462,1)</f>
        <v>0</v>
      </c>
      <c r="AX462">
        <f>IF(AND(AR462=1,ISNUMBER(AT462)),$AT462,1)</f>
        <v>0</v>
      </c>
      <c r="AY462">
        <f>IF(ISNUMBER(Y462),INDEX(AllCollegeMoney, MATCH(N462,AllCollegeNCES,0)),0)</f>
        <v>0</v>
      </c>
      <c r="AZ462">
        <f>IF(AND(AQ462=1,ISNUMBER(AT462),AY462=1),$AT462,1)</f>
        <v>0</v>
      </c>
      <c r="BA462">
        <f>IF(AND(AR462=1,ISNUMBER(AT462),AY462=1),$AT462,1)</f>
        <v>0</v>
      </c>
      <c r="BB462">
        <f>IF(ISNUMBER(Y462),INDEX(AllCollegeILPub, MATCH(N462,AllCollegeNCES,0)),0)</f>
        <v>0</v>
      </c>
      <c r="BC462">
        <f>IF(AK462=ReachLabel,AP462,0)</f>
        <v>0</v>
      </c>
      <c r="BD462">
        <f>IF(AK462=MatchLabel,AP462,0)</f>
        <v>0</v>
      </c>
      <c r="BE462">
        <f>IF(AK462=SafetyLabel,AP462,0)</f>
        <v>0</v>
      </c>
      <c r="BF462">
        <f>IF(AK462=SecureLabel,AP462,0)</f>
        <v>0</v>
      </c>
      <c r="BG462">
        <f>IF(AK462=SureThingLabel,AP462,0)</f>
        <v>0</v>
      </c>
      <c r="BH462">
        <f>MAX(BC462:BG462)</f>
        <v>0</v>
      </c>
      <c r="BI462">
        <f>MAX(BD462:BG462)</f>
        <v>0</v>
      </c>
      <c r="BJ462">
        <f>MAX(BE462:BG462)</f>
        <v>0</v>
      </c>
      <c r="BK462">
        <f>IF(AND(AK462=ReachLabel,AY462=1),AP462,0)</f>
        <v>0</v>
      </c>
      <c r="BL462">
        <f>IF(AND(AK462=MatchLabel,AY462=1),AP462,0)</f>
        <v>0</v>
      </c>
      <c r="BM462">
        <f>IF(AND(AK462=SafetyLabel,AY462=1),AP462,0)</f>
        <v>0</v>
      </c>
      <c r="BN462">
        <f>IF(AND(AK462=SecureLabel,AY462=1),AP462,0)</f>
        <v>0</v>
      </c>
      <c r="BO462">
        <f>IF(AND(AK462=SureThingLabel,AY462=1),AP462,0)</f>
        <v>0</v>
      </c>
      <c r="BP462">
        <f>MAX(BK462:BO462)</f>
        <v>0</v>
      </c>
      <c r="BQ462">
        <f>MAX(BL462:BO462)</f>
        <v>0</v>
      </c>
      <c r="BR462">
        <f>MAX(BM462:BO462)</f>
        <v>0</v>
      </c>
      <c r="BS462">
        <f>IF(ISNUMBER(Y462),INDEX(AllCollegeChicago, MATCH(N462,AllCollegeNCES,0))*AY462,0)</f>
        <v>0</v>
      </c>
      <c r="BT462">
        <f>IF(ISNUMBER(Y462),INDEX(AllCollegeMoneyCode, MATCH(N462,AllCollegeNCES,0)),"?")</f>
        <v>0</v>
      </c>
      <c r="BU462">
        <f>IF(OR(BT462="---",BT462="--",BT462="+/--",BT462="+/---"),1,0)</f>
        <v>0</v>
      </c>
      <c r="BV462">
        <f>AY462*AO462*AQ462</f>
        <v>0</v>
      </c>
    </row>
    <row r="463" spans="1:74">
      <c r="A463" t="s">
        <v>86</v>
      </c>
      <c r="B463">
        <v>23452595</v>
      </c>
      <c r="C463" t="s">
        <v>330</v>
      </c>
      <c r="D463" t="s">
        <v>331</v>
      </c>
      <c r="E463" t="s">
        <v>428</v>
      </c>
      <c r="F463" t="s">
        <v>554</v>
      </c>
      <c r="G463" t="s">
        <v>430</v>
      </c>
      <c r="H463" t="s">
        <v>431</v>
      </c>
      <c r="I463" t="s">
        <v>432</v>
      </c>
      <c r="J463" t="s">
        <v>432</v>
      </c>
      <c r="K463">
        <v>0</v>
      </c>
      <c r="L463" t="s">
        <v>428</v>
      </c>
      <c r="M463" t="s">
        <v>428</v>
      </c>
      <c r="N463">
        <v>146612</v>
      </c>
      <c r="O463">
        <f>INDEX(AllCollegeBarrons,MATCH(N463,AllCollegeNCES,0))</f>
        <v>0</v>
      </c>
      <c r="P463">
        <f>INDEX(KidGPAs,MATCH(B463,KidIDs,0))</f>
        <v>0</v>
      </c>
      <c r="Q463">
        <f>INDEX(KidACTs,MATCH(B463,KidIDs,0))</f>
        <v>0</v>
      </c>
      <c r="R463">
        <f>INDEX(Strats,MATCH(B463,KidIDs,0))</f>
        <v>0</v>
      </c>
      <c r="S463">
        <f>INDEX(KidRace,MATCH(B463,KidIDs,0))</f>
        <v>0</v>
      </c>
      <c r="T463">
        <f>IF(OR(S463="M",S463="I"),"H",S463)</f>
        <v>0</v>
      </c>
      <c r="U463">
        <f>INDEX(StudentTargets,MATCH(B463,KidIDs,0))</f>
        <v>0</v>
      </c>
      <c r="V463">
        <f>INDEX(ReachStudentTargets,MATCH(B463,KidIDs,0))</f>
        <v>0</v>
      </c>
      <c r="W463">
        <f>IF(OR(M463="Posse"),1,0)</f>
        <v>0</v>
      </c>
      <c r="X463">
        <f>IF(ISNUMBER(INDEX(AllCollegeGR, MATCH(N463,AllCollegeNCES,0))),ROUND(INDEX(AllCollegeGR, MATCH(N463,AllCollegeNCES,0))+W463*IF(INDEX(AllCollegeGR, MATCH(N463,AllCollegeNCES,0))&gt;0.7,(1-INDEX(AllCollegeGR, MATCH(N463,AllCollegeNCES,0)))/2,0.15),2),INDEX(AllCollegeGR, MATCH(N463,AllCollegeNCES,0)))</f>
        <v>0</v>
      </c>
      <c r="Y463">
        <f>IF(ISNUMBER(INDEX(AllCollegeAAHGR, MATCH(N463,AllCollegeNCES,0))),ROUND(INDEX(AllCollegeAAHGR, MATCH(N463,AllCollegeNCES,0))+W463*IF(INDEX(AllCollegeAAHGR, MATCH(N463,AllCollegeNCES,0))&gt;0.7,(1-INDEX(AllCollegeAAHGR, MATCH(N463,AllCollegeNCES,0)))/2,0.15),2),INDEX(AllCollegeAAHGR, MATCH(N463,AllCollegeNCES,0)))</f>
        <v>0</v>
      </c>
      <c r="Z463">
        <f>IF(OR(T463="H",T463="B"),INDEX(AllCollegeACT25, MATCH(N463,AllCollegeNCES,0)),INDEX(AllCollegeACT50, MATCH(N463,AllCollegeNCES,0)))</f>
        <v>0</v>
      </c>
      <c r="AA463">
        <f>INDEX(CustomWeightsGPA,MATCH(T463&amp;":"&amp;N463,CustomWeightsIndex,0))</f>
        <v>0</v>
      </c>
      <c r="AB463">
        <f>INDEX(CustomWeightsACT,MATCH(T463&amp;":"&amp;N463,CustomWeightsIndex,0))</f>
        <v>0</v>
      </c>
      <c r="AC463">
        <f>INDEX(CustomWeightsIntercept,MATCH(T463&amp;":"&amp;N463,CustomWeightsIndex,0))</f>
        <v>0</v>
      </c>
      <c r="AD463">
        <f>AA463*P463+AB463*Q463+AC463</f>
        <v>0</v>
      </c>
      <c r="AE463">
        <f>INDEX(CoefficientsGPA,MATCH(T463&amp;":"&amp;O463,CoefficientsIndex,0))</f>
        <v>0</v>
      </c>
      <c r="AF463">
        <f>INDEX(CoefficientsACT,MATCH(T463&amp;":"&amp;O463,CoefficientsIndex,0))</f>
        <v>0</v>
      </c>
      <c r="AG463">
        <f>INDEX(CoefficientsIntercept,MATCH(T463&amp;":"&amp;O463,CoefficientsIndex,0))</f>
        <v>0</v>
      </c>
      <c r="AH463">
        <f>AE463*P463+(Q463-Z463)*AF463+AG463</f>
        <v>0</v>
      </c>
      <c r="AI463">
        <f>IF(ISNUMBER(AD463),AD463,AH463)</f>
        <v>0</v>
      </c>
      <c r="AJ463">
        <f>IF(ISNUMBER(AI463),IF(ISNUMBER(AE463),IF(AND(AE463=1,AF463=1,AG463=1),100,ROUND(100*EXP(AI463)/(1+EXP(AI463)),2)),ROUND(100*EXP(AI463)/(1+EXP(AI463)),2)),IF(ISTEXT(O463),IF(LEFT(O463,1)="2",100,"N/A"),"N/A"))</f>
        <v>0</v>
      </c>
      <c r="AK463">
        <f>IF(ISNUMBER(AJ463),IF(AJ463&gt;=99,IF(OR(R463=10,R463=11),MatchLabel,SureThingLabel),IF(AJ463&gt;=95,SecureLabel,IF(AJ463&gt;=80,SafetyLabel,IF(AJ463&gt;=50,MatchLabel,IF(AJ463&gt;=20,ReachLabel,IF(AJ463&gt;=10,LongshotLabel,HailMaryLabel)))))),"Other")</f>
        <v>0</v>
      </c>
      <c r="AL463">
        <f>IF(OR(I463="accepted",I463="cond. accept",I463="summer admit"),IF(J463="yes","CHOICE!","Accepted!"),IF(I463="denied","Denied",IF(K463=1,"Waitlist",IF(L463=1,"Deferred",IF(G463="pending","Pending",IF(OR(G463="initial materials submitted",G463="mid-year submitted",G463="final submitted"),"Submitted",IF(H463="interest","Interest","?")))))))</f>
        <v>0</v>
      </c>
      <c r="AM463">
        <f>IF(OR(AK463=ReachLabel,AK463=LongshotLabel,AK463=HailMaryLabel),1,0)</f>
        <v>0</v>
      </c>
      <c r="AN463">
        <f>IF(OR(AM463=1,AK463=MatchLabel),1,0)</f>
        <v>0</v>
      </c>
      <c r="AO463">
        <f>IF(OR(AK463=MatchLabel,AK463=SafetyLabel,AK463=SecureLabel,AK463=SureThingLabel),1,0)</f>
        <v>0</v>
      </c>
      <c r="AP463">
        <f>IF(OR(T463="H",T463="B"),IF(ISNUMBER(Y463),ROUND(Y463,2),0),IF(ISNUMBER(X463),ROUND(X463,2),0))</f>
        <v>0</v>
      </c>
      <c r="AQ463">
        <f>IF(AP463&gt;=U463,1,0)</f>
        <v>0</v>
      </c>
      <c r="AR463">
        <f>IF(AP463&gt;=V463,1,0)</f>
        <v>0</v>
      </c>
      <c r="AS463">
        <f>IF(AP463&lt;(U463-0.10),1,0)</f>
        <v>0</v>
      </c>
      <c r="AT463">
        <f>1-AJ463/100</f>
        <v>0</v>
      </c>
      <c r="AU463">
        <f>IF(AN463=1,AT463,1)</f>
        <v>0</v>
      </c>
      <c r="AV463">
        <f>IF(AM463=1,AT463,1)</f>
        <v>0</v>
      </c>
      <c r="AW463">
        <f>IF(AND(AQ463=1,ISNUMBER(AT463)),$AT463,1)</f>
        <v>0</v>
      </c>
      <c r="AX463">
        <f>IF(AND(AR463=1,ISNUMBER(AT463)),$AT463,1)</f>
        <v>0</v>
      </c>
      <c r="AY463">
        <f>IF(ISNUMBER(Y463),INDEX(AllCollegeMoney, MATCH(N463,AllCollegeNCES,0)),0)</f>
        <v>0</v>
      </c>
      <c r="AZ463">
        <f>IF(AND(AQ463=1,ISNUMBER(AT463),AY463=1),$AT463,1)</f>
        <v>0</v>
      </c>
      <c r="BA463">
        <f>IF(AND(AR463=1,ISNUMBER(AT463),AY463=1),$AT463,1)</f>
        <v>0</v>
      </c>
      <c r="BB463">
        <f>IF(ISNUMBER(Y463),INDEX(AllCollegeILPub, MATCH(N463,AllCollegeNCES,0)),0)</f>
        <v>0</v>
      </c>
      <c r="BC463">
        <f>IF(AK463=ReachLabel,AP463,0)</f>
        <v>0</v>
      </c>
      <c r="BD463">
        <f>IF(AK463=MatchLabel,AP463,0)</f>
        <v>0</v>
      </c>
      <c r="BE463">
        <f>IF(AK463=SafetyLabel,AP463,0)</f>
        <v>0</v>
      </c>
      <c r="BF463">
        <f>IF(AK463=SecureLabel,AP463,0)</f>
        <v>0</v>
      </c>
      <c r="BG463">
        <f>IF(AK463=SureThingLabel,AP463,0)</f>
        <v>0</v>
      </c>
      <c r="BH463">
        <f>MAX(BC463:BG463)</f>
        <v>0</v>
      </c>
      <c r="BI463">
        <f>MAX(BD463:BG463)</f>
        <v>0</v>
      </c>
      <c r="BJ463">
        <f>MAX(BE463:BG463)</f>
        <v>0</v>
      </c>
      <c r="BK463">
        <f>IF(AND(AK463=ReachLabel,AY463=1),AP463,0)</f>
        <v>0</v>
      </c>
      <c r="BL463">
        <f>IF(AND(AK463=MatchLabel,AY463=1),AP463,0)</f>
        <v>0</v>
      </c>
      <c r="BM463">
        <f>IF(AND(AK463=SafetyLabel,AY463=1),AP463,0)</f>
        <v>0</v>
      </c>
      <c r="BN463">
        <f>IF(AND(AK463=SecureLabel,AY463=1),AP463,0)</f>
        <v>0</v>
      </c>
      <c r="BO463">
        <f>IF(AND(AK463=SureThingLabel,AY463=1),AP463,0)</f>
        <v>0</v>
      </c>
      <c r="BP463">
        <f>MAX(BK463:BO463)</f>
        <v>0</v>
      </c>
      <c r="BQ463">
        <f>MAX(BL463:BO463)</f>
        <v>0</v>
      </c>
      <c r="BR463">
        <f>MAX(BM463:BO463)</f>
        <v>0</v>
      </c>
      <c r="BS463">
        <f>IF(ISNUMBER(Y463),INDEX(AllCollegeChicago, MATCH(N463,AllCollegeNCES,0))*AY463,0)</f>
        <v>0</v>
      </c>
      <c r="BT463">
        <f>IF(ISNUMBER(Y463),INDEX(AllCollegeMoneyCode, MATCH(N463,AllCollegeNCES,0)),"?")</f>
        <v>0</v>
      </c>
      <c r="BU463">
        <f>IF(OR(BT463="---",BT463="--",BT463="+/--",BT463="+/---"),1,0)</f>
        <v>0</v>
      </c>
      <c r="BV463">
        <f>AY463*AO463*AQ463</f>
        <v>0</v>
      </c>
    </row>
    <row r="464" spans="1:74">
      <c r="A464" t="s">
        <v>86</v>
      </c>
      <c r="B464">
        <v>23452595</v>
      </c>
      <c r="C464" t="s">
        <v>330</v>
      </c>
      <c r="D464" t="s">
        <v>331</v>
      </c>
      <c r="E464" t="s">
        <v>428</v>
      </c>
      <c r="F464" t="s">
        <v>447</v>
      </c>
      <c r="G464" t="s">
        <v>430</v>
      </c>
      <c r="H464" t="s">
        <v>431</v>
      </c>
      <c r="I464" t="s">
        <v>432</v>
      </c>
      <c r="J464" t="s">
        <v>432</v>
      </c>
      <c r="K464">
        <v>0</v>
      </c>
      <c r="L464" t="s">
        <v>428</v>
      </c>
      <c r="M464" t="s">
        <v>428</v>
      </c>
      <c r="N464">
        <v>145600</v>
      </c>
      <c r="O464">
        <f>INDEX(AllCollegeBarrons,MATCH(N464,AllCollegeNCES,0))</f>
        <v>0</v>
      </c>
      <c r="P464">
        <f>INDEX(KidGPAs,MATCH(B464,KidIDs,0))</f>
        <v>0</v>
      </c>
      <c r="Q464">
        <f>INDEX(KidACTs,MATCH(B464,KidIDs,0))</f>
        <v>0</v>
      </c>
      <c r="R464">
        <f>INDEX(Strats,MATCH(B464,KidIDs,0))</f>
        <v>0</v>
      </c>
      <c r="S464">
        <f>INDEX(KidRace,MATCH(B464,KidIDs,0))</f>
        <v>0</v>
      </c>
      <c r="T464">
        <f>IF(OR(S464="M",S464="I"),"H",S464)</f>
        <v>0</v>
      </c>
      <c r="U464">
        <f>INDEX(StudentTargets,MATCH(B464,KidIDs,0))</f>
        <v>0</v>
      </c>
      <c r="V464">
        <f>INDEX(ReachStudentTargets,MATCH(B464,KidIDs,0))</f>
        <v>0</v>
      </c>
      <c r="W464">
        <f>IF(OR(M464="Posse"),1,0)</f>
        <v>0</v>
      </c>
      <c r="X464">
        <f>IF(ISNUMBER(INDEX(AllCollegeGR, MATCH(N464,AllCollegeNCES,0))),ROUND(INDEX(AllCollegeGR, MATCH(N464,AllCollegeNCES,0))+W464*IF(INDEX(AllCollegeGR, MATCH(N464,AllCollegeNCES,0))&gt;0.7,(1-INDEX(AllCollegeGR, MATCH(N464,AllCollegeNCES,0)))/2,0.15),2),INDEX(AllCollegeGR, MATCH(N464,AllCollegeNCES,0)))</f>
        <v>0</v>
      </c>
      <c r="Y464">
        <f>IF(ISNUMBER(INDEX(AllCollegeAAHGR, MATCH(N464,AllCollegeNCES,0))),ROUND(INDEX(AllCollegeAAHGR, MATCH(N464,AllCollegeNCES,0))+W464*IF(INDEX(AllCollegeAAHGR, MATCH(N464,AllCollegeNCES,0))&gt;0.7,(1-INDEX(AllCollegeAAHGR, MATCH(N464,AllCollegeNCES,0)))/2,0.15),2),INDEX(AllCollegeAAHGR, MATCH(N464,AllCollegeNCES,0)))</f>
        <v>0</v>
      </c>
      <c r="Z464">
        <f>IF(OR(T464="H",T464="B"),INDEX(AllCollegeACT25, MATCH(N464,AllCollegeNCES,0)),INDEX(AllCollegeACT50, MATCH(N464,AllCollegeNCES,0)))</f>
        <v>0</v>
      </c>
      <c r="AA464">
        <f>INDEX(CustomWeightsGPA,MATCH(T464&amp;":"&amp;N464,CustomWeightsIndex,0))</f>
        <v>0</v>
      </c>
      <c r="AB464">
        <f>INDEX(CustomWeightsACT,MATCH(T464&amp;":"&amp;N464,CustomWeightsIndex,0))</f>
        <v>0</v>
      </c>
      <c r="AC464">
        <f>INDEX(CustomWeightsIntercept,MATCH(T464&amp;":"&amp;N464,CustomWeightsIndex,0))</f>
        <v>0</v>
      </c>
      <c r="AD464">
        <f>AA464*P464+AB464*Q464+AC464</f>
        <v>0</v>
      </c>
      <c r="AE464">
        <f>INDEX(CoefficientsGPA,MATCH(T464&amp;":"&amp;O464,CoefficientsIndex,0))</f>
        <v>0</v>
      </c>
      <c r="AF464">
        <f>INDEX(CoefficientsACT,MATCH(T464&amp;":"&amp;O464,CoefficientsIndex,0))</f>
        <v>0</v>
      </c>
      <c r="AG464">
        <f>INDEX(CoefficientsIntercept,MATCH(T464&amp;":"&amp;O464,CoefficientsIndex,0))</f>
        <v>0</v>
      </c>
      <c r="AH464">
        <f>AE464*P464+(Q464-Z464)*AF464+AG464</f>
        <v>0</v>
      </c>
      <c r="AI464">
        <f>IF(ISNUMBER(AD464),AD464,AH464)</f>
        <v>0</v>
      </c>
      <c r="AJ464">
        <f>IF(ISNUMBER(AI464),IF(ISNUMBER(AE464),IF(AND(AE464=1,AF464=1,AG464=1),100,ROUND(100*EXP(AI464)/(1+EXP(AI464)),2)),ROUND(100*EXP(AI464)/(1+EXP(AI464)),2)),IF(ISTEXT(O464),IF(LEFT(O464,1)="2",100,"N/A"),"N/A"))</f>
        <v>0</v>
      </c>
      <c r="AK464">
        <f>IF(ISNUMBER(AJ464),IF(AJ464&gt;=99,IF(OR(R464=10,R464=11),MatchLabel,SureThingLabel),IF(AJ464&gt;=95,SecureLabel,IF(AJ464&gt;=80,SafetyLabel,IF(AJ464&gt;=50,MatchLabel,IF(AJ464&gt;=20,ReachLabel,IF(AJ464&gt;=10,LongshotLabel,HailMaryLabel)))))),"Other")</f>
        <v>0</v>
      </c>
      <c r="AL464">
        <f>IF(OR(I464="accepted",I464="cond. accept",I464="summer admit"),IF(J464="yes","CHOICE!","Accepted!"),IF(I464="denied","Denied",IF(K464=1,"Waitlist",IF(L464=1,"Deferred",IF(G464="pending","Pending",IF(OR(G464="initial materials submitted",G464="mid-year submitted",G464="final submitted"),"Submitted",IF(H464="interest","Interest","?")))))))</f>
        <v>0</v>
      </c>
      <c r="AM464">
        <f>IF(OR(AK464=ReachLabel,AK464=LongshotLabel,AK464=HailMaryLabel),1,0)</f>
        <v>0</v>
      </c>
      <c r="AN464">
        <f>IF(OR(AM464=1,AK464=MatchLabel),1,0)</f>
        <v>0</v>
      </c>
      <c r="AO464">
        <f>IF(OR(AK464=MatchLabel,AK464=SafetyLabel,AK464=SecureLabel,AK464=SureThingLabel),1,0)</f>
        <v>0</v>
      </c>
      <c r="AP464">
        <f>IF(OR(T464="H",T464="B"),IF(ISNUMBER(Y464),ROUND(Y464,2),0),IF(ISNUMBER(X464),ROUND(X464,2),0))</f>
        <v>0</v>
      </c>
      <c r="AQ464">
        <f>IF(AP464&gt;=U464,1,0)</f>
        <v>0</v>
      </c>
      <c r="AR464">
        <f>IF(AP464&gt;=V464,1,0)</f>
        <v>0</v>
      </c>
      <c r="AS464">
        <f>IF(AP464&lt;(U464-0.10),1,0)</f>
        <v>0</v>
      </c>
      <c r="AT464">
        <f>1-AJ464/100</f>
        <v>0</v>
      </c>
      <c r="AU464">
        <f>IF(AN464=1,AT464,1)</f>
        <v>0</v>
      </c>
      <c r="AV464">
        <f>IF(AM464=1,AT464,1)</f>
        <v>0</v>
      </c>
      <c r="AW464">
        <f>IF(AND(AQ464=1,ISNUMBER(AT464)),$AT464,1)</f>
        <v>0</v>
      </c>
      <c r="AX464">
        <f>IF(AND(AR464=1,ISNUMBER(AT464)),$AT464,1)</f>
        <v>0</v>
      </c>
      <c r="AY464">
        <f>IF(ISNUMBER(Y464),INDEX(AllCollegeMoney, MATCH(N464,AllCollegeNCES,0)),0)</f>
        <v>0</v>
      </c>
      <c r="AZ464">
        <f>IF(AND(AQ464=1,ISNUMBER(AT464),AY464=1),$AT464,1)</f>
        <v>0</v>
      </c>
      <c r="BA464">
        <f>IF(AND(AR464=1,ISNUMBER(AT464),AY464=1),$AT464,1)</f>
        <v>0</v>
      </c>
      <c r="BB464">
        <f>IF(ISNUMBER(Y464),INDEX(AllCollegeILPub, MATCH(N464,AllCollegeNCES,0)),0)</f>
        <v>0</v>
      </c>
      <c r="BC464">
        <f>IF(AK464=ReachLabel,AP464,0)</f>
        <v>0</v>
      </c>
      <c r="BD464">
        <f>IF(AK464=MatchLabel,AP464,0)</f>
        <v>0</v>
      </c>
      <c r="BE464">
        <f>IF(AK464=SafetyLabel,AP464,0)</f>
        <v>0</v>
      </c>
      <c r="BF464">
        <f>IF(AK464=SecureLabel,AP464,0)</f>
        <v>0</v>
      </c>
      <c r="BG464">
        <f>IF(AK464=SureThingLabel,AP464,0)</f>
        <v>0</v>
      </c>
      <c r="BH464">
        <f>MAX(BC464:BG464)</f>
        <v>0</v>
      </c>
      <c r="BI464">
        <f>MAX(BD464:BG464)</f>
        <v>0</v>
      </c>
      <c r="BJ464">
        <f>MAX(BE464:BG464)</f>
        <v>0</v>
      </c>
      <c r="BK464">
        <f>IF(AND(AK464=ReachLabel,AY464=1),AP464,0)</f>
        <v>0</v>
      </c>
      <c r="BL464">
        <f>IF(AND(AK464=MatchLabel,AY464=1),AP464,0)</f>
        <v>0</v>
      </c>
      <c r="BM464">
        <f>IF(AND(AK464=SafetyLabel,AY464=1),AP464,0)</f>
        <v>0</v>
      </c>
      <c r="BN464">
        <f>IF(AND(AK464=SecureLabel,AY464=1),AP464,0)</f>
        <v>0</v>
      </c>
      <c r="BO464">
        <f>IF(AND(AK464=SureThingLabel,AY464=1),AP464,0)</f>
        <v>0</v>
      </c>
      <c r="BP464">
        <f>MAX(BK464:BO464)</f>
        <v>0</v>
      </c>
      <c r="BQ464">
        <f>MAX(BL464:BO464)</f>
        <v>0</v>
      </c>
      <c r="BR464">
        <f>MAX(BM464:BO464)</f>
        <v>0</v>
      </c>
      <c r="BS464">
        <f>IF(ISNUMBER(Y464),INDEX(AllCollegeChicago, MATCH(N464,AllCollegeNCES,0))*AY464,0)</f>
        <v>0</v>
      </c>
      <c r="BT464">
        <f>IF(ISNUMBER(Y464),INDEX(AllCollegeMoneyCode, MATCH(N464,AllCollegeNCES,0)),"?")</f>
        <v>0</v>
      </c>
      <c r="BU464">
        <f>IF(OR(BT464="---",BT464="--",BT464="+/--",BT464="+/---"),1,0)</f>
        <v>0</v>
      </c>
      <c r="BV464">
        <f>AY464*AO464*AQ464</f>
        <v>0</v>
      </c>
    </row>
    <row r="465" spans="1:74">
      <c r="A465" t="s">
        <v>86</v>
      </c>
      <c r="B465">
        <v>23452595</v>
      </c>
      <c r="C465" t="s">
        <v>330</v>
      </c>
      <c r="D465" t="s">
        <v>331</v>
      </c>
      <c r="E465" t="s">
        <v>428</v>
      </c>
      <c r="F465" t="s">
        <v>435</v>
      </c>
      <c r="G465" t="s">
        <v>430</v>
      </c>
      <c r="H465" t="s">
        <v>431</v>
      </c>
      <c r="I465" t="s">
        <v>432</v>
      </c>
      <c r="J465" t="s">
        <v>432</v>
      </c>
      <c r="K465">
        <v>0</v>
      </c>
      <c r="L465" t="s">
        <v>428</v>
      </c>
      <c r="M465" t="s">
        <v>428</v>
      </c>
      <c r="N465">
        <v>144892</v>
      </c>
      <c r="O465">
        <f>INDEX(AllCollegeBarrons,MATCH(N465,AllCollegeNCES,0))</f>
        <v>0</v>
      </c>
      <c r="P465">
        <f>INDEX(KidGPAs,MATCH(B465,KidIDs,0))</f>
        <v>0</v>
      </c>
      <c r="Q465">
        <f>INDEX(KidACTs,MATCH(B465,KidIDs,0))</f>
        <v>0</v>
      </c>
      <c r="R465">
        <f>INDEX(Strats,MATCH(B465,KidIDs,0))</f>
        <v>0</v>
      </c>
      <c r="S465">
        <f>INDEX(KidRace,MATCH(B465,KidIDs,0))</f>
        <v>0</v>
      </c>
      <c r="T465">
        <f>IF(OR(S465="M",S465="I"),"H",S465)</f>
        <v>0</v>
      </c>
      <c r="U465">
        <f>INDEX(StudentTargets,MATCH(B465,KidIDs,0))</f>
        <v>0</v>
      </c>
      <c r="V465">
        <f>INDEX(ReachStudentTargets,MATCH(B465,KidIDs,0))</f>
        <v>0</v>
      </c>
      <c r="W465">
        <f>IF(OR(M465="Posse"),1,0)</f>
        <v>0</v>
      </c>
      <c r="X465">
        <f>IF(ISNUMBER(INDEX(AllCollegeGR, MATCH(N465,AllCollegeNCES,0))),ROUND(INDEX(AllCollegeGR, MATCH(N465,AllCollegeNCES,0))+W465*IF(INDEX(AllCollegeGR, MATCH(N465,AllCollegeNCES,0))&gt;0.7,(1-INDEX(AllCollegeGR, MATCH(N465,AllCollegeNCES,0)))/2,0.15),2),INDEX(AllCollegeGR, MATCH(N465,AllCollegeNCES,0)))</f>
        <v>0</v>
      </c>
      <c r="Y465">
        <f>IF(ISNUMBER(INDEX(AllCollegeAAHGR, MATCH(N465,AllCollegeNCES,0))),ROUND(INDEX(AllCollegeAAHGR, MATCH(N465,AllCollegeNCES,0))+W465*IF(INDEX(AllCollegeAAHGR, MATCH(N465,AllCollegeNCES,0))&gt;0.7,(1-INDEX(AllCollegeAAHGR, MATCH(N465,AllCollegeNCES,0)))/2,0.15),2),INDEX(AllCollegeAAHGR, MATCH(N465,AllCollegeNCES,0)))</f>
        <v>0</v>
      </c>
      <c r="Z465">
        <f>IF(OR(T465="H",T465="B"),INDEX(AllCollegeACT25, MATCH(N465,AllCollegeNCES,0)),INDEX(AllCollegeACT50, MATCH(N465,AllCollegeNCES,0)))</f>
        <v>0</v>
      </c>
      <c r="AA465">
        <f>INDEX(CustomWeightsGPA,MATCH(T465&amp;":"&amp;N465,CustomWeightsIndex,0))</f>
        <v>0</v>
      </c>
      <c r="AB465">
        <f>INDEX(CustomWeightsACT,MATCH(T465&amp;":"&amp;N465,CustomWeightsIndex,0))</f>
        <v>0</v>
      </c>
      <c r="AC465">
        <f>INDEX(CustomWeightsIntercept,MATCH(T465&amp;":"&amp;N465,CustomWeightsIndex,0))</f>
        <v>0</v>
      </c>
      <c r="AD465">
        <f>AA465*P465+AB465*Q465+AC465</f>
        <v>0</v>
      </c>
      <c r="AE465">
        <f>INDEX(CoefficientsGPA,MATCH(T465&amp;":"&amp;O465,CoefficientsIndex,0))</f>
        <v>0</v>
      </c>
      <c r="AF465">
        <f>INDEX(CoefficientsACT,MATCH(T465&amp;":"&amp;O465,CoefficientsIndex,0))</f>
        <v>0</v>
      </c>
      <c r="AG465">
        <f>INDEX(CoefficientsIntercept,MATCH(T465&amp;":"&amp;O465,CoefficientsIndex,0))</f>
        <v>0</v>
      </c>
      <c r="AH465">
        <f>AE465*P465+(Q465-Z465)*AF465+AG465</f>
        <v>0</v>
      </c>
      <c r="AI465">
        <f>IF(ISNUMBER(AD465),AD465,AH465)</f>
        <v>0</v>
      </c>
      <c r="AJ465">
        <f>IF(ISNUMBER(AI465),IF(ISNUMBER(AE465),IF(AND(AE465=1,AF465=1,AG465=1),100,ROUND(100*EXP(AI465)/(1+EXP(AI465)),2)),ROUND(100*EXP(AI465)/(1+EXP(AI465)),2)),IF(ISTEXT(O465),IF(LEFT(O465,1)="2",100,"N/A"),"N/A"))</f>
        <v>0</v>
      </c>
      <c r="AK465">
        <f>IF(ISNUMBER(AJ465),IF(AJ465&gt;=99,IF(OR(R465=10,R465=11),MatchLabel,SureThingLabel),IF(AJ465&gt;=95,SecureLabel,IF(AJ465&gt;=80,SafetyLabel,IF(AJ465&gt;=50,MatchLabel,IF(AJ465&gt;=20,ReachLabel,IF(AJ465&gt;=10,LongshotLabel,HailMaryLabel)))))),"Other")</f>
        <v>0</v>
      </c>
      <c r="AL465">
        <f>IF(OR(I465="accepted",I465="cond. accept",I465="summer admit"),IF(J465="yes","CHOICE!","Accepted!"),IF(I465="denied","Denied",IF(K465=1,"Waitlist",IF(L465=1,"Deferred",IF(G465="pending","Pending",IF(OR(G465="initial materials submitted",G465="mid-year submitted",G465="final submitted"),"Submitted",IF(H465="interest","Interest","?")))))))</f>
        <v>0</v>
      </c>
      <c r="AM465">
        <f>IF(OR(AK465=ReachLabel,AK465=LongshotLabel,AK465=HailMaryLabel),1,0)</f>
        <v>0</v>
      </c>
      <c r="AN465">
        <f>IF(OR(AM465=1,AK465=MatchLabel),1,0)</f>
        <v>0</v>
      </c>
      <c r="AO465">
        <f>IF(OR(AK465=MatchLabel,AK465=SafetyLabel,AK465=SecureLabel,AK465=SureThingLabel),1,0)</f>
        <v>0</v>
      </c>
      <c r="AP465">
        <f>IF(OR(T465="H",T465="B"),IF(ISNUMBER(Y465),ROUND(Y465,2),0),IF(ISNUMBER(X465),ROUND(X465,2),0))</f>
        <v>0</v>
      </c>
      <c r="AQ465">
        <f>IF(AP465&gt;=U465,1,0)</f>
        <v>0</v>
      </c>
      <c r="AR465">
        <f>IF(AP465&gt;=V465,1,0)</f>
        <v>0</v>
      </c>
      <c r="AS465">
        <f>IF(AP465&lt;(U465-0.10),1,0)</f>
        <v>0</v>
      </c>
      <c r="AT465">
        <f>1-AJ465/100</f>
        <v>0</v>
      </c>
      <c r="AU465">
        <f>IF(AN465=1,AT465,1)</f>
        <v>0</v>
      </c>
      <c r="AV465">
        <f>IF(AM465=1,AT465,1)</f>
        <v>0</v>
      </c>
      <c r="AW465">
        <f>IF(AND(AQ465=1,ISNUMBER(AT465)),$AT465,1)</f>
        <v>0</v>
      </c>
      <c r="AX465">
        <f>IF(AND(AR465=1,ISNUMBER(AT465)),$AT465,1)</f>
        <v>0</v>
      </c>
      <c r="AY465">
        <f>IF(ISNUMBER(Y465),INDEX(AllCollegeMoney, MATCH(N465,AllCollegeNCES,0)),0)</f>
        <v>0</v>
      </c>
      <c r="AZ465">
        <f>IF(AND(AQ465=1,ISNUMBER(AT465),AY465=1),$AT465,1)</f>
        <v>0</v>
      </c>
      <c r="BA465">
        <f>IF(AND(AR465=1,ISNUMBER(AT465),AY465=1),$AT465,1)</f>
        <v>0</v>
      </c>
      <c r="BB465">
        <f>IF(ISNUMBER(Y465),INDEX(AllCollegeILPub, MATCH(N465,AllCollegeNCES,0)),0)</f>
        <v>0</v>
      </c>
      <c r="BC465">
        <f>IF(AK465=ReachLabel,AP465,0)</f>
        <v>0</v>
      </c>
      <c r="BD465">
        <f>IF(AK465=MatchLabel,AP465,0)</f>
        <v>0</v>
      </c>
      <c r="BE465">
        <f>IF(AK465=SafetyLabel,AP465,0)</f>
        <v>0</v>
      </c>
      <c r="BF465">
        <f>IF(AK465=SecureLabel,AP465,0)</f>
        <v>0</v>
      </c>
      <c r="BG465">
        <f>IF(AK465=SureThingLabel,AP465,0)</f>
        <v>0</v>
      </c>
      <c r="BH465">
        <f>MAX(BC465:BG465)</f>
        <v>0</v>
      </c>
      <c r="BI465">
        <f>MAX(BD465:BG465)</f>
        <v>0</v>
      </c>
      <c r="BJ465">
        <f>MAX(BE465:BG465)</f>
        <v>0</v>
      </c>
      <c r="BK465">
        <f>IF(AND(AK465=ReachLabel,AY465=1),AP465,0)</f>
        <v>0</v>
      </c>
      <c r="BL465">
        <f>IF(AND(AK465=MatchLabel,AY465=1),AP465,0)</f>
        <v>0</v>
      </c>
      <c r="BM465">
        <f>IF(AND(AK465=SafetyLabel,AY465=1),AP465,0)</f>
        <v>0</v>
      </c>
      <c r="BN465">
        <f>IF(AND(AK465=SecureLabel,AY465=1),AP465,0)</f>
        <v>0</v>
      </c>
      <c r="BO465">
        <f>IF(AND(AK465=SureThingLabel,AY465=1),AP465,0)</f>
        <v>0</v>
      </c>
      <c r="BP465">
        <f>MAX(BK465:BO465)</f>
        <v>0</v>
      </c>
      <c r="BQ465">
        <f>MAX(BL465:BO465)</f>
        <v>0</v>
      </c>
      <c r="BR465">
        <f>MAX(BM465:BO465)</f>
        <v>0</v>
      </c>
      <c r="BS465">
        <f>IF(ISNUMBER(Y465),INDEX(AllCollegeChicago, MATCH(N465,AllCollegeNCES,0))*AY465,0)</f>
        <v>0</v>
      </c>
      <c r="BT465">
        <f>IF(ISNUMBER(Y465),INDEX(AllCollegeMoneyCode, MATCH(N465,AllCollegeNCES,0)),"?")</f>
        <v>0</v>
      </c>
      <c r="BU465">
        <f>IF(OR(BT465="---",BT465="--",BT465="+/--",BT465="+/---"),1,0)</f>
        <v>0</v>
      </c>
      <c r="BV465">
        <f>AY465*AO465*AQ465</f>
        <v>0</v>
      </c>
    </row>
    <row r="466" spans="1:74">
      <c r="A466" t="s">
        <v>86</v>
      </c>
      <c r="B466">
        <v>23452595</v>
      </c>
      <c r="C466" t="s">
        <v>330</v>
      </c>
      <c r="D466" t="s">
        <v>331</v>
      </c>
      <c r="E466" t="s">
        <v>428</v>
      </c>
      <c r="F466" t="s">
        <v>437</v>
      </c>
      <c r="G466" t="s">
        <v>430</v>
      </c>
      <c r="H466" t="s">
        <v>431</v>
      </c>
      <c r="I466" t="s">
        <v>432</v>
      </c>
      <c r="J466" t="s">
        <v>432</v>
      </c>
      <c r="K466">
        <v>0</v>
      </c>
      <c r="L466" t="s">
        <v>428</v>
      </c>
      <c r="M466" t="s">
        <v>428</v>
      </c>
      <c r="N466">
        <v>149772</v>
      </c>
      <c r="O466">
        <f>INDEX(AllCollegeBarrons,MATCH(N466,AllCollegeNCES,0))</f>
        <v>0</v>
      </c>
      <c r="P466">
        <f>INDEX(KidGPAs,MATCH(B466,KidIDs,0))</f>
        <v>0</v>
      </c>
      <c r="Q466">
        <f>INDEX(KidACTs,MATCH(B466,KidIDs,0))</f>
        <v>0</v>
      </c>
      <c r="R466">
        <f>INDEX(Strats,MATCH(B466,KidIDs,0))</f>
        <v>0</v>
      </c>
      <c r="S466">
        <f>INDEX(KidRace,MATCH(B466,KidIDs,0))</f>
        <v>0</v>
      </c>
      <c r="T466">
        <f>IF(OR(S466="M",S466="I"),"H",S466)</f>
        <v>0</v>
      </c>
      <c r="U466">
        <f>INDEX(StudentTargets,MATCH(B466,KidIDs,0))</f>
        <v>0</v>
      </c>
      <c r="V466">
        <f>INDEX(ReachStudentTargets,MATCH(B466,KidIDs,0))</f>
        <v>0</v>
      </c>
      <c r="W466">
        <f>IF(OR(M466="Posse"),1,0)</f>
        <v>0</v>
      </c>
      <c r="X466">
        <f>IF(ISNUMBER(INDEX(AllCollegeGR, MATCH(N466,AllCollegeNCES,0))),ROUND(INDEX(AllCollegeGR, MATCH(N466,AllCollegeNCES,0))+W466*IF(INDEX(AllCollegeGR, MATCH(N466,AllCollegeNCES,0))&gt;0.7,(1-INDEX(AllCollegeGR, MATCH(N466,AllCollegeNCES,0)))/2,0.15),2),INDEX(AllCollegeGR, MATCH(N466,AllCollegeNCES,0)))</f>
        <v>0</v>
      </c>
      <c r="Y466">
        <f>IF(ISNUMBER(INDEX(AllCollegeAAHGR, MATCH(N466,AllCollegeNCES,0))),ROUND(INDEX(AllCollegeAAHGR, MATCH(N466,AllCollegeNCES,0))+W466*IF(INDEX(AllCollegeAAHGR, MATCH(N466,AllCollegeNCES,0))&gt;0.7,(1-INDEX(AllCollegeAAHGR, MATCH(N466,AllCollegeNCES,0)))/2,0.15),2),INDEX(AllCollegeAAHGR, MATCH(N466,AllCollegeNCES,0)))</f>
        <v>0</v>
      </c>
      <c r="Z466">
        <f>IF(OR(T466="H",T466="B"),INDEX(AllCollegeACT25, MATCH(N466,AllCollegeNCES,0)),INDEX(AllCollegeACT50, MATCH(N466,AllCollegeNCES,0)))</f>
        <v>0</v>
      </c>
      <c r="AA466">
        <f>INDEX(CustomWeightsGPA,MATCH(T466&amp;":"&amp;N466,CustomWeightsIndex,0))</f>
        <v>0</v>
      </c>
      <c r="AB466">
        <f>INDEX(CustomWeightsACT,MATCH(T466&amp;":"&amp;N466,CustomWeightsIndex,0))</f>
        <v>0</v>
      </c>
      <c r="AC466">
        <f>INDEX(CustomWeightsIntercept,MATCH(T466&amp;":"&amp;N466,CustomWeightsIndex,0))</f>
        <v>0</v>
      </c>
      <c r="AD466">
        <f>AA466*P466+AB466*Q466+AC466</f>
        <v>0</v>
      </c>
      <c r="AE466">
        <f>INDEX(CoefficientsGPA,MATCH(T466&amp;":"&amp;O466,CoefficientsIndex,0))</f>
        <v>0</v>
      </c>
      <c r="AF466">
        <f>INDEX(CoefficientsACT,MATCH(T466&amp;":"&amp;O466,CoefficientsIndex,0))</f>
        <v>0</v>
      </c>
      <c r="AG466">
        <f>INDEX(CoefficientsIntercept,MATCH(T466&amp;":"&amp;O466,CoefficientsIndex,0))</f>
        <v>0</v>
      </c>
      <c r="AH466">
        <f>AE466*P466+(Q466-Z466)*AF466+AG466</f>
        <v>0</v>
      </c>
      <c r="AI466">
        <f>IF(ISNUMBER(AD466),AD466,AH466)</f>
        <v>0</v>
      </c>
      <c r="AJ466">
        <f>IF(ISNUMBER(AI466),IF(ISNUMBER(AE466),IF(AND(AE466=1,AF466=1,AG466=1),100,ROUND(100*EXP(AI466)/(1+EXP(AI466)),2)),ROUND(100*EXP(AI466)/(1+EXP(AI466)),2)),IF(ISTEXT(O466),IF(LEFT(O466,1)="2",100,"N/A"),"N/A"))</f>
        <v>0</v>
      </c>
      <c r="AK466">
        <f>IF(ISNUMBER(AJ466),IF(AJ466&gt;=99,IF(OR(R466=10,R466=11),MatchLabel,SureThingLabel),IF(AJ466&gt;=95,SecureLabel,IF(AJ466&gt;=80,SafetyLabel,IF(AJ466&gt;=50,MatchLabel,IF(AJ466&gt;=20,ReachLabel,IF(AJ466&gt;=10,LongshotLabel,HailMaryLabel)))))),"Other")</f>
        <v>0</v>
      </c>
      <c r="AL466">
        <f>IF(OR(I466="accepted",I466="cond. accept",I466="summer admit"),IF(J466="yes","CHOICE!","Accepted!"),IF(I466="denied","Denied",IF(K466=1,"Waitlist",IF(L466=1,"Deferred",IF(G466="pending","Pending",IF(OR(G466="initial materials submitted",G466="mid-year submitted",G466="final submitted"),"Submitted",IF(H466="interest","Interest","?")))))))</f>
        <v>0</v>
      </c>
      <c r="AM466">
        <f>IF(OR(AK466=ReachLabel,AK466=LongshotLabel,AK466=HailMaryLabel),1,0)</f>
        <v>0</v>
      </c>
      <c r="AN466">
        <f>IF(OR(AM466=1,AK466=MatchLabel),1,0)</f>
        <v>0</v>
      </c>
      <c r="AO466">
        <f>IF(OR(AK466=MatchLabel,AK466=SafetyLabel,AK466=SecureLabel,AK466=SureThingLabel),1,0)</f>
        <v>0</v>
      </c>
      <c r="AP466">
        <f>IF(OR(T466="H",T466="B"),IF(ISNUMBER(Y466),ROUND(Y466,2),0),IF(ISNUMBER(X466),ROUND(X466,2),0))</f>
        <v>0</v>
      </c>
      <c r="AQ466">
        <f>IF(AP466&gt;=U466,1,0)</f>
        <v>0</v>
      </c>
      <c r="AR466">
        <f>IF(AP466&gt;=V466,1,0)</f>
        <v>0</v>
      </c>
      <c r="AS466">
        <f>IF(AP466&lt;(U466-0.10),1,0)</f>
        <v>0</v>
      </c>
      <c r="AT466">
        <f>1-AJ466/100</f>
        <v>0</v>
      </c>
      <c r="AU466">
        <f>IF(AN466=1,AT466,1)</f>
        <v>0</v>
      </c>
      <c r="AV466">
        <f>IF(AM466=1,AT466,1)</f>
        <v>0</v>
      </c>
      <c r="AW466">
        <f>IF(AND(AQ466=1,ISNUMBER(AT466)),$AT466,1)</f>
        <v>0</v>
      </c>
      <c r="AX466">
        <f>IF(AND(AR466=1,ISNUMBER(AT466)),$AT466,1)</f>
        <v>0</v>
      </c>
      <c r="AY466">
        <f>IF(ISNUMBER(Y466),INDEX(AllCollegeMoney, MATCH(N466,AllCollegeNCES,0)),0)</f>
        <v>0</v>
      </c>
      <c r="AZ466">
        <f>IF(AND(AQ466=1,ISNUMBER(AT466),AY466=1),$AT466,1)</f>
        <v>0</v>
      </c>
      <c r="BA466">
        <f>IF(AND(AR466=1,ISNUMBER(AT466),AY466=1),$AT466,1)</f>
        <v>0</v>
      </c>
      <c r="BB466">
        <f>IF(ISNUMBER(Y466),INDEX(AllCollegeILPub, MATCH(N466,AllCollegeNCES,0)),0)</f>
        <v>0</v>
      </c>
      <c r="BC466">
        <f>IF(AK466=ReachLabel,AP466,0)</f>
        <v>0</v>
      </c>
      <c r="BD466">
        <f>IF(AK466=MatchLabel,AP466,0)</f>
        <v>0</v>
      </c>
      <c r="BE466">
        <f>IF(AK466=SafetyLabel,AP466,0)</f>
        <v>0</v>
      </c>
      <c r="BF466">
        <f>IF(AK466=SecureLabel,AP466,0)</f>
        <v>0</v>
      </c>
      <c r="BG466">
        <f>IF(AK466=SureThingLabel,AP466,0)</f>
        <v>0</v>
      </c>
      <c r="BH466">
        <f>MAX(BC466:BG466)</f>
        <v>0</v>
      </c>
      <c r="BI466">
        <f>MAX(BD466:BG466)</f>
        <v>0</v>
      </c>
      <c r="BJ466">
        <f>MAX(BE466:BG466)</f>
        <v>0</v>
      </c>
      <c r="BK466">
        <f>IF(AND(AK466=ReachLabel,AY466=1),AP466,0)</f>
        <v>0</v>
      </c>
      <c r="BL466">
        <f>IF(AND(AK466=MatchLabel,AY466=1),AP466,0)</f>
        <v>0</v>
      </c>
      <c r="BM466">
        <f>IF(AND(AK466=SafetyLabel,AY466=1),AP466,0)</f>
        <v>0</v>
      </c>
      <c r="BN466">
        <f>IF(AND(AK466=SecureLabel,AY466=1),AP466,0)</f>
        <v>0</v>
      </c>
      <c r="BO466">
        <f>IF(AND(AK466=SureThingLabel,AY466=1),AP466,0)</f>
        <v>0</v>
      </c>
      <c r="BP466">
        <f>MAX(BK466:BO466)</f>
        <v>0</v>
      </c>
      <c r="BQ466">
        <f>MAX(BL466:BO466)</f>
        <v>0</v>
      </c>
      <c r="BR466">
        <f>MAX(BM466:BO466)</f>
        <v>0</v>
      </c>
      <c r="BS466">
        <f>IF(ISNUMBER(Y466),INDEX(AllCollegeChicago, MATCH(N466,AllCollegeNCES,0))*AY466,0)</f>
        <v>0</v>
      </c>
      <c r="BT466">
        <f>IF(ISNUMBER(Y466),INDEX(AllCollegeMoneyCode, MATCH(N466,AllCollegeNCES,0)),"?")</f>
        <v>0</v>
      </c>
      <c r="BU466">
        <f>IF(OR(BT466="---",BT466="--",BT466="+/--",BT466="+/---"),1,0)</f>
        <v>0</v>
      </c>
      <c r="BV466">
        <f>AY466*AO466*AQ466</f>
        <v>0</v>
      </c>
    </row>
    <row r="467" spans="1:74">
      <c r="A467" t="s">
        <v>86</v>
      </c>
      <c r="B467">
        <v>23460954</v>
      </c>
      <c r="C467" t="s">
        <v>275</v>
      </c>
      <c r="D467" t="s">
        <v>276</v>
      </c>
      <c r="E467" t="s">
        <v>428</v>
      </c>
      <c r="F467" t="s">
        <v>555</v>
      </c>
      <c r="G467" t="s">
        <v>430</v>
      </c>
      <c r="H467" t="s">
        <v>431</v>
      </c>
      <c r="I467" t="s">
        <v>432</v>
      </c>
      <c r="J467" t="s">
        <v>432</v>
      </c>
      <c r="K467">
        <v>0</v>
      </c>
      <c r="L467" t="s">
        <v>428</v>
      </c>
      <c r="M467" t="s">
        <v>428</v>
      </c>
      <c r="N467">
        <v>198385</v>
      </c>
      <c r="O467">
        <f>INDEX(AllCollegeBarrons,MATCH(N467,AllCollegeNCES,0))</f>
        <v>0</v>
      </c>
      <c r="P467">
        <f>INDEX(KidGPAs,MATCH(B467,KidIDs,0))</f>
        <v>0</v>
      </c>
      <c r="Q467">
        <f>INDEX(KidACTs,MATCH(B467,KidIDs,0))</f>
        <v>0</v>
      </c>
      <c r="R467">
        <f>INDEX(Strats,MATCH(B467,KidIDs,0))</f>
        <v>0</v>
      </c>
      <c r="S467">
        <f>INDEX(KidRace,MATCH(B467,KidIDs,0))</f>
        <v>0</v>
      </c>
      <c r="T467">
        <f>IF(OR(S467="M",S467="I"),"H",S467)</f>
        <v>0</v>
      </c>
      <c r="U467">
        <f>INDEX(StudentTargets,MATCH(B467,KidIDs,0))</f>
        <v>0</v>
      </c>
      <c r="V467">
        <f>INDEX(ReachStudentTargets,MATCH(B467,KidIDs,0))</f>
        <v>0</v>
      </c>
      <c r="W467">
        <f>IF(OR(M467="Posse"),1,0)</f>
        <v>0</v>
      </c>
      <c r="X467">
        <f>IF(ISNUMBER(INDEX(AllCollegeGR, MATCH(N467,AllCollegeNCES,0))),ROUND(INDEX(AllCollegeGR, MATCH(N467,AllCollegeNCES,0))+W467*IF(INDEX(AllCollegeGR, MATCH(N467,AllCollegeNCES,0))&gt;0.7,(1-INDEX(AllCollegeGR, MATCH(N467,AllCollegeNCES,0)))/2,0.15),2),INDEX(AllCollegeGR, MATCH(N467,AllCollegeNCES,0)))</f>
        <v>0</v>
      </c>
      <c r="Y467">
        <f>IF(ISNUMBER(INDEX(AllCollegeAAHGR, MATCH(N467,AllCollegeNCES,0))),ROUND(INDEX(AllCollegeAAHGR, MATCH(N467,AllCollegeNCES,0))+W467*IF(INDEX(AllCollegeAAHGR, MATCH(N467,AllCollegeNCES,0))&gt;0.7,(1-INDEX(AllCollegeAAHGR, MATCH(N467,AllCollegeNCES,0)))/2,0.15),2),INDEX(AllCollegeAAHGR, MATCH(N467,AllCollegeNCES,0)))</f>
        <v>0</v>
      </c>
      <c r="Z467">
        <f>IF(OR(T467="H",T467="B"),INDEX(AllCollegeACT25, MATCH(N467,AllCollegeNCES,0)),INDEX(AllCollegeACT50, MATCH(N467,AllCollegeNCES,0)))</f>
        <v>0</v>
      </c>
      <c r="AA467">
        <f>INDEX(CustomWeightsGPA,MATCH(T467&amp;":"&amp;N467,CustomWeightsIndex,0))</f>
        <v>0</v>
      </c>
      <c r="AB467">
        <f>INDEX(CustomWeightsACT,MATCH(T467&amp;":"&amp;N467,CustomWeightsIndex,0))</f>
        <v>0</v>
      </c>
      <c r="AC467">
        <f>INDEX(CustomWeightsIntercept,MATCH(T467&amp;":"&amp;N467,CustomWeightsIndex,0))</f>
        <v>0</v>
      </c>
      <c r="AD467">
        <f>AA467*P467+AB467*Q467+AC467</f>
        <v>0</v>
      </c>
      <c r="AE467">
        <f>INDEX(CoefficientsGPA,MATCH(T467&amp;":"&amp;O467,CoefficientsIndex,0))</f>
        <v>0</v>
      </c>
      <c r="AF467">
        <f>INDEX(CoefficientsACT,MATCH(T467&amp;":"&amp;O467,CoefficientsIndex,0))</f>
        <v>0</v>
      </c>
      <c r="AG467">
        <f>INDEX(CoefficientsIntercept,MATCH(T467&amp;":"&amp;O467,CoefficientsIndex,0))</f>
        <v>0</v>
      </c>
      <c r="AH467">
        <f>AE467*P467+(Q467-Z467)*AF467+AG467</f>
        <v>0</v>
      </c>
      <c r="AI467">
        <f>IF(ISNUMBER(AD467),AD467,AH467)</f>
        <v>0</v>
      </c>
      <c r="AJ467">
        <f>IF(ISNUMBER(AI467),IF(ISNUMBER(AE467),IF(AND(AE467=1,AF467=1,AG467=1),100,ROUND(100*EXP(AI467)/(1+EXP(AI467)),2)),ROUND(100*EXP(AI467)/(1+EXP(AI467)),2)),IF(ISTEXT(O467),IF(LEFT(O467,1)="2",100,"N/A"),"N/A"))</f>
        <v>0</v>
      </c>
      <c r="AK467">
        <f>IF(ISNUMBER(AJ467),IF(AJ467&gt;=99,IF(OR(R467=10,R467=11),MatchLabel,SureThingLabel),IF(AJ467&gt;=95,SecureLabel,IF(AJ467&gt;=80,SafetyLabel,IF(AJ467&gt;=50,MatchLabel,IF(AJ467&gt;=20,ReachLabel,IF(AJ467&gt;=10,LongshotLabel,HailMaryLabel)))))),"Other")</f>
        <v>0</v>
      </c>
      <c r="AL467">
        <f>IF(OR(I467="accepted",I467="cond. accept",I467="summer admit"),IF(J467="yes","CHOICE!","Accepted!"),IF(I467="denied","Denied",IF(K467=1,"Waitlist",IF(L467=1,"Deferred",IF(G467="pending","Pending",IF(OR(G467="initial materials submitted",G467="mid-year submitted",G467="final submitted"),"Submitted",IF(H467="interest","Interest","?")))))))</f>
        <v>0</v>
      </c>
      <c r="AM467">
        <f>IF(OR(AK467=ReachLabel,AK467=LongshotLabel,AK467=HailMaryLabel),1,0)</f>
        <v>0</v>
      </c>
      <c r="AN467">
        <f>IF(OR(AM467=1,AK467=MatchLabel),1,0)</f>
        <v>0</v>
      </c>
      <c r="AO467">
        <f>IF(OR(AK467=MatchLabel,AK467=SafetyLabel,AK467=SecureLabel,AK467=SureThingLabel),1,0)</f>
        <v>0</v>
      </c>
      <c r="AP467">
        <f>IF(OR(T467="H",T467="B"),IF(ISNUMBER(Y467),ROUND(Y467,2),0),IF(ISNUMBER(X467),ROUND(X467,2),0))</f>
        <v>0</v>
      </c>
      <c r="AQ467">
        <f>IF(AP467&gt;=U467,1,0)</f>
        <v>0</v>
      </c>
      <c r="AR467">
        <f>IF(AP467&gt;=V467,1,0)</f>
        <v>0</v>
      </c>
      <c r="AS467">
        <f>IF(AP467&lt;(U467-0.10),1,0)</f>
        <v>0</v>
      </c>
      <c r="AT467">
        <f>1-AJ467/100</f>
        <v>0</v>
      </c>
      <c r="AU467">
        <f>IF(AN467=1,AT467,1)</f>
        <v>0</v>
      </c>
      <c r="AV467">
        <f>IF(AM467=1,AT467,1)</f>
        <v>0</v>
      </c>
      <c r="AW467">
        <f>IF(AND(AQ467=1,ISNUMBER(AT467)),$AT467,1)</f>
        <v>0</v>
      </c>
      <c r="AX467">
        <f>IF(AND(AR467=1,ISNUMBER(AT467)),$AT467,1)</f>
        <v>0</v>
      </c>
      <c r="AY467">
        <f>IF(ISNUMBER(Y467),INDEX(AllCollegeMoney, MATCH(N467,AllCollegeNCES,0)),0)</f>
        <v>0</v>
      </c>
      <c r="AZ467">
        <f>IF(AND(AQ467=1,ISNUMBER(AT467),AY467=1),$AT467,1)</f>
        <v>0</v>
      </c>
      <c r="BA467">
        <f>IF(AND(AR467=1,ISNUMBER(AT467),AY467=1),$AT467,1)</f>
        <v>0</v>
      </c>
      <c r="BB467">
        <f>IF(ISNUMBER(Y467),INDEX(AllCollegeILPub, MATCH(N467,AllCollegeNCES,0)),0)</f>
        <v>0</v>
      </c>
      <c r="BC467">
        <f>IF(AK467=ReachLabel,AP467,0)</f>
        <v>0</v>
      </c>
      <c r="BD467">
        <f>IF(AK467=MatchLabel,AP467,0)</f>
        <v>0</v>
      </c>
      <c r="BE467">
        <f>IF(AK467=SafetyLabel,AP467,0)</f>
        <v>0</v>
      </c>
      <c r="BF467">
        <f>IF(AK467=SecureLabel,AP467,0)</f>
        <v>0</v>
      </c>
      <c r="BG467">
        <f>IF(AK467=SureThingLabel,AP467,0)</f>
        <v>0</v>
      </c>
      <c r="BH467">
        <f>MAX(BC467:BG467)</f>
        <v>0</v>
      </c>
      <c r="BI467">
        <f>MAX(BD467:BG467)</f>
        <v>0</v>
      </c>
      <c r="BJ467">
        <f>MAX(BE467:BG467)</f>
        <v>0</v>
      </c>
      <c r="BK467">
        <f>IF(AND(AK467=ReachLabel,AY467=1),AP467,0)</f>
        <v>0</v>
      </c>
      <c r="BL467">
        <f>IF(AND(AK467=MatchLabel,AY467=1),AP467,0)</f>
        <v>0</v>
      </c>
      <c r="BM467">
        <f>IF(AND(AK467=SafetyLabel,AY467=1),AP467,0)</f>
        <v>0</v>
      </c>
      <c r="BN467">
        <f>IF(AND(AK467=SecureLabel,AY467=1),AP467,0)</f>
        <v>0</v>
      </c>
      <c r="BO467">
        <f>IF(AND(AK467=SureThingLabel,AY467=1),AP467,0)</f>
        <v>0</v>
      </c>
      <c r="BP467">
        <f>MAX(BK467:BO467)</f>
        <v>0</v>
      </c>
      <c r="BQ467">
        <f>MAX(BL467:BO467)</f>
        <v>0</v>
      </c>
      <c r="BR467">
        <f>MAX(BM467:BO467)</f>
        <v>0</v>
      </c>
      <c r="BS467">
        <f>IF(ISNUMBER(Y467),INDEX(AllCollegeChicago, MATCH(N467,AllCollegeNCES,0))*AY467,0)</f>
        <v>0</v>
      </c>
      <c r="BT467">
        <f>IF(ISNUMBER(Y467),INDEX(AllCollegeMoneyCode, MATCH(N467,AllCollegeNCES,0)),"?")</f>
        <v>0</v>
      </c>
      <c r="BU467">
        <f>IF(OR(BT467="---",BT467="--",BT467="+/--",BT467="+/---"),1,0)</f>
        <v>0</v>
      </c>
      <c r="BV467">
        <f>AY467*AO467*AQ467</f>
        <v>0</v>
      </c>
    </row>
    <row r="468" spans="1:74">
      <c r="A468" t="s">
        <v>86</v>
      </c>
      <c r="B468">
        <v>23460954</v>
      </c>
      <c r="C468" t="s">
        <v>275</v>
      </c>
      <c r="D468" t="s">
        <v>276</v>
      </c>
      <c r="E468" t="s">
        <v>428</v>
      </c>
      <c r="F468" t="s">
        <v>494</v>
      </c>
      <c r="G468" t="s">
        <v>430</v>
      </c>
      <c r="H468" t="s">
        <v>431</v>
      </c>
      <c r="I468" t="s">
        <v>432</v>
      </c>
      <c r="J468" t="s">
        <v>432</v>
      </c>
      <c r="K468">
        <v>0</v>
      </c>
      <c r="L468" t="s">
        <v>428</v>
      </c>
      <c r="M468" t="s">
        <v>428</v>
      </c>
      <c r="N468">
        <v>216597</v>
      </c>
      <c r="O468">
        <f>INDEX(AllCollegeBarrons,MATCH(N468,AllCollegeNCES,0))</f>
        <v>0</v>
      </c>
      <c r="P468">
        <f>INDEX(KidGPAs,MATCH(B468,KidIDs,0))</f>
        <v>0</v>
      </c>
      <c r="Q468">
        <f>INDEX(KidACTs,MATCH(B468,KidIDs,0))</f>
        <v>0</v>
      </c>
      <c r="R468">
        <f>INDEX(Strats,MATCH(B468,KidIDs,0))</f>
        <v>0</v>
      </c>
      <c r="S468">
        <f>INDEX(KidRace,MATCH(B468,KidIDs,0))</f>
        <v>0</v>
      </c>
      <c r="T468">
        <f>IF(OR(S468="M",S468="I"),"H",S468)</f>
        <v>0</v>
      </c>
      <c r="U468">
        <f>INDEX(StudentTargets,MATCH(B468,KidIDs,0))</f>
        <v>0</v>
      </c>
      <c r="V468">
        <f>INDEX(ReachStudentTargets,MATCH(B468,KidIDs,0))</f>
        <v>0</v>
      </c>
      <c r="W468">
        <f>IF(OR(M468="Posse"),1,0)</f>
        <v>0</v>
      </c>
      <c r="X468">
        <f>IF(ISNUMBER(INDEX(AllCollegeGR, MATCH(N468,AllCollegeNCES,0))),ROUND(INDEX(AllCollegeGR, MATCH(N468,AllCollegeNCES,0))+W468*IF(INDEX(AllCollegeGR, MATCH(N468,AllCollegeNCES,0))&gt;0.7,(1-INDEX(AllCollegeGR, MATCH(N468,AllCollegeNCES,0)))/2,0.15),2),INDEX(AllCollegeGR, MATCH(N468,AllCollegeNCES,0)))</f>
        <v>0</v>
      </c>
      <c r="Y468">
        <f>IF(ISNUMBER(INDEX(AllCollegeAAHGR, MATCH(N468,AllCollegeNCES,0))),ROUND(INDEX(AllCollegeAAHGR, MATCH(N468,AllCollegeNCES,0))+W468*IF(INDEX(AllCollegeAAHGR, MATCH(N468,AllCollegeNCES,0))&gt;0.7,(1-INDEX(AllCollegeAAHGR, MATCH(N468,AllCollegeNCES,0)))/2,0.15),2),INDEX(AllCollegeAAHGR, MATCH(N468,AllCollegeNCES,0)))</f>
        <v>0</v>
      </c>
      <c r="Z468">
        <f>IF(OR(T468="H",T468="B"),INDEX(AllCollegeACT25, MATCH(N468,AllCollegeNCES,0)),INDEX(AllCollegeACT50, MATCH(N468,AllCollegeNCES,0)))</f>
        <v>0</v>
      </c>
      <c r="AA468">
        <f>INDEX(CustomWeightsGPA,MATCH(T468&amp;":"&amp;N468,CustomWeightsIndex,0))</f>
        <v>0</v>
      </c>
      <c r="AB468">
        <f>INDEX(CustomWeightsACT,MATCH(T468&amp;":"&amp;N468,CustomWeightsIndex,0))</f>
        <v>0</v>
      </c>
      <c r="AC468">
        <f>INDEX(CustomWeightsIntercept,MATCH(T468&amp;":"&amp;N468,CustomWeightsIndex,0))</f>
        <v>0</v>
      </c>
      <c r="AD468">
        <f>AA468*P468+AB468*Q468+AC468</f>
        <v>0</v>
      </c>
      <c r="AE468">
        <f>INDEX(CoefficientsGPA,MATCH(T468&amp;":"&amp;O468,CoefficientsIndex,0))</f>
        <v>0</v>
      </c>
      <c r="AF468">
        <f>INDEX(CoefficientsACT,MATCH(T468&amp;":"&amp;O468,CoefficientsIndex,0))</f>
        <v>0</v>
      </c>
      <c r="AG468">
        <f>INDEX(CoefficientsIntercept,MATCH(T468&amp;":"&amp;O468,CoefficientsIndex,0))</f>
        <v>0</v>
      </c>
      <c r="AH468">
        <f>AE468*P468+(Q468-Z468)*AF468+AG468</f>
        <v>0</v>
      </c>
      <c r="AI468">
        <f>IF(ISNUMBER(AD468),AD468,AH468)</f>
        <v>0</v>
      </c>
      <c r="AJ468">
        <f>IF(ISNUMBER(AI468),IF(ISNUMBER(AE468),IF(AND(AE468=1,AF468=1,AG468=1),100,ROUND(100*EXP(AI468)/(1+EXP(AI468)),2)),ROUND(100*EXP(AI468)/(1+EXP(AI468)),2)),IF(ISTEXT(O468),IF(LEFT(O468,1)="2",100,"N/A"),"N/A"))</f>
        <v>0</v>
      </c>
      <c r="AK468">
        <f>IF(ISNUMBER(AJ468),IF(AJ468&gt;=99,IF(OR(R468=10,R468=11),MatchLabel,SureThingLabel),IF(AJ468&gt;=95,SecureLabel,IF(AJ468&gt;=80,SafetyLabel,IF(AJ468&gt;=50,MatchLabel,IF(AJ468&gt;=20,ReachLabel,IF(AJ468&gt;=10,LongshotLabel,HailMaryLabel)))))),"Other")</f>
        <v>0</v>
      </c>
      <c r="AL468">
        <f>IF(OR(I468="accepted",I468="cond. accept",I468="summer admit"),IF(J468="yes","CHOICE!","Accepted!"),IF(I468="denied","Denied",IF(K468=1,"Waitlist",IF(L468=1,"Deferred",IF(G468="pending","Pending",IF(OR(G468="initial materials submitted",G468="mid-year submitted",G468="final submitted"),"Submitted",IF(H468="interest","Interest","?")))))))</f>
        <v>0</v>
      </c>
      <c r="AM468">
        <f>IF(OR(AK468=ReachLabel,AK468=LongshotLabel,AK468=HailMaryLabel),1,0)</f>
        <v>0</v>
      </c>
      <c r="AN468">
        <f>IF(OR(AM468=1,AK468=MatchLabel),1,0)</f>
        <v>0</v>
      </c>
      <c r="AO468">
        <f>IF(OR(AK468=MatchLabel,AK468=SafetyLabel,AK468=SecureLabel,AK468=SureThingLabel),1,0)</f>
        <v>0</v>
      </c>
      <c r="AP468">
        <f>IF(OR(T468="H",T468="B"),IF(ISNUMBER(Y468),ROUND(Y468,2),0),IF(ISNUMBER(X468),ROUND(X468,2),0))</f>
        <v>0</v>
      </c>
      <c r="AQ468">
        <f>IF(AP468&gt;=U468,1,0)</f>
        <v>0</v>
      </c>
      <c r="AR468">
        <f>IF(AP468&gt;=V468,1,0)</f>
        <v>0</v>
      </c>
      <c r="AS468">
        <f>IF(AP468&lt;(U468-0.10),1,0)</f>
        <v>0</v>
      </c>
      <c r="AT468">
        <f>1-AJ468/100</f>
        <v>0</v>
      </c>
      <c r="AU468">
        <f>IF(AN468=1,AT468,1)</f>
        <v>0</v>
      </c>
      <c r="AV468">
        <f>IF(AM468=1,AT468,1)</f>
        <v>0</v>
      </c>
      <c r="AW468">
        <f>IF(AND(AQ468=1,ISNUMBER(AT468)),$AT468,1)</f>
        <v>0</v>
      </c>
      <c r="AX468">
        <f>IF(AND(AR468=1,ISNUMBER(AT468)),$AT468,1)</f>
        <v>0</v>
      </c>
      <c r="AY468">
        <f>IF(ISNUMBER(Y468),INDEX(AllCollegeMoney, MATCH(N468,AllCollegeNCES,0)),0)</f>
        <v>0</v>
      </c>
      <c r="AZ468">
        <f>IF(AND(AQ468=1,ISNUMBER(AT468),AY468=1),$AT468,1)</f>
        <v>0</v>
      </c>
      <c r="BA468">
        <f>IF(AND(AR468=1,ISNUMBER(AT468),AY468=1),$AT468,1)</f>
        <v>0</v>
      </c>
      <c r="BB468">
        <f>IF(ISNUMBER(Y468),INDEX(AllCollegeILPub, MATCH(N468,AllCollegeNCES,0)),0)</f>
        <v>0</v>
      </c>
      <c r="BC468">
        <f>IF(AK468=ReachLabel,AP468,0)</f>
        <v>0</v>
      </c>
      <c r="BD468">
        <f>IF(AK468=MatchLabel,AP468,0)</f>
        <v>0</v>
      </c>
      <c r="BE468">
        <f>IF(AK468=SafetyLabel,AP468,0)</f>
        <v>0</v>
      </c>
      <c r="BF468">
        <f>IF(AK468=SecureLabel,AP468,0)</f>
        <v>0</v>
      </c>
      <c r="BG468">
        <f>IF(AK468=SureThingLabel,AP468,0)</f>
        <v>0</v>
      </c>
      <c r="BH468">
        <f>MAX(BC468:BG468)</f>
        <v>0</v>
      </c>
      <c r="BI468">
        <f>MAX(BD468:BG468)</f>
        <v>0</v>
      </c>
      <c r="BJ468">
        <f>MAX(BE468:BG468)</f>
        <v>0</v>
      </c>
      <c r="BK468">
        <f>IF(AND(AK468=ReachLabel,AY468=1),AP468,0)</f>
        <v>0</v>
      </c>
      <c r="BL468">
        <f>IF(AND(AK468=MatchLabel,AY468=1),AP468,0)</f>
        <v>0</v>
      </c>
      <c r="BM468">
        <f>IF(AND(AK468=SafetyLabel,AY468=1),AP468,0)</f>
        <v>0</v>
      </c>
      <c r="BN468">
        <f>IF(AND(AK468=SecureLabel,AY468=1),AP468,0)</f>
        <v>0</v>
      </c>
      <c r="BO468">
        <f>IF(AND(AK468=SureThingLabel,AY468=1),AP468,0)</f>
        <v>0</v>
      </c>
      <c r="BP468">
        <f>MAX(BK468:BO468)</f>
        <v>0</v>
      </c>
      <c r="BQ468">
        <f>MAX(BL468:BO468)</f>
        <v>0</v>
      </c>
      <c r="BR468">
        <f>MAX(BM468:BO468)</f>
        <v>0</v>
      </c>
      <c r="BS468">
        <f>IF(ISNUMBER(Y468),INDEX(AllCollegeChicago, MATCH(N468,AllCollegeNCES,0))*AY468,0)</f>
        <v>0</v>
      </c>
      <c r="BT468">
        <f>IF(ISNUMBER(Y468),INDEX(AllCollegeMoneyCode, MATCH(N468,AllCollegeNCES,0)),"?")</f>
        <v>0</v>
      </c>
      <c r="BU468">
        <f>IF(OR(BT468="---",BT468="--",BT468="+/--",BT468="+/---"),1,0)</f>
        <v>0</v>
      </c>
      <c r="BV468">
        <f>AY468*AO468*AQ468</f>
        <v>0</v>
      </c>
    </row>
    <row r="469" spans="1:74">
      <c r="A469" t="s">
        <v>86</v>
      </c>
      <c r="B469">
        <v>23460954</v>
      </c>
      <c r="C469" t="s">
        <v>275</v>
      </c>
      <c r="D469" t="s">
        <v>276</v>
      </c>
      <c r="E469" t="s">
        <v>428</v>
      </c>
      <c r="F469" t="s">
        <v>495</v>
      </c>
      <c r="G469" t="s">
        <v>430</v>
      </c>
      <c r="H469" t="s">
        <v>431</v>
      </c>
      <c r="I469" t="s">
        <v>432</v>
      </c>
      <c r="J469" t="s">
        <v>432</v>
      </c>
      <c r="K469">
        <v>0</v>
      </c>
      <c r="L469" t="s">
        <v>428</v>
      </c>
      <c r="M469" t="s">
        <v>428</v>
      </c>
      <c r="N469">
        <v>195526</v>
      </c>
      <c r="O469">
        <f>INDEX(AllCollegeBarrons,MATCH(N469,AllCollegeNCES,0))</f>
        <v>0</v>
      </c>
      <c r="P469">
        <f>INDEX(KidGPAs,MATCH(B469,KidIDs,0))</f>
        <v>0</v>
      </c>
      <c r="Q469">
        <f>INDEX(KidACTs,MATCH(B469,KidIDs,0))</f>
        <v>0</v>
      </c>
      <c r="R469">
        <f>INDEX(Strats,MATCH(B469,KidIDs,0))</f>
        <v>0</v>
      </c>
      <c r="S469">
        <f>INDEX(KidRace,MATCH(B469,KidIDs,0))</f>
        <v>0</v>
      </c>
      <c r="T469">
        <f>IF(OR(S469="M",S469="I"),"H",S469)</f>
        <v>0</v>
      </c>
      <c r="U469">
        <f>INDEX(StudentTargets,MATCH(B469,KidIDs,0))</f>
        <v>0</v>
      </c>
      <c r="V469">
        <f>INDEX(ReachStudentTargets,MATCH(B469,KidIDs,0))</f>
        <v>0</v>
      </c>
      <c r="W469">
        <f>IF(OR(M469="Posse"),1,0)</f>
        <v>0</v>
      </c>
      <c r="X469">
        <f>IF(ISNUMBER(INDEX(AllCollegeGR, MATCH(N469,AllCollegeNCES,0))),ROUND(INDEX(AllCollegeGR, MATCH(N469,AllCollegeNCES,0))+W469*IF(INDEX(AllCollegeGR, MATCH(N469,AllCollegeNCES,0))&gt;0.7,(1-INDEX(AllCollegeGR, MATCH(N469,AllCollegeNCES,0)))/2,0.15),2),INDEX(AllCollegeGR, MATCH(N469,AllCollegeNCES,0)))</f>
        <v>0</v>
      </c>
      <c r="Y469">
        <f>IF(ISNUMBER(INDEX(AllCollegeAAHGR, MATCH(N469,AllCollegeNCES,0))),ROUND(INDEX(AllCollegeAAHGR, MATCH(N469,AllCollegeNCES,0))+W469*IF(INDEX(AllCollegeAAHGR, MATCH(N469,AllCollegeNCES,0))&gt;0.7,(1-INDEX(AllCollegeAAHGR, MATCH(N469,AllCollegeNCES,0)))/2,0.15),2),INDEX(AllCollegeAAHGR, MATCH(N469,AllCollegeNCES,0)))</f>
        <v>0</v>
      </c>
      <c r="Z469">
        <f>IF(OR(T469="H",T469="B"),INDEX(AllCollegeACT25, MATCH(N469,AllCollegeNCES,0)),INDEX(AllCollegeACT50, MATCH(N469,AllCollegeNCES,0)))</f>
        <v>0</v>
      </c>
      <c r="AA469">
        <f>INDEX(CustomWeightsGPA,MATCH(T469&amp;":"&amp;N469,CustomWeightsIndex,0))</f>
        <v>0</v>
      </c>
      <c r="AB469">
        <f>INDEX(CustomWeightsACT,MATCH(T469&amp;":"&amp;N469,CustomWeightsIndex,0))</f>
        <v>0</v>
      </c>
      <c r="AC469">
        <f>INDEX(CustomWeightsIntercept,MATCH(T469&amp;":"&amp;N469,CustomWeightsIndex,0))</f>
        <v>0</v>
      </c>
      <c r="AD469">
        <f>AA469*P469+AB469*Q469+AC469</f>
        <v>0</v>
      </c>
      <c r="AE469">
        <f>INDEX(CoefficientsGPA,MATCH(T469&amp;":"&amp;O469,CoefficientsIndex,0))</f>
        <v>0</v>
      </c>
      <c r="AF469">
        <f>INDEX(CoefficientsACT,MATCH(T469&amp;":"&amp;O469,CoefficientsIndex,0))</f>
        <v>0</v>
      </c>
      <c r="AG469">
        <f>INDEX(CoefficientsIntercept,MATCH(T469&amp;":"&amp;O469,CoefficientsIndex,0))</f>
        <v>0</v>
      </c>
      <c r="AH469">
        <f>AE469*P469+(Q469-Z469)*AF469+AG469</f>
        <v>0</v>
      </c>
      <c r="AI469">
        <f>IF(ISNUMBER(AD469),AD469,AH469)</f>
        <v>0</v>
      </c>
      <c r="AJ469">
        <f>IF(ISNUMBER(AI469),IF(ISNUMBER(AE469),IF(AND(AE469=1,AF469=1,AG469=1),100,ROUND(100*EXP(AI469)/(1+EXP(AI469)),2)),ROUND(100*EXP(AI469)/(1+EXP(AI469)),2)),IF(ISTEXT(O469),IF(LEFT(O469,1)="2",100,"N/A"),"N/A"))</f>
        <v>0</v>
      </c>
      <c r="AK469">
        <f>IF(ISNUMBER(AJ469),IF(AJ469&gt;=99,IF(OR(R469=10,R469=11),MatchLabel,SureThingLabel),IF(AJ469&gt;=95,SecureLabel,IF(AJ469&gt;=80,SafetyLabel,IF(AJ469&gt;=50,MatchLabel,IF(AJ469&gt;=20,ReachLabel,IF(AJ469&gt;=10,LongshotLabel,HailMaryLabel)))))),"Other")</f>
        <v>0</v>
      </c>
      <c r="AL469">
        <f>IF(OR(I469="accepted",I469="cond. accept",I469="summer admit"),IF(J469="yes","CHOICE!","Accepted!"),IF(I469="denied","Denied",IF(K469=1,"Waitlist",IF(L469=1,"Deferred",IF(G469="pending","Pending",IF(OR(G469="initial materials submitted",G469="mid-year submitted",G469="final submitted"),"Submitted",IF(H469="interest","Interest","?")))))))</f>
        <v>0</v>
      </c>
      <c r="AM469">
        <f>IF(OR(AK469=ReachLabel,AK469=LongshotLabel,AK469=HailMaryLabel),1,0)</f>
        <v>0</v>
      </c>
      <c r="AN469">
        <f>IF(OR(AM469=1,AK469=MatchLabel),1,0)</f>
        <v>0</v>
      </c>
      <c r="AO469">
        <f>IF(OR(AK469=MatchLabel,AK469=SafetyLabel,AK469=SecureLabel,AK469=SureThingLabel),1,0)</f>
        <v>0</v>
      </c>
      <c r="AP469">
        <f>IF(OR(T469="H",T469="B"),IF(ISNUMBER(Y469),ROUND(Y469,2),0),IF(ISNUMBER(X469),ROUND(X469,2),0))</f>
        <v>0</v>
      </c>
      <c r="AQ469">
        <f>IF(AP469&gt;=U469,1,0)</f>
        <v>0</v>
      </c>
      <c r="AR469">
        <f>IF(AP469&gt;=V469,1,0)</f>
        <v>0</v>
      </c>
      <c r="AS469">
        <f>IF(AP469&lt;(U469-0.10),1,0)</f>
        <v>0</v>
      </c>
      <c r="AT469">
        <f>1-AJ469/100</f>
        <v>0</v>
      </c>
      <c r="AU469">
        <f>IF(AN469=1,AT469,1)</f>
        <v>0</v>
      </c>
      <c r="AV469">
        <f>IF(AM469=1,AT469,1)</f>
        <v>0</v>
      </c>
      <c r="AW469">
        <f>IF(AND(AQ469=1,ISNUMBER(AT469)),$AT469,1)</f>
        <v>0</v>
      </c>
      <c r="AX469">
        <f>IF(AND(AR469=1,ISNUMBER(AT469)),$AT469,1)</f>
        <v>0</v>
      </c>
      <c r="AY469">
        <f>IF(ISNUMBER(Y469),INDEX(AllCollegeMoney, MATCH(N469,AllCollegeNCES,0)),0)</f>
        <v>0</v>
      </c>
      <c r="AZ469">
        <f>IF(AND(AQ469=1,ISNUMBER(AT469),AY469=1),$AT469,1)</f>
        <v>0</v>
      </c>
      <c r="BA469">
        <f>IF(AND(AR469=1,ISNUMBER(AT469),AY469=1),$AT469,1)</f>
        <v>0</v>
      </c>
      <c r="BB469">
        <f>IF(ISNUMBER(Y469),INDEX(AllCollegeILPub, MATCH(N469,AllCollegeNCES,0)),0)</f>
        <v>0</v>
      </c>
      <c r="BC469">
        <f>IF(AK469=ReachLabel,AP469,0)</f>
        <v>0</v>
      </c>
      <c r="BD469">
        <f>IF(AK469=MatchLabel,AP469,0)</f>
        <v>0</v>
      </c>
      <c r="BE469">
        <f>IF(AK469=SafetyLabel,AP469,0)</f>
        <v>0</v>
      </c>
      <c r="BF469">
        <f>IF(AK469=SecureLabel,AP469,0)</f>
        <v>0</v>
      </c>
      <c r="BG469">
        <f>IF(AK469=SureThingLabel,AP469,0)</f>
        <v>0</v>
      </c>
      <c r="BH469">
        <f>MAX(BC469:BG469)</f>
        <v>0</v>
      </c>
      <c r="BI469">
        <f>MAX(BD469:BG469)</f>
        <v>0</v>
      </c>
      <c r="BJ469">
        <f>MAX(BE469:BG469)</f>
        <v>0</v>
      </c>
      <c r="BK469">
        <f>IF(AND(AK469=ReachLabel,AY469=1),AP469,0)</f>
        <v>0</v>
      </c>
      <c r="BL469">
        <f>IF(AND(AK469=MatchLabel,AY469=1),AP469,0)</f>
        <v>0</v>
      </c>
      <c r="BM469">
        <f>IF(AND(AK469=SafetyLabel,AY469=1),AP469,0)</f>
        <v>0</v>
      </c>
      <c r="BN469">
        <f>IF(AND(AK469=SecureLabel,AY469=1),AP469,0)</f>
        <v>0</v>
      </c>
      <c r="BO469">
        <f>IF(AND(AK469=SureThingLabel,AY469=1),AP469,0)</f>
        <v>0</v>
      </c>
      <c r="BP469">
        <f>MAX(BK469:BO469)</f>
        <v>0</v>
      </c>
      <c r="BQ469">
        <f>MAX(BL469:BO469)</f>
        <v>0</v>
      </c>
      <c r="BR469">
        <f>MAX(BM469:BO469)</f>
        <v>0</v>
      </c>
      <c r="BS469">
        <f>IF(ISNUMBER(Y469),INDEX(AllCollegeChicago, MATCH(N469,AllCollegeNCES,0))*AY469,0)</f>
        <v>0</v>
      </c>
      <c r="BT469">
        <f>IF(ISNUMBER(Y469),INDEX(AllCollegeMoneyCode, MATCH(N469,AllCollegeNCES,0)),"?")</f>
        <v>0</v>
      </c>
      <c r="BU469">
        <f>IF(OR(BT469="---",BT469="--",BT469="+/--",BT469="+/---"),1,0)</f>
        <v>0</v>
      </c>
      <c r="BV469">
        <f>AY469*AO469*AQ469</f>
        <v>0</v>
      </c>
    </row>
    <row r="470" spans="1:74">
      <c r="A470" t="s">
        <v>86</v>
      </c>
      <c r="B470">
        <v>23460954</v>
      </c>
      <c r="C470" t="s">
        <v>275</v>
      </c>
      <c r="D470" t="s">
        <v>276</v>
      </c>
      <c r="E470" t="s">
        <v>428</v>
      </c>
      <c r="F470" t="s">
        <v>536</v>
      </c>
      <c r="G470" t="s">
        <v>430</v>
      </c>
      <c r="H470" t="s">
        <v>431</v>
      </c>
      <c r="I470" t="s">
        <v>432</v>
      </c>
      <c r="J470" t="s">
        <v>432</v>
      </c>
      <c r="K470">
        <v>0</v>
      </c>
      <c r="L470" t="s">
        <v>428</v>
      </c>
      <c r="M470" t="s">
        <v>428</v>
      </c>
      <c r="N470">
        <v>211291</v>
      </c>
      <c r="O470">
        <f>INDEX(AllCollegeBarrons,MATCH(N470,AllCollegeNCES,0))</f>
        <v>0</v>
      </c>
      <c r="P470">
        <f>INDEX(KidGPAs,MATCH(B470,KidIDs,0))</f>
        <v>0</v>
      </c>
      <c r="Q470">
        <f>INDEX(KidACTs,MATCH(B470,KidIDs,0))</f>
        <v>0</v>
      </c>
      <c r="R470">
        <f>INDEX(Strats,MATCH(B470,KidIDs,0))</f>
        <v>0</v>
      </c>
      <c r="S470">
        <f>INDEX(KidRace,MATCH(B470,KidIDs,0))</f>
        <v>0</v>
      </c>
      <c r="T470">
        <f>IF(OR(S470="M",S470="I"),"H",S470)</f>
        <v>0</v>
      </c>
      <c r="U470">
        <f>INDEX(StudentTargets,MATCH(B470,KidIDs,0))</f>
        <v>0</v>
      </c>
      <c r="V470">
        <f>INDEX(ReachStudentTargets,MATCH(B470,KidIDs,0))</f>
        <v>0</v>
      </c>
      <c r="W470">
        <f>IF(OR(M470="Posse"),1,0)</f>
        <v>0</v>
      </c>
      <c r="X470">
        <f>IF(ISNUMBER(INDEX(AllCollegeGR, MATCH(N470,AllCollegeNCES,0))),ROUND(INDEX(AllCollegeGR, MATCH(N470,AllCollegeNCES,0))+W470*IF(INDEX(AllCollegeGR, MATCH(N470,AllCollegeNCES,0))&gt;0.7,(1-INDEX(AllCollegeGR, MATCH(N470,AllCollegeNCES,0)))/2,0.15),2),INDEX(AllCollegeGR, MATCH(N470,AllCollegeNCES,0)))</f>
        <v>0</v>
      </c>
      <c r="Y470">
        <f>IF(ISNUMBER(INDEX(AllCollegeAAHGR, MATCH(N470,AllCollegeNCES,0))),ROUND(INDEX(AllCollegeAAHGR, MATCH(N470,AllCollegeNCES,0))+W470*IF(INDEX(AllCollegeAAHGR, MATCH(N470,AllCollegeNCES,0))&gt;0.7,(1-INDEX(AllCollegeAAHGR, MATCH(N470,AllCollegeNCES,0)))/2,0.15),2),INDEX(AllCollegeAAHGR, MATCH(N470,AllCollegeNCES,0)))</f>
        <v>0</v>
      </c>
      <c r="Z470">
        <f>IF(OR(T470="H",T470="B"),INDEX(AllCollegeACT25, MATCH(N470,AllCollegeNCES,0)),INDEX(AllCollegeACT50, MATCH(N470,AllCollegeNCES,0)))</f>
        <v>0</v>
      </c>
      <c r="AA470">
        <f>INDEX(CustomWeightsGPA,MATCH(T470&amp;":"&amp;N470,CustomWeightsIndex,0))</f>
        <v>0</v>
      </c>
      <c r="AB470">
        <f>INDEX(CustomWeightsACT,MATCH(T470&amp;":"&amp;N470,CustomWeightsIndex,0))</f>
        <v>0</v>
      </c>
      <c r="AC470">
        <f>INDEX(CustomWeightsIntercept,MATCH(T470&amp;":"&amp;N470,CustomWeightsIndex,0))</f>
        <v>0</v>
      </c>
      <c r="AD470">
        <f>AA470*P470+AB470*Q470+AC470</f>
        <v>0</v>
      </c>
      <c r="AE470">
        <f>INDEX(CoefficientsGPA,MATCH(T470&amp;":"&amp;O470,CoefficientsIndex,0))</f>
        <v>0</v>
      </c>
      <c r="AF470">
        <f>INDEX(CoefficientsACT,MATCH(T470&amp;":"&amp;O470,CoefficientsIndex,0))</f>
        <v>0</v>
      </c>
      <c r="AG470">
        <f>INDEX(CoefficientsIntercept,MATCH(T470&amp;":"&amp;O470,CoefficientsIndex,0))</f>
        <v>0</v>
      </c>
      <c r="AH470">
        <f>AE470*P470+(Q470-Z470)*AF470+AG470</f>
        <v>0</v>
      </c>
      <c r="AI470">
        <f>IF(ISNUMBER(AD470),AD470,AH470)</f>
        <v>0</v>
      </c>
      <c r="AJ470">
        <f>IF(ISNUMBER(AI470),IF(ISNUMBER(AE470),IF(AND(AE470=1,AF470=1,AG470=1),100,ROUND(100*EXP(AI470)/(1+EXP(AI470)),2)),ROUND(100*EXP(AI470)/(1+EXP(AI470)),2)),IF(ISTEXT(O470),IF(LEFT(O470,1)="2",100,"N/A"),"N/A"))</f>
        <v>0</v>
      </c>
      <c r="AK470">
        <f>IF(ISNUMBER(AJ470),IF(AJ470&gt;=99,IF(OR(R470=10,R470=11),MatchLabel,SureThingLabel),IF(AJ470&gt;=95,SecureLabel,IF(AJ470&gt;=80,SafetyLabel,IF(AJ470&gt;=50,MatchLabel,IF(AJ470&gt;=20,ReachLabel,IF(AJ470&gt;=10,LongshotLabel,HailMaryLabel)))))),"Other")</f>
        <v>0</v>
      </c>
      <c r="AL470">
        <f>IF(OR(I470="accepted",I470="cond. accept",I470="summer admit"),IF(J470="yes","CHOICE!","Accepted!"),IF(I470="denied","Denied",IF(K470=1,"Waitlist",IF(L470=1,"Deferred",IF(G470="pending","Pending",IF(OR(G470="initial materials submitted",G470="mid-year submitted",G470="final submitted"),"Submitted",IF(H470="interest","Interest","?")))))))</f>
        <v>0</v>
      </c>
      <c r="AM470">
        <f>IF(OR(AK470=ReachLabel,AK470=LongshotLabel,AK470=HailMaryLabel),1,0)</f>
        <v>0</v>
      </c>
      <c r="AN470">
        <f>IF(OR(AM470=1,AK470=MatchLabel),1,0)</f>
        <v>0</v>
      </c>
      <c r="AO470">
        <f>IF(OR(AK470=MatchLabel,AK470=SafetyLabel,AK470=SecureLabel,AK470=SureThingLabel),1,0)</f>
        <v>0</v>
      </c>
      <c r="AP470">
        <f>IF(OR(T470="H",T470="B"),IF(ISNUMBER(Y470),ROUND(Y470,2),0),IF(ISNUMBER(X470),ROUND(X470,2),0))</f>
        <v>0</v>
      </c>
      <c r="AQ470">
        <f>IF(AP470&gt;=U470,1,0)</f>
        <v>0</v>
      </c>
      <c r="AR470">
        <f>IF(AP470&gt;=V470,1,0)</f>
        <v>0</v>
      </c>
      <c r="AS470">
        <f>IF(AP470&lt;(U470-0.10),1,0)</f>
        <v>0</v>
      </c>
      <c r="AT470">
        <f>1-AJ470/100</f>
        <v>0</v>
      </c>
      <c r="AU470">
        <f>IF(AN470=1,AT470,1)</f>
        <v>0</v>
      </c>
      <c r="AV470">
        <f>IF(AM470=1,AT470,1)</f>
        <v>0</v>
      </c>
      <c r="AW470">
        <f>IF(AND(AQ470=1,ISNUMBER(AT470)),$AT470,1)</f>
        <v>0</v>
      </c>
      <c r="AX470">
        <f>IF(AND(AR470=1,ISNUMBER(AT470)),$AT470,1)</f>
        <v>0</v>
      </c>
      <c r="AY470">
        <f>IF(ISNUMBER(Y470),INDEX(AllCollegeMoney, MATCH(N470,AllCollegeNCES,0)),0)</f>
        <v>0</v>
      </c>
      <c r="AZ470">
        <f>IF(AND(AQ470=1,ISNUMBER(AT470),AY470=1),$AT470,1)</f>
        <v>0</v>
      </c>
      <c r="BA470">
        <f>IF(AND(AR470=1,ISNUMBER(AT470),AY470=1),$AT470,1)</f>
        <v>0</v>
      </c>
      <c r="BB470">
        <f>IF(ISNUMBER(Y470),INDEX(AllCollegeILPub, MATCH(N470,AllCollegeNCES,0)),0)</f>
        <v>0</v>
      </c>
      <c r="BC470">
        <f>IF(AK470=ReachLabel,AP470,0)</f>
        <v>0</v>
      </c>
      <c r="BD470">
        <f>IF(AK470=MatchLabel,AP470,0)</f>
        <v>0</v>
      </c>
      <c r="BE470">
        <f>IF(AK470=SafetyLabel,AP470,0)</f>
        <v>0</v>
      </c>
      <c r="BF470">
        <f>IF(AK470=SecureLabel,AP470,0)</f>
        <v>0</v>
      </c>
      <c r="BG470">
        <f>IF(AK470=SureThingLabel,AP470,0)</f>
        <v>0</v>
      </c>
      <c r="BH470">
        <f>MAX(BC470:BG470)</f>
        <v>0</v>
      </c>
      <c r="BI470">
        <f>MAX(BD470:BG470)</f>
        <v>0</v>
      </c>
      <c r="BJ470">
        <f>MAX(BE470:BG470)</f>
        <v>0</v>
      </c>
      <c r="BK470">
        <f>IF(AND(AK470=ReachLabel,AY470=1),AP470,0)</f>
        <v>0</v>
      </c>
      <c r="BL470">
        <f>IF(AND(AK470=MatchLabel,AY470=1),AP470,0)</f>
        <v>0</v>
      </c>
      <c r="BM470">
        <f>IF(AND(AK470=SafetyLabel,AY470=1),AP470,0)</f>
        <v>0</v>
      </c>
      <c r="BN470">
        <f>IF(AND(AK470=SecureLabel,AY470=1),AP470,0)</f>
        <v>0</v>
      </c>
      <c r="BO470">
        <f>IF(AND(AK470=SureThingLabel,AY470=1),AP470,0)</f>
        <v>0</v>
      </c>
      <c r="BP470">
        <f>MAX(BK470:BO470)</f>
        <v>0</v>
      </c>
      <c r="BQ470">
        <f>MAX(BL470:BO470)</f>
        <v>0</v>
      </c>
      <c r="BR470">
        <f>MAX(BM470:BO470)</f>
        <v>0</v>
      </c>
      <c r="BS470">
        <f>IF(ISNUMBER(Y470),INDEX(AllCollegeChicago, MATCH(N470,AllCollegeNCES,0))*AY470,0)</f>
        <v>0</v>
      </c>
      <c r="BT470">
        <f>IF(ISNUMBER(Y470),INDEX(AllCollegeMoneyCode, MATCH(N470,AllCollegeNCES,0)),"?")</f>
        <v>0</v>
      </c>
      <c r="BU470">
        <f>IF(OR(BT470="---",BT470="--",BT470="+/--",BT470="+/---"),1,0)</f>
        <v>0</v>
      </c>
      <c r="BV470">
        <f>AY470*AO470*AQ470</f>
        <v>0</v>
      </c>
    </row>
    <row r="471" spans="1:74">
      <c r="A471" t="s">
        <v>86</v>
      </c>
      <c r="B471">
        <v>23460954</v>
      </c>
      <c r="C471" t="s">
        <v>275</v>
      </c>
      <c r="D471" t="s">
        <v>276</v>
      </c>
      <c r="E471" t="s">
        <v>428</v>
      </c>
      <c r="F471" t="s">
        <v>466</v>
      </c>
      <c r="G471" t="s">
        <v>430</v>
      </c>
      <c r="H471" t="s">
        <v>431</v>
      </c>
      <c r="I471" t="s">
        <v>432</v>
      </c>
      <c r="J471" t="s">
        <v>432</v>
      </c>
      <c r="K471">
        <v>0</v>
      </c>
      <c r="L471" t="s">
        <v>428</v>
      </c>
      <c r="M471" t="s">
        <v>428</v>
      </c>
      <c r="N471">
        <v>213385</v>
      </c>
      <c r="O471">
        <f>INDEX(AllCollegeBarrons,MATCH(N471,AllCollegeNCES,0))</f>
        <v>0</v>
      </c>
      <c r="P471">
        <f>INDEX(KidGPAs,MATCH(B471,KidIDs,0))</f>
        <v>0</v>
      </c>
      <c r="Q471">
        <f>INDEX(KidACTs,MATCH(B471,KidIDs,0))</f>
        <v>0</v>
      </c>
      <c r="R471">
        <f>INDEX(Strats,MATCH(B471,KidIDs,0))</f>
        <v>0</v>
      </c>
      <c r="S471">
        <f>INDEX(KidRace,MATCH(B471,KidIDs,0))</f>
        <v>0</v>
      </c>
      <c r="T471">
        <f>IF(OR(S471="M",S471="I"),"H",S471)</f>
        <v>0</v>
      </c>
      <c r="U471">
        <f>INDEX(StudentTargets,MATCH(B471,KidIDs,0))</f>
        <v>0</v>
      </c>
      <c r="V471">
        <f>INDEX(ReachStudentTargets,MATCH(B471,KidIDs,0))</f>
        <v>0</v>
      </c>
      <c r="W471">
        <f>IF(OR(M471="Posse"),1,0)</f>
        <v>0</v>
      </c>
      <c r="X471">
        <f>IF(ISNUMBER(INDEX(AllCollegeGR, MATCH(N471,AllCollegeNCES,0))),ROUND(INDEX(AllCollegeGR, MATCH(N471,AllCollegeNCES,0))+W471*IF(INDEX(AllCollegeGR, MATCH(N471,AllCollegeNCES,0))&gt;0.7,(1-INDEX(AllCollegeGR, MATCH(N471,AllCollegeNCES,0)))/2,0.15),2),INDEX(AllCollegeGR, MATCH(N471,AllCollegeNCES,0)))</f>
        <v>0</v>
      </c>
      <c r="Y471">
        <f>IF(ISNUMBER(INDEX(AllCollegeAAHGR, MATCH(N471,AllCollegeNCES,0))),ROUND(INDEX(AllCollegeAAHGR, MATCH(N471,AllCollegeNCES,0))+W471*IF(INDEX(AllCollegeAAHGR, MATCH(N471,AllCollegeNCES,0))&gt;0.7,(1-INDEX(AllCollegeAAHGR, MATCH(N471,AllCollegeNCES,0)))/2,0.15),2),INDEX(AllCollegeAAHGR, MATCH(N471,AllCollegeNCES,0)))</f>
        <v>0</v>
      </c>
      <c r="Z471">
        <f>IF(OR(T471="H",T471="B"),INDEX(AllCollegeACT25, MATCH(N471,AllCollegeNCES,0)),INDEX(AllCollegeACT50, MATCH(N471,AllCollegeNCES,0)))</f>
        <v>0</v>
      </c>
      <c r="AA471">
        <f>INDEX(CustomWeightsGPA,MATCH(T471&amp;":"&amp;N471,CustomWeightsIndex,0))</f>
        <v>0</v>
      </c>
      <c r="AB471">
        <f>INDEX(CustomWeightsACT,MATCH(T471&amp;":"&amp;N471,CustomWeightsIndex,0))</f>
        <v>0</v>
      </c>
      <c r="AC471">
        <f>INDEX(CustomWeightsIntercept,MATCH(T471&amp;":"&amp;N471,CustomWeightsIndex,0))</f>
        <v>0</v>
      </c>
      <c r="AD471">
        <f>AA471*P471+AB471*Q471+AC471</f>
        <v>0</v>
      </c>
      <c r="AE471">
        <f>INDEX(CoefficientsGPA,MATCH(T471&amp;":"&amp;O471,CoefficientsIndex,0))</f>
        <v>0</v>
      </c>
      <c r="AF471">
        <f>INDEX(CoefficientsACT,MATCH(T471&amp;":"&amp;O471,CoefficientsIndex,0))</f>
        <v>0</v>
      </c>
      <c r="AG471">
        <f>INDEX(CoefficientsIntercept,MATCH(T471&amp;":"&amp;O471,CoefficientsIndex,0))</f>
        <v>0</v>
      </c>
      <c r="AH471">
        <f>AE471*P471+(Q471-Z471)*AF471+AG471</f>
        <v>0</v>
      </c>
      <c r="AI471">
        <f>IF(ISNUMBER(AD471),AD471,AH471)</f>
        <v>0</v>
      </c>
      <c r="AJ471">
        <f>IF(ISNUMBER(AI471),IF(ISNUMBER(AE471),IF(AND(AE471=1,AF471=1,AG471=1),100,ROUND(100*EXP(AI471)/(1+EXP(AI471)),2)),ROUND(100*EXP(AI471)/(1+EXP(AI471)),2)),IF(ISTEXT(O471),IF(LEFT(O471,1)="2",100,"N/A"),"N/A"))</f>
        <v>0</v>
      </c>
      <c r="AK471">
        <f>IF(ISNUMBER(AJ471),IF(AJ471&gt;=99,IF(OR(R471=10,R471=11),MatchLabel,SureThingLabel),IF(AJ471&gt;=95,SecureLabel,IF(AJ471&gt;=80,SafetyLabel,IF(AJ471&gt;=50,MatchLabel,IF(AJ471&gt;=20,ReachLabel,IF(AJ471&gt;=10,LongshotLabel,HailMaryLabel)))))),"Other")</f>
        <v>0</v>
      </c>
      <c r="AL471">
        <f>IF(OR(I471="accepted",I471="cond. accept",I471="summer admit"),IF(J471="yes","CHOICE!","Accepted!"),IF(I471="denied","Denied",IF(K471=1,"Waitlist",IF(L471=1,"Deferred",IF(G471="pending","Pending",IF(OR(G471="initial materials submitted",G471="mid-year submitted",G471="final submitted"),"Submitted",IF(H471="interest","Interest","?")))))))</f>
        <v>0</v>
      </c>
      <c r="AM471">
        <f>IF(OR(AK471=ReachLabel,AK471=LongshotLabel,AK471=HailMaryLabel),1,0)</f>
        <v>0</v>
      </c>
      <c r="AN471">
        <f>IF(OR(AM471=1,AK471=MatchLabel),1,0)</f>
        <v>0</v>
      </c>
      <c r="AO471">
        <f>IF(OR(AK471=MatchLabel,AK471=SafetyLabel,AK471=SecureLabel,AK471=SureThingLabel),1,0)</f>
        <v>0</v>
      </c>
      <c r="AP471">
        <f>IF(OR(T471="H",T471="B"),IF(ISNUMBER(Y471),ROUND(Y471,2),0),IF(ISNUMBER(X471),ROUND(X471,2),0))</f>
        <v>0</v>
      </c>
      <c r="AQ471">
        <f>IF(AP471&gt;=U471,1,0)</f>
        <v>0</v>
      </c>
      <c r="AR471">
        <f>IF(AP471&gt;=V471,1,0)</f>
        <v>0</v>
      </c>
      <c r="AS471">
        <f>IF(AP471&lt;(U471-0.10),1,0)</f>
        <v>0</v>
      </c>
      <c r="AT471">
        <f>1-AJ471/100</f>
        <v>0</v>
      </c>
      <c r="AU471">
        <f>IF(AN471=1,AT471,1)</f>
        <v>0</v>
      </c>
      <c r="AV471">
        <f>IF(AM471=1,AT471,1)</f>
        <v>0</v>
      </c>
      <c r="AW471">
        <f>IF(AND(AQ471=1,ISNUMBER(AT471)),$AT471,1)</f>
        <v>0</v>
      </c>
      <c r="AX471">
        <f>IF(AND(AR471=1,ISNUMBER(AT471)),$AT471,1)</f>
        <v>0</v>
      </c>
      <c r="AY471">
        <f>IF(ISNUMBER(Y471),INDEX(AllCollegeMoney, MATCH(N471,AllCollegeNCES,0)),0)</f>
        <v>0</v>
      </c>
      <c r="AZ471">
        <f>IF(AND(AQ471=1,ISNUMBER(AT471),AY471=1),$AT471,1)</f>
        <v>0</v>
      </c>
      <c r="BA471">
        <f>IF(AND(AR471=1,ISNUMBER(AT471),AY471=1),$AT471,1)</f>
        <v>0</v>
      </c>
      <c r="BB471">
        <f>IF(ISNUMBER(Y471),INDEX(AllCollegeILPub, MATCH(N471,AllCollegeNCES,0)),0)</f>
        <v>0</v>
      </c>
      <c r="BC471">
        <f>IF(AK471=ReachLabel,AP471,0)</f>
        <v>0</v>
      </c>
      <c r="BD471">
        <f>IF(AK471=MatchLabel,AP471,0)</f>
        <v>0</v>
      </c>
      <c r="BE471">
        <f>IF(AK471=SafetyLabel,AP471,0)</f>
        <v>0</v>
      </c>
      <c r="BF471">
        <f>IF(AK471=SecureLabel,AP471,0)</f>
        <v>0</v>
      </c>
      <c r="BG471">
        <f>IF(AK471=SureThingLabel,AP471,0)</f>
        <v>0</v>
      </c>
      <c r="BH471">
        <f>MAX(BC471:BG471)</f>
        <v>0</v>
      </c>
      <c r="BI471">
        <f>MAX(BD471:BG471)</f>
        <v>0</v>
      </c>
      <c r="BJ471">
        <f>MAX(BE471:BG471)</f>
        <v>0</v>
      </c>
      <c r="BK471">
        <f>IF(AND(AK471=ReachLabel,AY471=1),AP471,0)</f>
        <v>0</v>
      </c>
      <c r="BL471">
        <f>IF(AND(AK471=MatchLabel,AY471=1),AP471,0)</f>
        <v>0</v>
      </c>
      <c r="BM471">
        <f>IF(AND(AK471=SafetyLabel,AY471=1),AP471,0)</f>
        <v>0</v>
      </c>
      <c r="BN471">
        <f>IF(AND(AK471=SecureLabel,AY471=1),AP471,0)</f>
        <v>0</v>
      </c>
      <c r="BO471">
        <f>IF(AND(AK471=SureThingLabel,AY471=1),AP471,0)</f>
        <v>0</v>
      </c>
      <c r="BP471">
        <f>MAX(BK471:BO471)</f>
        <v>0</v>
      </c>
      <c r="BQ471">
        <f>MAX(BL471:BO471)</f>
        <v>0</v>
      </c>
      <c r="BR471">
        <f>MAX(BM471:BO471)</f>
        <v>0</v>
      </c>
      <c r="BS471">
        <f>IF(ISNUMBER(Y471),INDEX(AllCollegeChicago, MATCH(N471,AllCollegeNCES,0))*AY471,0)</f>
        <v>0</v>
      </c>
      <c r="BT471">
        <f>IF(ISNUMBER(Y471),INDEX(AllCollegeMoneyCode, MATCH(N471,AllCollegeNCES,0)),"?")</f>
        <v>0</v>
      </c>
      <c r="BU471">
        <f>IF(OR(BT471="---",BT471="--",BT471="+/--",BT471="+/---"),1,0)</f>
        <v>0</v>
      </c>
      <c r="BV471">
        <f>AY471*AO471*AQ471</f>
        <v>0</v>
      </c>
    </row>
    <row r="472" spans="1:74">
      <c r="A472" t="s">
        <v>86</v>
      </c>
      <c r="B472">
        <v>23460954</v>
      </c>
      <c r="C472" t="s">
        <v>275</v>
      </c>
      <c r="D472" t="s">
        <v>276</v>
      </c>
      <c r="E472" t="s">
        <v>428</v>
      </c>
      <c r="F472" t="s">
        <v>467</v>
      </c>
      <c r="G472" t="s">
        <v>430</v>
      </c>
      <c r="H472" t="s">
        <v>431</v>
      </c>
      <c r="I472" t="s">
        <v>432</v>
      </c>
      <c r="J472" t="s">
        <v>432</v>
      </c>
      <c r="K472">
        <v>0</v>
      </c>
      <c r="L472" t="s">
        <v>428</v>
      </c>
      <c r="M472" t="s">
        <v>428</v>
      </c>
      <c r="N472">
        <v>170976</v>
      </c>
      <c r="O472">
        <f>INDEX(AllCollegeBarrons,MATCH(N472,AllCollegeNCES,0))</f>
        <v>0</v>
      </c>
      <c r="P472">
        <f>INDEX(KidGPAs,MATCH(B472,KidIDs,0))</f>
        <v>0</v>
      </c>
      <c r="Q472">
        <f>INDEX(KidACTs,MATCH(B472,KidIDs,0))</f>
        <v>0</v>
      </c>
      <c r="R472">
        <f>INDEX(Strats,MATCH(B472,KidIDs,0))</f>
        <v>0</v>
      </c>
      <c r="S472">
        <f>INDEX(KidRace,MATCH(B472,KidIDs,0))</f>
        <v>0</v>
      </c>
      <c r="T472">
        <f>IF(OR(S472="M",S472="I"),"H",S472)</f>
        <v>0</v>
      </c>
      <c r="U472">
        <f>INDEX(StudentTargets,MATCH(B472,KidIDs,0))</f>
        <v>0</v>
      </c>
      <c r="V472">
        <f>INDEX(ReachStudentTargets,MATCH(B472,KidIDs,0))</f>
        <v>0</v>
      </c>
      <c r="W472">
        <f>IF(OR(M472="Posse"),1,0)</f>
        <v>0</v>
      </c>
      <c r="X472">
        <f>IF(ISNUMBER(INDEX(AllCollegeGR, MATCH(N472,AllCollegeNCES,0))),ROUND(INDEX(AllCollegeGR, MATCH(N472,AllCollegeNCES,0))+W472*IF(INDEX(AllCollegeGR, MATCH(N472,AllCollegeNCES,0))&gt;0.7,(1-INDEX(AllCollegeGR, MATCH(N472,AllCollegeNCES,0)))/2,0.15),2),INDEX(AllCollegeGR, MATCH(N472,AllCollegeNCES,0)))</f>
        <v>0</v>
      </c>
      <c r="Y472">
        <f>IF(ISNUMBER(INDEX(AllCollegeAAHGR, MATCH(N472,AllCollegeNCES,0))),ROUND(INDEX(AllCollegeAAHGR, MATCH(N472,AllCollegeNCES,0))+W472*IF(INDEX(AllCollegeAAHGR, MATCH(N472,AllCollegeNCES,0))&gt;0.7,(1-INDEX(AllCollegeAAHGR, MATCH(N472,AllCollegeNCES,0)))/2,0.15),2),INDEX(AllCollegeAAHGR, MATCH(N472,AllCollegeNCES,0)))</f>
        <v>0</v>
      </c>
      <c r="Z472">
        <f>IF(OR(T472="H",T472="B"),INDEX(AllCollegeACT25, MATCH(N472,AllCollegeNCES,0)),INDEX(AllCollegeACT50, MATCH(N472,AllCollegeNCES,0)))</f>
        <v>0</v>
      </c>
      <c r="AA472">
        <f>INDEX(CustomWeightsGPA,MATCH(T472&amp;":"&amp;N472,CustomWeightsIndex,0))</f>
        <v>0</v>
      </c>
      <c r="AB472">
        <f>INDEX(CustomWeightsACT,MATCH(T472&amp;":"&amp;N472,CustomWeightsIndex,0))</f>
        <v>0</v>
      </c>
      <c r="AC472">
        <f>INDEX(CustomWeightsIntercept,MATCH(T472&amp;":"&amp;N472,CustomWeightsIndex,0))</f>
        <v>0</v>
      </c>
      <c r="AD472">
        <f>AA472*P472+AB472*Q472+AC472</f>
        <v>0</v>
      </c>
      <c r="AE472">
        <f>INDEX(CoefficientsGPA,MATCH(T472&amp;":"&amp;O472,CoefficientsIndex,0))</f>
        <v>0</v>
      </c>
      <c r="AF472">
        <f>INDEX(CoefficientsACT,MATCH(T472&amp;":"&amp;O472,CoefficientsIndex,0))</f>
        <v>0</v>
      </c>
      <c r="AG472">
        <f>INDEX(CoefficientsIntercept,MATCH(T472&amp;":"&amp;O472,CoefficientsIndex,0))</f>
        <v>0</v>
      </c>
      <c r="AH472">
        <f>AE472*P472+(Q472-Z472)*AF472+AG472</f>
        <v>0</v>
      </c>
      <c r="AI472">
        <f>IF(ISNUMBER(AD472),AD472,AH472)</f>
        <v>0</v>
      </c>
      <c r="AJ472">
        <f>IF(ISNUMBER(AI472),IF(ISNUMBER(AE472),IF(AND(AE472=1,AF472=1,AG472=1),100,ROUND(100*EXP(AI472)/(1+EXP(AI472)),2)),ROUND(100*EXP(AI472)/(1+EXP(AI472)),2)),IF(ISTEXT(O472),IF(LEFT(O472,1)="2",100,"N/A"),"N/A"))</f>
        <v>0</v>
      </c>
      <c r="AK472">
        <f>IF(ISNUMBER(AJ472),IF(AJ472&gt;=99,IF(OR(R472=10,R472=11),MatchLabel,SureThingLabel),IF(AJ472&gt;=95,SecureLabel,IF(AJ472&gt;=80,SafetyLabel,IF(AJ472&gt;=50,MatchLabel,IF(AJ472&gt;=20,ReachLabel,IF(AJ472&gt;=10,LongshotLabel,HailMaryLabel)))))),"Other")</f>
        <v>0</v>
      </c>
      <c r="AL472">
        <f>IF(OR(I472="accepted",I472="cond. accept",I472="summer admit"),IF(J472="yes","CHOICE!","Accepted!"),IF(I472="denied","Denied",IF(K472=1,"Waitlist",IF(L472=1,"Deferred",IF(G472="pending","Pending",IF(OR(G472="initial materials submitted",G472="mid-year submitted",G472="final submitted"),"Submitted",IF(H472="interest","Interest","?")))))))</f>
        <v>0</v>
      </c>
      <c r="AM472">
        <f>IF(OR(AK472=ReachLabel,AK472=LongshotLabel,AK472=HailMaryLabel),1,0)</f>
        <v>0</v>
      </c>
      <c r="AN472">
        <f>IF(OR(AM472=1,AK472=MatchLabel),1,0)</f>
        <v>0</v>
      </c>
      <c r="AO472">
        <f>IF(OR(AK472=MatchLabel,AK472=SafetyLabel,AK472=SecureLabel,AK472=SureThingLabel),1,0)</f>
        <v>0</v>
      </c>
      <c r="AP472">
        <f>IF(OR(T472="H",T472="B"),IF(ISNUMBER(Y472),ROUND(Y472,2),0),IF(ISNUMBER(X472),ROUND(X472,2),0))</f>
        <v>0</v>
      </c>
      <c r="AQ472">
        <f>IF(AP472&gt;=U472,1,0)</f>
        <v>0</v>
      </c>
      <c r="AR472">
        <f>IF(AP472&gt;=V472,1,0)</f>
        <v>0</v>
      </c>
      <c r="AS472">
        <f>IF(AP472&lt;(U472-0.10),1,0)</f>
        <v>0</v>
      </c>
      <c r="AT472">
        <f>1-AJ472/100</f>
        <v>0</v>
      </c>
      <c r="AU472">
        <f>IF(AN472=1,AT472,1)</f>
        <v>0</v>
      </c>
      <c r="AV472">
        <f>IF(AM472=1,AT472,1)</f>
        <v>0</v>
      </c>
      <c r="AW472">
        <f>IF(AND(AQ472=1,ISNUMBER(AT472)),$AT472,1)</f>
        <v>0</v>
      </c>
      <c r="AX472">
        <f>IF(AND(AR472=1,ISNUMBER(AT472)),$AT472,1)</f>
        <v>0</v>
      </c>
      <c r="AY472">
        <f>IF(ISNUMBER(Y472),INDEX(AllCollegeMoney, MATCH(N472,AllCollegeNCES,0)),0)</f>
        <v>0</v>
      </c>
      <c r="AZ472">
        <f>IF(AND(AQ472=1,ISNUMBER(AT472),AY472=1),$AT472,1)</f>
        <v>0</v>
      </c>
      <c r="BA472">
        <f>IF(AND(AR472=1,ISNUMBER(AT472),AY472=1),$AT472,1)</f>
        <v>0</v>
      </c>
      <c r="BB472">
        <f>IF(ISNUMBER(Y472),INDEX(AllCollegeILPub, MATCH(N472,AllCollegeNCES,0)),0)</f>
        <v>0</v>
      </c>
      <c r="BC472">
        <f>IF(AK472=ReachLabel,AP472,0)</f>
        <v>0</v>
      </c>
      <c r="BD472">
        <f>IF(AK472=MatchLabel,AP472,0)</f>
        <v>0</v>
      </c>
      <c r="BE472">
        <f>IF(AK472=SafetyLabel,AP472,0)</f>
        <v>0</v>
      </c>
      <c r="BF472">
        <f>IF(AK472=SecureLabel,AP472,0)</f>
        <v>0</v>
      </c>
      <c r="BG472">
        <f>IF(AK472=SureThingLabel,AP472,0)</f>
        <v>0</v>
      </c>
      <c r="BH472">
        <f>MAX(BC472:BG472)</f>
        <v>0</v>
      </c>
      <c r="BI472">
        <f>MAX(BD472:BG472)</f>
        <v>0</v>
      </c>
      <c r="BJ472">
        <f>MAX(BE472:BG472)</f>
        <v>0</v>
      </c>
      <c r="BK472">
        <f>IF(AND(AK472=ReachLabel,AY472=1),AP472,0)</f>
        <v>0</v>
      </c>
      <c r="BL472">
        <f>IF(AND(AK472=MatchLabel,AY472=1),AP472,0)</f>
        <v>0</v>
      </c>
      <c r="BM472">
        <f>IF(AND(AK472=SafetyLabel,AY472=1),AP472,0)</f>
        <v>0</v>
      </c>
      <c r="BN472">
        <f>IF(AND(AK472=SecureLabel,AY472=1),AP472,0)</f>
        <v>0</v>
      </c>
      <c r="BO472">
        <f>IF(AND(AK472=SureThingLabel,AY472=1),AP472,0)</f>
        <v>0</v>
      </c>
      <c r="BP472">
        <f>MAX(BK472:BO472)</f>
        <v>0</v>
      </c>
      <c r="BQ472">
        <f>MAX(BL472:BO472)</f>
        <v>0</v>
      </c>
      <c r="BR472">
        <f>MAX(BM472:BO472)</f>
        <v>0</v>
      </c>
      <c r="BS472">
        <f>IF(ISNUMBER(Y472),INDEX(AllCollegeChicago, MATCH(N472,AllCollegeNCES,0))*AY472,0)</f>
        <v>0</v>
      </c>
      <c r="BT472">
        <f>IF(ISNUMBER(Y472),INDEX(AllCollegeMoneyCode, MATCH(N472,AllCollegeNCES,0)),"?")</f>
        <v>0</v>
      </c>
      <c r="BU472">
        <f>IF(OR(BT472="---",BT472="--",BT472="+/--",BT472="+/---"),1,0)</f>
        <v>0</v>
      </c>
      <c r="BV472">
        <f>AY472*AO472*AQ472</f>
        <v>0</v>
      </c>
    </row>
    <row r="473" spans="1:74">
      <c r="A473" t="s">
        <v>86</v>
      </c>
      <c r="B473">
        <v>23460954</v>
      </c>
      <c r="C473" t="s">
        <v>275</v>
      </c>
      <c r="D473" t="s">
        <v>276</v>
      </c>
      <c r="E473" t="s">
        <v>428</v>
      </c>
      <c r="F473" t="s">
        <v>541</v>
      </c>
      <c r="G473" t="s">
        <v>430</v>
      </c>
      <c r="H473" t="s">
        <v>431</v>
      </c>
      <c r="I473" t="s">
        <v>432</v>
      </c>
      <c r="J473" t="s">
        <v>432</v>
      </c>
      <c r="K473">
        <v>0</v>
      </c>
      <c r="L473" t="s">
        <v>428</v>
      </c>
      <c r="M473" t="s">
        <v>428</v>
      </c>
      <c r="N473">
        <v>204501</v>
      </c>
      <c r="O473">
        <f>INDEX(AllCollegeBarrons,MATCH(N473,AllCollegeNCES,0))</f>
        <v>0</v>
      </c>
      <c r="P473">
        <f>INDEX(KidGPAs,MATCH(B473,KidIDs,0))</f>
        <v>0</v>
      </c>
      <c r="Q473">
        <f>INDEX(KidACTs,MATCH(B473,KidIDs,0))</f>
        <v>0</v>
      </c>
      <c r="R473">
        <f>INDEX(Strats,MATCH(B473,KidIDs,0))</f>
        <v>0</v>
      </c>
      <c r="S473">
        <f>INDEX(KidRace,MATCH(B473,KidIDs,0))</f>
        <v>0</v>
      </c>
      <c r="T473">
        <f>IF(OR(S473="M",S473="I"),"H",S473)</f>
        <v>0</v>
      </c>
      <c r="U473">
        <f>INDEX(StudentTargets,MATCH(B473,KidIDs,0))</f>
        <v>0</v>
      </c>
      <c r="V473">
        <f>INDEX(ReachStudentTargets,MATCH(B473,KidIDs,0))</f>
        <v>0</v>
      </c>
      <c r="W473">
        <f>IF(OR(M473="Posse"),1,0)</f>
        <v>0</v>
      </c>
      <c r="X473">
        <f>IF(ISNUMBER(INDEX(AllCollegeGR, MATCH(N473,AllCollegeNCES,0))),ROUND(INDEX(AllCollegeGR, MATCH(N473,AllCollegeNCES,0))+W473*IF(INDEX(AllCollegeGR, MATCH(N473,AllCollegeNCES,0))&gt;0.7,(1-INDEX(AllCollegeGR, MATCH(N473,AllCollegeNCES,0)))/2,0.15),2),INDEX(AllCollegeGR, MATCH(N473,AllCollegeNCES,0)))</f>
        <v>0</v>
      </c>
      <c r="Y473">
        <f>IF(ISNUMBER(INDEX(AllCollegeAAHGR, MATCH(N473,AllCollegeNCES,0))),ROUND(INDEX(AllCollegeAAHGR, MATCH(N473,AllCollegeNCES,0))+W473*IF(INDEX(AllCollegeAAHGR, MATCH(N473,AllCollegeNCES,0))&gt;0.7,(1-INDEX(AllCollegeAAHGR, MATCH(N473,AllCollegeNCES,0)))/2,0.15),2),INDEX(AllCollegeAAHGR, MATCH(N473,AllCollegeNCES,0)))</f>
        <v>0</v>
      </c>
      <c r="Z473">
        <f>IF(OR(T473="H",T473="B"),INDEX(AllCollegeACT25, MATCH(N473,AllCollegeNCES,0)),INDEX(AllCollegeACT50, MATCH(N473,AllCollegeNCES,0)))</f>
        <v>0</v>
      </c>
      <c r="AA473">
        <f>INDEX(CustomWeightsGPA,MATCH(T473&amp;":"&amp;N473,CustomWeightsIndex,0))</f>
        <v>0</v>
      </c>
      <c r="AB473">
        <f>INDEX(CustomWeightsACT,MATCH(T473&amp;":"&amp;N473,CustomWeightsIndex,0))</f>
        <v>0</v>
      </c>
      <c r="AC473">
        <f>INDEX(CustomWeightsIntercept,MATCH(T473&amp;":"&amp;N473,CustomWeightsIndex,0))</f>
        <v>0</v>
      </c>
      <c r="AD473">
        <f>AA473*P473+AB473*Q473+AC473</f>
        <v>0</v>
      </c>
      <c r="AE473">
        <f>INDEX(CoefficientsGPA,MATCH(T473&amp;":"&amp;O473,CoefficientsIndex,0))</f>
        <v>0</v>
      </c>
      <c r="AF473">
        <f>INDEX(CoefficientsACT,MATCH(T473&amp;":"&amp;O473,CoefficientsIndex,0))</f>
        <v>0</v>
      </c>
      <c r="AG473">
        <f>INDEX(CoefficientsIntercept,MATCH(T473&amp;":"&amp;O473,CoefficientsIndex,0))</f>
        <v>0</v>
      </c>
      <c r="AH473">
        <f>AE473*P473+(Q473-Z473)*AF473+AG473</f>
        <v>0</v>
      </c>
      <c r="AI473">
        <f>IF(ISNUMBER(AD473),AD473,AH473)</f>
        <v>0</v>
      </c>
      <c r="AJ473">
        <f>IF(ISNUMBER(AI473),IF(ISNUMBER(AE473),IF(AND(AE473=1,AF473=1,AG473=1),100,ROUND(100*EXP(AI473)/(1+EXP(AI473)),2)),ROUND(100*EXP(AI473)/(1+EXP(AI473)),2)),IF(ISTEXT(O473),IF(LEFT(O473,1)="2",100,"N/A"),"N/A"))</f>
        <v>0</v>
      </c>
      <c r="AK473">
        <f>IF(ISNUMBER(AJ473),IF(AJ473&gt;=99,IF(OR(R473=10,R473=11),MatchLabel,SureThingLabel),IF(AJ473&gt;=95,SecureLabel,IF(AJ473&gt;=80,SafetyLabel,IF(AJ473&gt;=50,MatchLabel,IF(AJ473&gt;=20,ReachLabel,IF(AJ473&gt;=10,LongshotLabel,HailMaryLabel)))))),"Other")</f>
        <v>0</v>
      </c>
      <c r="AL473">
        <f>IF(OR(I473="accepted",I473="cond. accept",I473="summer admit"),IF(J473="yes","CHOICE!","Accepted!"),IF(I473="denied","Denied",IF(K473=1,"Waitlist",IF(L473=1,"Deferred",IF(G473="pending","Pending",IF(OR(G473="initial materials submitted",G473="mid-year submitted",G473="final submitted"),"Submitted",IF(H473="interest","Interest","?")))))))</f>
        <v>0</v>
      </c>
      <c r="AM473">
        <f>IF(OR(AK473=ReachLabel,AK473=LongshotLabel,AK473=HailMaryLabel),1,0)</f>
        <v>0</v>
      </c>
      <c r="AN473">
        <f>IF(OR(AM473=1,AK473=MatchLabel),1,0)</f>
        <v>0</v>
      </c>
      <c r="AO473">
        <f>IF(OR(AK473=MatchLabel,AK473=SafetyLabel,AK473=SecureLabel,AK473=SureThingLabel),1,0)</f>
        <v>0</v>
      </c>
      <c r="AP473">
        <f>IF(OR(T473="H",T473="B"),IF(ISNUMBER(Y473),ROUND(Y473,2),0),IF(ISNUMBER(X473),ROUND(X473,2),0))</f>
        <v>0</v>
      </c>
      <c r="AQ473">
        <f>IF(AP473&gt;=U473,1,0)</f>
        <v>0</v>
      </c>
      <c r="AR473">
        <f>IF(AP473&gt;=V473,1,0)</f>
        <v>0</v>
      </c>
      <c r="AS473">
        <f>IF(AP473&lt;(U473-0.10),1,0)</f>
        <v>0</v>
      </c>
      <c r="AT473">
        <f>1-AJ473/100</f>
        <v>0</v>
      </c>
      <c r="AU473">
        <f>IF(AN473=1,AT473,1)</f>
        <v>0</v>
      </c>
      <c r="AV473">
        <f>IF(AM473=1,AT473,1)</f>
        <v>0</v>
      </c>
      <c r="AW473">
        <f>IF(AND(AQ473=1,ISNUMBER(AT473)),$AT473,1)</f>
        <v>0</v>
      </c>
      <c r="AX473">
        <f>IF(AND(AR473=1,ISNUMBER(AT473)),$AT473,1)</f>
        <v>0</v>
      </c>
      <c r="AY473">
        <f>IF(ISNUMBER(Y473),INDEX(AllCollegeMoney, MATCH(N473,AllCollegeNCES,0)),0)</f>
        <v>0</v>
      </c>
      <c r="AZ473">
        <f>IF(AND(AQ473=1,ISNUMBER(AT473),AY473=1),$AT473,1)</f>
        <v>0</v>
      </c>
      <c r="BA473">
        <f>IF(AND(AR473=1,ISNUMBER(AT473),AY473=1),$AT473,1)</f>
        <v>0</v>
      </c>
      <c r="BB473">
        <f>IF(ISNUMBER(Y473),INDEX(AllCollegeILPub, MATCH(N473,AllCollegeNCES,0)),0)</f>
        <v>0</v>
      </c>
      <c r="BC473">
        <f>IF(AK473=ReachLabel,AP473,0)</f>
        <v>0</v>
      </c>
      <c r="BD473">
        <f>IF(AK473=MatchLabel,AP473,0)</f>
        <v>0</v>
      </c>
      <c r="BE473">
        <f>IF(AK473=SafetyLabel,AP473,0)</f>
        <v>0</v>
      </c>
      <c r="BF473">
        <f>IF(AK473=SecureLabel,AP473,0)</f>
        <v>0</v>
      </c>
      <c r="BG473">
        <f>IF(AK473=SureThingLabel,AP473,0)</f>
        <v>0</v>
      </c>
      <c r="BH473">
        <f>MAX(BC473:BG473)</f>
        <v>0</v>
      </c>
      <c r="BI473">
        <f>MAX(BD473:BG473)</f>
        <v>0</v>
      </c>
      <c r="BJ473">
        <f>MAX(BE473:BG473)</f>
        <v>0</v>
      </c>
      <c r="BK473">
        <f>IF(AND(AK473=ReachLabel,AY473=1),AP473,0)</f>
        <v>0</v>
      </c>
      <c r="BL473">
        <f>IF(AND(AK473=MatchLabel,AY473=1),AP473,0)</f>
        <v>0</v>
      </c>
      <c r="BM473">
        <f>IF(AND(AK473=SafetyLabel,AY473=1),AP473,0)</f>
        <v>0</v>
      </c>
      <c r="BN473">
        <f>IF(AND(AK473=SecureLabel,AY473=1),AP473,0)</f>
        <v>0</v>
      </c>
      <c r="BO473">
        <f>IF(AND(AK473=SureThingLabel,AY473=1),AP473,0)</f>
        <v>0</v>
      </c>
      <c r="BP473">
        <f>MAX(BK473:BO473)</f>
        <v>0</v>
      </c>
      <c r="BQ473">
        <f>MAX(BL473:BO473)</f>
        <v>0</v>
      </c>
      <c r="BR473">
        <f>MAX(BM473:BO473)</f>
        <v>0</v>
      </c>
      <c r="BS473">
        <f>IF(ISNUMBER(Y473),INDEX(AllCollegeChicago, MATCH(N473,AllCollegeNCES,0))*AY473,0)</f>
        <v>0</v>
      </c>
      <c r="BT473">
        <f>IF(ISNUMBER(Y473),INDEX(AllCollegeMoneyCode, MATCH(N473,AllCollegeNCES,0)),"?")</f>
        <v>0</v>
      </c>
      <c r="BU473">
        <f>IF(OR(BT473="---",BT473="--",BT473="+/--",BT473="+/---"),1,0)</f>
        <v>0</v>
      </c>
      <c r="BV473">
        <f>AY473*AO473*AQ473</f>
        <v>0</v>
      </c>
    </row>
    <row r="474" spans="1:74">
      <c r="A474" t="s">
        <v>86</v>
      </c>
      <c r="B474">
        <v>23460954</v>
      </c>
      <c r="C474" t="s">
        <v>275</v>
      </c>
      <c r="D474" t="s">
        <v>276</v>
      </c>
      <c r="E474" t="s">
        <v>428</v>
      </c>
      <c r="F474" t="s">
        <v>455</v>
      </c>
      <c r="G474" t="s">
        <v>430</v>
      </c>
      <c r="H474" t="s">
        <v>431</v>
      </c>
      <c r="I474" t="s">
        <v>432</v>
      </c>
      <c r="J474" t="s">
        <v>432</v>
      </c>
      <c r="K474">
        <v>0</v>
      </c>
      <c r="L474" t="s">
        <v>428</v>
      </c>
      <c r="M474" t="s">
        <v>428</v>
      </c>
      <c r="N474">
        <v>240444</v>
      </c>
      <c r="O474">
        <f>INDEX(AllCollegeBarrons,MATCH(N474,AllCollegeNCES,0))</f>
        <v>0</v>
      </c>
      <c r="P474">
        <f>INDEX(KidGPAs,MATCH(B474,KidIDs,0))</f>
        <v>0</v>
      </c>
      <c r="Q474">
        <f>INDEX(KidACTs,MATCH(B474,KidIDs,0))</f>
        <v>0</v>
      </c>
      <c r="R474">
        <f>INDEX(Strats,MATCH(B474,KidIDs,0))</f>
        <v>0</v>
      </c>
      <c r="S474">
        <f>INDEX(KidRace,MATCH(B474,KidIDs,0))</f>
        <v>0</v>
      </c>
      <c r="T474">
        <f>IF(OR(S474="M",S474="I"),"H",S474)</f>
        <v>0</v>
      </c>
      <c r="U474">
        <f>INDEX(StudentTargets,MATCH(B474,KidIDs,0))</f>
        <v>0</v>
      </c>
      <c r="V474">
        <f>INDEX(ReachStudentTargets,MATCH(B474,KidIDs,0))</f>
        <v>0</v>
      </c>
      <c r="W474">
        <f>IF(OR(M474="Posse"),1,0)</f>
        <v>0</v>
      </c>
      <c r="X474">
        <f>IF(ISNUMBER(INDEX(AllCollegeGR, MATCH(N474,AllCollegeNCES,0))),ROUND(INDEX(AllCollegeGR, MATCH(N474,AllCollegeNCES,0))+W474*IF(INDEX(AllCollegeGR, MATCH(N474,AllCollegeNCES,0))&gt;0.7,(1-INDEX(AllCollegeGR, MATCH(N474,AllCollegeNCES,0)))/2,0.15),2),INDEX(AllCollegeGR, MATCH(N474,AllCollegeNCES,0)))</f>
        <v>0</v>
      </c>
      <c r="Y474">
        <f>IF(ISNUMBER(INDEX(AllCollegeAAHGR, MATCH(N474,AllCollegeNCES,0))),ROUND(INDEX(AllCollegeAAHGR, MATCH(N474,AllCollegeNCES,0))+W474*IF(INDEX(AllCollegeAAHGR, MATCH(N474,AllCollegeNCES,0))&gt;0.7,(1-INDEX(AllCollegeAAHGR, MATCH(N474,AllCollegeNCES,0)))/2,0.15),2),INDEX(AllCollegeAAHGR, MATCH(N474,AllCollegeNCES,0)))</f>
        <v>0</v>
      </c>
      <c r="Z474">
        <f>IF(OR(T474="H",T474="B"),INDEX(AllCollegeACT25, MATCH(N474,AllCollegeNCES,0)),INDEX(AllCollegeACT50, MATCH(N474,AllCollegeNCES,0)))</f>
        <v>0</v>
      </c>
      <c r="AA474">
        <f>INDEX(CustomWeightsGPA,MATCH(T474&amp;":"&amp;N474,CustomWeightsIndex,0))</f>
        <v>0</v>
      </c>
      <c r="AB474">
        <f>INDEX(CustomWeightsACT,MATCH(T474&amp;":"&amp;N474,CustomWeightsIndex,0))</f>
        <v>0</v>
      </c>
      <c r="AC474">
        <f>INDEX(CustomWeightsIntercept,MATCH(T474&amp;":"&amp;N474,CustomWeightsIndex,0))</f>
        <v>0</v>
      </c>
      <c r="AD474">
        <f>AA474*P474+AB474*Q474+AC474</f>
        <v>0</v>
      </c>
      <c r="AE474">
        <f>INDEX(CoefficientsGPA,MATCH(T474&amp;":"&amp;O474,CoefficientsIndex,0))</f>
        <v>0</v>
      </c>
      <c r="AF474">
        <f>INDEX(CoefficientsACT,MATCH(T474&amp;":"&amp;O474,CoefficientsIndex,0))</f>
        <v>0</v>
      </c>
      <c r="AG474">
        <f>INDEX(CoefficientsIntercept,MATCH(T474&amp;":"&amp;O474,CoefficientsIndex,0))</f>
        <v>0</v>
      </c>
      <c r="AH474">
        <f>AE474*P474+(Q474-Z474)*AF474+AG474</f>
        <v>0</v>
      </c>
      <c r="AI474">
        <f>IF(ISNUMBER(AD474),AD474,AH474)</f>
        <v>0</v>
      </c>
      <c r="AJ474">
        <f>IF(ISNUMBER(AI474),IF(ISNUMBER(AE474),IF(AND(AE474=1,AF474=1,AG474=1),100,ROUND(100*EXP(AI474)/(1+EXP(AI474)),2)),ROUND(100*EXP(AI474)/(1+EXP(AI474)),2)),IF(ISTEXT(O474),IF(LEFT(O474,1)="2",100,"N/A"),"N/A"))</f>
        <v>0</v>
      </c>
      <c r="AK474">
        <f>IF(ISNUMBER(AJ474),IF(AJ474&gt;=99,IF(OR(R474=10,R474=11),MatchLabel,SureThingLabel),IF(AJ474&gt;=95,SecureLabel,IF(AJ474&gt;=80,SafetyLabel,IF(AJ474&gt;=50,MatchLabel,IF(AJ474&gt;=20,ReachLabel,IF(AJ474&gt;=10,LongshotLabel,HailMaryLabel)))))),"Other")</f>
        <v>0</v>
      </c>
      <c r="AL474">
        <f>IF(OR(I474="accepted",I474="cond. accept",I474="summer admit"),IF(J474="yes","CHOICE!","Accepted!"),IF(I474="denied","Denied",IF(K474=1,"Waitlist",IF(L474=1,"Deferred",IF(G474="pending","Pending",IF(OR(G474="initial materials submitted",G474="mid-year submitted",G474="final submitted"),"Submitted",IF(H474="interest","Interest","?")))))))</f>
        <v>0</v>
      </c>
      <c r="AM474">
        <f>IF(OR(AK474=ReachLabel,AK474=LongshotLabel,AK474=HailMaryLabel),1,0)</f>
        <v>0</v>
      </c>
      <c r="AN474">
        <f>IF(OR(AM474=1,AK474=MatchLabel),1,0)</f>
        <v>0</v>
      </c>
      <c r="AO474">
        <f>IF(OR(AK474=MatchLabel,AK474=SafetyLabel,AK474=SecureLabel,AK474=SureThingLabel),1,0)</f>
        <v>0</v>
      </c>
      <c r="AP474">
        <f>IF(OR(T474="H",T474="B"),IF(ISNUMBER(Y474),ROUND(Y474,2),0),IF(ISNUMBER(X474),ROUND(X474,2),0))</f>
        <v>0</v>
      </c>
      <c r="AQ474">
        <f>IF(AP474&gt;=U474,1,0)</f>
        <v>0</v>
      </c>
      <c r="AR474">
        <f>IF(AP474&gt;=V474,1,0)</f>
        <v>0</v>
      </c>
      <c r="AS474">
        <f>IF(AP474&lt;(U474-0.10),1,0)</f>
        <v>0</v>
      </c>
      <c r="AT474">
        <f>1-AJ474/100</f>
        <v>0</v>
      </c>
      <c r="AU474">
        <f>IF(AN474=1,AT474,1)</f>
        <v>0</v>
      </c>
      <c r="AV474">
        <f>IF(AM474=1,AT474,1)</f>
        <v>0</v>
      </c>
      <c r="AW474">
        <f>IF(AND(AQ474=1,ISNUMBER(AT474)),$AT474,1)</f>
        <v>0</v>
      </c>
      <c r="AX474">
        <f>IF(AND(AR474=1,ISNUMBER(AT474)),$AT474,1)</f>
        <v>0</v>
      </c>
      <c r="AY474">
        <f>IF(ISNUMBER(Y474),INDEX(AllCollegeMoney, MATCH(N474,AllCollegeNCES,0)),0)</f>
        <v>0</v>
      </c>
      <c r="AZ474">
        <f>IF(AND(AQ474=1,ISNUMBER(AT474),AY474=1),$AT474,1)</f>
        <v>0</v>
      </c>
      <c r="BA474">
        <f>IF(AND(AR474=1,ISNUMBER(AT474),AY474=1),$AT474,1)</f>
        <v>0</v>
      </c>
      <c r="BB474">
        <f>IF(ISNUMBER(Y474),INDEX(AllCollegeILPub, MATCH(N474,AllCollegeNCES,0)),0)</f>
        <v>0</v>
      </c>
      <c r="BC474">
        <f>IF(AK474=ReachLabel,AP474,0)</f>
        <v>0</v>
      </c>
      <c r="BD474">
        <f>IF(AK474=MatchLabel,AP474,0)</f>
        <v>0</v>
      </c>
      <c r="BE474">
        <f>IF(AK474=SafetyLabel,AP474,0)</f>
        <v>0</v>
      </c>
      <c r="BF474">
        <f>IF(AK474=SecureLabel,AP474,0)</f>
        <v>0</v>
      </c>
      <c r="BG474">
        <f>IF(AK474=SureThingLabel,AP474,0)</f>
        <v>0</v>
      </c>
      <c r="BH474">
        <f>MAX(BC474:BG474)</f>
        <v>0</v>
      </c>
      <c r="BI474">
        <f>MAX(BD474:BG474)</f>
        <v>0</v>
      </c>
      <c r="BJ474">
        <f>MAX(BE474:BG474)</f>
        <v>0</v>
      </c>
      <c r="BK474">
        <f>IF(AND(AK474=ReachLabel,AY474=1),AP474,0)</f>
        <v>0</v>
      </c>
      <c r="BL474">
        <f>IF(AND(AK474=MatchLabel,AY474=1),AP474,0)</f>
        <v>0</v>
      </c>
      <c r="BM474">
        <f>IF(AND(AK474=SafetyLabel,AY474=1),AP474,0)</f>
        <v>0</v>
      </c>
      <c r="BN474">
        <f>IF(AND(AK474=SecureLabel,AY474=1),AP474,0)</f>
        <v>0</v>
      </c>
      <c r="BO474">
        <f>IF(AND(AK474=SureThingLabel,AY474=1),AP474,0)</f>
        <v>0</v>
      </c>
      <c r="BP474">
        <f>MAX(BK474:BO474)</f>
        <v>0</v>
      </c>
      <c r="BQ474">
        <f>MAX(BL474:BO474)</f>
        <v>0</v>
      </c>
      <c r="BR474">
        <f>MAX(BM474:BO474)</f>
        <v>0</v>
      </c>
      <c r="BS474">
        <f>IF(ISNUMBER(Y474),INDEX(AllCollegeChicago, MATCH(N474,AllCollegeNCES,0))*AY474,0)</f>
        <v>0</v>
      </c>
      <c r="BT474">
        <f>IF(ISNUMBER(Y474),INDEX(AllCollegeMoneyCode, MATCH(N474,AllCollegeNCES,0)),"?")</f>
        <v>0</v>
      </c>
      <c r="BU474">
        <f>IF(OR(BT474="---",BT474="--",BT474="+/--",BT474="+/---"),1,0)</f>
        <v>0</v>
      </c>
      <c r="BV474">
        <f>AY474*AO474*AQ474</f>
        <v>0</v>
      </c>
    </row>
    <row r="475" spans="1:74">
      <c r="A475" t="s">
        <v>86</v>
      </c>
      <c r="B475">
        <v>23460954</v>
      </c>
      <c r="C475" t="s">
        <v>275</v>
      </c>
      <c r="D475" t="s">
        <v>276</v>
      </c>
      <c r="E475" t="s">
        <v>428</v>
      </c>
      <c r="F475" t="s">
        <v>469</v>
      </c>
      <c r="G475" t="s">
        <v>430</v>
      </c>
      <c r="H475" t="s">
        <v>431</v>
      </c>
      <c r="I475" t="s">
        <v>432</v>
      </c>
      <c r="J475" t="s">
        <v>432</v>
      </c>
      <c r="K475">
        <v>0</v>
      </c>
      <c r="L475" t="s">
        <v>428</v>
      </c>
      <c r="M475" t="s">
        <v>428</v>
      </c>
      <c r="N475">
        <v>174844</v>
      </c>
      <c r="O475">
        <f>INDEX(AllCollegeBarrons,MATCH(N475,AllCollegeNCES,0))</f>
        <v>0</v>
      </c>
      <c r="P475">
        <f>INDEX(KidGPAs,MATCH(B475,KidIDs,0))</f>
        <v>0</v>
      </c>
      <c r="Q475">
        <f>INDEX(KidACTs,MATCH(B475,KidIDs,0))</f>
        <v>0</v>
      </c>
      <c r="R475">
        <f>INDEX(Strats,MATCH(B475,KidIDs,0))</f>
        <v>0</v>
      </c>
      <c r="S475">
        <f>INDEX(KidRace,MATCH(B475,KidIDs,0))</f>
        <v>0</v>
      </c>
      <c r="T475">
        <f>IF(OR(S475="M",S475="I"),"H",S475)</f>
        <v>0</v>
      </c>
      <c r="U475">
        <f>INDEX(StudentTargets,MATCH(B475,KidIDs,0))</f>
        <v>0</v>
      </c>
      <c r="V475">
        <f>INDEX(ReachStudentTargets,MATCH(B475,KidIDs,0))</f>
        <v>0</v>
      </c>
      <c r="W475">
        <f>IF(OR(M475="Posse"),1,0)</f>
        <v>0</v>
      </c>
      <c r="X475">
        <f>IF(ISNUMBER(INDEX(AllCollegeGR, MATCH(N475,AllCollegeNCES,0))),ROUND(INDEX(AllCollegeGR, MATCH(N475,AllCollegeNCES,0))+W475*IF(INDEX(AllCollegeGR, MATCH(N475,AllCollegeNCES,0))&gt;0.7,(1-INDEX(AllCollegeGR, MATCH(N475,AllCollegeNCES,0)))/2,0.15),2),INDEX(AllCollegeGR, MATCH(N475,AllCollegeNCES,0)))</f>
        <v>0</v>
      </c>
      <c r="Y475">
        <f>IF(ISNUMBER(INDEX(AllCollegeAAHGR, MATCH(N475,AllCollegeNCES,0))),ROUND(INDEX(AllCollegeAAHGR, MATCH(N475,AllCollegeNCES,0))+W475*IF(INDEX(AllCollegeAAHGR, MATCH(N475,AllCollegeNCES,0))&gt;0.7,(1-INDEX(AllCollegeAAHGR, MATCH(N475,AllCollegeNCES,0)))/2,0.15),2),INDEX(AllCollegeAAHGR, MATCH(N475,AllCollegeNCES,0)))</f>
        <v>0</v>
      </c>
      <c r="Z475">
        <f>IF(OR(T475="H",T475="B"),INDEX(AllCollegeACT25, MATCH(N475,AllCollegeNCES,0)),INDEX(AllCollegeACT50, MATCH(N475,AllCollegeNCES,0)))</f>
        <v>0</v>
      </c>
      <c r="AA475">
        <f>INDEX(CustomWeightsGPA,MATCH(T475&amp;":"&amp;N475,CustomWeightsIndex,0))</f>
        <v>0</v>
      </c>
      <c r="AB475">
        <f>INDEX(CustomWeightsACT,MATCH(T475&amp;":"&amp;N475,CustomWeightsIndex,0))</f>
        <v>0</v>
      </c>
      <c r="AC475">
        <f>INDEX(CustomWeightsIntercept,MATCH(T475&amp;":"&amp;N475,CustomWeightsIndex,0))</f>
        <v>0</v>
      </c>
      <c r="AD475">
        <f>AA475*P475+AB475*Q475+AC475</f>
        <v>0</v>
      </c>
      <c r="AE475">
        <f>INDEX(CoefficientsGPA,MATCH(T475&amp;":"&amp;O475,CoefficientsIndex,0))</f>
        <v>0</v>
      </c>
      <c r="AF475">
        <f>INDEX(CoefficientsACT,MATCH(T475&amp;":"&amp;O475,CoefficientsIndex,0))</f>
        <v>0</v>
      </c>
      <c r="AG475">
        <f>INDEX(CoefficientsIntercept,MATCH(T475&amp;":"&amp;O475,CoefficientsIndex,0))</f>
        <v>0</v>
      </c>
      <c r="AH475">
        <f>AE475*P475+(Q475-Z475)*AF475+AG475</f>
        <v>0</v>
      </c>
      <c r="AI475">
        <f>IF(ISNUMBER(AD475),AD475,AH475)</f>
        <v>0</v>
      </c>
      <c r="AJ475">
        <f>IF(ISNUMBER(AI475),IF(ISNUMBER(AE475),IF(AND(AE475=1,AF475=1,AG475=1),100,ROUND(100*EXP(AI475)/(1+EXP(AI475)),2)),ROUND(100*EXP(AI475)/(1+EXP(AI475)),2)),IF(ISTEXT(O475),IF(LEFT(O475,1)="2",100,"N/A"),"N/A"))</f>
        <v>0</v>
      </c>
      <c r="AK475">
        <f>IF(ISNUMBER(AJ475),IF(AJ475&gt;=99,IF(OR(R475=10,R475=11),MatchLabel,SureThingLabel),IF(AJ475&gt;=95,SecureLabel,IF(AJ475&gt;=80,SafetyLabel,IF(AJ475&gt;=50,MatchLabel,IF(AJ475&gt;=20,ReachLabel,IF(AJ475&gt;=10,LongshotLabel,HailMaryLabel)))))),"Other")</f>
        <v>0</v>
      </c>
      <c r="AL475">
        <f>IF(OR(I475="accepted",I475="cond. accept",I475="summer admit"),IF(J475="yes","CHOICE!","Accepted!"),IF(I475="denied","Denied",IF(K475=1,"Waitlist",IF(L475=1,"Deferred",IF(G475="pending","Pending",IF(OR(G475="initial materials submitted",G475="mid-year submitted",G475="final submitted"),"Submitted",IF(H475="interest","Interest","?")))))))</f>
        <v>0</v>
      </c>
      <c r="AM475">
        <f>IF(OR(AK475=ReachLabel,AK475=LongshotLabel,AK475=HailMaryLabel),1,0)</f>
        <v>0</v>
      </c>
      <c r="AN475">
        <f>IF(OR(AM475=1,AK475=MatchLabel),1,0)</f>
        <v>0</v>
      </c>
      <c r="AO475">
        <f>IF(OR(AK475=MatchLabel,AK475=SafetyLabel,AK475=SecureLabel,AK475=SureThingLabel),1,0)</f>
        <v>0</v>
      </c>
      <c r="AP475">
        <f>IF(OR(T475="H",T475="B"),IF(ISNUMBER(Y475),ROUND(Y475,2),0),IF(ISNUMBER(X475),ROUND(X475,2),0))</f>
        <v>0</v>
      </c>
      <c r="AQ475">
        <f>IF(AP475&gt;=U475,1,0)</f>
        <v>0</v>
      </c>
      <c r="AR475">
        <f>IF(AP475&gt;=V475,1,0)</f>
        <v>0</v>
      </c>
      <c r="AS475">
        <f>IF(AP475&lt;(U475-0.10),1,0)</f>
        <v>0</v>
      </c>
      <c r="AT475">
        <f>1-AJ475/100</f>
        <v>0</v>
      </c>
      <c r="AU475">
        <f>IF(AN475=1,AT475,1)</f>
        <v>0</v>
      </c>
      <c r="AV475">
        <f>IF(AM475=1,AT475,1)</f>
        <v>0</v>
      </c>
      <c r="AW475">
        <f>IF(AND(AQ475=1,ISNUMBER(AT475)),$AT475,1)</f>
        <v>0</v>
      </c>
      <c r="AX475">
        <f>IF(AND(AR475=1,ISNUMBER(AT475)),$AT475,1)</f>
        <v>0</v>
      </c>
      <c r="AY475">
        <f>IF(ISNUMBER(Y475),INDEX(AllCollegeMoney, MATCH(N475,AllCollegeNCES,0)),0)</f>
        <v>0</v>
      </c>
      <c r="AZ475">
        <f>IF(AND(AQ475=1,ISNUMBER(AT475),AY475=1),$AT475,1)</f>
        <v>0</v>
      </c>
      <c r="BA475">
        <f>IF(AND(AR475=1,ISNUMBER(AT475),AY475=1),$AT475,1)</f>
        <v>0</v>
      </c>
      <c r="BB475">
        <f>IF(ISNUMBER(Y475),INDEX(AllCollegeILPub, MATCH(N475,AllCollegeNCES,0)),0)</f>
        <v>0</v>
      </c>
      <c r="BC475">
        <f>IF(AK475=ReachLabel,AP475,0)</f>
        <v>0</v>
      </c>
      <c r="BD475">
        <f>IF(AK475=MatchLabel,AP475,0)</f>
        <v>0</v>
      </c>
      <c r="BE475">
        <f>IF(AK475=SafetyLabel,AP475,0)</f>
        <v>0</v>
      </c>
      <c r="BF475">
        <f>IF(AK475=SecureLabel,AP475,0)</f>
        <v>0</v>
      </c>
      <c r="BG475">
        <f>IF(AK475=SureThingLabel,AP475,0)</f>
        <v>0</v>
      </c>
      <c r="BH475">
        <f>MAX(BC475:BG475)</f>
        <v>0</v>
      </c>
      <c r="BI475">
        <f>MAX(BD475:BG475)</f>
        <v>0</v>
      </c>
      <c r="BJ475">
        <f>MAX(BE475:BG475)</f>
        <v>0</v>
      </c>
      <c r="BK475">
        <f>IF(AND(AK475=ReachLabel,AY475=1),AP475,0)</f>
        <v>0</v>
      </c>
      <c r="BL475">
        <f>IF(AND(AK475=MatchLabel,AY475=1),AP475,0)</f>
        <v>0</v>
      </c>
      <c r="BM475">
        <f>IF(AND(AK475=SafetyLabel,AY475=1),AP475,0)</f>
        <v>0</v>
      </c>
      <c r="BN475">
        <f>IF(AND(AK475=SecureLabel,AY475=1),AP475,0)</f>
        <v>0</v>
      </c>
      <c r="BO475">
        <f>IF(AND(AK475=SureThingLabel,AY475=1),AP475,0)</f>
        <v>0</v>
      </c>
      <c r="BP475">
        <f>MAX(BK475:BO475)</f>
        <v>0</v>
      </c>
      <c r="BQ475">
        <f>MAX(BL475:BO475)</f>
        <v>0</v>
      </c>
      <c r="BR475">
        <f>MAX(BM475:BO475)</f>
        <v>0</v>
      </c>
      <c r="BS475">
        <f>IF(ISNUMBER(Y475),INDEX(AllCollegeChicago, MATCH(N475,AllCollegeNCES,0))*AY475,0)</f>
        <v>0</v>
      </c>
      <c r="BT475">
        <f>IF(ISNUMBER(Y475),INDEX(AllCollegeMoneyCode, MATCH(N475,AllCollegeNCES,0)),"?")</f>
        <v>0</v>
      </c>
      <c r="BU475">
        <f>IF(OR(BT475="---",BT475="--",BT475="+/--",BT475="+/---"),1,0)</f>
        <v>0</v>
      </c>
      <c r="BV475">
        <f>AY475*AO475*AQ475</f>
        <v>0</v>
      </c>
    </row>
    <row r="476" spans="1:74">
      <c r="A476" t="s">
        <v>86</v>
      </c>
      <c r="B476">
        <v>23460954</v>
      </c>
      <c r="C476" t="s">
        <v>275</v>
      </c>
      <c r="D476" t="s">
        <v>276</v>
      </c>
      <c r="E476" t="s">
        <v>428</v>
      </c>
      <c r="F476" t="s">
        <v>457</v>
      </c>
      <c r="G476" t="s">
        <v>430</v>
      </c>
      <c r="H476" t="s">
        <v>431</v>
      </c>
      <c r="I476" t="s">
        <v>432</v>
      </c>
      <c r="J476" t="s">
        <v>432</v>
      </c>
      <c r="K476">
        <v>0</v>
      </c>
      <c r="L476" t="s">
        <v>428</v>
      </c>
      <c r="M476" t="s">
        <v>428</v>
      </c>
      <c r="N476">
        <v>145637</v>
      </c>
      <c r="O476">
        <f>INDEX(AllCollegeBarrons,MATCH(N476,AllCollegeNCES,0))</f>
        <v>0</v>
      </c>
      <c r="P476">
        <f>INDEX(KidGPAs,MATCH(B476,KidIDs,0))</f>
        <v>0</v>
      </c>
      <c r="Q476">
        <f>INDEX(KidACTs,MATCH(B476,KidIDs,0))</f>
        <v>0</v>
      </c>
      <c r="R476">
        <f>INDEX(Strats,MATCH(B476,KidIDs,0))</f>
        <v>0</v>
      </c>
      <c r="S476">
        <f>INDEX(KidRace,MATCH(B476,KidIDs,0))</f>
        <v>0</v>
      </c>
      <c r="T476">
        <f>IF(OR(S476="M",S476="I"),"H",S476)</f>
        <v>0</v>
      </c>
      <c r="U476">
        <f>INDEX(StudentTargets,MATCH(B476,KidIDs,0))</f>
        <v>0</v>
      </c>
      <c r="V476">
        <f>INDEX(ReachStudentTargets,MATCH(B476,KidIDs,0))</f>
        <v>0</v>
      </c>
      <c r="W476">
        <f>IF(OR(M476="Posse"),1,0)</f>
        <v>0</v>
      </c>
      <c r="X476">
        <f>IF(ISNUMBER(INDEX(AllCollegeGR, MATCH(N476,AllCollegeNCES,0))),ROUND(INDEX(AllCollegeGR, MATCH(N476,AllCollegeNCES,0))+W476*IF(INDEX(AllCollegeGR, MATCH(N476,AllCollegeNCES,0))&gt;0.7,(1-INDEX(AllCollegeGR, MATCH(N476,AllCollegeNCES,0)))/2,0.15),2),INDEX(AllCollegeGR, MATCH(N476,AllCollegeNCES,0)))</f>
        <v>0</v>
      </c>
      <c r="Y476">
        <f>IF(ISNUMBER(INDEX(AllCollegeAAHGR, MATCH(N476,AllCollegeNCES,0))),ROUND(INDEX(AllCollegeAAHGR, MATCH(N476,AllCollegeNCES,0))+W476*IF(INDEX(AllCollegeAAHGR, MATCH(N476,AllCollegeNCES,0))&gt;0.7,(1-INDEX(AllCollegeAAHGR, MATCH(N476,AllCollegeNCES,0)))/2,0.15),2),INDEX(AllCollegeAAHGR, MATCH(N476,AllCollegeNCES,0)))</f>
        <v>0</v>
      </c>
      <c r="Z476">
        <f>IF(OR(T476="H",T476="B"),INDEX(AllCollegeACT25, MATCH(N476,AllCollegeNCES,0)),INDEX(AllCollegeACT50, MATCH(N476,AllCollegeNCES,0)))</f>
        <v>0</v>
      </c>
      <c r="AA476">
        <f>INDEX(CustomWeightsGPA,MATCH(T476&amp;":"&amp;N476,CustomWeightsIndex,0))</f>
        <v>0</v>
      </c>
      <c r="AB476">
        <f>INDEX(CustomWeightsACT,MATCH(T476&amp;":"&amp;N476,CustomWeightsIndex,0))</f>
        <v>0</v>
      </c>
      <c r="AC476">
        <f>INDEX(CustomWeightsIntercept,MATCH(T476&amp;":"&amp;N476,CustomWeightsIndex,0))</f>
        <v>0</v>
      </c>
      <c r="AD476">
        <f>AA476*P476+AB476*Q476+AC476</f>
        <v>0</v>
      </c>
      <c r="AE476">
        <f>INDEX(CoefficientsGPA,MATCH(T476&amp;":"&amp;O476,CoefficientsIndex,0))</f>
        <v>0</v>
      </c>
      <c r="AF476">
        <f>INDEX(CoefficientsACT,MATCH(T476&amp;":"&amp;O476,CoefficientsIndex,0))</f>
        <v>0</v>
      </c>
      <c r="AG476">
        <f>INDEX(CoefficientsIntercept,MATCH(T476&amp;":"&amp;O476,CoefficientsIndex,0))</f>
        <v>0</v>
      </c>
      <c r="AH476">
        <f>AE476*P476+(Q476-Z476)*AF476+AG476</f>
        <v>0</v>
      </c>
      <c r="AI476">
        <f>IF(ISNUMBER(AD476),AD476,AH476)</f>
        <v>0</v>
      </c>
      <c r="AJ476">
        <f>IF(ISNUMBER(AI476),IF(ISNUMBER(AE476),IF(AND(AE476=1,AF476=1,AG476=1),100,ROUND(100*EXP(AI476)/(1+EXP(AI476)),2)),ROUND(100*EXP(AI476)/(1+EXP(AI476)),2)),IF(ISTEXT(O476),IF(LEFT(O476,1)="2",100,"N/A"),"N/A"))</f>
        <v>0</v>
      </c>
      <c r="AK476">
        <f>IF(ISNUMBER(AJ476),IF(AJ476&gt;=99,IF(OR(R476=10,R476=11),MatchLabel,SureThingLabel),IF(AJ476&gt;=95,SecureLabel,IF(AJ476&gt;=80,SafetyLabel,IF(AJ476&gt;=50,MatchLabel,IF(AJ476&gt;=20,ReachLabel,IF(AJ476&gt;=10,LongshotLabel,HailMaryLabel)))))),"Other")</f>
        <v>0</v>
      </c>
      <c r="AL476">
        <f>IF(OR(I476="accepted",I476="cond. accept",I476="summer admit"),IF(J476="yes","CHOICE!","Accepted!"),IF(I476="denied","Denied",IF(K476=1,"Waitlist",IF(L476=1,"Deferred",IF(G476="pending","Pending",IF(OR(G476="initial materials submitted",G476="mid-year submitted",G476="final submitted"),"Submitted",IF(H476="interest","Interest","?")))))))</f>
        <v>0</v>
      </c>
      <c r="AM476">
        <f>IF(OR(AK476=ReachLabel,AK476=LongshotLabel,AK476=HailMaryLabel),1,0)</f>
        <v>0</v>
      </c>
      <c r="AN476">
        <f>IF(OR(AM476=1,AK476=MatchLabel),1,0)</f>
        <v>0</v>
      </c>
      <c r="AO476">
        <f>IF(OR(AK476=MatchLabel,AK476=SafetyLabel,AK476=SecureLabel,AK476=SureThingLabel),1,0)</f>
        <v>0</v>
      </c>
      <c r="AP476">
        <f>IF(OR(T476="H",T476="B"),IF(ISNUMBER(Y476),ROUND(Y476,2),0),IF(ISNUMBER(X476),ROUND(X476,2),0))</f>
        <v>0</v>
      </c>
      <c r="AQ476">
        <f>IF(AP476&gt;=U476,1,0)</f>
        <v>0</v>
      </c>
      <c r="AR476">
        <f>IF(AP476&gt;=V476,1,0)</f>
        <v>0</v>
      </c>
      <c r="AS476">
        <f>IF(AP476&lt;(U476-0.10),1,0)</f>
        <v>0</v>
      </c>
      <c r="AT476">
        <f>1-AJ476/100</f>
        <v>0</v>
      </c>
      <c r="AU476">
        <f>IF(AN476=1,AT476,1)</f>
        <v>0</v>
      </c>
      <c r="AV476">
        <f>IF(AM476=1,AT476,1)</f>
        <v>0</v>
      </c>
      <c r="AW476">
        <f>IF(AND(AQ476=1,ISNUMBER(AT476)),$AT476,1)</f>
        <v>0</v>
      </c>
      <c r="AX476">
        <f>IF(AND(AR476=1,ISNUMBER(AT476)),$AT476,1)</f>
        <v>0</v>
      </c>
      <c r="AY476">
        <f>IF(ISNUMBER(Y476),INDEX(AllCollegeMoney, MATCH(N476,AllCollegeNCES,0)),0)</f>
        <v>0</v>
      </c>
      <c r="AZ476">
        <f>IF(AND(AQ476=1,ISNUMBER(AT476),AY476=1),$AT476,1)</f>
        <v>0</v>
      </c>
      <c r="BA476">
        <f>IF(AND(AR476=1,ISNUMBER(AT476),AY476=1),$AT476,1)</f>
        <v>0</v>
      </c>
      <c r="BB476">
        <f>IF(ISNUMBER(Y476),INDEX(AllCollegeILPub, MATCH(N476,AllCollegeNCES,0)),0)</f>
        <v>0</v>
      </c>
      <c r="BC476">
        <f>IF(AK476=ReachLabel,AP476,0)</f>
        <v>0</v>
      </c>
      <c r="BD476">
        <f>IF(AK476=MatchLabel,AP476,0)</f>
        <v>0</v>
      </c>
      <c r="BE476">
        <f>IF(AK476=SafetyLabel,AP476,0)</f>
        <v>0</v>
      </c>
      <c r="BF476">
        <f>IF(AK476=SecureLabel,AP476,0)</f>
        <v>0</v>
      </c>
      <c r="BG476">
        <f>IF(AK476=SureThingLabel,AP476,0)</f>
        <v>0</v>
      </c>
      <c r="BH476">
        <f>MAX(BC476:BG476)</f>
        <v>0</v>
      </c>
      <c r="BI476">
        <f>MAX(BD476:BG476)</f>
        <v>0</v>
      </c>
      <c r="BJ476">
        <f>MAX(BE476:BG476)</f>
        <v>0</v>
      </c>
      <c r="BK476">
        <f>IF(AND(AK476=ReachLabel,AY476=1),AP476,0)</f>
        <v>0</v>
      </c>
      <c r="BL476">
        <f>IF(AND(AK476=MatchLabel,AY476=1),AP476,0)</f>
        <v>0</v>
      </c>
      <c r="BM476">
        <f>IF(AND(AK476=SafetyLabel,AY476=1),AP476,0)</f>
        <v>0</v>
      </c>
      <c r="BN476">
        <f>IF(AND(AK476=SecureLabel,AY476=1),AP476,0)</f>
        <v>0</v>
      </c>
      <c r="BO476">
        <f>IF(AND(AK476=SureThingLabel,AY476=1),AP476,0)</f>
        <v>0</v>
      </c>
      <c r="BP476">
        <f>MAX(BK476:BO476)</f>
        <v>0</v>
      </c>
      <c r="BQ476">
        <f>MAX(BL476:BO476)</f>
        <v>0</v>
      </c>
      <c r="BR476">
        <f>MAX(BM476:BO476)</f>
        <v>0</v>
      </c>
      <c r="BS476">
        <f>IF(ISNUMBER(Y476),INDEX(AllCollegeChicago, MATCH(N476,AllCollegeNCES,0))*AY476,0)</f>
        <v>0</v>
      </c>
      <c r="BT476">
        <f>IF(ISNUMBER(Y476),INDEX(AllCollegeMoneyCode, MATCH(N476,AllCollegeNCES,0)),"?")</f>
        <v>0</v>
      </c>
      <c r="BU476">
        <f>IF(OR(BT476="---",BT476="--",BT476="+/--",BT476="+/---"),1,0)</f>
        <v>0</v>
      </c>
      <c r="BV476">
        <f>AY476*AO476*AQ476</f>
        <v>0</v>
      </c>
    </row>
    <row r="477" spans="1:74">
      <c r="A477" t="s">
        <v>86</v>
      </c>
      <c r="B477">
        <v>23460954</v>
      </c>
      <c r="C477" t="s">
        <v>275</v>
      </c>
      <c r="D477" t="s">
        <v>276</v>
      </c>
      <c r="E477" t="s">
        <v>428</v>
      </c>
      <c r="F477" t="s">
        <v>458</v>
      </c>
      <c r="G477" t="s">
        <v>430</v>
      </c>
      <c r="H477" t="s">
        <v>431</v>
      </c>
      <c r="I477" t="s">
        <v>432</v>
      </c>
      <c r="J477" t="s">
        <v>432</v>
      </c>
      <c r="K477">
        <v>0</v>
      </c>
      <c r="L477" t="s">
        <v>428</v>
      </c>
      <c r="M477" t="s">
        <v>428</v>
      </c>
      <c r="N477">
        <v>202523</v>
      </c>
      <c r="O477">
        <f>INDEX(AllCollegeBarrons,MATCH(N477,AllCollegeNCES,0))</f>
        <v>0</v>
      </c>
      <c r="P477">
        <f>INDEX(KidGPAs,MATCH(B477,KidIDs,0))</f>
        <v>0</v>
      </c>
      <c r="Q477">
        <f>INDEX(KidACTs,MATCH(B477,KidIDs,0))</f>
        <v>0</v>
      </c>
      <c r="R477">
        <f>INDEX(Strats,MATCH(B477,KidIDs,0))</f>
        <v>0</v>
      </c>
      <c r="S477">
        <f>INDEX(KidRace,MATCH(B477,KidIDs,0))</f>
        <v>0</v>
      </c>
      <c r="T477">
        <f>IF(OR(S477="M",S477="I"),"H",S477)</f>
        <v>0</v>
      </c>
      <c r="U477">
        <f>INDEX(StudentTargets,MATCH(B477,KidIDs,0))</f>
        <v>0</v>
      </c>
      <c r="V477">
        <f>INDEX(ReachStudentTargets,MATCH(B477,KidIDs,0))</f>
        <v>0</v>
      </c>
      <c r="W477">
        <f>IF(OR(M477="Posse"),1,0)</f>
        <v>0</v>
      </c>
      <c r="X477">
        <f>IF(ISNUMBER(INDEX(AllCollegeGR, MATCH(N477,AllCollegeNCES,0))),ROUND(INDEX(AllCollegeGR, MATCH(N477,AllCollegeNCES,0))+W477*IF(INDEX(AllCollegeGR, MATCH(N477,AllCollegeNCES,0))&gt;0.7,(1-INDEX(AllCollegeGR, MATCH(N477,AllCollegeNCES,0)))/2,0.15),2),INDEX(AllCollegeGR, MATCH(N477,AllCollegeNCES,0)))</f>
        <v>0</v>
      </c>
      <c r="Y477">
        <f>IF(ISNUMBER(INDEX(AllCollegeAAHGR, MATCH(N477,AllCollegeNCES,0))),ROUND(INDEX(AllCollegeAAHGR, MATCH(N477,AllCollegeNCES,0))+W477*IF(INDEX(AllCollegeAAHGR, MATCH(N477,AllCollegeNCES,0))&gt;0.7,(1-INDEX(AllCollegeAAHGR, MATCH(N477,AllCollegeNCES,0)))/2,0.15),2),INDEX(AllCollegeAAHGR, MATCH(N477,AllCollegeNCES,0)))</f>
        <v>0</v>
      </c>
      <c r="Z477">
        <f>IF(OR(T477="H",T477="B"),INDEX(AllCollegeACT25, MATCH(N477,AllCollegeNCES,0)),INDEX(AllCollegeACT50, MATCH(N477,AllCollegeNCES,0)))</f>
        <v>0</v>
      </c>
      <c r="AA477">
        <f>INDEX(CustomWeightsGPA,MATCH(T477&amp;":"&amp;N477,CustomWeightsIndex,0))</f>
        <v>0</v>
      </c>
      <c r="AB477">
        <f>INDEX(CustomWeightsACT,MATCH(T477&amp;":"&amp;N477,CustomWeightsIndex,0))</f>
        <v>0</v>
      </c>
      <c r="AC477">
        <f>INDEX(CustomWeightsIntercept,MATCH(T477&amp;":"&amp;N477,CustomWeightsIndex,0))</f>
        <v>0</v>
      </c>
      <c r="AD477">
        <f>AA477*P477+AB477*Q477+AC477</f>
        <v>0</v>
      </c>
      <c r="AE477">
        <f>INDEX(CoefficientsGPA,MATCH(T477&amp;":"&amp;O477,CoefficientsIndex,0))</f>
        <v>0</v>
      </c>
      <c r="AF477">
        <f>INDEX(CoefficientsACT,MATCH(T477&amp;":"&amp;O477,CoefficientsIndex,0))</f>
        <v>0</v>
      </c>
      <c r="AG477">
        <f>INDEX(CoefficientsIntercept,MATCH(T477&amp;":"&amp;O477,CoefficientsIndex,0))</f>
        <v>0</v>
      </c>
      <c r="AH477">
        <f>AE477*P477+(Q477-Z477)*AF477+AG477</f>
        <v>0</v>
      </c>
      <c r="AI477">
        <f>IF(ISNUMBER(AD477),AD477,AH477)</f>
        <v>0</v>
      </c>
      <c r="AJ477">
        <f>IF(ISNUMBER(AI477),IF(ISNUMBER(AE477),IF(AND(AE477=1,AF477=1,AG477=1),100,ROUND(100*EXP(AI477)/(1+EXP(AI477)),2)),ROUND(100*EXP(AI477)/(1+EXP(AI477)),2)),IF(ISTEXT(O477),IF(LEFT(O477,1)="2",100,"N/A"),"N/A"))</f>
        <v>0</v>
      </c>
      <c r="AK477">
        <f>IF(ISNUMBER(AJ477),IF(AJ477&gt;=99,IF(OR(R477=10,R477=11),MatchLabel,SureThingLabel),IF(AJ477&gt;=95,SecureLabel,IF(AJ477&gt;=80,SafetyLabel,IF(AJ477&gt;=50,MatchLabel,IF(AJ477&gt;=20,ReachLabel,IF(AJ477&gt;=10,LongshotLabel,HailMaryLabel)))))),"Other")</f>
        <v>0</v>
      </c>
      <c r="AL477">
        <f>IF(OR(I477="accepted",I477="cond. accept",I477="summer admit"),IF(J477="yes","CHOICE!","Accepted!"),IF(I477="denied","Denied",IF(K477=1,"Waitlist",IF(L477=1,"Deferred",IF(G477="pending","Pending",IF(OR(G477="initial materials submitted",G477="mid-year submitted",G477="final submitted"),"Submitted",IF(H477="interest","Interest","?")))))))</f>
        <v>0</v>
      </c>
      <c r="AM477">
        <f>IF(OR(AK477=ReachLabel,AK477=LongshotLabel,AK477=HailMaryLabel),1,0)</f>
        <v>0</v>
      </c>
      <c r="AN477">
        <f>IF(OR(AM477=1,AK477=MatchLabel),1,0)</f>
        <v>0</v>
      </c>
      <c r="AO477">
        <f>IF(OR(AK477=MatchLabel,AK477=SafetyLabel,AK477=SecureLabel,AK477=SureThingLabel),1,0)</f>
        <v>0</v>
      </c>
      <c r="AP477">
        <f>IF(OR(T477="H",T477="B"),IF(ISNUMBER(Y477),ROUND(Y477,2),0),IF(ISNUMBER(X477),ROUND(X477,2),0))</f>
        <v>0</v>
      </c>
      <c r="AQ477">
        <f>IF(AP477&gt;=U477,1,0)</f>
        <v>0</v>
      </c>
      <c r="AR477">
        <f>IF(AP477&gt;=V477,1,0)</f>
        <v>0</v>
      </c>
      <c r="AS477">
        <f>IF(AP477&lt;(U477-0.10),1,0)</f>
        <v>0</v>
      </c>
      <c r="AT477">
        <f>1-AJ477/100</f>
        <v>0</v>
      </c>
      <c r="AU477">
        <f>IF(AN477=1,AT477,1)</f>
        <v>0</v>
      </c>
      <c r="AV477">
        <f>IF(AM477=1,AT477,1)</f>
        <v>0</v>
      </c>
      <c r="AW477">
        <f>IF(AND(AQ477=1,ISNUMBER(AT477)),$AT477,1)</f>
        <v>0</v>
      </c>
      <c r="AX477">
        <f>IF(AND(AR477=1,ISNUMBER(AT477)),$AT477,1)</f>
        <v>0</v>
      </c>
      <c r="AY477">
        <f>IF(ISNUMBER(Y477),INDEX(AllCollegeMoney, MATCH(N477,AllCollegeNCES,0)),0)</f>
        <v>0</v>
      </c>
      <c r="AZ477">
        <f>IF(AND(AQ477=1,ISNUMBER(AT477),AY477=1),$AT477,1)</f>
        <v>0</v>
      </c>
      <c r="BA477">
        <f>IF(AND(AR477=1,ISNUMBER(AT477),AY477=1),$AT477,1)</f>
        <v>0</v>
      </c>
      <c r="BB477">
        <f>IF(ISNUMBER(Y477),INDEX(AllCollegeILPub, MATCH(N477,AllCollegeNCES,0)),0)</f>
        <v>0</v>
      </c>
      <c r="BC477">
        <f>IF(AK477=ReachLabel,AP477,0)</f>
        <v>0</v>
      </c>
      <c r="BD477">
        <f>IF(AK477=MatchLabel,AP477,0)</f>
        <v>0</v>
      </c>
      <c r="BE477">
        <f>IF(AK477=SafetyLabel,AP477,0)</f>
        <v>0</v>
      </c>
      <c r="BF477">
        <f>IF(AK477=SecureLabel,AP477,0)</f>
        <v>0</v>
      </c>
      <c r="BG477">
        <f>IF(AK477=SureThingLabel,AP477,0)</f>
        <v>0</v>
      </c>
      <c r="BH477">
        <f>MAX(BC477:BG477)</f>
        <v>0</v>
      </c>
      <c r="BI477">
        <f>MAX(BD477:BG477)</f>
        <v>0</v>
      </c>
      <c r="BJ477">
        <f>MAX(BE477:BG477)</f>
        <v>0</v>
      </c>
      <c r="BK477">
        <f>IF(AND(AK477=ReachLabel,AY477=1),AP477,0)</f>
        <v>0</v>
      </c>
      <c r="BL477">
        <f>IF(AND(AK477=MatchLabel,AY477=1),AP477,0)</f>
        <v>0</v>
      </c>
      <c r="BM477">
        <f>IF(AND(AK477=SafetyLabel,AY477=1),AP477,0)</f>
        <v>0</v>
      </c>
      <c r="BN477">
        <f>IF(AND(AK477=SecureLabel,AY477=1),AP477,0)</f>
        <v>0</v>
      </c>
      <c r="BO477">
        <f>IF(AND(AK477=SureThingLabel,AY477=1),AP477,0)</f>
        <v>0</v>
      </c>
      <c r="BP477">
        <f>MAX(BK477:BO477)</f>
        <v>0</v>
      </c>
      <c r="BQ477">
        <f>MAX(BL477:BO477)</f>
        <v>0</v>
      </c>
      <c r="BR477">
        <f>MAX(BM477:BO477)</f>
        <v>0</v>
      </c>
      <c r="BS477">
        <f>IF(ISNUMBER(Y477),INDEX(AllCollegeChicago, MATCH(N477,AllCollegeNCES,0))*AY477,0)</f>
        <v>0</v>
      </c>
      <c r="BT477">
        <f>IF(ISNUMBER(Y477),INDEX(AllCollegeMoneyCode, MATCH(N477,AllCollegeNCES,0)),"?")</f>
        <v>0</v>
      </c>
      <c r="BU477">
        <f>IF(OR(BT477="---",BT477="--",BT477="+/--",BT477="+/---"),1,0)</f>
        <v>0</v>
      </c>
      <c r="BV477">
        <f>AY477*AO477*AQ477</f>
        <v>0</v>
      </c>
    </row>
    <row r="478" spans="1:74">
      <c r="A478" t="s">
        <v>86</v>
      </c>
      <c r="B478">
        <v>23460954</v>
      </c>
      <c r="C478" t="s">
        <v>275</v>
      </c>
      <c r="D478" t="s">
        <v>276</v>
      </c>
      <c r="E478" t="s">
        <v>428</v>
      </c>
      <c r="F478" t="s">
        <v>459</v>
      </c>
      <c r="G478" t="s">
        <v>430</v>
      </c>
      <c r="H478" t="s">
        <v>431</v>
      </c>
      <c r="I478" t="s">
        <v>432</v>
      </c>
      <c r="J478" t="s">
        <v>432</v>
      </c>
      <c r="K478">
        <v>0</v>
      </c>
      <c r="L478" t="s">
        <v>428</v>
      </c>
      <c r="M478" t="s">
        <v>428</v>
      </c>
      <c r="N478">
        <v>146427</v>
      </c>
      <c r="O478">
        <f>INDEX(AllCollegeBarrons,MATCH(N478,AllCollegeNCES,0))</f>
        <v>0</v>
      </c>
      <c r="P478">
        <f>INDEX(KidGPAs,MATCH(B478,KidIDs,0))</f>
        <v>0</v>
      </c>
      <c r="Q478">
        <f>INDEX(KidACTs,MATCH(B478,KidIDs,0))</f>
        <v>0</v>
      </c>
      <c r="R478">
        <f>INDEX(Strats,MATCH(B478,KidIDs,0))</f>
        <v>0</v>
      </c>
      <c r="S478">
        <f>INDEX(KidRace,MATCH(B478,KidIDs,0))</f>
        <v>0</v>
      </c>
      <c r="T478">
        <f>IF(OR(S478="M",S478="I"),"H",S478)</f>
        <v>0</v>
      </c>
      <c r="U478">
        <f>INDEX(StudentTargets,MATCH(B478,KidIDs,0))</f>
        <v>0</v>
      </c>
      <c r="V478">
        <f>INDEX(ReachStudentTargets,MATCH(B478,KidIDs,0))</f>
        <v>0</v>
      </c>
      <c r="W478">
        <f>IF(OR(M478="Posse"),1,0)</f>
        <v>0</v>
      </c>
      <c r="X478">
        <f>IF(ISNUMBER(INDEX(AllCollegeGR, MATCH(N478,AllCollegeNCES,0))),ROUND(INDEX(AllCollegeGR, MATCH(N478,AllCollegeNCES,0))+W478*IF(INDEX(AllCollegeGR, MATCH(N478,AllCollegeNCES,0))&gt;0.7,(1-INDEX(AllCollegeGR, MATCH(N478,AllCollegeNCES,0)))/2,0.15),2),INDEX(AllCollegeGR, MATCH(N478,AllCollegeNCES,0)))</f>
        <v>0</v>
      </c>
      <c r="Y478">
        <f>IF(ISNUMBER(INDEX(AllCollegeAAHGR, MATCH(N478,AllCollegeNCES,0))),ROUND(INDEX(AllCollegeAAHGR, MATCH(N478,AllCollegeNCES,0))+W478*IF(INDEX(AllCollegeAAHGR, MATCH(N478,AllCollegeNCES,0))&gt;0.7,(1-INDEX(AllCollegeAAHGR, MATCH(N478,AllCollegeNCES,0)))/2,0.15),2),INDEX(AllCollegeAAHGR, MATCH(N478,AllCollegeNCES,0)))</f>
        <v>0</v>
      </c>
      <c r="Z478">
        <f>IF(OR(T478="H",T478="B"),INDEX(AllCollegeACT25, MATCH(N478,AllCollegeNCES,0)),INDEX(AllCollegeACT50, MATCH(N478,AllCollegeNCES,0)))</f>
        <v>0</v>
      </c>
      <c r="AA478">
        <f>INDEX(CustomWeightsGPA,MATCH(T478&amp;":"&amp;N478,CustomWeightsIndex,0))</f>
        <v>0</v>
      </c>
      <c r="AB478">
        <f>INDEX(CustomWeightsACT,MATCH(T478&amp;":"&amp;N478,CustomWeightsIndex,0))</f>
        <v>0</v>
      </c>
      <c r="AC478">
        <f>INDEX(CustomWeightsIntercept,MATCH(T478&amp;":"&amp;N478,CustomWeightsIndex,0))</f>
        <v>0</v>
      </c>
      <c r="AD478">
        <f>AA478*P478+AB478*Q478+AC478</f>
        <v>0</v>
      </c>
      <c r="AE478">
        <f>INDEX(CoefficientsGPA,MATCH(T478&amp;":"&amp;O478,CoefficientsIndex,0))</f>
        <v>0</v>
      </c>
      <c r="AF478">
        <f>INDEX(CoefficientsACT,MATCH(T478&amp;":"&amp;O478,CoefficientsIndex,0))</f>
        <v>0</v>
      </c>
      <c r="AG478">
        <f>INDEX(CoefficientsIntercept,MATCH(T478&amp;":"&amp;O478,CoefficientsIndex,0))</f>
        <v>0</v>
      </c>
      <c r="AH478">
        <f>AE478*P478+(Q478-Z478)*AF478+AG478</f>
        <v>0</v>
      </c>
      <c r="AI478">
        <f>IF(ISNUMBER(AD478),AD478,AH478)</f>
        <v>0</v>
      </c>
      <c r="AJ478">
        <f>IF(ISNUMBER(AI478),IF(ISNUMBER(AE478),IF(AND(AE478=1,AF478=1,AG478=1),100,ROUND(100*EXP(AI478)/(1+EXP(AI478)),2)),ROUND(100*EXP(AI478)/(1+EXP(AI478)),2)),IF(ISTEXT(O478),IF(LEFT(O478,1)="2",100,"N/A"),"N/A"))</f>
        <v>0</v>
      </c>
      <c r="AK478">
        <f>IF(ISNUMBER(AJ478),IF(AJ478&gt;=99,IF(OR(R478=10,R478=11),MatchLabel,SureThingLabel),IF(AJ478&gt;=95,SecureLabel,IF(AJ478&gt;=80,SafetyLabel,IF(AJ478&gt;=50,MatchLabel,IF(AJ478&gt;=20,ReachLabel,IF(AJ478&gt;=10,LongshotLabel,HailMaryLabel)))))),"Other")</f>
        <v>0</v>
      </c>
      <c r="AL478">
        <f>IF(OR(I478="accepted",I478="cond. accept",I478="summer admit"),IF(J478="yes","CHOICE!","Accepted!"),IF(I478="denied","Denied",IF(K478=1,"Waitlist",IF(L478=1,"Deferred",IF(G478="pending","Pending",IF(OR(G478="initial materials submitted",G478="mid-year submitted",G478="final submitted"),"Submitted",IF(H478="interest","Interest","?")))))))</f>
        <v>0</v>
      </c>
      <c r="AM478">
        <f>IF(OR(AK478=ReachLabel,AK478=LongshotLabel,AK478=HailMaryLabel),1,0)</f>
        <v>0</v>
      </c>
      <c r="AN478">
        <f>IF(OR(AM478=1,AK478=MatchLabel),1,0)</f>
        <v>0</v>
      </c>
      <c r="AO478">
        <f>IF(OR(AK478=MatchLabel,AK478=SafetyLabel,AK478=SecureLabel,AK478=SureThingLabel),1,0)</f>
        <v>0</v>
      </c>
      <c r="AP478">
        <f>IF(OR(T478="H",T478="B"),IF(ISNUMBER(Y478),ROUND(Y478,2),0),IF(ISNUMBER(X478),ROUND(X478,2),0))</f>
        <v>0</v>
      </c>
      <c r="AQ478">
        <f>IF(AP478&gt;=U478,1,0)</f>
        <v>0</v>
      </c>
      <c r="AR478">
        <f>IF(AP478&gt;=V478,1,0)</f>
        <v>0</v>
      </c>
      <c r="AS478">
        <f>IF(AP478&lt;(U478-0.10),1,0)</f>
        <v>0</v>
      </c>
      <c r="AT478">
        <f>1-AJ478/100</f>
        <v>0</v>
      </c>
      <c r="AU478">
        <f>IF(AN478=1,AT478,1)</f>
        <v>0</v>
      </c>
      <c r="AV478">
        <f>IF(AM478=1,AT478,1)</f>
        <v>0</v>
      </c>
      <c r="AW478">
        <f>IF(AND(AQ478=1,ISNUMBER(AT478)),$AT478,1)</f>
        <v>0</v>
      </c>
      <c r="AX478">
        <f>IF(AND(AR478=1,ISNUMBER(AT478)),$AT478,1)</f>
        <v>0</v>
      </c>
      <c r="AY478">
        <f>IF(ISNUMBER(Y478),INDEX(AllCollegeMoney, MATCH(N478,AllCollegeNCES,0)),0)</f>
        <v>0</v>
      </c>
      <c r="AZ478">
        <f>IF(AND(AQ478=1,ISNUMBER(AT478),AY478=1),$AT478,1)</f>
        <v>0</v>
      </c>
      <c r="BA478">
        <f>IF(AND(AR478=1,ISNUMBER(AT478),AY478=1),$AT478,1)</f>
        <v>0</v>
      </c>
      <c r="BB478">
        <f>IF(ISNUMBER(Y478),INDEX(AllCollegeILPub, MATCH(N478,AllCollegeNCES,0)),0)</f>
        <v>0</v>
      </c>
      <c r="BC478">
        <f>IF(AK478=ReachLabel,AP478,0)</f>
        <v>0</v>
      </c>
      <c r="BD478">
        <f>IF(AK478=MatchLabel,AP478,0)</f>
        <v>0</v>
      </c>
      <c r="BE478">
        <f>IF(AK478=SafetyLabel,AP478,0)</f>
        <v>0</v>
      </c>
      <c r="BF478">
        <f>IF(AK478=SecureLabel,AP478,0)</f>
        <v>0</v>
      </c>
      <c r="BG478">
        <f>IF(AK478=SureThingLabel,AP478,0)</f>
        <v>0</v>
      </c>
      <c r="BH478">
        <f>MAX(BC478:BG478)</f>
        <v>0</v>
      </c>
      <c r="BI478">
        <f>MAX(BD478:BG478)</f>
        <v>0</v>
      </c>
      <c r="BJ478">
        <f>MAX(BE478:BG478)</f>
        <v>0</v>
      </c>
      <c r="BK478">
        <f>IF(AND(AK478=ReachLabel,AY478=1),AP478,0)</f>
        <v>0</v>
      </c>
      <c r="BL478">
        <f>IF(AND(AK478=MatchLabel,AY478=1),AP478,0)</f>
        <v>0</v>
      </c>
      <c r="BM478">
        <f>IF(AND(AK478=SafetyLabel,AY478=1),AP478,0)</f>
        <v>0</v>
      </c>
      <c r="BN478">
        <f>IF(AND(AK478=SecureLabel,AY478=1),AP478,0)</f>
        <v>0</v>
      </c>
      <c r="BO478">
        <f>IF(AND(AK478=SureThingLabel,AY478=1),AP478,0)</f>
        <v>0</v>
      </c>
      <c r="BP478">
        <f>MAX(BK478:BO478)</f>
        <v>0</v>
      </c>
      <c r="BQ478">
        <f>MAX(BL478:BO478)</f>
        <v>0</v>
      </c>
      <c r="BR478">
        <f>MAX(BM478:BO478)</f>
        <v>0</v>
      </c>
      <c r="BS478">
        <f>IF(ISNUMBER(Y478),INDEX(AllCollegeChicago, MATCH(N478,AllCollegeNCES,0))*AY478,0)</f>
        <v>0</v>
      </c>
      <c r="BT478">
        <f>IF(ISNUMBER(Y478),INDEX(AllCollegeMoneyCode, MATCH(N478,AllCollegeNCES,0)),"?")</f>
        <v>0</v>
      </c>
      <c r="BU478">
        <f>IF(OR(BT478="---",BT478="--",BT478="+/--",BT478="+/---"),1,0)</f>
        <v>0</v>
      </c>
      <c r="BV478">
        <f>AY478*AO478*AQ478</f>
        <v>0</v>
      </c>
    </row>
    <row r="479" spans="1:74">
      <c r="A479" t="s">
        <v>86</v>
      </c>
      <c r="B479">
        <v>23460954</v>
      </c>
      <c r="C479" t="s">
        <v>275</v>
      </c>
      <c r="D479" t="s">
        <v>276</v>
      </c>
      <c r="E479" t="s">
        <v>428</v>
      </c>
      <c r="F479" t="s">
        <v>471</v>
      </c>
      <c r="G479" t="s">
        <v>430</v>
      </c>
      <c r="H479" t="s">
        <v>431</v>
      </c>
      <c r="I479" t="s">
        <v>432</v>
      </c>
      <c r="J479" t="s">
        <v>432</v>
      </c>
      <c r="K479">
        <v>0</v>
      </c>
      <c r="L479" t="s">
        <v>428</v>
      </c>
      <c r="M479" t="s">
        <v>428</v>
      </c>
      <c r="N479">
        <v>170301</v>
      </c>
      <c r="O479">
        <f>INDEX(AllCollegeBarrons,MATCH(N479,AllCollegeNCES,0))</f>
        <v>0</v>
      </c>
      <c r="P479">
        <f>INDEX(KidGPAs,MATCH(B479,KidIDs,0))</f>
        <v>0</v>
      </c>
      <c r="Q479">
        <f>INDEX(KidACTs,MATCH(B479,KidIDs,0))</f>
        <v>0</v>
      </c>
      <c r="R479">
        <f>INDEX(Strats,MATCH(B479,KidIDs,0))</f>
        <v>0</v>
      </c>
      <c r="S479">
        <f>INDEX(KidRace,MATCH(B479,KidIDs,0))</f>
        <v>0</v>
      </c>
      <c r="T479">
        <f>IF(OR(S479="M",S479="I"),"H",S479)</f>
        <v>0</v>
      </c>
      <c r="U479">
        <f>INDEX(StudentTargets,MATCH(B479,KidIDs,0))</f>
        <v>0</v>
      </c>
      <c r="V479">
        <f>INDEX(ReachStudentTargets,MATCH(B479,KidIDs,0))</f>
        <v>0</v>
      </c>
      <c r="W479">
        <f>IF(OR(M479="Posse"),1,0)</f>
        <v>0</v>
      </c>
      <c r="X479">
        <f>IF(ISNUMBER(INDEX(AllCollegeGR, MATCH(N479,AllCollegeNCES,0))),ROUND(INDEX(AllCollegeGR, MATCH(N479,AllCollegeNCES,0))+W479*IF(INDEX(AllCollegeGR, MATCH(N479,AllCollegeNCES,0))&gt;0.7,(1-INDEX(AllCollegeGR, MATCH(N479,AllCollegeNCES,0)))/2,0.15),2),INDEX(AllCollegeGR, MATCH(N479,AllCollegeNCES,0)))</f>
        <v>0</v>
      </c>
      <c r="Y479">
        <f>IF(ISNUMBER(INDEX(AllCollegeAAHGR, MATCH(N479,AllCollegeNCES,0))),ROUND(INDEX(AllCollegeAAHGR, MATCH(N479,AllCollegeNCES,0))+W479*IF(INDEX(AllCollegeAAHGR, MATCH(N479,AllCollegeNCES,0))&gt;0.7,(1-INDEX(AllCollegeAAHGR, MATCH(N479,AllCollegeNCES,0)))/2,0.15),2),INDEX(AllCollegeAAHGR, MATCH(N479,AllCollegeNCES,0)))</f>
        <v>0</v>
      </c>
      <c r="Z479">
        <f>IF(OR(T479="H",T479="B"),INDEX(AllCollegeACT25, MATCH(N479,AllCollegeNCES,0)),INDEX(AllCollegeACT50, MATCH(N479,AllCollegeNCES,0)))</f>
        <v>0</v>
      </c>
      <c r="AA479">
        <f>INDEX(CustomWeightsGPA,MATCH(T479&amp;":"&amp;N479,CustomWeightsIndex,0))</f>
        <v>0</v>
      </c>
      <c r="AB479">
        <f>INDEX(CustomWeightsACT,MATCH(T479&amp;":"&amp;N479,CustomWeightsIndex,0))</f>
        <v>0</v>
      </c>
      <c r="AC479">
        <f>INDEX(CustomWeightsIntercept,MATCH(T479&amp;":"&amp;N479,CustomWeightsIndex,0))</f>
        <v>0</v>
      </c>
      <c r="AD479">
        <f>AA479*P479+AB479*Q479+AC479</f>
        <v>0</v>
      </c>
      <c r="AE479">
        <f>INDEX(CoefficientsGPA,MATCH(T479&amp;":"&amp;O479,CoefficientsIndex,0))</f>
        <v>0</v>
      </c>
      <c r="AF479">
        <f>INDEX(CoefficientsACT,MATCH(T479&amp;":"&amp;O479,CoefficientsIndex,0))</f>
        <v>0</v>
      </c>
      <c r="AG479">
        <f>INDEX(CoefficientsIntercept,MATCH(T479&amp;":"&amp;O479,CoefficientsIndex,0))</f>
        <v>0</v>
      </c>
      <c r="AH479">
        <f>AE479*P479+(Q479-Z479)*AF479+AG479</f>
        <v>0</v>
      </c>
      <c r="AI479">
        <f>IF(ISNUMBER(AD479),AD479,AH479)</f>
        <v>0</v>
      </c>
      <c r="AJ479">
        <f>IF(ISNUMBER(AI479),IF(ISNUMBER(AE479),IF(AND(AE479=1,AF479=1,AG479=1),100,ROUND(100*EXP(AI479)/(1+EXP(AI479)),2)),ROUND(100*EXP(AI479)/(1+EXP(AI479)),2)),IF(ISTEXT(O479),IF(LEFT(O479,1)="2",100,"N/A"),"N/A"))</f>
        <v>0</v>
      </c>
      <c r="AK479">
        <f>IF(ISNUMBER(AJ479),IF(AJ479&gt;=99,IF(OR(R479=10,R479=11),MatchLabel,SureThingLabel),IF(AJ479&gt;=95,SecureLabel,IF(AJ479&gt;=80,SafetyLabel,IF(AJ479&gt;=50,MatchLabel,IF(AJ479&gt;=20,ReachLabel,IF(AJ479&gt;=10,LongshotLabel,HailMaryLabel)))))),"Other")</f>
        <v>0</v>
      </c>
      <c r="AL479">
        <f>IF(OR(I479="accepted",I479="cond. accept",I479="summer admit"),IF(J479="yes","CHOICE!","Accepted!"),IF(I479="denied","Denied",IF(K479=1,"Waitlist",IF(L479=1,"Deferred",IF(G479="pending","Pending",IF(OR(G479="initial materials submitted",G479="mid-year submitted",G479="final submitted"),"Submitted",IF(H479="interest","Interest","?")))))))</f>
        <v>0</v>
      </c>
      <c r="AM479">
        <f>IF(OR(AK479=ReachLabel,AK479=LongshotLabel,AK479=HailMaryLabel),1,0)</f>
        <v>0</v>
      </c>
      <c r="AN479">
        <f>IF(OR(AM479=1,AK479=MatchLabel),1,0)</f>
        <v>0</v>
      </c>
      <c r="AO479">
        <f>IF(OR(AK479=MatchLabel,AK479=SafetyLabel,AK479=SecureLabel,AK479=SureThingLabel),1,0)</f>
        <v>0</v>
      </c>
      <c r="AP479">
        <f>IF(OR(T479="H",T479="B"),IF(ISNUMBER(Y479),ROUND(Y479,2),0),IF(ISNUMBER(X479),ROUND(X479,2),0))</f>
        <v>0</v>
      </c>
      <c r="AQ479">
        <f>IF(AP479&gt;=U479,1,0)</f>
        <v>0</v>
      </c>
      <c r="AR479">
        <f>IF(AP479&gt;=V479,1,0)</f>
        <v>0</v>
      </c>
      <c r="AS479">
        <f>IF(AP479&lt;(U479-0.10),1,0)</f>
        <v>0</v>
      </c>
      <c r="AT479">
        <f>1-AJ479/100</f>
        <v>0</v>
      </c>
      <c r="AU479">
        <f>IF(AN479=1,AT479,1)</f>
        <v>0</v>
      </c>
      <c r="AV479">
        <f>IF(AM479=1,AT479,1)</f>
        <v>0</v>
      </c>
      <c r="AW479">
        <f>IF(AND(AQ479=1,ISNUMBER(AT479)),$AT479,1)</f>
        <v>0</v>
      </c>
      <c r="AX479">
        <f>IF(AND(AR479=1,ISNUMBER(AT479)),$AT479,1)</f>
        <v>0</v>
      </c>
      <c r="AY479">
        <f>IF(ISNUMBER(Y479),INDEX(AllCollegeMoney, MATCH(N479,AllCollegeNCES,0)),0)</f>
        <v>0</v>
      </c>
      <c r="AZ479">
        <f>IF(AND(AQ479=1,ISNUMBER(AT479),AY479=1),$AT479,1)</f>
        <v>0</v>
      </c>
      <c r="BA479">
        <f>IF(AND(AR479=1,ISNUMBER(AT479),AY479=1),$AT479,1)</f>
        <v>0</v>
      </c>
      <c r="BB479">
        <f>IF(ISNUMBER(Y479),INDEX(AllCollegeILPub, MATCH(N479,AllCollegeNCES,0)),0)</f>
        <v>0</v>
      </c>
      <c r="BC479">
        <f>IF(AK479=ReachLabel,AP479,0)</f>
        <v>0</v>
      </c>
      <c r="BD479">
        <f>IF(AK479=MatchLabel,AP479,0)</f>
        <v>0</v>
      </c>
      <c r="BE479">
        <f>IF(AK479=SafetyLabel,AP479,0)</f>
        <v>0</v>
      </c>
      <c r="BF479">
        <f>IF(AK479=SecureLabel,AP479,0)</f>
        <v>0</v>
      </c>
      <c r="BG479">
        <f>IF(AK479=SureThingLabel,AP479,0)</f>
        <v>0</v>
      </c>
      <c r="BH479">
        <f>MAX(BC479:BG479)</f>
        <v>0</v>
      </c>
      <c r="BI479">
        <f>MAX(BD479:BG479)</f>
        <v>0</v>
      </c>
      <c r="BJ479">
        <f>MAX(BE479:BG479)</f>
        <v>0</v>
      </c>
      <c r="BK479">
        <f>IF(AND(AK479=ReachLabel,AY479=1),AP479,0)</f>
        <v>0</v>
      </c>
      <c r="BL479">
        <f>IF(AND(AK479=MatchLabel,AY479=1),AP479,0)</f>
        <v>0</v>
      </c>
      <c r="BM479">
        <f>IF(AND(AK479=SafetyLabel,AY479=1),AP479,0)</f>
        <v>0</v>
      </c>
      <c r="BN479">
        <f>IF(AND(AK479=SecureLabel,AY479=1),AP479,0)</f>
        <v>0</v>
      </c>
      <c r="BO479">
        <f>IF(AND(AK479=SureThingLabel,AY479=1),AP479,0)</f>
        <v>0</v>
      </c>
      <c r="BP479">
        <f>MAX(BK479:BO479)</f>
        <v>0</v>
      </c>
      <c r="BQ479">
        <f>MAX(BL479:BO479)</f>
        <v>0</v>
      </c>
      <c r="BR479">
        <f>MAX(BM479:BO479)</f>
        <v>0</v>
      </c>
      <c r="BS479">
        <f>IF(ISNUMBER(Y479),INDEX(AllCollegeChicago, MATCH(N479,AllCollegeNCES,0))*AY479,0)</f>
        <v>0</v>
      </c>
      <c r="BT479">
        <f>IF(ISNUMBER(Y479),INDEX(AllCollegeMoneyCode, MATCH(N479,AllCollegeNCES,0)),"?")</f>
        <v>0</v>
      </c>
      <c r="BU479">
        <f>IF(OR(BT479="---",BT479="--",BT479="+/--",BT479="+/---"),1,0)</f>
        <v>0</v>
      </c>
      <c r="BV479">
        <f>AY479*AO479*AQ479</f>
        <v>0</v>
      </c>
    </row>
    <row r="480" spans="1:74">
      <c r="A480" t="s">
        <v>86</v>
      </c>
      <c r="B480">
        <v>23460954</v>
      </c>
      <c r="C480" t="s">
        <v>275</v>
      </c>
      <c r="D480" t="s">
        <v>276</v>
      </c>
      <c r="E480" t="s">
        <v>428</v>
      </c>
      <c r="F480" t="s">
        <v>460</v>
      </c>
      <c r="G480" t="s">
        <v>430</v>
      </c>
      <c r="H480" t="s">
        <v>431</v>
      </c>
      <c r="I480" t="s">
        <v>432</v>
      </c>
      <c r="J480" t="s">
        <v>432</v>
      </c>
      <c r="K480">
        <v>0</v>
      </c>
      <c r="L480" t="s">
        <v>428</v>
      </c>
      <c r="M480" t="s">
        <v>428</v>
      </c>
      <c r="N480">
        <v>221519</v>
      </c>
      <c r="O480">
        <f>INDEX(AllCollegeBarrons,MATCH(N480,AllCollegeNCES,0))</f>
        <v>0</v>
      </c>
      <c r="P480">
        <f>INDEX(KidGPAs,MATCH(B480,KidIDs,0))</f>
        <v>0</v>
      </c>
      <c r="Q480">
        <f>INDEX(KidACTs,MATCH(B480,KidIDs,0))</f>
        <v>0</v>
      </c>
      <c r="R480">
        <f>INDEX(Strats,MATCH(B480,KidIDs,0))</f>
        <v>0</v>
      </c>
      <c r="S480">
        <f>INDEX(KidRace,MATCH(B480,KidIDs,0))</f>
        <v>0</v>
      </c>
      <c r="T480">
        <f>IF(OR(S480="M",S480="I"),"H",S480)</f>
        <v>0</v>
      </c>
      <c r="U480">
        <f>INDEX(StudentTargets,MATCH(B480,KidIDs,0))</f>
        <v>0</v>
      </c>
      <c r="V480">
        <f>INDEX(ReachStudentTargets,MATCH(B480,KidIDs,0))</f>
        <v>0</v>
      </c>
      <c r="W480">
        <f>IF(OR(M480="Posse"),1,0)</f>
        <v>0</v>
      </c>
      <c r="X480">
        <f>IF(ISNUMBER(INDEX(AllCollegeGR, MATCH(N480,AllCollegeNCES,0))),ROUND(INDEX(AllCollegeGR, MATCH(N480,AllCollegeNCES,0))+W480*IF(INDEX(AllCollegeGR, MATCH(N480,AllCollegeNCES,0))&gt;0.7,(1-INDEX(AllCollegeGR, MATCH(N480,AllCollegeNCES,0)))/2,0.15),2),INDEX(AllCollegeGR, MATCH(N480,AllCollegeNCES,0)))</f>
        <v>0</v>
      </c>
      <c r="Y480">
        <f>IF(ISNUMBER(INDEX(AllCollegeAAHGR, MATCH(N480,AllCollegeNCES,0))),ROUND(INDEX(AllCollegeAAHGR, MATCH(N480,AllCollegeNCES,0))+W480*IF(INDEX(AllCollegeAAHGR, MATCH(N480,AllCollegeNCES,0))&gt;0.7,(1-INDEX(AllCollegeAAHGR, MATCH(N480,AllCollegeNCES,0)))/2,0.15),2),INDEX(AllCollegeAAHGR, MATCH(N480,AllCollegeNCES,0)))</f>
        <v>0</v>
      </c>
      <c r="Z480">
        <f>IF(OR(T480="H",T480="B"),INDEX(AllCollegeACT25, MATCH(N480,AllCollegeNCES,0)),INDEX(AllCollegeACT50, MATCH(N480,AllCollegeNCES,0)))</f>
        <v>0</v>
      </c>
      <c r="AA480">
        <f>INDEX(CustomWeightsGPA,MATCH(T480&amp;":"&amp;N480,CustomWeightsIndex,0))</f>
        <v>0</v>
      </c>
      <c r="AB480">
        <f>INDEX(CustomWeightsACT,MATCH(T480&amp;":"&amp;N480,CustomWeightsIndex,0))</f>
        <v>0</v>
      </c>
      <c r="AC480">
        <f>INDEX(CustomWeightsIntercept,MATCH(T480&amp;":"&amp;N480,CustomWeightsIndex,0))</f>
        <v>0</v>
      </c>
      <c r="AD480">
        <f>AA480*P480+AB480*Q480+AC480</f>
        <v>0</v>
      </c>
      <c r="AE480">
        <f>INDEX(CoefficientsGPA,MATCH(T480&amp;":"&amp;O480,CoefficientsIndex,0))</f>
        <v>0</v>
      </c>
      <c r="AF480">
        <f>INDEX(CoefficientsACT,MATCH(T480&amp;":"&amp;O480,CoefficientsIndex,0))</f>
        <v>0</v>
      </c>
      <c r="AG480">
        <f>INDEX(CoefficientsIntercept,MATCH(T480&amp;":"&amp;O480,CoefficientsIndex,0))</f>
        <v>0</v>
      </c>
      <c r="AH480">
        <f>AE480*P480+(Q480-Z480)*AF480+AG480</f>
        <v>0</v>
      </c>
      <c r="AI480">
        <f>IF(ISNUMBER(AD480),AD480,AH480)</f>
        <v>0</v>
      </c>
      <c r="AJ480">
        <f>IF(ISNUMBER(AI480),IF(ISNUMBER(AE480),IF(AND(AE480=1,AF480=1,AG480=1),100,ROUND(100*EXP(AI480)/(1+EXP(AI480)),2)),ROUND(100*EXP(AI480)/(1+EXP(AI480)),2)),IF(ISTEXT(O480),IF(LEFT(O480,1)="2",100,"N/A"),"N/A"))</f>
        <v>0</v>
      </c>
      <c r="AK480">
        <f>IF(ISNUMBER(AJ480),IF(AJ480&gt;=99,IF(OR(R480=10,R480=11),MatchLabel,SureThingLabel),IF(AJ480&gt;=95,SecureLabel,IF(AJ480&gt;=80,SafetyLabel,IF(AJ480&gt;=50,MatchLabel,IF(AJ480&gt;=20,ReachLabel,IF(AJ480&gt;=10,LongshotLabel,HailMaryLabel)))))),"Other")</f>
        <v>0</v>
      </c>
      <c r="AL480">
        <f>IF(OR(I480="accepted",I480="cond. accept",I480="summer admit"),IF(J480="yes","CHOICE!","Accepted!"),IF(I480="denied","Denied",IF(K480=1,"Waitlist",IF(L480=1,"Deferred",IF(G480="pending","Pending",IF(OR(G480="initial materials submitted",G480="mid-year submitted",G480="final submitted"),"Submitted",IF(H480="interest","Interest","?")))))))</f>
        <v>0</v>
      </c>
      <c r="AM480">
        <f>IF(OR(AK480=ReachLabel,AK480=LongshotLabel,AK480=HailMaryLabel),1,0)</f>
        <v>0</v>
      </c>
      <c r="AN480">
        <f>IF(OR(AM480=1,AK480=MatchLabel),1,0)</f>
        <v>0</v>
      </c>
      <c r="AO480">
        <f>IF(OR(AK480=MatchLabel,AK480=SafetyLabel,AK480=SecureLabel,AK480=SureThingLabel),1,0)</f>
        <v>0</v>
      </c>
      <c r="AP480">
        <f>IF(OR(T480="H",T480="B"),IF(ISNUMBER(Y480),ROUND(Y480,2),0),IF(ISNUMBER(X480),ROUND(X480,2),0))</f>
        <v>0</v>
      </c>
      <c r="AQ480">
        <f>IF(AP480&gt;=U480,1,0)</f>
        <v>0</v>
      </c>
      <c r="AR480">
        <f>IF(AP480&gt;=V480,1,0)</f>
        <v>0</v>
      </c>
      <c r="AS480">
        <f>IF(AP480&lt;(U480-0.10),1,0)</f>
        <v>0</v>
      </c>
      <c r="AT480">
        <f>1-AJ480/100</f>
        <v>0</v>
      </c>
      <c r="AU480">
        <f>IF(AN480=1,AT480,1)</f>
        <v>0</v>
      </c>
      <c r="AV480">
        <f>IF(AM480=1,AT480,1)</f>
        <v>0</v>
      </c>
      <c r="AW480">
        <f>IF(AND(AQ480=1,ISNUMBER(AT480)),$AT480,1)</f>
        <v>0</v>
      </c>
      <c r="AX480">
        <f>IF(AND(AR480=1,ISNUMBER(AT480)),$AT480,1)</f>
        <v>0</v>
      </c>
      <c r="AY480">
        <f>IF(ISNUMBER(Y480),INDEX(AllCollegeMoney, MATCH(N480,AllCollegeNCES,0)),0)</f>
        <v>0</v>
      </c>
      <c r="AZ480">
        <f>IF(AND(AQ480=1,ISNUMBER(AT480),AY480=1),$AT480,1)</f>
        <v>0</v>
      </c>
      <c r="BA480">
        <f>IF(AND(AR480=1,ISNUMBER(AT480),AY480=1),$AT480,1)</f>
        <v>0</v>
      </c>
      <c r="BB480">
        <f>IF(ISNUMBER(Y480),INDEX(AllCollegeILPub, MATCH(N480,AllCollegeNCES,0)),0)</f>
        <v>0</v>
      </c>
      <c r="BC480">
        <f>IF(AK480=ReachLabel,AP480,0)</f>
        <v>0</v>
      </c>
      <c r="BD480">
        <f>IF(AK480=MatchLabel,AP480,0)</f>
        <v>0</v>
      </c>
      <c r="BE480">
        <f>IF(AK480=SafetyLabel,AP480,0)</f>
        <v>0</v>
      </c>
      <c r="BF480">
        <f>IF(AK480=SecureLabel,AP480,0)</f>
        <v>0</v>
      </c>
      <c r="BG480">
        <f>IF(AK480=SureThingLabel,AP480,0)</f>
        <v>0</v>
      </c>
      <c r="BH480">
        <f>MAX(BC480:BG480)</f>
        <v>0</v>
      </c>
      <c r="BI480">
        <f>MAX(BD480:BG480)</f>
        <v>0</v>
      </c>
      <c r="BJ480">
        <f>MAX(BE480:BG480)</f>
        <v>0</v>
      </c>
      <c r="BK480">
        <f>IF(AND(AK480=ReachLabel,AY480=1),AP480,0)</f>
        <v>0</v>
      </c>
      <c r="BL480">
        <f>IF(AND(AK480=MatchLabel,AY480=1),AP480,0)</f>
        <v>0</v>
      </c>
      <c r="BM480">
        <f>IF(AND(AK480=SafetyLabel,AY480=1),AP480,0)</f>
        <v>0</v>
      </c>
      <c r="BN480">
        <f>IF(AND(AK480=SecureLabel,AY480=1),AP480,0)</f>
        <v>0</v>
      </c>
      <c r="BO480">
        <f>IF(AND(AK480=SureThingLabel,AY480=1),AP480,0)</f>
        <v>0</v>
      </c>
      <c r="BP480">
        <f>MAX(BK480:BO480)</f>
        <v>0</v>
      </c>
      <c r="BQ480">
        <f>MAX(BL480:BO480)</f>
        <v>0</v>
      </c>
      <c r="BR480">
        <f>MAX(BM480:BO480)</f>
        <v>0</v>
      </c>
      <c r="BS480">
        <f>IF(ISNUMBER(Y480),INDEX(AllCollegeChicago, MATCH(N480,AllCollegeNCES,0))*AY480,0)</f>
        <v>0</v>
      </c>
      <c r="BT480">
        <f>IF(ISNUMBER(Y480),INDEX(AllCollegeMoneyCode, MATCH(N480,AllCollegeNCES,0)),"?")</f>
        <v>0</v>
      </c>
      <c r="BU480">
        <f>IF(OR(BT480="---",BT480="--",BT480="+/--",BT480="+/---"),1,0)</f>
        <v>0</v>
      </c>
      <c r="BV480">
        <f>AY480*AO480*AQ480</f>
        <v>0</v>
      </c>
    </row>
    <row r="481" spans="1:74">
      <c r="A481" t="s">
        <v>86</v>
      </c>
      <c r="B481">
        <v>23461683</v>
      </c>
      <c r="C481" t="s">
        <v>287</v>
      </c>
      <c r="D481" t="s">
        <v>288</v>
      </c>
      <c r="E481" t="s">
        <v>428</v>
      </c>
      <c r="F481" t="s">
        <v>496</v>
      </c>
      <c r="G481" t="s">
        <v>430</v>
      </c>
      <c r="H481" t="s">
        <v>431</v>
      </c>
      <c r="I481" t="s">
        <v>432</v>
      </c>
      <c r="J481" t="s">
        <v>432</v>
      </c>
      <c r="K481">
        <v>0</v>
      </c>
      <c r="L481" t="s">
        <v>428</v>
      </c>
      <c r="M481" t="s">
        <v>428</v>
      </c>
      <c r="N481">
        <v>150400</v>
      </c>
      <c r="O481">
        <f>INDEX(AllCollegeBarrons,MATCH(N481,AllCollegeNCES,0))</f>
        <v>0</v>
      </c>
      <c r="P481">
        <f>INDEX(KidGPAs,MATCH(B481,KidIDs,0))</f>
        <v>0</v>
      </c>
      <c r="Q481">
        <f>INDEX(KidACTs,MATCH(B481,KidIDs,0))</f>
        <v>0</v>
      </c>
      <c r="R481">
        <f>INDEX(Strats,MATCH(B481,KidIDs,0))</f>
        <v>0</v>
      </c>
      <c r="S481">
        <f>INDEX(KidRace,MATCH(B481,KidIDs,0))</f>
        <v>0</v>
      </c>
      <c r="T481">
        <f>IF(OR(S481="M",S481="I"),"H",S481)</f>
        <v>0</v>
      </c>
      <c r="U481">
        <f>INDEX(StudentTargets,MATCH(B481,KidIDs,0))</f>
        <v>0</v>
      </c>
      <c r="V481">
        <f>INDEX(ReachStudentTargets,MATCH(B481,KidIDs,0))</f>
        <v>0</v>
      </c>
      <c r="W481">
        <f>IF(OR(M481="Posse"),1,0)</f>
        <v>0</v>
      </c>
      <c r="X481">
        <f>IF(ISNUMBER(INDEX(AllCollegeGR, MATCH(N481,AllCollegeNCES,0))),ROUND(INDEX(AllCollegeGR, MATCH(N481,AllCollegeNCES,0))+W481*IF(INDEX(AllCollegeGR, MATCH(N481,AllCollegeNCES,0))&gt;0.7,(1-INDEX(AllCollegeGR, MATCH(N481,AllCollegeNCES,0)))/2,0.15),2),INDEX(AllCollegeGR, MATCH(N481,AllCollegeNCES,0)))</f>
        <v>0</v>
      </c>
      <c r="Y481">
        <f>IF(ISNUMBER(INDEX(AllCollegeAAHGR, MATCH(N481,AllCollegeNCES,0))),ROUND(INDEX(AllCollegeAAHGR, MATCH(N481,AllCollegeNCES,0))+W481*IF(INDEX(AllCollegeAAHGR, MATCH(N481,AllCollegeNCES,0))&gt;0.7,(1-INDEX(AllCollegeAAHGR, MATCH(N481,AllCollegeNCES,0)))/2,0.15),2),INDEX(AllCollegeAAHGR, MATCH(N481,AllCollegeNCES,0)))</f>
        <v>0</v>
      </c>
      <c r="Z481">
        <f>IF(OR(T481="H",T481="B"),INDEX(AllCollegeACT25, MATCH(N481,AllCollegeNCES,0)),INDEX(AllCollegeACT50, MATCH(N481,AllCollegeNCES,0)))</f>
        <v>0</v>
      </c>
      <c r="AA481">
        <f>INDEX(CustomWeightsGPA,MATCH(T481&amp;":"&amp;N481,CustomWeightsIndex,0))</f>
        <v>0</v>
      </c>
      <c r="AB481">
        <f>INDEX(CustomWeightsACT,MATCH(T481&amp;":"&amp;N481,CustomWeightsIndex,0))</f>
        <v>0</v>
      </c>
      <c r="AC481">
        <f>INDEX(CustomWeightsIntercept,MATCH(T481&amp;":"&amp;N481,CustomWeightsIndex,0))</f>
        <v>0</v>
      </c>
      <c r="AD481">
        <f>AA481*P481+AB481*Q481+AC481</f>
        <v>0</v>
      </c>
      <c r="AE481">
        <f>INDEX(CoefficientsGPA,MATCH(T481&amp;":"&amp;O481,CoefficientsIndex,0))</f>
        <v>0</v>
      </c>
      <c r="AF481">
        <f>INDEX(CoefficientsACT,MATCH(T481&amp;":"&amp;O481,CoefficientsIndex,0))</f>
        <v>0</v>
      </c>
      <c r="AG481">
        <f>INDEX(CoefficientsIntercept,MATCH(T481&amp;":"&amp;O481,CoefficientsIndex,0))</f>
        <v>0</v>
      </c>
      <c r="AH481">
        <f>AE481*P481+(Q481-Z481)*AF481+AG481</f>
        <v>0</v>
      </c>
      <c r="AI481">
        <f>IF(ISNUMBER(AD481),AD481,AH481)</f>
        <v>0</v>
      </c>
      <c r="AJ481">
        <f>IF(ISNUMBER(AI481),IF(ISNUMBER(AE481),IF(AND(AE481=1,AF481=1,AG481=1),100,ROUND(100*EXP(AI481)/(1+EXP(AI481)),2)),ROUND(100*EXP(AI481)/(1+EXP(AI481)),2)),IF(ISTEXT(O481),IF(LEFT(O481,1)="2",100,"N/A"),"N/A"))</f>
        <v>0</v>
      </c>
      <c r="AK481">
        <f>IF(ISNUMBER(AJ481),IF(AJ481&gt;=99,IF(OR(R481=10,R481=11),MatchLabel,SureThingLabel),IF(AJ481&gt;=95,SecureLabel,IF(AJ481&gt;=80,SafetyLabel,IF(AJ481&gt;=50,MatchLabel,IF(AJ481&gt;=20,ReachLabel,IF(AJ481&gt;=10,LongshotLabel,HailMaryLabel)))))),"Other")</f>
        <v>0</v>
      </c>
      <c r="AL481">
        <f>IF(OR(I481="accepted",I481="cond. accept",I481="summer admit"),IF(J481="yes","CHOICE!","Accepted!"),IF(I481="denied","Denied",IF(K481=1,"Waitlist",IF(L481=1,"Deferred",IF(G481="pending","Pending",IF(OR(G481="initial materials submitted",G481="mid-year submitted",G481="final submitted"),"Submitted",IF(H481="interest","Interest","?")))))))</f>
        <v>0</v>
      </c>
      <c r="AM481">
        <f>IF(OR(AK481=ReachLabel,AK481=LongshotLabel,AK481=HailMaryLabel),1,0)</f>
        <v>0</v>
      </c>
      <c r="AN481">
        <f>IF(OR(AM481=1,AK481=MatchLabel),1,0)</f>
        <v>0</v>
      </c>
      <c r="AO481">
        <f>IF(OR(AK481=MatchLabel,AK481=SafetyLabel,AK481=SecureLabel,AK481=SureThingLabel),1,0)</f>
        <v>0</v>
      </c>
      <c r="AP481">
        <f>IF(OR(T481="H",T481="B"),IF(ISNUMBER(Y481),ROUND(Y481,2),0),IF(ISNUMBER(X481),ROUND(X481,2),0))</f>
        <v>0</v>
      </c>
      <c r="AQ481">
        <f>IF(AP481&gt;=U481,1,0)</f>
        <v>0</v>
      </c>
      <c r="AR481">
        <f>IF(AP481&gt;=V481,1,0)</f>
        <v>0</v>
      </c>
      <c r="AS481">
        <f>IF(AP481&lt;(U481-0.10),1,0)</f>
        <v>0</v>
      </c>
      <c r="AT481">
        <f>1-AJ481/100</f>
        <v>0</v>
      </c>
      <c r="AU481">
        <f>IF(AN481=1,AT481,1)</f>
        <v>0</v>
      </c>
      <c r="AV481">
        <f>IF(AM481=1,AT481,1)</f>
        <v>0</v>
      </c>
      <c r="AW481">
        <f>IF(AND(AQ481=1,ISNUMBER(AT481)),$AT481,1)</f>
        <v>0</v>
      </c>
      <c r="AX481">
        <f>IF(AND(AR481=1,ISNUMBER(AT481)),$AT481,1)</f>
        <v>0</v>
      </c>
      <c r="AY481">
        <f>IF(ISNUMBER(Y481),INDEX(AllCollegeMoney, MATCH(N481,AllCollegeNCES,0)),0)</f>
        <v>0</v>
      </c>
      <c r="AZ481">
        <f>IF(AND(AQ481=1,ISNUMBER(AT481),AY481=1),$AT481,1)</f>
        <v>0</v>
      </c>
      <c r="BA481">
        <f>IF(AND(AR481=1,ISNUMBER(AT481),AY481=1),$AT481,1)</f>
        <v>0</v>
      </c>
      <c r="BB481">
        <f>IF(ISNUMBER(Y481),INDEX(AllCollegeILPub, MATCH(N481,AllCollegeNCES,0)),0)</f>
        <v>0</v>
      </c>
      <c r="BC481">
        <f>IF(AK481=ReachLabel,AP481,0)</f>
        <v>0</v>
      </c>
      <c r="BD481">
        <f>IF(AK481=MatchLabel,AP481,0)</f>
        <v>0</v>
      </c>
      <c r="BE481">
        <f>IF(AK481=SafetyLabel,AP481,0)</f>
        <v>0</v>
      </c>
      <c r="BF481">
        <f>IF(AK481=SecureLabel,AP481,0)</f>
        <v>0</v>
      </c>
      <c r="BG481">
        <f>IF(AK481=SureThingLabel,AP481,0)</f>
        <v>0</v>
      </c>
      <c r="BH481">
        <f>MAX(BC481:BG481)</f>
        <v>0</v>
      </c>
      <c r="BI481">
        <f>MAX(BD481:BG481)</f>
        <v>0</v>
      </c>
      <c r="BJ481">
        <f>MAX(BE481:BG481)</f>
        <v>0</v>
      </c>
      <c r="BK481">
        <f>IF(AND(AK481=ReachLabel,AY481=1),AP481,0)</f>
        <v>0</v>
      </c>
      <c r="BL481">
        <f>IF(AND(AK481=MatchLabel,AY481=1),AP481,0)</f>
        <v>0</v>
      </c>
      <c r="BM481">
        <f>IF(AND(AK481=SafetyLabel,AY481=1),AP481,0)</f>
        <v>0</v>
      </c>
      <c r="BN481">
        <f>IF(AND(AK481=SecureLabel,AY481=1),AP481,0)</f>
        <v>0</v>
      </c>
      <c r="BO481">
        <f>IF(AND(AK481=SureThingLabel,AY481=1),AP481,0)</f>
        <v>0</v>
      </c>
      <c r="BP481">
        <f>MAX(BK481:BO481)</f>
        <v>0</v>
      </c>
      <c r="BQ481">
        <f>MAX(BL481:BO481)</f>
        <v>0</v>
      </c>
      <c r="BR481">
        <f>MAX(BM481:BO481)</f>
        <v>0</v>
      </c>
      <c r="BS481">
        <f>IF(ISNUMBER(Y481),INDEX(AllCollegeChicago, MATCH(N481,AllCollegeNCES,0))*AY481,0)</f>
        <v>0</v>
      </c>
      <c r="BT481">
        <f>IF(ISNUMBER(Y481),INDEX(AllCollegeMoneyCode, MATCH(N481,AllCollegeNCES,0)),"?")</f>
        <v>0</v>
      </c>
      <c r="BU481">
        <f>IF(OR(BT481="---",BT481="--",BT481="+/--",BT481="+/---"),1,0)</f>
        <v>0</v>
      </c>
      <c r="BV481">
        <f>AY481*AO481*AQ481</f>
        <v>0</v>
      </c>
    </row>
    <row r="482" spans="1:74">
      <c r="A482" t="s">
        <v>86</v>
      </c>
      <c r="B482">
        <v>23461683</v>
      </c>
      <c r="C482" t="s">
        <v>287</v>
      </c>
      <c r="D482" t="s">
        <v>288</v>
      </c>
      <c r="E482" t="s">
        <v>428</v>
      </c>
      <c r="F482" t="s">
        <v>455</v>
      </c>
      <c r="G482" t="s">
        <v>430</v>
      </c>
      <c r="H482" t="s">
        <v>431</v>
      </c>
      <c r="I482" t="s">
        <v>432</v>
      </c>
      <c r="J482" t="s">
        <v>432</v>
      </c>
      <c r="K482">
        <v>0</v>
      </c>
      <c r="L482" t="s">
        <v>428</v>
      </c>
      <c r="M482" t="s">
        <v>428</v>
      </c>
      <c r="N482">
        <v>240444</v>
      </c>
      <c r="O482">
        <f>INDEX(AllCollegeBarrons,MATCH(N482,AllCollegeNCES,0))</f>
        <v>0</v>
      </c>
      <c r="P482">
        <f>INDEX(KidGPAs,MATCH(B482,KidIDs,0))</f>
        <v>0</v>
      </c>
      <c r="Q482">
        <f>INDEX(KidACTs,MATCH(B482,KidIDs,0))</f>
        <v>0</v>
      </c>
      <c r="R482">
        <f>INDEX(Strats,MATCH(B482,KidIDs,0))</f>
        <v>0</v>
      </c>
      <c r="S482">
        <f>INDEX(KidRace,MATCH(B482,KidIDs,0))</f>
        <v>0</v>
      </c>
      <c r="T482">
        <f>IF(OR(S482="M",S482="I"),"H",S482)</f>
        <v>0</v>
      </c>
      <c r="U482">
        <f>INDEX(StudentTargets,MATCH(B482,KidIDs,0))</f>
        <v>0</v>
      </c>
      <c r="V482">
        <f>INDEX(ReachStudentTargets,MATCH(B482,KidIDs,0))</f>
        <v>0</v>
      </c>
      <c r="W482">
        <f>IF(OR(M482="Posse"),1,0)</f>
        <v>0</v>
      </c>
      <c r="X482">
        <f>IF(ISNUMBER(INDEX(AllCollegeGR, MATCH(N482,AllCollegeNCES,0))),ROUND(INDEX(AllCollegeGR, MATCH(N482,AllCollegeNCES,0))+W482*IF(INDEX(AllCollegeGR, MATCH(N482,AllCollegeNCES,0))&gt;0.7,(1-INDEX(AllCollegeGR, MATCH(N482,AllCollegeNCES,0)))/2,0.15),2),INDEX(AllCollegeGR, MATCH(N482,AllCollegeNCES,0)))</f>
        <v>0</v>
      </c>
      <c r="Y482">
        <f>IF(ISNUMBER(INDEX(AllCollegeAAHGR, MATCH(N482,AllCollegeNCES,0))),ROUND(INDEX(AllCollegeAAHGR, MATCH(N482,AllCollegeNCES,0))+W482*IF(INDEX(AllCollegeAAHGR, MATCH(N482,AllCollegeNCES,0))&gt;0.7,(1-INDEX(AllCollegeAAHGR, MATCH(N482,AllCollegeNCES,0)))/2,0.15),2),INDEX(AllCollegeAAHGR, MATCH(N482,AllCollegeNCES,0)))</f>
        <v>0</v>
      </c>
      <c r="Z482">
        <f>IF(OR(T482="H",T482="B"),INDEX(AllCollegeACT25, MATCH(N482,AllCollegeNCES,0)),INDEX(AllCollegeACT50, MATCH(N482,AllCollegeNCES,0)))</f>
        <v>0</v>
      </c>
      <c r="AA482">
        <f>INDEX(CustomWeightsGPA,MATCH(T482&amp;":"&amp;N482,CustomWeightsIndex,0))</f>
        <v>0</v>
      </c>
      <c r="AB482">
        <f>INDEX(CustomWeightsACT,MATCH(T482&amp;":"&amp;N482,CustomWeightsIndex,0))</f>
        <v>0</v>
      </c>
      <c r="AC482">
        <f>INDEX(CustomWeightsIntercept,MATCH(T482&amp;":"&amp;N482,CustomWeightsIndex,0))</f>
        <v>0</v>
      </c>
      <c r="AD482">
        <f>AA482*P482+AB482*Q482+AC482</f>
        <v>0</v>
      </c>
      <c r="AE482">
        <f>INDEX(CoefficientsGPA,MATCH(T482&amp;":"&amp;O482,CoefficientsIndex,0))</f>
        <v>0</v>
      </c>
      <c r="AF482">
        <f>INDEX(CoefficientsACT,MATCH(T482&amp;":"&amp;O482,CoefficientsIndex,0))</f>
        <v>0</v>
      </c>
      <c r="AG482">
        <f>INDEX(CoefficientsIntercept,MATCH(T482&amp;":"&amp;O482,CoefficientsIndex,0))</f>
        <v>0</v>
      </c>
      <c r="AH482">
        <f>AE482*P482+(Q482-Z482)*AF482+AG482</f>
        <v>0</v>
      </c>
      <c r="AI482">
        <f>IF(ISNUMBER(AD482),AD482,AH482)</f>
        <v>0</v>
      </c>
      <c r="AJ482">
        <f>IF(ISNUMBER(AI482),IF(ISNUMBER(AE482),IF(AND(AE482=1,AF482=1,AG482=1),100,ROUND(100*EXP(AI482)/(1+EXP(AI482)),2)),ROUND(100*EXP(AI482)/(1+EXP(AI482)),2)),IF(ISTEXT(O482),IF(LEFT(O482,1)="2",100,"N/A"),"N/A"))</f>
        <v>0</v>
      </c>
      <c r="AK482">
        <f>IF(ISNUMBER(AJ482),IF(AJ482&gt;=99,IF(OR(R482=10,R482=11),MatchLabel,SureThingLabel),IF(AJ482&gt;=95,SecureLabel,IF(AJ482&gt;=80,SafetyLabel,IF(AJ482&gt;=50,MatchLabel,IF(AJ482&gt;=20,ReachLabel,IF(AJ482&gt;=10,LongshotLabel,HailMaryLabel)))))),"Other")</f>
        <v>0</v>
      </c>
      <c r="AL482">
        <f>IF(OR(I482="accepted",I482="cond. accept",I482="summer admit"),IF(J482="yes","CHOICE!","Accepted!"),IF(I482="denied","Denied",IF(K482=1,"Waitlist",IF(L482=1,"Deferred",IF(G482="pending","Pending",IF(OR(G482="initial materials submitted",G482="mid-year submitted",G482="final submitted"),"Submitted",IF(H482="interest","Interest","?")))))))</f>
        <v>0</v>
      </c>
      <c r="AM482">
        <f>IF(OR(AK482=ReachLabel,AK482=LongshotLabel,AK482=HailMaryLabel),1,0)</f>
        <v>0</v>
      </c>
      <c r="AN482">
        <f>IF(OR(AM482=1,AK482=MatchLabel),1,0)</f>
        <v>0</v>
      </c>
      <c r="AO482">
        <f>IF(OR(AK482=MatchLabel,AK482=SafetyLabel,AK482=SecureLabel,AK482=SureThingLabel),1,0)</f>
        <v>0</v>
      </c>
      <c r="AP482">
        <f>IF(OR(T482="H",T482="B"),IF(ISNUMBER(Y482),ROUND(Y482,2),0),IF(ISNUMBER(X482),ROUND(X482,2),0))</f>
        <v>0</v>
      </c>
      <c r="AQ482">
        <f>IF(AP482&gt;=U482,1,0)</f>
        <v>0</v>
      </c>
      <c r="AR482">
        <f>IF(AP482&gt;=V482,1,0)</f>
        <v>0</v>
      </c>
      <c r="AS482">
        <f>IF(AP482&lt;(U482-0.10),1,0)</f>
        <v>0</v>
      </c>
      <c r="AT482">
        <f>1-AJ482/100</f>
        <v>0</v>
      </c>
      <c r="AU482">
        <f>IF(AN482=1,AT482,1)</f>
        <v>0</v>
      </c>
      <c r="AV482">
        <f>IF(AM482=1,AT482,1)</f>
        <v>0</v>
      </c>
      <c r="AW482">
        <f>IF(AND(AQ482=1,ISNUMBER(AT482)),$AT482,1)</f>
        <v>0</v>
      </c>
      <c r="AX482">
        <f>IF(AND(AR482=1,ISNUMBER(AT482)),$AT482,1)</f>
        <v>0</v>
      </c>
      <c r="AY482">
        <f>IF(ISNUMBER(Y482),INDEX(AllCollegeMoney, MATCH(N482,AllCollegeNCES,0)),0)</f>
        <v>0</v>
      </c>
      <c r="AZ482">
        <f>IF(AND(AQ482=1,ISNUMBER(AT482),AY482=1),$AT482,1)</f>
        <v>0</v>
      </c>
      <c r="BA482">
        <f>IF(AND(AR482=1,ISNUMBER(AT482),AY482=1),$AT482,1)</f>
        <v>0</v>
      </c>
      <c r="BB482">
        <f>IF(ISNUMBER(Y482),INDEX(AllCollegeILPub, MATCH(N482,AllCollegeNCES,0)),0)</f>
        <v>0</v>
      </c>
      <c r="BC482">
        <f>IF(AK482=ReachLabel,AP482,0)</f>
        <v>0</v>
      </c>
      <c r="BD482">
        <f>IF(AK482=MatchLabel,AP482,0)</f>
        <v>0</v>
      </c>
      <c r="BE482">
        <f>IF(AK482=SafetyLabel,AP482,0)</f>
        <v>0</v>
      </c>
      <c r="BF482">
        <f>IF(AK482=SecureLabel,AP482,0)</f>
        <v>0</v>
      </c>
      <c r="BG482">
        <f>IF(AK482=SureThingLabel,AP482,0)</f>
        <v>0</v>
      </c>
      <c r="BH482">
        <f>MAX(BC482:BG482)</f>
        <v>0</v>
      </c>
      <c r="BI482">
        <f>MAX(BD482:BG482)</f>
        <v>0</v>
      </c>
      <c r="BJ482">
        <f>MAX(BE482:BG482)</f>
        <v>0</v>
      </c>
      <c r="BK482">
        <f>IF(AND(AK482=ReachLabel,AY482=1),AP482,0)</f>
        <v>0</v>
      </c>
      <c r="BL482">
        <f>IF(AND(AK482=MatchLabel,AY482=1),AP482,0)</f>
        <v>0</v>
      </c>
      <c r="BM482">
        <f>IF(AND(AK482=SafetyLabel,AY482=1),AP482,0)</f>
        <v>0</v>
      </c>
      <c r="BN482">
        <f>IF(AND(AK482=SecureLabel,AY482=1),AP482,0)</f>
        <v>0</v>
      </c>
      <c r="BO482">
        <f>IF(AND(AK482=SureThingLabel,AY482=1),AP482,0)</f>
        <v>0</v>
      </c>
      <c r="BP482">
        <f>MAX(BK482:BO482)</f>
        <v>0</v>
      </c>
      <c r="BQ482">
        <f>MAX(BL482:BO482)</f>
        <v>0</v>
      </c>
      <c r="BR482">
        <f>MAX(BM482:BO482)</f>
        <v>0</v>
      </c>
      <c r="BS482">
        <f>IF(ISNUMBER(Y482),INDEX(AllCollegeChicago, MATCH(N482,AllCollegeNCES,0))*AY482,0)</f>
        <v>0</v>
      </c>
      <c r="BT482">
        <f>IF(ISNUMBER(Y482),INDEX(AllCollegeMoneyCode, MATCH(N482,AllCollegeNCES,0)),"?")</f>
        <v>0</v>
      </c>
      <c r="BU482">
        <f>IF(OR(BT482="---",BT482="--",BT482="+/--",BT482="+/---"),1,0)</f>
        <v>0</v>
      </c>
      <c r="BV482">
        <f>AY482*AO482*AQ482</f>
        <v>0</v>
      </c>
    </row>
    <row r="483" spans="1:74">
      <c r="A483" t="s">
        <v>86</v>
      </c>
      <c r="B483">
        <v>23461683</v>
      </c>
      <c r="C483" t="s">
        <v>287</v>
      </c>
      <c r="D483" t="s">
        <v>288</v>
      </c>
      <c r="E483" t="s">
        <v>428</v>
      </c>
      <c r="F483" t="s">
        <v>457</v>
      </c>
      <c r="G483" t="s">
        <v>430</v>
      </c>
      <c r="H483" t="s">
        <v>431</v>
      </c>
      <c r="I483" t="s">
        <v>432</v>
      </c>
      <c r="J483" t="s">
        <v>432</v>
      </c>
      <c r="K483">
        <v>0</v>
      </c>
      <c r="L483" t="s">
        <v>428</v>
      </c>
      <c r="M483" t="s">
        <v>428</v>
      </c>
      <c r="N483">
        <v>145637</v>
      </c>
      <c r="O483">
        <f>INDEX(AllCollegeBarrons,MATCH(N483,AllCollegeNCES,0))</f>
        <v>0</v>
      </c>
      <c r="P483">
        <f>INDEX(KidGPAs,MATCH(B483,KidIDs,0))</f>
        <v>0</v>
      </c>
      <c r="Q483">
        <f>INDEX(KidACTs,MATCH(B483,KidIDs,0))</f>
        <v>0</v>
      </c>
      <c r="R483">
        <f>INDEX(Strats,MATCH(B483,KidIDs,0))</f>
        <v>0</v>
      </c>
      <c r="S483">
        <f>INDEX(KidRace,MATCH(B483,KidIDs,0))</f>
        <v>0</v>
      </c>
      <c r="T483">
        <f>IF(OR(S483="M",S483="I"),"H",S483)</f>
        <v>0</v>
      </c>
      <c r="U483">
        <f>INDEX(StudentTargets,MATCH(B483,KidIDs,0))</f>
        <v>0</v>
      </c>
      <c r="V483">
        <f>INDEX(ReachStudentTargets,MATCH(B483,KidIDs,0))</f>
        <v>0</v>
      </c>
      <c r="W483">
        <f>IF(OR(M483="Posse"),1,0)</f>
        <v>0</v>
      </c>
      <c r="X483">
        <f>IF(ISNUMBER(INDEX(AllCollegeGR, MATCH(N483,AllCollegeNCES,0))),ROUND(INDEX(AllCollegeGR, MATCH(N483,AllCollegeNCES,0))+W483*IF(INDEX(AllCollegeGR, MATCH(N483,AllCollegeNCES,0))&gt;0.7,(1-INDEX(AllCollegeGR, MATCH(N483,AllCollegeNCES,0)))/2,0.15),2),INDEX(AllCollegeGR, MATCH(N483,AllCollegeNCES,0)))</f>
        <v>0</v>
      </c>
      <c r="Y483">
        <f>IF(ISNUMBER(INDEX(AllCollegeAAHGR, MATCH(N483,AllCollegeNCES,0))),ROUND(INDEX(AllCollegeAAHGR, MATCH(N483,AllCollegeNCES,0))+W483*IF(INDEX(AllCollegeAAHGR, MATCH(N483,AllCollegeNCES,0))&gt;0.7,(1-INDEX(AllCollegeAAHGR, MATCH(N483,AllCollegeNCES,0)))/2,0.15),2),INDEX(AllCollegeAAHGR, MATCH(N483,AllCollegeNCES,0)))</f>
        <v>0</v>
      </c>
      <c r="Z483">
        <f>IF(OR(T483="H",T483="B"),INDEX(AllCollegeACT25, MATCH(N483,AllCollegeNCES,0)),INDEX(AllCollegeACT50, MATCH(N483,AllCollegeNCES,0)))</f>
        <v>0</v>
      </c>
      <c r="AA483">
        <f>INDEX(CustomWeightsGPA,MATCH(T483&amp;":"&amp;N483,CustomWeightsIndex,0))</f>
        <v>0</v>
      </c>
      <c r="AB483">
        <f>INDEX(CustomWeightsACT,MATCH(T483&amp;":"&amp;N483,CustomWeightsIndex,0))</f>
        <v>0</v>
      </c>
      <c r="AC483">
        <f>INDEX(CustomWeightsIntercept,MATCH(T483&amp;":"&amp;N483,CustomWeightsIndex,0))</f>
        <v>0</v>
      </c>
      <c r="AD483">
        <f>AA483*P483+AB483*Q483+AC483</f>
        <v>0</v>
      </c>
      <c r="AE483">
        <f>INDEX(CoefficientsGPA,MATCH(T483&amp;":"&amp;O483,CoefficientsIndex,0))</f>
        <v>0</v>
      </c>
      <c r="AF483">
        <f>INDEX(CoefficientsACT,MATCH(T483&amp;":"&amp;O483,CoefficientsIndex,0))</f>
        <v>0</v>
      </c>
      <c r="AG483">
        <f>INDEX(CoefficientsIntercept,MATCH(T483&amp;":"&amp;O483,CoefficientsIndex,0))</f>
        <v>0</v>
      </c>
      <c r="AH483">
        <f>AE483*P483+(Q483-Z483)*AF483+AG483</f>
        <v>0</v>
      </c>
      <c r="AI483">
        <f>IF(ISNUMBER(AD483),AD483,AH483)</f>
        <v>0</v>
      </c>
      <c r="AJ483">
        <f>IF(ISNUMBER(AI483),IF(ISNUMBER(AE483),IF(AND(AE483=1,AF483=1,AG483=1),100,ROUND(100*EXP(AI483)/(1+EXP(AI483)),2)),ROUND(100*EXP(AI483)/(1+EXP(AI483)),2)),IF(ISTEXT(O483),IF(LEFT(O483,1)="2",100,"N/A"),"N/A"))</f>
        <v>0</v>
      </c>
      <c r="AK483">
        <f>IF(ISNUMBER(AJ483),IF(AJ483&gt;=99,IF(OR(R483=10,R483=11),MatchLabel,SureThingLabel),IF(AJ483&gt;=95,SecureLabel,IF(AJ483&gt;=80,SafetyLabel,IF(AJ483&gt;=50,MatchLabel,IF(AJ483&gt;=20,ReachLabel,IF(AJ483&gt;=10,LongshotLabel,HailMaryLabel)))))),"Other")</f>
        <v>0</v>
      </c>
      <c r="AL483">
        <f>IF(OR(I483="accepted",I483="cond. accept",I483="summer admit"),IF(J483="yes","CHOICE!","Accepted!"),IF(I483="denied","Denied",IF(K483=1,"Waitlist",IF(L483=1,"Deferred",IF(G483="pending","Pending",IF(OR(G483="initial materials submitted",G483="mid-year submitted",G483="final submitted"),"Submitted",IF(H483="interest","Interest","?")))))))</f>
        <v>0</v>
      </c>
      <c r="AM483">
        <f>IF(OR(AK483=ReachLabel,AK483=LongshotLabel,AK483=HailMaryLabel),1,0)</f>
        <v>0</v>
      </c>
      <c r="AN483">
        <f>IF(OR(AM483=1,AK483=MatchLabel),1,0)</f>
        <v>0</v>
      </c>
      <c r="AO483">
        <f>IF(OR(AK483=MatchLabel,AK483=SafetyLabel,AK483=SecureLabel,AK483=SureThingLabel),1,0)</f>
        <v>0</v>
      </c>
      <c r="AP483">
        <f>IF(OR(T483="H",T483="B"),IF(ISNUMBER(Y483),ROUND(Y483,2),0),IF(ISNUMBER(X483),ROUND(X483,2),0))</f>
        <v>0</v>
      </c>
      <c r="AQ483">
        <f>IF(AP483&gt;=U483,1,0)</f>
        <v>0</v>
      </c>
      <c r="AR483">
        <f>IF(AP483&gt;=V483,1,0)</f>
        <v>0</v>
      </c>
      <c r="AS483">
        <f>IF(AP483&lt;(U483-0.10),1,0)</f>
        <v>0</v>
      </c>
      <c r="AT483">
        <f>1-AJ483/100</f>
        <v>0</v>
      </c>
      <c r="AU483">
        <f>IF(AN483=1,AT483,1)</f>
        <v>0</v>
      </c>
      <c r="AV483">
        <f>IF(AM483=1,AT483,1)</f>
        <v>0</v>
      </c>
      <c r="AW483">
        <f>IF(AND(AQ483=1,ISNUMBER(AT483)),$AT483,1)</f>
        <v>0</v>
      </c>
      <c r="AX483">
        <f>IF(AND(AR483=1,ISNUMBER(AT483)),$AT483,1)</f>
        <v>0</v>
      </c>
      <c r="AY483">
        <f>IF(ISNUMBER(Y483),INDEX(AllCollegeMoney, MATCH(N483,AllCollegeNCES,0)),0)</f>
        <v>0</v>
      </c>
      <c r="AZ483">
        <f>IF(AND(AQ483=1,ISNUMBER(AT483),AY483=1),$AT483,1)</f>
        <v>0</v>
      </c>
      <c r="BA483">
        <f>IF(AND(AR483=1,ISNUMBER(AT483),AY483=1),$AT483,1)</f>
        <v>0</v>
      </c>
      <c r="BB483">
        <f>IF(ISNUMBER(Y483),INDEX(AllCollegeILPub, MATCH(N483,AllCollegeNCES,0)),0)</f>
        <v>0</v>
      </c>
      <c r="BC483">
        <f>IF(AK483=ReachLabel,AP483,0)</f>
        <v>0</v>
      </c>
      <c r="BD483">
        <f>IF(AK483=MatchLabel,AP483,0)</f>
        <v>0</v>
      </c>
      <c r="BE483">
        <f>IF(AK483=SafetyLabel,AP483,0)</f>
        <v>0</v>
      </c>
      <c r="BF483">
        <f>IF(AK483=SecureLabel,AP483,0)</f>
        <v>0</v>
      </c>
      <c r="BG483">
        <f>IF(AK483=SureThingLabel,AP483,0)</f>
        <v>0</v>
      </c>
      <c r="BH483">
        <f>MAX(BC483:BG483)</f>
        <v>0</v>
      </c>
      <c r="BI483">
        <f>MAX(BD483:BG483)</f>
        <v>0</v>
      </c>
      <c r="BJ483">
        <f>MAX(BE483:BG483)</f>
        <v>0</v>
      </c>
      <c r="BK483">
        <f>IF(AND(AK483=ReachLabel,AY483=1),AP483,0)</f>
        <v>0</v>
      </c>
      <c r="BL483">
        <f>IF(AND(AK483=MatchLabel,AY483=1),AP483,0)</f>
        <v>0</v>
      </c>
      <c r="BM483">
        <f>IF(AND(AK483=SafetyLabel,AY483=1),AP483,0)</f>
        <v>0</v>
      </c>
      <c r="BN483">
        <f>IF(AND(AK483=SecureLabel,AY483=1),AP483,0)</f>
        <v>0</v>
      </c>
      <c r="BO483">
        <f>IF(AND(AK483=SureThingLabel,AY483=1),AP483,0)</f>
        <v>0</v>
      </c>
      <c r="BP483">
        <f>MAX(BK483:BO483)</f>
        <v>0</v>
      </c>
      <c r="BQ483">
        <f>MAX(BL483:BO483)</f>
        <v>0</v>
      </c>
      <c r="BR483">
        <f>MAX(BM483:BO483)</f>
        <v>0</v>
      </c>
      <c r="BS483">
        <f>IF(ISNUMBER(Y483),INDEX(AllCollegeChicago, MATCH(N483,AllCollegeNCES,0))*AY483,0)</f>
        <v>0</v>
      </c>
      <c r="BT483">
        <f>IF(ISNUMBER(Y483),INDEX(AllCollegeMoneyCode, MATCH(N483,AllCollegeNCES,0)),"?")</f>
        <v>0</v>
      </c>
      <c r="BU483">
        <f>IF(OR(BT483="---",BT483="--",BT483="+/--",BT483="+/---"),1,0)</f>
        <v>0</v>
      </c>
      <c r="BV483">
        <f>AY483*AO483*AQ483</f>
        <v>0</v>
      </c>
    </row>
    <row r="484" spans="1:74">
      <c r="A484" t="s">
        <v>86</v>
      </c>
      <c r="B484">
        <v>23461683</v>
      </c>
      <c r="C484" t="s">
        <v>287</v>
      </c>
      <c r="D484" t="s">
        <v>288</v>
      </c>
      <c r="E484" t="s">
        <v>428</v>
      </c>
      <c r="F484" t="s">
        <v>459</v>
      </c>
      <c r="G484" t="s">
        <v>430</v>
      </c>
      <c r="H484" t="s">
        <v>431</v>
      </c>
      <c r="I484" t="s">
        <v>432</v>
      </c>
      <c r="J484" t="s">
        <v>432</v>
      </c>
      <c r="K484">
        <v>0</v>
      </c>
      <c r="L484" t="s">
        <v>428</v>
      </c>
      <c r="M484" t="s">
        <v>428</v>
      </c>
      <c r="N484">
        <v>146427</v>
      </c>
      <c r="O484">
        <f>INDEX(AllCollegeBarrons,MATCH(N484,AllCollegeNCES,0))</f>
        <v>0</v>
      </c>
      <c r="P484">
        <f>INDEX(KidGPAs,MATCH(B484,KidIDs,0))</f>
        <v>0</v>
      </c>
      <c r="Q484">
        <f>INDEX(KidACTs,MATCH(B484,KidIDs,0))</f>
        <v>0</v>
      </c>
      <c r="R484">
        <f>INDEX(Strats,MATCH(B484,KidIDs,0))</f>
        <v>0</v>
      </c>
      <c r="S484">
        <f>INDEX(KidRace,MATCH(B484,KidIDs,0))</f>
        <v>0</v>
      </c>
      <c r="T484">
        <f>IF(OR(S484="M",S484="I"),"H",S484)</f>
        <v>0</v>
      </c>
      <c r="U484">
        <f>INDEX(StudentTargets,MATCH(B484,KidIDs,0))</f>
        <v>0</v>
      </c>
      <c r="V484">
        <f>INDEX(ReachStudentTargets,MATCH(B484,KidIDs,0))</f>
        <v>0</v>
      </c>
      <c r="W484">
        <f>IF(OR(M484="Posse"),1,0)</f>
        <v>0</v>
      </c>
      <c r="X484">
        <f>IF(ISNUMBER(INDEX(AllCollegeGR, MATCH(N484,AllCollegeNCES,0))),ROUND(INDEX(AllCollegeGR, MATCH(N484,AllCollegeNCES,0))+W484*IF(INDEX(AllCollegeGR, MATCH(N484,AllCollegeNCES,0))&gt;0.7,(1-INDEX(AllCollegeGR, MATCH(N484,AllCollegeNCES,0)))/2,0.15),2),INDEX(AllCollegeGR, MATCH(N484,AllCollegeNCES,0)))</f>
        <v>0</v>
      </c>
      <c r="Y484">
        <f>IF(ISNUMBER(INDEX(AllCollegeAAHGR, MATCH(N484,AllCollegeNCES,0))),ROUND(INDEX(AllCollegeAAHGR, MATCH(N484,AllCollegeNCES,0))+W484*IF(INDEX(AllCollegeAAHGR, MATCH(N484,AllCollegeNCES,0))&gt;0.7,(1-INDEX(AllCollegeAAHGR, MATCH(N484,AllCollegeNCES,0)))/2,0.15),2),INDEX(AllCollegeAAHGR, MATCH(N484,AllCollegeNCES,0)))</f>
        <v>0</v>
      </c>
      <c r="Z484">
        <f>IF(OR(T484="H",T484="B"),INDEX(AllCollegeACT25, MATCH(N484,AllCollegeNCES,0)),INDEX(AllCollegeACT50, MATCH(N484,AllCollegeNCES,0)))</f>
        <v>0</v>
      </c>
      <c r="AA484">
        <f>INDEX(CustomWeightsGPA,MATCH(T484&amp;":"&amp;N484,CustomWeightsIndex,0))</f>
        <v>0</v>
      </c>
      <c r="AB484">
        <f>INDEX(CustomWeightsACT,MATCH(T484&amp;":"&amp;N484,CustomWeightsIndex,0))</f>
        <v>0</v>
      </c>
      <c r="AC484">
        <f>INDEX(CustomWeightsIntercept,MATCH(T484&amp;":"&amp;N484,CustomWeightsIndex,0))</f>
        <v>0</v>
      </c>
      <c r="AD484">
        <f>AA484*P484+AB484*Q484+AC484</f>
        <v>0</v>
      </c>
      <c r="AE484">
        <f>INDEX(CoefficientsGPA,MATCH(T484&amp;":"&amp;O484,CoefficientsIndex,0))</f>
        <v>0</v>
      </c>
      <c r="AF484">
        <f>INDEX(CoefficientsACT,MATCH(T484&amp;":"&amp;O484,CoefficientsIndex,0))</f>
        <v>0</v>
      </c>
      <c r="AG484">
        <f>INDEX(CoefficientsIntercept,MATCH(T484&amp;":"&amp;O484,CoefficientsIndex,0))</f>
        <v>0</v>
      </c>
      <c r="AH484">
        <f>AE484*P484+(Q484-Z484)*AF484+AG484</f>
        <v>0</v>
      </c>
      <c r="AI484">
        <f>IF(ISNUMBER(AD484),AD484,AH484)</f>
        <v>0</v>
      </c>
      <c r="AJ484">
        <f>IF(ISNUMBER(AI484),IF(ISNUMBER(AE484),IF(AND(AE484=1,AF484=1,AG484=1),100,ROUND(100*EXP(AI484)/(1+EXP(AI484)),2)),ROUND(100*EXP(AI484)/(1+EXP(AI484)),2)),IF(ISTEXT(O484),IF(LEFT(O484,1)="2",100,"N/A"),"N/A"))</f>
        <v>0</v>
      </c>
      <c r="AK484">
        <f>IF(ISNUMBER(AJ484),IF(AJ484&gt;=99,IF(OR(R484=10,R484=11),MatchLabel,SureThingLabel),IF(AJ484&gt;=95,SecureLabel,IF(AJ484&gt;=80,SafetyLabel,IF(AJ484&gt;=50,MatchLabel,IF(AJ484&gt;=20,ReachLabel,IF(AJ484&gt;=10,LongshotLabel,HailMaryLabel)))))),"Other")</f>
        <v>0</v>
      </c>
      <c r="AL484">
        <f>IF(OR(I484="accepted",I484="cond. accept",I484="summer admit"),IF(J484="yes","CHOICE!","Accepted!"),IF(I484="denied","Denied",IF(K484=1,"Waitlist",IF(L484=1,"Deferred",IF(G484="pending","Pending",IF(OR(G484="initial materials submitted",G484="mid-year submitted",G484="final submitted"),"Submitted",IF(H484="interest","Interest","?")))))))</f>
        <v>0</v>
      </c>
      <c r="AM484">
        <f>IF(OR(AK484=ReachLabel,AK484=LongshotLabel,AK484=HailMaryLabel),1,0)</f>
        <v>0</v>
      </c>
      <c r="AN484">
        <f>IF(OR(AM484=1,AK484=MatchLabel),1,0)</f>
        <v>0</v>
      </c>
      <c r="AO484">
        <f>IF(OR(AK484=MatchLabel,AK484=SafetyLabel,AK484=SecureLabel,AK484=SureThingLabel),1,0)</f>
        <v>0</v>
      </c>
      <c r="AP484">
        <f>IF(OR(T484="H",T484="B"),IF(ISNUMBER(Y484),ROUND(Y484,2),0),IF(ISNUMBER(X484),ROUND(X484,2),0))</f>
        <v>0</v>
      </c>
      <c r="AQ484">
        <f>IF(AP484&gt;=U484,1,0)</f>
        <v>0</v>
      </c>
      <c r="AR484">
        <f>IF(AP484&gt;=V484,1,0)</f>
        <v>0</v>
      </c>
      <c r="AS484">
        <f>IF(AP484&lt;(U484-0.10),1,0)</f>
        <v>0</v>
      </c>
      <c r="AT484">
        <f>1-AJ484/100</f>
        <v>0</v>
      </c>
      <c r="AU484">
        <f>IF(AN484=1,AT484,1)</f>
        <v>0</v>
      </c>
      <c r="AV484">
        <f>IF(AM484=1,AT484,1)</f>
        <v>0</v>
      </c>
      <c r="AW484">
        <f>IF(AND(AQ484=1,ISNUMBER(AT484)),$AT484,1)</f>
        <v>0</v>
      </c>
      <c r="AX484">
        <f>IF(AND(AR484=1,ISNUMBER(AT484)),$AT484,1)</f>
        <v>0</v>
      </c>
      <c r="AY484">
        <f>IF(ISNUMBER(Y484),INDEX(AllCollegeMoney, MATCH(N484,AllCollegeNCES,0)),0)</f>
        <v>0</v>
      </c>
      <c r="AZ484">
        <f>IF(AND(AQ484=1,ISNUMBER(AT484),AY484=1),$AT484,1)</f>
        <v>0</v>
      </c>
      <c r="BA484">
        <f>IF(AND(AR484=1,ISNUMBER(AT484),AY484=1),$AT484,1)</f>
        <v>0</v>
      </c>
      <c r="BB484">
        <f>IF(ISNUMBER(Y484),INDEX(AllCollegeILPub, MATCH(N484,AllCollegeNCES,0)),0)</f>
        <v>0</v>
      </c>
      <c r="BC484">
        <f>IF(AK484=ReachLabel,AP484,0)</f>
        <v>0</v>
      </c>
      <c r="BD484">
        <f>IF(AK484=MatchLabel,AP484,0)</f>
        <v>0</v>
      </c>
      <c r="BE484">
        <f>IF(AK484=SafetyLabel,AP484,0)</f>
        <v>0</v>
      </c>
      <c r="BF484">
        <f>IF(AK484=SecureLabel,AP484,0)</f>
        <v>0</v>
      </c>
      <c r="BG484">
        <f>IF(AK484=SureThingLabel,AP484,0)</f>
        <v>0</v>
      </c>
      <c r="BH484">
        <f>MAX(BC484:BG484)</f>
        <v>0</v>
      </c>
      <c r="BI484">
        <f>MAX(BD484:BG484)</f>
        <v>0</v>
      </c>
      <c r="BJ484">
        <f>MAX(BE484:BG484)</f>
        <v>0</v>
      </c>
      <c r="BK484">
        <f>IF(AND(AK484=ReachLabel,AY484=1),AP484,0)</f>
        <v>0</v>
      </c>
      <c r="BL484">
        <f>IF(AND(AK484=MatchLabel,AY484=1),AP484,0)</f>
        <v>0</v>
      </c>
      <c r="BM484">
        <f>IF(AND(AK484=SafetyLabel,AY484=1),AP484,0)</f>
        <v>0</v>
      </c>
      <c r="BN484">
        <f>IF(AND(AK484=SecureLabel,AY484=1),AP484,0)</f>
        <v>0</v>
      </c>
      <c r="BO484">
        <f>IF(AND(AK484=SureThingLabel,AY484=1),AP484,0)</f>
        <v>0</v>
      </c>
      <c r="BP484">
        <f>MAX(BK484:BO484)</f>
        <v>0</v>
      </c>
      <c r="BQ484">
        <f>MAX(BL484:BO484)</f>
        <v>0</v>
      </c>
      <c r="BR484">
        <f>MAX(BM484:BO484)</f>
        <v>0</v>
      </c>
      <c r="BS484">
        <f>IF(ISNUMBER(Y484),INDEX(AllCollegeChicago, MATCH(N484,AllCollegeNCES,0))*AY484,0)</f>
        <v>0</v>
      </c>
      <c r="BT484">
        <f>IF(ISNUMBER(Y484),INDEX(AllCollegeMoneyCode, MATCH(N484,AllCollegeNCES,0)),"?")</f>
        <v>0</v>
      </c>
      <c r="BU484">
        <f>IF(OR(BT484="---",BT484="--",BT484="+/--",BT484="+/---"),1,0)</f>
        <v>0</v>
      </c>
      <c r="BV484">
        <f>AY484*AO484*AQ484</f>
        <v>0</v>
      </c>
    </row>
    <row r="485" spans="1:74">
      <c r="A485" t="s">
        <v>86</v>
      </c>
      <c r="B485">
        <v>23461683</v>
      </c>
      <c r="C485" t="s">
        <v>287</v>
      </c>
      <c r="D485" t="s">
        <v>288</v>
      </c>
      <c r="E485" t="s">
        <v>428</v>
      </c>
      <c r="F485" t="s">
        <v>508</v>
      </c>
      <c r="G485" t="s">
        <v>430</v>
      </c>
      <c r="H485" t="s">
        <v>431</v>
      </c>
      <c r="I485" t="s">
        <v>432</v>
      </c>
      <c r="J485" t="s">
        <v>432</v>
      </c>
      <c r="K485">
        <v>0</v>
      </c>
      <c r="L485" t="s">
        <v>428</v>
      </c>
      <c r="M485" t="s">
        <v>428</v>
      </c>
      <c r="N485">
        <v>209056</v>
      </c>
      <c r="O485">
        <f>INDEX(AllCollegeBarrons,MATCH(N485,AllCollegeNCES,0))</f>
        <v>0</v>
      </c>
      <c r="P485">
        <f>INDEX(KidGPAs,MATCH(B485,KidIDs,0))</f>
        <v>0</v>
      </c>
      <c r="Q485">
        <f>INDEX(KidACTs,MATCH(B485,KidIDs,0))</f>
        <v>0</v>
      </c>
      <c r="R485">
        <f>INDEX(Strats,MATCH(B485,KidIDs,0))</f>
        <v>0</v>
      </c>
      <c r="S485">
        <f>INDEX(KidRace,MATCH(B485,KidIDs,0))</f>
        <v>0</v>
      </c>
      <c r="T485">
        <f>IF(OR(S485="M",S485="I"),"H",S485)</f>
        <v>0</v>
      </c>
      <c r="U485">
        <f>INDEX(StudentTargets,MATCH(B485,KidIDs,0))</f>
        <v>0</v>
      </c>
      <c r="V485">
        <f>INDEX(ReachStudentTargets,MATCH(B485,KidIDs,0))</f>
        <v>0</v>
      </c>
      <c r="W485">
        <f>IF(OR(M485="Posse"),1,0)</f>
        <v>0</v>
      </c>
      <c r="X485">
        <f>IF(ISNUMBER(INDEX(AllCollegeGR, MATCH(N485,AllCollegeNCES,0))),ROUND(INDEX(AllCollegeGR, MATCH(N485,AllCollegeNCES,0))+W485*IF(INDEX(AllCollegeGR, MATCH(N485,AllCollegeNCES,0))&gt;0.7,(1-INDEX(AllCollegeGR, MATCH(N485,AllCollegeNCES,0)))/2,0.15),2),INDEX(AllCollegeGR, MATCH(N485,AllCollegeNCES,0)))</f>
        <v>0</v>
      </c>
      <c r="Y485">
        <f>IF(ISNUMBER(INDEX(AllCollegeAAHGR, MATCH(N485,AllCollegeNCES,0))),ROUND(INDEX(AllCollegeAAHGR, MATCH(N485,AllCollegeNCES,0))+W485*IF(INDEX(AllCollegeAAHGR, MATCH(N485,AllCollegeNCES,0))&gt;0.7,(1-INDEX(AllCollegeAAHGR, MATCH(N485,AllCollegeNCES,0)))/2,0.15),2),INDEX(AllCollegeAAHGR, MATCH(N485,AllCollegeNCES,0)))</f>
        <v>0</v>
      </c>
      <c r="Z485">
        <f>IF(OR(T485="H",T485="B"),INDEX(AllCollegeACT25, MATCH(N485,AllCollegeNCES,0)),INDEX(AllCollegeACT50, MATCH(N485,AllCollegeNCES,0)))</f>
        <v>0</v>
      </c>
      <c r="AA485">
        <f>INDEX(CustomWeightsGPA,MATCH(T485&amp;":"&amp;N485,CustomWeightsIndex,0))</f>
        <v>0</v>
      </c>
      <c r="AB485">
        <f>INDEX(CustomWeightsACT,MATCH(T485&amp;":"&amp;N485,CustomWeightsIndex,0))</f>
        <v>0</v>
      </c>
      <c r="AC485">
        <f>INDEX(CustomWeightsIntercept,MATCH(T485&amp;":"&amp;N485,CustomWeightsIndex,0))</f>
        <v>0</v>
      </c>
      <c r="AD485">
        <f>AA485*P485+AB485*Q485+AC485</f>
        <v>0</v>
      </c>
      <c r="AE485">
        <f>INDEX(CoefficientsGPA,MATCH(T485&amp;":"&amp;O485,CoefficientsIndex,0))</f>
        <v>0</v>
      </c>
      <c r="AF485">
        <f>INDEX(CoefficientsACT,MATCH(T485&amp;":"&amp;O485,CoefficientsIndex,0))</f>
        <v>0</v>
      </c>
      <c r="AG485">
        <f>INDEX(CoefficientsIntercept,MATCH(T485&amp;":"&amp;O485,CoefficientsIndex,0))</f>
        <v>0</v>
      </c>
      <c r="AH485">
        <f>AE485*P485+(Q485-Z485)*AF485+AG485</f>
        <v>0</v>
      </c>
      <c r="AI485">
        <f>IF(ISNUMBER(AD485),AD485,AH485)</f>
        <v>0</v>
      </c>
      <c r="AJ485">
        <f>IF(ISNUMBER(AI485),IF(ISNUMBER(AE485),IF(AND(AE485=1,AF485=1,AG485=1),100,ROUND(100*EXP(AI485)/(1+EXP(AI485)),2)),ROUND(100*EXP(AI485)/(1+EXP(AI485)),2)),IF(ISTEXT(O485),IF(LEFT(O485,1)="2",100,"N/A"),"N/A"))</f>
        <v>0</v>
      </c>
      <c r="AK485">
        <f>IF(ISNUMBER(AJ485),IF(AJ485&gt;=99,IF(OR(R485=10,R485=11),MatchLabel,SureThingLabel),IF(AJ485&gt;=95,SecureLabel,IF(AJ485&gt;=80,SafetyLabel,IF(AJ485&gt;=50,MatchLabel,IF(AJ485&gt;=20,ReachLabel,IF(AJ485&gt;=10,LongshotLabel,HailMaryLabel)))))),"Other")</f>
        <v>0</v>
      </c>
      <c r="AL485">
        <f>IF(OR(I485="accepted",I485="cond. accept",I485="summer admit"),IF(J485="yes","CHOICE!","Accepted!"),IF(I485="denied","Denied",IF(K485=1,"Waitlist",IF(L485=1,"Deferred",IF(G485="pending","Pending",IF(OR(G485="initial materials submitted",G485="mid-year submitted",G485="final submitted"),"Submitted",IF(H485="interest","Interest","?")))))))</f>
        <v>0</v>
      </c>
      <c r="AM485">
        <f>IF(OR(AK485=ReachLabel,AK485=LongshotLabel,AK485=HailMaryLabel),1,0)</f>
        <v>0</v>
      </c>
      <c r="AN485">
        <f>IF(OR(AM485=1,AK485=MatchLabel),1,0)</f>
        <v>0</v>
      </c>
      <c r="AO485">
        <f>IF(OR(AK485=MatchLabel,AK485=SafetyLabel,AK485=SecureLabel,AK485=SureThingLabel),1,0)</f>
        <v>0</v>
      </c>
      <c r="AP485">
        <f>IF(OR(T485="H",T485="B"),IF(ISNUMBER(Y485),ROUND(Y485,2),0),IF(ISNUMBER(X485),ROUND(X485,2),0))</f>
        <v>0</v>
      </c>
      <c r="AQ485">
        <f>IF(AP485&gt;=U485,1,0)</f>
        <v>0</v>
      </c>
      <c r="AR485">
        <f>IF(AP485&gt;=V485,1,0)</f>
        <v>0</v>
      </c>
      <c r="AS485">
        <f>IF(AP485&lt;(U485-0.10),1,0)</f>
        <v>0</v>
      </c>
      <c r="AT485">
        <f>1-AJ485/100</f>
        <v>0</v>
      </c>
      <c r="AU485">
        <f>IF(AN485=1,AT485,1)</f>
        <v>0</v>
      </c>
      <c r="AV485">
        <f>IF(AM485=1,AT485,1)</f>
        <v>0</v>
      </c>
      <c r="AW485">
        <f>IF(AND(AQ485=1,ISNUMBER(AT485)),$AT485,1)</f>
        <v>0</v>
      </c>
      <c r="AX485">
        <f>IF(AND(AR485=1,ISNUMBER(AT485)),$AT485,1)</f>
        <v>0</v>
      </c>
      <c r="AY485">
        <f>IF(ISNUMBER(Y485),INDEX(AllCollegeMoney, MATCH(N485,AllCollegeNCES,0)),0)</f>
        <v>0</v>
      </c>
      <c r="AZ485">
        <f>IF(AND(AQ485=1,ISNUMBER(AT485),AY485=1),$AT485,1)</f>
        <v>0</v>
      </c>
      <c r="BA485">
        <f>IF(AND(AR485=1,ISNUMBER(AT485),AY485=1),$AT485,1)</f>
        <v>0</v>
      </c>
      <c r="BB485">
        <f>IF(ISNUMBER(Y485),INDEX(AllCollegeILPub, MATCH(N485,AllCollegeNCES,0)),0)</f>
        <v>0</v>
      </c>
      <c r="BC485">
        <f>IF(AK485=ReachLabel,AP485,0)</f>
        <v>0</v>
      </c>
      <c r="BD485">
        <f>IF(AK485=MatchLabel,AP485,0)</f>
        <v>0</v>
      </c>
      <c r="BE485">
        <f>IF(AK485=SafetyLabel,AP485,0)</f>
        <v>0</v>
      </c>
      <c r="BF485">
        <f>IF(AK485=SecureLabel,AP485,0)</f>
        <v>0</v>
      </c>
      <c r="BG485">
        <f>IF(AK485=SureThingLabel,AP485,0)</f>
        <v>0</v>
      </c>
      <c r="BH485">
        <f>MAX(BC485:BG485)</f>
        <v>0</v>
      </c>
      <c r="BI485">
        <f>MAX(BD485:BG485)</f>
        <v>0</v>
      </c>
      <c r="BJ485">
        <f>MAX(BE485:BG485)</f>
        <v>0</v>
      </c>
      <c r="BK485">
        <f>IF(AND(AK485=ReachLabel,AY485=1),AP485,0)</f>
        <v>0</v>
      </c>
      <c r="BL485">
        <f>IF(AND(AK485=MatchLabel,AY485=1),AP485,0)</f>
        <v>0</v>
      </c>
      <c r="BM485">
        <f>IF(AND(AK485=SafetyLabel,AY485=1),AP485,0)</f>
        <v>0</v>
      </c>
      <c r="BN485">
        <f>IF(AND(AK485=SecureLabel,AY485=1),AP485,0)</f>
        <v>0</v>
      </c>
      <c r="BO485">
        <f>IF(AND(AK485=SureThingLabel,AY485=1),AP485,0)</f>
        <v>0</v>
      </c>
      <c r="BP485">
        <f>MAX(BK485:BO485)</f>
        <v>0</v>
      </c>
      <c r="BQ485">
        <f>MAX(BL485:BO485)</f>
        <v>0</v>
      </c>
      <c r="BR485">
        <f>MAX(BM485:BO485)</f>
        <v>0</v>
      </c>
      <c r="BS485">
        <f>IF(ISNUMBER(Y485),INDEX(AllCollegeChicago, MATCH(N485,AllCollegeNCES,0))*AY485,0)</f>
        <v>0</v>
      </c>
      <c r="BT485">
        <f>IF(ISNUMBER(Y485),INDEX(AllCollegeMoneyCode, MATCH(N485,AllCollegeNCES,0)),"?")</f>
        <v>0</v>
      </c>
      <c r="BU485">
        <f>IF(OR(BT485="---",BT485="--",BT485="+/--",BT485="+/---"),1,0)</f>
        <v>0</v>
      </c>
      <c r="BV485">
        <f>AY485*AO485*AQ485</f>
        <v>0</v>
      </c>
    </row>
    <row r="486" spans="1:74">
      <c r="A486" t="s">
        <v>86</v>
      </c>
      <c r="B486">
        <v>23461683</v>
      </c>
      <c r="C486" t="s">
        <v>287</v>
      </c>
      <c r="D486" t="s">
        <v>288</v>
      </c>
      <c r="E486" t="s">
        <v>428</v>
      </c>
      <c r="F486" t="s">
        <v>461</v>
      </c>
      <c r="G486" t="s">
        <v>463</v>
      </c>
      <c r="H486" t="s">
        <v>431</v>
      </c>
      <c r="I486" t="s">
        <v>432</v>
      </c>
      <c r="J486" t="s">
        <v>432</v>
      </c>
      <c r="K486">
        <v>0</v>
      </c>
      <c r="L486" t="s">
        <v>428</v>
      </c>
      <c r="M486" t="s">
        <v>428</v>
      </c>
      <c r="N486">
        <v>153834</v>
      </c>
      <c r="O486">
        <f>INDEX(AllCollegeBarrons,MATCH(N486,AllCollegeNCES,0))</f>
        <v>0</v>
      </c>
      <c r="P486">
        <f>INDEX(KidGPAs,MATCH(B486,KidIDs,0))</f>
        <v>0</v>
      </c>
      <c r="Q486">
        <f>INDEX(KidACTs,MATCH(B486,KidIDs,0))</f>
        <v>0</v>
      </c>
      <c r="R486">
        <f>INDEX(Strats,MATCH(B486,KidIDs,0))</f>
        <v>0</v>
      </c>
      <c r="S486">
        <f>INDEX(KidRace,MATCH(B486,KidIDs,0))</f>
        <v>0</v>
      </c>
      <c r="T486">
        <f>IF(OR(S486="M",S486="I"),"H",S486)</f>
        <v>0</v>
      </c>
      <c r="U486">
        <f>INDEX(StudentTargets,MATCH(B486,KidIDs,0))</f>
        <v>0</v>
      </c>
      <c r="V486">
        <f>INDEX(ReachStudentTargets,MATCH(B486,KidIDs,0))</f>
        <v>0</v>
      </c>
      <c r="W486">
        <f>IF(OR(M486="Posse"),1,0)</f>
        <v>0</v>
      </c>
      <c r="X486">
        <f>IF(ISNUMBER(INDEX(AllCollegeGR, MATCH(N486,AllCollegeNCES,0))),ROUND(INDEX(AllCollegeGR, MATCH(N486,AllCollegeNCES,0))+W486*IF(INDEX(AllCollegeGR, MATCH(N486,AllCollegeNCES,0))&gt;0.7,(1-INDEX(AllCollegeGR, MATCH(N486,AllCollegeNCES,0)))/2,0.15),2),INDEX(AllCollegeGR, MATCH(N486,AllCollegeNCES,0)))</f>
        <v>0</v>
      </c>
      <c r="Y486">
        <f>IF(ISNUMBER(INDEX(AllCollegeAAHGR, MATCH(N486,AllCollegeNCES,0))),ROUND(INDEX(AllCollegeAAHGR, MATCH(N486,AllCollegeNCES,0))+W486*IF(INDEX(AllCollegeAAHGR, MATCH(N486,AllCollegeNCES,0))&gt;0.7,(1-INDEX(AllCollegeAAHGR, MATCH(N486,AllCollegeNCES,0)))/2,0.15),2),INDEX(AllCollegeAAHGR, MATCH(N486,AllCollegeNCES,0)))</f>
        <v>0</v>
      </c>
      <c r="Z486">
        <f>IF(OR(T486="H",T486="B"),INDEX(AllCollegeACT25, MATCH(N486,AllCollegeNCES,0)),INDEX(AllCollegeACT50, MATCH(N486,AllCollegeNCES,0)))</f>
        <v>0</v>
      </c>
      <c r="AA486">
        <f>INDEX(CustomWeightsGPA,MATCH(T486&amp;":"&amp;N486,CustomWeightsIndex,0))</f>
        <v>0</v>
      </c>
      <c r="AB486">
        <f>INDEX(CustomWeightsACT,MATCH(T486&amp;":"&amp;N486,CustomWeightsIndex,0))</f>
        <v>0</v>
      </c>
      <c r="AC486">
        <f>INDEX(CustomWeightsIntercept,MATCH(T486&amp;":"&amp;N486,CustomWeightsIndex,0))</f>
        <v>0</v>
      </c>
      <c r="AD486">
        <f>AA486*P486+AB486*Q486+AC486</f>
        <v>0</v>
      </c>
      <c r="AE486">
        <f>INDEX(CoefficientsGPA,MATCH(T486&amp;":"&amp;O486,CoefficientsIndex,0))</f>
        <v>0</v>
      </c>
      <c r="AF486">
        <f>INDEX(CoefficientsACT,MATCH(T486&amp;":"&amp;O486,CoefficientsIndex,0))</f>
        <v>0</v>
      </c>
      <c r="AG486">
        <f>INDEX(CoefficientsIntercept,MATCH(T486&amp;":"&amp;O486,CoefficientsIndex,0))</f>
        <v>0</v>
      </c>
      <c r="AH486">
        <f>AE486*P486+(Q486-Z486)*AF486+AG486</f>
        <v>0</v>
      </c>
      <c r="AI486">
        <f>IF(ISNUMBER(AD486),AD486,AH486)</f>
        <v>0</v>
      </c>
      <c r="AJ486">
        <f>IF(ISNUMBER(AI486),IF(ISNUMBER(AE486),IF(AND(AE486=1,AF486=1,AG486=1),100,ROUND(100*EXP(AI486)/(1+EXP(AI486)),2)),ROUND(100*EXP(AI486)/(1+EXP(AI486)),2)),IF(ISTEXT(O486),IF(LEFT(O486,1)="2",100,"N/A"),"N/A"))</f>
        <v>0</v>
      </c>
      <c r="AK486">
        <f>IF(ISNUMBER(AJ486),IF(AJ486&gt;=99,IF(OR(R486=10,R486=11),MatchLabel,SureThingLabel),IF(AJ486&gt;=95,SecureLabel,IF(AJ486&gt;=80,SafetyLabel,IF(AJ486&gt;=50,MatchLabel,IF(AJ486&gt;=20,ReachLabel,IF(AJ486&gt;=10,LongshotLabel,HailMaryLabel)))))),"Other")</f>
        <v>0</v>
      </c>
      <c r="AL486">
        <f>IF(OR(I486="accepted",I486="cond. accept",I486="summer admit"),IF(J486="yes","CHOICE!","Accepted!"),IF(I486="denied","Denied",IF(K486=1,"Waitlist",IF(L486=1,"Deferred",IF(G486="pending","Pending",IF(OR(G486="initial materials submitted",G486="mid-year submitted",G486="final submitted"),"Submitted",IF(H486="interest","Interest","?")))))))</f>
        <v>0</v>
      </c>
      <c r="AM486">
        <f>IF(OR(AK486=ReachLabel,AK486=LongshotLabel,AK486=HailMaryLabel),1,0)</f>
        <v>0</v>
      </c>
      <c r="AN486">
        <f>IF(OR(AM486=1,AK486=MatchLabel),1,0)</f>
        <v>0</v>
      </c>
      <c r="AO486">
        <f>IF(OR(AK486=MatchLabel,AK486=SafetyLabel,AK486=SecureLabel,AK486=SureThingLabel),1,0)</f>
        <v>0</v>
      </c>
      <c r="AP486">
        <f>IF(OR(T486="H",T486="B"),IF(ISNUMBER(Y486),ROUND(Y486,2),0),IF(ISNUMBER(X486),ROUND(X486,2),0))</f>
        <v>0</v>
      </c>
      <c r="AQ486">
        <f>IF(AP486&gt;=U486,1,0)</f>
        <v>0</v>
      </c>
      <c r="AR486">
        <f>IF(AP486&gt;=V486,1,0)</f>
        <v>0</v>
      </c>
      <c r="AS486">
        <f>IF(AP486&lt;(U486-0.10),1,0)</f>
        <v>0</v>
      </c>
      <c r="AT486">
        <f>1-AJ486/100</f>
        <v>0</v>
      </c>
      <c r="AU486">
        <f>IF(AN486=1,AT486,1)</f>
        <v>0</v>
      </c>
      <c r="AV486">
        <f>IF(AM486=1,AT486,1)</f>
        <v>0</v>
      </c>
      <c r="AW486">
        <f>IF(AND(AQ486=1,ISNUMBER(AT486)),$AT486,1)</f>
        <v>0</v>
      </c>
      <c r="AX486">
        <f>IF(AND(AR486=1,ISNUMBER(AT486)),$AT486,1)</f>
        <v>0</v>
      </c>
      <c r="AY486">
        <f>IF(ISNUMBER(Y486),INDEX(AllCollegeMoney, MATCH(N486,AllCollegeNCES,0)),0)</f>
        <v>0</v>
      </c>
      <c r="AZ486">
        <f>IF(AND(AQ486=1,ISNUMBER(AT486),AY486=1),$AT486,1)</f>
        <v>0</v>
      </c>
      <c r="BA486">
        <f>IF(AND(AR486=1,ISNUMBER(AT486),AY486=1),$AT486,1)</f>
        <v>0</v>
      </c>
      <c r="BB486">
        <f>IF(ISNUMBER(Y486),INDEX(AllCollegeILPub, MATCH(N486,AllCollegeNCES,0)),0)</f>
        <v>0</v>
      </c>
      <c r="BC486">
        <f>IF(AK486=ReachLabel,AP486,0)</f>
        <v>0</v>
      </c>
      <c r="BD486">
        <f>IF(AK486=MatchLabel,AP486,0)</f>
        <v>0</v>
      </c>
      <c r="BE486">
        <f>IF(AK486=SafetyLabel,AP486,0)</f>
        <v>0</v>
      </c>
      <c r="BF486">
        <f>IF(AK486=SecureLabel,AP486,0)</f>
        <v>0</v>
      </c>
      <c r="BG486">
        <f>IF(AK486=SureThingLabel,AP486,0)</f>
        <v>0</v>
      </c>
      <c r="BH486">
        <f>MAX(BC486:BG486)</f>
        <v>0</v>
      </c>
      <c r="BI486">
        <f>MAX(BD486:BG486)</f>
        <v>0</v>
      </c>
      <c r="BJ486">
        <f>MAX(BE486:BG486)</f>
        <v>0</v>
      </c>
      <c r="BK486">
        <f>IF(AND(AK486=ReachLabel,AY486=1),AP486,0)</f>
        <v>0</v>
      </c>
      <c r="BL486">
        <f>IF(AND(AK486=MatchLabel,AY486=1),AP486,0)</f>
        <v>0</v>
      </c>
      <c r="BM486">
        <f>IF(AND(AK486=SafetyLabel,AY486=1),AP486,0)</f>
        <v>0</v>
      </c>
      <c r="BN486">
        <f>IF(AND(AK486=SecureLabel,AY486=1),AP486,0)</f>
        <v>0</v>
      </c>
      <c r="BO486">
        <f>IF(AND(AK486=SureThingLabel,AY486=1),AP486,0)</f>
        <v>0</v>
      </c>
      <c r="BP486">
        <f>MAX(BK486:BO486)</f>
        <v>0</v>
      </c>
      <c r="BQ486">
        <f>MAX(BL486:BO486)</f>
        <v>0</v>
      </c>
      <c r="BR486">
        <f>MAX(BM486:BO486)</f>
        <v>0</v>
      </c>
      <c r="BS486">
        <f>IF(ISNUMBER(Y486),INDEX(AllCollegeChicago, MATCH(N486,AllCollegeNCES,0))*AY486,0)</f>
        <v>0</v>
      </c>
      <c r="BT486">
        <f>IF(ISNUMBER(Y486),INDEX(AllCollegeMoneyCode, MATCH(N486,AllCollegeNCES,0)),"?")</f>
        <v>0</v>
      </c>
      <c r="BU486">
        <f>IF(OR(BT486="---",BT486="--",BT486="+/--",BT486="+/---"),1,0)</f>
        <v>0</v>
      </c>
      <c r="BV486">
        <f>AY486*AO486*AQ486</f>
        <v>0</v>
      </c>
    </row>
    <row r="487" spans="1:74">
      <c r="A487" t="s">
        <v>86</v>
      </c>
      <c r="B487">
        <v>23461683</v>
      </c>
      <c r="C487" t="s">
        <v>287</v>
      </c>
      <c r="D487" t="s">
        <v>288</v>
      </c>
      <c r="E487" t="s">
        <v>428</v>
      </c>
      <c r="F487" t="s">
        <v>472</v>
      </c>
      <c r="G487" t="s">
        <v>430</v>
      </c>
      <c r="H487" t="s">
        <v>431</v>
      </c>
      <c r="I487" t="s">
        <v>432</v>
      </c>
      <c r="J487" t="s">
        <v>432</v>
      </c>
      <c r="K487">
        <v>0</v>
      </c>
      <c r="L487" t="s">
        <v>428</v>
      </c>
      <c r="M487" t="s">
        <v>428</v>
      </c>
      <c r="N487">
        <v>202480</v>
      </c>
      <c r="O487">
        <f>INDEX(AllCollegeBarrons,MATCH(N487,AllCollegeNCES,0))</f>
        <v>0</v>
      </c>
      <c r="P487">
        <f>INDEX(KidGPAs,MATCH(B487,KidIDs,0))</f>
        <v>0</v>
      </c>
      <c r="Q487">
        <f>INDEX(KidACTs,MATCH(B487,KidIDs,0))</f>
        <v>0</v>
      </c>
      <c r="R487">
        <f>INDEX(Strats,MATCH(B487,KidIDs,0))</f>
        <v>0</v>
      </c>
      <c r="S487">
        <f>INDEX(KidRace,MATCH(B487,KidIDs,0))</f>
        <v>0</v>
      </c>
      <c r="T487">
        <f>IF(OR(S487="M",S487="I"),"H",S487)</f>
        <v>0</v>
      </c>
      <c r="U487">
        <f>INDEX(StudentTargets,MATCH(B487,KidIDs,0))</f>
        <v>0</v>
      </c>
      <c r="V487">
        <f>INDEX(ReachStudentTargets,MATCH(B487,KidIDs,0))</f>
        <v>0</v>
      </c>
      <c r="W487">
        <f>IF(OR(M487="Posse"),1,0)</f>
        <v>0</v>
      </c>
      <c r="X487">
        <f>IF(ISNUMBER(INDEX(AllCollegeGR, MATCH(N487,AllCollegeNCES,0))),ROUND(INDEX(AllCollegeGR, MATCH(N487,AllCollegeNCES,0))+W487*IF(INDEX(AllCollegeGR, MATCH(N487,AllCollegeNCES,0))&gt;0.7,(1-INDEX(AllCollegeGR, MATCH(N487,AllCollegeNCES,0)))/2,0.15),2),INDEX(AllCollegeGR, MATCH(N487,AllCollegeNCES,0)))</f>
        <v>0</v>
      </c>
      <c r="Y487">
        <f>IF(ISNUMBER(INDEX(AllCollegeAAHGR, MATCH(N487,AllCollegeNCES,0))),ROUND(INDEX(AllCollegeAAHGR, MATCH(N487,AllCollegeNCES,0))+W487*IF(INDEX(AllCollegeAAHGR, MATCH(N487,AllCollegeNCES,0))&gt;0.7,(1-INDEX(AllCollegeAAHGR, MATCH(N487,AllCollegeNCES,0)))/2,0.15),2),INDEX(AllCollegeAAHGR, MATCH(N487,AllCollegeNCES,0)))</f>
        <v>0</v>
      </c>
      <c r="Z487">
        <f>IF(OR(T487="H",T487="B"),INDEX(AllCollegeACT25, MATCH(N487,AllCollegeNCES,0)),INDEX(AllCollegeACT50, MATCH(N487,AllCollegeNCES,0)))</f>
        <v>0</v>
      </c>
      <c r="AA487">
        <f>INDEX(CustomWeightsGPA,MATCH(T487&amp;":"&amp;N487,CustomWeightsIndex,0))</f>
        <v>0</v>
      </c>
      <c r="AB487">
        <f>INDEX(CustomWeightsACT,MATCH(T487&amp;":"&amp;N487,CustomWeightsIndex,0))</f>
        <v>0</v>
      </c>
      <c r="AC487">
        <f>INDEX(CustomWeightsIntercept,MATCH(T487&amp;":"&amp;N487,CustomWeightsIndex,0))</f>
        <v>0</v>
      </c>
      <c r="AD487">
        <f>AA487*P487+AB487*Q487+AC487</f>
        <v>0</v>
      </c>
      <c r="AE487">
        <f>INDEX(CoefficientsGPA,MATCH(T487&amp;":"&amp;O487,CoefficientsIndex,0))</f>
        <v>0</v>
      </c>
      <c r="AF487">
        <f>INDEX(CoefficientsACT,MATCH(T487&amp;":"&amp;O487,CoefficientsIndex,0))</f>
        <v>0</v>
      </c>
      <c r="AG487">
        <f>INDEX(CoefficientsIntercept,MATCH(T487&amp;":"&amp;O487,CoefficientsIndex,0))</f>
        <v>0</v>
      </c>
      <c r="AH487">
        <f>AE487*P487+(Q487-Z487)*AF487+AG487</f>
        <v>0</v>
      </c>
      <c r="AI487">
        <f>IF(ISNUMBER(AD487),AD487,AH487)</f>
        <v>0</v>
      </c>
      <c r="AJ487">
        <f>IF(ISNUMBER(AI487),IF(ISNUMBER(AE487),IF(AND(AE487=1,AF487=1,AG487=1),100,ROUND(100*EXP(AI487)/(1+EXP(AI487)),2)),ROUND(100*EXP(AI487)/(1+EXP(AI487)),2)),IF(ISTEXT(O487),IF(LEFT(O487,1)="2",100,"N/A"),"N/A"))</f>
        <v>0</v>
      </c>
      <c r="AK487">
        <f>IF(ISNUMBER(AJ487),IF(AJ487&gt;=99,IF(OR(R487=10,R487=11),MatchLabel,SureThingLabel),IF(AJ487&gt;=95,SecureLabel,IF(AJ487&gt;=80,SafetyLabel,IF(AJ487&gt;=50,MatchLabel,IF(AJ487&gt;=20,ReachLabel,IF(AJ487&gt;=10,LongshotLabel,HailMaryLabel)))))),"Other")</f>
        <v>0</v>
      </c>
      <c r="AL487">
        <f>IF(OR(I487="accepted",I487="cond. accept",I487="summer admit"),IF(J487="yes","CHOICE!","Accepted!"),IF(I487="denied","Denied",IF(K487=1,"Waitlist",IF(L487=1,"Deferred",IF(G487="pending","Pending",IF(OR(G487="initial materials submitted",G487="mid-year submitted",G487="final submitted"),"Submitted",IF(H487="interest","Interest","?")))))))</f>
        <v>0</v>
      </c>
      <c r="AM487">
        <f>IF(OR(AK487=ReachLabel,AK487=LongshotLabel,AK487=HailMaryLabel),1,0)</f>
        <v>0</v>
      </c>
      <c r="AN487">
        <f>IF(OR(AM487=1,AK487=MatchLabel),1,0)</f>
        <v>0</v>
      </c>
      <c r="AO487">
        <f>IF(OR(AK487=MatchLabel,AK487=SafetyLabel,AK487=SecureLabel,AK487=SureThingLabel),1,0)</f>
        <v>0</v>
      </c>
      <c r="AP487">
        <f>IF(OR(T487="H",T487="B"),IF(ISNUMBER(Y487),ROUND(Y487,2),0),IF(ISNUMBER(X487),ROUND(X487,2),0))</f>
        <v>0</v>
      </c>
      <c r="AQ487">
        <f>IF(AP487&gt;=U487,1,0)</f>
        <v>0</v>
      </c>
      <c r="AR487">
        <f>IF(AP487&gt;=V487,1,0)</f>
        <v>0</v>
      </c>
      <c r="AS487">
        <f>IF(AP487&lt;(U487-0.10),1,0)</f>
        <v>0</v>
      </c>
      <c r="AT487">
        <f>1-AJ487/100</f>
        <v>0</v>
      </c>
      <c r="AU487">
        <f>IF(AN487=1,AT487,1)</f>
        <v>0</v>
      </c>
      <c r="AV487">
        <f>IF(AM487=1,AT487,1)</f>
        <v>0</v>
      </c>
      <c r="AW487">
        <f>IF(AND(AQ487=1,ISNUMBER(AT487)),$AT487,1)</f>
        <v>0</v>
      </c>
      <c r="AX487">
        <f>IF(AND(AR487=1,ISNUMBER(AT487)),$AT487,1)</f>
        <v>0</v>
      </c>
      <c r="AY487">
        <f>IF(ISNUMBER(Y487),INDEX(AllCollegeMoney, MATCH(N487,AllCollegeNCES,0)),0)</f>
        <v>0</v>
      </c>
      <c r="AZ487">
        <f>IF(AND(AQ487=1,ISNUMBER(AT487),AY487=1),$AT487,1)</f>
        <v>0</v>
      </c>
      <c r="BA487">
        <f>IF(AND(AR487=1,ISNUMBER(AT487),AY487=1),$AT487,1)</f>
        <v>0</v>
      </c>
      <c r="BB487">
        <f>IF(ISNUMBER(Y487),INDEX(AllCollegeILPub, MATCH(N487,AllCollegeNCES,0)),0)</f>
        <v>0</v>
      </c>
      <c r="BC487">
        <f>IF(AK487=ReachLabel,AP487,0)</f>
        <v>0</v>
      </c>
      <c r="BD487">
        <f>IF(AK487=MatchLabel,AP487,0)</f>
        <v>0</v>
      </c>
      <c r="BE487">
        <f>IF(AK487=SafetyLabel,AP487,0)</f>
        <v>0</v>
      </c>
      <c r="BF487">
        <f>IF(AK487=SecureLabel,AP487,0)</f>
        <v>0</v>
      </c>
      <c r="BG487">
        <f>IF(AK487=SureThingLabel,AP487,0)</f>
        <v>0</v>
      </c>
      <c r="BH487">
        <f>MAX(BC487:BG487)</f>
        <v>0</v>
      </c>
      <c r="BI487">
        <f>MAX(BD487:BG487)</f>
        <v>0</v>
      </c>
      <c r="BJ487">
        <f>MAX(BE487:BG487)</f>
        <v>0</v>
      </c>
      <c r="BK487">
        <f>IF(AND(AK487=ReachLabel,AY487=1),AP487,0)</f>
        <v>0</v>
      </c>
      <c r="BL487">
        <f>IF(AND(AK487=MatchLabel,AY487=1),AP487,0)</f>
        <v>0</v>
      </c>
      <c r="BM487">
        <f>IF(AND(AK487=SafetyLabel,AY487=1),AP487,0)</f>
        <v>0</v>
      </c>
      <c r="BN487">
        <f>IF(AND(AK487=SecureLabel,AY487=1),AP487,0)</f>
        <v>0</v>
      </c>
      <c r="BO487">
        <f>IF(AND(AK487=SureThingLabel,AY487=1),AP487,0)</f>
        <v>0</v>
      </c>
      <c r="BP487">
        <f>MAX(BK487:BO487)</f>
        <v>0</v>
      </c>
      <c r="BQ487">
        <f>MAX(BL487:BO487)</f>
        <v>0</v>
      </c>
      <c r="BR487">
        <f>MAX(BM487:BO487)</f>
        <v>0</v>
      </c>
      <c r="BS487">
        <f>IF(ISNUMBER(Y487),INDEX(AllCollegeChicago, MATCH(N487,AllCollegeNCES,0))*AY487,0)</f>
        <v>0</v>
      </c>
      <c r="BT487">
        <f>IF(ISNUMBER(Y487),INDEX(AllCollegeMoneyCode, MATCH(N487,AllCollegeNCES,0)),"?")</f>
        <v>0</v>
      </c>
      <c r="BU487">
        <f>IF(OR(BT487="---",BT487="--",BT487="+/--",BT487="+/---"),1,0)</f>
        <v>0</v>
      </c>
      <c r="BV487">
        <f>AY487*AO487*AQ487</f>
        <v>0</v>
      </c>
    </row>
    <row r="488" spans="1:74">
      <c r="A488" t="s">
        <v>86</v>
      </c>
      <c r="B488">
        <v>23461683</v>
      </c>
      <c r="C488" t="s">
        <v>287</v>
      </c>
      <c r="D488" t="s">
        <v>288</v>
      </c>
      <c r="E488" t="s">
        <v>428</v>
      </c>
      <c r="F488" t="s">
        <v>519</v>
      </c>
      <c r="G488" t="s">
        <v>430</v>
      </c>
      <c r="H488" t="s">
        <v>431</v>
      </c>
      <c r="I488" t="s">
        <v>432</v>
      </c>
      <c r="J488" t="s">
        <v>432</v>
      </c>
      <c r="K488">
        <v>0</v>
      </c>
      <c r="L488" t="s">
        <v>428</v>
      </c>
      <c r="M488" t="s">
        <v>428</v>
      </c>
      <c r="N488">
        <v>239628</v>
      </c>
      <c r="O488">
        <f>INDEX(AllCollegeBarrons,MATCH(N488,AllCollegeNCES,0))</f>
        <v>0</v>
      </c>
      <c r="P488">
        <f>INDEX(KidGPAs,MATCH(B488,KidIDs,0))</f>
        <v>0</v>
      </c>
      <c r="Q488">
        <f>INDEX(KidACTs,MATCH(B488,KidIDs,0))</f>
        <v>0</v>
      </c>
      <c r="R488">
        <f>INDEX(Strats,MATCH(B488,KidIDs,0))</f>
        <v>0</v>
      </c>
      <c r="S488">
        <f>INDEX(KidRace,MATCH(B488,KidIDs,0))</f>
        <v>0</v>
      </c>
      <c r="T488">
        <f>IF(OR(S488="M",S488="I"),"H",S488)</f>
        <v>0</v>
      </c>
      <c r="U488">
        <f>INDEX(StudentTargets,MATCH(B488,KidIDs,0))</f>
        <v>0</v>
      </c>
      <c r="V488">
        <f>INDEX(ReachStudentTargets,MATCH(B488,KidIDs,0))</f>
        <v>0</v>
      </c>
      <c r="W488">
        <f>IF(OR(M488="Posse"),1,0)</f>
        <v>0</v>
      </c>
      <c r="X488">
        <f>IF(ISNUMBER(INDEX(AllCollegeGR, MATCH(N488,AllCollegeNCES,0))),ROUND(INDEX(AllCollegeGR, MATCH(N488,AllCollegeNCES,0))+W488*IF(INDEX(AllCollegeGR, MATCH(N488,AllCollegeNCES,0))&gt;0.7,(1-INDEX(AllCollegeGR, MATCH(N488,AllCollegeNCES,0)))/2,0.15),2),INDEX(AllCollegeGR, MATCH(N488,AllCollegeNCES,0)))</f>
        <v>0</v>
      </c>
      <c r="Y488">
        <f>IF(ISNUMBER(INDEX(AllCollegeAAHGR, MATCH(N488,AllCollegeNCES,0))),ROUND(INDEX(AllCollegeAAHGR, MATCH(N488,AllCollegeNCES,0))+W488*IF(INDEX(AllCollegeAAHGR, MATCH(N488,AllCollegeNCES,0))&gt;0.7,(1-INDEX(AllCollegeAAHGR, MATCH(N488,AllCollegeNCES,0)))/2,0.15),2),INDEX(AllCollegeAAHGR, MATCH(N488,AllCollegeNCES,0)))</f>
        <v>0</v>
      </c>
      <c r="Z488">
        <f>IF(OR(T488="H",T488="B"),INDEX(AllCollegeACT25, MATCH(N488,AllCollegeNCES,0)),INDEX(AllCollegeACT50, MATCH(N488,AllCollegeNCES,0)))</f>
        <v>0</v>
      </c>
      <c r="AA488">
        <f>INDEX(CustomWeightsGPA,MATCH(T488&amp;":"&amp;N488,CustomWeightsIndex,0))</f>
        <v>0</v>
      </c>
      <c r="AB488">
        <f>INDEX(CustomWeightsACT,MATCH(T488&amp;":"&amp;N488,CustomWeightsIndex,0))</f>
        <v>0</v>
      </c>
      <c r="AC488">
        <f>INDEX(CustomWeightsIntercept,MATCH(T488&amp;":"&amp;N488,CustomWeightsIndex,0))</f>
        <v>0</v>
      </c>
      <c r="AD488">
        <f>AA488*P488+AB488*Q488+AC488</f>
        <v>0</v>
      </c>
      <c r="AE488">
        <f>INDEX(CoefficientsGPA,MATCH(T488&amp;":"&amp;O488,CoefficientsIndex,0))</f>
        <v>0</v>
      </c>
      <c r="AF488">
        <f>INDEX(CoefficientsACT,MATCH(T488&amp;":"&amp;O488,CoefficientsIndex,0))</f>
        <v>0</v>
      </c>
      <c r="AG488">
        <f>INDEX(CoefficientsIntercept,MATCH(T488&amp;":"&amp;O488,CoefficientsIndex,0))</f>
        <v>0</v>
      </c>
      <c r="AH488">
        <f>AE488*P488+(Q488-Z488)*AF488+AG488</f>
        <v>0</v>
      </c>
      <c r="AI488">
        <f>IF(ISNUMBER(AD488),AD488,AH488)</f>
        <v>0</v>
      </c>
      <c r="AJ488">
        <f>IF(ISNUMBER(AI488),IF(ISNUMBER(AE488),IF(AND(AE488=1,AF488=1,AG488=1),100,ROUND(100*EXP(AI488)/(1+EXP(AI488)),2)),ROUND(100*EXP(AI488)/(1+EXP(AI488)),2)),IF(ISTEXT(O488),IF(LEFT(O488,1)="2",100,"N/A"),"N/A"))</f>
        <v>0</v>
      </c>
      <c r="AK488">
        <f>IF(ISNUMBER(AJ488),IF(AJ488&gt;=99,IF(OR(R488=10,R488=11),MatchLabel,SureThingLabel),IF(AJ488&gt;=95,SecureLabel,IF(AJ488&gt;=80,SafetyLabel,IF(AJ488&gt;=50,MatchLabel,IF(AJ488&gt;=20,ReachLabel,IF(AJ488&gt;=10,LongshotLabel,HailMaryLabel)))))),"Other")</f>
        <v>0</v>
      </c>
      <c r="AL488">
        <f>IF(OR(I488="accepted",I488="cond. accept",I488="summer admit"),IF(J488="yes","CHOICE!","Accepted!"),IF(I488="denied","Denied",IF(K488=1,"Waitlist",IF(L488=1,"Deferred",IF(G488="pending","Pending",IF(OR(G488="initial materials submitted",G488="mid-year submitted",G488="final submitted"),"Submitted",IF(H488="interest","Interest","?")))))))</f>
        <v>0</v>
      </c>
      <c r="AM488">
        <f>IF(OR(AK488=ReachLabel,AK488=LongshotLabel,AK488=HailMaryLabel),1,0)</f>
        <v>0</v>
      </c>
      <c r="AN488">
        <f>IF(OR(AM488=1,AK488=MatchLabel),1,0)</f>
        <v>0</v>
      </c>
      <c r="AO488">
        <f>IF(OR(AK488=MatchLabel,AK488=SafetyLabel,AK488=SecureLabel,AK488=SureThingLabel),1,0)</f>
        <v>0</v>
      </c>
      <c r="AP488">
        <f>IF(OR(T488="H",T488="B"),IF(ISNUMBER(Y488),ROUND(Y488,2),0),IF(ISNUMBER(X488),ROUND(X488,2),0))</f>
        <v>0</v>
      </c>
      <c r="AQ488">
        <f>IF(AP488&gt;=U488,1,0)</f>
        <v>0</v>
      </c>
      <c r="AR488">
        <f>IF(AP488&gt;=V488,1,0)</f>
        <v>0</v>
      </c>
      <c r="AS488">
        <f>IF(AP488&lt;(U488-0.10),1,0)</f>
        <v>0</v>
      </c>
      <c r="AT488">
        <f>1-AJ488/100</f>
        <v>0</v>
      </c>
      <c r="AU488">
        <f>IF(AN488=1,AT488,1)</f>
        <v>0</v>
      </c>
      <c r="AV488">
        <f>IF(AM488=1,AT488,1)</f>
        <v>0</v>
      </c>
      <c r="AW488">
        <f>IF(AND(AQ488=1,ISNUMBER(AT488)),$AT488,1)</f>
        <v>0</v>
      </c>
      <c r="AX488">
        <f>IF(AND(AR488=1,ISNUMBER(AT488)),$AT488,1)</f>
        <v>0</v>
      </c>
      <c r="AY488">
        <f>IF(ISNUMBER(Y488),INDEX(AllCollegeMoney, MATCH(N488,AllCollegeNCES,0)),0)</f>
        <v>0</v>
      </c>
      <c r="AZ488">
        <f>IF(AND(AQ488=1,ISNUMBER(AT488),AY488=1),$AT488,1)</f>
        <v>0</v>
      </c>
      <c r="BA488">
        <f>IF(AND(AR488=1,ISNUMBER(AT488),AY488=1),$AT488,1)</f>
        <v>0</v>
      </c>
      <c r="BB488">
        <f>IF(ISNUMBER(Y488),INDEX(AllCollegeILPub, MATCH(N488,AllCollegeNCES,0)),0)</f>
        <v>0</v>
      </c>
      <c r="BC488">
        <f>IF(AK488=ReachLabel,AP488,0)</f>
        <v>0</v>
      </c>
      <c r="BD488">
        <f>IF(AK488=MatchLabel,AP488,0)</f>
        <v>0</v>
      </c>
      <c r="BE488">
        <f>IF(AK488=SafetyLabel,AP488,0)</f>
        <v>0</v>
      </c>
      <c r="BF488">
        <f>IF(AK488=SecureLabel,AP488,0)</f>
        <v>0</v>
      </c>
      <c r="BG488">
        <f>IF(AK488=SureThingLabel,AP488,0)</f>
        <v>0</v>
      </c>
      <c r="BH488">
        <f>MAX(BC488:BG488)</f>
        <v>0</v>
      </c>
      <c r="BI488">
        <f>MAX(BD488:BG488)</f>
        <v>0</v>
      </c>
      <c r="BJ488">
        <f>MAX(BE488:BG488)</f>
        <v>0</v>
      </c>
      <c r="BK488">
        <f>IF(AND(AK488=ReachLabel,AY488=1),AP488,0)</f>
        <v>0</v>
      </c>
      <c r="BL488">
        <f>IF(AND(AK488=MatchLabel,AY488=1),AP488,0)</f>
        <v>0</v>
      </c>
      <c r="BM488">
        <f>IF(AND(AK488=SafetyLabel,AY488=1),AP488,0)</f>
        <v>0</v>
      </c>
      <c r="BN488">
        <f>IF(AND(AK488=SecureLabel,AY488=1),AP488,0)</f>
        <v>0</v>
      </c>
      <c r="BO488">
        <f>IF(AND(AK488=SureThingLabel,AY488=1),AP488,0)</f>
        <v>0</v>
      </c>
      <c r="BP488">
        <f>MAX(BK488:BO488)</f>
        <v>0</v>
      </c>
      <c r="BQ488">
        <f>MAX(BL488:BO488)</f>
        <v>0</v>
      </c>
      <c r="BR488">
        <f>MAX(BM488:BO488)</f>
        <v>0</v>
      </c>
      <c r="BS488">
        <f>IF(ISNUMBER(Y488),INDEX(AllCollegeChicago, MATCH(N488,AllCollegeNCES,0))*AY488,0)</f>
        <v>0</v>
      </c>
      <c r="BT488">
        <f>IF(ISNUMBER(Y488),INDEX(AllCollegeMoneyCode, MATCH(N488,AllCollegeNCES,0)),"?")</f>
        <v>0</v>
      </c>
      <c r="BU488">
        <f>IF(OR(BT488="---",BT488="--",BT488="+/--",BT488="+/---"),1,0)</f>
        <v>0</v>
      </c>
      <c r="BV488">
        <f>AY488*AO488*AQ488</f>
        <v>0</v>
      </c>
    </row>
    <row r="489" spans="1:74">
      <c r="A489" t="s">
        <v>86</v>
      </c>
      <c r="B489">
        <v>23461683</v>
      </c>
      <c r="C489" t="s">
        <v>287</v>
      </c>
      <c r="D489" t="s">
        <v>288</v>
      </c>
      <c r="E489" t="s">
        <v>428</v>
      </c>
      <c r="F489" t="s">
        <v>462</v>
      </c>
      <c r="G489" t="s">
        <v>430</v>
      </c>
      <c r="H489" t="s">
        <v>431</v>
      </c>
      <c r="I489" t="s">
        <v>432</v>
      </c>
      <c r="J489" t="s">
        <v>432</v>
      </c>
      <c r="K489">
        <v>0</v>
      </c>
      <c r="L489" t="s">
        <v>428</v>
      </c>
      <c r="M489" t="s">
        <v>428</v>
      </c>
      <c r="N489">
        <v>168546</v>
      </c>
      <c r="O489">
        <f>INDEX(AllCollegeBarrons,MATCH(N489,AllCollegeNCES,0))</f>
        <v>0</v>
      </c>
      <c r="P489">
        <f>INDEX(KidGPAs,MATCH(B489,KidIDs,0))</f>
        <v>0</v>
      </c>
      <c r="Q489">
        <f>INDEX(KidACTs,MATCH(B489,KidIDs,0))</f>
        <v>0</v>
      </c>
      <c r="R489">
        <f>INDEX(Strats,MATCH(B489,KidIDs,0))</f>
        <v>0</v>
      </c>
      <c r="S489">
        <f>INDEX(KidRace,MATCH(B489,KidIDs,0))</f>
        <v>0</v>
      </c>
      <c r="T489">
        <f>IF(OR(S489="M",S489="I"),"H",S489)</f>
        <v>0</v>
      </c>
      <c r="U489">
        <f>INDEX(StudentTargets,MATCH(B489,KidIDs,0))</f>
        <v>0</v>
      </c>
      <c r="V489">
        <f>INDEX(ReachStudentTargets,MATCH(B489,KidIDs,0))</f>
        <v>0</v>
      </c>
      <c r="W489">
        <f>IF(OR(M489="Posse"),1,0)</f>
        <v>0</v>
      </c>
      <c r="X489">
        <f>IF(ISNUMBER(INDEX(AllCollegeGR, MATCH(N489,AllCollegeNCES,0))),ROUND(INDEX(AllCollegeGR, MATCH(N489,AllCollegeNCES,0))+W489*IF(INDEX(AllCollegeGR, MATCH(N489,AllCollegeNCES,0))&gt;0.7,(1-INDEX(AllCollegeGR, MATCH(N489,AllCollegeNCES,0)))/2,0.15),2),INDEX(AllCollegeGR, MATCH(N489,AllCollegeNCES,0)))</f>
        <v>0</v>
      </c>
      <c r="Y489">
        <f>IF(ISNUMBER(INDEX(AllCollegeAAHGR, MATCH(N489,AllCollegeNCES,0))),ROUND(INDEX(AllCollegeAAHGR, MATCH(N489,AllCollegeNCES,0))+W489*IF(INDEX(AllCollegeAAHGR, MATCH(N489,AllCollegeNCES,0))&gt;0.7,(1-INDEX(AllCollegeAAHGR, MATCH(N489,AllCollegeNCES,0)))/2,0.15),2),INDEX(AllCollegeAAHGR, MATCH(N489,AllCollegeNCES,0)))</f>
        <v>0</v>
      </c>
      <c r="Z489">
        <f>IF(OR(T489="H",T489="B"),INDEX(AllCollegeACT25, MATCH(N489,AllCollegeNCES,0)),INDEX(AllCollegeACT50, MATCH(N489,AllCollegeNCES,0)))</f>
        <v>0</v>
      </c>
      <c r="AA489">
        <f>INDEX(CustomWeightsGPA,MATCH(T489&amp;":"&amp;N489,CustomWeightsIndex,0))</f>
        <v>0</v>
      </c>
      <c r="AB489">
        <f>INDEX(CustomWeightsACT,MATCH(T489&amp;":"&amp;N489,CustomWeightsIndex,0))</f>
        <v>0</v>
      </c>
      <c r="AC489">
        <f>INDEX(CustomWeightsIntercept,MATCH(T489&amp;":"&amp;N489,CustomWeightsIndex,0))</f>
        <v>0</v>
      </c>
      <c r="AD489">
        <f>AA489*P489+AB489*Q489+AC489</f>
        <v>0</v>
      </c>
      <c r="AE489">
        <f>INDEX(CoefficientsGPA,MATCH(T489&amp;":"&amp;O489,CoefficientsIndex,0))</f>
        <v>0</v>
      </c>
      <c r="AF489">
        <f>INDEX(CoefficientsACT,MATCH(T489&amp;":"&amp;O489,CoefficientsIndex,0))</f>
        <v>0</v>
      </c>
      <c r="AG489">
        <f>INDEX(CoefficientsIntercept,MATCH(T489&amp;":"&amp;O489,CoefficientsIndex,0))</f>
        <v>0</v>
      </c>
      <c r="AH489">
        <f>AE489*P489+(Q489-Z489)*AF489+AG489</f>
        <v>0</v>
      </c>
      <c r="AI489">
        <f>IF(ISNUMBER(AD489),AD489,AH489)</f>
        <v>0</v>
      </c>
      <c r="AJ489">
        <f>IF(ISNUMBER(AI489),IF(ISNUMBER(AE489),IF(AND(AE489=1,AF489=1,AG489=1),100,ROUND(100*EXP(AI489)/(1+EXP(AI489)),2)),ROUND(100*EXP(AI489)/(1+EXP(AI489)),2)),IF(ISTEXT(O489),IF(LEFT(O489,1)="2",100,"N/A"),"N/A"))</f>
        <v>0</v>
      </c>
      <c r="AK489">
        <f>IF(ISNUMBER(AJ489),IF(AJ489&gt;=99,IF(OR(R489=10,R489=11),MatchLabel,SureThingLabel),IF(AJ489&gt;=95,SecureLabel,IF(AJ489&gt;=80,SafetyLabel,IF(AJ489&gt;=50,MatchLabel,IF(AJ489&gt;=20,ReachLabel,IF(AJ489&gt;=10,LongshotLabel,HailMaryLabel)))))),"Other")</f>
        <v>0</v>
      </c>
      <c r="AL489">
        <f>IF(OR(I489="accepted",I489="cond. accept",I489="summer admit"),IF(J489="yes","CHOICE!","Accepted!"),IF(I489="denied","Denied",IF(K489=1,"Waitlist",IF(L489=1,"Deferred",IF(G489="pending","Pending",IF(OR(G489="initial materials submitted",G489="mid-year submitted",G489="final submitted"),"Submitted",IF(H489="interest","Interest","?")))))))</f>
        <v>0</v>
      </c>
      <c r="AM489">
        <f>IF(OR(AK489=ReachLabel,AK489=LongshotLabel,AK489=HailMaryLabel),1,0)</f>
        <v>0</v>
      </c>
      <c r="AN489">
        <f>IF(OR(AM489=1,AK489=MatchLabel),1,0)</f>
        <v>0</v>
      </c>
      <c r="AO489">
        <f>IF(OR(AK489=MatchLabel,AK489=SafetyLabel,AK489=SecureLabel,AK489=SureThingLabel),1,0)</f>
        <v>0</v>
      </c>
      <c r="AP489">
        <f>IF(OR(T489="H",T489="B"),IF(ISNUMBER(Y489),ROUND(Y489,2),0),IF(ISNUMBER(X489),ROUND(X489,2),0))</f>
        <v>0</v>
      </c>
      <c r="AQ489">
        <f>IF(AP489&gt;=U489,1,0)</f>
        <v>0</v>
      </c>
      <c r="AR489">
        <f>IF(AP489&gt;=V489,1,0)</f>
        <v>0</v>
      </c>
      <c r="AS489">
        <f>IF(AP489&lt;(U489-0.10),1,0)</f>
        <v>0</v>
      </c>
      <c r="AT489">
        <f>1-AJ489/100</f>
        <v>0</v>
      </c>
      <c r="AU489">
        <f>IF(AN489=1,AT489,1)</f>
        <v>0</v>
      </c>
      <c r="AV489">
        <f>IF(AM489=1,AT489,1)</f>
        <v>0</v>
      </c>
      <c r="AW489">
        <f>IF(AND(AQ489=1,ISNUMBER(AT489)),$AT489,1)</f>
        <v>0</v>
      </c>
      <c r="AX489">
        <f>IF(AND(AR489=1,ISNUMBER(AT489)),$AT489,1)</f>
        <v>0</v>
      </c>
      <c r="AY489">
        <f>IF(ISNUMBER(Y489),INDEX(AllCollegeMoney, MATCH(N489,AllCollegeNCES,0)),0)</f>
        <v>0</v>
      </c>
      <c r="AZ489">
        <f>IF(AND(AQ489=1,ISNUMBER(AT489),AY489=1),$AT489,1)</f>
        <v>0</v>
      </c>
      <c r="BA489">
        <f>IF(AND(AR489=1,ISNUMBER(AT489),AY489=1),$AT489,1)</f>
        <v>0</v>
      </c>
      <c r="BB489">
        <f>IF(ISNUMBER(Y489),INDEX(AllCollegeILPub, MATCH(N489,AllCollegeNCES,0)),0)</f>
        <v>0</v>
      </c>
      <c r="BC489">
        <f>IF(AK489=ReachLabel,AP489,0)</f>
        <v>0</v>
      </c>
      <c r="BD489">
        <f>IF(AK489=MatchLabel,AP489,0)</f>
        <v>0</v>
      </c>
      <c r="BE489">
        <f>IF(AK489=SafetyLabel,AP489,0)</f>
        <v>0</v>
      </c>
      <c r="BF489">
        <f>IF(AK489=SecureLabel,AP489,0)</f>
        <v>0</v>
      </c>
      <c r="BG489">
        <f>IF(AK489=SureThingLabel,AP489,0)</f>
        <v>0</v>
      </c>
      <c r="BH489">
        <f>MAX(BC489:BG489)</f>
        <v>0</v>
      </c>
      <c r="BI489">
        <f>MAX(BD489:BG489)</f>
        <v>0</v>
      </c>
      <c r="BJ489">
        <f>MAX(BE489:BG489)</f>
        <v>0</v>
      </c>
      <c r="BK489">
        <f>IF(AND(AK489=ReachLabel,AY489=1),AP489,0)</f>
        <v>0</v>
      </c>
      <c r="BL489">
        <f>IF(AND(AK489=MatchLabel,AY489=1),AP489,0)</f>
        <v>0</v>
      </c>
      <c r="BM489">
        <f>IF(AND(AK489=SafetyLabel,AY489=1),AP489,0)</f>
        <v>0</v>
      </c>
      <c r="BN489">
        <f>IF(AND(AK489=SecureLabel,AY489=1),AP489,0)</f>
        <v>0</v>
      </c>
      <c r="BO489">
        <f>IF(AND(AK489=SureThingLabel,AY489=1),AP489,0)</f>
        <v>0</v>
      </c>
      <c r="BP489">
        <f>MAX(BK489:BO489)</f>
        <v>0</v>
      </c>
      <c r="BQ489">
        <f>MAX(BL489:BO489)</f>
        <v>0</v>
      </c>
      <c r="BR489">
        <f>MAX(BM489:BO489)</f>
        <v>0</v>
      </c>
      <c r="BS489">
        <f>IF(ISNUMBER(Y489),INDEX(AllCollegeChicago, MATCH(N489,AllCollegeNCES,0))*AY489,0)</f>
        <v>0</v>
      </c>
      <c r="BT489">
        <f>IF(ISNUMBER(Y489),INDEX(AllCollegeMoneyCode, MATCH(N489,AllCollegeNCES,0)),"?")</f>
        <v>0</v>
      </c>
      <c r="BU489">
        <f>IF(OR(BT489="---",BT489="--",BT489="+/--",BT489="+/---"),1,0)</f>
        <v>0</v>
      </c>
      <c r="BV489">
        <f>AY489*AO489*AQ489</f>
        <v>0</v>
      </c>
    </row>
    <row r="490" spans="1:74">
      <c r="A490" t="s">
        <v>86</v>
      </c>
      <c r="B490">
        <v>23461683</v>
      </c>
      <c r="C490" t="s">
        <v>287</v>
      </c>
      <c r="D490" t="s">
        <v>288</v>
      </c>
      <c r="E490" t="s">
        <v>428</v>
      </c>
      <c r="F490" t="s">
        <v>485</v>
      </c>
      <c r="G490" t="s">
        <v>430</v>
      </c>
      <c r="H490" t="s">
        <v>431</v>
      </c>
      <c r="I490" t="s">
        <v>432</v>
      </c>
      <c r="J490" t="s">
        <v>432</v>
      </c>
      <c r="K490">
        <v>0</v>
      </c>
      <c r="L490" t="s">
        <v>428</v>
      </c>
      <c r="M490" t="s">
        <v>428</v>
      </c>
      <c r="N490">
        <v>170082</v>
      </c>
      <c r="O490">
        <f>INDEX(AllCollegeBarrons,MATCH(N490,AllCollegeNCES,0))</f>
        <v>0</v>
      </c>
      <c r="P490">
        <f>INDEX(KidGPAs,MATCH(B490,KidIDs,0))</f>
        <v>0</v>
      </c>
      <c r="Q490">
        <f>INDEX(KidACTs,MATCH(B490,KidIDs,0))</f>
        <v>0</v>
      </c>
      <c r="R490">
        <f>INDEX(Strats,MATCH(B490,KidIDs,0))</f>
        <v>0</v>
      </c>
      <c r="S490">
        <f>INDEX(KidRace,MATCH(B490,KidIDs,0))</f>
        <v>0</v>
      </c>
      <c r="T490">
        <f>IF(OR(S490="M",S490="I"),"H",S490)</f>
        <v>0</v>
      </c>
      <c r="U490">
        <f>INDEX(StudentTargets,MATCH(B490,KidIDs,0))</f>
        <v>0</v>
      </c>
      <c r="V490">
        <f>INDEX(ReachStudentTargets,MATCH(B490,KidIDs,0))</f>
        <v>0</v>
      </c>
      <c r="W490">
        <f>IF(OR(M490="Posse"),1,0)</f>
        <v>0</v>
      </c>
      <c r="X490">
        <f>IF(ISNUMBER(INDEX(AllCollegeGR, MATCH(N490,AllCollegeNCES,0))),ROUND(INDEX(AllCollegeGR, MATCH(N490,AllCollegeNCES,0))+W490*IF(INDEX(AllCollegeGR, MATCH(N490,AllCollegeNCES,0))&gt;0.7,(1-INDEX(AllCollegeGR, MATCH(N490,AllCollegeNCES,0)))/2,0.15),2),INDEX(AllCollegeGR, MATCH(N490,AllCollegeNCES,0)))</f>
        <v>0</v>
      </c>
      <c r="Y490">
        <f>IF(ISNUMBER(INDEX(AllCollegeAAHGR, MATCH(N490,AllCollegeNCES,0))),ROUND(INDEX(AllCollegeAAHGR, MATCH(N490,AllCollegeNCES,0))+W490*IF(INDEX(AllCollegeAAHGR, MATCH(N490,AllCollegeNCES,0))&gt;0.7,(1-INDEX(AllCollegeAAHGR, MATCH(N490,AllCollegeNCES,0)))/2,0.15),2),INDEX(AllCollegeAAHGR, MATCH(N490,AllCollegeNCES,0)))</f>
        <v>0</v>
      </c>
      <c r="Z490">
        <f>IF(OR(T490="H",T490="B"),INDEX(AllCollegeACT25, MATCH(N490,AllCollegeNCES,0)),INDEX(AllCollegeACT50, MATCH(N490,AllCollegeNCES,0)))</f>
        <v>0</v>
      </c>
      <c r="AA490">
        <f>INDEX(CustomWeightsGPA,MATCH(T490&amp;":"&amp;N490,CustomWeightsIndex,0))</f>
        <v>0</v>
      </c>
      <c r="AB490">
        <f>INDEX(CustomWeightsACT,MATCH(T490&amp;":"&amp;N490,CustomWeightsIndex,0))</f>
        <v>0</v>
      </c>
      <c r="AC490">
        <f>INDEX(CustomWeightsIntercept,MATCH(T490&amp;":"&amp;N490,CustomWeightsIndex,0))</f>
        <v>0</v>
      </c>
      <c r="AD490">
        <f>AA490*P490+AB490*Q490+AC490</f>
        <v>0</v>
      </c>
      <c r="AE490">
        <f>INDEX(CoefficientsGPA,MATCH(T490&amp;":"&amp;O490,CoefficientsIndex,0))</f>
        <v>0</v>
      </c>
      <c r="AF490">
        <f>INDEX(CoefficientsACT,MATCH(T490&amp;":"&amp;O490,CoefficientsIndex,0))</f>
        <v>0</v>
      </c>
      <c r="AG490">
        <f>INDEX(CoefficientsIntercept,MATCH(T490&amp;":"&amp;O490,CoefficientsIndex,0))</f>
        <v>0</v>
      </c>
      <c r="AH490">
        <f>AE490*P490+(Q490-Z490)*AF490+AG490</f>
        <v>0</v>
      </c>
      <c r="AI490">
        <f>IF(ISNUMBER(AD490),AD490,AH490)</f>
        <v>0</v>
      </c>
      <c r="AJ490">
        <f>IF(ISNUMBER(AI490),IF(ISNUMBER(AE490),IF(AND(AE490=1,AF490=1,AG490=1),100,ROUND(100*EXP(AI490)/(1+EXP(AI490)),2)),ROUND(100*EXP(AI490)/(1+EXP(AI490)),2)),IF(ISTEXT(O490),IF(LEFT(O490,1)="2",100,"N/A"),"N/A"))</f>
        <v>0</v>
      </c>
      <c r="AK490">
        <f>IF(ISNUMBER(AJ490),IF(AJ490&gt;=99,IF(OR(R490=10,R490=11),MatchLabel,SureThingLabel),IF(AJ490&gt;=95,SecureLabel,IF(AJ490&gt;=80,SafetyLabel,IF(AJ490&gt;=50,MatchLabel,IF(AJ490&gt;=20,ReachLabel,IF(AJ490&gt;=10,LongshotLabel,HailMaryLabel)))))),"Other")</f>
        <v>0</v>
      </c>
      <c r="AL490">
        <f>IF(OR(I490="accepted",I490="cond. accept",I490="summer admit"),IF(J490="yes","CHOICE!","Accepted!"),IF(I490="denied","Denied",IF(K490=1,"Waitlist",IF(L490=1,"Deferred",IF(G490="pending","Pending",IF(OR(G490="initial materials submitted",G490="mid-year submitted",G490="final submitted"),"Submitted",IF(H490="interest","Interest","?")))))))</f>
        <v>0</v>
      </c>
      <c r="AM490">
        <f>IF(OR(AK490=ReachLabel,AK490=LongshotLabel,AK490=HailMaryLabel),1,0)</f>
        <v>0</v>
      </c>
      <c r="AN490">
        <f>IF(OR(AM490=1,AK490=MatchLabel),1,0)</f>
        <v>0</v>
      </c>
      <c r="AO490">
        <f>IF(OR(AK490=MatchLabel,AK490=SafetyLabel,AK490=SecureLabel,AK490=SureThingLabel),1,0)</f>
        <v>0</v>
      </c>
      <c r="AP490">
        <f>IF(OR(T490="H",T490="B"),IF(ISNUMBER(Y490),ROUND(Y490,2),0),IF(ISNUMBER(X490),ROUND(X490,2),0))</f>
        <v>0</v>
      </c>
      <c r="AQ490">
        <f>IF(AP490&gt;=U490,1,0)</f>
        <v>0</v>
      </c>
      <c r="AR490">
        <f>IF(AP490&gt;=V490,1,0)</f>
        <v>0</v>
      </c>
      <c r="AS490">
        <f>IF(AP490&lt;(U490-0.10),1,0)</f>
        <v>0</v>
      </c>
      <c r="AT490">
        <f>1-AJ490/100</f>
        <v>0</v>
      </c>
      <c r="AU490">
        <f>IF(AN490=1,AT490,1)</f>
        <v>0</v>
      </c>
      <c r="AV490">
        <f>IF(AM490=1,AT490,1)</f>
        <v>0</v>
      </c>
      <c r="AW490">
        <f>IF(AND(AQ490=1,ISNUMBER(AT490)),$AT490,1)</f>
        <v>0</v>
      </c>
      <c r="AX490">
        <f>IF(AND(AR490=1,ISNUMBER(AT490)),$AT490,1)</f>
        <v>0</v>
      </c>
      <c r="AY490">
        <f>IF(ISNUMBER(Y490),INDEX(AllCollegeMoney, MATCH(N490,AllCollegeNCES,0)),0)</f>
        <v>0</v>
      </c>
      <c r="AZ490">
        <f>IF(AND(AQ490=1,ISNUMBER(AT490),AY490=1),$AT490,1)</f>
        <v>0</v>
      </c>
      <c r="BA490">
        <f>IF(AND(AR490=1,ISNUMBER(AT490),AY490=1),$AT490,1)</f>
        <v>0</v>
      </c>
      <c r="BB490">
        <f>IF(ISNUMBER(Y490),INDEX(AllCollegeILPub, MATCH(N490,AllCollegeNCES,0)),0)</f>
        <v>0</v>
      </c>
      <c r="BC490">
        <f>IF(AK490=ReachLabel,AP490,0)</f>
        <v>0</v>
      </c>
      <c r="BD490">
        <f>IF(AK490=MatchLabel,AP490,0)</f>
        <v>0</v>
      </c>
      <c r="BE490">
        <f>IF(AK490=SafetyLabel,AP490,0)</f>
        <v>0</v>
      </c>
      <c r="BF490">
        <f>IF(AK490=SecureLabel,AP490,0)</f>
        <v>0</v>
      </c>
      <c r="BG490">
        <f>IF(AK490=SureThingLabel,AP490,0)</f>
        <v>0</v>
      </c>
      <c r="BH490">
        <f>MAX(BC490:BG490)</f>
        <v>0</v>
      </c>
      <c r="BI490">
        <f>MAX(BD490:BG490)</f>
        <v>0</v>
      </c>
      <c r="BJ490">
        <f>MAX(BE490:BG490)</f>
        <v>0</v>
      </c>
      <c r="BK490">
        <f>IF(AND(AK490=ReachLabel,AY490=1),AP490,0)</f>
        <v>0</v>
      </c>
      <c r="BL490">
        <f>IF(AND(AK490=MatchLabel,AY490=1),AP490,0)</f>
        <v>0</v>
      </c>
      <c r="BM490">
        <f>IF(AND(AK490=SafetyLabel,AY490=1),AP490,0)</f>
        <v>0</v>
      </c>
      <c r="BN490">
        <f>IF(AND(AK490=SecureLabel,AY490=1),AP490,0)</f>
        <v>0</v>
      </c>
      <c r="BO490">
        <f>IF(AND(AK490=SureThingLabel,AY490=1),AP490,0)</f>
        <v>0</v>
      </c>
      <c r="BP490">
        <f>MAX(BK490:BO490)</f>
        <v>0</v>
      </c>
      <c r="BQ490">
        <f>MAX(BL490:BO490)</f>
        <v>0</v>
      </c>
      <c r="BR490">
        <f>MAX(BM490:BO490)</f>
        <v>0</v>
      </c>
      <c r="BS490">
        <f>IF(ISNUMBER(Y490),INDEX(AllCollegeChicago, MATCH(N490,AllCollegeNCES,0))*AY490,0)</f>
        <v>0</v>
      </c>
      <c r="BT490">
        <f>IF(ISNUMBER(Y490),INDEX(AllCollegeMoneyCode, MATCH(N490,AllCollegeNCES,0)),"?")</f>
        <v>0</v>
      </c>
      <c r="BU490">
        <f>IF(OR(BT490="---",BT490="--",BT490="+/--",BT490="+/---"),1,0)</f>
        <v>0</v>
      </c>
      <c r="BV490">
        <f>AY490*AO490*AQ490</f>
        <v>0</v>
      </c>
    </row>
    <row r="491" spans="1:74">
      <c r="A491" t="s">
        <v>86</v>
      </c>
      <c r="B491">
        <v>23461683</v>
      </c>
      <c r="C491" t="s">
        <v>287</v>
      </c>
      <c r="D491" t="s">
        <v>288</v>
      </c>
      <c r="E491" t="s">
        <v>428</v>
      </c>
      <c r="F491" t="s">
        <v>502</v>
      </c>
      <c r="G491" t="s">
        <v>430</v>
      </c>
      <c r="H491" t="s">
        <v>431</v>
      </c>
      <c r="I491" t="s">
        <v>432</v>
      </c>
      <c r="J491" t="s">
        <v>432</v>
      </c>
      <c r="K491">
        <v>0</v>
      </c>
      <c r="L491" t="s">
        <v>428</v>
      </c>
      <c r="M491" t="s">
        <v>428</v>
      </c>
      <c r="N491">
        <v>145813</v>
      </c>
      <c r="O491">
        <f>INDEX(AllCollegeBarrons,MATCH(N491,AllCollegeNCES,0))</f>
        <v>0</v>
      </c>
      <c r="P491">
        <f>INDEX(KidGPAs,MATCH(B491,KidIDs,0))</f>
        <v>0</v>
      </c>
      <c r="Q491">
        <f>INDEX(KidACTs,MATCH(B491,KidIDs,0))</f>
        <v>0</v>
      </c>
      <c r="R491">
        <f>INDEX(Strats,MATCH(B491,KidIDs,0))</f>
        <v>0</v>
      </c>
      <c r="S491">
        <f>INDEX(KidRace,MATCH(B491,KidIDs,0))</f>
        <v>0</v>
      </c>
      <c r="T491">
        <f>IF(OR(S491="M",S491="I"),"H",S491)</f>
        <v>0</v>
      </c>
      <c r="U491">
        <f>INDEX(StudentTargets,MATCH(B491,KidIDs,0))</f>
        <v>0</v>
      </c>
      <c r="V491">
        <f>INDEX(ReachStudentTargets,MATCH(B491,KidIDs,0))</f>
        <v>0</v>
      </c>
      <c r="W491">
        <f>IF(OR(M491="Posse"),1,0)</f>
        <v>0</v>
      </c>
      <c r="X491">
        <f>IF(ISNUMBER(INDEX(AllCollegeGR, MATCH(N491,AllCollegeNCES,0))),ROUND(INDEX(AllCollegeGR, MATCH(N491,AllCollegeNCES,0))+W491*IF(INDEX(AllCollegeGR, MATCH(N491,AllCollegeNCES,0))&gt;0.7,(1-INDEX(AllCollegeGR, MATCH(N491,AllCollegeNCES,0)))/2,0.15),2),INDEX(AllCollegeGR, MATCH(N491,AllCollegeNCES,0)))</f>
        <v>0</v>
      </c>
      <c r="Y491">
        <f>IF(ISNUMBER(INDEX(AllCollegeAAHGR, MATCH(N491,AllCollegeNCES,0))),ROUND(INDEX(AllCollegeAAHGR, MATCH(N491,AllCollegeNCES,0))+W491*IF(INDEX(AllCollegeAAHGR, MATCH(N491,AllCollegeNCES,0))&gt;0.7,(1-INDEX(AllCollegeAAHGR, MATCH(N491,AllCollegeNCES,0)))/2,0.15),2),INDEX(AllCollegeAAHGR, MATCH(N491,AllCollegeNCES,0)))</f>
        <v>0</v>
      </c>
      <c r="Z491">
        <f>IF(OR(T491="H",T491="B"),INDEX(AllCollegeACT25, MATCH(N491,AllCollegeNCES,0)),INDEX(AllCollegeACT50, MATCH(N491,AllCollegeNCES,0)))</f>
        <v>0</v>
      </c>
      <c r="AA491">
        <f>INDEX(CustomWeightsGPA,MATCH(T491&amp;":"&amp;N491,CustomWeightsIndex,0))</f>
        <v>0</v>
      </c>
      <c r="AB491">
        <f>INDEX(CustomWeightsACT,MATCH(T491&amp;":"&amp;N491,CustomWeightsIndex,0))</f>
        <v>0</v>
      </c>
      <c r="AC491">
        <f>INDEX(CustomWeightsIntercept,MATCH(T491&amp;":"&amp;N491,CustomWeightsIndex,0))</f>
        <v>0</v>
      </c>
      <c r="AD491">
        <f>AA491*P491+AB491*Q491+AC491</f>
        <v>0</v>
      </c>
      <c r="AE491">
        <f>INDEX(CoefficientsGPA,MATCH(T491&amp;":"&amp;O491,CoefficientsIndex,0))</f>
        <v>0</v>
      </c>
      <c r="AF491">
        <f>INDEX(CoefficientsACT,MATCH(T491&amp;":"&amp;O491,CoefficientsIndex,0))</f>
        <v>0</v>
      </c>
      <c r="AG491">
        <f>INDEX(CoefficientsIntercept,MATCH(T491&amp;":"&amp;O491,CoefficientsIndex,0))</f>
        <v>0</v>
      </c>
      <c r="AH491">
        <f>AE491*P491+(Q491-Z491)*AF491+AG491</f>
        <v>0</v>
      </c>
      <c r="AI491">
        <f>IF(ISNUMBER(AD491),AD491,AH491)</f>
        <v>0</v>
      </c>
      <c r="AJ491">
        <f>IF(ISNUMBER(AI491),IF(ISNUMBER(AE491),IF(AND(AE491=1,AF491=1,AG491=1),100,ROUND(100*EXP(AI491)/(1+EXP(AI491)),2)),ROUND(100*EXP(AI491)/(1+EXP(AI491)),2)),IF(ISTEXT(O491),IF(LEFT(O491,1)="2",100,"N/A"),"N/A"))</f>
        <v>0</v>
      </c>
      <c r="AK491">
        <f>IF(ISNUMBER(AJ491),IF(AJ491&gt;=99,IF(OR(R491=10,R491=11),MatchLabel,SureThingLabel),IF(AJ491&gt;=95,SecureLabel,IF(AJ491&gt;=80,SafetyLabel,IF(AJ491&gt;=50,MatchLabel,IF(AJ491&gt;=20,ReachLabel,IF(AJ491&gt;=10,LongshotLabel,HailMaryLabel)))))),"Other")</f>
        <v>0</v>
      </c>
      <c r="AL491">
        <f>IF(OR(I491="accepted",I491="cond. accept",I491="summer admit"),IF(J491="yes","CHOICE!","Accepted!"),IF(I491="denied","Denied",IF(K491=1,"Waitlist",IF(L491=1,"Deferred",IF(G491="pending","Pending",IF(OR(G491="initial materials submitted",G491="mid-year submitted",G491="final submitted"),"Submitted",IF(H491="interest","Interest","?")))))))</f>
        <v>0</v>
      </c>
      <c r="AM491">
        <f>IF(OR(AK491=ReachLabel,AK491=LongshotLabel,AK491=HailMaryLabel),1,0)</f>
        <v>0</v>
      </c>
      <c r="AN491">
        <f>IF(OR(AM491=1,AK491=MatchLabel),1,0)</f>
        <v>0</v>
      </c>
      <c r="AO491">
        <f>IF(OR(AK491=MatchLabel,AK491=SafetyLabel,AK491=SecureLabel,AK491=SureThingLabel),1,0)</f>
        <v>0</v>
      </c>
      <c r="AP491">
        <f>IF(OR(T491="H",T491="B"),IF(ISNUMBER(Y491),ROUND(Y491,2),0),IF(ISNUMBER(X491),ROUND(X491,2),0))</f>
        <v>0</v>
      </c>
      <c r="AQ491">
        <f>IF(AP491&gt;=U491,1,0)</f>
        <v>0</v>
      </c>
      <c r="AR491">
        <f>IF(AP491&gt;=V491,1,0)</f>
        <v>0</v>
      </c>
      <c r="AS491">
        <f>IF(AP491&lt;(U491-0.10),1,0)</f>
        <v>0</v>
      </c>
      <c r="AT491">
        <f>1-AJ491/100</f>
        <v>0</v>
      </c>
      <c r="AU491">
        <f>IF(AN491=1,AT491,1)</f>
        <v>0</v>
      </c>
      <c r="AV491">
        <f>IF(AM491=1,AT491,1)</f>
        <v>0</v>
      </c>
      <c r="AW491">
        <f>IF(AND(AQ491=1,ISNUMBER(AT491)),$AT491,1)</f>
        <v>0</v>
      </c>
      <c r="AX491">
        <f>IF(AND(AR491=1,ISNUMBER(AT491)),$AT491,1)</f>
        <v>0</v>
      </c>
      <c r="AY491">
        <f>IF(ISNUMBER(Y491),INDEX(AllCollegeMoney, MATCH(N491,AllCollegeNCES,0)),0)</f>
        <v>0</v>
      </c>
      <c r="AZ491">
        <f>IF(AND(AQ491=1,ISNUMBER(AT491),AY491=1),$AT491,1)</f>
        <v>0</v>
      </c>
      <c r="BA491">
        <f>IF(AND(AR491=1,ISNUMBER(AT491),AY491=1),$AT491,1)</f>
        <v>0</v>
      </c>
      <c r="BB491">
        <f>IF(ISNUMBER(Y491),INDEX(AllCollegeILPub, MATCH(N491,AllCollegeNCES,0)),0)</f>
        <v>0</v>
      </c>
      <c r="BC491">
        <f>IF(AK491=ReachLabel,AP491,0)</f>
        <v>0</v>
      </c>
      <c r="BD491">
        <f>IF(AK491=MatchLabel,AP491,0)</f>
        <v>0</v>
      </c>
      <c r="BE491">
        <f>IF(AK491=SafetyLabel,AP491,0)</f>
        <v>0</v>
      </c>
      <c r="BF491">
        <f>IF(AK491=SecureLabel,AP491,0)</f>
        <v>0</v>
      </c>
      <c r="BG491">
        <f>IF(AK491=SureThingLabel,AP491,0)</f>
        <v>0</v>
      </c>
      <c r="BH491">
        <f>MAX(BC491:BG491)</f>
        <v>0</v>
      </c>
      <c r="BI491">
        <f>MAX(BD491:BG491)</f>
        <v>0</v>
      </c>
      <c r="BJ491">
        <f>MAX(BE491:BG491)</f>
        <v>0</v>
      </c>
      <c r="BK491">
        <f>IF(AND(AK491=ReachLabel,AY491=1),AP491,0)</f>
        <v>0</v>
      </c>
      <c r="BL491">
        <f>IF(AND(AK491=MatchLabel,AY491=1),AP491,0)</f>
        <v>0</v>
      </c>
      <c r="BM491">
        <f>IF(AND(AK491=SafetyLabel,AY491=1),AP491,0)</f>
        <v>0</v>
      </c>
      <c r="BN491">
        <f>IF(AND(AK491=SecureLabel,AY491=1),AP491,0)</f>
        <v>0</v>
      </c>
      <c r="BO491">
        <f>IF(AND(AK491=SureThingLabel,AY491=1),AP491,0)</f>
        <v>0</v>
      </c>
      <c r="BP491">
        <f>MAX(BK491:BO491)</f>
        <v>0</v>
      </c>
      <c r="BQ491">
        <f>MAX(BL491:BO491)</f>
        <v>0</v>
      </c>
      <c r="BR491">
        <f>MAX(BM491:BO491)</f>
        <v>0</v>
      </c>
      <c r="BS491">
        <f>IF(ISNUMBER(Y491),INDEX(AllCollegeChicago, MATCH(N491,AllCollegeNCES,0))*AY491,0)</f>
        <v>0</v>
      </c>
      <c r="BT491">
        <f>IF(ISNUMBER(Y491),INDEX(AllCollegeMoneyCode, MATCH(N491,AllCollegeNCES,0)),"?")</f>
        <v>0</v>
      </c>
      <c r="BU491">
        <f>IF(OR(BT491="---",BT491="--",BT491="+/--",BT491="+/---"),1,0)</f>
        <v>0</v>
      </c>
      <c r="BV491">
        <f>AY491*AO491*AQ491</f>
        <v>0</v>
      </c>
    </row>
    <row r="492" spans="1:74">
      <c r="A492" t="s">
        <v>86</v>
      </c>
      <c r="B492">
        <v>23461683</v>
      </c>
      <c r="C492" t="s">
        <v>287</v>
      </c>
      <c r="D492" t="s">
        <v>288</v>
      </c>
      <c r="E492" t="s">
        <v>428</v>
      </c>
      <c r="F492" t="s">
        <v>447</v>
      </c>
      <c r="G492" t="s">
        <v>430</v>
      </c>
      <c r="H492" t="s">
        <v>431</v>
      </c>
      <c r="I492" t="s">
        <v>432</v>
      </c>
      <c r="J492" t="s">
        <v>432</v>
      </c>
      <c r="K492">
        <v>0</v>
      </c>
      <c r="L492" t="s">
        <v>428</v>
      </c>
      <c r="M492" t="s">
        <v>428</v>
      </c>
      <c r="N492">
        <v>145600</v>
      </c>
      <c r="O492">
        <f>INDEX(AllCollegeBarrons,MATCH(N492,AllCollegeNCES,0))</f>
        <v>0</v>
      </c>
      <c r="P492">
        <f>INDEX(KidGPAs,MATCH(B492,KidIDs,0))</f>
        <v>0</v>
      </c>
      <c r="Q492">
        <f>INDEX(KidACTs,MATCH(B492,KidIDs,0))</f>
        <v>0</v>
      </c>
      <c r="R492">
        <f>INDEX(Strats,MATCH(B492,KidIDs,0))</f>
        <v>0</v>
      </c>
      <c r="S492">
        <f>INDEX(KidRace,MATCH(B492,KidIDs,0))</f>
        <v>0</v>
      </c>
      <c r="T492">
        <f>IF(OR(S492="M",S492="I"),"H",S492)</f>
        <v>0</v>
      </c>
      <c r="U492">
        <f>INDEX(StudentTargets,MATCH(B492,KidIDs,0))</f>
        <v>0</v>
      </c>
      <c r="V492">
        <f>INDEX(ReachStudentTargets,MATCH(B492,KidIDs,0))</f>
        <v>0</v>
      </c>
      <c r="W492">
        <f>IF(OR(M492="Posse"),1,0)</f>
        <v>0</v>
      </c>
      <c r="X492">
        <f>IF(ISNUMBER(INDEX(AllCollegeGR, MATCH(N492,AllCollegeNCES,0))),ROUND(INDEX(AllCollegeGR, MATCH(N492,AllCollegeNCES,0))+W492*IF(INDEX(AllCollegeGR, MATCH(N492,AllCollegeNCES,0))&gt;0.7,(1-INDEX(AllCollegeGR, MATCH(N492,AllCollegeNCES,0)))/2,0.15),2),INDEX(AllCollegeGR, MATCH(N492,AllCollegeNCES,0)))</f>
        <v>0</v>
      </c>
      <c r="Y492">
        <f>IF(ISNUMBER(INDEX(AllCollegeAAHGR, MATCH(N492,AllCollegeNCES,0))),ROUND(INDEX(AllCollegeAAHGR, MATCH(N492,AllCollegeNCES,0))+W492*IF(INDEX(AllCollegeAAHGR, MATCH(N492,AllCollegeNCES,0))&gt;0.7,(1-INDEX(AllCollegeAAHGR, MATCH(N492,AllCollegeNCES,0)))/2,0.15),2),INDEX(AllCollegeAAHGR, MATCH(N492,AllCollegeNCES,0)))</f>
        <v>0</v>
      </c>
      <c r="Z492">
        <f>IF(OR(T492="H",T492="B"),INDEX(AllCollegeACT25, MATCH(N492,AllCollegeNCES,0)),INDEX(AllCollegeACT50, MATCH(N492,AllCollegeNCES,0)))</f>
        <v>0</v>
      </c>
      <c r="AA492">
        <f>INDEX(CustomWeightsGPA,MATCH(T492&amp;":"&amp;N492,CustomWeightsIndex,0))</f>
        <v>0</v>
      </c>
      <c r="AB492">
        <f>INDEX(CustomWeightsACT,MATCH(T492&amp;":"&amp;N492,CustomWeightsIndex,0))</f>
        <v>0</v>
      </c>
      <c r="AC492">
        <f>INDEX(CustomWeightsIntercept,MATCH(T492&amp;":"&amp;N492,CustomWeightsIndex,0))</f>
        <v>0</v>
      </c>
      <c r="AD492">
        <f>AA492*P492+AB492*Q492+AC492</f>
        <v>0</v>
      </c>
      <c r="AE492">
        <f>INDEX(CoefficientsGPA,MATCH(T492&amp;":"&amp;O492,CoefficientsIndex,0))</f>
        <v>0</v>
      </c>
      <c r="AF492">
        <f>INDEX(CoefficientsACT,MATCH(T492&amp;":"&amp;O492,CoefficientsIndex,0))</f>
        <v>0</v>
      </c>
      <c r="AG492">
        <f>INDEX(CoefficientsIntercept,MATCH(T492&amp;":"&amp;O492,CoefficientsIndex,0))</f>
        <v>0</v>
      </c>
      <c r="AH492">
        <f>AE492*P492+(Q492-Z492)*AF492+AG492</f>
        <v>0</v>
      </c>
      <c r="AI492">
        <f>IF(ISNUMBER(AD492),AD492,AH492)</f>
        <v>0</v>
      </c>
      <c r="AJ492">
        <f>IF(ISNUMBER(AI492),IF(ISNUMBER(AE492),IF(AND(AE492=1,AF492=1,AG492=1),100,ROUND(100*EXP(AI492)/(1+EXP(AI492)),2)),ROUND(100*EXP(AI492)/(1+EXP(AI492)),2)),IF(ISTEXT(O492),IF(LEFT(O492,1)="2",100,"N/A"),"N/A"))</f>
        <v>0</v>
      </c>
      <c r="AK492">
        <f>IF(ISNUMBER(AJ492),IF(AJ492&gt;=99,IF(OR(R492=10,R492=11),MatchLabel,SureThingLabel),IF(AJ492&gt;=95,SecureLabel,IF(AJ492&gt;=80,SafetyLabel,IF(AJ492&gt;=50,MatchLabel,IF(AJ492&gt;=20,ReachLabel,IF(AJ492&gt;=10,LongshotLabel,HailMaryLabel)))))),"Other")</f>
        <v>0</v>
      </c>
      <c r="AL492">
        <f>IF(OR(I492="accepted",I492="cond. accept",I492="summer admit"),IF(J492="yes","CHOICE!","Accepted!"),IF(I492="denied","Denied",IF(K492=1,"Waitlist",IF(L492=1,"Deferred",IF(G492="pending","Pending",IF(OR(G492="initial materials submitted",G492="mid-year submitted",G492="final submitted"),"Submitted",IF(H492="interest","Interest","?")))))))</f>
        <v>0</v>
      </c>
      <c r="AM492">
        <f>IF(OR(AK492=ReachLabel,AK492=LongshotLabel,AK492=HailMaryLabel),1,0)</f>
        <v>0</v>
      </c>
      <c r="AN492">
        <f>IF(OR(AM492=1,AK492=MatchLabel),1,0)</f>
        <v>0</v>
      </c>
      <c r="AO492">
        <f>IF(OR(AK492=MatchLabel,AK492=SafetyLabel,AK492=SecureLabel,AK492=SureThingLabel),1,0)</f>
        <v>0</v>
      </c>
      <c r="AP492">
        <f>IF(OR(T492="H",T492="B"),IF(ISNUMBER(Y492),ROUND(Y492,2),0),IF(ISNUMBER(X492),ROUND(X492,2),0))</f>
        <v>0</v>
      </c>
      <c r="AQ492">
        <f>IF(AP492&gt;=U492,1,0)</f>
        <v>0</v>
      </c>
      <c r="AR492">
        <f>IF(AP492&gt;=V492,1,0)</f>
        <v>0</v>
      </c>
      <c r="AS492">
        <f>IF(AP492&lt;(U492-0.10),1,0)</f>
        <v>0</v>
      </c>
      <c r="AT492">
        <f>1-AJ492/100</f>
        <v>0</v>
      </c>
      <c r="AU492">
        <f>IF(AN492=1,AT492,1)</f>
        <v>0</v>
      </c>
      <c r="AV492">
        <f>IF(AM492=1,AT492,1)</f>
        <v>0</v>
      </c>
      <c r="AW492">
        <f>IF(AND(AQ492=1,ISNUMBER(AT492)),$AT492,1)</f>
        <v>0</v>
      </c>
      <c r="AX492">
        <f>IF(AND(AR492=1,ISNUMBER(AT492)),$AT492,1)</f>
        <v>0</v>
      </c>
      <c r="AY492">
        <f>IF(ISNUMBER(Y492),INDEX(AllCollegeMoney, MATCH(N492,AllCollegeNCES,0)),0)</f>
        <v>0</v>
      </c>
      <c r="AZ492">
        <f>IF(AND(AQ492=1,ISNUMBER(AT492),AY492=1),$AT492,1)</f>
        <v>0</v>
      </c>
      <c r="BA492">
        <f>IF(AND(AR492=1,ISNUMBER(AT492),AY492=1),$AT492,1)</f>
        <v>0</v>
      </c>
      <c r="BB492">
        <f>IF(ISNUMBER(Y492),INDEX(AllCollegeILPub, MATCH(N492,AllCollegeNCES,0)),0)</f>
        <v>0</v>
      </c>
      <c r="BC492">
        <f>IF(AK492=ReachLabel,AP492,0)</f>
        <v>0</v>
      </c>
      <c r="BD492">
        <f>IF(AK492=MatchLabel,AP492,0)</f>
        <v>0</v>
      </c>
      <c r="BE492">
        <f>IF(AK492=SafetyLabel,AP492,0)</f>
        <v>0</v>
      </c>
      <c r="BF492">
        <f>IF(AK492=SecureLabel,AP492,0)</f>
        <v>0</v>
      </c>
      <c r="BG492">
        <f>IF(AK492=SureThingLabel,AP492,0)</f>
        <v>0</v>
      </c>
      <c r="BH492">
        <f>MAX(BC492:BG492)</f>
        <v>0</v>
      </c>
      <c r="BI492">
        <f>MAX(BD492:BG492)</f>
        <v>0</v>
      </c>
      <c r="BJ492">
        <f>MAX(BE492:BG492)</f>
        <v>0</v>
      </c>
      <c r="BK492">
        <f>IF(AND(AK492=ReachLabel,AY492=1),AP492,0)</f>
        <v>0</v>
      </c>
      <c r="BL492">
        <f>IF(AND(AK492=MatchLabel,AY492=1),AP492,0)</f>
        <v>0</v>
      </c>
      <c r="BM492">
        <f>IF(AND(AK492=SafetyLabel,AY492=1),AP492,0)</f>
        <v>0</v>
      </c>
      <c r="BN492">
        <f>IF(AND(AK492=SecureLabel,AY492=1),AP492,0)</f>
        <v>0</v>
      </c>
      <c r="BO492">
        <f>IF(AND(AK492=SureThingLabel,AY492=1),AP492,0)</f>
        <v>0</v>
      </c>
      <c r="BP492">
        <f>MAX(BK492:BO492)</f>
        <v>0</v>
      </c>
      <c r="BQ492">
        <f>MAX(BL492:BO492)</f>
        <v>0</v>
      </c>
      <c r="BR492">
        <f>MAX(BM492:BO492)</f>
        <v>0</v>
      </c>
      <c r="BS492">
        <f>IF(ISNUMBER(Y492),INDEX(AllCollegeChicago, MATCH(N492,AllCollegeNCES,0))*AY492,0)</f>
        <v>0</v>
      </c>
      <c r="BT492">
        <f>IF(ISNUMBER(Y492),INDEX(AllCollegeMoneyCode, MATCH(N492,AllCollegeNCES,0)),"?")</f>
        <v>0</v>
      </c>
      <c r="BU492">
        <f>IF(OR(BT492="---",BT492="--",BT492="+/--",BT492="+/---"),1,0)</f>
        <v>0</v>
      </c>
      <c r="BV492">
        <f>AY492*AO492*AQ492</f>
        <v>0</v>
      </c>
    </row>
    <row r="493" spans="1:74">
      <c r="A493" t="s">
        <v>86</v>
      </c>
      <c r="B493">
        <v>23463287</v>
      </c>
      <c r="C493" t="s">
        <v>140</v>
      </c>
      <c r="D493" t="s">
        <v>141</v>
      </c>
      <c r="E493" t="s">
        <v>428</v>
      </c>
      <c r="F493" t="s">
        <v>447</v>
      </c>
      <c r="G493" t="s">
        <v>430</v>
      </c>
      <c r="H493" t="s">
        <v>431</v>
      </c>
      <c r="I493" t="s">
        <v>432</v>
      </c>
      <c r="J493" t="s">
        <v>432</v>
      </c>
      <c r="K493">
        <v>0</v>
      </c>
      <c r="L493" t="s">
        <v>428</v>
      </c>
      <c r="M493" t="s">
        <v>428</v>
      </c>
      <c r="N493">
        <v>145600</v>
      </c>
      <c r="O493">
        <f>INDEX(AllCollegeBarrons,MATCH(N493,AllCollegeNCES,0))</f>
        <v>0</v>
      </c>
      <c r="P493">
        <f>INDEX(KidGPAs,MATCH(B493,KidIDs,0))</f>
        <v>0</v>
      </c>
      <c r="Q493">
        <f>INDEX(KidACTs,MATCH(B493,KidIDs,0))</f>
        <v>0</v>
      </c>
      <c r="R493">
        <f>INDEX(Strats,MATCH(B493,KidIDs,0))</f>
        <v>0</v>
      </c>
      <c r="S493">
        <f>INDEX(KidRace,MATCH(B493,KidIDs,0))</f>
        <v>0</v>
      </c>
      <c r="T493">
        <f>IF(OR(S493="M",S493="I"),"H",S493)</f>
        <v>0</v>
      </c>
      <c r="U493">
        <f>INDEX(StudentTargets,MATCH(B493,KidIDs,0))</f>
        <v>0</v>
      </c>
      <c r="V493">
        <f>INDEX(ReachStudentTargets,MATCH(B493,KidIDs,0))</f>
        <v>0</v>
      </c>
      <c r="W493">
        <f>IF(OR(M493="Posse"),1,0)</f>
        <v>0</v>
      </c>
      <c r="X493">
        <f>IF(ISNUMBER(INDEX(AllCollegeGR, MATCH(N493,AllCollegeNCES,0))),ROUND(INDEX(AllCollegeGR, MATCH(N493,AllCollegeNCES,0))+W493*IF(INDEX(AllCollegeGR, MATCH(N493,AllCollegeNCES,0))&gt;0.7,(1-INDEX(AllCollegeGR, MATCH(N493,AllCollegeNCES,0)))/2,0.15),2),INDEX(AllCollegeGR, MATCH(N493,AllCollegeNCES,0)))</f>
        <v>0</v>
      </c>
      <c r="Y493">
        <f>IF(ISNUMBER(INDEX(AllCollegeAAHGR, MATCH(N493,AllCollegeNCES,0))),ROUND(INDEX(AllCollegeAAHGR, MATCH(N493,AllCollegeNCES,0))+W493*IF(INDEX(AllCollegeAAHGR, MATCH(N493,AllCollegeNCES,0))&gt;0.7,(1-INDEX(AllCollegeAAHGR, MATCH(N493,AllCollegeNCES,0)))/2,0.15),2),INDEX(AllCollegeAAHGR, MATCH(N493,AllCollegeNCES,0)))</f>
        <v>0</v>
      </c>
      <c r="Z493">
        <f>IF(OR(T493="H",T493="B"),INDEX(AllCollegeACT25, MATCH(N493,AllCollegeNCES,0)),INDEX(AllCollegeACT50, MATCH(N493,AllCollegeNCES,0)))</f>
        <v>0</v>
      </c>
      <c r="AA493">
        <f>INDEX(CustomWeightsGPA,MATCH(T493&amp;":"&amp;N493,CustomWeightsIndex,0))</f>
        <v>0</v>
      </c>
      <c r="AB493">
        <f>INDEX(CustomWeightsACT,MATCH(T493&amp;":"&amp;N493,CustomWeightsIndex,0))</f>
        <v>0</v>
      </c>
      <c r="AC493">
        <f>INDEX(CustomWeightsIntercept,MATCH(T493&amp;":"&amp;N493,CustomWeightsIndex,0))</f>
        <v>0</v>
      </c>
      <c r="AD493">
        <f>AA493*P493+AB493*Q493+AC493</f>
        <v>0</v>
      </c>
      <c r="AE493">
        <f>INDEX(CoefficientsGPA,MATCH(T493&amp;":"&amp;O493,CoefficientsIndex,0))</f>
        <v>0</v>
      </c>
      <c r="AF493">
        <f>INDEX(CoefficientsACT,MATCH(T493&amp;":"&amp;O493,CoefficientsIndex,0))</f>
        <v>0</v>
      </c>
      <c r="AG493">
        <f>INDEX(CoefficientsIntercept,MATCH(T493&amp;":"&amp;O493,CoefficientsIndex,0))</f>
        <v>0</v>
      </c>
      <c r="AH493">
        <f>AE493*P493+(Q493-Z493)*AF493+AG493</f>
        <v>0</v>
      </c>
      <c r="AI493">
        <f>IF(ISNUMBER(AD493),AD493,AH493)</f>
        <v>0</v>
      </c>
      <c r="AJ493">
        <f>IF(ISNUMBER(AI493),IF(ISNUMBER(AE493),IF(AND(AE493=1,AF493=1,AG493=1),100,ROUND(100*EXP(AI493)/(1+EXP(AI493)),2)),ROUND(100*EXP(AI493)/(1+EXP(AI493)),2)),IF(ISTEXT(O493),IF(LEFT(O493,1)="2",100,"N/A"),"N/A"))</f>
        <v>0</v>
      </c>
      <c r="AK493">
        <f>IF(ISNUMBER(AJ493),IF(AJ493&gt;=99,IF(OR(R493=10,R493=11),MatchLabel,SureThingLabel),IF(AJ493&gt;=95,SecureLabel,IF(AJ493&gt;=80,SafetyLabel,IF(AJ493&gt;=50,MatchLabel,IF(AJ493&gt;=20,ReachLabel,IF(AJ493&gt;=10,LongshotLabel,HailMaryLabel)))))),"Other")</f>
        <v>0</v>
      </c>
      <c r="AL493">
        <f>IF(OR(I493="accepted",I493="cond. accept",I493="summer admit"),IF(J493="yes","CHOICE!","Accepted!"),IF(I493="denied","Denied",IF(K493=1,"Waitlist",IF(L493=1,"Deferred",IF(G493="pending","Pending",IF(OR(G493="initial materials submitted",G493="mid-year submitted",G493="final submitted"),"Submitted",IF(H493="interest","Interest","?")))))))</f>
        <v>0</v>
      </c>
      <c r="AM493">
        <f>IF(OR(AK493=ReachLabel,AK493=LongshotLabel,AK493=HailMaryLabel),1,0)</f>
        <v>0</v>
      </c>
      <c r="AN493">
        <f>IF(OR(AM493=1,AK493=MatchLabel),1,0)</f>
        <v>0</v>
      </c>
      <c r="AO493">
        <f>IF(OR(AK493=MatchLabel,AK493=SafetyLabel,AK493=SecureLabel,AK493=SureThingLabel),1,0)</f>
        <v>0</v>
      </c>
      <c r="AP493">
        <f>IF(OR(T493="H",T493="B"),IF(ISNUMBER(Y493),ROUND(Y493,2),0),IF(ISNUMBER(X493),ROUND(X493,2),0))</f>
        <v>0</v>
      </c>
      <c r="AQ493">
        <f>IF(AP493&gt;=U493,1,0)</f>
        <v>0</v>
      </c>
      <c r="AR493">
        <f>IF(AP493&gt;=V493,1,0)</f>
        <v>0</v>
      </c>
      <c r="AS493">
        <f>IF(AP493&lt;(U493-0.10),1,0)</f>
        <v>0</v>
      </c>
      <c r="AT493">
        <f>1-AJ493/100</f>
        <v>0</v>
      </c>
      <c r="AU493">
        <f>IF(AN493=1,AT493,1)</f>
        <v>0</v>
      </c>
      <c r="AV493">
        <f>IF(AM493=1,AT493,1)</f>
        <v>0</v>
      </c>
      <c r="AW493">
        <f>IF(AND(AQ493=1,ISNUMBER(AT493)),$AT493,1)</f>
        <v>0</v>
      </c>
      <c r="AX493">
        <f>IF(AND(AR493=1,ISNUMBER(AT493)),$AT493,1)</f>
        <v>0</v>
      </c>
      <c r="AY493">
        <f>IF(ISNUMBER(Y493),INDEX(AllCollegeMoney, MATCH(N493,AllCollegeNCES,0)),0)</f>
        <v>0</v>
      </c>
      <c r="AZ493">
        <f>IF(AND(AQ493=1,ISNUMBER(AT493),AY493=1),$AT493,1)</f>
        <v>0</v>
      </c>
      <c r="BA493">
        <f>IF(AND(AR493=1,ISNUMBER(AT493),AY493=1),$AT493,1)</f>
        <v>0</v>
      </c>
      <c r="BB493">
        <f>IF(ISNUMBER(Y493),INDEX(AllCollegeILPub, MATCH(N493,AllCollegeNCES,0)),0)</f>
        <v>0</v>
      </c>
      <c r="BC493">
        <f>IF(AK493=ReachLabel,AP493,0)</f>
        <v>0</v>
      </c>
      <c r="BD493">
        <f>IF(AK493=MatchLabel,AP493,0)</f>
        <v>0</v>
      </c>
      <c r="BE493">
        <f>IF(AK493=SafetyLabel,AP493,0)</f>
        <v>0</v>
      </c>
      <c r="BF493">
        <f>IF(AK493=SecureLabel,AP493,0)</f>
        <v>0</v>
      </c>
      <c r="BG493">
        <f>IF(AK493=SureThingLabel,AP493,0)</f>
        <v>0</v>
      </c>
      <c r="BH493">
        <f>MAX(BC493:BG493)</f>
        <v>0</v>
      </c>
      <c r="BI493">
        <f>MAX(BD493:BG493)</f>
        <v>0</v>
      </c>
      <c r="BJ493">
        <f>MAX(BE493:BG493)</f>
        <v>0</v>
      </c>
      <c r="BK493">
        <f>IF(AND(AK493=ReachLabel,AY493=1),AP493,0)</f>
        <v>0</v>
      </c>
      <c r="BL493">
        <f>IF(AND(AK493=MatchLabel,AY493=1),AP493,0)</f>
        <v>0</v>
      </c>
      <c r="BM493">
        <f>IF(AND(AK493=SafetyLabel,AY493=1),AP493,0)</f>
        <v>0</v>
      </c>
      <c r="BN493">
        <f>IF(AND(AK493=SecureLabel,AY493=1),AP493,0)</f>
        <v>0</v>
      </c>
      <c r="BO493">
        <f>IF(AND(AK493=SureThingLabel,AY493=1),AP493,0)</f>
        <v>0</v>
      </c>
      <c r="BP493">
        <f>MAX(BK493:BO493)</f>
        <v>0</v>
      </c>
      <c r="BQ493">
        <f>MAX(BL493:BO493)</f>
        <v>0</v>
      </c>
      <c r="BR493">
        <f>MAX(BM493:BO493)</f>
        <v>0</v>
      </c>
      <c r="BS493">
        <f>IF(ISNUMBER(Y493),INDEX(AllCollegeChicago, MATCH(N493,AllCollegeNCES,0))*AY493,0)</f>
        <v>0</v>
      </c>
      <c r="BT493">
        <f>IF(ISNUMBER(Y493),INDEX(AllCollegeMoneyCode, MATCH(N493,AllCollegeNCES,0)),"?")</f>
        <v>0</v>
      </c>
      <c r="BU493">
        <f>IF(OR(BT493="---",BT493="--",BT493="+/--",BT493="+/---"),1,0)</f>
        <v>0</v>
      </c>
      <c r="BV493">
        <f>AY493*AO493*AQ493</f>
        <v>0</v>
      </c>
    </row>
    <row r="494" spans="1:74">
      <c r="A494" t="s">
        <v>86</v>
      </c>
      <c r="B494">
        <v>23463287</v>
      </c>
      <c r="C494" t="s">
        <v>140</v>
      </c>
      <c r="D494" t="s">
        <v>141</v>
      </c>
      <c r="E494" t="s">
        <v>428</v>
      </c>
      <c r="F494" t="s">
        <v>544</v>
      </c>
      <c r="G494" t="s">
        <v>526</v>
      </c>
      <c r="H494" t="s">
        <v>526</v>
      </c>
      <c r="I494" t="s">
        <v>527</v>
      </c>
      <c r="J494" t="s">
        <v>428</v>
      </c>
      <c r="K494" t="s">
        <v>428</v>
      </c>
      <c r="L494" t="s">
        <v>428</v>
      </c>
      <c r="M494" t="s">
        <v>428</v>
      </c>
      <c r="N494" t="s">
        <v>449</v>
      </c>
      <c r="O494">
        <f>INDEX(AllCollegeBarrons,MATCH(N494,AllCollegeNCES,0))</f>
        <v>0</v>
      </c>
      <c r="P494">
        <f>INDEX(KidGPAs,MATCH(B494,KidIDs,0))</f>
        <v>0</v>
      </c>
      <c r="Q494">
        <f>INDEX(KidACTs,MATCH(B494,KidIDs,0))</f>
        <v>0</v>
      </c>
      <c r="R494">
        <f>INDEX(Strats,MATCH(B494,KidIDs,0))</f>
        <v>0</v>
      </c>
      <c r="S494">
        <f>INDEX(KidRace,MATCH(B494,KidIDs,0))</f>
        <v>0</v>
      </c>
      <c r="T494">
        <f>IF(OR(S494="M",S494="I"),"H",S494)</f>
        <v>0</v>
      </c>
      <c r="U494">
        <f>INDEX(StudentTargets,MATCH(B494,KidIDs,0))</f>
        <v>0</v>
      </c>
      <c r="V494">
        <f>INDEX(ReachStudentTargets,MATCH(B494,KidIDs,0))</f>
        <v>0</v>
      </c>
      <c r="W494">
        <f>IF(OR(M494="Posse"),1,0)</f>
        <v>0</v>
      </c>
      <c r="X494">
        <f>IF(ISNUMBER(INDEX(AllCollegeGR, MATCH(N494,AllCollegeNCES,0))),ROUND(INDEX(AllCollegeGR, MATCH(N494,AllCollegeNCES,0))+W494*IF(INDEX(AllCollegeGR, MATCH(N494,AllCollegeNCES,0))&gt;0.7,(1-INDEX(AllCollegeGR, MATCH(N494,AllCollegeNCES,0)))/2,0.15),2),INDEX(AllCollegeGR, MATCH(N494,AllCollegeNCES,0)))</f>
        <v>0</v>
      </c>
      <c r="Y494">
        <f>IF(ISNUMBER(INDEX(AllCollegeAAHGR, MATCH(N494,AllCollegeNCES,0))),ROUND(INDEX(AllCollegeAAHGR, MATCH(N494,AllCollegeNCES,0))+W494*IF(INDEX(AllCollegeAAHGR, MATCH(N494,AllCollegeNCES,0))&gt;0.7,(1-INDEX(AllCollegeAAHGR, MATCH(N494,AllCollegeNCES,0)))/2,0.15),2),INDEX(AllCollegeAAHGR, MATCH(N494,AllCollegeNCES,0)))</f>
        <v>0</v>
      </c>
      <c r="Z494">
        <f>IF(OR(T494="H",T494="B"),INDEX(AllCollegeACT25, MATCH(N494,AllCollegeNCES,0)),INDEX(AllCollegeACT50, MATCH(N494,AllCollegeNCES,0)))</f>
        <v>0</v>
      </c>
      <c r="AA494">
        <f>INDEX(CustomWeightsGPA,MATCH(T494&amp;":"&amp;N494,CustomWeightsIndex,0))</f>
        <v>0</v>
      </c>
      <c r="AB494">
        <f>INDEX(CustomWeightsACT,MATCH(T494&amp;":"&amp;N494,CustomWeightsIndex,0))</f>
        <v>0</v>
      </c>
      <c r="AC494">
        <f>INDEX(CustomWeightsIntercept,MATCH(T494&amp;":"&amp;N494,CustomWeightsIndex,0))</f>
        <v>0</v>
      </c>
      <c r="AD494">
        <f>AA494*P494+AB494*Q494+AC494</f>
        <v>0</v>
      </c>
      <c r="AE494">
        <f>INDEX(CoefficientsGPA,MATCH(T494&amp;":"&amp;O494,CoefficientsIndex,0))</f>
        <v>0</v>
      </c>
      <c r="AF494">
        <f>INDEX(CoefficientsACT,MATCH(T494&amp;":"&amp;O494,CoefficientsIndex,0))</f>
        <v>0</v>
      </c>
      <c r="AG494">
        <f>INDEX(CoefficientsIntercept,MATCH(T494&amp;":"&amp;O494,CoefficientsIndex,0))</f>
        <v>0</v>
      </c>
      <c r="AH494">
        <f>AE494*P494+(Q494-Z494)*AF494+AG494</f>
        <v>0</v>
      </c>
      <c r="AI494">
        <f>IF(ISNUMBER(AD494),AD494,AH494)</f>
        <v>0</v>
      </c>
      <c r="AJ494">
        <f>IF(ISNUMBER(AI494),IF(ISNUMBER(AE494),IF(AND(AE494=1,AF494=1,AG494=1),100,ROUND(100*EXP(AI494)/(1+EXP(AI494)),2)),ROUND(100*EXP(AI494)/(1+EXP(AI494)),2)),IF(ISTEXT(O494),IF(LEFT(O494,1)="2",100,"N/A"),"N/A"))</f>
        <v>0</v>
      </c>
      <c r="AK494">
        <f>IF(ISNUMBER(AJ494),IF(AJ494&gt;=99,IF(OR(R494=10,R494=11),MatchLabel,SureThingLabel),IF(AJ494&gt;=95,SecureLabel,IF(AJ494&gt;=80,SafetyLabel,IF(AJ494&gt;=50,MatchLabel,IF(AJ494&gt;=20,ReachLabel,IF(AJ494&gt;=10,LongshotLabel,HailMaryLabel)))))),"Other")</f>
        <v>0</v>
      </c>
      <c r="AL494">
        <f>IF(OR(I494="accepted",I494="cond. accept",I494="summer admit"),IF(J494="yes","CHOICE!","Accepted!"),IF(I494="denied","Denied",IF(K494=1,"Waitlist",IF(L494=1,"Deferred",IF(G494="pending","Pending",IF(OR(G494="initial materials submitted",G494="mid-year submitted",G494="final submitted"),"Submitted",IF(H494="interest","Interest","?")))))))</f>
        <v>0</v>
      </c>
      <c r="AM494">
        <f>IF(OR(AK494=ReachLabel,AK494=LongshotLabel,AK494=HailMaryLabel),1,0)</f>
        <v>0</v>
      </c>
      <c r="AN494">
        <f>IF(OR(AM494=1,AK494=MatchLabel),1,0)</f>
        <v>0</v>
      </c>
      <c r="AO494">
        <f>IF(OR(AK494=MatchLabel,AK494=SafetyLabel,AK494=SecureLabel,AK494=SureThingLabel),1,0)</f>
        <v>0</v>
      </c>
      <c r="AP494">
        <f>IF(OR(T494="H",T494="B"),IF(ISNUMBER(Y494),ROUND(Y494,2),0),IF(ISNUMBER(X494),ROUND(X494,2),0))</f>
        <v>0</v>
      </c>
      <c r="AQ494">
        <f>IF(AP494&gt;=U494,1,0)</f>
        <v>0</v>
      </c>
      <c r="AR494">
        <f>IF(AP494&gt;=V494,1,0)</f>
        <v>0</v>
      </c>
      <c r="AS494">
        <f>IF(AP494&lt;(U494-0.10),1,0)</f>
        <v>0</v>
      </c>
      <c r="AT494">
        <f>1-AJ494/100</f>
        <v>0</v>
      </c>
      <c r="AU494">
        <f>IF(AN494=1,AT494,1)</f>
        <v>0</v>
      </c>
      <c r="AV494">
        <f>IF(AM494=1,AT494,1)</f>
        <v>0</v>
      </c>
      <c r="AW494">
        <f>IF(AND(AQ494=1,ISNUMBER(AT494)),$AT494,1)</f>
        <v>0</v>
      </c>
      <c r="AX494">
        <f>IF(AND(AR494=1,ISNUMBER(AT494)),$AT494,1)</f>
        <v>0</v>
      </c>
      <c r="AY494">
        <f>IF(ISNUMBER(Y494),INDEX(AllCollegeMoney, MATCH(N494,AllCollegeNCES,0)),0)</f>
        <v>0</v>
      </c>
      <c r="AZ494">
        <f>IF(AND(AQ494=1,ISNUMBER(AT494),AY494=1),$AT494,1)</f>
        <v>0</v>
      </c>
      <c r="BA494">
        <f>IF(AND(AR494=1,ISNUMBER(AT494),AY494=1),$AT494,1)</f>
        <v>0</v>
      </c>
      <c r="BB494">
        <f>IF(ISNUMBER(Y494),INDEX(AllCollegeILPub, MATCH(N494,AllCollegeNCES,0)),0)</f>
        <v>0</v>
      </c>
      <c r="BC494">
        <f>IF(AK494=ReachLabel,AP494,0)</f>
        <v>0</v>
      </c>
      <c r="BD494">
        <f>IF(AK494=MatchLabel,AP494,0)</f>
        <v>0</v>
      </c>
      <c r="BE494">
        <f>IF(AK494=SafetyLabel,AP494,0)</f>
        <v>0</v>
      </c>
      <c r="BF494">
        <f>IF(AK494=SecureLabel,AP494,0)</f>
        <v>0</v>
      </c>
      <c r="BG494">
        <f>IF(AK494=SureThingLabel,AP494,0)</f>
        <v>0</v>
      </c>
      <c r="BH494">
        <f>MAX(BC494:BG494)</f>
        <v>0</v>
      </c>
      <c r="BI494">
        <f>MAX(BD494:BG494)</f>
        <v>0</v>
      </c>
      <c r="BJ494">
        <f>MAX(BE494:BG494)</f>
        <v>0</v>
      </c>
      <c r="BK494">
        <f>IF(AND(AK494=ReachLabel,AY494=1),AP494,0)</f>
        <v>0</v>
      </c>
      <c r="BL494">
        <f>IF(AND(AK494=MatchLabel,AY494=1),AP494,0)</f>
        <v>0</v>
      </c>
      <c r="BM494">
        <f>IF(AND(AK494=SafetyLabel,AY494=1),AP494,0)</f>
        <v>0</v>
      </c>
      <c r="BN494">
        <f>IF(AND(AK494=SecureLabel,AY494=1),AP494,0)</f>
        <v>0</v>
      </c>
      <c r="BO494">
        <f>IF(AND(AK494=SureThingLabel,AY494=1),AP494,0)</f>
        <v>0</v>
      </c>
      <c r="BP494">
        <f>MAX(BK494:BO494)</f>
        <v>0</v>
      </c>
      <c r="BQ494">
        <f>MAX(BL494:BO494)</f>
        <v>0</v>
      </c>
      <c r="BR494">
        <f>MAX(BM494:BO494)</f>
        <v>0</v>
      </c>
      <c r="BS494">
        <f>IF(ISNUMBER(Y494),INDEX(AllCollegeChicago, MATCH(N494,AllCollegeNCES,0))*AY494,0)</f>
        <v>0</v>
      </c>
      <c r="BT494">
        <f>IF(ISNUMBER(Y494),INDEX(AllCollegeMoneyCode, MATCH(N494,AllCollegeNCES,0)),"?")</f>
        <v>0</v>
      </c>
      <c r="BU494">
        <f>IF(OR(BT494="---",BT494="--",BT494="+/--",BT494="+/---"),1,0)</f>
        <v>0</v>
      </c>
      <c r="BV494">
        <f>AY494*AO494*AQ494</f>
        <v>0</v>
      </c>
    </row>
    <row r="495" spans="1:74">
      <c r="A495" t="s">
        <v>86</v>
      </c>
      <c r="B495">
        <v>23463287</v>
      </c>
      <c r="C495" t="s">
        <v>140</v>
      </c>
      <c r="D495" t="s">
        <v>141</v>
      </c>
      <c r="E495" t="s">
        <v>428</v>
      </c>
      <c r="F495" t="s">
        <v>556</v>
      </c>
      <c r="G495" t="s">
        <v>526</v>
      </c>
      <c r="H495" t="s">
        <v>526</v>
      </c>
      <c r="I495" t="s">
        <v>527</v>
      </c>
      <c r="J495" t="s">
        <v>428</v>
      </c>
      <c r="K495" t="s">
        <v>428</v>
      </c>
      <c r="L495" t="s">
        <v>428</v>
      </c>
      <c r="M495" t="s">
        <v>428</v>
      </c>
      <c r="N495">
        <v>147536</v>
      </c>
      <c r="O495">
        <f>INDEX(AllCollegeBarrons,MATCH(N495,AllCollegeNCES,0))</f>
        <v>0</v>
      </c>
      <c r="P495">
        <f>INDEX(KidGPAs,MATCH(B495,KidIDs,0))</f>
        <v>0</v>
      </c>
      <c r="Q495">
        <f>INDEX(KidACTs,MATCH(B495,KidIDs,0))</f>
        <v>0</v>
      </c>
      <c r="R495">
        <f>INDEX(Strats,MATCH(B495,KidIDs,0))</f>
        <v>0</v>
      </c>
      <c r="S495">
        <f>INDEX(KidRace,MATCH(B495,KidIDs,0))</f>
        <v>0</v>
      </c>
      <c r="T495">
        <f>IF(OR(S495="M",S495="I"),"H",S495)</f>
        <v>0</v>
      </c>
      <c r="U495">
        <f>INDEX(StudentTargets,MATCH(B495,KidIDs,0))</f>
        <v>0</v>
      </c>
      <c r="V495">
        <f>INDEX(ReachStudentTargets,MATCH(B495,KidIDs,0))</f>
        <v>0</v>
      </c>
      <c r="W495">
        <f>IF(OR(M495="Posse"),1,0)</f>
        <v>0</v>
      </c>
      <c r="X495">
        <f>IF(ISNUMBER(INDEX(AllCollegeGR, MATCH(N495,AllCollegeNCES,0))),ROUND(INDEX(AllCollegeGR, MATCH(N495,AllCollegeNCES,0))+W495*IF(INDEX(AllCollegeGR, MATCH(N495,AllCollegeNCES,0))&gt;0.7,(1-INDEX(AllCollegeGR, MATCH(N495,AllCollegeNCES,0)))/2,0.15),2),INDEX(AllCollegeGR, MATCH(N495,AllCollegeNCES,0)))</f>
        <v>0</v>
      </c>
      <c r="Y495">
        <f>IF(ISNUMBER(INDEX(AllCollegeAAHGR, MATCH(N495,AllCollegeNCES,0))),ROUND(INDEX(AllCollegeAAHGR, MATCH(N495,AllCollegeNCES,0))+W495*IF(INDEX(AllCollegeAAHGR, MATCH(N495,AllCollegeNCES,0))&gt;0.7,(1-INDEX(AllCollegeAAHGR, MATCH(N495,AllCollegeNCES,0)))/2,0.15),2),INDEX(AllCollegeAAHGR, MATCH(N495,AllCollegeNCES,0)))</f>
        <v>0</v>
      </c>
      <c r="Z495">
        <f>IF(OR(T495="H",T495="B"),INDEX(AllCollegeACT25, MATCH(N495,AllCollegeNCES,0)),INDEX(AllCollegeACT50, MATCH(N495,AllCollegeNCES,0)))</f>
        <v>0</v>
      </c>
      <c r="AA495">
        <f>INDEX(CustomWeightsGPA,MATCH(T495&amp;":"&amp;N495,CustomWeightsIndex,0))</f>
        <v>0</v>
      </c>
      <c r="AB495">
        <f>INDEX(CustomWeightsACT,MATCH(T495&amp;":"&amp;N495,CustomWeightsIndex,0))</f>
        <v>0</v>
      </c>
      <c r="AC495">
        <f>INDEX(CustomWeightsIntercept,MATCH(T495&amp;":"&amp;N495,CustomWeightsIndex,0))</f>
        <v>0</v>
      </c>
      <c r="AD495">
        <f>AA495*P495+AB495*Q495+AC495</f>
        <v>0</v>
      </c>
      <c r="AE495">
        <f>INDEX(CoefficientsGPA,MATCH(T495&amp;":"&amp;O495,CoefficientsIndex,0))</f>
        <v>0</v>
      </c>
      <c r="AF495">
        <f>INDEX(CoefficientsACT,MATCH(T495&amp;":"&amp;O495,CoefficientsIndex,0))</f>
        <v>0</v>
      </c>
      <c r="AG495">
        <f>INDEX(CoefficientsIntercept,MATCH(T495&amp;":"&amp;O495,CoefficientsIndex,0))</f>
        <v>0</v>
      </c>
      <c r="AH495">
        <f>AE495*P495+(Q495-Z495)*AF495+AG495</f>
        <v>0</v>
      </c>
      <c r="AI495">
        <f>IF(ISNUMBER(AD495),AD495,AH495)</f>
        <v>0</v>
      </c>
      <c r="AJ495">
        <f>IF(ISNUMBER(AI495),IF(ISNUMBER(AE495),IF(AND(AE495=1,AF495=1,AG495=1),100,ROUND(100*EXP(AI495)/(1+EXP(AI495)),2)),ROUND(100*EXP(AI495)/(1+EXP(AI495)),2)),IF(ISTEXT(O495),IF(LEFT(O495,1)="2",100,"N/A"),"N/A"))</f>
        <v>0</v>
      </c>
      <c r="AK495">
        <f>IF(ISNUMBER(AJ495),IF(AJ495&gt;=99,IF(OR(R495=10,R495=11),MatchLabel,SureThingLabel),IF(AJ495&gt;=95,SecureLabel,IF(AJ495&gt;=80,SafetyLabel,IF(AJ495&gt;=50,MatchLabel,IF(AJ495&gt;=20,ReachLabel,IF(AJ495&gt;=10,LongshotLabel,HailMaryLabel)))))),"Other")</f>
        <v>0</v>
      </c>
      <c r="AL495">
        <f>IF(OR(I495="accepted",I495="cond. accept",I495="summer admit"),IF(J495="yes","CHOICE!","Accepted!"),IF(I495="denied","Denied",IF(K495=1,"Waitlist",IF(L495=1,"Deferred",IF(G495="pending","Pending",IF(OR(G495="initial materials submitted",G495="mid-year submitted",G495="final submitted"),"Submitted",IF(H495="interest","Interest","?")))))))</f>
        <v>0</v>
      </c>
      <c r="AM495">
        <f>IF(OR(AK495=ReachLabel,AK495=LongshotLabel,AK495=HailMaryLabel),1,0)</f>
        <v>0</v>
      </c>
      <c r="AN495">
        <f>IF(OR(AM495=1,AK495=MatchLabel),1,0)</f>
        <v>0</v>
      </c>
      <c r="AO495">
        <f>IF(OR(AK495=MatchLabel,AK495=SafetyLabel,AK495=SecureLabel,AK495=SureThingLabel),1,0)</f>
        <v>0</v>
      </c>
      <c r="AP495">
        <f>IF(OR(T495="H",T495="B"),IF(ISNUMBER(Y495),ROUND(Y495,2),0),IF(ISNUMBER(X495),ROUND(X495,2),0))</f>
        <v>0</v>
      </c>
      <c r="AQ495">
        <f>IF(AP495&gt;=U495,1,0)</f>
        <v>0</v>
      </c>
      <c r="AR495">
        <f>IF(AP495&gt;=V495,1,0)</f>
        <v>0</v>
      </c>
      <c r="AS495">
        <f>IF(AP495&lt;(U495-0.10),1,0)</f>
        <v>0</v>
      </c>
      <c r="AT495">
        <f>1-AJ495/100</f>
        <v>0</v>
      </c>
      <c r="AU495">
        <f>IF(AN495=1,AT495,1)</f>
        <v>0</v>
      </c>
      <c r="AV495">
        <f>IF(AM495=1,AT495,1)</f>
        <v>0</v>
      </c>
      <c r="AW495">
        <f>IF(AND(AQ495=1,ISNUMBER(AT495)),$AT495,1)</f>
        <v>0</v>
      </c>
      <c r="AX495">
        <f>IF(AND(AR495=1,ISNUMBER(AT495)),$AT495,1)</f>
        <v>0</v>
      </c>
      <c r="AY495">
        <f>IF(ISNUMBER(Y495),INDEX(AllCollegeMoney, MATCH(N495,AllCollegeNCES,0)),0)</f>
        <v>0</v>
      </c>
      <c r="AZ495">
        <f>IF(AND(AQ495=1,ISNUMBER(AT495),AY495=1),$AT495,1)</f>
        <v>0</v>
      </c>
      <c r="BA495">
        <f>IF(AND(AR495=1,ISNUMBER(AT495),AY495=1),$AT495,1)</f>
        <v>0</v>
      </c>
      <c r="BB495">
        <f>IF(ISNUMBER(Y495),INDEX(AllCollegeILPub, MATCH(N495,AllCollegeNCES,0)),0)</f>
        <v>0</v>
      </c>
      <c r="BC495">
        <f>IF(AK495=ReachLabel,AP495,0)</f>
        <v>0</v>
      </c>
      <c r="BD495">
        <f>IF(AK495=MatchLabel,AP495,0)</f>
        <v>0</v>
      </c>
      <c r="BE495">
        <f>IF(AK495=SafetyLabel,AP495,0)</f>
        <v>0</v>
      </c>
      <c r="BF495">
        <f>IF(AK495=SecureLabel,AP495,0)</f>
        <v>0</v>
      </c>
      <c r="BG495">
        <f>IF(AK495=SureThingLabel,AP495,0)</f>
        <v>0</v>
      </c>
      <c r="BH495">
        <f>MAX(BC495:BG495)</f>
        <v>0</v>
      </c>
      <c r="BI495">
        <f>MAX(BD495:BG495)</f>
        <v>0</v>
      </c>
      <c r="BJ495">
        <f>MAX(BE495:BG495)</f>
        <v>0</v>
      </c>
      <c r="BK495">
        <f>IF(AND(AK495=ReachLabel,AY495=1),AP495,0)</f>
        <v>0</v>
      </c>
      <c r="BL495">
        <f>IF(AND(AK495=MatchLabel,AY495=1),AP495,0)</f>
        <v>0</v>
      </c>
      <c r="BM495">
        <f>IF(AND(AK495=SafetyLabel,AY495=1),AP495,0)</f>
        <v>0</v>
      </c>
      <c r="BN495">
        <f>IF(AND(AK495=SecureLabel,AY495=1),AP495,0)</f>
        <v>0</v>
      </c>
      <c r="BO495">
        <f>IF(AND(AK495=SureThingLabel,AY495=1),AP495,0)</f>
        <v>0</v>
      </c>
      <c r="BP495">
        <f>MAX(BK495:BO495)</f>
        <v>0</v>
      </c>
      <c r="BQ495">
        <f>MAX(BL495:BO495)</f>
        <v>0</v>
      </c>
      <c r="BR495">
        <f>MAX(BM495:BO495)</f>
        <v>0</v>
      </c>
      <c r="BS495">
        <f>IF(ISNUMBER(Y495),INDEX(AllCollegeChicago, MATCH(N495,AllCollegeNCES,0))*AY495,0)</f>
        <v>0</v>
      </c>
      <c r="BT495">
        <f>IF(ISNUMBER(Y495),INDEX(AllCollegeMoneyCode, MATCH(N495,AllCollegeNCES,0)),"?")</f>
        <v>0</v>
      </c>
      <c r="BU495">
        <f>IF(OR(BT495="---",BT495="--",BT495="+/--",BT495="+/---"),1,0)</f>
        <v>0</v>
      </c>
      <c r="BV495">
        <f>AY495*AO495*AQ495</f>
        <v>0</v>
      </c>
    </row>
    <row r="496" spans="1:74">
      <c r="A496" t="s">
        <v>86</v>
      </c>
      <c r="B496">
        <v>23463287</v>
      </c>
      <c r="C496" t="s">
        <v>140</v>
      </c>
      <c r="D496" t="s">
        <v>141</v>
      </c>
      <c r="E496" t="s">
        <v>428</v>
      </c>
      <c r="F496" t="s">
        <v>557</v>
      </c>
      <c r="G496" t="s">
        <v>526</v>
      </c>
      <c r="H496" t="s">
        <v>526</v>
      </c>
      <c r="I496" t="s">
        <v>527</v>
      </c>
      <c r="J496" t="s">
        <v>428</v>
      </c>
      <c r="K496" t="s">
        <v>428</v>
      </c>
      <c r="L496" t="s">
        <v>428</v>
      </c>
      <c r="M496" t="s">
        <v>428</v>
      </c>
      <c r="N496">
        <v>366191</v>
      </c>
      <c r="O496">
        <f>INDEX(AllCollegeBarrons,MATCH(N496,AllCollegeNCES,0))</f>
        <v>0</v>
      </c>
      <c r="P496">
        <f>INDEX(KidGPAs,MATCH(B496,KidIDs,0))</f>
        <v>0</v>
      </c>
      <c r="Q496">
        <f>INDEX(KidACTs,MATCH(B496,KidIDs,0))</f>
        <v>0</v>
      </c>
      <c r="R496">
        <f>INDEX(Strats,MATCH(B496,KidIDs,0))</f>
        <v>0</v>
      </c>
      <c r="S496">
        <f>INDEX(KidRace,MATCH(B496,KidIDs,0))</f>
        <v>0</v>
      </c>
      <c r="T496">
        <f>IF(OR(S496="M",S496="I"),"H",S496)</f>
        <v>0</v>
      </c>
      <c r="U496">
        <f>INDEX(StudentTargets,MATCH(B496,KidIDs,0))</f>
        <v>0</v>
      </c>
      <c r="V496">
        <f>INDEX(ReachStudentTargets,MATCH(B496,KidIDs,0))</f>
        <v>0</v>
      </c>
      <c r="W496">
        <f>IF(OR(M496="Posse"),1,0)</f>
        <v>0</v>
      </c>
      <c r="X496">
        <f>IF(ISNUMBER(INDEX(AllCollegeGR, MATCH(N496,AllCollegeNCES,0))),ROUND(INDEX(AllCollegeGR, MATCH(N496,AllCollegeNCES,0))+W496*IF(INDEX(AllCollegeGR, MATCH(N496,AllCollegeNCES,0))&gt;0.7,(1-INDEX(AllCollegeGR, MATCH(N496,AllCollegeNCES,0)))/2,0.15),2),INDEX(AllCollegeGR, MATCH(N496,AllCollegeNCES,0)))</f>
        <v>0</v>
      </c>
      <c r="Y496">
        <f>IF(ISNUMBER(INDEX(AllCollegeAAHGR, MATCH(N496,AllCollegeNCES,0))),ROUND(INDEX(AllCollegeAAHGR, MATCH(N496,AllCollegeNCES,0))+W496*IF(INDEX(AllCollegeAAHGR, MATCH(N496,AllCollegeNCES,0))&gt;0.7,(1-INDEX(AllCollegeAAHGR, MATCH(N496,AllCollegeNCES,0)))/2,0.15),2),INDEX(AllCollegeAAHGR, MATCH(N496,AllCollegeNCES,0)))</f>
        <v>0</v>
      </c>
      <c r="Z496">
        <f>IF(OR(T496="H",T496="B"),INDEX(AllCollegeACT25, MATCH(N496,AllCollegeNCES,0)),INDEX(AllCollegeACT50, MATCH(N496,AllCollegeNCES,0)))</f>
        <v>0</v>
      </c>
      <c r="AA496">
        <f>INDEX(CustomWeightsGPA,MATCH(T496&amp;":"&amp;N496,CustomWeightsIndex,0))</f>
        <v>0</v>
      </c>
      <c r="AB496">
        <f>INDEX(CustomWeightsACT,MATCH(T496&amp;":"&amp;N496,CustomWeightsIndex,0))</f>
        <v>0</v>
      </c>
      <c r="AC496">
        <f>INDEX(CustomWeightsIntercept,MATCH(T496&amp;":"&amp;N496,CustomWeightsIndex,0))</f>
        <v>0</v>
      </c>
      <c r="AD496">
        <f>AA496*P496+AB496*Q496+AC496</f>
        <v>0</v>
      </c>
      <c r="AE496">
        <f>INDEX(CoefficientsGPA,MATCH(T496&amp;":"&amp;O496,CoefficientsIndex,0))</f>
        <v>0</v>
      </c>
      <c r="AF496">
        <f>INDEX(CoefficientsACT,MATCH(T496&amp;":"&amp;O496,CoefficientsIndex,0))</f>
        <v>0</v>
      </c>
      <c r="AG496">
        <f>INDEX(CoefficientsIntercept,MATCH(T496&amp;":"&amp;O496,CoefficientsIndex,0))</f>
        <v>0</v>
      </c>
      <c r="AH496">
        <f>AE496*P496+(Q496-Z496)*AF496+AG496</f>
        <v>0</v>
      </c>
      <c r="AI496">
        <f>IF(ISNUMBER(AD496),AD496,AH496)</f>
        <v>0</v>
      </c>
      <c r="AJ496">
        <f>IF(ISNUMBER(AI496),IF(ISNUMBER(AE496),IF(AND(AE496=1,AF496=1,AG496=1),100,ROUND(100*EXP(AI496)/(1+EXP(AI496)),2)),ROUND(100*EXP(AI496)/(1+EXP(AI496)),2)),IF(ISTEXT(O496),IF(LEFT(O496,1)="2",100,"N/A"),"N/A"))</f>
        <v>0</v>
      </c>
      <c r="AK496">
        <f>IF(ISNUMBER(AJ496),IF(AJ496&gt;=99,IF(OR(R496=10,R496=11),MatchLabel,SureThingLabel),IF(AJ496&gt;=95,SecureLabel,IF(AJ496&gt;=80,SafetyLabel,IF(AJ496&gt;=50,MatchLabel,IF(AJ496&gt;=20,ReachLabel,IF(AJ496&gt;=10,LongshotLabel,HailMaryLabel)))))),"Other")</f>
        <v>0</v>
      </c>
      <c r="AL496">
        <f>IF(OR(I496="accepted",I496="cond. accept",I496="summer admit"),IF(J496="yes","CHOICE!","Accepted!"),IF(I496="denied","Denied",IF(K496=1,"Waitlist",IF(L496=1,"Deferred",IF(G496="pending","Pending",IF(OR(G496="initial materials submitted",G496="mid-year submitted",G496="final submitted"),"Submitted",IF(H496="interest","Interest","?")))))))</f>
        <v>0</v>
      </c>
      <c r="AM496">
        <f>IF(OR(AK496=ReachLabel,AK496=LongshotLabel,AK496=HailMaryLabel),1,0)</f>
        <v>0</v>
      </c>
      <c r="AN496">
        <f>IF(OR(AM496=1,AK496=MatchLabel),1,0)</f>
        <v>0</v>
      </c>
      <c r="AO496">
        <f>IF(OR(AK496=MatchLabel,AK496=SafetyLabel,AK496=SecureLabel,AK496=SureThingLabel),1,0)</f>
        <v>0</v>
      </c>
      <c r="AP496">
        <f>IF(OR(T496="H",T496="B"),IF(ISNUMBER(Y496),ROUND(Y496,2),0),IF(ISNUMBER(X496),ROUND(X496,2),0))</f>
        <v>0</v>
      </c>
      <c r="AQ496">
        <f>IF(AP496&gt;=U496,1,0)</f>
        <v>0</v>
      </c>
      <c r="AR496">
        <f>IF(AP496&gt;=V496,1,0)</f>
        <v>0</v>
      </c>
      <c r="AS496">
        <f>IF(AP496&lt;(U496-0.10),1,0)</f>
        <v>0</v>
      </c>
      <c r="AT496">
        <f>1-AJ496/100</f>
        <v>0</v>
      </c>
      <c r="AU496">
        <f>IF(AN496=1,AT496,1)</f>
        <v>0</v>
      </c>
      <c r="AV496">
        <f>IF(AM496=1,AT496,1)</f>
        <v>0</v>
      </c>
      <c r="AW496">
        <f>IF(AND(AQ496=1,ISNUMBER(AT496)),$AT496,1)</f>
        <v>0</v>
      </c>
      <c r="AX496">
        <f>IF(AND(AR496=1,ISNUMBER(AT496)),$AT496,1)</f>
        <v>0</v>
      </c>
      <c r="AY496">
        <f>IF(ISNUMBER(Y496),INDEX(AllCollegeMoney, MATCH(N496,AllCollegeNCES,0)),0)</f>
        <v>0</v>
      </c>
      <c r="AZ496">
        <f>IF(AND(AQ496=1,ISNUMBER(AT496),AY496=1),$AT496,1)</f>
        <v>0</v>
      </c>
      <c r="BA496">
        <f>IF(AND(AR496=1,ISNUMBER(AT496),AY496=1),$AT496,1)</f>
        <v>0</v>
      </c>
      <c r="BB496">
        <f>IF(ISNUMBER(Y496),INDEX(AllCollegeILPub, MATCH(N496,AllCollegeNCES,0)),0)</f>
        <v>0</v>
      </c>
      <c r="BC496">
        <f>IF(AK496=ReachLabel,AP496,0)</f>
        <v>0</v>
      </c>
      <c r="BD496">
        <f>IF(AK496=MatchLabel,AP496,0)</f>
        <v>0</v>
      </c>
      <c r="BE496">
        <f>IF(AK496=SafetyLabel,AP496,0)</f>
        <v>0</v>
      </c>
      <c r="BF496">
        <f>IF(AK496=SecureLabel,AP496,0)</f>
        <v>0</v>
      </c>
      <c r="BG496">
        <f>IF(AK496=SureThingLabel,AP496,0)</f>
        <v>0</v>
      </c>
      <c r="BH496">
        <f>MAX(BC496:BG496)</f>
        <v>0</v>
      </c>
      <c r="BI496">
        <f>MAX(BD496:BG496)</f>
        <v>0</v>
      </c>
      <c r="BJ496">
        <f>MAX(BE496:BG496)</f>
        <v>0</v>
      </c>
      <c r="BK496">
        <f>IF(AND(AK496=ReachLabel,AY496=1),AP496,0)</f>
        <v>0</v>
      </c>
      <c r="BL496">
        <f>IF(AND(AK496=MatchLabel,AY496=1),AP496,0)</f>
        <v>0</v>
      </c>
      <c r="BM496">
        <f>IF(AND(AK496=SafetyLabel,AY496=1),AP496,0)</f>
        <v>0</v>
      </c>
      <c r="BN496">
        <f>IF(AND(AK496=SecureLabel,AY496=1),AP496,0)</f>
        <v>0</v>
      </c>
      <c r="BO496">
        <f>IF(AND(AK496=SureThingLabel,AY496=1),AP496,0)</f>
        <v>0</v>
      </c>
      <c r="BP496">
        <f>MAX(BK496:BO496)</f>
        <v>0</v>
      </c>
      <c r="BQ496">
        <f>MAX(BL496:BO496)</f>
        <v>0</v>
      </c>
      <c r="BR496">
        <f>MAX(BM496:BO496)</f>
        <v>0</v>
      </c>
      <c r="BS496">
        <f>IF(ISNUMBER(Y496),INDEX(AllCollegeChicago, MATCH(N496,AllCollegeNCES,0))*AY496,0)</f>
        <v>0</v>
      </c>
      <c r="BT496">
        <f>IF(ISNUMBER(Y496),INDEX(AllCollegeMoneyCode, MATCH(N496,AllCollegeNCES,0)),"?")</f>
        <v>0</v>
      </c>
      <c r="BU496">
        <f>IF(OR(BT496="---",BT496="--",BT496="+/--",BT496="+/---"),1,0)</f>
        <v>0</v>
      </c>
      <c r="BV496">
        <f>AY496*AO496*AQ496</f>
        <v>0</v>
      </c>
    </row>
    <row r="497" spans="1:74">
      <c r="A497" t="s">
        <v>86</v>
      </c>
      <c r="B497">
        <v>23463287</v>
      </c>
      <c r="C497" t="s">
        <v>140</v>
      </c>
      <c r="D497" t="s">
        <v>141</v>
      </c>
      <c r="E497" t="s">
        <v>428</v>
      </c>
      <c r="F497" t="s">
        <v>558</v>
      </c>
      <c r="G497" t="s">
        <v>526</v>
      </c>
      <c r="H497" t="s">
        <v>526</v>
      </c>
      <c r="I497" t="s">
        <v>527</v>
      </c>
      <c r="J497" t="s">
        <v>428</v>
      </c>
      <c r="K497" t="s">
        <v>428</v>
      </c>
      <c r="L497" t="s">
        <v>428</v>
      </c>
      <c r="M497" t="s">
        <v>428</v>
      </c>
      <c r="N497">
        <v>144184</v>
      </c>
      <c r="O497">
        <f>INDEX(AllCollegeBarrons,MATCH(N497,AllCollegeNCES,0))</f>
        <v>0</v>
      </c>
      <c r="P497">
        <f>INDEX(KidGPAs,MATCH(B497,KidIDs,0))</f>
        <v>0</v>
      </c>
      <c r="Q497">
        <f>INDEX(KidACTs,MATCH(B497,KidIDs,0))</f>
        <v>0</v>
      </c>
      <c r="R497">
        <f>INDEX(Strats,MATCH(B497,KidIDs,0))</f>
        <v>0</v>
      </c>
      <c r="S497">
        <f>INDEX(KidRace,MATCH(B497,KidIDs,0))</f>
        <v>0</v>
      </c>
      <c r="T497">
        <f>IF(OR(S497="M",S497="I"),"H",S497)</f>
        <v>0</v>
      </c>
      <c r="U497">
        <f>INDEX(StudentTargets,MATCH(B497,KidIDs,0))</f>
        <v>0</v>
      </c>
      <c r="V497">
        <f>INDEX(ReachStudentTargets,MATCH(B497,KidIDs,0))</f>
        <v>0</v>
      </c>
      <c r="W497">
        <f>IF(OR(M497="Posse"),1,0)</f>
        <v>0</v>
      </c>
      <c r="X497">
        <f>IF(ISNUMBER(INDEX(AllCollegeGR, MATCH(N497,AllCollegeNCES,0))),ROUND(INDEX(AllCollegeGR, MATCH(N497,AllCollegeNCES,0))+W497*IF(INDEX(AllCollegeGR, MATCH(N497,AllCollegeNCES,0))&gt;0.7,(1-INDEX(AllCollegeGR, MATCH(N497,AllCollegeNCES,0)))/2,0.15),2),INDEX(AllCollegeGR, MATCH(N497,AllCollegeNCES,0)))</f>
        <v>0</v>
      </c>
      <c r="Y497">
        <f>IF(ISNUMBER(INDEX(AllCollegeAAHGR, MATCH(N497,AllCollegeNCES,0))),ROUND(INDEX(AllCollegeAAHGR, MATCH(N497,AllCollegeNCES,0))+W497*IF(INDEX(AllCollegeAAHGR, MATCH(N497,AllCollegeNCES,0))&gt;0.7,(1-INDEX(AllCollegeAAHGR, MATCH(N497,AllCollegeNCES,0)))/2,0.15),2),INDEX(AllCollegeAAHGR, MATCH(N497,AllCollegeNCES,0)))</f>
        <v>0</v>
      </c>
      <c r="Z497">
        <f>IF(OR(T497="H",T497="B"),INDEX(AllCollegeACT25, MATCH(N497,AllCollegeNCES,0)),INDEX(AllCollegeACT50, MATCH(N497,AllCollegeNCES,0)))</f>
        <v>0</v>
      </c>
      <c r="AA497">
        <f>INDEX(CustomWeightsGPA,MATCH(T497&amp;":"&amp;N497,CustomWeightsIndex,0))</f>
        <v>0</v>
      </c>
      <c r="AB497">
        <f>INDEX(CustomWeightsACT,MATCH(T497&amp;":"&amp;N497,CustomWeightsIndex,0))</f>
        <v>0</v>
      </c>
      <c r="AC497">
        <f>INDEX(CustomWeightsIntercept,MATCH(T497&amp;":"&amp;N497,CustomWeightsIndex,0))</f>
        <v>0</v>
      </c>
      <c r="AD497">
        <f>AA497*P497+AB497*Q497+AC497</f>
        <v>0</v>
      </c>
      <c r="AE497">
        <f>INDEX(CoefficientsGPA,MATCH(T497&amp;":"&amp;O497,CoefficientsIndex,0))</f>
        <v>0</v>
      </c>
      <c r="AF497">
        <f>INDEX(CoefficientsACT,MATCH(T497&amp;":"&amp;O497,CoefficientsIndex,0))</f>
        <v>0</v>
      </c>
      <c r="AG497">
        <f>INDEX(CoefficientsIntercept,MATCH(T497&amp;":"&amp;O497,CoefficientsIndex,0))</f>
        <v>0</v>
      </c>
      <c r="AH497">
        <f>AE497*P497+(Q497-Z497)*AF497+AG497</f>
        <v>0</v>
      </c>
      <c r="AI497">
        <f>IF(ISNUMBER(AD497),AD497,AH497)</f>
        <v>0</v>
      </c>
      <c r="AJ497">
        <f>IF(ISNUMBER(AI497),IF(ISNUMBER(AE497),IF(AND(AE497=1,AF497=1,AG497=1),100,ROUND(100*EXP(AI497)/(1+EXP(AI497)),2)),ROUND(100*EXP(AI497)/(1+EXP(AI497)),2)),IF(ISTEXT(O497),IF(LEFT(O497,1)="2",100,"N/A"),"N/A"))</f>
        <v>0</v>
      </c>
      <c r="AK497">
        <f>IF(ISNUMBER(AJ497),IF(AJ497&gt;=99,IF(OR(R497=10,R497=11),MatchLabel,SureThingLabel),IF(AJ497&gt;=95,SecureLabel,IF(AJ497&gt;=80,SafetyLabel,IF(AJ497&gt;=50,MatchLabel,IF(AJ497&gt;=20,ReachLabel,IF(AJ497&gt;=10,LongshotLabel,HailMaryLabel)))))),"Other")</f>
        <v>0</v>
      </c>
      <c r="AL497">
        <f>IF(OR(I497="accepted",I497="cond. accept",I497="summer admit"),IF(J497="yes","CHOICE!","Accepted!"),IF(I497="denied","Denied",IF(K497=1,"Waitlist",IF(L497=1,"Deferred",IF(G497="pending","Pending",IF(OR(G497="initial materials submitted",G497="mid-year submitted",G497="final submitted"),"Submitted",IF(H497="interest","Interest","?")))))))</f>
        <v>0</v>
      </c>
      <c r="AM497">
        <f>IF(OR(AK497=ReachLabel,AK497=LongshotLabel,AK497=HailMaryLabel),1,0)</f>
        <v>0</v>
      </c>
      <c r="AN497">
        <f>IF(OR(AM497=1,AK497=MatchLabel),1,0)</f>
        <v>0</v>
      </c>
      <c r="AO497">
        <f>IF(OR(AK497=MatchLabel,AK497=SafetyLabel,AK497=SecureLabel,AK497=SureThingLabel),1,0)</f>
        <v>0</v>
      </c>
      <c r="AP497">
        <f>IF(OR(T497="H",T497="B"),IF(ISNUMBER(Y497),ROUND(Y497,2),0),IF(ISNUMBER(X497),ROUND(X497,2),0))</f>
        <v>0</v>
      </c>
      <c r="AQ497">
        <f>IF(AP497&gt;=U497,1,0)</f>
        <v>0</v>
      </c>
      <c r="AR497">
        <f>IF(AP497&gt;=V497,1,0)</f>
        <v>0</v>
      </c>
      <c r="AS497">
        <f>IF(AP497&lt;(U497-0.10),1,0)</f>
        <v>0</v>
      </c>
      <c r="AT497">
        <f>1-AJ497/100</f>
        <v>0</v>
      </c>
      <c r="AU497">
        <f>IF(AN497=1,AT497,1)</f>
        <v>0</v>
      </c>
      <c r="AV497">
        <f>IF(AM497=1,AT497,1)</f>
        <v>0</v>
      </c>
      <c r="AW497">
        <f>IF(AND(AQ497=1,ISNUMBER(AT497)),$AT497,1)</f>
        <v>0</v>
      </c>
      <c r="AX497">
        <f>IF(AND(AR497=1,ISNUMBER(AT497)),$AT497,1)</f>
        <v>0</v>
      </c>
      <c r="AY497">
        <f>IF(ISNUMBER(Y497),INDEX(AllCollegeMoney, MATCH(N497,AllCollegeNCES,0)),0)</f>
        <v>0</v>
      </c>
      <c r="AZ497">
        <f>IF(AND(AQ497=1,ISNUMBER(AT497),AY497=1),$AT497,1)</f>
        <v>0</v>
      </c>
      <c r="BA497">
        <f>IF(AND(AR497=1,ISNUMBER(AT497),AY497=1),$AT497,1)</f>
        <v>0</v>
      </c>
      <c r="BB497">
        <f>IF(ISNUMBER(Y497),INDEX(AllCollegeILPub, MATCH(N497,AllCollegeNCES,0)),0)</f>
        <v>0</v>
      </c>
      <c r="BC497">
        <f>IF(AK497=ReachLabel,AP497,0)</f>
        <v>0</v>
      </c>
      <c r="BD497">
        <f>IF(AK497=MatchLabel,AP497,0)</f>
        <v>0</v>
      </c>
      <c r="BE497">
        <f>IF(AK497=SafetyLabel,AP497,0)</f>
        <v>0</v>
      </c>
      <c r="BF497">
        <f>IF(AK497=SecureLabel,AP497,0)</f>
        <v>0</v>
      </c>
      <c r="BG497">
        <f>IF(AK497=SureThingLabel,AP497,0)</f>
        <v>0</v>
      </c>
      <c r="BH497">
        <f>MAX(BC497:BG497)</f>
        <v>0</v>
      </c>
      <c r="BI497">
        <f>MAX(BD497:BG497)</f>
        <v>0</v>
      </c>
      <c r="BJ497">
        <f>MAX(BE497:BG497)</f>
        <v>0</v>
      </c>
      <c r="BK497">
        <f>IF(AND(AK497=ReachLabel,AY497=1),AP497,0)</f>
        <v>0</v>
      </c>
      <c r="BL497">
        <f>IF(AND(AK497=MatchLabel,AY497=1),AP497,0)</f>
        <v>0</v>
      </c>
      <c r="BM497">
        <f>IF(AND(AK497=SafetyLabel,AY497=1),AP497,0)</f>
        <v>0</v>
      </c>
      <c r="BN497">
        <f>IF(AND(AK497=SecureLabel,AY497=1),AP497,0)</f>
        <v>0</v>
      </c>
      <c r="BO497">
        <f>IF(AND(AK497=SureThingLabel,AY497=1),AP497,0)</f>
        <v>0</v>
      </c>
      <c r="BP497">
        <f>MAX(BK497:BO497)</f>
        <v>0</v>
      </c>
      <c r="BQ497">
        <f>MAX(BL497:BO497)</f>
        <v>0</v>
      </c>
      <c r="BR497">
        <f>MAX(BM497:BO497)</f>
        <v>0</v>
      </c>
      <c r="BS497">
        <f>IF(ISNUMBER(Y497),INDEX(AllCollegeChicago, MATCH(N497,AllCollegeNCES,0))*AY497,0)</f>
        <v>0</v>
      </c>
      <c r="BT497">
        <f>IF(ISNUMBER(Y497),INDEX(AllCollegeMoneyCode, MATCH(N497,AllCollegeNCES,0)),"?")</f>
        <v>0</v>
      </c>
      <c r="BU497">
        <f>IF(OR(BT497="---",BT497="--",BT497="+/--",BT497="+/---"),1,0)</f>
        <v>0</v>
      </c>
      <c r="BV497">
        <f>AY497*AO497*AQ497</f>
        <v>0</v>
      </c>
    </row>
    <row r="498" spans="1:74">
      <c r="A498" t="s">
        <v>86</v>
      </c>
      <c r="B498">
        <v>23463287</v>
      </c>
      <c r="C498" t="s">
        <v>140</v>
      </c>
      <c r="D498" t="s">
        <v>141</v>
      </c>
      <c r="E498" t="s">
        <v>428</v>
      </c>
      <c r="F498" t="s">
        <v>559</v>
      </c>
      <c r="G498" t="s">
        <v>526</v>
      </c>
      <c r="H498" t="s">
        <v>526</v>
      </c>
      <c r="I498" t="s">
        <v>527</v>
      </c>
      <c r="J498" t="s">
        <v>428</v>
      </c>
      <c r="K498" t="s">
        <v>428</v>
      </c>
      <c r="L498" t="s">
        <v>428</v>
      </c>
      <c r="M498" t="s">
        <v>428</v>
      </c>
      <c r="N498">
        <v>146676</v>
      </c>
      <c r="O498">
        <f>INDEX(AllCollegeBarrons,MATCH(N498,AllCollegeNCES,0))</f>
        <v>0</v>
      </c>
      <c r="P498">
        <f>INDEX(KidGPAs,MATCH(B498,KidIDs,0))</f>
        <v>0</v>
      </c>
      <c r="Q498">
        <f>INDEX(KidACTs,MATCH(B498,KidIDs,0))</f>
        <v>0</v>
      </c>
      <c r="R498">
        <f>INDEX(Strats,MATCH(B498,KidIDs,0))</f>
        <v>0</v>
      </c>
      <c r="S498">
        <f>INDEX(KidRace,MATCH(B498,KidIDs,0))</f>
        <v>0</v>
      </c>
      <c r="T498">
        <f>IF(OR(S498="M",S498="I"),"H",S498)</f>
        <v>0</v>
      </c>
      <c r="U498">
        <f>INDEX(StudentTargets,MATCH(B498,KidIDs,0))</f>
        <v>0</v>
      </c>
      <c r="V498">
        <f>INDEX(ReachStudentTargets,MATCH(B498,KidIDs,0))</f>
        <v>0</v>
      </c>
      <c r="W498">
        <f>IF(OR(M498="Posse"),1,0)</f>
        <v>0</v>
      </c>
      <c r="X498">
        <f>IF(ISNUMBER(INDEX(AllCollegeGR, MATCH(N498,AllCollegeNCES,0))),ROUND(INDEX(AllCollegeGR, MATCH(N498,AllCollegeNCES,0))+W498*IF(INDEX(AllCollegeGR, MATCH(N498,AllCollegeNCES,0))&gt;0.7,(1-INDEX(AllCollegeGR, MATCH(N498,AllCollegeNCES,0)))/2,0.15),2),INDEX(AllCollegeGR, MATCH(N498,AllCollegeNCES,0)))</f>
        <v>0</v>
      </c>
      <c r="Y498">
        <f>IF(ISNUMBER(INDEX(AllCollegeAAHGR, MATCH(N498,AllCollegeNCES,0))),ROUND(INDEX(AllCollegeAAHGR, MATCH(N498,AllCollegeNCES,0))+W498*IF(INDEX(AllCollegeAAHGR, MATCH(N498,AllCollegeNCES,0))&gt;0.7,(1-INDEX(AllCollegeAAHGR, MATCH(N498,AllCollegeNCES,0)))/2,0.15),2),INDEX(AllCollegeAAHGR, MATCH(N498,AllCollegeNCES,0)))</f>
        <v>0</v>
      </c>
      <c r="Z498">
        <f>IF(OR(T498="H",T498="B"),INDEX(AllCollegeACT25, MATCH(N498,AllCollegeNCES,0)),INDEX(AllCollegeACT50, MATCH(N498,AllCollegeNCES,0)))</f>
        <v>0</v>
      </c>
      <c r="AA498">
        <f>INDEX(CustomWeightsGPA,MATCH(T498&amp;":"&amp;N498,CustomWeightsIndex,0))</f>
        <v>0</v>
      </c>
      <c r="AB498">
        <f>INDEX(CustomWeightsACT,MATCH(T498&amp;":"&amp;N498,CustomWeightsIndex,0))</f>
        <v>0</v>
      </c>
      <c r="AC498">
        <f>INDEX(CustomWeightsIntercept,MATCH(T498&amp;":"&amp;N498,CustomWeightsIndex,0))</f>
        <v>0</v>
      </c>
      <c r="AD498">
        <f>AA498*P498+AB498*Q498+AC498</f>
        <v>0</v>
      </c>
      <c r="AE498">
        <f>INDEX(CoefficientsGPA,MATCH(T498&amp;":"&amp;O498,CoefficientsIndex,0))</f>
        <v>0</v>
      </c>
      <c r="AF498">
        <f>INDEX(CoefficientsACT,MATCH(T498&amp;":"&amp;O498,CoefficientsIndex,0))</f>
        <v>0</v>
      </c>
      <c r="AG498">
        <f>INDEX(CoefficientsIntercept,MATCH(T498&amp;":"&amp;O498,CoefficientsIndex,0))</f>
        <v>0</v>
      </c>
      <c r="AH498">
        <f>AE498*P498+(Q498-Z498)*AF498+AG498</f>
        <v>0</v>
      </c>
      <c r="AI498">
        <f>IF(ISNUMBER(AD498),AD498,AH498)</f>
        <v>0</v>
      </c>
      <c r="AJ498">
        <f>IF(ISNUMBER(AI498),IF(ISNUMBER(AE498),IF(AND(AE498=1,AF498=1,AG498=1),100,ROUND(100*EXP(AI498)/(1+EXP(AI498)),2)),ROUND(100*EXP(AI498)/(1+EXP(AI498)),2)),IF(ISTEXT(O498),IF(LEFT(O498,1)="2",100,"N/A"),"N/A"))</f>
        <v>0</v>
      </c>
      <c r="AK498">
        <f>IF(ISNUMBER(AJ498),IF(AJ498&gt;=99,IF(OR(R498=10,R498=11),MatchLabel,SureThingLabel),IF(AJ498&gt;=95,SecureLabel,IF(AJ498&gt;=80,SafetyLabel,IF(AJ498&gt;=50,MatchLabel,IF(AJ498&gt;=20,ReachLabel,IF(AJ498&gt;=10,LongshotLabel,HailMaryLabel)))))),"Other")</f>
        <v>0</v>
      </c>
      <c r="AL498">
        <f>IF(OR(I498="accepted",I498="cond. accept",I498="summer admit"),IF(J498="yes","CHOICE!","Accepted!"),IF(I498="denied","Denied",IF(K498=1,"Waitlist",IF(L498=1,"Deferred",IF(G498="pending","Pending",IF(OR(G498="initial materials submitted",G498="mid-year submitted",G498="final submitted"),"Submitted",IF(H498="interest","Interest","?")))))))</f>
        <v>0</v>
      </c>
      <c r="AM498">
        <f>IF(OR(AK498=ReachLabel,AK498=LongshotLabel,AK498=HailMaryLabel),1,0)</f>
        <v>0</v>
      </c>
      <c r="AN498">
        <f>IF(OR(AM498=1,AK498=MatchLabel),1,0)</f>
        <v>0</v>
      </c>
      <c r="AO498">
        <f>IF(OR(AK498=MatchLabel,AK498=SafetyLabel,AK498=SecureLabel,AK498=SureThingLabel),1,0)</f>
        <v>0</v>
      </c>
      <c r="AP498">
        <f>IF(OR(T498="H",T498="B"),IF(ISNUMBER(Y498),ROUND(Y498,2),0),IF(ISNUMBER(X498),ROUND(X498,2),0))</f>
        <v>0</v>
      </c>
      <c r="AQ498">
        <f>IF(AP498&gt;=U498,1,0)</f>
        <v>0</v>
      </c>
      <c r="AR498">
        <f>IF(AP498&gt;=V498,1,0)</f>
        <v>0</v>
      </c>
      <c r="AS498">
        <f>IF(AP498&lt;(U498-0.10),1,0)</f>
        <v>0</v>
      </c>
      <c r="AT498">
        <f>1-AJ498/100</f>
        <v>0</v>
      </c>
      <c r="AU498">
        <f>IF(AN498=1,AT498,1)</f>
        <v>0</v>
      </c>
      <c r="AV498">
        <f>IF(AM498=1,AT498,1)</f>
        <v>0</v>
      </c>
      <c r="AW498">
        <f>IF(AND(AQ498=1,ISNUMBER(AT498)),$AT498,1)</f>
        <v>0</v>
      </c>
      <c r="AX498">
        <f>IF(AND(AR498=1,ISNUMBER(AT498)),$AT498,1)</f>
        <v>0</v>
      </c>
      <c r="AY498">
        <f>IF(ISNUMBER(Y498),INDEX(AllCollegeMoney, MATCH(N498,AllCollegeNCES,0)),0)</f>
        <v>0</v>
      </c>
      <c r="AZ498">
        <f>IF(AND(AQ498=1,ISNUMBER(AT498),AY498=1),$AT498,1)</f>
        <v>0</v>
      </c>
      <c r="BA498">
        <f>IF(AND(AR498=1,ISNUMBER(AT498),AY498=1),$AT498,1)</f>
        <v>0</v>
      </c>
      <c r="BB498">
        <f>IF(ISNUMBER(Y498),INDEX(AllCollegeILPub, MATCH(N498,AllCollegeNCES,0)),0)</f>
        <v>0</v>
      </c>
      <c r="BC498">
        <f>IF(AK498=ReachLabel,AP498,0)</f>
        <v>0</v>
      </c>
      <c r="BD498">
        <f>IF(AK498=MatchLabel,AP498,0)</f>
        <v>0</v>
      </c>
      <c r="BE498">
        <f>IF(AK498=SafetyLabel,AP498,0)</f>
        <v>0</v>
      </c>
      <c r="BF498">
        <f>IF(AK498=SecureLabel,AP498,0)</f>
        <v>0</v>
      </c>
      <c r="BG498">
        <f>IF(AK498=SureThingLabel,AP498,0)</f>
        <v>0</v>
      </c>
      <c r="BH498">
        <f>MAX(BC498:BG498)</f>
        <v>0</v>
      </c>
      <c r="BI498">
        <f>MAX(BD498:BG498)</f>
        <v>0</v>
      </c>
      <c r="BJ498">
        <f>MAX(BE498:BG498)</f>
        <v>0</v>
      </c>
      <c r="BK498">
        <f>IF(AND(AK498=ReachLabel,AY498=1),AP498,0)</f>
        <v>0</v>
      </c>
      <c r="BL498">
        <f>IF(AND(AK498=MatchLabel,AY498=1),AP498,0)</f>
        <v>0</v>
      </c>
      <c r="BM498">
        <f>IF(AND(AK498=SafetyLabel,AY498=1),AP498,0)</f>
        <v>0</v>
      </c>
      <c r="BN498">
        <f>IF(AND(AK498=SecureLabel,AY498=1),AP498,0)</f>
        <v>0</v>
      </c>
      <c r="BO498">
        <f>IF(AND(AK498=SureThingLabel,AY498=1),AP498,0)</f>
        <v>0</v>
      </c>
      <c r="BP498">
        <f>MAX(BK498:BO498)</f>
        <v>0</v>
      </c>
      <c r="BQ498">
        <f>MAX(BL498:BO498)</f>
        <v>0</v>
      </c>
      <c r="BR498">
        <f>MAX(BM498:BO498)</f>
        <v>0</v>
      </c>
      <c r="BS498">
        <f>IF(ISNUMBER(Y498),INDEX(AllCollegeChicago, MATCH(N498,AllCollegeNCES,0))*AY498,0)</f>
        <v>0</v>
      </c>
      <c r="BT498">
        <f>IF(ISNUMBER(Y498),INDEX(AllCollegeMoneyCode, MATCH(N498,AllCollegeNCES,0)),"?")</f>
        <v>0</v>
      </c>
      <c r="BU498">
        <f>IF(OR(BT498="---",BT498="--",BT498="+/--",BT498="+/---"),1,0)</f>
        <v>0</v>
      </c>
      <c r="BV498">
        <f>AY498*AO498*AQ498</f>
        <v>0</v>
      </c>
    </row>
    <row r="499" spans="1:74">
      <c r="A499" t="s">
        <v>86</v>
      </c>
      <c r="B499">
        <v>23463287</v>
      </c>
      <c r="C499" t="s">
        <v>140</v>
      </c>
      <c r="D499" t="s">
        <v>141</v>
      </c>
      <c r="E499" t="s">
        <v>428</v>
      </c>
      <c r="F499" t="s">
        <v>548</v>
      </c>
      <c r="G499" t="s">
        <v>526</v>
      </c>
      <c r="H499" t="s">
        <v>526</v>
      </c>
      <c r="I499" t="s">
        <v>527</v>
      </c>
      <c r="J499" t="s">
        <v>428</v>
      </c>
      <c r="K499" t="s">
        <v>428</v>
      </c>
      <c r="L499" t="s">
        <v>428</v>
      </c>
      <c r="M499" t="s">
        <v>428</v>
      </c>
      <c r="N499">
        <v>147776</v>
      </c>
      <c r="O499">
        <f>INDEX(AllCollegeBarrons,MATCH(N499,AllCollegeNCES,0))</f>
        <v>0</v>
      </c>
      <c r="P499">
        <f>INDEX(KidGPAs,MATCH(B499,KidIDs,0))</f>
        <v>0</v>
      </c>
      <c r="Q499">
        <f>INDEX(KidACTs,MATCH(B499,KidIDs,0))</f>
        <v>0</v>
      </c>
      <c r="R499">
        <f>INDEX(Strats,MATCH(B499,KidIDs,0))</f>
        <v>0</v>
      </c>
      <c r="S499">
        <f>INDEX(KidRace,MATCH(B499,KidIDs,0))</f>
        <v>0</v>
      </c>
      <c r="T499">
        <f>IF(OR(S499="M",S499="I"),"H",S499)</f>
        <v>0</v>
      </c>
      <c r="U499">
        <f>INDEX(StudentTargets,MATCH(B499,KidIDs,0))</f>
        <v>0</v>
      </c>
      <c r="V499">
        <f>INDEX(ReachStudentTargets,MATCH(B499,KidIDs,0))</f>
        <v>0</v>
      </c>
      <c r="W499">
        <f>IF(OR(M499="Posse"),1,0)</f>
        <v>0</v>
      </c>
      <c r="X499">
        <f>IF(ISNUMBER(INDEX(AllCollegeGR, MATCH(N499,AllCollegeNCES,0))),ROUND(INDEX(AllCollegeGR, MATCH(N499,AllCollegeNCES,0))+W499*IF(INDEX(AllCollegeGR, MATCH(N499,AllCollegeNCES,0))&gt;0.7,(1-INDEX(AllCollegeGR, MATCH(N499,AllCollegeNCES,0)))/2,0.15),2),INDEX(AllCollegeGR, MATCH(N499,AllCollegeNCES,0)))</f>
        <v>0</v>
      </c>
      <c r="Y499">
        <f>IF(ISNUMBER(INDEX(AllCollegeAAHGR, MATCH(N499,AllCollegeNCES,0))),ROUND(INDEX(AllCollegeAAHGR, MATCH(N499,AllCollegeNCES,0))+W499*IF(INDEX(AllCollegeAAHGR, MATCH(N499,AllCollegeNCES,0))&gt;0.7,(1-INDEX(AllCollegeAAHGR, MATCH(N499,AllCollegeNCES,0)))/2,0.15),2),INDEX(AllCollegeAAHGR, MATCH(N499,AllCollegeNCES,0)))</f>
        <v>0</v>
      </c>
      <c r="Z499">
        <f>IF(OR(T499="H",T499="B"),INDEX(AllCollegeACT25, MATCH(N499,AllCollegeNCES,0)),INDEX(AllCollegeACT50, MATCH(N499,AllCollegeNCES,0)))</f>
        <v>0</v>
      </c>
      <c r="AA499">
        <f>INDEX(CustomWeightsGPA,MATCH(T499&amp;":"&amp;N499,CustomWeightsIndex,0))</f>
        <v>0</v>
      </c>
      <c r="AB499">
        <f>INDEX(CustomWeightsACT,MATCH(T499&amp;":"&amp;N499,CustomWeightsIndex,0))</f>
        <v>0</v>
      </c>
      <c r="AC499">
        <f>INDEX(CustomWeightsIntercept,MATCH(T499&amp;":"&amp;N499,CustomWeightsIndex,0))</f>
        <v>0</v>
      </c>
      <c r="AD499">
        <f>AA499*P499+AB499*Q499+AC499</f>
        <v>0</v>
      </c>
      <c r="AE499">
        <f>INDEX(CoefficientsGPA,MATCH(T499&amp;":"&amp;O499,CoefficientsIndex,0))</f>
        <v>0</v>
      </c>
      <c r="AF499">
        <f>INDEX(CoefficientsACT,MATCH(T499&amp;":"&amp;O499,CoefficientsIndex,0))</f>
        <v>0</v>
      </c>
      <c r="AG499">
        <f>INDEX(CoefficientsIntercept,MATCH(T499&amp;":"&amp;O499,CoefficientsIndex,0))</f>
        <v>0</v>
      </c>
      <c r="AH499">
        <f>AE499*P499+(Q499-Z499)*AF499+AG499</f>
        <v>0</v>
      </c>
      <c r="AI499">
        <f>IF(ISNUMBER(AD499),AD499,AH499)</f>
        <v>0</v>
      </c>
      <c r="AJ499">
        <f>IF(ISNUMBER(AI499),IF(ISNUMBER(AE499),IF(AND(AE499=1,AF499=1,AG499=1),100,ROUND(100*EXP(AI499)/(1+EXP(AI499)),2)),ROUND(100*EXP(AI499)/(1+EXP(AI499)),2)),IF(ISTEXT(O499),IF(LEFT(O499,1)="2",100,"N/A"),"N/A"))</f>
        <v>0</v>
      </c>
      <c r="AK499">
        <f>IF(ISNUMBER(AJ499),IF(AJ499&gt;=99,IF(OR(R499=10,R499=11),MatchLabel,SureThingLabel),IF(AJ499&gt;=95,SecureLabel,IF(AJ499&gt;=80,SafetyLabel,IF(AJ499&gt;=50,MatchLabel,IF(AJ499&gt;=20,ReachLabel,IF(AJ499&gt;=10,LongshotLabel,HailMaryLabel)))))),"Other")</f>
        <v>0</v>
      </c>
      <c r="AL499">
        <f>IF(OR(I499="accepted",I499="cond. accept",I499="summer admit"),IF(J499="yes","CHOICE!","Accepted!"),IF(I499="denied","Denied",IF(K499=1,"Waitlist",IF(L499=1,"Deferred",IF(G499="pending","Pending",IF(OR(G499="initial materials submitted",G499="mid-year submitted",G499="final submitted"),"Submitted",IF(H499="interest","Interest","?")))))))</f>
        <v>0</v>
      </c>
      <c r="AM499">
        <f>IF(OR(AK499=ReachLabel,AK499=LongshotLabel,AK499=HailMaryLabel),1,0)</f>
        <v>0</v>
      </c>
      <c r="AN499">
        <f>IF(OR(AM499=1,AK499=MatchLabel),1,0)</f>
        <v>0</v>
      </c>
      <c r="AO499">
        <f>IF(OR(AK499=MatchLabel,AK499=SafetyLabel,AK499=SecureLabel,AK499=SureThingLabel),1,0)</f>
        <v>0</v>
      </c>
      <c r="AP499">
        <f>IF(OR(T499="H",T499="B"),IF(ISNUMBER(Y499),ROUND(Y499,2),0),IF(ISNUMBER(X499),ROUND(X499,2),0))</f>
        <v>0</v>
      </c>
      <c r="AQ499">
        <f>IF(AP499&gt;=U499,1,0)</f>
        <v>0</v>
      </c>
      <c r="AR499">
        <f>IF(AP499&gt;=V499,1,0)</f>
        <v>0</v>
      </c>
      <c r="AS499">
        <f>IF(AP499&lt;(U499-0.10),1,0)</f>
        <v>0</v>
      </c>
      <c r="AT499">
        <f>1-AJ499/100</f>
        <v>0</v>
      </c>
      <c r="AU499">
        <f>IF(AN499=1,AT499,1)</f>
        <v>0</v>
      </c>
      <c r="AV499">
        <f>IF(AM499=1,AT499,1)</f>
        <v>0</v>
      </c>
      <c r="AW499">
        <f>IF(AND(AQ499=1,ISNUMBER(AT499)),$AT499,1)</f>
        <v>0</v>
      </c>
      <c r="AX499">
        <f>IF(AND(AR499=1,ISNUMBER(AT499)),$AT499,1)</f>
        <v>0</v>
      </c>
      <c r="AY499">
        <f>IF(ISNUMBER(Y499),INDEX(AllCollegeMoney, MATCH(N499,AllCollegeNCES,0)),0)</f>
        <v>0</v>
      </c>
      <c r="AZ499">
        <f>IF(AND(AQ499=1,ISNUMBER(AT499),AY499=1),$AT499,1)</f>
        <v>0</v>
      </c>
      <c r="BA499">
        <f>IF(AND(AR499=1,ISNUMBER(AT499),AY499=1),$AT499,1)</f>
        <v>0</v>
      </c>
      <c r="BB499">
        <f>IF(ISNUMBER(Y499),INDEX(AllCollegeILPub, MATCH(N499,AllCollegeNCES,0)),0)</f>
        <v>0</v>
      </c>
      <c r="BC499">
        <f>IF(AK499=ReachLabel,AP499,0)</f>
        <v>0</v>
      </c>
      <c r="BD499">
        <f>IF(AK499=MatchLabel,AP499,0)</f>
        <v>0</v>
      </c>
      <c r="BE499">
        <f>IF(AK499=SafetyLabel,AP499,0)</f>
        <v>0</v>
      </c>
      <c r="BF499">
        <f>IF(AK499=SecureLabel,AP499,0)</f>
        <v>0</v>
      </c>
      <c r="BG499">
        <f>IF(AK499=SureThingLabel,AP499,0)</f>
        <v>0</v>
      </c>
      <c r="BH499">
        <f>MAX(BC499:BG499)</f>
        <v>0</v>
      </c>
      <c r="BI499">
        <f>MAX(BD499:BG499)</f>
        <v>0</v>
      </c>
      <c r="BJ499">
        <f>MAX(BE499:BG499)</f>
        <v>0</v>
      </c>
      <c r="BK499">
        <f>IF(AND(AK499=ReachLabel,AY499=1),AP499,0)</f>
        <v>0</v>
      </c>
      <c r="BL499">
        <f>IF(AND(AK499=MatchLabel,AY499=1),AP499,0)</f>
        <v>0</v>
      </c>
      <c r="BM499">
        <f>IF(AND(AK499=SafetyLabel,AY499=1),AP499,0)</f>
        <v>0</v>
      </c>
      <c r="BN499">
        <f>IF(AND(AK499=SecureLabel,AY499=1),AP499,0)</f>
        <v>0</v>
      </c>
      <c r="BO499">
        <f>IF(AND(AK499=SureThingLabel,AY499=1),AP499,0)</f>
        <v>0</v>
      </c>
      <c r="BP499">
        <f>MAX(BK499:BO499)</f>
        <v>0</v>
      </c>
      <c r="BQ499">
        <f>MAX(BL499:BO499)</f>
        <v>0</v>
      </c>
      <c r="BR499">
        <f>MAX(BM499:BO499)</f>
        <v>0</v>
      </c>
      <c r="BS499">
        <f>IF(ISNUMBER(Y499),INDEX(AllCollegeChicago, MATCH(N499,AllCollegeNCES,0))*AY499,0)</f>
        <v>0</v>
      </c>
      <c r="BT499">
        <f>IF(ISNUMBER(Y499),INDEX(AllCollegeMoneyCode, MATCH(N499,AllCollegeNCES,0)),"?")</f>
        <v>0</v>
      </c>
      <c r="BU499">
        <f>IF(OR(BT499="---",BT499="--",BT499="+/--",BT499="+/---"),1,0)</f>
        <v>0</v>
      </c>
      <c r="BV499">
        <f>AY499*AO499*AQ499</f>
        <v>0</v>
      </c>
    </row>
    <row r="500" spans="1:74">
      <c r="A500" t="s">
        <v>86</v>
      </c>
      <c r="B500">
        <v>23463287</v>
      </c>
      <c r="C500" t="s">
        <v>140</v>
      </c>
      <c r="D500" t="s">
        <v>141</v>
      </c>
      <c r="E500" t="s">
        <v>428</v>
      </c>
      <c r="F500" t="s">
        <v>560</v>
      </c>
      <c r="G500" t="s">
        <v>526</v>
      </c>
      <c r="H500" t="s">
        <v>526</v>
      </c>
      <c r="I500" t="s">
        <v>527</v>
      </c>
      <c r="J500" t="s">
        <v>428</v>
      </c>
      <c r="K500" t="s">
        <v>428</v>
      </c>
      <c r="L500" t="s">
        <v>428</v>
      </c>
      <c r="M500" t="s">
        <v>428</v>
      </c>
      <c r="N500">
        <v>146700</v>
      </c>
      <c r="O500">
        <f>INDEX(AllCollegeBarrons,MATCH(N500,AllCollegeNCES,0))</f>
        <v>0</v>
      </c>
      <c r="P500">
        <f>INDEX(KidGPAs,MATCH(B500,KidIDs,0))</f>
        <v>0</v>
      </c>
      <c r="Q500">
        <f>INDEX(KidACTs,MATCH(B500,KidIDs,0))</f>
        <v>0</v>
      </c>
      <c r="R500">
        <f>INDEX(Strats,MATCH(B500,KidIDs,0))</f>
        <v>0</v>
      </c>
      <c r="S500">
        <f>INDEX(KidRace,MATCH(B500,KidIDs,0))</f>
        <v>0</v>
      </c>
      <c r="T500">
        <f>IF(OR(S500="M",S500="I"),"H",S500)</f>
        <v>0</v>
      </c>
      <c r="U500">
        <f>INDEX(StudentTargets,MATCH(B500,KidIDs,0))</f>
        <v>0</v>
      </c>
      <c r="V500">
        <f>INDEX(ReachStudentTargets,MATCH(B500,KidIDs,0))</f>
        <v>0</v>
      </c>
      <c r="W500">
        <f>IF(OR(M500="Posse"),1,0)</f>
        <v>0</v>
      </c>
      <c r="X500">
        <f>IF(ISNUMBER(INDEX(AllCollegeGR, MATCH(N500,AllCollegeNCES,0))),ROUND(INDEX(AllCollegeGR, MATCH(N500,AllCollegeNCES,0))+W500*IF(INDEX(AllCollegeGR, MATCH(N500,AllCollegeNCES,0))&gt;0.7,(1-INDEX(AllCollegeGR, MATCH(N500,AllCollegeNCES,0)))/2,0.15),2),INDEX(AllCollegeGR, MATCH(N500,AllCollegeNCES,0)))</f>
        <v>0</v>
      </c>
      <c r="Y500">
        <f>IF(ISNUMBER(INDEX(AllCollegeAAHGR, MATCH(N500,AllCollegeNCES,0))),ROUND(INDEX(AllCollegeAAHGR, MATCH(N500,AllCollegeNCES,0))+W500*IF(INDEX(AllCollegeAAHGR, MATCH(N500,AllCollegeNCES,0))&gt;0.7,(1-INDEX(AllCollegeAAHGR, MATCH(N500,AllCollegeNCES,0)))/2,0.15),2),INDEX(AllCollegeAAHGR, MATCH(N500,AllCollegeNCES,0)))</f>
        <v>0</v>
      </c>
      <c r="Z500">
        <f>IF(OR(T500="H",T500="B"),INDEX(AllCollegeACT25, MATCH(N500,AllCollegeNCES,0)),INDEX(AllCollegeACT50, MATCH(N500,AllCollegeNCES,0)))</f>
        <v>0</v>
      </c>
      <c r="AA500">
        <f>INDEX(CustomWeightsGPA,MATCH(T500&amp;":"&amp;N500,CustomWeightsIndex,0))</f>
        <v>0</v>
      </c>
      <c r="AB500">
        <f>INDEX(CustomWeightsACT,MATCH(T500&amp;":"&amp;N500,CustomWeightsIndex,0))</f>
        <v>0</v>
      </c>
      <c r="AC500">
        <f>INDEX(CustomWeightsIntercept,MATCH(T500&amp;":"&amp;N500,CustomWeightsIndex,0))</f>
        <v>0</v>
      </c>
      <c r="AD500">
        <f>AA500*P500+AB500*Q500+AC500</f>
        <v>0</v>
      </c>
      <c r="AE500">
        <f>INDEX(CoefficientsGPA,MATCH(T500&amp;":"&amp;O500,CoefficientsIndex,0))</f>
        <v>0</v>
      </c>
      <c r="AF500">
        <f>INDEX(CoefficientsACT,MATCH(T500&amp;":"&amp;O500,CoefficientsIndex,0))</f>
        <v>0</v>
      </c>
      <c r="AG500">
        <f>INDEX(CoefficientsIntercept,MATCH(T500&amp;":"&amp;O500,CoefficientsIndex,0))</f>
        <v>0</v>
      </c>
      <c r="AH500">
        <f>AE500*P500+(Q500-Z500)*AF500+AG500</f>
        <v>0</v>
      </c>
      <c r="AI500">
        <f>IF(ISNUMBER(AD500),AD500,AH500)</f>
        <v>0</v>
      </c>
      <c r="AJ500">
        <f>IF(ISNUMBER(AI500),IF(ISNUMBER(AE500),IF(AND(AE500=1,AF500=1,AG500=1),100,ROUND(100*EXP(AI500)/(1+EXP(AI500)),2)),ROUND(100*EXP(AI500)/(1+EXP(AI500)),2)),IF(ISTEXT(O500),IF(LEFT(O500,1)="2",100,"N/A"),"N/A"))</f>
        <v>0</v>
      </c>
      <c r="AK500">
        <f>IF(ISNUMBER(AJ500),IF(AJ500&gt;=99,IF(OR(R500=10,R500=11),MatchLabel,SureThingLabel),IF(AJ500&gt;=95,SecureLabel,IF(AJ500&gt;=80,SafetyLabel,IF(AJ500&gt;=50,MatchLabel,IF(AJ500&gt;=20,ReachLabel,IF(AJ500&gt;=10,LongshotLabel,HailMaryLabel)))))),"Other")</f>
        <v>0</v>
      </c>
      <c r="AL500">
        <f>IF(OR(I500="accepted",I500="cond. accept",I500="summer admit"),IF(J500="yes","CHOICE!","Accepted!"),IF(I500="denied","Denied",IF(K500=1,"Waitlist",IF(L500=1,"Deferred",IF(G500="pending","Pending",IF(OR(G500="initial materials submitted",G500="mid-year submitted",G500="final submitted"),"Submitted",IF(H500="interest","Interest","?")))))))</f>
        <v>0</v>
      </c>
      <c r="AM500">
        <f>IF(OR(AK500=ReachLabel,AK500=LongshotLabel,AK500=HailMaryLabel),1,0)</f>
        <v>0</v>
      </c>
      <c r="AN500">
        <f>IF(OR(AM500=1,AK500=MatchLabel),1,0)</f>
        <v>0</v>
      </c>
      <c r="AO500">
        <f>IF(OR(AK500=MatchLabel,AK500=SafetyLabel,AK500=SecureLabel,AK500=SureThingLabel),1,0)</f>
        <v>0</v>
      </c>
      <c r="AP500">
        <f>IF(OR(T500="H",T500="B"),IF(ISNUMBER(Y500),ROUND(Y500,2),0),IF(ISNUMBER(X500),ROUND(X500,2),0))</f>
        <v>0</v>
      </c>
      <c r="AQ500">
        <f>IF(AP500&gt;=U500,1,0)</f>
        <v>0</v>
      </c>
      <c r="AR500">
        <f>IF(AP500&gt;=V500,1,0)</f>
        <v>0</v>
      </c>
      <c r="AS500">
        <f>IF(AP500&lt;(U500-0.10),1,0)</f>
        <v>0</v>
      </c>
      <c r="AT500">
        <f>1-AJ500/100</f>
        <v>0</v>
      </c>
      <c r="AU500">
        <f>IF(AN500=1,AT500,1)</f>
        <v>0</v>
      </c>
      <c r="AV500">
        <f>IF(AM500=1,AT500,1)</f>
        <v>0</v>
      </c>
      <c r="AW500">
        <f>IF(AND(AQ500=1,ISNUMBER(AT500)),$AT500,1)</f>
        <v>0</v>
      </c>
      <c r="AX500">
        <f>IF(AND(AR500=1,ISNUMBER(AT500)),$AT500,1)</f>
        <v>0</v>
      </c>
      <c r="AY500">
        <f>IF(ISNUMBER(Y500),INDEX(AllCollegeMoney, MATCH(N500,AllCollegeNCES,0)),0)</f>
        <v>0</v>
      </c>
      <c r="AZ500">
        <f>IF(AND(AQ500=1,ISNUMBER(AT500),AY500=1),$AT500,1)</f>
        <v>0</v>
      </c>
      <c r="BA500">
        <f>IF(AND(AR500=1,ISNUMBER(AT500),AY500=1),$AT500,1)</f>
        <v>0</v>
      </c>
      <c r="BB500">
        <f>IF(ISNUMBER(Y500),INDEX(AllCollegeILPub, MATCH(N500,AllCollegeNCES,0)),0)</f>
        <v>0</v>
      </c>
      <c r="BC500">
        <f>IF(AK500=ReachLabel,AP500,0)</f>
        <v>0</v>
      </c>
      <c r="BD500">
        <f>IF(AK500=MatchLabel,AP500,0)</f>
        <v>0</v>
      </c>
      <c r="BE500">
        <f>IF(AK500=SafetyLabel,AP500,0)</f>
        <v>0</v>
      </c>
      <c r="BF500">
        <f>IF(AK500=SecureLabel,AP500,0)</f>
        <v>0</v>
      </c>
      <c r="BG500">
        <f>IF(AK500=SureThingLabel,AP500,0)</f>
        <v>0</v>
      </c>
      <c r="BH500">
        <f>MAX(BC500:BG500)</f>
        <v>0</v>
      </c>
      <c r="BI500">
        <f>MAX(BD500:BG500)</f>
        <v>0</v>
      </c>
      <c r="BJ500">
        <f>MAX(BE500:BG500)</f>
        <v>0</v>
      </c>
      <c r="BK500">
        <f>IF(AND(AK500=ReachLabel,AY500=1),AP500,0)</f>
        <v>0</v>
      </c>
      <c r="BL500">
        <f>IF(AND(AK500=MatchLabel,AY500=1),AP500,0)</f>
        <v>0</v>
      </c>
      <c r="BM500">
        <f>IF(AND(AK500=SafetyLabel,AY500=1),AP500,0)</f>
        <v>0</v>
      </c>
      <c r="BN500">
        <f>IF(AND(AK500=SecureLabel,AY500=1),AP500,0)</f>
        <v>0</v>
      </c>
      <c r="BO500">
        <f>IF(AND(AK500=SureThingLabel,AY500=1),AP500,0)</f>
        <v>0</v>
      </c>
      <c r="BP500">
        <f>MAX(BK500:BO500)</f>
        <v>0</v>
      </c>
      <c r="BQ500">
        <f>MAX(BL500:BO500)</f>
        <v>0</v>
      </c>
      <c r="BR500">
        <f>MAX(BM500:BO500)</f>
        <v>0</v>
      </c>
      <c r="BS500">
        <f>IF(ISNUMBER(Y500),INDEX(AllCollegeChicago, MATCH(N500,AllCollegeNCES,0))*AY500,0)</f>
        <v>0</v>
      </c>
      <c r="BT500">
        <f>IF(ISNUMBER(Y500),INDEX(AllCollegeMoneyCode, MATCH(N500,AllCollegeNCES,0)),"?")</f>
        <v>0</v>
      </c>
      <c r="BU500">
        <f>IF(OR(BT500="---",BT500="--",BT500="+/--",BT500="+/---"),1,0)</f>
        <v>0</v>
      </c>
      <c r="BV500">
        <f>AY500*AO500*AQ500</f>
        <v>0</v>
      </c>
    </row>
    <row r="501" spans="1:74">
      <c r="A501" t="s">
        <v>86</v>
      </c>
      <c r="B501">
        <v>23473460</v>
      </c>
      <c r="C501" t="s">
        <v>239</v>
      </c>
      <c r="D501" t="s">
        <v>240</v>
      </c>
      <c r="E501" t="s">
        <v>428</v>
      </c>
      <c r="F501" t="s">
        <v>456</v>
      </c>
      <c r="G501" t="s">
        <v>430</v>
      </c>
      <c r="H501" t="s">
        <v>431</v>
      </c>
      <c r="I501" t="s">
        <v>432</v>
      </c>
      <c r="J501" t="s">
        <v>432</v>
      </c>
      <c r="K501">
        <v>0</v>
      </c>
      <c r="L501" t="s">
        <v>428</v>
      </c>
      <c r="M501" t="s">
        <v>428</v>
      </c>
      <c r="N501">
        <v>213668</v>
      </c>
      <c r="O501">
        <f>INDEX(AllCollegeBarrons,MATCH(N501,AllCollegeNCES,0))</f>
        <v>0</v>
      </c>
      <c r="P501">
        <f>INDEX(KidGPAs,MATCH(B501,KidIDs,0))</f>
        <v>0</v>
      </c>
      <c r="Q501">
        <f>INDEX(KidACTs,MATCH(B501,KidIDs,0))</f>
        <v>0</v>
      </c>
      <c r="R501">
        <f>INDEX(Strats,MATCH(B501,KidIDs,0))</f>
        <v>0</v>
      </c>
      <c r="S501">
        <f>INDEX(KidRace,MATCH(B501,KidIDs,0))</f>
        <v>0</v>
      </c>
      <c r="T501">
        <f>IF(OR(S501="M",S501="I"),"H",S501)</f>
        <v>0</v>
      </c>
      <c r="U501">
        <f>INDEX(StudentTargets,MATCH(B501,KidIDs,0))</f>
        <v>0</v>
      </c>
      <c r="V501">
        <f>INDEX(ReachStudentTargets,MATCH(B501,KidIDs,0))</f>
        <v>0</v>
      </c>
      <c r="W501">
        <f>IF(OR(M501="Posse"),1,0)</f>
        <v>0</v>
      </c>
      <c r="X501">
        <f>IF(ISNUMBER(INDEX(AllCollegeGR, MATCH(N501,AllCollegeNCES,0))),ROUND(INDEX(AllCollegeGR, MATCH(N501,AllCollegeNCES,0))+W501*IF(INDEX(AllCollegeGR, MATCH(N501,AllCollegeNCES,0))&gt;0.7,(1-INDEX(AllCollegeGR, MATCH(N501,AllCollegeNCES,0)))/2,0.15),2),INDEX(AllCollegeGR, MATCH(N501,AllCollegeNCES,0)))</f>
        <v>0</v>
      </c>
      <c r="Y501">
        <f>IF(ISNUMBER(INDEX(AllCollegeAAHGR, MATCH(N501,AllCollegeNCES,0))),ROUND(INDEX(AllCollegeAAHGR, MATCH(N501,AllCollegeNCES,0))+W501*IF(INDEX(AllCollegeAAHGR, MATCH(N501,AllCollegeNCES,0))&gt;0.7,(1-INDEX(AllCollegeAAHGR, MATCH(N501,AllCollegeNCES,0)))/2,0.15),2),INDEX(AllCollegeAAHGR, MATCH(N501,AllCollegeNCES,0)))</f>
        <v>0</v>
      </c>
      <c r="Z501">
        <f>IF(OR(T501="H",T501="B"),INDEX(AllCollegeACT25, MATCH(N501,AllCollegeNCES,0)),INDEX(AllCollegeACT50, MATCH(N501,AllCollegeNCES,0)))</f>
        <v>0</v>
      </c>
      <c r="AA501">
        <f>INDEX(CustomWeightsGPA,MATCH(T501&amp;":"&amp;N501,CustomWeightsIndex,0))</f>
        <v>0</v>
      </c>
      <c r="AB501">
        <f>INDEX(CustomWeightsACT,MATCH(T501&amp;":"&amp;N501,CustomWeightsIndex,0))</f>
        <v>0</v>
      </c>
      <c r="AC501">
        <f>INDEX(CustomWeightsIntercept,MATCH(T501&amp;":"&amp;N501,CustomWeightsIndex,0))</f>
        <v>0</v>
      </c>
      <c r="AD501">
        <f>AA501*P501+AB501*Q501+AC501</f>
        <v>0</v>
      </c>
      <c r="AE501">
        <f>INDEX(CoefficientsGPA,MATCH(T501&amp;":"&amp;O501,CoefficientsIndex,0))</f>
        <v>0</v>
      </c>
      <c r="AF501">
        <f>INDEX(CoefficientsACT,MATCH(T501&amp;":"&amp;O501,CoefficientsIndex,0))</f>
        <v>0</v>
      </c>
      <c r="AG501">
        <f>INDEX(CoefficientsIntercept,MATCH(T501&amp;":"&amp;O501,CoefficientsIndex,0))</f>
        <v>0</v>
      </c>
      <c r="AH501">
        <f>AE501*P501+(Q501-Z501)*AF501+AG501</f>
        <v>0</v>
      </c>
      <c r="AI501">
        <f>IF(ISNUMBER(AD501),AD501,AH501)</f>
        <v>0</v>
      </c>
      <c r="AJ501">
        <f>IF(ISNUMBER(AI501),IF(ISNUMBER(AE501),IF(AND(AE501=1,AF501=1,AG501=1),100,ROUND(100*EXP(AI501)/(1+EXP(AI501)),2)),ROUND(100*EXP(AI501)/(1+EXP(AI501)),2)),IF(ISTEXT(O501),IF(LEFT(O501,1)="2",100,"N/A"),"N/A"))</f>
        <v>0</v>
      </c>
      <c r="AK501">
        <f>IF(ISNUMBER(AJ501),IF(AJ501&gt;=99,IF(OR(R501=10,R501=11),MatchLabel,SureThingLabel),IF(AJ501&gt;=95,SecureLabel,IF(AJ501&gt;=80,SafetyLabel,IF(AJ501&gt;=50,MatchLabel,IF(AJ501&gt;=20,ReachLabel,IF(AJ501&gt;=10,LongshotLabel,HailMaryLabel)))))),"Other")</f>
        <v>0</v>
      </c>
      <c r="AL501">
        <f>IF(OR(I501="accepted",I501="cond. accept",I501="summer admit"),IF(J501="yes","CHOICE!","Accepted!"),IF(I501="denied","Denied",IF(K501=1,"Waitlist",IF(L501=1,"Deferred",IF(G501="pending","Pending",IF(OR(G501="initial materials submitted",G501="mid-year submitted",G501="final submitted"),"Submitted",IF(H501="interest","Interest","?")))))))</f>
        <v>0</v>
      </c>
      <c r="AM501">
        <f>IF(OR(AK501=ReachLabel,AK501=LongshotLabel,AK501=HailMaryLabel),1,0)</f>
        <v>0</v>
      </c>
      <c r="AN501">
        <f>IF(OR(AM501=1,AK501=MatchLabel),1,0)</f>
        <v>0</v>
      </c>
      <c r="AO501">
        <f>IF(OR(AK501=MatchLabel,AK501=SafetyLabel,AK501=SecureLabel,AK501=SureThingLabel),1,0)</f>
        <v>0</v>
      </c>
      <c r="AP501">
        <f>IF(OR(T501="H",T501="B"),IF(ISNUMBER(Y501),ROUND(Y501,2),0),IF(ISNUMBER(X501),ROUND(X501,2),0))</f>
        <v>0</v>
      </c>
      <c r="AQ501">
        <f>IF(AP501&gt;=U501,1,0)</f>
        <v>0</v>
      </c>
      <c r="AR501">
        <f>IF(AP501&gt;=V501,1,0)</f>
        <v>0</v>
      </c>
      <c r="AS501">
        <f>IF(AP501&lt;(U501-0.10),1,0)</f>
        <v>0</v>
      </c>
      <c r="AT501">
        <f>1-AJ501/100</f>
        <v>0</v>
      </c>
      <c r="AU501">
        <f>IF(AN501=1,AT501,1)</f>
        <v>0</v>
      </c>
      <c r="AV501">
        <f>IF(AM501=1,AT501,1)</f>
        <v>0</v>
      </c>
      <c r="AW501">
        <f>IF(AND(AQ501=1,ISNUMBER(AT501)),$AT501,1)</f>
        <v>0</v>
      </c>
      <c r="AX501">
        <f>IF(AND(AR501=1,ISNUMBER(AT501)),$AT501,1)</f>
        <v>0</v>
      </c>
      <c r="AY501">
        <f>IF(ISNUMBER(Y501),INDEX(AllCollegeMoney, MATCH(N501,AllCollegeNCES,0)),0)</f>
        <v>0</v>
      </c>
      <c r="AZ501">
        <f>IF(AND(AQ501=1,ISNUMBER(AT501),AY501=1),$AT501,1)</f>
        <v>0</v>
      </c>
      <c r="BA501">
        <f>IF(AND(AR501=1,ISNUMBER(AT501),AY501=1),$AT501,1)</f>
        <v>0</v>
      </c>
      <c r="BB501">
        <f>IF(ISNUMBER(Y501),INDEX(AllCollegeILPub, MATCH(N501,AllCollegeNCES,0)),0)</f>
        <v>0</v>
      </c>
      <c r="BC501">
        <f>IF(AK501=ReachLabel,AP501,0)</f>
        <v>0</v>
      </c>
      <c r="BD501">
        <f>IF(AK501=MatchLabel,AP501,0)</f>
        <v>0</v>
      </c>
      <c r="BE501">
        <f>IF(AK501=SafetyLabel,AP501,0)</f>
        <v>0</v>
      </c>
      <c r="BF501">
        <f>IF(AK501=SecureLabel,AP501,0)</f>
        <v>0</v>
      </c>
      <c r="BG501">
        <f>IF(AK501=SureThingLabel,AP501,0)</f>
        <v>0</v>
      </c>
      <c r="BH501">
        <f>MAX(BC501:BG501)</f>
        <v>0</v>
      </c>
      <c r="BI501">
        <f>MAX(BD501:BG501)</f>
        <v>0</v>
      </c>
      <c r="BJ501">
        <f>MAX(BE501:BG501)</f>
        <v>0</v>
      </c>
      <c r="BK501">
        <f>IF(AND(AK501=ReachLabel,AY501=1),AP501,0)</f>
        <v>0</v>
      </c>
      <c r="BL501">
        <f>IF(AND(AK501=MatchLabel,AY501=1),AP501,0)</f>
        <v>0</v>
      </c>
      <c r="BM501">
        <f>IF(AND(AK501=SafetyLabel,AY501=1),AP501,0)</f>
        <v>0</v>
      </c>
      <c r="BN501">
        <f>IF(AND(AK501=SecureLabel,AY501=1),AP501,0)</f>
        <v>0</v>
      </c>
      <c r="BO501">
        <f>IF(AND(AK501=SureThingLabel,AY501=1),AP501,0)</f>
        <v>0</v>
      </c>
      <c r="BP501">
        <f>MAX(BK501:BO501)</f>
        <v>0</v>
      </c>
      <c r="BQ501">
        <f>MAX(BL501:BO501)</f>
        <v>0</v>
      </c>
      <c r="BR501">
        <f>MAX(BM501:BO501)</f>
        <v>0</v>
      </c>
      <c r="BS501">
        <f>IF(ISNUMBER(Y501),INDEX(AllCollegeChicago, MATCH(N501,AllCollegeNCES,0))*AY501,0)</f>
        <v>0</v>
      </c>
      <c r="BT501">
        <f>IF(ISNUMBER(Y501),INDEX(AllCollegeMoneyCode, MATCH(N501,AllCollegeNCES,0)),"?")</f>
        <v>0</v>
      </c>
      <c r="BU501">
        <f>IF(OR(BT501="---",BT501="--",BT501="+/--",BT501="+/---"),1,0)</f>
        <v>0</v>
      </c>
      <c r="BV501">
        <f>AY501*AO501*AQ501</f>
        <v>0</v>
      </c>
    </row>
    <row r="502" spans="1:74">
      <c r="A502" t="s">
        <v>86</v>
      </c>
      <c r="B502">
        <v>23473460</v>
      </c>
      <c r="C502" t="s">
        <v>239</v>
      </c>
      <c r="D502" t="s">
        <v>240</v>
      </c>
      <c r="E502" t="s">
        <v>428</v>
      </c>
      <c r="F502" t="s">
        <v>486</v>
      </c>
      <c r="G502" t="s">
        <v>430</v>
      </c>
      <c r="H502" t="s">
        <v>431</v>
      </c>
      <c r="I502" t="s">
        <v>432</v>
      </c>
      <c r="J502" t="s">
        <v>432</v>
      </c>
      <c r="K502">
        <v>0</v>
      </c>
      <c r="L502" t="s">
        <v>428</v>
      </c>
      <c r="M502" t="s">
        <v>428</v>
      </c>
      <c r="N502">
        <v>238333</v>
      </c>
      <c r="O502">
        <f>INDEX(AllCollegeBarrons,MATCH(N502,AllCollegeNCES,0))</f>
        <v>0</v>
      </c>
      <c r="P502">
        <f>INDEX(KidGPAs,MATCH(B502,KidIDs,0))</f>
        <v>0</v>
      </c>
      <c r="Q502">
        <f>INDEX(KidACTs,MATCH(B502,KidIDs,0))</f>
        <v>0</v>
      </c>
      <c r="R502">
        <f>INDEX(Strats,MATCH(B502,KidIDs,0))</f>
        <v>0</v>
      </c>
      <c r="S502">
        <f>INDEX(KidRace,MATCH(B502,KidIDs,0))</f>
        <v>0</v>
      </c>
      <c r="T502">
        <f>IF(OR(S502="M",S502="I"),"H",S502)</f>
        <v>0</v>
      </c>
      <c r="U502">
        <f>INDEX(StudentTargets,MATCH(B502,KidIDs,0))</f>
        <v>0</v>
      </c>
      <c r="V502">
        <f>INDEX(ReachStudentTargets,MATCH(B502,KidIDs,0))</f>
        <v>0</v>
      </c>
      <c r="W502">
        <f>IF(OR(M502="Posse"),1,0)</f>
        <v>0</v>
      </c>
      <c r="X502">
        <f>IF(ISNUMBER(INDEX(AllCollegeGR, MATCH(N502,AllCollegeNCES,0))),ROUND(INDEX(AllCollegeGR, MATCH(N502,AllCollegeNCES,0))+W502*IF(INDEX(AllCollegeGR, MATCH(N502,AllCollegeNCES,0))&gt;0.7,(1-INDEX(AllCollegeGR, MATCH(N502,AllCollegeNCES,0)))/2,0.15),2),INDEX(AllCollegeGR, MATCH(N502,AllCollegeNCES,0)))</f>
        <v>0</v>
      </c>
      <c r="Y502">
        <f>IF(ISNUMBER(INDEX(AllCollegeAAHGR, MATCH(N502,AllCollegeNCES,0))),ROUND(INDEX(AllCollegeAAHGR, MATCH(N502,AllCollegeNCES,0))+W502*IF(INDEX(AllCollegeAAHGR, MATCH(N502,AllCollegeNCES,0))&gt;0.7,(1-INDEX(AllCollegeAAHGR, MATCH(N502,AllCollegeNCES,0)))/2,0.15),2),INDEX(AllCollegeAAHGR, MATCH(N502,AllCollegeNCES,0)))</f>
        <v>0</v>
      </c>
      <c r="Z502">
        <f>IF(OR(T502="H",T502="B"),INDEX(AllCollegeACT25, MATCH(N502,AllCollegeNCES,0)),INDEX(AllCollegeACT50, MATCH(N502,AllCollegeNCES,0)))</f>
        <v>0</v>
      </c>
      <c r="AA502">
        <f>INDEX(CustomWeightsGPA,MATCH(T502&amp;":"&amp;N502,CustomWeightsIndex,0))</f>
        <v>0</v>
      </c>
      <c r="AB502">
        <f>INDEX(CustomWeightsACT,MATCH(T502&amp;":"&amp;N502,CustomWeightsIndex,0))</f>
        <v>0</v>
      </c>
      <c r="AC502">
        <f>INDEX(CustomWeightsIntercept,MATCH(T502&amp;":"&amp;N502,CustomWeightsIndex,0))</f>
        <v>0</v>
      </c>
      <c r="AD502">
        <f>AA502*P502+AB502*Q502+AC502</f>
        <v>0</v>
      </c>
      <c r="AE502">
        <f>INDEX(CoefficientsGPA,MATCH(T502&amp;":"&amp;O502,CoefficientsIndex,0))</f>
        <v>0</v>
      </c>
      <c r="AF502">
        <f>INDEX(CoefficientsACT,MATCH(T502&amp;":"&amp;O502,CoefficientsIndex,0))</f>
        <v>0</v>
      </c>
      <c r="AG502">
        <f>INDEX(CoefficientsIntercept,MATCH(T502&amp;":"&amp;O502,CoefficientsIndex,0))</f>
        <v>0</v>
      </c>
      <c r="AH502">
        <f>AE502*P502+(Q502-Z502)*AF502+AG502</f>
        <v>0</v>
      </c>
      <c r="AI502">
        <f>IF(ISNUMBER(AD502),AD502,AH502)</f>
        <v>0</v>
      </c>
      <c r="AJ502">
        <f>IF(ISNUMBER(AI502),IF(ISNUMBER(AE502),IF(AND(AE502=1,AF502=1,AG502=1),100,ROUND(100*EXP(AI502)/(1+EXP(AI502)),2)),ROUND(100*EXP(AI502)/(1+EXP(AI502)),2)),IF(ISTEXT(O502),IF(LEFT(O502,1)="2",100,"N/A"),"N/A"))</f>
        <v>0</v>
      </c>
      <c r="AK502">
        <f>IF(ISNUMBER(AJ502),IF(AJ502&gt;=99,IF(OR(R502=10,R502=11),MatchLabel,SureThingLabel),IF(AJ502&gt;=95,SecureLabel,IF(AJ502&gt;=80,SafetyLabel,IF(AJ502&gt;=50,MatchLabel,IF(AJ502&gt;=20,ReachLabel,IF(AJ502&gt;=10,LongshotLabel,HailMaryLabel)))))),"Other")</f>
        <v>0</v>
      </c>
      <c r="AL502">
        <f>IF(OR(I502="accepted",I502="cond. accept",I502="summer admit"),IF(J502="yes","CHOICE!","Accepted!"),IF(I502="denied","Denied",IF(K502=1,"Waitlist",IF(L502=1,"Deferred",IF(G502="pending","Pending",IF(OR(G502="initial materials submitted",G502="mid-year submitted",G502="final submitted"),"Submitted",IF(H502="interest","Interest","?")))))))</f>
        <v>0</v>
      </c>
      <c r="AM502">
        <f>IF(OR(AK502=ReachLabel,AK502=LongshotLabel,AK502=HailMaryLabel),1,0)</f>
        <v>0</v>
      </c>
      <c r="AN502">
        <f>IF(OR(AM502=1,AK502=MatchLabel),1,0)</f>
        <v>0</v>
      </c>
      <c r="AO502">
        <f>IF(OR(AK502=MatchLabel,AK502=SafetyLabel,AK502=SecureLabel,AK502=SureThingLabel),1,0)</f>
        <v>0</v>
      </c>
      <c r="AP502">
        <f>IF(OR(T502="H",T502="B"),IF(ISNUMBER(Y502),ROUND(Y502,2),0),IF(ISNUMBER(X502),ROUND(X502,2),0))</f>
        <v>0</v>
      </c>
      <c r="AQ502">
        <f>IF(AP502&gt;=U502,1,0)</f>
        <v>0</v>
      </c>
      <c r="AR502">
        <f>IF(AP502&gt;=V502,1,0)</f>
        <v>0</v>
      </c>
      <c r="AS502">
        <f>IF(AP502&lt;(U502-0.10),1,0)</f>
        <v>0</v>
      </c>
      <c r="AT502">
        <f>1-AJ502/100</f>
        <v>0</v>
      </c>
      <c r="AU502">
        <f>IF(AN502=1,AT502,1)</f>
        <v>0</v>
      </c>
      <c r="AV502">
        <f>IF(AM502=1,AT502,1)</f>
        <v>0</v>
      </c>
      <c r="AW502">
        <f>IF(AND(AQ502=1,ISNUMBER(AT502)),$AT502,1)</f>
        <v>0</v>
      </c>
      <c r="AX502">
        <f>IF(AND(AR502=1,ISNUMBER(AT502)),$AT502,1)</f>
        <v>0</v>
      </c>
      <c r="AY502">
        <f>IF(ISNUMBER(Y502),INDEX(AllCollegeMoney, MATCH(N502,AllCollegeNCES,0)),0)</f>
        <v>0</v>
      </c>
      <c r="AZ502">
        <f>IF(AND(AQ502=1,ISNUMBER(AT502),AY502=1),$AT502,1)</f>
        <v>0</v>
      </c>
      <c r="BA502">
        <f>IF(AND(AR502=1,ISNUMBER(AT502),AY502=1),$AT502,1)</f>
        <v>0</v>
      </c>
      <c r="BB502">
        <f>IF(ISNUMBER(Y502),INDEX(AllCollegeILPub, MATCH(N502,AllCollegeNCES,0)),0)</f>
        <v>0</v>
      </c>
      <c r="BC502">
        <f>IF(AK502=ReachLabel,AP502,0)</f>
        <v>0</v>
      </c>
      <c r="BD502">
        <f>IF(AK502=MatchLabel,AP502,0)</f>
        <v>0</v>
      </c>
      <c r="BE502">
        <f>IF(AK502=SafetyLabel,AP502,0)</f>
        <v>0</v>
      </c>
      <c r="BF502">
        <f>IF(AK502=SecureLabel,AP502,0)</f>
        <v>0</v>
      </c>
      <c r="BG502">
        <f>IF(AK502=SureThingLabel,AP502,0)</f>
        <v>0</v>
      </c>
      <c r="BH502">
        <f>MAX(BC502:BG502)</f>
        <v>0</v>
      </c>
      <c r="BI502">
        <f>MAX(BD502:BG502)</f>
        <v>0</v>
      </c>
      <c r="BJ502">
        <f>MAX(BE502:BG502)</f>
        <v>0</v>
      </c>
      <c r="BK502">
        <f>IF(AND(AK502=ReachLabel,AY502=1),AP502,0)</f>
        <v>0</v>
      </c>
      <c r="BL502">
        <f>IF(AND(AK502=MatchLabel,AY502=1),AP502,0)</f>
        <v>0</v>
      </c>
      <c r="BM502">
        <f>IF(AND(AK502=SafetyLabel,AY502=1),AP502,0)</f>
        <v>0</v>
      </c>
      <c r="BN502">
        <f>IF(AND(AK502=SecureLabel,AY502=1),AP502,0)</f>
        <v>0</v>
      </c>
      <c r="BO502">
        <f>IF(AND(AK502=SureThingLabel,AY502=1),AP502,0)</f>
        <v>0</v>
      </c>
      <c r="BP502">
        <f>MAX(BK502:BO502)</f>
        <v>0</v>
      </c>
      <c r="BQ502">
        <f>MAX(BL502:BO502)</f>
        <v>0</v>
      </c>
      <c r="BR502">
        <f>MAX(BM502:BO502)</f>
        <v>0</v>
      </c>
      <c r="BS502">
        <f>IF(ISNUMBER(Y502),INDEX(AllCollegeChicago, MATCH(N502,AllCollegeNCES,0))*AY502,0)</f>
        <v>0</v>
      </c>
      <c r="BT502">
        <f>IF(ISNUMBER(Y502),INDEX(AllCollegeMoneyCode, MATCH(N502,AllCollegeNCES,0)),"?")</f>
        <v>0</v>
      </c>
      <c r="BU502">
        <f>IF(OR(BT502="---",BT502="--",BT502="+/--",BT502="+/---"),1,0)</f>
        <v>0</v>
      </c>
      <c r="BV502">
        <f>AY502*AO502*AQ502</f>
        <v>0</v>
      </c>
    </row>
    <row r="503" spans="1:74">
      <c r="A503" t="s">
        <v>86</v>
      </c>
      <c r="B503">
        <v>23473460</v>
      </c>
      <c r="C503" t="s">
        <v>239</v>
      </c>
      <c r="D503" t="s">
        <v>240</v>
      </c>
      <c r="E503" t="s">
        <v>428</v>
      </c>
      <c r="F503" t="s">
        <v>457</v>
      </c>
      <c r="G503" t="s">
        <v>430</v>
      </c>
      <c r="H503" t="s">
        <v>431</v>
      </c>
      <c r="I503" t="s">
        <v>432</v>
      </c>
      <c r="J503" t="s">
        <v>432</v>
      </c>
      <c r="K503">
        <v>0</v>
      </c>
      <c r="L503" t="s">
        <v>428</v>
      </c>
      <c r="M503" t="s">
        <v>428</v>
      </c>
      <c r="N503">
        <v>145637</v>
      </c>
      <c r="O503">
        <f>INDEX(AllCollegeBarrons,MATCH(N503,AllCollegeNCES,0))</f>
        <v>0</v>
      </c>
      <c r="P503">
        <f>INDEX(KidGPAs,MATCH(B503,KidIDs,0))</f>
        <v>0</v>
      </c>
      <c r="Q503">
        <f>INDEX(KidACTs,MATCH(B503,KidIDs,0))</f>
        <v>0</v>
      </c>
      <c r="R503">
        <f>INDEX(Strats,MATCH(B503,KidIDs,0))</f>
        <v>0</v>
      </c>
      <c r="S503">
        <f>INDEX(KidRace,MATCH(B503,KidIDs,0))</f>
        <v>0</v>
      </c>
      <c r="T503">
        <f>IF(OR(S503="M",S503="I"),"H",S503)</f>
        <v>0</v>
      </c>
      <c r="U503">
        <f>INDEX(StudentTargets,MATCH(B503,KidIDs,0))</f>
        <v>0</v>
      </c>
      <c r="V503">
        <f>INDEX(ReachStudentTargets,MATCH(B503,KidIDs,0))</f>
        <v>0</v>
      </c>
      <c r="W503">
        <f>IF(OR(M503="Posse"),1,0)</f>
        <v>0</v>
      </c>
      <c r="X503">
        <f>IF(ISNUMBER(INDEX(AllCollegeGR, MATCH(N503,AllCollegeNCES,0))),ROUND(INDEX(AllCollegeGR, MATCH(N503,AllCollegeNCES,0))+W503*IF(INDEX(AllCollegeGR, MATCH(N503,AllCollegeNCES,0))&gt;0.7,(1-INDEX(AllCollegeGR, MATCH(N503,AllCollegeNCES,0)))/2,0.15),2),INDEX(AllCollegeGR, MATCH(N503,AllCollegeNCES,0)))</f>
        <v>0</v>
      </c>
      <c r="Y503">
        <f>IF(ISNUMBER(INDEX(AllCollegeAAHGR, MATCH(N503,AllCollegeNCES,0))),ROUND(INDEX(AllCollegeAAHGR, MATCH(N503,AllCollegeNCES,0))+W503*IF(INDEX(AllCollegeAAHGR, MATCH(N503,AllCollegeNCES,0))&gt;0.7,(1-INDEX(AllCollegeAAHGR, MATCH(N503,AllCollegeNCES,0)))/2,0.15),2),INDEX(AllCollegeAAHGR, MATCH(N503,AllCollegeNCES,0)))</f>
        <v>0</v>
      </c>
      <c r="Z503">
        <f>IF(OR(T503="H",T503="B"),INDEX(AllCollegeACT25, MATCH(N503,AllCollegeNCES,0)),INDEX(AllCollegeACT50, MATCH(N503,AllCollegeNCES,0)))</f>
        <v>0</v>
      </c>
      <c r="AA503">
        <f>INDEX(CustomWeightsGPA,MATCH(T503&amp;":"&amp;N503,CustomWeightsIndex,0))</f>
        <v>0</v>
      </c>
      <c r="AB503">
        <f>INDEX(CustomWeightsACT,MATCH(T503&amp;":"&amp;N503,CustomWeightsIndex,0))</f>
        <v>0</v>
      </c>
      <c r="AC503">
        <f>INDEX(CustomWeightsIntercept,MATCH(T503&amp;":"&amp;N503,CustomWeightsIndex,0))</f>
        <v>0</v>
      </c>
      <c r="AD503">
        <f>AA503*P503+AB503*Q503+AC503</f>
        <v>0</v>
      </c>
      <c r="AE503">
        <f>INDEX(CoefficientsGPA,MATCH(T503&amp;":"&amp;O503,CoefficientsIndex,0))</f>
        <v>0</v>
      </c>
      <c r="AF503">
        <f>INDEX(CoefficientsACT,MATCH(T503&amp;":"&amp;O503,CoefficientsIndex,0))</f>
        <v>0</v>
      </c>
      <c r="AG503">
        <f>INDEX(CoefficientsIntercept,MATCH(T503&amp;":"&amp;O503,CoefficientsIndex,0))</f>
        <v>0</v>
      </c>
      <c r="AH503">
        <f>AE503*P503+(Q503-Z503)*AF503+AG503</f>
        <v>0</v>
      </c>
      <c r="AI503">
        <f>IF(ISNUMBER(AD503),AD503,AH503)</f>
        <v>0</v>
      </c>
      <c r="AJ503">
        <f>IF(ISNUMBER(AI503),IF(ISNUMBER(AE503),IF(AND(AE503=1,AF503=1,AG503=1),100,ROUND(100*EXP(AI503)/(1+EXP(AI503)),2)),ROUND(100*EXP(AI503)/(1+EXP(AI503)),2)),IF(ISTEXT(O503),IF(LEFT(O503,1)="2",100,"N/A"),"N/A"))</f>
        <v>0</v>
      </c>
      <c r="AK503">
        <f>IF(ISNUMBER(AJ503),IF(AJ503&gt;=99,IF(OR(R503=10,R503=11),MatchLabel,SureThingLabel),IF(AJ503&gt;=95,SecureLabel,IF(AJ503&gt;=80,SafetyLabel,IF(AJ503&gt;=50,MatchLabel,IF(AJ503&gt;=20,ReachLabel,IF(AJ503&gt;=10,LongshotLabel,HailMaryLabel)))))),"Other")</f>
        <v>0</v>
      </c>
      <c r="AL503">
        <f>IF(OR(I503="accepted",I503="cond. accept",I503="summer admit"),IF(J503="yes","CHOICE!","Accepted!"),IF(I503="denied","Denied",IF(K503=1,"Waitlist",IF(L503=1,"Deferred",IF(G503="pending","Pending",IF(OR(G503="initial materials submitted",G503="mid-year submitted",G503="final submitted"),"Submitted",IF(H503="interest","Interest","?")))))))</f>
        <v>0</v>
      </c>
      <c r="AM503">
        <f>IF(OR(AK503=ReachLabel,AK503=LongshotLabel,AK503=HailMaryLabel),1,0)</f>
        <v>0</v>
      </c>
      <c r="AN503">
        <f>IF(OR(AM503=1,AK503=MatchLabel),1,0)</f>
        <v>0</v>
      </c>
      <c r="AO503">
        <f>IF(OR(AK503=MatchLabel,AK503=SafetyLabel,AK503=SecureLabel,AK503=SureThingLabel),1,0)</f>
        <v>0</v>
      </c>
      <c r="AP503">
        <f>IF(OR(T503="H",T503="B"),IF(ISNUMBER(Y503),ROUND(Y503,2),0),IF(ISNUMBER(X503),ROUND(X503,2),0))</f>
        <v>0</v>
      </c>
      <c r="AQ503">
        <f>IF(AP503&gt;=U503,1,0)</f>
        <v>0</v>
      </c>
      <c r="AR503">
        <f>IF(AP503&gt;=V503,1,0)</f>
        <v>0</v>
      </c>
      <c r="AS503">
        <f>IF(AP503&lt;(U503-0.10),1,0)</f>
        <v>0</v>
      </c>
      <c r="AT503">
        <f>1-AJ503/100</f>
        <v>0</v>
      </c>
      <c r="AU503">
        <f>IF(AN503=1,AT503,1)</f>
        <v>0</v>
      </c>
      <c r="AV503">
        <f>IF(AM503=1,AT503,1)</f>
        <v>0</v>
      </c>
      <c r="AW503">
        <f>IF(AND(AQ503=1,ISNUMBER(AT503)),$AT503,1)</f>
        <v>0</v>
      </c>
      <c r="AX503">
        <f>IF(AND(AR503=1,ISNUMBER(AT503)),$AT503,1)</f>
        <v>0</v>
      </c>
      <c r="AY503">
        <f>IF(ISNUMBER(Y503),INDEX(AllCollegeMoney, MATCH(N503,AllCollegeNCES,0)),0)</f>
        <v>0</v>
      </c>
      <c r="AZ503">
        <f>IF(AND(AQ503=1,ISNUMBER(AT503),AY503=1),$AT503,1)</f>
        <v>0</v>
      </c>
      <c r="BA503">
        <f>IF(AND(AR503=1,ISNUMBER(AT503),AY503=1),$AT503,1)</f>
        <v>0</v>
      </c>
      <c r="BB503">
        <f>IF(ISNUMBER(Y503),INDEX(AllCollegeILPub, MATCH(N503,AllCollegeNCES,0)),0)</f>
        <v>0</v>
      </c>
      <c r="BC503">
        <f>IF(AK503=ReachLabel,AP503,0)</f>
        <v>0</v>
      </c>
      <c r="BD503">
        <f>IF(AK503=MatchLabel,AP503,0)</f>
        <v>0</v>
      </c>
      <c r="BE503">
        <f>IF(AK503=SafetyLabel,AP503,0)</f>
        <v>0</v>
      </c>
      <c r="BF503">
        <f>IF(AK503=SecureLabel,AP503,0)</f>
        <v>0</v>
      </c>
      <c r="BG503">
        <f>IF(AK503=SureThingLabel,AP503,0)</f>
        <v>0</v>
      </c>
      <c r="BH503">
        <f>MAX(BC503:BG503)</f>
        <v>0</v>
      </c>
      <c r="BI503">
        <f>MAX(BD503:BG503)</f>
        <v>0</v>
      </c>
      <c r="BJ503">
        <f>MAX(BE503:BG503)</f>
        <v>0</v>
      </c>
      <c r="BK503">
        <f>IF(AND(AK503=ReachLabel,AY503=1),AP503,0)</f>
        <v>0</v>
      </c>
      <c r="BL503">
        <f>IF(AND(AK503=MatchLabel,AY503=1),AP503,0)</f>
        <v>0</v>
      </c>
      <c r="BM503">
        <f>IF(AND(AK503=SafetyLabel,AY503=1),AP503,0)</f>
        <v>0</v>
      </c>
      <c r="BN503">
        <f>IF(AND(AK503=SecureLabel,AY503=1),AP503,0)</f>
        <v>0</v>
      </c>
      <c r="BO503">
        <f>IF(AND(AK503=SureThingLabel,AY503=1),AP503,0)</f>
        <v>0</v>
      </c>
      <c r="BP503">
        <f>MAX(BK503:BO503)</f>
        <v>0</v>
      </c>
      <c r="BQ503">
        <f>MAX(BL503:BO503)</f>
        <v>0</v>
      </c>
      <c r="BR503">
        <f>MAX(BM503:BO503)</f>
        <v>0</v>
      </c>
      <c r="BS503">
        <f>IF(ISNUMBER(Y503),INDEX(AllCollegeChicago, MATCH(N503,AllCollegeNCES,0))*AY503,0)</f>
        <v>0</v>
      </c>
      <c r="BT503">
        <f>IF(ISNUMBER(Y503),INDEX(AllCollegeMoneyCode, MATCH(N503,AllCollegeNCES,0)),"?")</f>
        <v>0</v>
      </c>
      <c r="BU503">
        <f>IF(OR(BT503="---",BT503="--",BT503="+/--",BT503="+/---"),1,0)</f>
        <v>0</v>
      </c>
      <c r="BV503">
        <f>AY503*AO503*AQ503</f>
        <v>0</v>
      </c>
    </row>
    <row r="504" spans="1:74">
      <c r="A504" t="s">
        <v>86</v>
      </c>
      <c r="B504">
        <v>23473460</v>
      </c>
      <c r="C504" t="s">
        <v>239</v>
      </c>
      <c r="D504" t="s">
        <v>240</v>
      </c>
      <c r="E504" t="s">
        <v>428</v>
      </c>
      <c r="F504" t="s">
        <v>459</v>
      </c>
      <c r="G504" t="s">
        <v>430</v>
      </c>
      <c r="H504" t="s">
        <v>431</v>
      </c>
      <c r="I504" t="s">
        <v>432</v>
      </c>
      <c r="J504" t="s">
        <v>432</v>
      </c>
      <c r="K504">
        <v>0</v>
      </c>
      <c r="L504" t="s">
        <v>428</v>
      </c>
      <c r="M504" t="s">
        <v>428</v>
      </c>
      <c r="N504">
        <v>146427</v>
      </c>
      <c r="O504">
        <f>INDEX(AllCollegeBarrons,MATCH(N504,AllCollegeNCES,0))</f>
        <v>0</v>
      </c>
      <c r="P504">
        <f>INDEX(KidGPAs,MATCH(B504,KidIDs,0))</f>
        <v>0</v>
      </c>
      <c r="Q504">
        <f>INDEX(KidACTs,MATCH(B504,KidIDs,0))</f>
        <v>0</v>
      </c>
      <c r="R504">
        <f>INDEX(Strats,MATCH(B504,KidIDs,0))</f>
        <v>0</v>
      </c>
      <c r="S504">
        <f>INDEX(KidRace,MATCH(B504,KidIDs,0))</f>
        <v>0</v>
      </c>
      <c r="T504">
        <f>IF(OR(S504="M",S504="I"),"H",S504)</f>
        <v>0</v>
      </c>
      <c r="U504">
        <f>INDEX(StudentTargets,MATCH(B504,KidIDs,0))</f>
        <v>0</v>
      </c>
      <c r="V504">
        <f>INDEX(ReachStudentTargets,MATCH(B504,KidIDs,0))</f>
        <v>0</v>
      </c>
      <c r="W504">
        <f>IF(OR(M504="Posse"),1,0)</f>
        <v>0</v>
      </c>
      <c r="X504">
        <f>IF(ISNUMBER(INDEX(AllCollegeGR, MATCH(N504,AllCollegeNCES,0))),ROUND(INDEX(AllCollegeGR, MATCH(N504,AllCollegeNCES,0))+W504*IF(INDEX(AllCollegeGR, MATCH(N504,AllCollegeNCES,0))&gt;0.7,(1-INDEX(AllCollegeGR, MATCH(N504,AllCollegeNCES,0)))/2,0.15),2),INDEX(AllCollegeGR, MATCH(N504,AllCollegeNCES,0)))</f>
        <v>0</v>
      </c>
      <c r="Y504">
        <f>IF(ISNUMBER(INDEX(AllCollegeAAHGR, MATCH(N504,AllCollegeNCES,0))),ROUND(INDEX(AllCollegeAAHGR, MATCH(N504,AllCollegeNCES,0))+W504*IF(INDEX(AllCollegeAAHGR, MATCH(N504,AllCollegeNCES,0))&gt;0.7,(1-INDEX(AllCollegeAAHGR, MATCH(N504,AllCollegeNCES,0)))/2,0.15),2),INDEX(AllCollegeAAHGR, MATCH(N504,AllCollegeNCES,0)))</f>
        <v>0</v>
      </c>
      <c r="Z504">
        <f>IF(OR(T504="H",T504="B"),INDEX(AllCollegeACT25, MATCH(N504,AllCollegeNCES,0)),INDEX(AllCollegeACT50, MATCH(N504,AllCollegeNCES,0)))</f>
        <v>0</v>
      </c>
      <c r="AA504">
        <f>INDEX(CustomWeightsGPA,MATCH(T504&amp;":"&amp;N504,CustomWeightsIndex,0))</f>
        <v>0</v>
      </c>
      <c r="AB504">
        <f>INDEX(CustomWeightsACT,MATCH(T504&amp;":"&amp;N504,CustomWeightsIndex,0))</f>
        <v>0</v>
      </c>
      <c r="AC504">
        <f>INDEX(CustomWeightsIntercept,MATCH(T504&amp;":"&amp;N504,CustomWeightsIndex,0))</f>
        <v>0</v>
      </c>
      <c r="AD504">
        <f>AA504*P504+AB504*Q504+AC504</f>
        <v>0</v>
      </c>
      <c r="AE504">
        <f>INDEX(CoefficientsGPA,MATCH(T504&amp;":"&amp;O504,CoefficientsIndex,0))</f>
        <v>0</v>
      </c>
      <c r="AF504">
        <f>INDEX(CoefficientsACT,MATCH(T504&amp;":"&amp;O504,CoefficientsIndex,0))</f>
        <v>0</v>
      </c>
      <c r="AG504">
        <f>INDEX(CoefficientsIntercept,MATCH(T504&amp;":"&amp;O504,CoefficientsIndex,0))</f>
        <v>0</v>
      </c>
      <c r="AH504">
        <f>AE504*P504+(Q504-Z504)*AF504+AG504</f>
        <v>0</v>
      </c>
      <c r="AI504">
        <f>IF(ISNUMBER(AD504),AD504,AH504)</f>
        <v>0</v>
      </c>
      <c r="AJ504">
        <f>IF(ISNUMBER(AI504),IF(ISNUMBER(AE504),IF(AND(AE504=1,AF504=1,AG504=1),100,ROUND(100*EXP(AI504)/(1+EXP(AI504)),2)),ROUND(100*EXP(AI504)/(1+EXP(AI504)),2)),IF(ISTEXT(O504),IF(LEFT(O504,1)="2",100,"N/A"),"N/A"))</f>
        <v>0</v>
      </c>
      <c r="AK504">
        <f>IF(ISNUMBER(AJ504),IF(AJ504&gt;=99,IF(OR(R504=10,R504=11),MatchLabel,SureThingLabel),IF(AJ504&gt;=95,SecureLabel,IF(AJ504&gt;=80,SafetyLabel,IF(AJ504&gt;=50,MatchLabel,IF(AJ504&gt;=20,ReachLabel,IF(AJ504&gt;=10,LongshotLabel,HailMaryLabel)))))),"Other")</f>
        <v>0</v>
      </c>
      <c r="AL504">
        <f>IF(OR(I504="accepted",I504="cond. accept",I504="summer admit"),IF(J504="yes","CHOICE!","Accepted!"),IF(I504="denied","Denied",IF(K504=1,"Waitlist",IF(L504=1,"Deferred",IF(G504="pending","Pending",IF(OR(G504="initial materials submitted",G504="mid-year submitted",G504="final submitted"),"Submitted",IF(H504="interest","Interest","?")))))))</f>
        <v>0</v>
      </c>
      <c r="AM504">
        <f>IF(OR(AK504=ReachLabel,AK504=LongshotLabel,AK504=HailMaryLabel),1,0)</f>
        <v>0</v>
      </c>
      <c r="AN504">
        <f>IF(OR(AM504=1,AK504=MatchLabel),1,0)</f>
        <v>0</v>
      </c>
      <c r="AO504">
        <f>IF(OR(AK504=MatchLabel,AK504=SafetyLabel,AK504=SecureLabel,AK504=SureThingLabel),1,0)</f>
        <v>0</v>
      </c>
      <c r="AP504">
        <f>IF(OR(T504="H",T504="B"),IF(ISNUMBER(Y504),ROUND(Y504,2),0),IF(ISNUMBER(X504),ROUND(X504,2),0))</f>
        <v>0</v>
      </c>
      <c r="AQ504">
        <f>IF(AP504&gt;=U504,1,0)</f>
        <v>0</v>
      </c>
      <c r="AR504">
        <f>IF(AP504&gt;=V504,1,0)</f>
        <v>0</v>
      </c>
      <c r="AS504">
        <f>IF(AP504&lt;(U504-0.10),1,0)</f>
        <v>0</v>
      </c>
      <c r="AT504">
        <f>1-AJ504/100</f>
        <v>0</v>
      </c>
      <c r="AU504">
        <f>IF(AN504=1,AT504,1)</f>
        <v>0</v>
      </c>
      <c r="AV504">
        <f>IF(AM504=1,AT504,1)</f>
        <v>0</v>
      </c>
      <c r="AW504">
        <f>IF(AND(AQ504=1,ISNUMBER(AT504)),$AT504,1)</f>
        <v>0</v>
      </c>
      <c r="AX504">
        <f>IF(AND(AR504=1,ISNUMBER(AT504)),$AT504,1)</f>
        <v>0</v>
      </c>
      <c r="AY504">
        <f>IF(ISNUMBER(Y504),INDEX(AllCollegeMoney, MATCH(N504,AllCollegeNCES,0)),0)</f>
        <v>0</v>
      </c>
      <c r="AZ504">
        <f>IF(AND(AQ504=1,ISNUMBER(AT504),AY504=1),$AT504,1)</f>
        <v>0</v>
      </c>
      <c r="BA504">
        <f>IF(AND(AR504=1,ISNUMBER(AT504),AY504=1),$AT504,1)</f>
        <v>0</v>
      </c>
      <c r="BB504">
        <f>IF(ISNUMBER(Y504),INDEX(AllCollegeILPub, MATCH(N504,AllCollegeNCES,0)),0)</f>
        <v>0</v>
      </c>
      <c r="BC504">
        <f>IF(AK504=ReachLabel,AP504,0)</f>
        <v>0</v>
      </c>
      <c r="BD504">
        <f>IF(AK504=MatchLabel,AP504,0)</f>
        <v>0</v>
      </c>
      <c r="BE504">
        <f>IF(AK504=SafetyLabel,AP504,0)</f>
        <v>0</v>
      </c>
      <c r="BF504">
        <f>IF(AK504=SecureLabel,AP504,0)</f>
        <v>0</v>
      </c>
      <c r="BG504">
        <f>IF(AK504=SureThingLabel,AP504,0)</f>
        <v>0</v>
      </c>
      <c r="BH504">
        <f>MAX(BC504:BG504)</f>
        <v>0</v>
      </c>
      <c r="BI504">
        <f>MAX(BD504:BG504)</f>
        <v>0</v>
      </c>
      <c r="BJ504">
        <f>MAX(BE504:BG504)</f>
        <v>0</v>
      </c>
      <c r="BK504">
        <f>IF(AND(AK504=ReachLabel,AY504=1),AP504,0)</f>
        <v>0</v>
      </c>
      <c r="BL504">
        <f>IF(AND(AK504=MatchLabel,AY504=1),AP504,0)</f>
        <v>0</v>
      </c>
      <c r="BM504">
        <f>IF(AND(AK504=SafetyLabel,AY504=1),AP504,0)</f>
        <v>0</v>
      </c>
      <c r="BN504">
        <f>IF(AND(AK504=SecureLabel,AY504=1),AP504,0)</f>
        <v>0</v>
      </c>
      <c r="BO504">
        <f>IF(AND(AK504=SureThingLabel,AY504=1),AP504,0)</f>
        <v>0</v>
      </c>
      <c r="BP504">
        <f>MAX(BK504:BO504)</f>
        <v>0</v>
      </c>
      <c r="BQ504">
        <f>MAX(BL504:BO504)</f>
        <v>0</v>
      </c>
      <c r="BR504">
        <f>MAX(BM504:BO504)</f>
        <v>0</v>
      </c>
      <c r="BS504">
        <f>IF(ISNUMBER(Y504),INDEX(AllCollegeChicago, MATCH(N504,AllCollegeNCES,0))*AY504,0)</f>
        <v>0</v>
      </c>
      <c r="BT504">
        <f>IF(ISNUMBER(Y504),INDEX(AllCollegeMoneyCode, MATCH(N504,AllCollegeNCES,0)),"?")</f>
        <v>0</v>
      </c>
      <c r="BU504">
        <f>IF(OR(BT504="---",BT504="--",BT504="+/--",BT504="+/---"),1,0)</f>
        <v>0</v>
      </c>
      <c r="BV504">
        <f>AY504*AO504*AQ504</f>
        <v>0</v>
      </c>
    </row>
    <row r="505" spans="1:74">
      <c r="A505" t="s">
        <v>86</v>
      </c>
      <c r="B505">
        <v>23473460</v>
      </c>
      <c r="C505" t="s">
        <v>239</v>
      </c>
      <c r="D505" t="s">
        <v>240</v>
      </c>
      <c r="E505" t="s">
        <v>428</v>
      </c>
      <c r="F505" t="s">
        <v>470</v>
      </c>
      <c r="G505" t="s">
        <v>430</v>
      </c>
      <c r="H505" t="s">
        <v>431</v>
      </c>
      <c r="I505" t="s">
        <v>432</v>
      </c>
      <c r="J505" t="s">
        <v>432</v>
      </c>
      <c r="K505">
        <v>0</v>
      </c>
      <c r="L505" t="s">
        <v>428</v>
      </c>
      <c r="M505" t="s">
        <v>428</v>
      </c>
      <c r="N505">
        <v>206589</v>
      </c>
      <c r="O505">
        <f>INDEX(AllCollegeBarrons,MATCH(N505,AllCollegeNCES,0))</f>
        <v>0</v>
      </c>
      <c r="P505">
        <f>INDEX(KidGPAs,MATCH(B505,KidIDs,0))</f>
        <v>0</v>
      </c>
      <c r="Q505">
        <f>INDEX(KidACTs,MATCH(B505,KidIDs,0))</f>
        <v>0</v>
      </c>
      <c r="R505">
        <f>INDEX(Strats,MATCH(B505,KidIDs,0))</f>
        <v>0</v>
      </c>
      <c r="S505">
        <f>INDEX(KidRace,MATCH(B505,KidIDs,0))</f>
        <v>0</v>
      </c>
      <c r="T505">
        <f>IF(OR(S505="M",S505="I"),"H",S505)</f>
        <v>0</v>
      </c>
      <c r="U505">
        <f>INDEX(StudentTargets,MATCH(B505,KidIDs,0))</f>
        <v>0</v>
      </c>
      <c r="V505">
        <f>INDEX(ReachStudentTargets,MATCH(B505,KidIDs,0))</f>
        <v>0</v>
      </c>
      <c r="W505">
        <f>IF(OR(M505="Posse"),1,0)</f>
        <v>0</v>
      </c>
      <c r="X505">
        <f>IF(ISNUMBER(INDEX(AllCollegeGR, MATCH(N505,AllCollegeNCES,0))),ROUND(INDEX(AllCollegeGR, MATCH(N505,AllCollegeNCES,0))+W505*IF(INDEX(AllCollegeGR, MATCH(N505,AllCollegeNCES,0))&gt;0.7,(1-INDEX(AllCollegeGR, MATCH(N505,AllCollegeNCES,0)))/2,0.15),2),INDEX(AllCollegeGR, MATCH(N505,AllCollegeNCES,0)))</f>
        <v>0</v>
      </c>
      <c r="Y505">
        <f>IF(ISNUMBER(INDEX(AllCollegeAAHGR, MATCH(N505,AllCollegeNCES,0))),ROUND(INDEX(AllCollegeAAHGR, MATCH(N505,AllCollegeNCES,0))+W505*IF(INDEX(AllCollegeAAHGR, MATCH(N505,AllCollegeNCES,0))&gt;0.7,(1-INDEX(AllCollegeAAHGR, MATCH(N505,AllCollegeNCES,0)))/2,0.15),2),INDEX(AllCollegeAAHGR, MATCH(N505,AllCollegeNCES,0)))</f>
        <v>0</v>
      </c>
      <c r="Z505">
        <f>IF(OR(T505="H",T505="B"),INDEX(AllCollegeACT25, MATCH(N505,AllCollegeNCES,0)),INDEX(AllCollegeACT50, MATCH(N505,AllCollegeNCES,0)))</f>
        <v>0</v>
      </c>
      <c r="AA505">
        <f>INDEX(CustomWeightsGPA,MATCH(T505&amp;":"&amp;N505,CustomWeightsIndex,0))</f>
        <v>0</v>
      </c>
      <c r="AB505">
        <f>INDEX(CustomWeightsACT,MATCH(T505&amp;":"&amp;N505,CustomWeightsIndex,0))</f>
        <v>0</v>
      </c>
      <c r="AC505">
        <f>INDEX(CustomWeightsIntercept,MATCH(T505&amp;":"&amp;N505,CustomWeightsIndex,0))</f>
        <v>0</v>
      </c>
      <c r="AD505">
        <f>AA505*P505+AB505*Q505+AC505</f>
        <v>0</v>
      </c>
      <c r="AE505">
        <f>INDEX(CoefficientsGPA,MATCH(T505&amp;":"&amp;O505,CoefficientsIndex,0))</f>
        <v>0</v>
      </c>
      <c r="AF505">
        <f>INDEX(CoefficientsACT,MATCH(T505&amp;":"&amp;O505,CoefficientsIndex,0))</f>
        <v>0</v>
      </c>
      <c r="AG505">
        <f>INDEX(CoefficientsIntercept,MATCH(T505&amp;":"&amp;O505,CoefficientsIndex,0))</f>
        <v>0</v>
      </c>
      <c r="AH505">
        <f>AE505*P505+(Q505-Z505)*AF505+AG505</f>
        <v>0</v>
      </c>
      <c r="AI505">
        <f>IF(ISNUMBER(AD505),AD505,AH505)</f>
        <v>0</v>
      </c>
      <c r="AJ505">
        <f>IF(ISNUMBER(AI505),IF(ISNUMBER(AE505),IF(AND(AE505=1,AF505=1,AG505=1),100,ROUND(100*EXP(AI505)/(1+EXP(AI505)),2)),ROUND(100*EXP(AI505)/(1+EXP(AI505)),2)),IF(ISTEXT(O505),IF(LEFT(O505,1)="2",100,"N/A"),"N/A"))</f>
        <v>0</v>
      </c>
      <c r="AK505">
        <f>IF(ISNUMBER(AJ505),IF(AJ505&gt;=99,IF(OR(R505=10,R505=11),MatchLabel,SureThingLabel),IF(AJ505&gt;=95,SecureLabel,IF(AJ505&gt;=80,SafetyLabel,IF(AJ505&gt;=50,MatchLabel,IF(AJ505&gt;=20,ReachLabel,IF(AJ505&gt;=10,LongshotLabel,HailMaryLabel)))))),"Other")</f>
        <v>0</v>
      </c>
      <c r="AL505">
        <f>IF(OR(I505="accepted",I505="cond. accept",I505="summer admit"),IF(J505="yes","CHOICE!","Accepted!"),IF(I505="denied","Denied",IF(K505=1,"Waitlist",IF(L505=1,"Deferred",IF(G505="pending","Pending",IF(OR(G505="initial materials submitted",G505="mid-year submitted",G505="final submitted"),"Submitted",IF(H505="interest","Interest","?")))))))</f>
        <v>0</v>
      </c>
      <c r="AM505">
        <f>IF(OR(AK505=ReachLabel,AK505=LongshotLabel,AK505=HailMaryLabel),1,0)</f>
        <v>0</v>
      </c>
      <c r="AN505">
        <f>IF(OR(AM505=1,AK505=MatchLabel),1,0)</f>
        <v>0</v>
      </c>
      <c r="AO505">
        <f>IF(OR(AK505=MatchLabel,AK505=SafetyLabel,AK505=SecureLabel,AK505=SureThingLabel),1,0)</f>
        <v>0</v>
      </c>
      <c r="AP505">
        <f>IF(OR(T505="H",T505="B"),IF(ISNUMBER(Y505),ROUND(Y505,2),0),IF(ISNUMBER(X505),ROUND(X505,2),0))</f>
        <v>0</v>
      </c>
      <c r="AQ505">
        <f>IF(AP505&gt;=U505,1,0)</f>
        <v>0</v>
      </c>
      <c r="AR505">
        <f>IF(AP505&gt;=V505,1,0)</f>
        <v>0</v>
      </c>
      <c r="AS505">
        <f>IF(AP505&lt;(U505-0.10),1,0)</f>
        <v>0</v>
      </c>
      <c r="AT505">
        <f>1-AJ505/100</f>
        <v>0</v>
      </c>
      <c r="AU505">
        <f>IF(AN505=1,AT505,1)</f>
        <v>0</v>
      </c>
      <c r="AV505">
        <f>IF(AM505=1,AT505,1)</f>
        <v>0</v>
      </c>
      <c r="AW505">
        <f>IF(AND(AQ505=1,ISNUMBER(AT505)),$AT505,1)</f>
        <v>0</v>
      </c>
      <c r="AX505">
        <f>IF(AND(AR505=1,ISNUMBER(AT505)),$AT505,1)</f>
        <v>0</v>
      </c>
      <c r="AY505">
        <f>IF(ISNUMBER(Y505),INDEX(AllCollegeMoney, MATCH(N505,AllCollegeNCES,0)),0)</f>
        <v>0</v>
      </c>
      <c r="AZ505">
        <f>IF(AND(AQ505=1,ISNUMBER(AT505),AY505=1),$AT505,1)</f>
        <v>0</v>
      </c>
      <c r="BA505">
        <f>IF(AND(AR505=1,ISNUMBER(AT505),AY505=1),$AT505,1)</f>
        <v>0</v>
      </c>
      <c r="BB505">
        <f>IF(ISNUMBER(Y505),INDEX(AllCollegeILPub, MATCH(N505,AllCollegeNCES,0)),0)</f>
        <v>0</v>
      </c>
      <c r="BC505">
        <f>IF(AK505=ReachLabel,AP505,0)</f>
        <v>0</v>
      </c>
      <c r="BD505">
        <f>IF(AK505=MatchLabel,AP505,0)</f>
        <v>0</v>
      </c>
      <c r="BE505">
        <f>IF(AK505=SafetyLabel,AP505,0)</f>
        <v>0</v>
      </c>
      <c r="BF505">
        <f>IF(AK505=SecureLabel,AP505,0)</f>
        <v>0</v>
      </c>
      <c r="BG505">
        <f>IF(AK505=SureThingLabel,AP505,0)</f>
        <v>0</v>
      </c>
      <c r="BH505">
        <f>MAX(BC505:BG505)</f>
        <v>0</v>
      </c>
      <c r="BI505">
        <f>MAX(BD505:BG505)</f>
        <v>0</v>
      </c>
      <c r="BJ505">
        <f>MAX(BE505:BG505)</f>
        <v>0</v>
      </c>
      <c r="BK505">
        <f>IF(AND(AK505=ReachLabel,AY505=1),AP505,0)</f>
        <v>0</v>
      </c>
      <c r="BL505">
        <f>IF(AND(AK505=MatchLabel,AY505=1),AP505,0)</f>
        <v>0</v>
      </c>
      <c r="BM505">
        <f>IF(AND(AK505=SafetyLabel,AY505=1),AP505,0)</f>
        <v>0</v>
      </c>
      <c r="BN505">
        <f>IF(AND(AK505=SecureLabel,AY505=1),AP505,0)</f>
        <v>0</v>
      </c>
      <c r="BO505">
        <f>IF(AND(AK505=SureThingLabel,AY505=1),AP505,0)</f>
        <v>0</v>
      </c>
      <c r="BP505">
        <f>MAX(BK505:BO505)</f>
        <v>0</v>
      </c>
      <c r="BQ505">
        <f>MAX(BL505:BO505)</f>
        <v>0</v>
      </c>
      <c r="BR505">
        <f>MAX(BM505:BO505)</f>
        <v>0</v>
      </c>
      <c r="BS505">
        <f>IF(ISNUMBER(Y505),INDEX(AllCollegeChicago, MATCH(N505,AllCollegeNCES,0))*AY505,0)</f>
        <v>0</v>
      </c>
      <c r="BT505">
        <f>IF(ISNUMBER(Y505),INDEX(AllCollegeMoneyCode, MATCH(N505,AllCollegeNCES,0)),"?")</f>
        <v>0</v>
      </c>
      <c r="BU505">
        <f>IF(OR(BT505="---",BT505="--",BT505="+/--",BT505="+/---"),1,0)</f>
        <v>0</v>
      </c>
      <c r="BV505">
        <f>AY505*AO505*AQ505</f>
        <v>0</v>
      </c>
    </row>
    <row r="506" spans="1:74">
      <c r="A506" t="s">
        <v>86</v>
      </c>
      <c r="B506">
        <v>23473460</v>
      </c>
      <c r="C506" t="s">
        <v>239</v>
      </c>
      <c r="D506" t="s">
        <v>240</v>
      </c>
      <c r="E506" t="s">
        <v>428</v>
      </c>
      <c r="F506" t="s">
        <v>461</v>
      </c>
      <c r="G506" t="s">
        <v>430</v>
      </c>
      <c r="H506" t="s">
        <v>431</v>
      </c>
      <c r="I506" t="s">
        <v>432</v>
      </c>
      <c r="J506" t="s">
        <v>432</v>
      </c>
      <c r="K506">
        <v>0</v>
      </c>
      <c r="L506" t="s">
        <v>428</v>
      </c>
      <c r="M506" t="s">
        <v>428</v>
      </c>
      <c r="N506">
        <v>153834</v>
      </c>
      <c r="O506">
        <f>INDEX(AllCollegeBarrons,MATCH(N506,AllCollegeNCES,0))</f>
        <v>0</v>
      </c>
      <c r="P506">
        <f>INDEX(KidGPAs,MATCH(B506,KidIDs,0))</f>
        <v>0</v>
      </c>
      <c r="Q506">
        <f>INDEX(KidACTs,MATCH(B506,KidIDs,0))</f>
        <v>0</v>
      </c>
      <c r="R506">
        <f>INDEX(Strats,MATCH(B506,KidIDs,0))</f>
        <v>0</v>
      </c>
      <c r="S506">
        <f>INDEX(KidRace,MATCH(B506,KidIDs,0))</f>
        <v>0</v>
      </c>
      <c r="T506">
        <f>IF(OR(S506="M",S506="I"),"H",S506)</f>
        <v>0</v>
      </c>
      <c r="U506">
        <f>INDEX(StudentTargets,MATCH(B506,KidIDs,0))</f>
        <v>0</v>
      </c>
      <c r="V506">
        <f>INDEX(ReachStudentTargets,MATCH(B506,KidIDs,0))</f>
        <v>0</v>
      </c>
      <c r="W506">
        <f>IF(OR(M506="Posse"),1,0)</f>
        <v>0</v>
      </c>
      <c r="X506">
        <f>IF(ISNUMBER(INDEX(AllCollegeGR, MATCH(N506,AllCollegeNCES,0))),ROUND(INDEX(AllCollegeGR, MATCH(N506,AllCollegeNCES,0))+W506*IF(INDEX(AllCollegeGR, MATCH(N506,AllCollegeNCES,0))&gt;0.7,(1-INDEX(AllCollegeGR, MATCH(N506,AllCollegeNCES,0)))/2,0.15),2),INDEX(AllCollegeGR, MATCH(N506,AllCollegeNCES,0)))</f>
        <v>0</v>
      </c>
      <c r="Y506">
        <f>IF(ISNUMBER(INDEX(AllCollegeAAHGR, MATCH(N506,AllCollegeNCES,0))),ROUND(INDEX(AllCollegeAAHGR, MATCH(N506,AllCollegeNCES,0))+W506*IF(INDEX(AllCollegeAAHGR, MATCH(N506,AllCollegeNCES,0))&gt;0.7,(1-INDEX(AllCollegeAAHGR, MATCH(N506,AllCollegeNCES,0)))/2,0.15),2),INDEX(AllCollegeAAHGR, MATCH(N506,AllCollegeNCES,0)))</f>
        <v>0</v>
      </c>
      <c r="Z506">
        <f>IF(OR(T506="H",T506="B"),INDEX(AllCollegeACT25, MATCH(N506,AllCollegeNCES,0)),INDEX(AllCollegeACT50, MATCH(N506,AllCollegeNCES,0)))</f>
        <v>0</v>
      </c>
      <c r="AA506">
        <f>INDEX(CustomWeightsGPA,MATCH(T506&amp;":"&amp;N506,CustomWeightsIndex,0))</f>
        <v>0</v>
      </c>
      <c r="AB506">
        <f>INDEX(CustomWeightsACT,MATCH(T506&amp;":"&amp;N506,CustomWeightsIndex,0))</f>
        <v>0</v>
      </c>
      <c r="AC506">
        <f>INDEX(CustomWeightsIntercept,MATCH(T506&amp;":"&amp;N506,CustomWeightsIndex,0))</f>
        <v>0</v>
      </c>
      <c r="AD506">
        <f>AA506*P506+AB506*Q506+AC506</f>
        <v>0</v>
      </c>
      <c r="AE506">
        <f>INDEX(CoefficientsGPA,MATCH(T506&amp;":"&amp;O506,CoefficientsIndex,0))</f>
        <v>0</v>
      </c>
      <c r="AF506">
        <f>INDEX(CoefficientsACT,MATCH(T506&amp;":"&amp;O506,CoefficientsIndex,0))</f>
        <v>0</v>
      </c>
      <c r="AG506">
        <f>INDEX(CoefficientsIntercept,MATCH(T506&amp;":"&amp;O506,CoefficientsIndex,0))</f>
        <v>0</v>
      </c>
      <c r="AH506">
        <f>AE506*P506+(Q506-Z506)*AF506+AG506</f>
        <v>0</v>
      </c>
      <c r="AI506">
        <f>IF(ISNUMBER(AD506),AD506,AH506)</f>
        <v>0</v>
      </c>
      <c r="AJ506">
        <f>IF(ISNUMBER(AI506),IF(ISNUMBER(AE506),IF(AND(AE506=1,AF506=1,AG506=1),100,ROUND(100*EXP(AI506)/(1+EXP(AI506)),2)),ROUND(100*EXP(AI506)/(1+EXP(AI506)),2)),IF(ISTEXT(O506),IF(LEFT(O506,1)="2",100,"N/A"),"N/A"))</f>
        <v>0</v>
      </c>
      <c r="AK506">
        <f>IF(ISNUMBER(AJ506),IF(AJ506&gt;=99,IF(OR(R506=10,R506=11),MatchLabel,SureThingLabel),IF(AJ506&gt;=95,SecureLabel,IF(AJ506&gt;=80,SafetyLabel,IF(AJ506&gt;=50,MatchLabel,IF(AJ506&gt;=20,ReachLabel,IF(AJ506&gt;=10,LongshotLabel,HailMaryLabel)))))),"Other")</f>
        <v>0</v>
      </c>
      <c r="AL506">
        <f>IF(OR(I506="accepted",I506="cond. accept",I506="summer admit"),IF(J506="yes","CHOICE!","Accepted!"),IF(I506="denied","Denied",IF(K506=1,"Waitlist",IF(L506=1,"Deferred",IF(G506="pending","Pending",IF(OR(G506="initial materials submitted",G506="mid-year submitted",G506="final submitted"),"Submitted",IF(H506="interest","Interest","?")))))))</f>
        <v>0</v>
      </c>
      <c r="AM506">
        <f>IF(OR(AK506=ReachLabel,AK506=LongshotLabel,AK506=HailMaryLabel),1,0)</f>
        <v>0</v>
      </c>
      <c r="AN506">
        <f>IF(OR(AM506=1,AK506=MatchLabel),1,0)</f>
        <v>0</v>
      </c>
      <c r="AO506">
        <f>IF(OR(AK506=MatchLabel,AK506=SafetyLabel,AK506=SecureLabel,AK506=SureThingLabel),1,0)</f>
        <v>0</v>
      </c>
      <c r="AP506">
        <f>IF(OR(T506="H",T506="B"),IF(ISNUMBER(Y506),ROUND(Y506,2),0),IF(ISNUMBER(X506),ROUND(X506,2),0))</f>
        <v>0</v>
      </c>
      <c r="AQ506">
        <f>IF(AP506&gt;=U506,1,0)</f>
        <v>0</v>
      </c>
      <c r="AR506">
        <f>IF(AP506&gt;=V506,1,0)</f>
        <v>0</v>
      </c>
      <c r="AS506">
        <f>IF(AP506&lt;(U506-0.10),1,0)</f>
        <v>0</v>
      </c>
      <c r="AT506">
        <f>1-AJ506/100</f>
        <v>0</v>
      </c>
      <c r="AU506">
        <f>IF(AN506=1,AT506,1)</f>
        <v>0</v>
      </c>
      <c r="AV506">
        <f>IF(AM506=1,AT506,1)</f>
        <v>0</v>
      </c>
      <c r="AW506">
        <f>IF(AND(AQ506=1,ISNUMBER(AT506)),$AT506,1)</f>
        <v>0</v>
      </c>
      <c r="AX506">
        <f>IF(AND(AR506=1,ISNUMBER(AT506)),$AT506,1)</f>
        <v>0</v>
      </c>
      <c r="AY506">
        <f>IF(ISNUMBER(Y506),INDEX(AllCollegeMoney, MATCH(N506,AllCollegeNCES,0)),0)</f>
        <v>0</v>
      </c>
      <c r="AZ506">
        <f>IF(AND(AQ506=1,ISNUMBER(AT506),AY506=1),$AT506,1)</f>
        <v>0</v>
      </c>
      <c r="BA506">
        <f>IF(AND(AR506=1,ISNUMBER(AT506),AY506=1),$AT506,1)</f>
        <v>0</v>
      </c>
      <c r="BB506">
        <f>IF(ISNUMBER(Y506),INDEX(AllCollegeILPub, MATCH(N506,AllCollegeNCES,0)),0)</f>
        <v>0</v>
      </c>
      <c r="BC506">
        <f>IF(AK506=ReachLabel,AP506,0)</f>
        <v>0</v>
      </c>
      <c r="BD506">
        <f>IF(AK506=MatchLabel,AP506,0)</f>
        <v>0</v>
      </c>
      <c r="BE506">
        <f>IF(AK506=SafetyLabel,AP506,0)</f>
        <v>0</v>
      </c>
      <c r="BF506">
        <f>IF(AK506=SecureLabel,AP506,0)</f>
        <v>0</v>
      </c>
      <c r="BG506">
        <f>IF(AK506=SureThingLabel,AP506,0)</f>
        <v>0</v>
      </c>
      <c r="BH506">
        <f>MAX(BC506:BG506)</f>
        <v>0</v>
      </c>
      <c r="BI506">
        <f>MAX(BD506:BG506)</f>
        <v>0</v>
      </c>
      <c r="BJ506">
        <f>MAX(BE506:BG506)</f>
        <v>0</v>
      </c>
      <c r="BK506">
        <f>IF(AND(AK506=ReachLabel,AY506=1),AP506,0)</f>
        <v>0</v>
      </c>
      <c r="BL506">
        <f>IF(AND(AK506=MatchLabel,AY506=1),AP506,0)</f>
        <v>0</v>
      </c>
      <c r="BM506">
        <f>IF(AND(AK506=SafetyLabel,AY506=1),AP506,0)</f>
        <v>0</v>
      </c>
      <c r="BN506">
        <f>IF(AND(AK506=SecureLabel,AY506=1),AP506,0)</f>
        <v>0</v>
      </c>
      <c r="BO506">
        <f>IF(AND(AK506=SureThingLabel,AY506=1),AP506,0)</f>
        <v>0</v>
      </c>
      <c r="BP506">
        <f>MAX(BK506:BO506)</f>
        <v>0</v>
      </c>
      <c r="BQ506">
        <f>MAX(BL506:BO506)</f>
        <v>0</v>
      </c>
      <c r="BR506">
        <f>MAX(BM506:BO506)</f>
        <v>0</v>
      </c>
      <c r="BS506">
        <f>IF(ISNUMBER(Y506),INDEX(AllCollegeChicago, MATCH(N506,AllCollegeNCES,0))*AY506,0)</f>
        <v>0</v>
      </c>
      <c r="BT506">
        <f>IF(ISNUMBER(Y506),INDEX(AllCollegeMoneyCode, MATCH(N506,AllCollegeNCES,0)),"?")</f>
        <v>0</v>
      </c>
      <c r="BU506">
        <f>IF(OR(BT506="---",BT506="--",BT506="+/--",BT506="+/---"),1,0)</f>
        <v>0</v>
      </c>
      <c r="BV506">
        <f>AY506*AO506*AQ506</f>
        <v>0</v>
      </c>
    </row>
    <row r="507" spans="1:74">
      <c r="A507" t="s">
        <v>86</v>
      </c>
      <c r="B507">
        <v>23473460</v>
      </c>
      <c r="C507" t="s">
        <v>239</v>
      </c>
      <c r="D507" t="s">
        <v>240</v>
      </c>
      <c r="E507" t="s">
        <v>428</v>
      </c>
      <c r="F507" t="s">
        <v>462</v>
      </c>
      <c r="G507" t="s">
        <v>430</v>
      </c>
      <c r="H507" t="s">
        <v>431</v>
      </c>
      <c r="I507" t="s">
        <v>432</v>
      </c>
      <c r="J507" t="s">
        <v>432</v>
      </c>
      <c r="K507">
        <v>0</v>
      </c>
      <c r="L507" t="s">
        <v>428</v>
      </c>
      <c r="M507" t="s">
        <v>428</v>
      </c>
      <c r="N507">
        <v>168546</v>
      </c>
      <c r="O507">
        <f>INDEX(AllCollegeBarrons,MATCH(N507,AllCollegeNCES,0))</f>
        <v>0</v>
      </c>
      <c r="P507">
        <f>INDEX(KidGPAs,MATCH(B507,KidIDs,0))</f>
        <v>0</v>
      </c>
      <c r="Q507">
        <f>INDEX(KidACTs,MATCH(B507,KidIDs,0))</f>
        <v>0</v>
      </c>
      <c r="R507">
        <f>INDEX(Strats,MATCH(B507,KidIDs,0))</f>
        <v>0</v>
      </c>
      <c r="S507">
        <f>INDEX(KidRace,MATCH(B507,KidIDs,0))</f>
        <v>0</v>
      </c>
      <c r="T507">
        <f>IF(OR(S507="M",S507="I"),"H",S507)</f>
        <v>0</v>
      </c>
      <c r="U507">
        <f>INDEX(StudentTargets,MATCH(B507,KidIDs,0))</f>
        <v>0</v>
      </c>
      <c r="V507">
        <f>INDEX(ReachStudentTargets,MATCH(B507,KidIDs,0))</f>
        <v>0</v>
      </c>
      <c r="W507">
        <f>IF(OR(M507="Posse"),1,0)</f>
        <v>0</v>
      </c>
      <c r="X507">
        <f>IF(ISNUMBER(INDEX(AllCollegeGR, MATCH(N507,AllCollegeNCES,0))),ROUND(INDEX(AllCollegeGR, MATCH(N507,AllCollegeNCES,0))+W507*IF(INDEX(AllCollegeGR, MATCH(N507,AllCollegeNCES,0))&gt;0.7,(1-INDEX(AllCollegeGR, MATCH(N507,AllCollegeNCES,0)))/2,0.15),2),INDEX(AllCollegeGR, MATCH(N507,AllCollegeNCES,0)))</f>
        <v>0</v>
      </c>
      <c r="Y507">
        <f>IF(ISNUMBER(INDEX(AllCollegeAAHGR, MATCH(N507,AllCollegeNCES,0))),ROUND(INDEX(AllCollegeAAHGR, MATCH(N507,AllCollegeNCES,0))+W507*IF(INDEX(AllCollegeAAHGR, MATCH(N507,AllCollegeNCES,0))&gt;0.7,(1-INDEX(AllCollegeAAHGR, MATCH(N507,AllCollegeNCES,0)))/2,0.15),2),INDEX(AllCollegeAAHGR, MATCH(N507,AllCollegeNCES,0)))</f>
        <v>0</v>
      </c>
      <c r="Z507">
        <f>IF(OR(T507="H",T507="B"),INDEX(AllCollegeACT25, MATCH(N507,AllCollegeNCES,0)),INDEX(AllCollegeACT50, MATCH(N507,AllCollegeNCES,0)))</f>
        <v>0</v>
      </c>
      <c r="AA507">
        <f>INDEX(CustomWeightsGPA,MATCH(T507&amp;":"&amp;N507,CustomWeightsIndex,0))</f>
        <v>0</v>
      </c>
      <c r="AB507">
        <f>INDEX(CustomWeightsACT,MATCH(T507&amp;":"&amp;N507,CustomWeightsIndex,0))</f>
        <v>0</v>
      </c>
      <c r="AC507">
        <f>INDEX(CustomWeightsIntercept,MATCH(T507&amp;":"&amp;N507,CustomWeightsIndex,0))</f>
        <v>0</v>
      </c>
      <c r="AD507">
        <f>AA507*P507+AB507*Q507+AC507</f>
        <v>0</v>
      </c>
      <c r="AE507">
        <f>INDEX(CoefficientsGPA,MATCH(T507&amp;":"&amp;O507,CoefficientsIndex,0))</f>
        <v>0</v>
      </c>
      <c r="AF507">
        <f>INDEX(CoefficientsACT,MATCH(T507&amp;":"&amp;O507,CoefficientsIndex,0))</f>
        <v>0</v>
      </c>
      <c r="AG507">
        <f>INDEX(CoefficientsIntercept,MATCH(T507&amp;":"&amp;O507,CoefficientsIndex,0))</f>
        <v>0</v>
      </c>
      <c r="AH507">
        <f>AE507*P507+(Q507-Z507)*AF507+AG507</f>
        <v>0</v>
      </c>
      <c r="AI507">
        <f>IF(ISNUMBER(AD507),AD507,AH507)</f>
        <v>0</v>
      </c>
      <c r="AJ507">
        <f>IF(ISNUMBER(AI507),IF(ISNUMBER(AE507),IF(AND(AE507=1,AF507=1,AG507=1),100,ROUND(100*EXP(AI507)/(1+EXP(AI507)),2)),ROUND(100*EXP(AI507)/(1+EXP(AI507)),2)),IF(ISTEXT(O507),IF(LEFT(O507,1)="2",100,"N/A"),"N/A"))</f>
        <v>0</v>
      </c>
      <c r="AK507">
        <f>IF(ISNUMBER(AJ507),IF(AJ507&gt;=99,IF(OR(R507=10,R507=11),MatchLabel,SureThingLabel),IF(AJ507&gt;=95,SecureLabel,IF(AJ507&gt;=80,SafetyLabel,IF(AJ507&gt;=50,MatchLabel,IF(AJ507&gt;=20,ReachLabel,IF(AJ507&gt;=10,LongshotLabel,HailMaryLabel)))))),"Other")</f>
        <v>0</v>
      </c>
      <c r="AL507">
        <f>IF(OR(I507="accepted",I507="cond. accept",I507="summer admit"),IF(J507="yes","CHOICE!","Accepted!"),IF(I507="denied","Denied",IF(K507=1,"Waitlist",IF(L507=1,"Deferred",IF(G507="pending","Pending",IF(OR(G507="initial materials submitted",G507="mid-year submitted",G507="final submitted"),"Submitted",IF(H507="interest","Interest","?")))))))</f>
        <v>0</v>
      </c>
      <c r="AM507">
        <f>IF(OR(AK507=ReachLabel,AK507=LongshotLabel,AK507=HailMaryLabel),1,0)</f>
        <v>0</v>
      </c>
      <c r="AN507">
        <f>IF(OR(AM507=1,AK507=MatchLabel),1,0)</f>
        <v>0</v>
      </c>
      <c r="AO507">
        <f>IF(OR(AK507=MatchLabel,AK507=SafetyLabel,AK507=SecureLabel,AK507=SureThingLabel),1,0)</f>
        <v>0</v>
      </c>
      <c r="AP507">
        <f>IF(OR(T507="H",T507="B"),IF(ISNUMBER(Y507),ROUND(Y507,2),0),IF(ISNUMBER(X507),ROUND(X507,2),0))</f>
        <v>0</v>
      </c>
      <c r="AQ507">
        <f>IF(AP507&gt;=U507,1,0)</f>
        <v>0</v>
      </c>
      <c r="AR507">
        <f>IF(AP507&gt;=V507,1,0)</f>
        <v>0</v>
      </c>
      <c r="AS507">
        <f>IF(AP507&lt;(U507-0.10),1,0)</f>
        <v>0</v>
      </c>
      <c r="AT507">
        <f>1-AJ507/100</f>
        <v>0</v>
      </c>
      <c r="AU507">
        <f>IF(AN507=1,AT507,1)</f>
        <v>0</v>
      </c>
      <c r="AV507">
        <f>IF(AM507=1,AT507,1)</f>
        <v>0</v>
      </c>
      <c r="AW507">
        <f>IF(AND(AQ507=1,ISNUMBER(AT507)),$AT507,1)</f>
        <v>0</v>
      </c>
      <c r="AX507">
        <f>IF(AND(AR507=1,ISNUMBER(AT507)),$AT507,1)</f>
        <v>0</v>
      </c>
      <c r="AY507">
        <f>IF(ISNUMBER(Y507),INDEX(AllCollegeMoney, MATCH(N507,AllCollegeNCES,0)),0)</f>
        <v>0</v>
      </c>
      <c r="AZ507">
        <f>IF(AND(AQ507=1,ISNUMBER(AT507),AY507=1),$AT507,1)</f>
        <v>0</v>
      </c>
      <c r="BA507">
        <f>IF(AND(AR507=1,ISNUMBER(AT507),AY507=1),$AT507,1)</f>
        <v>0</v>
      </c>
      <c r="BB507">
        <f>IF(ISNUMBER(Y507),INDEX(AllCollegeILPub, MATCH(N507,AllCollegeNCES,0)),0)</f>
        <v>0</v>
      </c>
      <c r="BC507">
        <f>IF(AK507=ReachLabel,AP507,0)</f>
        <v>0</v>
      </c>
      <c r="BD507">
        <f>IF(AK507=MatchLabel,AP507,0)</f>
        <v>0</v>
      </c>
      <c r="BE507">
        <f>IF(AK507=SafetyLabel,AP507,0)</f>
        <v>0</v>
      </c>
      <c r="BF507">
        <f>IF(AK507=SecureLabel,AP507,0)</f>
        <v>0</v>
      </c>
      <c r="BG507">
        <f>IF(AK507=SureThingLabel,AP507,0)</f>
        <v>0</v>
      </c>
      <c r="BH507">
        <f>MAX(BC507:BG507)</f>
        <v>0</v>
      </c>
      <c r="BI507">
        <f>MAX(BD507:BG507)</f>
        <v>0</v>
      </c>
      <c r="BJ507">
        <f>MAX(BE507:BG507)</f>
        <v>0</v>
      </c>
      <c r="BK507">
        <f>IF(AND(AK507=ReachLabel,AY507=1),AP507,0)</f>
        <v>0</v>
      </c>
      <c r="BL507">
        <f>IF(AND(AK507=MatchLabel,AY507=1),AP507,0)</f>
        <v>0</v>
      </c>
      <c r="BM507">
        <f>IF(AND(AK507=SafetyLabel,AY507=1),AP507,0)</f>
        <v>0</v>
      </c>
      <c r="BN507">
        <f>IF(AND(AK507=SecureLabel,AY507=1),AP507,0)</f>
        <v>0</v>
      </c>
      <c r="BO507">
        <f>IF(AND(AK507=SureThingLabel,AY507=1),AP507,0)</f>
        <v>0</v>
      </c>
      <c r="BP507">
        <f>MAX(BK507:BO507)</f>
        <v>0</v>
      </c>
      <c r="BQ507">
        <f>MAX(BL507:BO507)</f>
        <v>0</v>
      </c>
      <c r="BR507">
        <f>MAX(BM507:BO507)</f>
        <v>0</v>
      </c>
      <c r="BS507">
        <f>IF(ISNUMBER(Y507),INDEX(AllCollegeChicago, MATCH(N507,AllCollegeNCES,0))*AY507,0)</f>
        <v>0</v>
      </c>
      <c r="BT507">
        <f>IF(ISNUMBER(Y507),INDEX(AllCollegeMoneyCode, MATCH(N507,AllCollegeNCES,0)),"?")</f>
        <v>0</v>
      </c>
      <c r="BU507">
        <f>IF(OR(BT507="---",BT507="--",BT507="+/--",BT507="+/---"),1,0)</f>
        <v>0</v>
      </c>
      <c r="BV507">
        <f>AY507*AO507*AQ507</f>
        <v>0</v>
      </c>
    </row>
    <row r="508" spans="1:74">
      <c r="A508" t="s">
        <v>86</v>
      </c>
      <c r="B508">
        <v>23473460</v>
      </c>
      <c r="C508" t="s">
        <v>239</v>
      </c>
      <c r="D508" t="s">
        <v>240</v>
      </c>
      <c r="E508" t="s">
        <v>428</v>
      </c>
      <c r="F508" t="s">
        <v>433</v>
      </c>
      <c r="G508" t="s">
        <v>430</v>
      </c>
      <c r="H508" t="s">
        <v>431</v>
      </c>
      <c r="I508" t="s">
        <v>432</v>
      </c>
      <c r="J508" t="s">
        <v>432</v>
      </c>
      <c r="K508">
        <v>0</v>
      </c>
      <c r="L508" t="s">
        <v>428</v>
      </c>
      <c r="M508" t="s">
        <v>428</v>
      </c>
      <c r="N508">
        <v>148496</v>
      </c>
      <c r="O508">
        <f>INDEX(AllCollegeBarrons,MATCH(N508,AllCollegeNCES,0))</f>
        <v>0</v>
      </c>
      <c r="P508">
        <f>INDEX(KidGPAs,MATCH(B508,KidIDs,0))</f>
        <v>0</v>
      </c>
      <c r="Q508">
        <f>INDEX(KidACTs,MATCH(B508,KidIDs,0))</f>
        <v>0</v>
      </c>
      <c r="R508">
        <f>INDEX(Strats,MATCH(B508,KidIDs,0))</f>
        <v>0</v>
      </c>
      <c r="S508">
        <f>INDEX(KidRace,MATCH(B508,KidIDs,0))</f>
        <v>0</v>
      </c>
      <c r="T508">
        <f>IF(OR(S508="M",S508="I"),"H",S508)</f>
        <v>0</v>
      </c>
      <c r="U508">
        <f>INDEX(StudentTargets,MATCH(B508,KidIDs,0))</f>
        <v>0</v>
      </c>
      <c r="V508">
        <f>INDEX(ReachStudentTargets,MATCH(B508,KidIDs,0))</f>
        <v>0</v>
      </c>
      <c r="W508">
        <f>IF(OR(M508="Posse"),1,0)</f>
        <v>0</v>
      </c>
      <c r="X508">
        <f>IF(ISNUMBER(INDEX(AllCollegeGR, MATCH(N508,AllCollegeNCES,0))),ROUND(INDEX(AllCollegeGR, MATCH(N508,AllCollegeNCES,0))+W508*IF(INDEX(AllCollegeGR, MATCH(N508,AllCollegeNCES,0))&gt;0.7,(1-INDEX(AllCollegeGR, MATCH(N508,AllCollegeNCES,0)))/2,0.15),2),INDEX(AllCollegeGR, MATCH(N508,AllCollegeNCES,0)))</f>
        <v>0</v>
      </c>
      <c r="Y508">
        <f>IF(ISNUMBER(INDEX(AllCollegeAAHGR, MATCH(N508,AllCollegeNCES,0))),ROUND(INDEX(AllCollegeAAHGR, MATCH(N508,AllCollegeNCES,0))+W508*IF(INDEX(AllCollegeAAHGR, MATCH(N508,AllCollegeNCES,0))&gt;0.7,(1-INDEX(AllCollegeAAHGR, MATCH(N508,AllCollegeNCES,0)))/2,0.15),2),INDEX(AllCollegeAAHGR, MATCH(N508,AllCollegeNCES,0)))</f>
        <v>0</v>
      </c>
      <c r="Z508">
        <f>IF(OR(T508="H",T508="B"),INDEX(AllCollegeACT25, MATCH(N508,AllCollegeNCES,0)),INDEX(AllCollegeACT50, MATCH(N508,AllCollegeNCES,0)))</f>
        <v>0</v>
      </c>
      <c r="AA508">
        <f>INDEX(CustomWeightsGPA,MATCH(T508&amp;":"&amp;N508,CustomWeightsIndex,0))</f>
        <v>0</v>
      </c>
      <c r="AB508">
        <f>INDEX(CustomWeightsACT,MATCH(T508&amp;":"&amp;N508,CustomWeightsIndex,0))</f>
        <v>0</v>
      </c>
      <c r="AC508">
        <f>INDEX(CustomWeightsIntercept,MATCH(T508&amp;":"&amp;N508,CustomWeightsIndex,0))</f>
        <v>0</v>
      </c>
      <c r="AD508">
        <f>AA508*P508+AB508*Q508+AC508</f>
        <v>0</v>
      </c>
      <c r="AE508">
        <f>INDEX(CoefficientsGPA,MATCH(T508&amp;":"&amp;O508,CoefficientsIndex,0))</f>
        <v>0</v>
      </c>
      <c r="AF508">
        <f>INDEX(CoefficientsACT,MATCH(T508&amp;":"&amp;O508,CoefficientsIndex,0))</f>
        <v>0</v>
      </c>
      <c r="AG508">
        <f>INDEX(CoefficientsIntercept,MATCH(T508&amp;":"&amp;O508,CoefficientsIndex,0))</f>
        <v>0</v>
      </c>
      <c r="AH508">
        <f>AE508*P508+(Q508-Z508)*AF508+AG508</f>
        <v>0</v>
      </c>
      <c r="AI508">
        <f>IF(ISNUMBER(AD508),AD508,AH508)</f>
        <v>0</v>
      </c>
      <c r="AJ508">
        <f>IF(ISNUMBER(AI508),IF(ISNUMBER(AE508),IF(AND(AE508=1,AF508=1,AG508=1),100,ROUND(100*EXP(AI508)/(1+EXP(AI508)),2)),ROUND(100*EXP(AI508)/(1+EXP(AI508)),2)),IF(ISTEXT(O508),IF(LEFT(O508,1)="2",100,"N/A"),"N/A"))</f>
        <v>0</v>
      </c>
      <c r="AK508">
        <f>IF(ISNUMBER(AJ508),IF(AJ508&gt;=99,IF(OR(R508=10,R508=11),MatchLabel,SureThingLabel),IF(AJ508&gt;=95,SecureLabel,IF(AJ508&gt;=80,SafetyLabel,IF(AJ508&gt;=50,MatchLabel,IF(AJ508&gt;=20,ReachLabel,IF(AJ508&gt;=10,LongshotLabel,HailMaryLabel)))))),"Other")</f>
        <v>0</v>
      </c>
      <c r="AL508">
        <f>IF(OR(I508="accepted",I508="cond. accept",I508="summer admit"),IF(J508="yes","CHOICE!","Accepted!"),IF(I508="denied","Denied",IF(K508=1,"Waitlist",IF(L508=1,"Deferred",IF(G508="pending","Pending",IF(OR(G508="initial materials submitted",G508="mid-year submitted",G508="final submitted"),"Submitted",IF(H508="interest","Interest","?")))))))</f>
        <v>0</v>
      </c>
      <c r="AM508">
        <f>IF(OR(AK508=ReachLabel,AK508=LongshotLabel,AK508=HailMaryLabel),1,0)</f>
        <v>0</v>
      </c>
      <c r="AN508">
        <f>IF(OR(AM508=1,AK508=MatchLabel),1,0)</f>
        <v>0</v>
      </c>
      <c r="AO508">
        <f>IF(OR(AK508=MatchLabel,AK508=SafetyLabel,AK508=SecureLabel,AK508=SureThingLabel),1,0)</f>
        <v>0</v>
      </c>
      <c r="AP508">
        <f>IF(OR(T508="H",T508="B"),IF(ISNUMBER(Y508),ROUND(Y508,2),0),IF(ISNUMBER(X508),ROUND(X508,2),0))</f>
        <v>0</v>
      </c>
      <c r="AQ508">
        <f>IF(AP508&gt;=U508,1,0)</f>
        <v>0</v>
      </c>
      <c r="AR508">
        <f>IF(AP508&gt;=V508,1,0)</f>
        <v>0</v>
      </c>
      <c r="AS508">
        <f>IF(AP508&lt;(U508-0.10),1,0)</f>
        <v>0</v>
      </c>
      <c r="AT508">
        <f>1-AJ508/100</f>
        <v>0</v>
      </c>
      <c r="AU508">
        <f>IF(AN508=1,AT508,1)</f>
        <v>0</v>
      </c>
      <c r="AV508">
        <f>IF(AM508=1,AT508,1)</f>
        <v>0</v>
      </c>
      <c r="AW508">
        <f>IF(AND(AQ508=1,ISNUMBER(AT508)),$AT508,1)</f>
        <v>0</v>
      </c>
      <c r="AX508">
        <f>IF(AND(AR508=1,ISNUMBER(AT508)),$AT508,1)</f>
        <v>0</v>
      </c>
      <c r="AY508">
        <f>IF(ISNUMBER(Y508),INDEX(AllCollegeMoney, MATCH(N508,AllCollegeNCES,0)),0)</f>
        <v>0</v>
      </c>
      <c r="AZ508">
        <f>IF(AND(AQ508=1,ISNUMBER(AT508),AY508=1),$AT508,1)</f>
        <v>0</v>
      </c>
      <c r="BA508">
        <f>IF(AND(AR508=1,ISNUMBER(AT508),AY508=1),$AT508,1)</f>
        <v>0</v>
      </c>
      <c r="BB508">
        <f>IF(ISNUMBER(Y508),INDEX(AllCollegeILPub, MATCH(N508,AllCollegeNCES,0)),0)</f>
        <v>0</v>
      </c>
      <c r="BC508">
        <f>IF(AK508=ReachLabel,AP508,0)</f>
        <v>0</v>
      </c>
      <c r="BD508">
        <f>IF(AK508=MatchLabel,AP508,0)</f>
        <v>0</v>
      </c>
      <c r="BE508">
        <f>IF(AK508=SafetyLabel,AP508,0)</f>
        <v>0</v>
      </c>
      <c r="BF508">
        <f>IF(AK508=SecureLabel,AP508,0)</f>
        <v>0</v>
      </c>
      <c r="BG508">
        <f>IF(AK508=SureThingLabel,AP508,0)</f>
        <v>0</v>
      </c>
      <c r="BH508">
        <f>MAX(BC508:BG508)</f>
        <v>0</v>
      </c>
      <c r="BI508">
        <f>MAX(BD508:BG508)</f>
        <v>0</v>
      </c>
      <c r="BJ508">
        <f>MAX(BE508:BG508)</f>
        <v>0</v>
      </c>
      <c r="BK508">
        <f>IF(AND(AK508=ReachLabel,AY508=1),AP508,0)</f>
        <v>0</v>
      </c>
      <c r="BL508">
        <f>IF(AND(AK508=MatchLabel,AY508=1),AP508,0)</f>
        <v>0</v>
      </c>
      <c r="BM508">
        <f>IF(AND(AK508=SafetyLabel,AY508=1),AP508,0)</f>
        <v>0</v>
      </c>
      <c r="BN508">
        <f>IF(AND(AK508=SecureLabel,AY508=1),AP508,0)</f>
        <v>0</v>
      </c>
      <c r="BO508">
        <f>IF(AND(AK508=SureThingLabel,AY508=1),AP508,0)</f>
        <v>0</v>
      </c>
      <c r="BP508">
        <f>MAX(BK508:BO508)</f>
        <v>0</v>
      </c>
      <c r="BQ508">
        <f>MAX(BL508:BO508)</f>
        <v>0</v>
      </c>
      <c r="BR508">
        <f>MAX(BM508:BO508)</f>
        <v>0</v>
      </c>
      <c r="BS508">
        <f>IF(ISNUMBER(Y508),INDEX(AllCollegeChicago, MATCH(N508,AllCollegeNCES,0))*AY508,0)</f>
        <v>0</v>
      </c>
      <c r="BT508">
        <f>IF(ISNUMBER(Y508),INDEX(AllCollegeMoneyCode, MATCH(N508,AllCollegeNCES,0)),"?")</f>
        <v>0</v>
      </c>
      <c r="BU508">
        <f>IF(OR(BT508="---",BT508="--",BT508="+/--",BT508="+/---"),1,0)</f>
        <v>0</v>
      </c>
      <c r="BV508">
        <f>AY508*AO508*AQ508</f>
        <v>0</v>
      </c>
    </row>
    <row r="509" spans="1:74">
      <c r="A509" t="s">
        <v>86</v>
      </c>
      <c r="B509">
        <v>23473460</v>
      </c>
      <c r="C509" t="s">
        <v>239</v>
      </c>
      <c r="D509" t="s">
        <v>240</v>
      </c>
      <c r="E509" t="s">
        <v>428</v>
      </c>
      <c r="F509" t="s">
        <v>502</v>
      </c>
      <c r="G509" t="s">
        <v>430</v>
      </c>
      <c r="H509" t="s">
        <v>431</v>
      </c>
      <c r="I509" t="s">
        <v>432</v>
      </c>
      <c r="J509" t="s">
        <v>432</v>
      </c>
      <c r="K509">
        <v>0</v>
      </c>
      <c r="L509" t="s">
        <v>428</v>
      </c>
      <c r="M509" t="s">
        <v>428</v>
      </c>
      <c r="N509">
        <v>145813</v>
      </c>
      <c r="O509">
        <f>INDEX(AllCollegeBarrons,MATCH(N509,AllCollegeNCES,0))</f>
        <v>0</v>
      </c>
      <c r="P509">
        <f>INDEX(KidGPAs,MATCH(B509,KidIDs,0))</f>
        <v>0</v>
      </c>
      <c r="Q509">
        <f>INDEX(KidACTs,MATCH(B509,KidIDs,0))</f>
        <v>0</v>
      </c>
      <c r="R509">
        <f>INDEX(Strats,MATCH(B509,KidIDs,0))</f>
        <v>0</v>
      </c>
      <c r="S509">
        <f>INDEX(KidRace,MATCH(B509,KidIDs,0))</f>
        <v>0</v>
      </c>
      <c r="T509">
        <f>IF(OR(S509="M",S509="I"),"H",S509)</f>
        <v>0</v>
      </c>
      <c r="U509">
        <f>INDEX(StudentTargets,MATCH(B509,KidIDs,0))</f>
        <v>0</v>
      </c>
      <c r="V509">
        <f>INDEX(ReachStudentTargets,MATCH(B509,KidIDs,0))</f>
        <v>0</v>
      </c>
      <c r="W509">
        <f>IF(OR(M509="Posse"),1,0)</f>
        <v>0</v>
      </c>
      <c r="X509">
        <f>IF(ISNUMBER(INDEX(AllCollegeGR, MATCH(N509,AllCollegeNCES,0))),ROUND(INDEX(AllCollegeGR, MATCH(N509,AllCollegeNCES,0))+W509*IF(INDEX(AllCollegeGR, MATCH(N509,AllCollegeNCES,0))&gt;0.7,(1-INDEX(AllCollegeGR, MATCH(N509,AllCollegeNCES,0)))/2,0.15),2),INDEX(AllCollegeGR, MATCH(N509,AllCollegeNCES,0)))</f>
        <v>0</v>
      </c>
      <c r="Y509">
        <f>IF(ISNUMBER(INDEX(AllCollegeAAHGR, MATCH(N509,AllCollegeNCES,0))),ROUND(INDEX(AllCollegeAAHGR, MATCH(N509,AllCollegeNCES,0))+W509*IF(INDEX(AllCollegeAAHGR, MATCH(N509,AllCollegeNCES,0))&gt;0.7,(1-INDEX(AllCollegeAAHGR, MATCH(N509,AllCollegeNCES,0)))/2,0.15),2),INDEX(AllCollegeAAHGR, MATCH(N509,AllCollegeNCES,0)))</f>
        <v>0</v>
      </c>
      <c r="Z509">
        <f>IF(OR(T509="H",T509="B"),INDEX(AllCollegeACT25, MATCH(N509,AllCollegeNCES,0)),INDEX(AllCollegeACT50, MATCH(N509,AllCollegeNCES,0)))</f>
        <v>0</v>
      </c>
      <c r="AA509">
        <f>INDEX(CustomWeightsGPA,MATCH(T509&amp;":"&amp;N509,CustomWeightsIndex,0))</f>
        <v>0</v>
      </c>
      <c r="AB509">
        <f>INDEX(CustomWeightsACT,MATCH(T509&amp;":"&amp;N509,CustomWeightsIndex,0))</f>
        <v>0</v>
      </c>
      <c r="AC509">
        <f>INDEX(CustomWeightsIntercept,MATCH(T509&amp;":"&amp;N509,CustomWeightsIndex,0))</f>
        <v>0</v>
      </c>
      <c r="AD509">
        <f>AA509*P509+AB509*Q509+AC509</f>
        <v>0</v>
      </c>
      <c r="AE509">
        <f>INDEX(CoefficientsGPA,MATCH(T509&amp;":"&amp;O509,CoefficientsIndex,0))</f>
        <v>0</v>
      </c>
      <c r="AF509">
        <f>INDEX(CoefficientsACT,MATCH(T509&amp;":"&amp;O509,CoefficientsIndex,0))</f>
        <v>0</v>
      </c>
      <c r="AG509">
        <f>INDEX(CoefficientsIntercept,MATCH(T509&amp;":"&amp;O509,CoefficientsIndex,0))</f>
        <v>0</v>
      </c>
      <c r="AH509">
        <f>AE509*P509+(Q509-Z509)*AF509+AG509</f>
        <v>0</v>
      </c>
      <c r="AI509">
        <f>IF(ISNUMBER(AD509),AD509,AH509)</f>
        <v>0</v>
      </c>
      <c r="AJ509">
        <f>IF(ISNUMBER(AI509),IF(ISNUMBER(AE509),IF(AND(AE509=1,AF509=1,AG509=1),100,ROUND(100*EXP(AI509)/(1+EXP(AI509)),2)),ROUND(100*EXP(AI509)/(1+EXP(AI509)),2)),IF(ISTEXT(O509),IF(LEFT(O509,1)="2",100,"N/A"),"N/A"))</f>
        <v>0</v>
      </c>
      <c r="AK509">
        <f>IF(ISNUMBER(AJ509),IF(AJ509&gt;=99,IF(OR(R509=10,R509=11),MatchLabel,SureThingLabel),IF(AJ509&gt;=95,SecureLabel,IF(AJ509&gt;=80,SafetyLabel,IF(AJ509&gt;=50,MatchLabel,IF(AJ509&gt;=20,ReachLabel,IF(AJ509&gt;=10,LongshotLabel,HailMaryLabel)))))),"Other")</f>
        <v>0</v>
      </c>
      <c r="AL509">
        <f>IF(OR(I509="accepted",I509="cond. accept",I509="summer admit"),IF(J509="yes","CHOICE!","Accepted!"),IF(I509="denied","Denied",IF(K509=1,"Waitlist",IF(L509=1,"Deferred",IF(G509="pending","Pending",IF(OR(G509="initial materials submitted",G509="mid-year submitted",G509="final submitted"),"Submitted",IF(H509="interest","Interest","?")))))))</f>
        <v>0</v>
      </c>
      <c r="AM509">
        <f>IF(OR(AK509=ReachLabel,AK509=LongshotLabel,AK509=HailMaryLabel),1,0)</f>
        <v>0</v>
      </c>
      <c r="AN509">
        <f>IF(OR(AM509=1,AK509=MatchLabel),1,0)</f>
        <v>0</v>
      </c>
      <c r="AO509">
        <f>IF(OR(AK509=MatchLabel,AK509=SafetyLabel,AK509=SecureLabel,AK509=SureThingLabel),1,0)</f>
        <v>0</v>
      </c>
      <c r="AP509">
        <f>IF(OR(T509="H",T509="B"),IF(ISNUMBER(Y509),ROUND(Y509,2),0),IF(ISNUMBER(X509),ROUND(X509,2),0))</f>
        <v>0</v>
      </c>
      <c r="AQ509">
        <f>IF(AP509&gt;=U509,1,0)</f>
        <v>0</v>
      </c>
      <c r="AR509">
        <f>IF(AP509&gt;=V509,1,0)</f>
        <v>0</v>
      </c>
      <c r="AS509">
        <f>IF(AP509&lt;(U509-0.10),1,0)</f>
        <v>0</v>
      </c>
      <c r="AT509">
        <f>1-AJ509/100</f>
        <v>0</v>
      </c>
      <c r="AU509">
        <f>IF(AN509=1,AT509,1)</f>
        <v>0</v>
      </c>
      <c r="AV509">
        <f>IF(AM509=1,AT509,1)</f>
        <v>0</v>
      </c>
      <c r="AW509">
        <f>IF(AND(AQ509=1,ISNUMBER(AT509)),$AT509,1)</f>
        <v>0</v>
      </c>
      <c r="AX509">
        <f>IF(AND(AR509=1,ISNUMBER(AT509)),$AT509,1)</f>
        <v>0</v>
      </c>
      <c r="AY509">
        <f>IF(ISNUMBER(Y509),INDEX(AllCollegeMoney, MATCH(N509,AllCollegeNCES,0)),0)</f>
        <v>0</v>
      </c>
      <c r="AZ509">
        <f>IF(AND(AQ509=1,ISNUMBER(AT509),AY509=1),$AT509,1)</f>
        <v>0</v>
      </c>
      <c r="BA509">
        <f>IF(AND(AR509=1,ISNUMBER(AT509),AY509=1),$AT509,1)</f>
        <v>0</v>
      </c>
      <c r="BB509">
        <f>IF(ISNUMBER(Y509),INDEX(AllCollegeILPub, MATCH(N509,AllCollegeNCES,0)),0)</f>
        <v>0</v>
      </c>
      <c r="BC509">
        <f>IF(AK509=ReachLabel,AP509,0)</f>
        <v>0</v>
      </c>
      <c r="BD509">
        <f>IF(AK509=MatchLabel,AP509,0)</f>
        <v>0</v>
      </c>
      <c r="BE509">
        <f>IF(AK509=SafetyLabel,AP509,0)</f>
        <v>0</v>
      </c>
      <c r="BF509">
        <f>IF(AK509=SecureLabel,AP509,0)</f>
        <v>0</v>
      </c>
      <c r="BG509">
        <f>IF(AK509=SureThingLabel,AP509,0)</f>
        <v>0</v>
      </c>
      <c r="BH509">
        <f>MAX(BC509:BG509)</f>
        <v>0</v>
      </c>
      <c r="BI509">
        <f>MAX(BD509:BG509)</f>
        <v>0</v>
      </c>
      <c r="BJ509">
        <f>MAX(BE509:BG509)</f>
        <v>0</v>
      </c>
      <c r="BK509">
        <f>IF(AND(AK509=ReachLabel,AY509=1),AP509,0)</f>
        <v>0</v>
      </c>
      <c r="BL509">
        <f>IF(AND(AK509=MatchLabel,AY509=1),AP509,0)</f>
        <v>0</v>
      </c>
      <c r="BM509">
        <f>IF(AND(AK509=SafetyLabel,AY509=1),AP509,0)</f>
        <v>0</v>
      </c>
      <c r="BN509">
        <f>IF(AND(AK509=SecureLabel,AY509=1),AP509,0)</f>
        <v>0</v>
      </c>
      <c r="BO509">
        <f>IF(AND(AK509=SureThingLabel,AY509=1),AP509,0)</f>
        <v>0</v>
      </c>
      <c r="BP509">
        <f>MAX(BK509:BO509)</f>
        <v>0</v>
      </c>
      <c r="BQ509">
        <f>MAX(BL509:BO509)</f>
        <v>0</v>
      </c>
      <c r="BR509">
        <f>MAX(BM509:BO509)</f>
        <v>0</v>
      </c>
      <c r="BS509">
        <f>IF(ISNUMBER(Y509),INDEX(AllCollegeChicago, MATCH(N509,AllCollegeNCES,0))*AY509,0)</f>
        <v>0</v>
      </c>
      <c r="BT509">
        <f>IF(ISNUMBER(Y509),INDEX(AllCollegeMoneyCode, MATCH(N509,AllCollegeNCES,0)),"?")</f>
        <v>0</v>
      </c>
      <c r="BU509">
        <f>IF(OR(BT509="---",BT509="--",BT509="+/--",BT509="+/---"),1,0)</f>
        <v>0</v>
      </c>
      <c r="BV509">
        <f>AY509*AO509*AQ509</f>
        <v>0</v>
      </c>
    </row>
    <row r="510" spans="1:74">
      <c r="A510" t="s">
        <v>86</v>
      </c>
      <c r="B510">
        <v>23473460</v>
      </c>
      <c r="C510" t="s">
        <v>239</v>
      </c>
      <c r="D510" t="s">
        <v>240</v>
      </c>
      <c r="E510" t="s">
        <v>428</v>
      </c>
      <c r="F510" t="s">
        <v>447</v>
      </c>
      <c r="G510" t="s">
        <v>430</v>
      </c>
      <c r="H510" t="s">
        <v>431</v>
      </c>
      <c r="I510" t="s">
        <v>432</v>
      </c>
      <c r="J510" t="s">
        <v>432</v>
      </c>
      <c r="K510">
        <v>0</v>
      </c>
      <c r="L510" t="s">
        <v>428</v>
      </c>
      <c r="M510" t="s">
        <v>428</v>
      </c>
      <c r="N510">
        <v>145600</v>
      </c>
      <c r="O510">
        <f>INDEX(AllCollegeBarrons,MATCH(N510,AllCollegeNCES,0))</f>
        <v>0</v>
      </c>
      <c r="P510">
        <f>INDEX(KidGPAs,MATCH(B510,KidIDs,0))</f>
        <v>0</v>
      </c>
      <c r="Q510">
        <f>INDEX(KidACTs,MATCH(B510,KidIDs,0))</f>
        <v>0</v>
      </c>
      <c r="R510">
        <f>INDEX(Strats,MATCH(B510,KidIDs,0))</f>
        <v>0</v>
      </c>
      <c r="S510">
        <f>INDEX(KidRace,MATCH(B510,KidIDs,0))</f>
        <v>0</v>
      </c>
      <c r="T510">
        <f>IF(OR(S510="M",S510="I"),"H",S510)</f>
        <v>0</v>
      </c>
      <c r="U510">
        <f>INDEX(StudentTargets,MATCH(B510,KidIDs,0))</f>
        <v>0</v>
      </c>
      <c r="V510">
        <f>INDEX(ReachStudentTargets,MATCH(B510,KidIDs,0))</f>
        <v>0</v>
      </c>
      <c r="W510">
        <f>IF(OR(M510="Posse"),1,0)</f>
        <v>0</v>
      </c>
      <c r="X510">
        <f>IF(ISNUMBER(INDEX(AllCollegeGR, MATCH(N510,AllCollegeNCES,0))),ROUND(INDEX(AllCollegeGR, MATCH(N510,AllCollegeNCES,0))+W510*IF(INDEX(AllCollegeGR, MATCH(N510,AllCollegeNCES,0))&gt;0.7,(1-INDEX(AllCollegeGR, MATCH(N510,AllCollegeNCES,0)))/2,0.15),2),INDEX(AllCollegeGR, MATCH(N510,AllCollegeNCES,0)))</f>
        <v>0</v>
      </c>
      <c r="Y510">
        <f>IF(ISNUMBER(INDEX(AllCollegeAAHGR, MATCH(N510,AllCollegeNCES,0))),ROUND(INDEX(AllCollegeAAHGR, MATCH(N510,AllCollegeNCES,0))+W510*IF(INDEX(AllCollegeAAHGR, MATCH(N510,AllCollegeNCES,0))&gt;0.7,(1-INDEX(AllCollegeAAHGR, MATCH(N510,AllCollegeNCES,0)))/2,0.15),2),INDEX(AllCollegeAAHGR, MATCH(N510,AllCollegeNCES,0)))</f>
        <v>0</v>
      </c>
      <c r="Z510">
        <f>IF(OR(T510="H",T510="B"),INDEX(AllCollegeACT25, MATCH(N510,AllCollegeNCES,0)),INDEX(AllCollegeACT50, MATCH(N510,AllCollegeNCES,0)))</f>
        <v>0</v>
      </c>
      <c r="AA510">
        <f>INDEX(CustomWeightsGPA,MATCH(T510&amp;":"&amp;N510,CustomWeightsIndex,0))</f>
        <v>0</v>
      </c>
      <c r="AB510">
        <f>INDEX(CustomWeightsACT,MATCH(T510&amp;":"&amp;N510,CustomWeightsIndex,0))</f>
        <v>0</v>
      </c>
      <c r="AC510">
        <f>INDEX(CustomWeightsIntercept,MATCH(T510&amp;":"&amp;N510,CustomWeightsIndex,0))</f>
        <v>0</v>
      </c>
      <c r="AD510">
        <f>AA510*P510+AB510*Q510+AC510</f>
        <v>0</v>
      </c>
      <c r="AE510">
        <f>INDEX(CoefficientsGPA,MATCH(T510&amp;":"&amp;O510,CoefficientsIndex,0))</f>
        <v>0</v>
      </c>
      <c r="AF510">
        <f>INDEX(CoefficientsACT,MATCH(T510&amp;":"&amp;O510,CoefficientsIndex,0))</f>
        <v>0</v>
      </c>
      <c r="AG510">
        <f>INDEX(CoefficientsIntercept,MATCH(T510&amp;":"&amp;O510,CoefficientsIndex,0))</f>
        <v>0</v>
      </c>
      <c r="AH510">
        <f>AE510*P510+(Q510-Z510)*AF510+AG510</f>
        <v>0</v>
      </c>
      <c r="AI510">
        <f>IF(ISNUMBER(AD510),AD510,AH510)</f>
        <v>0</v>
      </c>
      <c r="AJ510">
        <f>IF(ISNUMBER(AI510),IF(ISNUMBER(AE510),IF(AND(AE510=1,AF510=1,AG510=1),100,ROUND(100*EXP(AI510)/(1+EXP(AI510)),2)),ROUND(100*EXP(AI510)/(1+EXP(AI510)),2)),IF(ISTEXT(O510),IF(LEFT(O510,1)="2",100,"N/A"),"N/A"))</f>
        <v>0</v>
      </c>
      <c r="AK510">
        <f>IF(ISNUMBER(AJ510),IF(AJ510&gt;=99,IF(OR(R510=10,R510=11),MatchLabel,SureThingLabel),IF(AJ510&gt;=95,SecureLabel,IF(AJ510&gt;=80,SafetyLabel,IF(AJ510&gt;=50,MatchLabel,IF(AJ510&gt;=20,ReachLabel,IF(AJ510&gt;=10,LongshotLabel,HailMaryLabel)))))),"Other")</f>
        <v>0</v>
      </c>
      <c r="AL510">
        <f>IF(OR(I510="accepted",I510="cond. accept",I510="summer admit"),IF(J510="yes","CHOICE!","Accepted!"),IF(I510="denied","Denied",IF(K510=1,"Waitlist",IF(L510=1,"Deferred",IF(G510="pending","Pending",IF(OR(G510="initial materials submitted",G510="mid-year submitted",G510="final submitted"),"Submitted",IF(H510="interest","Interest","?")))))))</f>
        <v>0</v>
      </c>
      <c r="AM510">
        <f>IF(OR(AK510=ReachLabel,AK510=LongshotLabel,AK510=HailMaryLabel),1,0)</f>
        <v>0</v>
      </c>
      <c r="AN510">
        <f>IF(OR(AM510=1,AK510=MatchLabel),1,0)</f>
        <v>0</v>
      </c>
      <c r="AO510">
        <f>IF(OR(AK510=MatchLabel,AK510=SafetyLabel,AK510=SecureLabel,AK510=SureThingLabel),1,0)</f>
        <v>0</v>
      </c>
      <c r="AP510">
        <f>IF(OR(T510="H",T510="B"),IF(ISNUMBER(Y510),ROUND(Y510,2),0),IF(ISNUMBER(X510),ROUND(X510,2),0))</f>
        <v>0</v>
      </c>
      <c r="AQ510">
        <f>IF(AP510&gt;=U510,1,0)</f>
        <v>0</v>
      </c>
      <c r="AR510">
        <f>IF(AP510&gt;=V510,1,0)</f>
        <v>0</v>
      </c>
      <c r="AS510">
        <f>IF(AP510&lt;(U510-0.10),1,0)</f>
        <v>0</v>
      </c>
      <c r="AT510">
        <f>1-AJ510/100</f>
        <v>0</v>
      </c>
      <c r="AU510">
        <f>IF(AN510=1,AT510,1)</f>
        <v>0</v>
      </c>
      <c r="AV510">
        <f>IF(AM510=1,AT510,1)</f>
        <v>0</v>
      </c>
      <c r="AW510">
        <f>IF(AND(AQ510=1,ISNUMBER(AT510)),$AT510,1)</f>
        <v>0</v>
      </c>
      <c r="AX510">
        <f>IF(AND(AR510=1,ISNUMBER(AT510)),$AT510,1)</f>
        <v>0</v>
      </c>
      <c r="AY510">
        <f>IF(ISNUMBER(Y510),INDEX(AllCollegeMoney, MATCH(N510,AllCollegeNCES,0)),0)</f>
        <v>0</v>
      </c>
      <c r="AZ510">
        <f>IF(AND(AQ510=1,ISNUMBER(AT510),AY510=1),$AT510,1)</f>
        <v>0</v>
      </c>
      <c r="BA510">
        <f>IF(AND(AR510=1,ISNUMBER(AT510),AY510=1),$AT510,1)</f>
        <v>0</v>
      </c>
      <c r="BB510">
        <f>IF(ISNUMBER(Y510),INDEX(AllCollegeILPub, MATCH(N510,AllCollegeNCES,0)),0)</f>
        <v>0</v>
      </c>
      <c r="BC510">
        <f>IF(AK510=ReachLabel,AP510,0)</f>
        <v>0</v>
      </c>
      <c r="BD510">
        <f>IF(AK510=MatchLabel,AP510,0)</f>
        <v>0</v>
      </c>
      <c r="BE510">
        <f>IF(AK510=SafetyLabel,AP510,0)</f>
        <v>0</v>
      </c>
      <c r="BF510">
        <f>IF(AK510=SecureLabel,AP510,0)</f>
        <v>0</v>
      </c>
      <c r="BG510">
        <f>IF(AK510=SureThingLabel,AP510,0)</f>
        <v>0</v>
      </c>
      <c r="BH510">
        <f>MAX(BC510:BG510)</f>
        <v>0</v>
      </c>
      <c r="BI510">
        <f>MAX(BD510:BG510)</f>
        <v>0</v>
      </c>
      <c r="BJ510">
        <f>MAX(BE510:BG510)</f>
        <v>0</v>
      </c>
      <c r="BK510">
        <f>IF(AND(AK510=ReachLabel,AY510=1),AP510,0)</f>
        <v>0</v>
      </c>
      <c r="BL510">
        <f>IF(AND(AK510=MatchLabel,AY510=1),AP510,0)</f>
        <v>0</v>
      </c>
      <c r="BM510">
        <f>IF(AND(AK510=SafetyLabel,AY510=1),AP510,0)</f>
        <v>0</v>
      </c>
      <c r="BN510">
        <f>IF(AND(AK510=SecureLabel,AY510=1),AP510,0)</f>
        <v>0</v>
      </c>
      <c r="BO510">
        <f>IF(AND(AK510=SureThingLabel,AY510=1),AP510,0)</f>
        <v>0</v>
      </c>
      <c r="BP510">
        <f>MAX(BK510:BO510)</f>
        <v>0</v>
      </c>
      <c r="BQ510">
        <f>MAX(BL510:BO510)</f>
        <v>0</v>
      </c>
      <c r="BR510">
        <f>MAX(BM510:BO510)</f>
        <v>0</v>
      </c>
      <c r="BS510">
        <f>IF(ISNUMBER(Y510),INDEX(AllCollegeChicago, MATCH(N510,AllCollegeNCES,0))*AY510,0)</f>
        <v>0</v>
      </c>
      <c r="BT510">
        <f>IF(ISNUMBER(Y510),INDEX(AllCollegeMoneyCode, MATCH(N510,AllCollegeNCES,0)),"?")</f>
        <v>0</v>
      </c>
      <c r="BU510">
        <f>IF(OR(BT510="---",BT510="--",BT510="+/--",BT510="+/---"),1,0)</f>
        <v>0</v>
      </c>
      <c r="BV510">
        <f>AY510*AO510*AQ510</f>
        <v>0</v>
      </c>
    </row>
    <row r="511" spans="1:74">
      <c r="A511" t="s">
        <v>86</v>
      </c>
      <c r="B511">
        <v>23476024</v>
      </c>
      <c r="C511" t="s">
        <v>227</v>
      </c>
      <c r="D511" t="s">
        <v>228</v>
      </c>
      <c r="E511" t="s">
        <v>428</v>
      </c>
      <c r="F511" t="s">
        <v>465</v>
      </c>
      <c r="G511" t="s">
        <v>430</v>
      </c>
      <c r="H511" t="s">
        <v>431</v>
      </c>
      <c r="I511" t="s">
        <v>432</v>
      </c>
      <c r="J511" t="s">
        <v>432</v>
      </c>
      <c r="K511">
        <v>0</v>
      </c>
      <c r="L511" t="s">
        <v>428</v>
      </c>
      <c r="M511" t="s">
        <v>428</v>
      </c>
      <c r="N511">
        <v>212577</v>
      </c>
      <c r="O511">
        <f>INDEX(AllCollegeBarrons,MATCH(N511,AllCollegeNCES,0))</f>
        <v>0</v>
      </c>
      <c r="P511">
        <f>INDEX(KidGPAs,MATCH(B511,KidIDs,0))</f>
        <v>0</v>
      </c>
      <c r="Q511">
        <f>INDEX(KidACTs,MATCH(B511,KidIDs,0))</f>
        <v>0</v>
      </c>
      <c r="R511">
        <f>INDEX(Strats,MATCH(B511,KidIDs,0))</f>
        <v>0</v>
      </c>
      <c r="S511">
        <f>INDEX(KidRace,MATCH(B511,KidIDs,0))</f>
        <v>0</v>
      </c>
      <c r="T511">
        <f>IF(OR(S511="M",S511="I"),"H",S511)</f>
        <v>0</v>
      </c>
      <c r="U511">
        <f>INDEX(StudentTargets,MATCH(B511,KidIDs,0))</f>
        <v>0</v>
      </c>
      <c r="V511">
        <f>INDEX(ReachStudentTargets,MATCH(B511,KidIDs,0))</f>
        <v>0</v>
      </c>
      <c r="W511">
        <f>IF(OR(M511="Posse"),1,0)</f>
        <v>0</v>
      </c>
      <c r="X511">
        <f>IF(ISNUMBER(INDEX(AllCollegeGR, MATCH(N511,AllCollegeNCES,0))),ROUND(INDEX(AllCollegeGR, MATCH(N511,AllCollegeNCES,0))+W511*IF(INDEX(AllCollegeGR, MATCH(N511,AllCollegeNCES,0))&gt;0.7,(1-INDEX(AllCollegeGR, MATCH(N511,AllCollegeNCES,0)))/2,0.15),2),INDEX(AllCollegeGR, MATCH(N511,AllCollegeNCES,0)))</f>
        <v>0</v>
      </c>
      <c r="Y511">
        <f>IF(ISNUMBER(INDEX(AllCollegeAAHGR, MATCH(N511,AllCollegeNCES,0))),ROUND(INDEX(AllCollegeAAHGR, MATCH(N511,AllCollegeNCES,0))+W511*IF(INDEX(AllCollegeAAHGR, MATCH(N511,AllCollegeNCES,0))&gt;0.7,(1-INDEX(AllCollegeAAHGR, MATCH(N511,AllCollegeNCES,0)))/2,0.15),2),INDEX(AllCollegeAAHGR, MATCH(N511,AllCollegeNCES,0)))</f>
        <v>0</v>
      </c>
      <c r="Z511">
        <f>IF(OR(T511="H",T511="B"),INDEX(AllCollegeACT25, MATCH(N511,AllCollegeNCES,0)),INDEX(AllCollegeACT50, MATCH(N511,AllCollegeNCES,0)))</f>
        <v>0</v>
      </c>
      <c r="AA511">
        <f>INDEX(CustomWeightsGPA,MATCH(T511&amp;":"&amp;N511,CustomWeightsIndex,0))</f>
        <v>0</v>
      </c>
      <c r="AB511">
        <f>INDEX(CustomWeightsACT,MATCH(T511&amp;":"&amp;N511,CustomWeightsIndex,0))</f>
        <v>0</v>
      </c>
      <c r="AC511">
        <f>INDEX(CustomWeightsIntercept,MATCH(T511&amp;":"&amp;N511,CustomWeightsIndex,0))</f>
        <v>0</v>
      </c>
      <c r="AD511">
        <f>AA511*P511+AB511*Q511+AC511</f>
        <v>0</v>
      </c>
      <c r="AE511">
        <f>INDEX(CoefficientsGPA,MATCH(T511&amp;":"&amp;O511,CoefficientsIndex,0))</f>
        <v>0</v>
      </c>
      <c r="AF511">
        <f>INDEX(CoefficientsACT,MATCH(T511&amp;":"&amp;O511,CoefficientsIndex,0))</f>
        <v>0</v>
      </c>
      <c r="AG511">
        <f>INDEX(CoefficientsIntercept,MATCH(T511&amp;":"&amp;O511,CoefficientsIndex,0))</f>
        <v>0</v>
      </c>
      <c r="AH511">
        <f>AE511*P511+(Q511-Z511)*AF511+AG511</f>
        <v>0</v>
      </c>
      <c r="AI511">
        <f>IF(ISNUMBER(AD511),AD511,AH511)</f>
        <v>0</v>
      </c>
      <c r="AJ511">
        <f>IF(ISNUMBER(AI511),IF(ISNUMBER(AE511),IF(AND(AE511=1,AF511=1,AG511=1),100,ROUND(100*EXP(AI511)/(1+EXP(AI511)),2)),ROUND(100*EXP(AI511)/(1+EXP(AI511)),2)),IF(ISTEXT(O511),IF(LEFT(O511,1)="2",100,"N/A"),"N/A"))</f>
        <v>0</v>
      </c>
      <c r="AK511">
        <f>IF(ISNUMBER(AJ511),IF(AJ511&gt;=99,IF(OR(R511=10,R511=11),MatchLabel,SureThingLabel),IF(AJ511&gt;=95,SecureLabel,IF(AJ511&gt;=80,SafetyLabel,IF(AJ511&gt;=50,MatchLabel,IF(AJ511&gt;=20,ReachLabel,IF(AJ511&gt;=10,LongshotLabel,HailMaryLabel)))))),"Other")</f>
        <v>0</v>
      </c>
      <c r="AL511">
        <f>IF(OR(I511="accepted",I511="cond. accept",I511="summer admit"),IF(J511="yes","CHOICE!","Accepted!"),IF(I511="denied","Denied",IF(K511=1,"Waitlist",IF(L511=1,"Deferred",IF(G511="pending","Pending",IF(OR(G511="initial materials submitted",G511="mid-year submitted",G511="final submitted"),"Submitted",IF(H511="interest","Interest","?")))))))</f>
        <v>0</v>
      </c>
      <c r="AM511">
        <f>IF(OR(AK511=ReachLabel,AK511=LongshotLabel,AK511=HailMaryLabel),1,0)</f>
        <v>0</v>
      </c>
      <c r="AN511">
        <f>IF(OR(AM511=1,AK511=MatchLabel),1,0)</f>
        <v>0</v>
      </c>
      <c r="AO511">
        <f>IF(OR(AK511=MatchLabel,AK511=SafetyLabel,AK511=SecureLabel,AK511=SureThingLabel),1,0)</f>
        <v>0</v>
      </c>
      <c r="AP511">
        <f>IF(OR(T511="H",T511="B"),IF(ISNUMBER(Y511),ROUND(Y511,2),0),IF(ISNUMBER(X511),ROUND(X511,2),0))</f>
        <v>0</v>
      </c>
      <c r="AQ511">
        <f>IF(AP511&gt;=U511,1,0)</f>
        <v>0</v>
      </c>
      <c r="AR511">
        <f>IF(AP511&gt;=V511,1,0)</f>
        <v>0</v>
      </c>
      <c r="AS511">
        <f>IF(AP511&lt;(U511-0.10),1,0)</f>
        <v>0</v>
      </c>
      <c r="AT511">
        <f>1-AJ511/100</f>
        <v>0</v>
      </c>
      <c r="AU511">
        <f>IF(AN511=1,AT511,1)</f>
        <v>0</v>
      </c>
      <c r="AV511">
        <f>IF(AM511=1,AT511,1)</f>
        <v>0</v>
      </c>
      <c r="AW511">
        <f>IF(AND(AQ511=1,ISNUMBER(AT511)),$AT511,1)</f>
        <v>0</v>
      </c>
      <c r="AX511">
        <f>IF(AND(AR511=1,ISNUMBER(AT511)),$AT511,1)</f>
        <v>0</v>
      </c>
      <c r="AY511">
        <f>IF(ISNUMBER(Y511),INDEX(AllCollegeMoney, MATCH(N511,AllCollegeNCES,0)),0)</f>
        <v>0</v>
      </c>
      <c r="AZ511">
        <f>IF(AND(AQ511=1,ISNUMBER(AT511),AY511=1),$AT511,1)</f>
        <v>0</v>
      </c>
      <c r="BA511">
        <f>IF(AND(AR511=1,ISNUMBER(AT511),AY511=1),$AT511,1)</f>
        <v>0</v>
      </c>
      <c r="BB511">
        <f>IF(ISNUMBER(Y511),INDEX(AllCollegeILPub, MATCH(N511,AllCollegeNCES,0)),0)</f>
        <v>0</v>
      </c>
      <c r="BC511">
        <f>IF(AK511=ReachLabel,AP511,0)</f>
        <v>0</v>
      </c>
      <c r="BD511">
        <f>IF(AK511=MatchLabel,AP511,0)</f>
        <v>0</v>
      </c>
      <c r="BE511">
        <f>IF(AK511=SafetyLabel,AP511,0)</f>
        <v>0</v>
      </c>
      <c r="BF511">
        <f>IF(AK511=SecureLabel,AP511,0)</f>
        <v>0</v>
      </c>
      <c r="BG511">
        <f>IF(AK511=SureThingLabel,AP511,0)</f>
        <v>0</v>
      </c>
      <c r="BH511">
        <f>MAX(BC511:BG511)</f>
        <v>0</v>
      </c>
      <c r="BI511">
        <f>MAX(BD511:BG511)</f>
        <v>0</v>
      </c>
      <c r="BJ511">
        <f>MAX(BE511:BG511)</f>
        <v>0</v>
      </c>
      <c r="BK511">
        <f>IF(AND(AK511=ReachLabel,AY511=1),AP511,0)</f>
        <v>0</v>
      </c>
      <c r="BL511">
        <f>IF(AND(AK511=MatchLabel,AY511=1),AP511,0)</f>
        <v>0</v>
      </c>
      <c r="BM511">
        <f>IF(AND(AK511=SafetyLabel,AY511=1),AP511,0)</f>
        <v>0</v>
      </c>
      <c r="BN511">
        <f>IF(AND(AK511=SecureLabel,AY511=1),AP511,0)</f>
        <v>0</v>
      </c>
      <c r="BO511">
        <f>IF(AND(AK511=SureThingLabel,AY511=1),AP511,0)</f>
        <v>0</v>
      </c>
      <c r="BP511">
        <f>MAX(BK511:BO511)</f>
        <v>0</v>
      </c>
      <c r="BQ511">
        <f>MAX(BL511:BO511)</f>
        <v>0</v>
      </c>
      <c r="BR511">
        <f>MAX(BM511:BO511)</f>
        <v>0</v>
      </c>
      <c r="BS511">
        <f>IF(ISNUMBER(Y511),INDEX(AllCollegeChicago, MATCH(N511,AllCollegeNCES,0))*AY511,0)</f>
        <v>0</v>
      </c>
      <c r="BT511">
        <f>IF(ISNUMBER(Y511),INDEX(AllCollegeMoneyCode, MATCH(N511,AllCollegeNCES,0)),"?")</f>
        <v>0</v>
      </c>
      <c r="BU511">
        <f>IF(OR(BT511="---",BT511="--",BT511="+/--",BT511="+/---"),1,0)</f>
        <v>0</v>
      </c>
      <c r="BV511">
        <f>AY511*AO511*AQ511</f>
        <v>0</v>
      </c>
    </row>
    <row r="512" spans="1:74">
      <c r="A512" t="s">
        <v>86</v>
      </c>
      <c r="B512">
        <v>23476024</v>
      </c>
      <c r="C512" t="s">
        <v>227</v>
      </c>
      <c r="D512" t="s">
        <v>228</v>
      </c>
      <c r="E512" t="s">
        <v>428</v>
      </c>
      <c r="F512" t="s">
        <v>456</v>
      </c>
      <c r="G512" t="s">
        <v>430</v>
      </c>
      <c r="H512" t="s">
        <v>431</v>
      </c>
      <c r="I512" t="s">
        <v>432</v>
      </c>
      <c r="J512" t="s">
        <v>432</v>
      </c>
      <c r="K512">
        <v>0</v>
      </c>
      <c r="L512" t="s">
        <v>428</v>
      </c>
      <c r="M512" t="s">
        <v>428</v>
      </c>
      <c r="N512">
        <v>213668</v>
      </c>
      <c r="O512">
        <f>INDEX(AllCollegeBarrons,MATCH(N512,AllCollegeNCES,0))</f>
        <v>0</v>
      </c>
      <c r="P512">
        <f>INDEX(KidGPAs,MATCH(B512,KidIDs,0))</f>
        <v>0</v>
      </c>
      <c r="Q512">
        <f>INDEX(KidACTs,MATCH(B512,KidIDs,0))</f>
        <v>0</v>
      </c>
      <c r="R512">
        <f>INDEX(Strats,MATCH(B512,KidIDs,0))</f>
        <v>0</v>
      </c>
      <c r="S512">
        <f>INDEX(KidRace,MATCH(B512,KidIDs,0))</f>
        <v>0</v>
      </c>
      <c r="T512">
        <f>IF(OR(S512="M",S512="I"),"H",S512)</f>
        <v>0</v>
      </c>
      <c r="U512">
        <f>INDEX(StudentTargets,MATCH(B512,KidIDs,0))</f>
        <v>0</v>
      </c>
      <c r="V512">
        <f>INDEX(ReachStudentTargets,MATCH(B512,KidIDs,0))</f>
        <v>0</v>
      </c>
      <c r="W512">
        <f>IF(OR(M512="Posse"),1,0)</f>
        <v>0</v>
      </c>
      <c r="X512">
        <f>IF(ISNUMBER(INDEX(AllCollegeGR, MATCH(N512,AllCollegeNCES,0))),ROUND(INDEX(AllCollegeGR, MATCH(N512,AllCollegeNCES,0))+W512*IF(INDEX(AllCollegeGR, MATCH(N512,AllCollegeNCES,0))&gt;0.7,(1-INDEX(AllCollegeGR, MATCH(N512,AllCollegeNCES,0)))/2,0.15),2),INDEX(AllCollegeGR, MATCH(N512,AllCollegeNCES,0)))</f>
        <v>0</v>
      </c>
      <c r="Y512">
        <f>IF(ISNUMBER(INDEX(AllCollegeAAHGR, MATCH(N512,AllCollegeNCES,0))),ROUND(INDEX(AllCollegeAAHGR, MATCH(N512,AllCollegeNCES,0))+W512*IF(INDEX(AllCollegeAAHGR, MATCH(N512,AllCollegeNCES,0))&gt;0.7,(1-INDEX(AllCollegeAAHGR, MATCH(N512,AllCollegeNCES,0)))/2,0.15),2),INDEX(AllCollegeAAHGR, MATCH(N512,AllCollegeNCES,0)))</f>
        <v>0</v>
      </c>
      <c r="Z512">
        <f>IF(OR(T512="H",T512="B"),INDEX(AllCollegeACT25, MATCH(N512,AllCollegeNCES,0)),INDEX(AllCollegeACT50, MATCH(N512,AllCollegeNCES,0)))</f>
        <v>0</v>
      </c>
      <c r="AA512">
        <f>INDEX(CustomWeightsGPA,MATCH(T512&amp;":"&amp;N512,CustomWeightsIndex,0))</f>
        <v>0</v>
      </c>
      <c r="AB512">
        <f>INDEX(CustomWeightsACT,MATCH(T512&amp;":"&amp;N512,CustomWeightsIndex,0))</f>
        <v>0</v>
      </c>
      <c r="AC512">
        <f>INDEX(CustomWeightsIntercept,MATCH(T512&amp;":"&amp;N512,CustomWeightsIndex,0))</f>
        <v>0</v>
      </c>
      <c r="AD512">
        <f>AA512*P512+AB512*Q512+AC512</f>
        <v>0</v>
      </c>
      <c r="AE512">
        <f>INDEX(CoefficientsGPA,MATCH(T512&amp;":"&amp;O512,CoefficientsIndex,0))</f>
        <v>0</v>
      </c>
      <c r="AF512">
        <f>INDEX(CoefficientsACT,MATCH(T512&amp;":"&amp;O512,CoefficientsIndex,0))</f>
        <v>0</v>
      </c>
      <c r="AG512">
        <f>INDEX(CoefficientsIntercept,MATCH(T512&amp;":"&amp;O512,CoefficientsIndex,0))</f>
        <v>0</v>
      </c>
      <c r="AH512">
        <f>AE512*P512+(Q512-Z512)*AF512+AG512</f>
        <v>0</v>
      </c>
      <c r="AI512">
        <f>IF(ISNUMBER(AD512),AD512,AH512)</f>
        <v>0</v>
      </c>
      <c r="AJ512">
        <f>IF(ISNUMBER(AI512),IF(ISNUMBER(AE512),IF(AND(AE512=1,AF512=1,AG512=1),100,ROUND(100*EXP(AI512)/(1+EXP(AI512)),2)),ROUND(100*EXP(AI512)/(1+EXP(AI512)),2)),IF(ISTEXT(O512),IF(LEFT(O512,1)="2",100,"N/A"),"N/A"))</f>
        <v>0</v>
      </c>
      <c r="AK512">
        <f>IF(ISNUMBER(AJ512),IF(AJ512&gt;=99,IF(OR(R512=10,R512=11),MatchLabel,SureThingLabel),IF(AJ512&gt;=95,SecureLabel,IF(AJ512&gt;=80,SafetyLabel,IF(AJ512&gt;=50,MatchLabel,IF(AJ512&gt;=20,ReachLabel,IF(AJ512&gt;=10,LongshotLabel,HailMaryLabel)))))),"Other")</f>
        <v>0</v>
      </c>
      <c r="AL512">
        <f>IF(OR(I512="accepted",I512="cond. accept",I512="summer admit"),IF(J512="yes","CHOICE!","Accepted!"),IF(I512="denied","Denied",IF(K512=1,"Waitlist",IF(L512=1,"Deferred",IF(G512="pending","Pending",IF(OR(G512="initial materials submitted",G512="mid-year submitted",G512="final submitted"),"Submitted",IF(H512="interest","Interest","?")))))))</f>
        <v>0</v>
      </c>
      <c r="AM512">
        <f>IF(OR(AK512=ReachLabel,AK512=LongshotLabel,AK512=HailMaryLabel),1,0)</f>
        <v>0</v>
      </c>
      <c r="AN512">
        <f>IF(OR(AM512=1,AK512=MatchLabel),1,0)</f>
        <v>0</v>
      </c>
      <c r="AO512">
        <f>IF(OR(AK512=MatchLabel,AK512=SafetyLabel,AK512=SecureLabel,AK512=SureThingLabel),1,0)</f>
        <v>0</v>
      </c>
      <c r="AP512">
        <f>IF(OR(T512="H",T512="B"),IF(ISNUMBER(Y512),ROUND(Y512,2),0),IF(ISNUMBER(X512),ROUND(X512,2),0))</f>
        <v>0</v>
      </c>
      <c r="AQ512">
        <f>IF(AP512&gt;=U512,1,0)</f>
        <v>0</v>
      </c>
      <c r="AR512">
        <f>IF(AP512&gt;=V512,1,0)</f>
        <v>0</v>
      </c>
      <c r="AS512">
        <f>IF(AP512&lt;(U512-0.10),1,0)</f>
        <v>0</v>
      </c>
      <c r="AT512">
        <f>1-AJ512/100</f>
        <v>0</v>
      </c>
      <c r="AU512">
        <f>IF(AN512=1,AT512,1)</f>
        <v>0</v>
      </c>
      <c r="AV512">
        <f>IF(AM512=1,AT512,1)</f>
        <v>0</v>
      </c>
      <c r="AW512">
        <f>IF(AND(AQ512=1,ISNUMBER(AT512)),$AT512,1)</f>
        <v>0</v>
      </c>
      <c r="AX512">
        <f>IF(AND(AR512=1,ISNUMBER(AT512)),$AT512,1)</f>
        <v>0</v>
      </c>
      <c r="AY512">
        <f>IF(ISNUMBER(Y512),INDEX(AllCollegeMoney, MATCH(N512,AllCollegeNCES,0)),0)</f>
        <v>0</v>
      </c>
      <c r="AZ512">
        <f>IF(AND(AQ512=1,ISNUMBER(AT512),AY512=1),$AT512,1)</f>
        <v>0</v>
      </c>
      <c r="BA512">
        <f>IF(AND(AR512=1,ISNUMBER(AT512),AY512=1),$AT512,1)</f>
        <v>0</v>
      </c>
      <c r="BB512">
        <f>IF(ISNUMBER(Y512),INDEX(AllCollegeILPub, MATCH(N512,AllCollegeNCES,0)),0)</f>
        <v>0</v>
      </c>
      <c r="BC512">
        <f>IF(AK512=ReachLabel,AP512,0)</f>
        <v>0</v>
      </c>
      <c r="BD512">
        <f>IF(AK512=MatchLabel,AP512,0)</f>
        <v>0</v>
      </c>
      <c r="BE512">
        <f>IF(AK512=SafetyLabel,AP512,0)</f>
        <v>0</v>
      </c>
      <c r="BF512">
        <f>IF(AK512=SecureLabel,AP512,0)</f>
        <v>0</v>
      </c>
      <c r="BG512">
        <f>IF(AK512=SureThingLabel,AP512,0)</f>
        <v>0</v>
      </c>
      <c r="BH512">
        <f>MAX(BC512:BG512)</f>
        <v>0</v>
      </c>
      <c r="BI512">
        <f>MAX(BD512:BG512)</f>
        <v>0</v>
      </c>
      <c r="BJ512">
        <f>MAX(BE512:BG512)</f>
        <v>0</v>
      </c>
      <c r="BK512">
        <f>IF(AND(AK512=ReachLabel,AY512=1),AP512,0)</f>
        <v>0</v>
      </c>
      <c r="BL512">
        <f>IF(AND(AK512=MatchLabel,AY512=1),AP512,0)</f>
        <v>0</v>
      </c>
      <c r="BM512">
        <f>IF(AND(AK512=SafetyLabel,AY512=1),AP512,0)</f>
        <v>0</v>
      </c>
      <c r="BN512">
        <f>IF(AND(AK512=SecureLabel,AY512=1),AP512,0)</f>
        <v>0</v>
      </c>
      <c r="BO512">
        <f>IF(AND(AK512=SureThingLabel,AY512=1),AP512,0)</f>
        <v>0</v>
      </c>
      <c r="BP512">
        <f>MAX(BK512:BO512)</f>
        <v>0</v>
      </c>
      <c r="BQ512">
        <f>MAX(BL512:BO512)</f>
        <v>0</v>
      </c>
      <c r="BR512">
        <f>MAX(BM512:BO512)</f>
        <v>0</v>
      </c>
      <c r="BS512">
        <f>IF(ISNUMBER(Y512),INDEX(AllCollegeChicago, MATCH(N512,AllCollegeNCES,0))*AY512,0)</f>
        <v>0</v>
      </c>
      <c r="BT512">
        <f>IF(ISNUMBER(Y512),INDEX(AllCollegeMoneyCode, MATCH(N512,AllCollegeNCES,0)),"?")</f>
        <v>0</v>
      </c>
      <c r="BU512">
        <f>IF(OR(BT512="---",BT512="--",BT512="+/--",BT512="+/---"),1,0)</f>
        <v>0</v>
      </c>
      <c r="BV512">
        <f>AY512*AO512*AQ512</f>
        <v>0</v>
      </c>
    </row>
    <row r="513" spans="1:74">
      <c r="A513" t="s">
        <v>86</v>
      </c>
      <c r="B513">
        <v>23476024</v>
      </c>
      <c r="C513" t="s">
        <v>227</v>
      </c>
      <c r="D513" t="s">
        <v>228</v>
      </c>
      <c r="E513" t="s">
        <v>428</v>
      </c>
      <c r="F513" t="s">
        <v>469</v>
      </c>
      <c r="G513" t="s">
        <v>430</v>
      </c>
      <c r="H513" t="s">
        <v>431</v>
      </c>
      <c r="I513" t="s">
        <v>432</v>
      </c>
      <c r="J513" t="s">
        <v>432</v>
      </c>
      <c r="K513">
        <v>0</v>
      </c>
      <c r="L513" t="s">
        <v>428</v>
      </c>
      <c r="M513" t="s">
        <v>428</v>
      </c>
      <c r="N513">
        <v>174844</v>
      </c>
      <c r="O513">
        <f>INDEX(AllCollegeBarrons,MATCH(N513,AllCollegeNCES,0))</f>
        <v>0</v>
      </c>
      <c r="P513">
        <f>INDEX(KidGPAs,MATCH(B513,KidIDs,0))</f>
        <v>0</v>
      </c>
      <c r="Q513">
        <f>INDEX(KidACTs,MATCH(B513,KidIDs,0))</f>
        <v>0</v>
      </c>
      <c r="R513">
        <f>INDEX(Strats,MATCH(B513,KidIDs,0))</f>
        <v>0</v>
      </c>
      <c r="S513">
        <f>INDEX(KidRace,MATCH(B513,KidIDs,0))</f>
        <v>0</v>
      </c>
      <c r="T513">
        <f>IF(OR(S513="M",S513="I"),"H",S513)</f>
        <v>0</v>
      </c>
      <c r="U513">
        <f>INDEX(StudentTargets,MATCH(B513,KidIDs,0))</f>
        <v>0</v>
      </c>
      <c r="V513">
        <f>INDEX(ReachStudentTargets,MATCH(B513,KidIDs,0))</f>
        <v>0</v>
      </c>
      <c r="W513">
        <f>IF(OR(M513="Posse"),1,0)</f>
        <v>0</v>
      </c>
      <c r="X513">
        <f>IF(ISNUMBER(INDEX(AllCollegeGR, MATCH(N513,AllCollegeNCES,0))),ROUND(INDEX(AllCollegeGR, MATCH(N513,AllCollegeNCES,0))+W513*IF(INDEX(AllCollegeGR, MATCH(N513,AllCollegeNCES,0))&gt;0.7,(1-INDEX(AllCollegeGR, MATCH(N513,AllCollegeNCES,0)))/2,0.15),2),INDEX(AllCollegeGR, MATCH(N513,AllCollegeNCES,0)))</f>
        <v>0</v>
      </c>
      <c r="Y513">
        <f>IF(ISNUMBER(INDEX(AllCollegeAAHGR, MATCH(N513,AllCollegeNCES,0))),ROUND(INDEX(AllCollegeAAHGR, MATCH(N513,AllCollegeNCES,0))+W513*IF(INDEX(AllCollegeAAHGR, MATCH(N513,AllCollegeNCES,0))&gt;0.7,(1-INDEX(AllCollegeAAHGR, MATCH(N513,AllCollegeNCES,0)))/2,0.15),2),INDEX(AllCollegeAAHGR, MATCH(N513,AllCollegeNCES,0)))</f>
        <v>0</v>
      </c>
      <c r="Z513">
        <f>IF(OR(T513="H",T513="B"),INDEX(AllCollegeACT25, MATCH(N513,AllCollegeNCES,0)),INDEX(AllCollegeACT50, MATCH(N513,AllCollegeNCES,0)))</f>
        <v>0</v>
      </c>
      <c r="AA513">
        <f>INDEX(CustomWeightsGPA,MATCH(T513&amp;":"&amp;N513,CustomWeightsIndex,0))</f>
        <v>0</v>
      </c>
      <c r="AB513">
        <f>INDEX(CustomWeightsACT,MATCH(T513&amp;":"&amp;N513,CustomWeightsIndex,0))</f>
        <v>0</v>
      </c>
      <c r="AC513">
        <f>INDEX(CustomWeightsIntercept,MATCH(T513&amp;":"&amp;N513,CustomWeightsIndex,0))</f>
        <v>0</v>
      </c>
      <c r="AD513">
        <f>AA513*P513+AB513*Q513+AC513</f>
        <v>0</v>
      </c>
      <c r="AE513">
        <f>INDEX(CoefficientsGPA,MATCH(T513&amp;":"&amp;O513,CoefficientsIndex,0))</f>
        <v>0</v>
      </c>
      <c r="AF513">
        <f>INDEX(CoefficientsACT,MATCH(T513&amp;":"&amp;O513,CoefficientsIndex,0))</f>
        <v>0</v>
      </c>
      <c r="AG513">
        <f>INDEX(CoefficientsIntercept,MATCH(T513&amp;":"&amp;O513,CoefficientsIndex,0))</f>
        <v>0</v>
      </c>
      <c r="AH513">
        <f>AE513*P513+(Q513-Z513)*AF513+AG513</f>
        <v>0</v>
      </c>
      <c r="AI513">
        <f>IF(ISNUMBER(AD513),AD513,AH513)</f>
        <v>0</v>
      </c>
      <c r="AJ513">
        <f>IF(ISNUMBER(AI513),IF(ISNUMBER(AE513),IF(AND(AE513=1,AF513=1,AG513=1),100,ROUND(100*EXP(AI513)/(1+EXP(AI513)),2)),ROUND(100*EXP(AI513)/(1+EXP(AI513)),2)),IF(ISTEXT(O513),IF(LEFT(O513,1)="2",100,"N/A"),"N/A"))</f>
        <v>0</v>
      </c>
      <c r="AK513">
        <f>IF(ISNUMBER(AJ513),IF(AJ513&gt;=99,IF(OR(R513=10,R513=11),MatchLabel,SureThingLabel),IF(AJ513&gt;=95,SecureLabel,IF(AJ513&gt;=80,SafetyLabel,IF(AJ513&gt;=50,MatchLabel,IF(AJ513&gt;=20,ReachLabel,IF(AJ513&gt;=10,LongshotLabel,HailMaryLabel)))))),"Other")</f>
        <v>0</v>
      </c>
      <c r="AL513">
        <f>IF(OR(I513="accepted",I513="cond. accept",I513="summer admit"),IF(J513="yes","CHOICE!","Accepted!"),IF(I513="denied","Denied",IF(K513=1,"Waitlist",IF(L513=1,"Deferred",IF(G513="pending","Pending",IF(OR(G513="initial materials submitted",G513="mid-year submitted",G513="final submitted"),"Submitted",IF(H513="interest","Interest","?")))))))</f>
        <v>0</v>
      </c>
      <c r="AM513">
        <f>IF(OR(AK513=ReachLabel,AK513=LongshotLabel,AK513=HailMaryLabel),1,0)</f>
        <v>0</v>
      </c>
      <c r="AN513">
        <f>IF(OR(AM513=1,AK513=MatchLabel),1,0)</f>
        <v>0</v>
      </c>
      <c r="AO513">
        <f>IF(OR(AK513=MatchLabel,AK513=SafetyLabel,AK513=SecureLabel,AK513=SureThingLabel),1,0)</f>
        <v>0</v>
      </c>
      <c r="AP513">
        <f>IF(OR(T513="H",T513="B"),IF(ISNUMBER(Y513),ROUND(Y513,2),0),IF(ISNUMBER(X513),ROUND(X513,2),0))</f>
        <v>0</v>
      </c>
      <c r="AQ513">
        <f>IF(AP513&gt;=U513,1,0)</f>
        <v>0</v>
      </c>
      <c r="AR513">
        <f>IF(AP513&gt;=V513,1,0)</f>
        <v>0</v>
      </c>
      <c r="AS513">
        <f>IF(AP513&lt;(U513-0.10),1,0)</f>
        <v>0</v>
      </c>
      <c r="AT513">
        <f>1-AJ513/100</f>
        <v>0</v>
      </c>
      <c r="AU513">
        <f>IF(AN513=1,AT513,1)</f>
        <v>0</v>
      </c>
      <c r="AV513">
        <f>IF(AM513=1,AT513,1)</f>
        <v>0</v>
      </c>
      <c r="AW513">
        <f>IF(AND(AQ513=1,ISNUMBER(AT513)),$AT513,1)</f>
        <v>0</v>
      </c>
      <c r="AX513">
        <f>IF(AND(AR513=1,ISNUMBER(AT513)),$AT513,1)</f>
        <v>0</v>
      </c>
      <c r="AY513">
        <f>IF(ISNUMBER(Y513),INDEX(AllCollegeMoney, MATCH(N513,AllCollegeNCES,0)),0)</f>
        <v>0</v>
      </c>
      <c r="AZ513">
        <f>IF(AND(AQ513=1,ISNUMBER(AT513),AY513=1),$AT513,1)</f>
        <v>0</v>
      </c>
      <c r="BA513">
        <f>IF(AND(AR513=1,ISNUMBER(AT513),AY513=1),$AT513,1)</f>
        <v>0</v>
      </c>
      <c r="BB513">
        <f>IF(ISNUMBER(Y513),INDEX(AllCollegeILPub, MATCH(N513,AllCollegeNCES,0)),0)</f>
        <v>0</v>
      </c>
      <c r="BC513">
        <f>IF(AK513=ReachLabel,AP513,0)</f>
        <v>0</v>
      </c>
      <c r="BD513">
        <f>IF(AK513=MatchLabel,AP513,0)</f>
        <v>0</v>
      </c>
      <c r="BE513">
        <f>IF(AK513=SafetyLabel,AP513,0)</f>
        <v>0</v>
      </c>
      <c r="BF513">
        <f>IF(AK513=SecureLabel,AP513,0)</f>
        <v>0</v>
      </c>
      <c r="BG513">
        <f>IF(AK513=SureThingLabel,AP513,0)</f>
        <v>0</v>
      </c>
      <c r="BH513">
        <f>MAX(BC513:BG513)</f>
        <v>0</v>
      </c>
      <c r="BI513">
        <f>MAX(BD513:BG513)</f>
        <v>0</v>
      </c>
      <c r="BJ513">
        <f>MAX(BE513:BG513)</f>
        <v>0</v>
      </c>
      <c r="BK513">
        <f>IF(AND(AK513=ReachLabel,AY513=1),AP513,0)</f>
        <v>0</v>
      </c>
      <c r="BL513">
        <f>IF(AND(AK513=MatchLabel,AY513=1),AP513,0)</f>
        <v>0</v>
      </c>
      <c r="BM513">
        <f>IF(AND(AK513=SafetyLabel,AY513=1),AP513,0)</f>
        <v>0</v>
      </c>
      <c r="BN513">
        <f>IF(AND(AK513=SecureLabel,AY513=1),AP513,0)</f>
        <v>0</v>
      </c>
      <c r="BO513">
        <f>IF(AND(AK513=SureThingLabel,AY513=1),AP513,0)</f>
        <v>0</v>
      </c>
      <c r="BP513">
        <f>MAX(BK513:BO513)</f>
        <v>0</v>
      </c>
      <c r="BQ513">
        <f>MAX(BL513:BO513)</f>
        <v>0</v>
      </c>
      <c r="BR513">
        <f>MAX(BM513:BO513)</f>
        <v>0</v>
      </c>
      <c r="BS513">
        <f>IF(ISNUMBER(Y513),INDEX(AllCollegeChicago, MATCH(N513,AllCollegeNCES,0))*AY513,0)</f>
        <v>0</v>
      </c>
      <c r="BT513">
        <f>IF(ISNUMBER(Y513),INDEX(AllCollegeMoneyCode, MATCH(N513,AllCollegeNCES,0)),"?")</f>
        <v>0</v>
      </c>
      <c r="BU513">
        <f>IF(OR(BT513="---",BT513="--",BT513="+/--",BT513="+/---"),1,0)</f>
        <v>0</v>
      </c>
      <c r="BV513">
        <f>AY513*AO513*AQ513</f>
        <v>0</v>
      </c>
    </row>
    <row r="514" spans="1:74">
      <c r="A514" t="s">
        <v>86</v>
      </c>
      <c r="B514">
        <v>23476024</v>
      </c>
      <c r="C514" t="s">
        <v>227</v>
      </c>
      <c r="D514" t="s">
        <v>228</v>
      </c>
      <c r="E514" t="s">
        <v>428</v>
      </c>
      <c r="F514" t="s">
        <v>457</v>
      </c>
      <c r="G514" t="s">
        <v>430</v>
      </c>
      <c r="H514" t="s">
        <v>431</v>
      </c>
      <c r="I514" t="s">
        <v>432</v>
      </c>
      <c r="J514" t="s">
        <v>432</v>
      </c>
      <c r="K514">
        <v>0</v>
      </c>
      <c r="L514" t="s">
        <v>428</v>
      </c>
      <c r="M514" t="s">
        <v>428</v>
      </c>
      <c r="N514">
        <v>145637</v>
      </c>
      <c r="O514">
        <f>INDEX(AllCollegeBarrons,MATCH(N514,AllCollegeNCES,0))</f>
        <v>0</v>
      </c>
      <c r="P514">
        <f>INDEX(KidGPAs,MATCH(B514,KidIDs,0))</f>
        <v>0</v>
      </c>
      <c r="Q514">
        <f>INDEX(KidACTs,MATCH(B514,KidIDs,0))</f>
        <v>0</v>
      </c>
      <c r="R514">
        <f>INDEX(Strats,MATCH(B514,KidIDs,0))</f>
        <v>0</v>
      </c>
      <c r="S514">
        <f>INDEX(KidRace,MATCH(B514,KidIDs,0))</f>
        <v>0</v>
      </c>
      <c r="T514">
        <f>IF(OR(S514="M",S514="I"),"H",S514)</f>
        <v>0</v>
      </c>
      <c r="U514">
        <f>INDEX(StudentTargets,MATCH(B514,KidIDs,0))</f>
        <v>0</v>
      </c>
      <c r="V514">
        <f>INDEX(ReachStudentTargets,MATCH(B514,KidIDs,0))</f>
        <v>0</v>
      </c>
      <c r="W514">
        <f>IF(OR(M514="Posse"),1,0)</f>
        <v>0</v>
      </c>
      <c r="X514">
        <f>IF(ISNUMBER(INDEX(AllCollegeGR, MATCH(N514,AllCollegeNCES,0))),ROUND(INDEX(AllCollegeGR, MATCH(N514,AllCollegeNCES,0))+W514*IF(INDEX(AllCollegeGR, MATCH(N514,AllCollegeNCES,0))&gt;0.7,(1-INDEX(AllCollegeGR, MATCH(N514,AllCollegeNCES,0)))/2,0.15),2),INDEX(AllCollegeGR, MATCH(N514,AllCollegeNCES,0)))</f>
        <v>0</v>
      </c>
      <c r="Y514">
        <f>IF(ISNUMBER(INDEX(AllCollegeAAHGR, MATCH(N514,AllCollegeNCES,0))),ROUND(INDEX(AllCollegeAAHGR, MATCH(N514,AllCollegeNCES,0))+W514*IF(INDEX(AllCollegeAAHGR, MATCH(N514,AllCollegeNCES,0))&gt;0.7,(1-INDEX(AllCollegeAAHGR, MATCH(N514,AllCollegeNCES,0)))/2,0.15),2),INDEX(AllCollegeAAHGR, MATCH(N514,AllCollegeNCES,0)))</f>
        <v>0</v>
      </c>
      <c r="Z514">
        <f>IF(OR(T514="H",T514="B"),INDEX(AllCollegeACT25, MATCH(N514,AllCollegeNCES,0)),INDEX(AllCollegeACT50, MATCH(N514,AllCollegeNCES,0)))</f>
        <v>0</v>
      </c>
      <c r="AA514">
        <f>INDEX(CustomWeightsGPA,MATCH(T514&amp;":"&amp;N514,CustomWeightsIndex,0))</f>
        <v>0</v>
      </c>
      <c r="AB514">
        <f>INDEX(CustomWeightsACT,MATCH(T514&amp;":"&amp;N514,CustomWeightsIndex,0))</f>
        <v>0</v>
      </c>
      <c r="AC514">
        <f>INDEX(CustomWeightsIntercept,MATCH(T514&amp;":"&amp;N514,CustomWeightsIndex,0))</f>
        <v>0</v>
      </c>
      <c r="AD514">
        <f>AA514*P514+AB514*Q514+AC514</f>
        <v>0</v>
      </c>
      <c r="AE514">
        <f>INDEX(CoefficientsGPA,MATCH(T514&amp;":"&amp;O514,CoefficientsIndex,0))</f>
        <v>0</v>
      </c>
      <c r="AF514">
        <f>INDEX(CoefficientsACT,MATCH(T514&amp;":"&amp;O514,CoefficientsIndex,0))</f>
        <v>0</v>
      </c>
      <c r="AG514">
        <f>INDEX(CoefficientsIntercept,MATCH(T514&amp;":"&amp;O514,CoefficientsIndex,0))</f>
        <v>0</v>
      </c>
      <c r="AH514">
        <f>AE514*P514+(Q514-Z514)*AF514+AG514</f>
        <v>0</v>
      </c>
      <c r="AI514">
        <f>IF(ISNUMBER(AD514),AD514,AH514)</f>
        <v>0</v>
      </c>
      <c r="AJ514">
        <f>IF(ISNUMBER(AI514),IF(ISNUMBER(AE514),IF(AND(AE514=1,AF514=1,AG514=1),100,ROUND(100*EXP(AI514)/(1+EXP(AI514)),2)),ROUND(100*EXP(AI514)/(1+EXP(AI514)),2)),IF(ISTEXT(O514),IF(LEFT(O514,1)="2",100,"N/A"),"N/A"))</f>
        <v>0</v>
      </c>
      <c r="AK514">
        <f>IF(ISNUMBER(AJ514),IF(AJ514&gt;=99,IF(OR(R514=10,R514=11),MatchLabel,SureThingLabel),IF(AJ514&gt;=95,SecureLabel,IF(AJ514&gt;=80,SafetyLabel,IF(AJ514&gt;=50,MatchLabel,IF(AJ514&gt;=20,ReachLabel,IF(AJ514&gt;=10,LongshotLabel,HailMaryLabel)))))),"Other")</f>
        <v>0</v>
      </c>
      <c r="AL514">
        <f>IF(OR(I514="accepted",I514="cond. accept",I514="summer admit"),IF(J514="yes","CHOICE!","Accepted!"),IF(I514="denied","Denied",IF(K514=1,"Waitlist",IF(L514=1,"Deferred",IF(G514="pending","Pending",IF(OR(G514="initial materials submitted",G514="mid-year submitted",G514="final submitted"),"Submitted",IF(H514="interest","Interest","?")))))))</f>
        <v>0</v>
      </c>
      <c r="AM514">
        <f>IF(OR(AK514=ReachLabel,AK514=LongshotLabel,AK514=HailMaryLabel),1,0)</f>
        <v>0</v>
      </c>
      <c r="AN514">
        <f>IF(OR(AM514=1,AK514=MatchLabel),1,0)</f>
        <v>0</v>
      </c>
      <c r="AO514">
        <f>IF(OR(AK514=MatchLabel,AK514=SafetyLabel,AK514=SecureLabel,AK514=SureThingLabel),1,0)</f>
        <v>0</v>
      </c>
      <c r="AP514">
        <f>IF(OR(T514="H",T514="B"),IF(ISNUMBER(Y514),ROUND(Y514,2),0),IF(ISNUMBER(X514),ROUND(X514,2),0))</f>
        <v>0</v>
      </c>
      <c r="AQ514">
        <f>IF(AP514&gt;=U514,1,0)</f>
        <v>0</v>
      </c>
      <c r="AR514">
        <f>IF(AP514&gt;=V514,1,0)</f>
        <v>0</v>
      </c>
      <c r="AS514">
        <f>IF(AP514&lt;(U514-0.10),1,0)</f>
        <v>0</v>
      </c>
      <c r="AT514">
        <f>1-AJ514/100</f>
        <v>0</v>
      </c>
      <c r="AU514">
        <f>IF(AN514=1,AT514,1)</f>
        <v>0</v>
      </c>
      <c r="AV514">
        <f>IF(AM514=1,AT514,1)</f>
        <v>0</v>
      </c>
      <c r="AW514">
        <f>IF(AND(AQ514=1,ISNUMBER(AT514)),$AT514,1)</f>
        <v>0</v>
      </c>
      <c r="AX514">
        <f>IF(AND(AR514=1,ISNUMBER(AT514)),$AT514,1)</f>
        <v>0</v>
      </c>
      <c r="AY514">
        <f>IF(ISNUMBER(Y514),INDEX(AllCollegeMoney, MATCH(N514,AllCollegeNCES,0)),0)</f>
        <v>0</v>
      </c>
      <c r="AZ514">
        <f>IF(AND(AQ514=1,ISNUMBER(AT514),AY514=1),$AT514,1)</f>
        <v>0</v>
      </c>
      <c r="BA514">
        <f>IF(AND(AR514=1,ISNUMBER(AT514),AY514=1),$AT514,1)</f>
        <v>0</v>
      </c>
      <c r="BB514">
        <f>IF(ISNUMBER(Y514),INDEX(AllCollegeILPub, MATCH(N514,AllCollegeNCES,0)),0)</f>
        <v>0</v>
      </c>
      <c r="BC514">
        <f>IF(AK514=ReachLabel,AP514,0)</f>
        <v>0</v>
      </c>
      <c r="BD514">
        <f>IF(AK514=MatchLabel,AP514,0)</f>
        <v>0</v>
      </c>
      <c r="BE514">
        <f>IF(AK514=SafetyLabel,AP514,0)</f>
        <v>0</v>
      </c>
      <c r="BF514">
        <f>IF(AK514=SecureLabel,AP514,0)</f>
        <v>0</v>
      </c>
      <c r="BG514">
        <f>IF(AK514=SureThingLabel,AP514,0)</f>
        <v>0</v>
      </c>
      <c r="BH514">
        <f>MAX(BC514:BG514)</f>
        <v>0</v>
      </c>
      <c r="BI514">
        <f>MAX(BD514:BG514)</f>
        <v>0</v>
      </c>
      <c r="BJ514">
        <f>MAX(BE514:BG514)</f>
        <v>0</v>
      </c>
      <c r="BK514">
        <f>IF(AND(AK514=ReachLabel,AY514=1),AP514,0)</f>
        <v>0</v>
      </c>
      <c r="BL514">
        <f>IF(AND(AK514=MatchLabel,AY514=1),AP514,0)</f>
        <v>0</v>
      </c>
      <c r="BM514">
        <f>IF(AND(AK514=SafetyLabel,AY514=1),AP514,0)</f>
        <v>0</v>
      </c>
      <c r="BN514">
        <f>IF(AND(AK514=SecureLabel,AY514=1),AP514,0)</f>
        <v>0</v>
      </c>
      <c r="BO514">
        <f>IF(AND(AK514=SureThingLabel,AY514=1),AP514,0)</f>
        <v>0</v>
      </c>
      <c r="BP514">
        <f>MAX(BK514:BO514)</f>
        <v>0</v>
      </c>
      <c r="BQ514">
        <f>MAX(BL514:BO514)</f>
        <v>0</v>
      </c>
      <c r="BR514">
        <f>MAX(BM514:BO514)</f>
        <v>0</v>
      </c>
      <c r="BS514">
        <f>IF(ISNUMBER(Y514),INDEX(AllCollegeChicago, MATCH(N514,AllCollegeNCES,0))*AY514,0)</f>
        <v>0</v>
      </c>
      <c r="BT514">
        <f>IF(ISNUMBER(Y514),INDEX(AllCollegeMoneyCode, MATCH(N514,AllCollegeNCES,0)),"?")</f>
        <v>0</v>
      </c>
      <c r="BU514">
        <f>IF(OR(BT514="---",BT514="--",BT514="+/--",BT514="+/---"),1,0)</f>
        <v>0</v>
      </c>
      <c r="BV514">
        <f>AY514*AO514*AQ514</f>
        <v>0</v>
      </c>
    </row>
    <row r="515" spans="1:74">
      <c r="A515" t="s">
        <v>86</v>
      </c>
      <c r="B515">
        <v>23476024</v>
      </c>
      <c r="C515" t="s">
        <v>227</v>
      </c>
      <c r="D515" t="s">
        <v>228</v>
      </c>
      <c r="E515" t="s">
        <v>428</v>
      </c>
      <c r="F515" t="s">
        <v>561</v>
      </c>
      <c r="G515" t="s">
        <v>430</v>
      </c>
      <c r="H515" t="s">
        <v>431</v>
      </c>
      <c r="I515" t="s">
        <v>432</v>
      </c>
      <c r="J515" t="s">
        <v>432</v>
      </c>
      <c r="K515">
        <v>0</v>
      </c>
      <c r="L515" t="s">
        <v>428</v>
      </c>
      <c r="M515" t="s">
        <v>428</v>
      </c>
      <c r="N515">
        <v>153658</v>
      </c>
      <c r="O515">
        <f>INDEX(AllCollegeBarrons,MATCH(N515,AllCollegeNCES,0))</f>
        <v>0</v>
      </c>
      <c r="P515">
        <f>INDEX(KidGPAs,MATCH(B515,KidIDs,0))</f>
        <v>0</v>
      </c>
      <c r="Q515">
        <f>INDEX(KidACTs,MATCH(B515,KidIDs,0))</f>
        <v>0</v>
      </c>
      <c r="R515">
        <f>INDEX(Strats,MATCH(B515,KidIDs,0))</f>
        <v>0</v>
      </c>
      <c r="S515">
        <f>INDEX(KidRace,MATCH(B515,KidIDs,0))</f>
        <v>0</v>
      </c>
      <c r="T515">
        <f>IF(OR(S515="M",S515="I"),"H",S515)</f>
        <v>0</v>
      </c>
      <c r="U515">
        <f>INDEX(StudentTargets,MATCH(B515,KidIDs,0))</f>
        <v>0</v>
      </c>
      <c r="V515">
        <f>INDEX(ReachStudentTargets,MATCH(B515,KidIDs,0))</f>
        <v>0</v>
      </c>
      <c r="W515">
        <f>IF(OR(M515="Posse"),1,0)</f>
        <v>0</v>
      </c>
      <c r="X515">
        <f>IF(ISNUMBER(INDEX(AllCollegeGR, MATCH(N515,AllCollegeNCES,0))),ROUND(INDEX(AllCollegeGR, MATCH(N515,AllCollegeNCES,0))+W515*IF(INDEX(AllCollegeGR, MATCH(N515,AllCollegeNCES,0))&gt;0.7,(1-INDEX(AllCollegeGR, MATCH(N515,AllCollegeNCES,0)))/2,0.15),2),INDEX(AllCollegeGR, MATCH(N515,AllCollegeNCES,0)))</f>
        <v>0</v>
      </c>
      <c r="Y515">
        <f>IF(ISNUMBER(INDEX(AllCollegeAAHGR, MATCH(N515,AllCollegeNCES,0))),ROUND(INDEX(AllCollegeAAHGR, MATCH(N515,AllCollegeNCES,0))+W515*IF(INDEX(AllCollegeAAHGR, MATCH(N515,AllCollegeNCES,0))&gt;0.7,(1-INDEX(AllCollegeAAHGR, MATCH(N515,AllCollegeNCES,0)))/2,0.15),2),INDEX(AllCollegeAAHGR, MATCH(N515,AllCollegeNCES,0)))</f>
        <v>0</v>
      </c>
      <c r="Z515">
        <f>IF(OR(T515="H",T515="B"),INDEX(AllCollegeACT25, MATCH(N515,AllCollegeNCES,0)),INDEX(AllCollegeACT50, MATCH(N515,AllCollegeNCES,0)))</f>
        <v>0</v>
      </c>
      <c r="AA515">
        <f>INDEX(CustomWeightsGPA,MATCH(T515&amp;":"&amp;N515,CustomWeightsIndex,0))</f>
        <v>0</v>
      </c>
      <c r="AB515">
        <f>INDEX(CustomWeightsACT,MATCH(T515&amp;":"&amp;N515,CustomWeightsIndex,0))</f>
        <v>0</v>
      </c>
      <c r="AC515">
        <f>INDEX(CustomWeightsIntercept,MATCH(T515&amp;":"&amp;N515,CustomWeightsIndex,0))</f>
        <v>0</v>
      </c>
      <c r="AD515">
        <f>AA515*P515+AB515*Q515+AC515</f>
        <v>0</v>
      </c>
      <c r="AE515">
        <f>INDEX(CoefficientsGPA,MATCH(T515&amp;":"&amp;O515,CoefficientsIndex,0))</f>
        <v>0</v>
      </c>
      <c r="AF515">
        <f>INDEX(CoefficientsACT,MATCH(T515&amp;":"&amp;O515,CoefficientsIndex,0))</f>
        <v>0</v>
      </c>
      <c r="AG515">
        <f>INDEX(CoefficientsIntercept,MATCH(T515&amp;":"&amp;O515,CoefficientsIndex,0))</f>
        <v>0</v>
      </c>
      <c r="AH515">
        <f>AE515*P515+(Q515-Z515)*AF515+AG515</f>
        <v>0</v>
      </c>
      <c r="AI515">
        <f>IF(ISNUMBER(AD515),AD515,AH515)</f>
        <v>0</v>
      </c>
      <c r="AJ515">
        <f>IF(ISNUMBER(AI515),IF(ISNUMBER(AE515),IF(AND(AE515=1,AF515=1,AG515=1),100,ROUND(100*EXP(AI515)/(1+EXP(AI515)),2)),ROUND(100*EXP(AI515)/(1+EXP(AI515)),2)),IF(ISTEXT(O515),IF(LEFT(O515,1)="2",100,"N/A"),"N/A"))</f>
        <v>0</v>
      </c>
      <c r="AK515">
        <f>IF(ISNUMBER(AJ515),IF(AJ515&gt;=99,IF(OR(R515=10,R515=11),MatchLabel,SureThingLabel),IF(AJ515&gt;=95,SecureLabel,IF(AJ515&gt;=80,SafetyLabel,IF(AJ515&gt;=50,MatchLabel,IF(AJ515&gt;=20,ReachLabel,IF(AJ515&gt;=10,LongshotLabel,HailMaryLabel)))))),"Other")</f>
        <v>0</v>
      </c>
      <c r="AL515">
        <f>IF(OR(I515="accepted",I515="cond. accept",I515="summer admit"),IF(J515="yes","CHOICE!","Accepted!"),IF(I515="denied","Denied",IF(K515=1,"Waitlist",IF(L515=1,"Deferred",IF(G515="pending","Pending",IF(OR(G515="initial materials submitted",G515="mid-year submitted",G515="final submitted"),"Submitted",IF(H515="interest","Interest","?")))))))</f>
        <v>0</v>
      </c>
      <c r="AM515">
        <f>IF(OR(AK515=ReachLabel,AK515=LongshotLabel,AK515=HailMaryLabel),1,0)</f>
        <v>0</v>
      </c>
      <c r="AN515">
        <f>IF(OR(AM515=1,AK515=MatchLabel),1,0)</f>
        <v>0</v>
      </c>
      <c r="AO515">
        <f>IF(OR(AK515=MatchLabel,AK515=SafetyLabel,AK515=SecureLabel,AK515=SureThingLabel),1,0)</f>
        <v>0</v>
      </c>
      <c r="AP515">
        <f>IF(OR(T515="H",T515="B"),IF(ISNUMBER(Y515),ROUND(Y515,2),0),IF(ISNUMBER(X515),ROUND(X515,2),0))</f>
        <v>0</v>
      </c>
      <c r="AQ515">
        <f>IF(AP515&gt;=U515,1,0)</f>
        <v>0</v>
      </c>
      <c r="AR515">
        <f>IF(AP515&gt;=V515,1,0)</f>
        <v>0</v>
      </c>
      <c r="AS515">
        <f>IF(AP515&lt;(U515-0.10),1,0)</f>
        <v>0</v>
      </c>
      <c r="AT515">
        <f>1-AJ515/100</f>
        <v>0</v>
      </c>
      <c r="AU515">
        <f>IF(AN515=1,AT515,1)</f>
        <v>0</v>
      </c>
      <c r="AV515">
        <f>IF(AM515=1,AT515,1)</f>
        <v>0</v>
      </c>
      <c r="AW515">
        <f>IF(AND(AQ515=1,ISNUMBER(AT515)),$AT515,1)</f>
        <v>0</v>
      </c>
      <c r="AX515">
        <f>IF(AND(AR515=1,ISNUMBER(AT515)),$AT515,1)</f>
        <v>0</v>
      </c>
      <c r="AY515">
        <f>IF(ISNUMBER(Y515),INDEX(AllCollegeMoney, MATCH(N515,AllCollegeNCES,0)),0)</f>
        <v>0</v>
      </c>
      <c r="AZ515">
        <f>IF(AND(AQ515=1,ISNUMBER(AT515),AY515=1),$AT515,1)</f>
        <v>0</v>
      </c>
      <c r="BA515">
        <f>IF(AND(AR515=1,ISNUMBER(AT515),AY515=1),$AT515,1)</f>
        <v>0</v>
      </c>
      <c r="BB515">
        <f>IF(ISNUMBER(Y515),INDEX(AllCollegeILPub, MATCH(N515,AllCollegeNCES,0)),0)</f>
        <v>0</v>
      </c>
      <c r="BC515">
        <f>IF(AK515=ReachLabel,AP515,0)</f>
        <v>0</v>
      </c>
      <c r="BD515">
        <f>IF(AK515=MatchLabel,AP515,0)</f>
        <v>0</v>
      </c>
      <c r="BE515">
        <f>IF(AK515=SafetyLabel,AP515,0)</f>
        <v>0</v>
      </c>
      <c r="BF515">
        <f>IF(AK515=SecureLabel,AP515,0)</f>
        <v>0</v>
      </c>
      <c r="BG515">
        <f>IF(AK515=SureThingLabel,AP515,0)</f>
        <v>0</v>
      </c>
      <c r="BH515">
        <f>MAX(BC515:BG515)</f>
        <v>0</v>
      </c>
      <c r="BI515">
        <f>MAX(BD515:BG515)</f>
        <v>0</v>
      </c>
      <c r="BJ515">
        <f>MAX(BE515:BG515)</f>
        <v>0</v>
      </c>
      <c r="BK515">
        <f>IF(AND(AK515=ReachLabel,AY515=1),AP515,0)</f>
        <v>0</v>
      </c>
      <c r="BL515">
        <f>IF(AND(AK515=MatchLabel,AY515=1),AP515,0)</f>
        <v>0</v>
      </c>
      <c r="BM515">
        <f>IF(AND(AK515=SafetyLabel,AY515=1),AP515,0)</f>
        <v>0</v>
      </c>
      <c r="BN515">
        <f>IF(AND(AK515=SecureLabel,AY515=1),AP515,0)</f>
        <v>0</v>
      </c>
      <c r="BO515">
        <f>IF(AND(AK515=SureThingLabel,AY515=1),AP515,0)</f>
        <v>0</v>
      </c>
      <c r="BP515">
        <f>MAX(BK515:BO515)</f>
        <v>0</v>
      </c>
      <c r="BQ515">
        <f>MAX(BL515:BO515)</f>
        <v>0</v>
      </c>
      <c r="BR515">
        <f>MAX(BM515:BO515)</f>
        <v>0</v>
      </c>
      <c r="BS515">
        <f>IF(ISNUMBER(Y515),INDEX(AllCollegeChicago, MATCH(N515,AllCollegeNCES,0))*AY515,0)</f>
        <v>0</v>
      </c>
      <c r="BT515">
        <f>IF(ISNUMBER(Y515),INDEX(AllCollegeMoneyCode, MATCH(N515,AllCollegeNCES,0)),"?")</f>
        <v>0</v>
      </c>
      <c r="BU515">
        <f>IF(OR(BT515="---",BT515="--",BT515="+/--",BT515="+/---"),1,0)</f>
        <v>0</v>
      </c>
      <c r="BV515">
        <f>AY515*AO515*AQ515</f>
        <v>0</v>
      </c>
    </row>
    <row r="516" spans="1:74">
      <c r="A516" t="s">
        <v>86</v>
      </c>
      <c r="B516">
        <v>23476024</v>
      </c>
      <c r="C516" t="s">
        <v>227</v>
      </c>
      <c r="D516" t="s">
        <v>228</v>
      </c>
      <c r="E516" t="s">
        <v>428</v>
      </c>
      <c r="F516" t="s">
        <v>462</v>
      </c>
      <c r="G516" t="s">
        <v>463</v>
      </c>
      <c r="H516" t="s">
        <v>431</v>
      </c>
      <c r="I516" t="s">
        <v>432</v>
      </c>
      <c r="J516" t="s">
        <v>432</v>
      </c>
      <c r="K516">
        <v>0</v>
      </c>
      <c r="L516" t="s">
        <v>428</v>
      </c>
      <c r="M516" t="s">
        <v>428</v>
      </c>
      <c r="N516">
        <v>168546</v>
      </c>
      <c r="O516">
        <f>INDEX(AllCollegeBarrons,MATCH(N516,AllCollegeNCES,0))</f>
        <v>0</v>
      </c>
      <c r="P516">
        <f>INDEX(KidGPAs,MATCH(B516,KidIDs,0))</f>
        <v>0</v>
      </c>
      <c r="Q516">
        <f>INDEX(KidACTs,MATCH(B516,KidIDs,0))</f>
        <v>0</v>
      </c>
      <c r="R516">
        <f>INDEX(Strats,MATCH(B516,KidIDs,0))</f>
        <v>0</v>
      </c>
      <c r="S516">
        <f>INDEX(KidRace,MATCH(B516,KidIDs,0))</f>
        <v>0</v>
      </c>
      <c r="T516">
        <f>IF(OR(S516="M",S516="I"),"H",S516)</f>
        <v>0</v>
      </c>
      <c r="U516">
        <f>INDEX(StudentTargets,MATCH(B516,KidIDs,0))</f>
        <v>0</v>
      </c>
      <c r="V516">
        <f>INDEX(ReachStudentTargets,MATCH(B516,KidIDs,0))</f>
        <v>0</v>
      </c>
      <c r="W516">
        <f>IF(OR(M516="Posse"),1,0)</f>
        <v>0</v>
      </c>
      <c r="X516">
        <f>IF(ISNUMBER(INDEX(AllCollegeGR, MATCH(N516,AllCollegeNCES,0))),ROUND(INDEX(AllCollegeGR, MATCH(N516,AllCollegeNCES,0))+W516*IF(INDEX(AllCollegeGR, MATCH(N516,AllCollegeNCES,0))&gt;0.7,(1-INDEX(AllCollegeGR, MATCH(N516,AllCollegeNCES,0)))/2,0.15),2),INDEX(AllCollegeGR, MATCH(N516,AllCollegeNCES,0)))</f>
        <v>0</v>
      </c>
      <c r="Y516">
        <f>IF(ISNUMBER(INDEX(AllCollegeAAHGR, MATCH(N516,AllCollegeNCES,0))),ROUND(INDEX(AllCollegeAAHGR, MATCH(N516,AllCollegeNCES,0))+W516*IF(INDEX(AllCollegeAAHGR, MATCH(N516,AllCollegeNCES,0))&gt;0.7,(1-INDEX(AllCollegeAAHGR, MATCH(N516,AllCollegeNCES,0)))/2,0.15),2),INDEX(AllCollegeAAHGR, MATCH(N516,AllCollegeNCES,0)))</f>
        <v>0</v>
      </c>
      <c r="Z516">
        <f>IF(OR(T516="H",T516="B"),INDEX(AllCollegeACT25, MATCH(N516,AllCollegeNCES,0)),INDEX(AllCollegeACT50, MATCH(N516,AllCollegeNCES,0)))</f>
        <v>0</v>
      </c>
      <c r="AA516">
        <f>INDEX(CustomWeightsGPA,MATCH(T516&amp;":"&amp;N516,CustomWeightsIndex,0))</f>
        <v>0</v>
      </c>
      <c r="AB516">
        <f>INDEX(CustomWeightsACT,MATCH(T516&amp;":"&amp;N516,CustomWeightsIndex,0))</f>
        <v>0</v>
      </c>
      <c r="AC516">
        <f>INDEX(CustomWeightsIntercept,MATCH(T516&amp;":"&amp;N516,CustomWeightsIndex,0))</f>
        <v>0</v>
      </c>
      <c r="AD516">
        <f>AA516*P516+AB516*Q516+AC516</f>
        <v>0</v>
      </c>
      <c r="AE516">
        <f>INDEX(CoefficientsGPA,MATCH(T516&amp;":"&amp;O516,CoefficientsIndex,0))</f>
        <v>0</v>
      </c>
      <c r="AF516">
        <f>INDEX(CoefficientsACT,MATCH(T516&amp;":"&amp;O516,CoefficientsIndex,0))</f>
        <v>0</v>
      </c>
      <c r="AG516">
        <f>INDEX(CoefficientsIntercept,MATCH(T516&amp;":"&amp;O516,CoefficientsIndex,0))</f>
        <v>0</v>
      </c>
      <c r="AH516">
        <f>AE516*P516+(Q516-Z516)*AF516+AG516</f>
        <v>0</v>
      </c>
      <c r="AI516">
        <f>IF(ISNUMBER(AD516),AD516,AH516)</f>
        <v>0</v>
      </c>
      <c r="AJ516">
        <f>IF(ISNUMBER(AI516),IF(ISNUMBER(AE516),IF(AND(AE516=1,AF516=1,AG516=1),100,ROUND(100*EXP(AI516)/(1+EXP(AI516)),2)),ROUND(100*EXP(AI516)/(1+EXP(AI516)),2)),IF(ISTEXT(O516),IF(LEFT(O516,1)="2",100,"N/A"),"N/A"))</f>
        <v>0</v>
      </c>
      <c r="AK516">
        <f>IF(ISNUMBER(AJ516),IF(AJ516&gt;=99,IF(OR(R516=10,R516=11),MatchLabel,SureThingLabel),IF(AJ516&gt;=95,SecureLabel,IF(AJ516&gt;=80,SafetyLabel,IF(AJ516&gt;=50,MatchLabel,IF(AJ516&gt;=20,ReachLabel,IF(AJ516&gt;=10,LongshotLabel,HailMaryLabel)))))),"Other")</f>
        <v>0</v>
      </c>
      <c r="AL516">
        <f>IF(OR(I516="accepted",I516="cond. accept",I516="summer admit"),IF(J516="yes","CHOICE!","Accepted!"),IF(I516="denied","Denied",IF(K516=1,"Waitlist",IF(L516=1,"Deferred",IF(G516="pending","Pending",IF(OR(G516="initial materials submitted",G516="mid-year submitted",G516="final submitted"),"Submitted",IF(H516="interest","Interest","?")))))))</f>
        <v>0</v>
      </c>
      <c r="AM516">
        <f>IF(OR(AK516=ReachLabel,AK516=LongshotLabel,AK516=HailMaryLabel),1,0)</f>
        <v>0</v>
      </c>
      <c r="AN516">
        <f>IF(OR(AM516=1,AK516=MatchLabel),1,0)</f>
        <v>0</v>
      </c>
      <c r="AO516">
        <f>IF(OR(AK516=MatchLabel,AK516=SafetyLabel,AK516=SecureLabel,AK516=SureThingLabel),1,0)</f>
        <v>0</v>
      </c>
      <c r="AP516">
        <f>IF(OR(T516="H",T516="B"),IF(ISNUMBER(Y516),ROUND(Y516,2),0),IF(ISNUMBER(X516),ROUND(X516,2),0))</f>
        <v>0</v>
      </c>
      <c r="AQ516">
        <f>IF(AP516&gt;=U516,1,0)</f>
        <v>0</v>
      </c>
      <c r="AR516">
        <f>IF(AP516&gt;=V516,1,0)</f>
        <v>0</v>
      </c>
      <c r="AS516">
        <f>IF(AP516&lt;(U516-0.10),1,0)</f>
        <v>0</v>
      </c>
      <c r="AT516">
        <f>1-AJ516/100</f>
        <v>0</v>
      </c>
      <c r="AU516">
        <f>IF(AN516=1,AT516,1)</f>
        <v>0</v>
      </c>
      <c r="AV516">
        <f>IF(AM516=1,AT516,1)</f>
        <v>0</v>
      </c>
      <c r="AW516">
        <f>IF(AND(AQ516=1,ISNUMBER(AT516)),$AT516,1)</f>
        <v>0</v>
      </c>
      <c r="AX516">
        <f>IF(AND(AR516=1,ISNUMBER(AT516)),$AT516,1)</f>
        <v>0</v>
      </c>
      <c r="AY516">
        <f>IF(ISNUMBER(Y516),INDEX(AllCollegeMoney, MATCH(N516,AllCollegeNCES,0)),0)</f>
        <v>0</v>
      </c>
      <c r="AZ516">
        <f>IF(AND(AQ516=1,ISNUMBER(AT516),AY516=1),$AT516,1)</f>
        <v>0</v>
      </c>
      <c r="BA516">
        <f>IF(AND(AR516=1,ISNUMBER(AT516),AY516=1),$AT516,1)</f>
        <v>0</v>
      </c>
      <c r="BB516">
        <f>IF(ISNUMBER(Y516),INDEX(AllCollegeILPub, MATCH(N516,AllCollegeNCES,0)),0)</f>
        <v>0</v>
      </c>
      <c r="BC516">
        <f>IF(AK516=ReachLabel,AP516,0)</f>
        <v>0</v>
      </c>
      <c r="BD516">
        <f>IF(AK516=MatchLabel,AP516,0)</f>
        <v>0</v>
      </c>
      <c r="BE516">
        <f>IF(AK516=SafetyLabel,AP516,0)</f>
        <v>0</v>
      </c>
      <c r="BF516">
        <f>IF(AK516=SecureLabel,AP516,0)</f>
        <v>0</v>
      </c>
      <c r="BG516">
        <f>IF(AK516=SureThingLabel,AP516,0)</f>
        <v>0</v>
      </c>
      <c r="BH516">
        <f>MAX(BC516:BG516)</f>
        <v>0</v>
      </c>
      <c r="BI516">
        <f>MAX(BD516:BG516)</f>
        <v>0</v>
      </c>
      <c r="BJ516">
        <f>MAX(BE516:BG516)</f>
        <v>0</v>
      </c>
      <c r="BK516">
        <f>IF(AND(AK516=ReachLabel,AY516=1),AP516,0)</f>
        <v>0</v>
      </c>
      <c r="BL516">
        <f>IF(AND(AK516=MatchLabel,AY516=1),AP516,0)</f>
        <v>0</v>
      </c>
      <c r="BM516">
        <f>IF(AND(AK516=SafetyLabel,AY516=1),AP516,0)</f>
        <v>0</v>
      </c>
      <c r="BN516">
        <f>IF(AND(AK516=SecureLabel,AY516=1),AP516,0)</f>
        <v>0</v>
      </c>
      <c r="BO516">
        <f>IF(AND(AK516=SureThingLabel,AY516=1),AP516,0)</f>
        <v>0</v>
      </c>
      <c r="BP516">
        <f>MAX(BK516:BO516)</f>
        <v>0</v>
      </c>
      <c r="BQ516">
        <f>MAX(BL516:BO516)</f>
        <v>0</v>
      </c>
      <c r="BR516">
        <f>MAX(BM516:BO516)</f>
        <v>0</v>
      </c>
      <c r="BS516">
        <f>IF(ISNUMBER(Y516),INDEX(AllCollegeChicago, MATCH(N516,AllCollegeNCES,0))*AY516,0)</f>
        <v>0</v>
      </c>
      <c r="BT516">
        <f>IF(ISNUMBER(Y516),INDEX(AllCollegeMoneyCode, MATCH(N516,AllCollegeNCES,0)),"?")</f>
        <v>0</v>
      </c>
      <c r="BU516">
        <f>IF(OR(BT516="---",BT516="--",BT516="+/--",BT516="+/---"),1,0)</f>
        <v>0</v>
      </c>
      <c r="BV516">
        <f>AY516*AO516*AQ516</f>
        <v>0</v>
      </c>
    </row>
    <row r="517" spans="1:74">
      <c r="A517" t="s">
        <v>86</v>
      </c>
      <c r="B517">
        <v>23476024</v>
      </c>
      <c r="C517" t="s">
        <v>227</v>
      </c>
      <c r="D517" t="s">
        <v>228</v>
      </c>
      <c r="E517" t="s">
        <v>428</v>
      </c>
      <c r="F517" t="s">
        <v>433</v>
      </c>
      <c r="G517" t="s">
        <v>463</v>
      </c>
      <c r="H517" t="s">
        <v>431</v>
      </c>
      <c r="I517" t="s">
        <v>432</v>
      </c>
      <c r="J517" t="s">
        <v>432</v>
      </c>
      <c r="K517">
        <v>0</v>
      </c>
      <c r="L517" t="s">
        <v>428</v>
      </c>
      <c r="M517" t="s">
        <v>428</v>
      </c>
      <c r="N517">
        <v>148496</v>
      </c>
      <c r="O517">
        <f>INDEX(AllCollegeBarrons,MATCH(N517,AllCollegeNCES,0))</f>
        <v>0</v>
      </c>
      <c r="P517">
        <f>INDEX(KidGPAs,MATCH(B517,KidIDs,0))</f>
        <v>0</v>
      </c>
      <c r="Q517">
        <f>INDEX(KidACTs,MATCH(B517,KidIDs,0))</f>
        <v>0</v>
      </c>
      <c r="R517">
        <f>INDEX(Strats,MATCH(B517,KidIDs,0))</f>
        <v>0</v>
      </c>
      <c r="S517">
        <f>INDEX(KidRace,MATCH(B517,KidIDs,0))</f>
        <v>0</v>
      </c>
      <c r="T517">
        <f>IF(OR(S517="M",S517="I"),"H",S517)</f>
        <v>0</v>
      </c>
      <c r="U517">
        <f>INDEX(StudentTargets,MATCH(B517,KidIDs,0))</f>
        <v>0</v>
      </c>
      <c r="V517">
        <f>INDEX(ReachStudentTargets,MATCH(B517,KidIDs,0))</f>
        <v>0</v>
      </c>
      <c r="W517">
        <f>IF(OR(M517="Posse"),1,0)</f>
        <v>0</v>
      </c>
      <c r="X517">
        <f>IF(ISNUMBER(INDEX(AllCollegeGR, MATCH(N517,AllCollegeNCES,0))),ROUND(INDEX(AllCollegeGR, MATCH(N517,AllCollegeNCES,0))+W517*IF(INDEX(AllCollegeGR, MATCH(N517,AllCollegeNCES,0))&gt;0.7,(1-INDEX(AllCollegeGR, MATCH(N517,AllCollegeNCES,0)))/2,0.15),2),INDEX(AllCollegeGR, MATCH(N517,AllCollegeNCES,0)))</f>
        <v>0</v>
      </c>
      <c r="Y517">
        <f>IF(ISNUMBER(INDEX(AllCollegeAAHGR, MATCH(N517,AllCollegeNCES,0))),ROUND(INDEX(AllCollegeAAHGR, MATCH(N517,AllCollegeNCES,0))+W517*IF(INDEX(AllCollegeAAHGR, MATCH(N517,AllCollegeNCES,0))&gt;0.7,(1-INDEX(AllCollegeAAHGR, MATCH(N517,AllCollegeNCES,0)))/2,0.15),2),INDEX(AllCollegeAAHGR, MATCH(N517,AllCollegeNCES,0)))</f>
        <v>0</v>
      </c>
      <c r="Z517">
        <f>IF(OR(T517="H",T517="B"),INDEX(AllCollegeACT25, MATCH(N517,AllCollegeNCES,0)),INDEX(AllCollegeACT50, MATCH(N517,AllCollegeNCES,0)))</f>
        <v>0</v>
      </c>
      <c r="AA517">
        <f>INDEX(CustomWeightsGPA,MATCH(T517&amp;":"&amp;N517,CustomWeightsIndex,0))</f>
        <v>0</v>
      </c>
      <c r="AB517">
        <f>INDEX(CustomWeightsACT,MATCH(T517&amp;":"&amp;N517,CustomWeightsIndex,0))</f>
        <v>0</v>
      </c>
      <c r="AC517">
        <f>INDEX(CustomWeightsIntercept,MATCH(T517&amp;":"&amp;N517,CustomWeightsIndex,0))</f>
        <v>0</v>
      </c>
      <c r="AD517">
        <f>AA517*P517+AB517*Q517+AC517</f>
        <v>0</v>
      </c>
      <c r="AE517">
        <f>INDEX(CoefficientsGPA,MATCH(T517&amp;":"&amp;O517,CoefficientsIndex,0))</f>
        <v>0</v>
      </c>
      <c r="AF517">
        <f>INDEX(CoefficientsACT,MATCH(T517&amp;":"&amp;O517,CoefficientsIndex,0))</f>
        <v>0</v>
      </c>
      <c r="AG517">
        <f>INDEX(CoefficientsIntercept,MATCH(T517&amp;":"&amp;O517,CoefficientsIndex,0))</f>
        <v>0</v>
      </c>
      <c r="AH517">
        <f>AE517*P517+(Q517-Z517)*AF517+AG517</f>
        <v>0</v>
      </c>
      <c r="AI517">
        <f>IF(ISNUMBER(AD517),AD517,AH517)</f>
        <v>0</v>
      </c>
      <c r="AJ517">
        <f>IF(ISNUMBER(AI517),IF(ISNUMBER(AE517),IF(AND(AE517=1,AF517=1,AG517=1),100,ROUND(100*EXP(AI517)/(1+EXP(AI517)),2)),ROUND(100*EXP(AI517)/(1+EXP(AI517)),2)),IF(ISTEXT(O517),IF(LEFT(O517,1)="2",100,"N/A"),"N/A"))</f>
        <v>0</v>
      </c>
      <c r="AK517">
        <f>IF(ISNUMBER(AJ517),IF(AJ517&gt;=99,IF(OR(R517=10,R517=11),MatchLabel,SureThingLabel),IF(AJ517&gt;=95,SecureLabel,IF(AJ517&gt;=80,SafetyLabel,IF(AJ517&gt;=50,MatchLabel,IF(AJ517&gt;=20,ReachLabel,IF(AJ517&gt;=10,LongshotLabel,HailMaryLabel)))))),"Other")</f>
        <v>0</v>
      </c>
      <c r="AL517">
        <f>IF(OR(I517="accepted",I517="cond. accept",I517="summer admit"),IF(J517="yes","CHOICE!","Accepted!"),IF(I517="denied","Denied",IF(K517=1,"Waitlist",IF(L517=1,"Deferred",IF(G517="pending","Pending",IF(OR(G517="initial materials submitted",G517="mid-year submitted",G517="final submitted"),"Submitted",IF(H517="interest","Interest","?")))))))</f>
        <v>0</v>
      </c>
      <c r="AM517">
        <f>IF(OR(AK517=ReachLabel,AK517=LongshotLabel,AK517=HailMaryLabel),1,0)</f>
        <v>0</v>
      </c>
      <c r="AN517">
        <f>IF(OR(AM517=1,AK517=MatchLabel),1,0)</f>
        <v>0</v>
      </c>
      <c r="AO517">
        <f>IF(OR(AK517=MatchLabel,AK517=SafetyLabel,AK517=SecureLabel,AK517=SureThingLabel),1,0)</f>
        <v>0</v>
      </c>
      <c r="AP517">
        <f>IF(OR(T517="H",T517="B"),IF(ISNUMBER(Y517),ROUND(Y517,2),0),IF(ISNUMBER(X517),ROUND(X517,2),0))</f>
        <v>0</v>
      </c>
      <c r="AQ517">
        <f>IF(AP517&gt;=U517,1,0)</f>
        <v>0</v>
      </c>
      <c r="AR517">
        <f>IF(AP517&gt;=V517,1,0)</f>
        <v>0</v>
      </c>
      <c r="AS517">
        <f>IF(AP517&lt;(U517-0.10),1,0)</f>
        <v>0</v>
      </c>
      <c r="AT517">
        <f>1-AJ517/100</f>
        <v>0</v>
      </c>
      <c r="AU517">
        <f>IF(AN517=1,AT517,1)</f>
        <v>0</v>
      </c>
      <c r="AV517">
        <f>IF(AM517=1,AT517,1)</f>
        <v>0</v>
      </c>
      <c r="AW517">
        <f>IF(AND(AQ517=1,ISNUMBER(AT517)),$AT517,1)</f>
        <v>0</v>
      </c>
      <c r="AX517">
        <f>IF(AND(AR517=1,ISNUMBER(AT517)),$AT517,1)</f>
        <v>0</v>
      </c>
      <c r="AY517">
        <f>IF(ISNUMBER(Y517),INDEX(AllCollegeMoney, MATCH(N517,AllCollegeNCES,0)),0)</f>
        <v>0</v>
      </c>
      <c r="AZ517">
        <f>IF(AND(AQ517=1,ISNUMBER(AT517),AY517=1),$AT517,1)</f>
        <v>0</v>
      </c>
      <c r="BA517">
        <f>IF(AND(AR517=1,ISNUMBER(AT517),AY517=1),$AT517,1)</f>
        <v>0</v>
      </c>
      <c r="BB517">
        <f>IF(ISNUMBER(Y517),INDEX(AllCollegeILPub, MATCH(N517,AllCollegeNCES,0)),0)</f>
        <v>0</v>
      </c>
      <c r="BC517">
        <f>IF(AK517=ReachLabel,AP517,0)</f>
        <v>0</v>
      </c>
      <c r="BD517">
        <f>IF(AK517=MatchLabel,AP517,0)</f>
        <v>0</v>
      </c>
      <c r="BE517">
        <f>IF(AK517=SafetyLabel,AP517,0)</f>
        <v>0</v>
      </c>
      <c r="BF517">
        <f>IF(AK517=SecureLabel,AP517,0)</f>
        <v>0</v>
      </c>
      <c r="BG517">
        <f>IF(AK517=SureThingLabel,AP517,0)</f>
        <v>0</v>
      </c>
      <c r="BH517">
        <f>MAX(BC517:BG517)</f>
        <v>0</v>
      </c>
      <c r="BI517">
        <f>MAX(BD517:BG517)</f>
        <v>0</v>
      </c>
      <c r="BJ517">
        <f>MAX(BE517:BG517)</f>
        <v>0</v>
      </c>
      <c r="BK517">
        <f>IF(AND(AK517=ReachLabel,AY517=1),AP517,0)</f>
        <v>0</v>
      </c>
      <c r="BL517">
        <f>IF(AND(AK517=MatchLabel,AY517=1),AP517,0)</f>
        <v>0</v>
      </c>
      <c r="BM517">
        <f>IF(AND(AK517=SafetyLabel,AY517=1),AP517,0)</f>
        <v>0</v>
      </c>
      <c r="BN517">
        <f>IF(AND(AK517=SecureLabel,AY517=1),AP517,0)</f>
        <v>0</v>
      </c>
      <c r="BO517">
        <f>IF(AND(AK517=SureThingLabel,AY517=1),AP517,0)</f>
        <v>0</v>
      </c>
      <c r="BP517">
        <f>MAX(BK517:BO517)</f>
        <v>0</v>
      </c>
      <c r="BQ517">
        <f>MAX(BL517:BO517)</f>
        <v>0</v>
      </c>
      <c r="BR517">
        <f>MAX(BM517:BO517)</f>
        <v>0</v>
      </c>
      <c r="BS517">
        <f>IF(ISNUMBER(Y517),INDEX(AllCollegeChicago, MATCH(N517,AllCollegeNCES,0))*AY517,0)</f>
        <v>0</v>
      </c>
      <c r="BT517">
        <f>IF(ISNUMBER(Y517),INDEX(AllCollegeMoneyCode, MATCH(N517,AllCollegeNCES,0)),"?")</f>
        <v>0</v>
      </c>
      <c r="BU517">
        <f>IF(OR(BT517="---",BT517="--",BT517="+/--",BT517="+/---"),1,0)</f>
        <v>0</v>
      </c>
      <c r="BV517">
        <f>AY517*AO517*AQ517</f>
        <v>0</v>
      </c>
    </row>
    <row r="518" spans="1:74">
      <c r="A518" t="s">
        <v>86</v>
      </c>
      <c r="B518">
        <v>23476024</v>
      </c>
      <c r="C518" t="s">
        <v>227</v>
      </c>
      <c r="D518" t="s">
        <v>228</v>
      </c>
      <c r="E518" t="s">
        <v>428</v>
      </c>
      <c r="F518" t="s">
        <v>485</v>
      </c>
      <c r="G518" t="s">
        <v>430</v>
      </c>
      <c r="H518" t="s">
        <v>431</v>
      </c>
      <c r="I518" t="s">
        <v>432</v>
      </c>
      <c r="J518" t="s">
        <v>432</v>
      </c>
      <c r="K518">
        <v>0</v>
      </c>
      <c r="L518" t="s">
        <v>428</v>
      </c>
      <c r="M518" t="s">
        <v>428</v>
      </c>
      <c r="N518">
        <v>170082</v>
      </c>
      <c r="O518">
        <f>INDEX(AllCollegeBarrons,MATCH(N518,AllCollegeNCES,0))</f>
        <v>0</v>
      </c>
      <c r="P518">
        <f>INDEX(KidGPAs,MATCH(B518,KidIDs,0))</f>
        <v>0</v>
      </c>
      <c r="Q518">
        <f>INDEX(KidACTs,MATCH(B518,KidIDs,0))</f>
        <v>0</v>
      </c>
      <c r="R518">
        <f>INDEX(Strats,MATCH(B518,KidIDs,0))</f>
        <v>0</v>
      </c>
      <c r="S518">
        <f>INDEX(KidRace,MATCH(B518,KidIDs,0))</f>
        <v>0</v>
      </c>
      <c r="T518">
        <f>IF(OR(S518="M",S518="I"),"H",S518)</f>
        <v>0</v>
      </c>
      <c r="U518">
        <f>INDEX(StudentTargets,MATCH(B518,KidIDs,0))</f>
        <v>0</v>
      </c>
      <c r="V518">
        <f>INDEX(ReachStudentTargets,MATCH(B518,KidIDs,0))</f>
        <v>0</v>
      </c>
      <c r="W518">
        <f>IF(OR(M518="Posse"),1,0)</f>
        <v>0</v>
      </c>
      <c r="X518">
        <f>IF(ISNUMBER(INDEX(AllCollegeGR, MATCH(N518,AllCollegeNCES,0))),ROUND(INDEX(AllCollegeGR, MATCH(N518,AllCollegeNCES,0))+W518*IF(INDEX(AllCollegeGR, MATCH(N518,AllCollegeNCES,0))&gt;0.7,(1-INDEX(AllCollegeGR, MATCH(N518,AllCollegeNCES,0)))/2,0.15),2),INDEX(AllCollegeGR, MATCH(N518,AllCollegeNCES,0)))</f>
        <v>0</v>
      </c>
      <c r="Y518">
        <f>IF(ISNUMBER(INDEX(AllCollegeAAHGR, MATCH(N518,AllCollegeNCES,0))),ROUND(INDEX(AllCollegeAAHGR, MATCH(N518,AllCollegeNCES,0))+W518*IF(INDEX(AllCollegeAAHGR, MATCH(N518,AllCollegeNCES,0))&gt;0.7,(1-INDEX(AllCollegeAAHGR, MATCH(N518,AllCollegeNCES,0)))/2,0.15),2),INDEX(AllCollegeAAHGR, MATCH(N518,AllCollegeNCES,0)))</f>
        <v>0</v>
      </c>
      <c r="Z518">
        <f>IF(OR(T518="H",T518="B"),INDEX(AllCollegeACT25, MATCH(N518,AllCollegeNCES,0)),INDEX(AllCollegeACT50, MATCH(N518,AllCollegeNCES,0)))</f>
        <v>0</v>
      </c>
      <c r="AA518">
        <f>INDEX(CustomWeightsGPA,MATCH(T518&amp;":"&amp;N518,CustomWeightsIndex,0))</f>
        <v>0</v>
      </c>
      <c r="AB518">
        <f>INDEX(CustomWeightsACT,MATCH(T518&amp;":"&amp;N518,CustomWeightsIndex,0))</f>
        <v>0</v>
      </c>
      <c r="AC518">
        <f>INDEX(CustomWeightsIntercept,MATCH(T518&amp;":"&amp;N518,CustomWeightsIndex,0))</f>
        <v>0</v>
      </c>
      <c r="AD518">
        <f>AA518*P518+AB518*Q518+AC518</f>
        <v>0</v>
      </c>
      <c r="AE518">
        <f>INDEX(CoefficientsGPA,MATCH(T518&amp;":"&amp;O518,CoefficientsIndex,0))</f>
        <v>0</v>
      </c>
      <c r="AF518">
        <f>INDEX(CoefficientsACT,MATCH(T518&amp;":"&amp;O518,CoefficientsIndex,0))</f>
        <v>0</v>
      </c>
      <c r="AG518">
        <f>INDEX(CoefficientsIntercept,MATCH(T518&amp;":"&amp;O518,CoefficientsIndex,0))</f>
        <v>0</v>
      </c>
      <c r="AH518">
        <f>AE518*P518+(Q518-Z518)*AF518+AG518</f>
        <v>0</v>
      </c>
      <c r="AI518">
        <f>IF(ISNUMBER(AD518),AD518,AH518)</f>
        <v>0</v>
      </c>
      <c r="AJ518">
        <f>IF(ISNUMBER(AI518),IF(ISNUMBER(AE518),IF(AND(AE518=1,AF518=1,AG518=1),100,ROUND(100*EXP(AI518)/(1+EXP(AI518)),2)),ROUND(100*EXP(AI518)/(1+EXP(AI518)),2)),IF(ISTEXT(O518),IF(LEFT(O518,1)="2",100,"N/A"),"N/A"))</f>
        <v>0</v>
      </c>
      <c r="AK518">
        <f>IF(ISNUMBER(AJ518),IF(AJ518&gt;=99,IF(OR(R518=10,R518=11),MatchLabel,SureThingLabel),IF(AJ518&gt;=95,SecureLabel,IF(AJ518&gt;=80,SafetyLabel,IF(AJ518&gt;=50,MatchLabel,IF(AJ518&gt;=20,ReachLabel,IF(AJ518&gt;=10,LongshotLabel,HailMaryLabel)))))),"Other")</f>
        <v>0</v>
      </c>
      <c r="AL518">
        <f>IF(OR(I518="accepted",I518="cond. accept",I518="summer admit"),IF(J518="yes","CHOICE!","Accepted!"),IF(I518="denied","Denied",IF(K518=1,"Waitlist",IF(L518=1,"Deferred",IF(G518="pending","Pending",IF(OR(G518="initial materials submitted",G518="mid-year submitted",G518="final submitted"),"Submitted",IF(H518="interest","Interest","?")))))))</f>
        <v>0</v>
      </c>
      <c r="AM518">
        <f>IF(OR(AK518=ReachLabel,AK518=LongshotLabel,AK518=HailMaryLabel),1,0)</f>
        <v>0</v>
      </c>
      <c r="AN518">
        <f>IF(OR(AM518=1,AK518=MatchLabel),1,0)</f>
        <v>0</v>
      </c>
      <c r="AO518">
        <f>IF(OR(AK518=MatchLabel,AK518=SafetyLabel,AK518=SecureLabel,AK518=SureThingLabel),1,0)</f>
        <v>0</v>
      </c>
      <c r="AP518">
        <f>IF(OR(T518="H",T518="B"),IF(ISNUMBER(Y518),ROUND(Y518,2),0),IF(ISNUMBER(X518),ROUND(X518,2),0))</f>
        <v>0</v>
      </c>
      <c r="AQ518">
        <f>IF(AP518&gt;=U518,1,0)</f>
        <v>0</v>
      </c>
      <c r="AR518">
        <f>IF(AP518&gt;=V518,1,0)</f>
        <v>0</v>
      </c>
      <c r="AS518">
        <f>IF(AP518&lt;(U518-0.10),1,0)</f>
        <v>0</v>
      </c>
      <c r="AT518">
        <f>1-AJ518/100</f>
        <v>0</v>
      </c>
      <c r="AU518">
        <f>IF(AN518=1,AT518,1)</f>
        <v>0</v>
      </c>
      <c r="AV518">
        <f>IF(AM518=1,AT518,1)</f>
        <v>0</v>
      </c>
      <c r="AW518">
        <f>IF(AND(AQ518=1,ISNUMBER(AT518)),$AT518,1)</f>
        <v>0</v>
      </c>
      <c r="AX518">
        <f>IF(AND(AR518=1,ISNUMBER(AT518)),$AT518,1)</f>
        <v>0</v>
      </c>
      <c r="AY518">
        <f>IF(ISNUMBER(Y518),INDEX(AllCollegeMoney, MATCH(N518,AllCollegeNCES,0)),0)</f>
        <v>0</v>
      </c>
      <c r="AZ518">
        <f>IF(AND(AQ518=1,ISNUMBER(AT518),AY518=1),$AT518,1)</f>
        <v>0</v>
      </c>
      <c r="BA518">
        <f>IF(AND(AR518=1,ISNUMBER(AT518),AY518=1),$AT518,1)</f>
        <v>0</v>
      </c>
      <c r="BB518">
        <f>IF(ISNUMBER(Y518),INDEX(AllCollegeILPub, MATCH(N518,AllCollegeNCES,0)),0)</f>
        <v>0</v>
      </c>
      <c r="BC518">
        <f>IF(AK518=ReachLabel,AP518,0)</f>
        <v>0</v>
      </c>
      <c r="BD518">
        <f>IF(AK518=MatchLabel,AP518,0)</f>
        <v>0</v>
      </c>
      <c r="BE518">
        <f>IF(AK518=SafetyLabel,AP518,0)</f>
        <v>0</v>
      </c>
      <c r="BF518">
        <f>IF(AK518=SecureLabel,AP518,0)</f>
        <v>0</v>
      </c>
      <c r="BG518">
        <f>IF(AK518=SureThingLabel,AP518,0)</f>
        <v>0</v>
      </c>
      <c r="BH518">
        <f>MAX(BC518:BG518)</f>
        <v>0</v>
      </c>
      <c r="BI518">
        <f>MAX(BD518:BG518)</f>
        <v>0</v>
      </c>
      <c r="BJ518">
        <f>MAX(BE518:BG518)</f>
        <v>0</v>
      </c>
      <c r="BK518">
        <f>IF(AND(AK518=ReachLabel,AY518=1),AP518,0)</f>
        <v>0</v>
      </c>
      <c r="BL518">
        <f>IF(AND(AK518=MatchLabel,AY518=1),AP518,0)</f>
        <v>0</v>
      </c>
      <c r="BM518">
        <f>IF(AND(AK518=SafetyLabel,AY518=1),AP518,0)</f>
        <v>0</v>
      </c>
      <c r="BN518">
        <f>IF(AND(AK518=SecureLabel,AY518=1),AP518,0)</f>
        <v>0</v>
      </c>
      <c r="BO518">
        <f>IF(AND(AK518=SureThingLabel,AY518=1),AP518,0)</f>
        <v>0</v>
      </c>
      <c r="BP518">
        <f>MAX(BK518:BO518)</f>
        <v>0</v>
      </c>
      <c r="BQ518">
        <f>MAX(BL518:BO518)</f>
        <v>0</v>
      </c>
      <c r="BR518">
        <f>MAX(BM518:BO518)</f>
        <v>0</v>
      </c>
      <c r="BS518">
        <f>IF(ISNUMBER(Y518),INDEX(AllCollegeChicago, MATCH(N518,AllCollegeNCES,0))*AY518,0)</f>
        <v>0</v>
      </c>
      <c r="BT518">
        <f>IF(ISNUMBER(Y518),INDEX(AllCollegeMoneyCode, MATCH(N518,AllCollegeNCES,0)),"?")</f>
        <v>0</v>
      </c>
      <c r="BU518">
        <f>IF(OR(BT518="---",BT518="--",BT518="+/--",BT518="+/---"),1,0)</f>
        <v>0</v>
      </c>
      <c r="BV518">
        <f>AY518*AO518*AQ518</f>
        <v>0</v>
      </c>
    </row>
    <row r="519" spans="1:74">
      <c r="A519" t="s">
        <v>86</v>
      </c>
      <c r="B519">
        <v>23476024</v>
      </c>
      <c r="C519" t="s">
        <v>227</v>
      </c>
      <c r="D519" t="s">
        <v>228</v>
      </c>
      <c r="E519" t="s">
        <v>428</v>
      </c>
      <c r="F519" t="s">
        <v>502</v>
      </c>
      <c r="G519" t="s">
        <v>430</v>
      </c>
      <c r="H519" t="s">
        <v>431</v>
      </c>
      <c r="I519" t="s">
        <v>432</v>
      </c>
      <c r="J519" t="s">
        <v>432</v>
      </c>
      <c r="K519">
        <v>0</v>
      </c>
      <c r="L519" t="s">
        <v>428</v>
      </c>
      <c r="M519" t="s">
        <v>428</v>
      </c>
      <c r="N519">
        <v>145813</v>
      </c>
      <c r="O519">
        <f>INDEX(AllCollegeBarrons,MATCH(N519,AllCollegeNCES,0))</f>
        <v>0</v>
      </c>
      <c r="P519">
        <f>INDEX(KidGPAs,MATCH(B519,KidIDs,0))</f>
        <v>0</v>
      </c>
      <c r="Q519">
        <f>INDEX(KidACTs,MATCH(B519,KidIDs,0))</f>
        <v>0</v>
      </c>
      <c r="R519">
        <f>INDEX(Strats,MATCH(B519,KidIDs,0))</f>
        <v>0</v>
      </c>
      <c r="S519">
        <f>INDEX(KidRace,MATCH(B519,KidIDs,0))</f>
        <v>0</v>
      </c>
      <c r="T519">
        <f>IF(OR(S519="M",S519="I"),"H",S519)</f>
        <v>0</v>
      </c>
      <c r="U519">
        <f>INDEX(StudentTargets,MATCH(B519,KidIDs,0))</f>
        <v>0</v>
      </c>
      <c r="V519">
        <f>INDEX(ReachStudentTargets,MATCH(B519,KidIDs,0))</f>
        <v>0</v>
      </c>
      <c r="W519">
        <f>IF(OR(M519="Posse"),1,0)</f>
        <v>0</v>
      </c>
      <c r="X519">
        <f>IF(ISNUMBER(INDEX(AllCollegeGR, MATCH(N519,AllCollegeNCES,0))),ROUND(INDEX(AllCollegeGR, MATCH(N519,AllCollegeNCES,0))+W519*IF(INDEX(AllCollegeGR, MATCH(N519,AllCollegeNCES,0))&gt;0.7,(1-INDEX(AllCollegeGR, MATCH(N519,AllCollegeNCES,0)))/2,0.15),2),INDEX(AllCollegeGR, MATCH(N519,AllCollegeNCES,0)))</f>
        <v>0</v>
      </c>
      <c r="Y519">
        <f>IF(ISNUMBER(INDEX(AllCollegeAAHGR, MATCH(N519,AllCollegeNCES,0))),ROUND(INDEX(AllCollegeAAHGR, MATCH(N519,AllCollegeNCES,0))+W519*IF(INDEX(AllCollegeAAHGR, MATCH(N519,AllCollegeNCES,0))&gt;0.7,(1-INDEX(AllCollegeAAHGR, MATCH(N519,AllCollegeNCES,0)))/2,0.15),2),INDEX(AllCollegeAAHGR, MATCH(N519,AllCollegeNCES,0)))</f>
        <v>0</v>
      </c>
      <c r="Z519">
        <f>IF(OR(T519="H",T519="B"),INDEX(AllCollegeACT25, MATCH(N519,AllCollegeNCES,0)),INDEX(AllCollegeACT50, MATCH(N519,AllCollegeNCES,0)))</f>
        <v>0</v>
      </c>
      <c r="AA519">
        <f>INDEX(CustomWeightsGPA,MATCH(T519&amp;":"&amp;N519,CustomWeightsIndex,0))</f>
        <v>0</v>
      </c>
      <c r="AB519">
        <f>INDEX(CustomWeightsACT,MATCH(T519&amp;":"&amp;N519,CustomWeightsIndex,0))</f>
        <v>0</v>
      </c>
      <c r="AC519">
        <f>INDEX(CustomWeightsIntercept,MATCH(T519&amp;":"&amp;N519,CustomWeightsIndex,0))</f>
        <v>0</v>
      </c>
      <c r="AD519">
        <f>AA519*P519+AB519*Q519+AC519</f>
        <v>0</v>
      </c>
      <c r="AE519">
        <f>INDEX(CoefficientsGPA,MATCH(T519&amp;":"&amp;O519,CoefficientsIndex,0))</f>
        <v>0</v>
      </c>
      <c r="AF519">
        <f>INDEX(CoefficientsACT,MATCH(T519&amp;":"&amp;O519,CoefficientsIndex,0))</f>
        <v>0</v>
      </c>
      <c r="AG519">
        <f>INDEX(CoefficientsIntercept,MATCH(T519&amp;":"&amp;O519,CoefficientsIndex,0))</f>
        <v>0</v>
      </c>
      <c r="AH519">
        <f>AE519*P519+(Q519-Z519)*AF519+AG519</f>
        <v>0</v>
      </c>
      <c r="AI519">
        <f>IF(ISNUMBER(AD519),AD519,AH519)</f>
        <v>0</v>
      </c>
      <c r="AJ519">
        <f>IF(ISNUMBER(AI519),IF(ISNUMBER(AE519),IF(AND(AE519=1,AF519=1,AG519=1),100,ROUND(100*EXP(AI519)/(1+EXP(AI519)),2)),ROUND(100*EXP(AI519)/(1+EXP(AI519)),2)),IF(ISTEXT(O519),IF(LEFT(O519,1)="2",100,"N/A"),"N/A"))</f>
        <v>0</v>
      </c>
      <c r="AK519">
        <f>IF(ISNUMBER(AJ519),IF(AJ519&gt;=99,IF(OR(R519=10,R519=11),MatchLabel,SureThingLabel),IF(AJ519&gt;=95,SecureLabel,IF(AJ519&gt;=80,SafetyLabel,IF(AJ519&gt;=50,MatchLabel,IF(AJ519&gt;=20,ReachLabel,IF(AJ519&gt;=10,LongshotLabel,HailMaryLabel)))))),"Other")</f>
        <v>0</v>
      </c>
      <c r="AL519">
        <f>IF(OR(I519="accepted",I519="cond. accept",I519="summer admit"),IF(J519="yes","CHOICE!","Accepted!"),IF(I519="denied","Denied",IF(K519=1,"Waitlist",IF(L519=1,"Deferred",IF(G519="pending","Pending",IF(OR(G519="initial materials submitted",G519="mid-year submitted",G519="final submitted"),"Submitted",IF(H519="interest","Interest","?")))))))</f>
        <v>0</v>
      </c>
      <c r="AM519">
        <f>IF(OR(AK519=ReachLabel,AK519=LongshotLabel,AK519=HailMaryLabel),1,0)</f>
        <v>0</v>
      </c>
      <c r="AN519">
        <f>IF(OR(AM519=1,AK519=MatchLabel),1,0)</f>
        <v>0</v>
      </c>
      <c r="AO519">
        <f>IF(OR(AK519=MatchLabel,AK519=SafetyLabel,AK519=SecureLabel,AK519=SureThingLabel),1,0)</f>
        <v>0</v>
      </c>
      <c r="AP519">
        <f>IF(OR(T519="H",T519="B"),IF(ISNUMBER(Y519),ROUND(Y519,2),0),IF(ISNUMBER(X519),ROUND(X519,2),0))</f>
        <v>0</v>
      </c>
      <c r="AQ519">
        <f>IF(AP519&gt;=U519,1,0)</f>
        <v>0</v>
      </c>
      <c r="AR519">
        <f>IF(AP519&gt;=V519,1,0)</f>
        <v>0</v>
      </c>
      <c r="AS519">
        <f>IF(AP519&lt;(U519-0.10),1,0)</f>
        <v>0</v>
      </c>
      <c r="AT519">
        <f>1-AJ519/100</f>
        <v>0</v>
      </c>
      <c r="AU519">
        <f>IF(AN519=1,AT519,1)</f>
        <v>0</v>
      </c>
      <c r="AV519">
        <f>IF(AM519=1,AT519,1)</f>
        <v>0</v>
      </c>
      <c r="AW519">
        <f>IF(AND(AQ519=1,ISNUMBER(AT519)),$AT519,1)</f>
        <v>0</v>
      </c>
      <c r="AX519">
        <f>IF(AND(AR519=1,ISNUMBER(AT519)),$AT519,1)</f>
        <v>0</v>
      </c>
      <c r="AY519">
        <f>IF(ISNUMBER(Y519),INDEX(AllCollegeMoney, MATCH(N519,AllCollegeNCES,0)),0)</f>
        <v>0</v>
      </c>
      <c r="AZ519">
        <f>IF(AND(AQ519=1,ISNUMBER(AT519),AY519=1),$AT519,1)</f>
        <v>0</v>
      </c>
      <c r="BA519">
        <f>IF(AND(AR519=1,ISNUMBER(AT519),AY519=1),$AT519,1)</f>
        <v>0</v>
      </c>
      <c r="BB519">
        <f>IF(ISNUMBER(Y519),INDEX(AllCollegeILPub, MATCH(N519,AllCollegeNCES,0)),0)</f>
        <v>0</v>
      </c>
      <c r="BC519">
        <f>IF(AK519=ReachLabel,AP519,0)</f>
        <v>0</v>
      </c>
      <c r="BD519">
        <f>IF(AK519=MatchLabel,AP519,0)</f>
        <v>0</v>
      </c>
      <c r="BE519">
        <f>IF(AK519=SafetyLabel,AP519,0)</f>
        <v>0</v>
      </c>
      <c r="BF519">
        <f>IF(AK519=SecureLabel,AP519,0)</f>
        <v>0</v>
      </c>
      <c r="BG519">
        <f>IF(AK519=SureThingLabel,AP519,0)</f>
        <v>0</v>
      </c>
      <c r="BH519">
        <f>MAX(BC519:BG519)</f>
        <v>0</v>
      </c>
      <c r="BI519">
        <f>MAX(BD519:BG519)</f>
        <v>0</v>
      </c>
      <c r="BJ519">
        <f>MAX(BE519:BG519)</f>
        <v>0</v>
      </c>
      <c r="BK519">
        <f>IF(AND(AK519=ReachLabel,AY519=1),AP519,0)</f>
        <v>0</v>
      </c>
      <c r="BL519">
        <f>IF(AND(AK519=MatchLabel,AY519=1),AP519,0)</f>
        <v>0</v>
      </c>
      <c r="BM519">
        <f>IF(AND(AK519=SafetyLabel,AY519=1),AP519,0)</f>
        <v>0</v>
      </c>
      <c r="BN519">
        <f>IF(AND(AK519=SecureLabel,AY519=1),AP519,0)</f>
        <v>0</v>
      </c>
      <c r="BO519">
        <f>IF(AND(AK519=SureThingLabel,AY519=1),AP519,0)</f>
        <v>0</v>
      </c>
      <c r="BP519">
        <f>MAX(BK519:BO519)</f>
        <v>0</v>
      </c>
      <c r="BQ519">
        <f>MAX(BL519:BO519)</f>
        <v>0</v>
      </c>
      <c r="BR519">
        <f>MAX(BM519:BO519)</f>
        <v>0</v>
      </c>
      <c r="BS519">
        <f>IF(ISNUMBER(Y519),INDEX(AllCollegeChicago, MATCH(N519,AllCollegeNCES,0))*AY519,0)</f>
        <v>0</v>
      </c>
      <c r="BT519">
        <f>IF(ISNUMBER(Y519),INDEX(AllCollegeMoneyCode, MATCH(N519,AllCollegeNCES,0)),"?")</f>
        <v>0</v>
      </c>
      <c r="BU519">
        <f>IF(OR(BT519="---",BT519="--",BT519="+/--",BT519="+/---"),1,0)</f>
        <v>0</v>
      </c>
      <c r="BV519">
        <f>AY519*AO519*AQ519</f>
        <v>0</v>
      </c>
    </row>
    <row r="520" spans="1:74">
      <c r="A520" t="s">
        <v>86</v>
      </c>
      <c r="B520">
        <v>23476024</v>
      </c>
      <c r="C520" t="s">
        <v>227</v>
      </c>
      <c r="D520" t="s">
        <v>228</v>
      </c>
      <c r="E520" t="s">
        <v>428</v>
      </c>
      <c r="F520" t="s">
        <v>447</v>
      </c>
      <c r="G520" t="s">
        <v>430</v>
      </c>
      <c r="H520" t="s">
        <v>431</v>
      </c>
      <c r="I520" t="s">
        <v>432</v>
      </c>
      <c r="J520" t="s">
        <v>432</v>
      </c>
      <c r="K520">
        <v>0</v>
      </c>
      <c r="L520" t="s">
        <v>428</v>
      </c>
      <c r="M520" t="s">
        <v>428</v>
      </c>
      <c r="N520">
        <v>145600</v>
      </c>
      <c r="O520">
        <f>INDEX(AllCollegeBarrons,MATCH(N520,AllCollegeNCES,0))</f>
        <v>0</v>
      </c>
      <c r="P520">
        <f>INDEX(KidGPAs,MATCH(B520,KidIDs,0))</f>
        <v>0</v>
      </c>
      <c r="Q520">
        <f>INDEX(KidACTs,MATCH(B520,KidIDs,0))</f>
        <v>0</v>
      </c>
      <c r="R520">
        <f>INDEX(Strats,MATCH(B520,KidIDs,0))</f>
        <v>0</v>
      </c>
      <c r="S520">
        <f>INDEX(KidRace,MATCH(B520,KidIDs,0))</f>
        <v>0</v>
      </c>
      <c r="T520">
        <f>IF(OR(S520="M",S520="I"),"H",S520)</f>
        <v>0</v>
      </c>
      <c r="U520">
        <f>INDEX(StudentTargets,MATCH(B520,KidIDs,0))</f>
        <v>0</v>
      </c>
      <c r="V520">
        <f>INDEX(ReachStudentTargets,MATCH(B520,KidIDs,0))</f>
        <v>0</v>
      </c>
      <c r="W520">
        <f>IF(OR(M520="Posse"),1,0)</f>
        <v>0</v>
      </c>
      <c r="X520">
        <f>IF(ISNUMBER(INDEX(AllCollegeGR, MATCH(N520,AllCollegeNCES,0))),ROUND(INDEX(AllCollegeGR, MATCH(N520,AllCollegeNCES,0))+W520*IF(INDEX(AllCollegeGR, MATCH(N520,AllCollegeNCES,0))&gt;0.7,(1-INDEX(AllCollegeGR, MATCH(N520,AllCollegeNCES,0)))/2,0.15),2),INDEX(AllCollegeGR, MATCH(N520,AllCollegeNCES,0)))</f>
        <v>0</v>
      </c>
      <c r="Y520">
        <f>IF(ISNUMBER(INDEX(AllCollegeAAHGR, MATCH(N520,AllCollegeNCES,0))),ROUND(INDEX(AllCollegeAAHGR, MATCH(N520,AllCollegeNCES,0))+W520*IF(INDEX(AllCollegeAAHGR, MATCH(N520,AllCollegeNCES,0))&gt;0.7,(1-INDEX(AllCollegeAAHGR, MATCH(N520,AllCollegeNCES,0)))/2,0.15),2),INDEX(AllCollegeAAHGR, MATCH(N520,AllCollegeNCES,0)))</f>
        <v>0</v>
      </c>
      <c r="Z520">
        <f>IF(OR(T520="H",T520="B"),INDEX(AllCollegeACT25, MATCH(N520,AllCollegeNCES,0)),INDEX(AllCollegeACT50, MATCH(N520,AllCollegeNCES,0)))</f>
        <v>0</v>
      </c>
      <c r="AA520">
        <f>INDEX(CustomWeightsGPA,MATCH(T520&amp;":"&amp;N520,CustomWeightsIndex,0))</f>
        <v>0</v>
      </c>
      <c r="AB520">
        <f>INDEX(CustomWeightsACT,MATCH(T520&amp;":"&amp;N520,CustomWeightsIndex,0))</f>
        <v>0</v>
      </c>
      <c r="AC520">
        <f>INDEX(CustomWeightsIntercept,MATCH(T520&amp;":"&amp;N520,CustomWeightsIndex,0))</f>
        <v>0</v>
      </c>
      <c r="AD520">
        <f>AA520*P520+AB520*Q520+AC520</f>
        <v>0</v>
      </c>
      <c r="AE520">
        <f>INDEX(CoefficientsGPA,MATCH(T520&amp;":"&amp;O520,CoefficientsIndex,0))</f>
        <v>0</v>
      </c>
      <c r="AF520">
        <f>INDEX(CoefficientsACT,MATCH(T520&amp;":"&amp;O520,CoefficientsIndex,0))</f>
        <v>0</v>
      </c>
      <c r="AG520">
        <f>INDEX(CoefficientsIntercept,MATCH(T520&amp;":"&amp;O520,CoefficientsIndex,0))</f>
        <v>0</v>
      </c>
      <c r="AH520">
        <f>AE520*P520+(Q520-Z520)*AF520+AG520</f>
        <v>0</v>
      </c>
      <c r="AI520">
        <f>IF(ISNUMBER(AD520),AD520,AH520)</f>
        <v>0</v>
      </c>
      <c r="AJ520">
        <f>IF(ISNUMBER(AI520),IF(ISNUMBER(AE520),IF(AND(AE520=1,AF520=1,AG520=1),100,ROUND(100*EXP(AI520)/(1+EXP(AI520)),2)),ROUND(100*EXP(AI520)/(1+EXP(AI520)),2)),IF(ISTEXT(O520),IF(LEFT(O520,1)="2",100,"N/A"),"N/A"))</f>
        <v>0</v>
      </c>
      <c r="AK520">
        <f>IF(ISNUMBER(AJ520),IF(AJ520&gt;=99,IF(OR(R520=10,R520=11),MatchLabel,SureThingLabel),IF(AJ520&gt;=95,SecureLabel,IF(AJ520&gt;=80,SafetyLabel,IF(AJ520&gt;=50,MatchLabel,IF(AJ520&gt;=20,ReachLabel,IF(AJ520&gt;=10,LongshotLabel,HailMaryLabel)))))),"Other")</f>
        <v>0</v>
      </c>
      <c r="AL520">
        <f>IF(OR(I520="accepted",I520="cond. accept",I520="summer admit"),IF(J520="yes","CHOICE!","Accepted!"),IF(I520="denied","Denied",IF(K520=1,"Waitlist",IF(L520=1,"Deferred",IF(G520="pending","Pending",IF(OR(G520="initial materials submitted",G520="mid-year submitted",G520="final submitted"),"Submitted",IF(H520="interest","Interest","?")))))))</f>
        <v>0</v>
      </c>
      <c r="AM520">
        <f>IF(OR(AK520=ReachLabel,AK520=LongshotLabel,AK520=HailMaryLabel),1,0)</f>
        <v>0</v>
      </c>
      <c r="AN520">
        <f>IF(OR(AM520=1,AK520=MatchLabel),1,0)</f>
        <v>0</v>
      </c>
      <c r="AO520">
        <f>IF(OR(AK520=MatchLabel,AK520=SafetyLabel,AK520=SecureLabel,AK520=SureThingLabel),1,0)</f>
        <v>0</v>
      </c>
      <c r="AP520">
        <f>IF(OR(T520="H",T520="B"),IF(ISNUMBER(Y520),ROUND(Y520,2),0),IF(ISNUMBER(X520),ROUND(X520,2),0))</f>
        <v>0</v>
      </c>
      <c r="AQ520">
        <f>IF(AP520&gt;=U520,1,0)</f>
        <v>0</v>
      </c>
      <c r="AR520">
        <f>IF(AP520&gt;=V520,1,0)</f>
        <v>0</v>
      </c>
      <c r="AS520">
        <f>IF(AP520&lt;(U520-0.10),1,0)</f>
        <v>0</v>
      </c>
      <c r="AT520">
        <f>1-AJ520/100</f>
        <v>0</v>
      </c>
      <c r="AU520">
        <f>IF(AN520=1,AT520,1)</f>
        <v>0</v>
      </c>
      <c r="AV520">
        <f>IF(AM520=1,AT520,1)</f>
        <v>0</v>
      </c>
      <c r="AW520">
        <f>IF(AND(AQ520=1,ISNUMBER(AT520)),$AT520,1)</f>
        <v>0</v>
      </c>
      <c r="AX520">
        <f>IF(AND(AR520=1,ISNUMBER(AT520)),$AT520,1)</f>
        <v>0</v>
      </c>
      <c r="AY520">
        <f>IF(ISNUMBER(Y520),INDEX(AllCollegeMoney, MATCH(N520,AllCollegeNCES,0)),0)</f>
        <v>0</v>
      </c>
      <c r="AZ520">
        <f>IF(AND(AQ520=1,ISNUMBER(AT520),AY520=1),$AT520,1)</f>
        <v>0</v>
      </c>
      <c r="BA520">
        <f>IF(AND(AR520=1,ISNUMBER(AT520),AY520=1),$AT520,1)</f>
        <v>0</v>
      </c>
      <c r="BB520">
        <f>IF(ISNUMBER(Y520),INDEX(AllCollegeILPub, MATCH(N520,AllCollegeNCES,0)),0)</f>
        <v>0</v>
      </c>
      <c r="BC520">
        <f>IF(AK520=ReachLabel,AP520,0)</f>
        <v>0</v>
      </c>
      <c r="BD520">
        <f>IF(AK520=MatchLabel,AP520,0)</f>
        <v>0</v>
      </c>
      <c r="BE520">
        <f>IF(AK520=SafetyLabel,AP520,0)</f>
        <v>0</v>
      </c>
      <c r="BF520">
        <f>IF(AK520=SecureLabel,AP520,0)</f>
        <v>0</v>
      </c>
      <c r="BG520">
        <f>IF(AK520=SureThingLabel,AP520,0)</f>
        <v>0</v>
      </c>
      <c r="BH520">
        <f>MAX(BC520:BG520)</f>
        <v>0</v>
      </c>
      <c r="BI520">
        <f>MAX(BD520:BG520)</f>
        <v>0</v>
      </c>
      <c r="BJ520">
        <f>MAX(BE520:BG520)</f>
        <v>0</v>
      </c>
      <c r="BK520">
        <f>IF(AND(AK520=ReachLabel,AY520=1),AP520,0)</f>
        <v>0</v>
      </c>
      <c r="BL520">
        <f>IF(AND(AK520=MatchLabel,AY520=1),AP520,0)</f>
        <v>0</v>
      </c>
      <c r="BM520">
        <f>IF(AND(AK520=SafetyLabel,AY520=1),AP520,0)</f>
        <v>0</v>
      </c>
      <c r="BN520">
        <f>IF(AND(AK520=SecureLabel,AY520=1),AP520,0)</f>
        <v>0</v>
      </c>
      <c r="BO520">
        <f>IF(AND(AK520=SureThingLabel,AY520=1),AP520,0)</f>
        <v>0</v>
      </c>
      <c r="BP520">
        <f>MAX(BK520:BO520)</f>
        <v>0</v>
      </c>
      <c r="BQ520">
        <f>MAX(BL520:BO520)</f>
        <v>0</v>
      </c>
      <c r="BR520">
        <f>MAX(BM520:BO520)</f>
        <v>0</v>
      </c>
      <c r="BS520">
        <f>IF(ISNUMBER(Y520),INDEX(AllCollegeChicago, MATCH(N520,AllCollegeNCES,0))*AY520,0)</f>
        <v>0</v>
      </c>
      <c r="BT520">
        <f>IF(ISNUMBER(Y520),INDEX(AllCollegeMoneyCode, MATCH(N520,AllCollegeNCES,0)),"?")</f>
        <v>0</v>
      </c>
      <c r="BU520">
        <f>IF(OR(BT520="---",BT520="--",BT520="+/--",BT520="+/---"),1,0)</f>
        <v>0</v>
      </c>
      <c r="BV520">
        <f>AY520*AO520*AQ520</f>
        <v>0</v>
      </c>
    </row>
    <row r="521" spans="1:74">
      <c r="A521" t="s">
        <v>86</v>
      </c>
      <c r="B521">
        <v>23476024</v>
      </c>
      <c r="C521" t="s">
        <v>227</v>
      </c>
      <c r="D521" t="s">
        <v>228</v>
      </c>
      <c r="E521" t="s">
        <v>428</v>
      </c>
      <c r="F521" t="s">
        <v>438</v>
      </c>
      <c r="G521" t="s">
        <v>430</v>
      </c>
      <c r="H521" t="s">
        <v>431</v>
      </c>
      <c r="I521" t="s">
        <v>432</v>
      </c>
      <c r="J521" t="s">
        <v>432</v>
      </c>
      <c r="K521">
        <v>0</v>
      </c>
      <c r="L521" t="s">
        <v>428</v>
      </c>
      <c r="M521" t="s">
        <v>439</v>
      </c>
      <c r="N521">
        <v>150774</v>
      </c>
      <c r="O521">
        <f>INDEX(AllCollegeBarrons,MATCH(N521,AllCollegeNCES,0))</f>
        <v>0</v>
      </c>
      <c r="P521">
        <f>INDEX(KidGPAs,MATCH(B521,KidIDs,0))</f>
        <v>0</v>
      </c>
      <c r="Q521">
        <f>INDEX(KidACTs,MATCH(B521,KidIDs,0))</f>
        <v>0</v>
      </c>
      <c r="R521">
        <f>INDEX(Strats,MATCH(B521,KidIDs,0))</f>
        <v>0</v>
      </c>
      <c r="S521">
        <f>INDEX(KidRace,MATCH(B521,KidIDs,0))</f>
        <v>0</v>
      </c>
      <c r="T521">
        <f>IF(OR(S521="M",S521="I"),"H",S521)</f>
        <v>0</v>
      </c>
      <c r="U521">
        <f>INDEX(StudentTargets,MATCH(B521,KidIDs,0))</f>
        <v>0</v>
      </c>
      <c r="V521">
        <f>INDEX(ReachStudentTargets,MATCH(B521,KidIDs,0))</f>
        <v>0</v>
      </c>
      <c r="W521">
        <f>IF(OR(M521="Posse"),1,0)</f>
        <v>0</v>
      </c>
      <c r="X521">
        <f>IF(ISNUMBER(INDEX(AllCollegeGR, MATCH(N521,AllCollegeNCES,0))),ROUND(INDEX(AllCollegeGR, MATCH(N521,AllCollegeNCES,0))+W521*IF(INDEX(AllCollegeGR, MATCH(N521,AllCollegeNCES,0))&gt;0.7,(1-INDEX(AllCollegeGR, MATCH(N521,AllCollegeNCES,0)))/2,0.15),2),INDEX(AllCollegeGR, MATCH(N521,AllCollegeNCES,0)))</f>
        <v>0</v>
      </c>
      <c r="Y521">
        <f>IF(ISNUMBER(INDEX(AllCollegeAAHGR, MATCH(N521,AllCollegeNCES,0))),ROUND(INDEX(AllCollegeAAHGR, MATCH(N521,AllCollegeNCES,0))+W521*IF(INDEX(AllCollegeAAHGR, MATCH(N521,AllCollegeNCES,0))&gt;0.7,(1-INDEX(AllCollegeAAHGR, MATCH(N521,AllCollegeNCES,0)))/2,0.15),2),INDEX(AllCollegeAAHGR, MATCH(N521,AllCollegeNCES,0)))</f>
        <v>0</v>
      </c>
      <c r="Z521">
        <f>IF(OR(T521="H",T521="B"),INDEX(AllCollegeACT25, MATCH(N521,AllCollegeNCES,0)),INDEX(AllCollegeACT50, MATCH(N521,AllCollegeNCES,0)))</f>
        <v>0</v>
      </c>
      <c r="AA521">
        <f>INDEX(CustomWeightsGPA,MATCH(T521&amp;":"&amp;N521,CustomWeightsIndex,0))</f>
        <v>0</v>
      </c>
      <c r="AB521">
        <f>INDEX(CustomWeightsACT,MATCH(T521&amp;":"&amp;N521,CustomWeightsIndex,0))</f>
        <v>0</v>
      </c>
      <c r="AC521">
        <f>INDEX(CustomWeightsIntercept,MATCH(T521&amp;":"&amp;N521,CustomWeightsIndex,0))</f>
        <v>0</v>
      </c>
      <c r="AD521">
        <f>AA521*P521+AB521*Q521+AC521</f>
        <v>0</v>
      </c>
      <c r="AE521">
        <f>INDEX(CoefficientsGPA,MATCH(T521&amp;":"&amp;O521,CoefficientsIndex,0))</f>
        <v>0</v>
      </c>
      <c r="AF521">
        <f>INDEX(CoefficientsACT,MATCH(T521&amp;":"&amp;O521,CoefficientsIndex,0))</f>
        <v>0</v>
      </c>
      <c r="AG521">
        <f>INDEX(CoefficientsIntercept,MATCH(T521&amp;":"&amp;O521,CoefficientsIndex,0))</f>
        <v>0</v>
      </c>
      <c r="AH521">
        <f>AE521*P521+(Q521-Z521)*AF521+AG521</f>
        <v>0</v>
      </c>
      <c r="AI521">
        <f>IF(ISNUMBER(AD521),AD521,AH521)</f>
        <v>0</v>
      </c>
      <c r="AJ521">
        <f>IF(ISNUMBER(AI521),IF(ISNUMBER(AE521),IF(AND(AE521=1,AF521=1,AG521=1),100,ROUND(100*EXP(AI521)/(1+EXP(AI521)),2)),ROUND(100*EXP(AI521)/(1+EXP(AI521)),2)),IF(ISTEXT(O521),IF(LEFT(O521,1)="2",100,"N/A"),"N/A"))</f>
        <v>0</v>
      </c>
      <c r="AK521">
        <f>IF(ISNUMBER(AJ521),IF(AJ521&gt;=99,IF(OR(R521=10,R521=11),MatchLabel,SureThingLabel),IF(AJ521&gt;=95,SecureLabel,IF(AJ521&gt;=80,SafetyLabel,IF(AJ521&gt;=50,MatchLabel,IF(AJ521&gt;=20,ReachLabel,IF(AJ521&gt;=10,LongshotLabel,HailMaryLabel)))))),"Other")</f>
        <v>0</v>
      </c>
      <c r="AL521">
        <f>IF(OR(I521="accepted",I521="cond. accept",I521="summer admit"),IF(J521="yes","CHOICE!","Accepted!"),IF(I521="denied","Denied",IF(K521=1,"Waitlist",IF(L521=1,"Deferred",IF(G521="pending","Pending",IF(OR(G521="initial materials submitted",G521="mid-year submitted",G521="final submitted"),"Submitted",IF(H521="interest","Interest","?")))))))</f>
        <v>0</v>
      </c>
      <c r="AM521">
        <f>IF(OR(AK521=ReachLabel,AK521=LongshotLabel,AK521=HailMaryLabel),1,0)</f>
        <v>0</v>
      </c>
      <c r="AN521">
        <f>IF(OR(AM521=1,AK521=MatchLabel),1,0)</f>
        <v>0</v>
      </c>
      <c r="AO521">
        <f>IF(OR(AK521=MatchLabel,AK521=SafetyLabel,AK521=SecureLabel,AK521=SureThingLabel),1,0)</f>
        <v>0</v>
      </c>
      <c r="AP521">
        <f>IF(OR(T521="H",T521="B"),IF(ISNUMBER(Y521),ROUND(Y521,2),0),IF(ISNUMBER(X521),ROUND(X521,2),0))</f>
        <v>0</v>
      </c>
      <c r="AQ521">
        <f>IF(AP521&gt;=U521,1,0)</f>
        <v>0</v>
      </c>
      <c r="AR521">
        <f>IF(AP521&gt;=V521,1,0)</f>
        <v>0</v>
      </c>
      <c r="AS521">
        <f>IF(AP521&lt;(U521-0.10),1,0)</f>
        <v>0</v>
      </c>
      <c r="AT521">
        <f>1-AJ521/100</f>
        <v>0</v>
      </c>
      <c r="AU521">
        <f>IF(AN521=1,AT521,1)</f>
        <v>0</v>
      </c>
      <c r="AV521">
        <f>IF(AM521=1,AT521,1)</f>
        <v>0</v>
      </c>
      <c r="AW521">
        <f>IF(AND(AQ521=1,ISNUMBER(AT521)),$AT521,1)</f>
        <v>0</v>
      </c>
      <c r="AX521">
        <f>IF(AND(AR521=1,ISNUMBER(AT521)),$AT521,1)</f>
        <v>0</v>
      </c>
      <c r="AY521">
        <f>IF(ISNUMBER(Y521),INDEX(AllCollegeMoney, MATCH(N521,AllCollegeNCES,0)),0)</f>
        <v>0</v>
      </c>
      <c r="AZ521">
        <f>IF(AND(AQ521=1,ISNUMBER(AT521),AY521=1),$AT521,1)</f>
        <v>0</v>
      </c>
      <c r="BA521">
        <f>IF(AND(AR521=1,ISNUMBER(AT521),AY521=1),$AT521,1)</f>
        <v>0</v>
      </c>
      <c r="BB521">
        <f>IF(ISNUMBER(Y521),INDEX(AllCollegeILPub, MATCH(N521,AllCollegeNCES,0)),0)</f>
        <v>0</v>
      </c>
      <c r="BC521">
        <f>IF(AK521=ReachLabel,AP521,0)</f>
        <v>0</v>
      </c>
      <c r="BD521">
        <f>IF(AK521=MatchLabel,AP521,0)</f>
        <v>0</v>
      </c>
      <c r="BE521">
        <f>IF(AK521=SafetyLabel,AP521,0)</f>
        <v>0</v>
      </c>
      <c r="BF521">
        <f>IF(AK521=SecureLabel,AP521,0)</f>
        <v>0</v>
      </c>
      <c r="BG521">
        <f>IF(AK521=SureThingLabel,AP521,0)</f>
        <v>0</v>
      </c>
      <c r="BH521">
        <f>MAX(BC521:BG521)</f>
        <v>0</v>
      </c>
      <c r="BI521">
        <f>MAX(BD521:BG521)</f>
        <v>0</v>
      </c>
      <c r="BJ521">
        <f>MAX(BE521:BG521)</f>
        <v>0</v>
      </c>
      <c r="BK521">
        <f>IF(AND(AK521=ReachLabel,AY521=1),AP521,0)</f>
        <v>0</v>
      </c>
      <c r="BL521">
        <f>IF(AND(AK521=MatchLabel,AY521=1),AP521,0)</f>
        <v>0</v>
      </c>
      <c r="BM521">
        <f>IF(AND(AK521=SafetyLabel,AY521=1),AP521,0)</f>
        <v>0</v>
      </c>
      <c r="BN521">
        <f>IF(AND(AK521=SecureLabel,AY521=1),AP521,0)</f>
        <v>0</v>
      </c>
      <c r="BO521">
        <f>IF(AND(AK521=SureThingLabel,AY521=1),AP521,0)</f>
        <v>0</v>
      </c>
      <c r="BP521">
        <f>MAX(BK521:BO521)</f>
        <v>0</v>
      </c>
      <c r="BQ521">
        <f>MAX(BL521:BO521)</f>
        <v>0</v>
      </c>
      <c r="BR521">
        <f>MAX(BM521:BO521)</f>
        <v>0</v>
      </c>
      <c r="BS521">
        <f>IF(ISNUMBER(Y521),INDEX(AllCollegeChicago, MATCH(N521,AllCollegeNCES,0))*AY521,0)</f>
        <v>0</v>
      </c>
      <c r="BT521">
        <f>IF(ISNUMBER(Y521),INDEX(AllCollegeMoneyCode, MATCH(N521,AllCollegeNCES,0)),"?")</f>
        <v>0</v>
      </c>
      <c r="BU521">
        <f>IF(OR(BT521="---",BT521="--",BT521="+/--",BT521="+/---"),1,0)</f>
        <v>0</v>
      </c>
      <c r="BV521">
        <f>AY521*AO521*AQ521</f>
        <v>0</v>
      </c>
    </row>
    <row r="522" spans="1:74">
      <c r="A522" t="s">
        <v>86</v>
      </c>
      <c r="B522">
        <v>23477628</v>
      </c>
      <c r="C522" t="s">
        <v>302</v>
      </c>
      <c r="D522" t="s">
        <v>303</v>
      </c>
      <c r="E522" t="s">
        <v>428</v>
      </c>
      <c r="F522" t="s">
        <v>486</v>
      </c>
      <c r="G522" t="s">
        <v>430</v>
      </c>
      <c r="H522" t="s">
        <v>431</v>
      </c>
      <c r="I522" t="s">
        <v>432</v>
      </c>
      <c r="J522" t="s">
        <v>432</v>
      </c>
      <c r="K522">
        <v>0</v>
      </c>
      <c r="L522" t="s">
        <v>428</v>
      </c>
      <c r="M522" t="s">
        <v>428</v>
      </c>
      <c r="N522">
        <v>238333</v>
      </c>
      <c r="O522">
        <f>INDEX(AllCollegeBarrons,MATCH(N522,AllCollegeNCES,0))</f>
        <v>0</v>
      </c>
      <c r="P522">
        <f>INDEX(KidGPAs,MATCH(B522,KidIDs,0))</f>
        <v>0</v>
      </c>
      <c r="Q522">
        <f>INDEX(KidACTs,MATCH(B522,KidIDs,0))</f>
        <v>0</v>
      </c>
      <c r="R522">
        <f>INDEX(Strats,MATCH(B522,KidIDs,0))</f>
        <v>0</v>
      </c>
      <c r="S522">
        <f>INDEX(KidRace,MATCH(B522,KidIDs,0))</f>
        <v>0</v>
      </c>
      <c r="T522">
        <f>IF(OR(S522="M",S522="I"),"H",S522)</f>
        <v>0</v>
      </c>
      <c r="U522">
        <f>INDEX(StudentTargets,MATCH(B522,KidIDs,0))</f>
        <v>0</v>
      </c>
      <c r="V522">
        <f>INDEX(ReachStudentTargets,MATCH(B522,KidIDs,0))</f>
        <v>0</v>
      </c>
      <c r="W522">
        <f>IF(OR(M522="Posse"),1,0)</f>
        <v>0</v>
      </c>
      <c r="X522">
        <f>IF(ISNUMBER(INDEX(AllCollegeGR, MATCH(N522,AllCollegeNCES,0))),ROUND(INDEX(AllCollegeGR, MATCH(N522,AllCollegeNCES,0))+W522*IF(INDEX(AllCollegeGR, MATCH(N522,AllCollegeNCES,0))&gt;0.7,(1-INDEX(AllCollegeGR, MATCH(N522,AllCollegeNCES,0)))/2,0.15),2),INDEX(AllCollegeGR, MATCH(N522,AllCollegeNCES,0)))</f>
        <v>0</v>
      </c>
      <c r="Y522">
        <f>IF(ISNUMBER(INDEX(AllCollegeAAHGR, MATCH(N522,AllCollegeNCES,0))),ROUND(INDEX(AllCollegeAAHGR, MATCH(N522,AllCollegeNCES,0))+W522*IF(INDEX(AllCollegeAAHGR, MATCH(N522,AllCollegeNCES,0))&gt;0.7,(1-INDEX(AllCollegeAAHGR, MATCH(N522,AllCollegeNCES,0)))/2,0.15),2),INDEX(AllCollegeAAHGR, MATCH(N522,AllCollegeNCES,0)))</f>
        <v>0</v>
      </c>
      <c r="Z522">
        <f>IF(OR(T522="H",T522="B"),INDEX(AllCollegeACT25, MATCH(N522,AllCollegeNCES,0)),INDEX(AllCollegeACT50, MATCH(N522,AllCollegeNCES,0)))</f>
        <v>0</v>
      </c>
      <c r="AA522">
        <f>INDEX(CustomWeightsGPA,MATCH(T522&amp;":"&amp;N522,CustomWeightsIndex,0))</f>
        <v>0</v>
      </c>
      <c r="AB522">
        <f>INDEX(CustomWeightsACT,MATCH(T522&amp;":"&amp;N522,CustomWeightsIndex,0))</f>
        <v>0</v>
      </c>
      <c r="AC522">
        <f>INDEX(CustomWeightsIntercept,MATCH(T522&amp;":"&amp;N522,CustomWeightsIndex,0))</f>
        <v>0</v>
      </c>
      <c r="AD522">
        <f>AA522*P522+AB522*Q522+AC522</f>
        <v>0</v>
      </c>
      <c r="AE522">
        <f>INDEX(CoefficientsGPA,MATCH(T522&amp;":"&amp;O522,CoefficientsIndex,0))</f>
        <v>0</v>
      </c>
      <c r="AF522">
        <f>INDEX(CoefficientsACT,MATCH(T522&amp;":"&amp;O522,CoefficientsIndex,0))</f>
        <v>0</v>
      </c>
      <c r="AG522">
        <f>INDEX(CoefficientsIntercept,MATCH(T522&amp;":"&amp;O522,CoefficientsIndex,0))</f>
        <v>0</v>
      </c>
      <c r="AH522">
        <f>AE522*P522+(Q522-Z522)*AF522+AG522</f>
        <v>0</v>
      </c>
      <c r="AI522">
        <f>IF(ISNUMBER(AD522),AD522,AH522)</f>
        <v>0</v>
      </c>
      <c r="AJ522">
        <f>IF(ISNUMBER(AI522),IF(ISNUMBER(AE522),IF(AND(AE522=1,AF522=1,AG522=1),100,ROUND(100*EXP(AI522)/(1+EXP(AI522)),2)),ROUND(100*EXP(AI522)/(1+EXP(AI522)),2)),IF(ISTEXT(O522),IF(LEFT(O522,1)="2",100,"N/A"),"N/A"))</f>
        <v>0</v>
      </c>
      <c r="AK522">
        <f>IF(ISNUMBER(AJ522),IF(AJ522&gt;=99,IF(OR(R522=10,R522=11),MatchLabel,SureThingLabel),IF(AJ522&gt;=95,SecureLabel,IF(AJ522&gt;=80,SafetyLabel,IF(AJ522&gt;=50,MatchLabel,IF(AJ522&gt;=20,ReachLabel,IF(AJ522&gt;=10,LongshotLabel,HailMaryLabel)))))),"Other")</f>
        <v>0</v>
      </c>
      <c r="AL522">
        <f>IF(OR(I522="accepted",I522="cond. accept",I522="summer admit"),IF(J522="yes","CHOICE!","Accepted!"),IF(I522="denied","Denied",IF(K522=1,"Waitlist",IF(L522=1,"Deferred",IF(G522="pending","Pending",IF(OR(G522="initial materials submitted",G522="mid-year submitted",G522="final submitted"),"Submitted",IF(H522="interest","Interest","?")))))))</f>
        <v>0</v>
      </c>
      <c r="AM522">
        <f>IF(OR(AK522=ReachLabel,AK522=LongshotLabel,AK522=HailMaryLabel),1,0)</f>
        <v>0</v>
      </c>
      <c r="AN522">
        <f>IF(OR(AM522=1,AK522=MatchLabel),1,0)</f>
        <v>0</v>
      </c>
      <c r="AO522">
        <f>IF(OR(AK522=MatchLabel,AK522=SafetyLabel,AK522=SecureLabel,AK522=SureThingLabel),1,0)</f>
        <v>0</v>
      </c>
      <c r="AP522">
        <f>IF(OR(T522="H",T522="B"),IF(ISNUMBER(Y522),ROUND(Y522,2),0),IF(ISNUMBER(X522),ROUND(X522,2),0))</f>
        <v>0</v>
      </c>
      <c r="AQ522">
        <f>IF(AP522&gt;=U522,1,0)</f>
        <v>0</v>
      </c>
      <c r="AR522">
        <f>IF(AP522&gt;=V522,1,0)</f>
        <v>0</v>
      </c>
      <c r="AS522">
        <f>IF(AP522&lt;(U522-0.10),1,0)</f>
        <v>0</v>
      </c>
      <c r="AT522">
        <f>1-AJ522/100</f>
        <v>0</v>
      </c>
      <c r="AU522">
        <f>IF(AN522=1,AT522,1)</f>
        <v>0</v>
      </c>
      <c r="AV522">
        <f>IF(AM522=1,AT522,1)</f>
        <v>0</v>
      </c>
      <c r="AW522">
        <f>IF(AND(AQ522=1,ISNUMBER(AT522)),$AT522,1)</f>
        <v>0</v>
      </c>
      <c r="AX522">
        <f>IF(AND(AR522=1,ISNUMBER(AT522)),$AT522,1)</f>
        <v>0</v>
      </c>
      <c r="AY522">
        <f>IF(ISNUMBER(Y522),INDEX(AllCollegeMoney, MATCH(N522,AllCollegeNCES,0)),0)</f>
        <v>0</v>
      </c>
      <c r="AZ522">
        <f>IF(AND(AQ522=1,ISNUMBER(AT522),AY522=1),$AT522,1)</f>
        <v>0</v>
      </c>
      <c r="BA522">
        <f>IF(AND(AR522=1,ISNUMBER(AT522),AY522=1),$AT522,1)</f>
        <v>0</v>
      </c>
      <c r="BB522">
        <f>IF(ISNUMBER(Y522),INDEX(AllCollegeILPub, MATCH(N522,AllCollegeNCES,0)),0)</f>
        <v>0</v>
      </c>
      <c r="BC522">
        <f>IF(AK522=ReachLabel,AP522,0)</f>
        <v>0</v>
      </c>
      <c r="BD522">
        <f>IF(AK522=MatchLabel,AP522,0)</f>
        <v>0</v>
      </c>
      <c r="BE522">
        <f>IF(AK522=SafetyLabel,AP522,0)</f>
        <v>0</v>
      </c>
      <c r="BF522">
        <f>IF(AK522=SecureLabel,AP522,0)</f>
        <v>0</v>
      </c>
      <c r="BG522">
        <f>IF(AK522=SureThingLabel,AP522,0)</f>
        <v>0</v>
      </c>
      <c r="BH522">
        <f>MAX(BC522:BG522)</f>
        <v>0</v>
      </c>
      <c r="BI522">
        <f>MAX(BD522:BG522)</f>
        <v>0</v>
      </c>
      <c r="BJ522">
        <f>MAX(BE522:BG522)</f>
        <v>0</v>
      </c>
      <c r="BK522">
        <f>IF(AND(AK522=ReachLabel,AY522=1),AP522,0)</f>
        <v>0</v>
      </c>
      <c r="BL522">
        <f>IF(AND(AK522=MatchLabel,AY522=1),AP522,0)</f>
        <v>0</v>
      </c>
      <c r="BM522">
        <f>IF(AND(AK522=SafetyLabel,AY522=1),AP522,0)</f>
        <v>0</v>
      </c>
      <c r="BN522">
        <f>IF(AND(AK522=SecureLabel,AY522=1),AP522,0)</f>
        <v>0</v>
      </c>
      <c r="BO522">
        <f>IF(AND(AK522=SureThingLabel,AY522=1),AP522,0)</f>
        <v>0</v>
      </c>
      <c r="BP522">
        <f>MAX(BK522:BO522)</f>
        <v>0</v>
      </c>
      <c r="BQ522">
        <f>MAX(BL522:BO522)</f>
        <v>0</v>
      </c>
      <c r="BR522">
        <f>MAX(BM522:BO522)</f>
        <v>0</v>
      </c>
      <c r="BS522">
        <f>IF(ISNUMBER(Y522),INDEX(AllCollegeChicago, MATCH(N522,AllCollegeNCES,0))*AY522,0)</f>
        <v>0</v>
      </c>
      <c r="BT522">
        <f>IF(ISNUMBER(Y522),INDEX(AllCollegeMoneyCode, MATCH(N522,AllCollegeNCES,0)),"?")</f>
        <v>0</v>
      </c>
      <c r="BU522">
        <f>IF(OR(BT522="---",BT522="--",BT522="+/--",BT522="+/---"),1,0)</f>
        <v>0</v>
      </c>
      <c r="BV522">
        <f>AY522*AO522*AQ522</f>
        <v>0</v>
      </c>
    </row>
    <row r="523" spans="1:74">
      <c r="A523" t="s">
        <v>86</v>
      </c>
      <c r="B523">
        <v>23477628</v>
      </c>
      <c r="C523" t="s">
        <v>302</v>
      </c>
      <c r="D523" t="s">
        <v>303</v>
      </c>
      <c r="E523" t="s">
        <v>428</v>
      </c>
      <c r="F523" t="s">
        <v>461</v>
      </c>
      <c r="G523" t="s">
        <v>430</v>
      </c>
      <c r="H523" t="s">
        <v>431</v>
      </c>
      <c r="I523" t="s">
        <v>432</v>
      </c>
      <c r="J523" t="s">
        <v>432</v>
      </c>
      <c r="K523">
        <v>0</v>
      </c>
      <c r="L523" t="s">
        <v>428</v>
      </c>
      <c r="M523" t="s">
        <v>428</v>
      </c>
      <c r="N523">
        <v>153834</v>
      </c>
      <c r="O523">
        <f>INDEX(AllCollegeBarrons,MATCH(N523,AllCollegeNCES,0))</f>
        <v>0</v>
      </c>
      <c r="P523">
        <f>INDEX(KidGPAs,MATCH(B523,KidIDs,0))</f>
        <v>0</v>
      </c>
      <c r="Q523">
        <f>INDEX(KidACTs,MATCH(B523,KidIDs,0))</f>
        <v>0</v>
      </c>
      <c r="R523">
        <f>INDEX(Strats,MATCH(B523,KidIDs,0))</f>
        <v>0</v>
      </c>
      <c r="S523">
        <f>INDEX(KidRace,MATCH(B523,KidIDs,0))</f>
        <v>0</v>
      </c>
      <c r="T523">
        <f>IF(OR(S523="M",S523="I"),"H",S523)</f>
        <v>0</v>
      </c>
      <c r="U523">
        <f>INDEX(StudentTargets,MATCH(B523,KidIDs,0))</f>
        <v>0</v>
      </c>
      <c r="V523">
        <f>INDEX(ReachStudentTargets,MATCH(B523,KidIDs,0))</f>
        <v>0</v>
      </c>
      <c r="W523">
        <f>IF(OR(M523="Posse"),1,0)</f>
        <v>0</v>
      </c>
      <c r="X523">
        <f>IF(ISNUMBER(INDEX(AllCollegeGR, MATCH(N523,AllCollegeNCES,0))),ROUND(INDEX(AllCollegeGR, MATCH(N523,AllCollegeNCES,0))+W523*IF(INDEX(AllCollegeGR, MATCH(N523,AllCollegeNCES,0))&gt;0.7,(1-INDEX(AllCollegeGR, MATCH(N523,AllCollegeNCES,0)))/2,0.15),2),INDEX(AllCollegeGR, MATCH(N523,AllCollegeNCES,0)))</f>
        <v>0</v>
      </c>
      <c r="Y523">
        <f>IF(ISNUMBER(INDEX(AllCollegeAAHGR, MATCH(N523,AllCollegeNCES,0))),ROUND(INDEX(AllCollegeAAHGR, MATCH(N523,AllCollegeNCES,0))+W523*IF(INDEX(AllCollegeAAHGR, MATCH(N523,AllCollegeNCES,0))&gt;0.7,(1-INDEX(AllCollegeAAHGR, MATCH(N523,AllCollegeNCES,0)))/2,0.15),2),INDEX(AllCollegeAAHGR, MATCH(N523,AllCollegeNCES,0)))</f>
        <v>0</v>
      </c>
      <c r="Z523">
        <f>IF(OR(T523="H",T523="B"),INDEX(AllCollegeACT25, MATCH(N523,AllCollegeNCES,0)),INDEX(AllCollegeACT50, MATCH(N523,AllCollegeNCES,0)))</f>
        <v>0</v>
      </c>
      <c r="AA523">
        <f>INDEX(CustomWeightsGPA,MATCH(T523&amp;":"&amp;N523,CustomWeightsIndex,0))</f>
        <v>0</v>
      </c>
      <c r="AB523">
        <f>INDEX(CustomWeightsACT,MATCH(T523&amp;":"&amp;N523,CustomWeightsIndex,0))</f>
        <v>0</v>
      </c>
      <c r="AC523">
        <f>INDEX(CustomWeightsIntercept,MATCH(T523&amp;":"&amp;N523,CustomWeightsIndex,0))</f>
        <v>0</v>
      </c>
      <c r="AD523">
        <f>AA523*P523+AB523*Q523+AC523</f>
        <v>0</v>
      </c>
      <c r="AE523">
        <f>INDEX(CoefficientsGPA,MATCH(T523&amp;":"&amp;O523,CoefficientsIndex,0))</f>
        <v>0</v>
      </c>
      <c r="AF523">
        <f>INDEX(CoefficientsACT,MATCH(T523&amp;":"&amp;O523,CoefficientsIndex,0))</f>
        <v>0</v>
      </c>
      <c r="AG523">
        <f>INDEX(CoefficientsIntercept,MATCH(T523&amp;":"&amp;O523,CoefficientsIndex,0))</f>
        <v>0</v>
      </c>
      <c r="AH523">
        <f>AE523*P523+(Q523-Z523)*AF523+AG523</f>
        <v>0</v>
      </c>
      <c r="AI523">
        <f>IF(ISNUMBER(AD523),AD523,AH523)</f>
        <v>0</v>
      </c>
      <c r="AJ523">
        <f>IF(ISNUMBER(AI523),IF(ISNUMBER(AE523),IF(AND(AE523=1,AF523=1,AG523=1),100,ROUND(100*EXP(AI523)/(1+EXP(AI523)),2)),ROUND(100*EXP(AI523)/(1+EXP(AI523)),2)),IF(ISTEXT(O523),IF(LEFT(O523,1)="2",100,"N/A"),"N/A"))</f>
        <v>0</v>
      </c>
      <c r="AK523">
        <f>IF(ISNUMBER(AJ523),IF(AJ523&gt;=99,IF(OR(R523=10,R523=11),MatchLabel,SureThingLabel),IF(AJ523&gt;=95,SecureLabel,IF(AJ523&gt;=80,SafetyLabel,IF(AJ523&gt;=50,MatchLabel,IF(AJ523&gt;=20,ReachLabel,IF(AJ523&gt;=10,LongshotLabel,HailMaryLabel)))))),"Other")</f>
        <v>0</v>
      </c>
      <c r="AL523">
        <f>IF(OR(I523="accepted",I523="cond. accept",I523="summer admit"),IF(J523="yes","CHOICE!","Accepted!"),IF(I523="denied","Denied",IF(K523=1,"Waitlist",IF(L523=1,"Deferred",IF(G523="pending","Pending",IF(OR(G523="initial materials submitted",G523="mid-year submitted",G523="final submitted"),"Submitted",IF(H523="interest","Interest","?")))))))</f>
        <v>0</v>
      </c>
      <c r="AM523">
        <f>IF(OR(AK523=ReachLabel,AK523=LongshotLabel,AK523=HailMaryLabel),1,0)</f>
        <v>0</v>
      </c>
      <c r="AN523">
        <f>IF(OR(AM523=1,AK523=MatchLabel),1,0)</f>
        <v>0</v>
      </c>
      <c r="AO523">
        <f>IF(OR(AK523=MatchLabel,AK523=SafetyLabel,AK523=SecureLabel,AK523=SureThingLabel),1,0)</f>
        <v>0</v>
      </c>
      <c r="AP523">
        <f>IF(OR(T523="H",T523="B"),IF(ISNUMBER(Y523),ROUND(Y523,2),0),IF(ISNUMBER(X523),ROUND(X523,2),0))</f>
        <v>0</v>
      </c>
      <c r="AQ523">
        <f>IF(AP523&gt;=U523,1,0)</f>
        <v>0</v>
      </c>
      <c r="AR523">
        <f>IF(AP523&gt;=V523,1,0)</f>
        <v>0</v>
      </c>
      <c r="AS523">
        <f>IF(AP523&lt;(U523-0.10),1,0)</f>
        <v>0</v>
      </c>
      <c r="AT523">
        <f>1-AJ523/100</f>
        <v>0</v>
      </c>
      <c r="AU523">
        <f>IF(AN523=1,AT523,1)</f>
        <v>0</v>
      </c>
      <c r="AV523">
        <f>IF(AM523=1,AT523,1)</f>
        <v>0</v>
      </c>
      <c r="AW523">
        <f>IF(AND(AQ523=1,ISNUMBER(AT523)),$AT523,1)</f>
        <v>0</v>
      </c>
      <c r="AX523">
        <f>IF(AND(AR523=1,ISNUMBER(AT523)),$AT523,1)</f>
        <v>0</v>
      </c>
      <c r="AY523">
        <f>IF(ISNUMBER(Y523),INDEX(AllCollegeMoney, MATCH(N523,AllCollegeNCES,0)),0)</f>
        <v>0</v>
      </c>
      <c r="AZ523">
        <f>IF(AND(AQ523=1,ISNUMBER(AT523),AY523=1),$AT523,1)</f>
        <v>0</v>
      </c>
      <c r="BA523">
        <f>IF(AND(AR523=1,ISNUMBER(AT523),AY523=1),$AT523,1)</f>
        <v>0</v>
      </c>
      <c r="BB523">
        <f>IF(ISNUMBER(Y523),INDEX(AllCollegeILPub, MATCH(N523,AllCollegeNCES,0)),0)</f>
        <v>0</v>
      </c>
      <c r="BC523">
        <f>IF(AK523=ReachLabel,AP523,0)</f>
        <v>0</v>
      </c>
      <c r="BD523">
        <f>IF(AK523=MatchLabel,AP523,0)</f>
        <v>0</v>
      </c>
      <c r="BE523">
        <f>IF(AK523=SafetyLabel,AP523,0)</f>
        <v>0</v>
      </c>
      <c r="BF523">
        <f>IF(AK523=SecureLabel,AP523,0)</f>
        <v>0</v>
      </c>
      <c r="BG523">
        <f>IF(AK523=SureThingLabel,AP523,0)</f>
        <v>0</v>
      </c>
      <c r="BH523">
        <f>MAX(BC523:BG523)</f>
        <v>0</v>
      </c>
      <c r="BI523">
        <f>MAX(BD523:BG523)</f>
        <v>0</v>
      </c>
      <c r="BJ523">
        <f>MAX(BE523:BG523)</f>
        <v>0</v>
      </c>
      <c r="BK523">
        <f>IF(AND(AK523=ReachLabel,AY523=1),AP523,0)</f>
        <v>0</v>
      </c>
      <c r="BL523">
        <f>IF(AND(AK523=MatchLabel,AY523=1),AP523,0)</f>
        <v>0</v>
      </c>
      <c r="BM523">
        <f>IF(AND(AK523=SafetyLabel,AY523=1),AP523,0)</f>
        <v>0</v>
      </c>
      <c r="BN523">
        <f>IF(AND(AK523=SecureLabel,AY523=1),AP523,0)</f>
        <v>0</v>
      </c>
      <c r="BO523">
        <f>IF(AND(AK523=SureThingLabel,AY523=1),AP523,0)</f>
        <v>0</v>
      </c>
      <c r="BP523">
        <f>MAX(BK523:BO523)</f>
        <v>0</v>
      </c>
      <c r="BQ523">
        <f>MAX(BL523:BO523)</f>
        <v>0</v>
      </c>
      <c r="BR523">
        <f>MAX(BM523:BO523)</f>
        <v>0</v>
      </c>
      <c r="BS523">
        <f>IF(ISNUMBER(Y523),INDEX(AllCollegeChicago, MATCH(N523,AllCollegeNCES,0))*AY523,0)</f>
        <v>0</v>
      </c>
      <c r="BT523">
        <f>IF(ISNUMBER(Y523),INDEX(AllCollegeMoneyCode, MATCH(N523,AllCollegeNCES,0)),"?")</f>
        <v>0</v>
      </c>
      <c r="BU523">
        <f>IF(OR(BT523="---",BT523="--",BT523="+/--",BT523="+/---"),1,0)</f>
        <v>0</v>
      </c>
      <c r="BV523">
        <f>AY523*AO523*AQ523</f>
        <v>0</v>
      </c>
    </row>
    <row r="524" spans="1:74">
      <c r="A524" t="s">
        <v>86</v>
      </c>
      <c r="B524">
        <v>23477628</v>
      </c>
      <c r="C524" t="s">
        <v>302</v>
      </c>
      <c r="D524" t="s">
        <v>303</v>
      </c>
      <c r="E524" t="s">
        <v>428</v>
      </c>
      <c r="F524" t="s">
        <v>462</v>
      </c>
      <c r="G524" t="s">
        <v>430</v>
      </c>
      <c r="H524" t="s">
        <v>431</v>
      </c>
      <c r="I524" t="s">
        <v>432</v>
      </c>
      <c r="J524" t="s">
        <v>432</v>
      </c>
      <c r="K524">
        <v>0</v>
      </c>
      <c r="L524" t="s">
        <v>428</v>
      </c>
      <c r="M524" t="s">
        <v>428</v>
      </c>
      <c r="N524">
        <v>168546</v>
      </c>
      <c r="O524">
        <f>INDEX(AllCollegeBarrons,MATCH(N524,AllCollegeNCES,0))</f>
        <v>0</v>
      </c>
      <c r="P524">
        <f>INDEX(KidGPAs,MATCH(B524,KidIDs,0))</f>
        <v>0</v>
      </c>
      <c r="Q524">
        <f>INDEX(KidACTs,MATCH(B524,KidIDs,0))</f>
        <v>0</v>
      </c>
      <c r="R524">
        <f>INDEX(Strats,MATCH(B524,KidIDs,0))</f>
        <v>0</v>
      </c>
      <c r="S524">
        <f>INDEX(KidRace,MATCH(B524,KidIDs,0))</f>
        <v>0</v>
      </c>
      <c r="T524">
        <f>IF(OR(S524="M",S524="I"),"H",S524)</f>
        <v>0</v>
      </c>
      <c r="U524">
        <f>INDEX(StudentTargets,MATCH(B524,KidIDs,0))</f>
        <v>0</v>
      </c>
      <c r="V524">
        <f>INDEX(ReachStudentTargets,MATCH(B524,KidIDs,0))</f>
        <v>0</v>
      </c>
      <c r="W524">
        <f>IF(OR(M524="Posse"),1,0)</f>
        <v>0</v>
      </c>
      <c r="X524">
        <f>IF(ISNUMBER(INDEX(AllCollegeGR, MATCH(N524,AllCollegeNCES,0))),ROUND(INDEX(AllCollegeGR, MATCH(N524,AllCollegeNCES,0))+W524*IF(INDEX(AllCollegeGR, MATCH(N524,AllCollegeNCES,0))&gt;0.7,(1-INDEX(AllCollegeGR, MATCH(N524,AllCollegeNCES,0)))/2,0.15),2),INDEX(AllCollegeGR, MATCH(N524,AllCollegeNCES,0)))</f>
        <v>0</v>
      </c>
      <c r="Y524">
        <f>IF(ISNUMBER(INDEX(AllCollegeAAHGR, MATCH(N524,AllCollegeNCES,0))),ROUND(INDEX(AllCollegeAAHGR, MATCH(N524,AllCollegeNCES,0))+W524*IF(INDEX(AllCollegeAAHGR, MATCH(N524,AllCollegeNCES,0))&gt;0.7,(1-INDEX(AllCollegeAAHGR, MATCH(N524,AllCollegeNCES,0)))/2,0.15),2),INDEX(AllCollegeAAHGR, MATCH(N524,AllCollegeNCES,0)))</f>
        <v>0</v>
      </c>
      <c r="Z524">
        <f>IF(OR(T524="H",T524="B"),INDEX(AllCollegeACT25, MATCH(N524,AllCollegeNCES,0)),INDEX(AllCollegeACT50, MATCH(N524,AllCollegeNCES,0)))</f>
        <v>0</v>
      </c>
      <c r="AA524">
        <f>INDEX(CustomWeightsGPA,MATCH(T524&amp;":"&amp;N524,CustomWeightsIndex,0))</f>
        <v>0</v>
      </c>
      <c r="AB524">
        <f>INDEX(CustomWeightsACT,MATCH(T524&amp;":"&amp;N524,CustomWeightsIndex,0))</f>
        <v>0</v>
      </c>
      <c r="AC524">
        <f>INDEX(CustomWeightsIntercept,MATCH(T524&amp;":"&amp;N524,CustomWeightsIndex,0))</f>
        <v>0</v>
      </c>
      <c r="AD524">
        <f>AA524*P524+AB524*Q524+AC524</f>
        <v>0</v>
      </c>
      <c r="AE524">
        <f>INDEX(CoefficientsGPA,MATCH(T524&amp;":"&amp;O524,CoefficientsIndex,0))</f>
        <v>0</v>
      </c>
      <c r="AF524">
        <f>INDEX(CoefficientsACT,MATCH(T524&amp;":"&amp;O524,CoefficientsIndex,0))</f>
        <v>0</v>
      </c>
      <c r="AG524">
        <f>INDEX(CoefficientsIntercept,MATCH(T524&amp;":"&amp;O524,CoefficientsIndex,0))</f>
        <v>0</v>
      </c>
      <c r="AH524">
        <f>AE524*P524+(Q524-Z524)*AF524+AG524</f>
        <v>0</v>
      </c>
      <c r="AI524">
        <f>IF(ISNUMBER(AD524),AD524,AH524)</f>
        <v>0</v>
      </c>
      <c r="AJ524">
        <f>IF(ISNUMBER(AI524),IF(ISNUMBER(AE524),IF(AND(AE524=1,AF524=1,AG524=1),100,ROUND(100*EXP(AI524)/(1+EXP(AI524)),2)),ROUND(100*EXP(AI524)/(1+EXP(AI524)),2)),IF(ISTEXT(O524),IF(LEFT(O524,1)="2",100,"N/A"),"N/A"))</f>
        <v>0</v>
      </c>
      <c r="AK524">
        <f>IF(ISNUMBER(AJ524),IF(AJ524&gt;=99,IF(OR(R524=10,R524=11),MatchLabel,SureThingLabel),IF(AJ524&gt;=95,SecureLabel,IF(AJ524&gt;=80,SafetyLabel,IF(AJ524&gt;=50,MatchLabel,IF(AJ524&gt;=20,ReachLabel,IF(AJ524&gt;=10,LongshotLabel,HailMaryLabel)))))),"Other")</f>
        <v>0</v>
      </c>
      <c r="AL524">
        <f>IF(OR(I524="accepted",I524="cond. accept",I524="summer admit"),IF(J524="yes","CHOICE!","Accepted!"),IF(I524="denied","Denied",IF(K524=1,"Waitlist",IF(L524=1,"Deferred",IF(G524="pending","Pending",IF(OR(G524="initial materials submitted",G524="mid-year submitted",G524="final submitted"),"Submitted",IF(H524="interest","Interest","?")))))))</f>
        <v>0</v>
      </c>
      <c r="AM524">
        <f>IF(OR(AK524=ReachLabel,AK524=LongshotLabel,AK524=HailMaryLabel),1,0)</f>
        <v>0</v>
      </c>
      <c r="AN524">
        <f>IF(OR(AM524=1,AK524=MatchLabel),1,0)</f>
        <v>0</v>
      </c>
      <c r="AO524">
        <f>IF(OR(AK524=MatchLabel,AK524=SafetyLabel,AK524=SecureLabel,AK524=SureThingLabel),1,0)</f>
        <v>0</v>
      </c>
      <c r="AP524">
        <f>IF(OR(T524="H",T524="B"),IF(ISNUMBER(Y524),ROUND(Y524,2),0),IF(ISNUMBER(X524),ROUND(X524,2),0))</f>
        <v>0</v>
      </c>
      <c r="AQ524">
        <f>IF(AP524&gt;=U524,1,0)</f>
        <v>0</v>
      </c>
      <c r="AR524">
        <f>IF(AP524&gt;=V524,1,0)</f>
        <v>0</v>
      </c>
      <c r="AS524">
        <f>IF(AP524&lt;(U524-0.10),1,0)</f>
        <v>0</v>
      </c>
      <c r="AT524">
        <f>1-AJ524/100</f>
        <v>0</v>
      </c>
      <c r="AU524">
        <f>IF(AN524=1,AT524,1)</f>
        <v>0</v>
      </c>
      <c r="AV524">
        <f>IF(AM524=1,AT524,1)</f>
        <v>0</v>
      </c>
      <c r="AW524">
        <f>IF(AND(AQ524=1,ISNUMBER(AT524)),$AT524,1)</f>
        <v>0</v>
      </c>
      <c r="AX524">
        <f>IF(AND(AR524=1,ISNUMBER(AT524)),$AT524,1)</f>
        <v>0</v>
      </c>
      <c r="AY524">
        <f>IF(ISNUMBER(Y524),INDEX(AllCollegeMoney, MATCH(N524,AllCollegeNCES,0)),0)</f>
        <v>0</v>
      </c>
      <c r="AZ524">
        <f>IF(AND(AQ524=1,ISNUMBER(AT524),AY524=1),$AT524,1)</f>
        <v>0</v>
      </c>
      <c r="BA524">
        <f>IF(AND(AR524=1,ISNUMBER(AT524),AY524=1),$AT524,1)</f>
        <v>0</v>
      </c>
      <c r="BB524">
        <f>IF(ISNUMBER(Y524),INDEX(AllCollegeILPub, MATCH(N524,AllCollegeNCES,0)),0)</f>
        <v>0</v>
      </c>
      <c r="BC524">
        <f>IF(AK524=ReachLabel,AP524,0)</f>
        <v>0</v>
      </c>
      <c r="BD524">
        <f>IF(AK524=MatchLabel,AP524,0)</f>
        <v>0</v>
      </c>
      <c r="BE524">
        <f>IF(AK524=SafetyLabel,AP524,0)</f>
        <v>0</v>
      </c>
      <c r="BF524">
        <f>IF(AK524=SecureLabel,AP524,0)</f>
        <v>0</v>
      </c>
      <c r="BG524">
        <f>IF(AK524=SureThingLabel,AP524,0)</f>
        <v>0</v>
      </c>
      <c r="BH524">
        <f>MAX(BC524:BG524)</f>
        <v>0</v>
      </c>
      <c r="BI524">
        <f>MAX(BD524:BG524)</f>
        <v>0</v>
      </c>
      <c r="BJ524">
        <f>MAX(BE524:BG524)</f>
        <v>0</v>
      </c>
      <c r="BK524">
        <f>IF(AND(AK524=ReachLabel,AY524=1),AP524,0)</f>
        <v>0</v>
      </c>
      <c r="BL524">
        <f>IF(AND(AK524=MatchLabel,AY524=1),AP524,0)</f>
        <v>0</v>
      </c>
      <c r="BM524">
        <f>IF(AND(AK524=SafetyLabel,AY524=1),AP524,0)</f>
        <v>0</v>
      </c>
      <c r="BN524">
        <f>IF(AND(AK524=SecureLabel,AY524=1),AP524,0)</f>
        <v>0</v>
      </c>
      <c r="BO524">
        <f>IF(AND(AK524=SureThingLabel,AY524=1),AP524,0)</f>
        <v>0</v>
      </c>
      <c r="BP524">
        <f>MAX(BK524:BO524)</f>
        <v>0</v>
      </c>
      <c r="BQ524">
        <f>MAX(BL524:BO524)</f>
        <v>0</v>
      </c>
      <c r="BR524">
        <f>MAX(BM524:BO524)</f>
        <v>0</v>
      </c>
      <c r="BS524">
        <f>IF(ISNUMBER(Y524),INDEX(AllCollegeChicago, MATCH(N524,AllCollegeNCES,0))*AY524,0)</f>
        <v>0</v>
      </c>
      <c r="BT524">
        <f>IF(ISNUMBER(Y524),INDEX(AllCollegeMoneyCode, MATCH(N524,AllCollegeNCES,0)),"?")</f>
        <v>0</v>
      </c>
      <c r="BU524">
        <f>IF(OR(BT524="---",BT524="--",BT524="+/--",BT524="+/---"),1,0)</f>
        <v>0</v>
      </c>
      <c r="BV524">
        <f>AY524*AO524*AQ524</f>
        <v>0</v>
      </c>
    </row>
    <row r="525" spans="1:74">
      <c r="A525" t="s">
        <v>86</v>
      </c>
      <c r="B525">
        <v>23477628</v>
      </c>
      <c r="C525" t="s">
        <v>302</v>
      </c>
      <c r="D525" t="s">
        <v>303</v>
      </c>
      <c r="E525" t="s">
        <v>428</v>
      </c>
      <c r="F525" t="s">
        <v>433</v>
      </c>
      <c r="G525" t="s">
        <v>430</v>
      </c>
      <c r="H525" t="s">
        <v>431</v>
      </c>
      <c r="I525" t="s">
        <v>432</v>
      </c>
      <c r="J525" t="s">
        <v>432</v>
      </c>
      <c r="K525">
        <v>0</v>
      </c>
      <c r="L525" t="s">
        <v>428</v>
      </c>
      <c r="M525" t="s">
        <v>428</v>
      </c>
      <c r="N525">
        <v>148496</v>
      </c>
      <c r="O525">
        <f>INDEX(AllCollegeBarrons,MATCH(N525,AllCollegeNCES,0))</f>
        <v>0</v>
      </c>
      <c r="P525">
        <f>INDEX(KidGPAs,MATCH(B525,KidIDs,0))</f>
        <v>0</v>
      </c>
      <c r="Q525">
        <f>INDEX(KidACTs,MATCH(B525,KidIDs,0))</f>
        <v>0</v>
      </c>
      <c r="R525">
        <f>INDEX(Strats,MATCH(B525,KidIDs,0))</f>
        <v>0</v>
      </c>
      <c r="S525">
        <f>INDEX(KidRace,MATCH(B525,KidIDs,0))</f>
        <v>0</v>
      </c>
      <c r="T525">
        <f>IF(OR(S525="M",S525="I"),"H",S525)</f>
        <v>0</v>
      </c>
      <c r="U525">
        <f>INDEX(StudentTargets,MATCH(B525,KidIDs,0))</f>
        <v>0</v>
      </c>
      <c r="V525">
        <f>INDEX(ReachStudentTargets,MATCH(B525,KidIDs,0))</f>
        <v>0</v>
      </c>
      <c r="W525">
        <f>IF(OR(M525="Posse"),1,0)</f>
        <v>0</v>
      </c>
      <c r="X525">
        <f>IF(ISNUMBER(INDEX(AllCollegeGR, MATCH(N525,AllCollegeNCES,0))),ROUND(INDEX(AllCollegeGR, MATCH(N525,AllCollegeNCES,0))+W525*IF(INDEX(AllCollegeGR, MATCH(N525,AllCollegeNCES,0))&gt;0.7,(1-INDEX(AllCollegeGR, MATCH(N525,AllCollegeNCES,0)))/2,0.15),2),INDEX(AllCollegeGR, MATCH(N525,AllCollegeNCES,0)))</f>
        <v>0</v>
      </c>
      <c r="Y525">
        <f>IF(ISNUMBER(INDEX(AllCollegeAAHGR, MATCH(N525,AllCollegeNCES,0))),ROUND(INDEX(AllCollegeAAHGR, MATCH(N525,AllCollegeNCES,0))+W525*IF(INDEX(AllCollegeAAHGR, MATCH(N525,AllCollegeNCES,0))&gt;0.7,(1-INDEX(AllCollegeAAHGR, MATCH(N525,AllCollegeNCES,0)))/2,0.15),2),INDEX(AllCollegeAAHGR, MATCH(N525,AllCollegeNCES,0)))</f>
        <v>0</v>
      </c>
      <c r="Z525">
        <f>IF(OR(T525="H",T525="B"),INDEX(AllCollegeACT25, MATCH(N525,AllCollegeNCES,0)),INDEX(AllCollegeACT50, MATCH(N525,AllCollegeNCES,0)))</f>
        <v>0</v>
      </c>
      <c r="AA525">
        <f>INDEX(CustomWeightsGPA,MATCH(T525&amp;":"&amp;N525,CustomWeightsIndex,0))</f>
        <v>0</v>
      </c>
      <c r="AB525">
        <f>INDEX(CustomWeightsACT,MATCH(T525&amp;":"&amp;N525,CustomWeightsIndex,0))</f>
        <v>0</v>
      </c>
      <c r="AC525">
        <f>INDEX(CustomWeightsIntercept,MATCH(T525&amp;":"&amp;N525,CustomWeightsIndex,0))</f>
        <v>0</v>
      </c>
      <c r="AD525">
        <f>AA525*P525+AB525*Q525+AC525</f>
        <v>0</v>
      </c>
      <c r="AE525">
        <f>INDEX(CoefficientsGPA,MATCH(T525&amp;":"&amp;O525,CoefficientsIndex,0))</f>
        <v>0</v>
      </c>
      <c r="AF525">
        <f>INDEX(CoefficientsACT,MATCH(T525&amp;":"&amp;O525,CoefficientsIndex,0))</f>
        <v>0</v>
      </c>
      <c r="AG525">
        <f>INDEX(CoefficientsIntercept,MATCH(T525&amp;":"&amp;O525,CoefficientsIndex,0))</f>
        <v>0</v>
      </c>
      <c r="AH525">
        <f>AE525*P525+(Q525-Z525)*AF525+AG525</f>
        <v>0</v>
      </c>
      <c r="AI525">
        <f>IF(ISNUMBER(AD525),AD525,AH525)</f>
        <v>0</v>
      </c>
      <c r="AJ525">
        <f>IF(ISNUMBER(AI525),IF(ISNUMBER(AE525),IF(AND(AE525=1,AF525=1,AG525=1),100,ROUND(100*EXP(AI525)/(1+EXP(AI525)),2)),ROUND(100*EXP(AI525)/(1+EXP(AI525)),2)),IF(ISTEXT(O525),IF(LEFT(O525,1)="2",100,"N/A"),"N/A"))</f>
        <v>0</v>
      </c>
      <c r="AK525">
        <f>IF(ISNUMBER(AJ525),IF(AJ525&gt;=99,IF(OR(R525=10,R525=11),MatchLabel,SureThingLabel),IF(AJ525&gt;=95,SecureLabel,IF(AJ525&gt;=80,SafetyLabel,IF(AJ525&gt;=50,MatchLabel,IF(AJ525&gt;=20,ReachLabel,IF(AJ525&gt;=10,LongshotLabel,HailMaryLabel)))))),"Other")</f>
        <v>0</v>
      </c>
      <c r="AL525">
        <f>IF(OR(I525="accepted",I525="cond. accept",I525="summer admit"),IF(J525="yes","CHOICE!","Accepted!"),IF(I525="denied","Denied",IF(K525=1,"Waitlist",IF(L525=1,"Deferred",IF(G525="pending","Pending",IF(OR(G525="initial materials submitted",G525="mid-year submitted",G525="final submitted"),"Submitted",IF(H525="interest","Interest","?")))))))</f>
        <v>0</v>
      </c>
      <c r="AM525">
        <f>IF(OR(AK525=ReachLabel,AK525=LongshotLabel,AK525=HailMaryLabel),1,0)</f>
        <v>0</v>
      </c>
      <c r="AN525">
        <f>IF(OR(AM525=1,AK525=MatchLabel),1,0)</f>
        <v>0</v>
      </c>
      <c r="AO525">
        <f>IF(OR(AK525=MatchLabel,AK525=SafetyLabel,AK525=SecureLabel,AK525=SureThingLabel),1,0)</f>
        <v>0</v>
      </c>
      <c r="AP525">
        <f>IF(OR(T525="H",T525="B"),IF(ISNUMBER(Y525),ROUND(Y525,2),0),IF(ISNUMBER(X525),ROUND(X525,2),0))</f>
        <v>0</v>
      </c>
      <c r="AQ525">
        <f>IF(AP525&gt;=U525,1,0)</f>
        <v>0</v>
      </c>
      <c r="AR525">
        <f>IF(AP525&gt;=V525,1,0)</f>
        <v>0</v>
      </c>
      <c r="AS525">
        <f>IF(AP525&lt;(U525-0.10),1,0)</f>
        <v>0</v>
      </c>
      <c r="AT525">
        <f>1-AJ525/100</f>
        <v>0</v>
      </c>
      <c r="AU525">
        <f>IF(AN525=1,AT525,1)</f>
        <v>0</v>
      </c>
      <c r="AV525">
        <f>IF(AM525=1,AT525,1)</f>
        <v>0</v>
      </c>
      <c r="AW525">
        <f>IF(AND(AQ525=1,ISNUMBER(AT525)),$AT525,1)</f>
        <v>0</v>
      </c>
      <c r="AX525">
        <f>IF(AND(AR525=1,ISNUMBER(AT525)),$AT525,1)</f>
        <v>0</v>
      </c>
      <c r="AY525">
        <f>IF(ISNUMBER(Y525),INDEX(AllCollegeMoney, MATCH(N525,AllCollegeNCES,0)),0)</f>
        <v>0</v>
      </c>
      <c r="AZ525">
        <f>IF(AND(AQ525=1,ISNUMBER(AT525),AY525=1),$AT525,1)</f>
        <v>0</v>
      </c>
      <c r="BA525">
        <f>IF(AND(AR525=1,ISNUMBER(AT525),AY525=1),$AT525,1)</f>
        <v>0</v>
      </c>
      <c r="BB525">
        <f>IF(ISNUMBER(Y525),INDEX(AllCollegeILPub, MATCH(N525,AllCollegeNCES,0)),0)</f>
        <v>0</v>
      </c>
      <c r="BC525">
        <f>IF(AK525=ReachLabel,AP525,0)</f>
        <v>0</v>
      </c>
      <c r="BD525">
        <f>IF(AK525=MatchLabel,AP525,0)</f>
        <v>0</v>
      </c>
      <c r="BE525">
        <f>IF(AK525=SafetyLabel,AP525,0)</f>
        <v>0</v>
      </c>
      <c r="BF525">
        <f>IF(AK525=SecureLabel,AP525,0)</f>
        <v>0</v>
      </c>
      <c r="BG525">
        <f>IF(AK525=SureThingLabel,AP525,0)</f>
        <v>0</v>
      </c>
      <c r="BH525">
        <f>MAX(BC525:BG525)</f>
        <v>0</v>
      </c>
      <c r="BI525">
        <f>MAX(BD525:BG525)</f>
        <v>0</v>
      </c>
      <c r="BJ525">
        <f>MAX(BE525:BG525)</f>
        <v>0</v>
      </c>
      <c r="BK525">
        <f>IF(AND(AK525=ReachLabel,AY525=1),AP525,0)</f>
        <v>0</v>
      </c>
      <c r="BL525">
        <f>IF(AND(AK525=MatchLabel,AY525=1),AP525,0)</f>
        <v>0</v>
      </c>
      <c r="BM525">
        <f>IF(AND(AK525=SafetyLabel,AY525=1),AP525,0)</f>
        <v>0</v>
      </c>
      <c r="BN525">
        <f>IF(AND(AK525=SecureLabel,AY525=1),AP525,0)</f>
        <v>0</v>
      </c>
      <c r="BO525">
        <f>IF(AND(AK525=SureThingLabel,AY525=1),AP525,0)</f>
        <v>0</v>
      </c>
      <c r="BP525">
        <f>MAX(BK525:BO525)</f>
        <v>0</v>
      </c>
      <c r="BQ525">
        <f>MAX(BL525:BO525)</f>
        <v>0</v>
      </c>
      <c r="BR525">
        <f>MAX(BM525:BO525)</f>
        <v>0</v>
      </c>
      <c r="BS525">
        <f>IF(ISNUMBER(Y525),INDEX(AllCollegeChicago, MATCH(N525,AllCollegeNCES,0))*AY525,0)</f>
        <v>0</v>
      </c>
      <c r="BT525">
        <f>IF(ISNUMBER(Y525),INDEX(AllCollegeMoneyCode, MATCH(N525,AllCollegeNCES,0)),"?")</f>
        <v>0</v>
      </c>
      <c r="BU525">
        <f>IF(OR(BT525="---",BT525="--",BT525="+/--",BT525="+/---"),1,0)</f>
        <v>0</v>
      </c>
      <c r="BV525">
        <f>AY525*AO525*AQ525</f>
        <v>0</v>
      </c>
    </row>
    <row r="526" spans="1:74">
      <c r="A526" t="s">
        <v>86</v>
      </c>
      <c r="B526">
        <v>23477628</v>
      </c>
      <c r="C526" t="s">
        <v>302</v>
      </c>
      <c r="D526" t="s">
        <v>303</v>
      </c>
      <c r="E526" t="s">
        <v>428</v>
      </c>
      <c r="F526" t="s">
        <v>500</v>
      </c>
      <c r="G526" t="s">
        <v>430</v>
      </c>
      <c r="H526" t="s">
        <v>431</v>
      </c>
      <c r="I526" t="s">
        <v>432</v>
      </c>
      <c r="J526" t="s">
        <v>432</v>
      </c>
      <c r="K526">
        <v>0</v>
      </c>
      <c r="L526" t="s">
        <v>428</v>
      </c>
      <c r="M526" t="s">
        <v>428</v>
      </c>
      <c r="N526">
        <v>143048</v>
      </c>
      <c r="O526">
        <f>INDEX(AllCollegeBarrons,MATCH(N526,AllCollegeNCES,0))</f>
        <v>0</v>
      </c>
      <c r="P526">
        <f>INDEX(KidGPAs,MATCH(B526,KidIDs,0))</f>
        <v>0</v>
      </c>
      <c r="Q526">
        <f>INDEX(KidACTs,MATCH(B526,KidIDs,0))</f>
        <v>0</v>
      </c>
      <c r="R526">
        <f>INDEX(Strats,MATCH(B526,KidIDs,0))</f>
        <v>0</v>
      </c>
      <c r="S526">
        <f>INDEX(KidRace,MATCH(B526,KidIDs,0))</f>
        <v>0</v>
      </c>
      <c r="T526">
        <f>IF(OR(S526="M",S526="I"),"H",S526)</f>
        <v>0</v>
      </c>
      <c r="U526">
        <f>INDEX(StudentTargets,MATCH(B526,KidIDs,0))</f>
        <v>0</v>
      </c>
      <c r="V526">
        <f>INDEX(ReachStudentTargets,MATCH(B526,KidIDs,0))</f>
        <v>0</v>
      </c>
      <c r="W526">
        <f>IF(OR(M526="Posse"),1,0)</f>
        <v>0</v>
      </c>
      <c r="X526">
        <f>IF(ISNUMBER(INDEX(AllCollegeGR, MATCH(N526,AllCollegeNCES,0))),ROUND(INDEX(AllCollegeGR, MATCH(N526,AllCollegeNCES,0))+W526*IF(INDEX(AllCollegeGR, MATCH(N526,AllCollegeNCES,0))&gt;0.7,(1-INDEX(AllCollegeGR, MATCH(N526,AllCollegeNCES,0)))/2,0.15),2),INDEX(AllCollegeGR, MATCH(N526,AllCollegeNCES,0)))</f>
        <v>0</v>
      </c>
      <c r="Y526">
        <f>IF(ISNUMBER(INDEX(AllCollegeAAHGR, MATCH(N526,AllCollegeNCES,0))),ROUND(INDEX(AllCollegeAAHGR, MATCH(N526,AllCollegeNCES,0))+W526*IF(INDEX(AllCollegeAAHGR, MATCH(N526,AllCollegeNCES,0))&gt;0.7,(1-INDEX(AllCollegeAAHGR, MATCH(N526,AllCollegeNCES,0)))/2,0.15),2),INDEX(AllCollegeAAHGR, MATCH(N526,AllCollegeNCES,0)))</f>
        <v>0</v>
      </c>
      <c r="Z526">
        <f>IF(OR(T526="H",T526="B"),INDEX(AllCollegeACT25, MATCH(N526,AllCollegeNCES,0)),INDEX(AllCollegeACT50, MATCH(N526,AllCollegeNCES,0)))</f>
        <v>0</v>
      </c>
      <c r="AA526">
        <f>INDEX(CustomWeightsGPA,MATCH(T526&amp;":"&amp;N526,CustomWeightsIndex,0))</f>
        <v>0</v>
      </c>
      <c r="AB526">
        <f>INDEX(CustomWeightsACT,MATCH(T526&amp;":"&amp;N526,CustomWeightsIndex,0))</f>
        <v>0</v>
      </c>
      <c r="AC526">
        <f>INDEX(CustomWeightsIntercept,MATCH(T526&amp;":"&amp;N526,CustomWeightsIndex,0))</f>
        <v>0</v>
      </c>
      <c r="AD526">
        <f>AA526*P526+AB526*Q526+AC526</f>
        <v>0</v>
      </c>
      <c r="AE526">
        <f>INDEX(CoefficientsGPA,MATCH(T526&amp;":"&amp;O526,CoefficientsIndex,0))</f>
        <v>0</v>
      </c>
      <c r="AF526">
        <f>INDEX(CoefficientsACT,MATCH(T526&amp;":"&amp;O526,CoefficientsIndex,0))</f>
        <v>0</v>
      </c>
      <c r="AG526">
        <f>INDEX(CoefficientsIntercept,MATCH(T526&amp;":"&amp;O526,CoefficientsIndex,0))</f>
        <v>0</v>
      </c>
      <c r="AH526">
        <f>AE526*P526+(Q526-Z526)*AF526+AG526</f>
        <v>0</v>
      </c>
      <c r="AI526">
        <f>IF(ISNUMBER(AD526),AD526,AH526)</f>
        <v>0</v>
      </c>
      <c r="AJ526">
        <f>IF(ISNUMBER(AI526),IF(ISNUMBER(AE526),IF(AND(AE526=1,AF526=1,AG526=1),100,ROUND(100*EXP(AI526)/(1+EXP(AI526)),2)),ROUND(100*EXP(AI526)/(1+EXP(AI526)),2)),IF(ISTEXT(O526),IF(LEFT(O526,1)="2",100,"N/A"),"N/A"))</f>
        <v>0</v>
      </c>
      <c r="AK526">
        <f>IF(ISNUMBER(AJ526),IF(AJ526&gt;=99,IF(OR(R526=10,R526=11),MatchLabel,SureThingLabel),IF(AJ526&gt;=95,SecureLabel,IF(AJ526&gt;=80,SafetyLabel,IF(AJ526&gt;=50,MatchLabel,IF(AJ526&gt;=20,ReachLabel,IF(AJ526&gt;=10,LongshotLabel,HailMaryLabel)))))),"Other")</f>
        <v>0</v>
      </c>
      <c r="AL526">
        <f>IF(OR(I526="accepted",I526="cond. accept",I526="summer admit"),IF(J526="yes","CHOICE!","Accepted!"),IF(I526="denied","Denied",IF(K526=1,"Waitlist",IF(L526=1,"Deferred",IF(G526="pending","Pending",IF(OR(G526="initial materials submitted",G526="mid-year submitted",G526="final submitted"),"Submitted",IF(H526="interest","Interest","?")))))))</f>
        <v>0</v>
      </c>
      <c r="AM526">
        <f>IF(OR(AK526=ReachLabel,AK526=LongshotLabel,AK526=HailMaryLabel),1,0)</f>
        <v>0</v>
      </c>
      <c r="AN526">
        <f>IF(OR(AM526=1,AK526=MatchLabel),1,0)</f>
        <v>0</v>
      </c>
      <c r="AO526">
        <f>IF(OR(AK526=MatchLabel,AK526=SafetyLabel,AK526=SecureLabel,AK526=SureThingLabel),1,0)</f>
        <v>0</v>
      </c>
      <c r="AP526">
        <f>IF(OR(T526="H",T526="B"),IF(ISNUMBER(Y526),ROUND(Y526,2),0),IF(ISNUMBER(X526),ROUND(X526,2),0))</f>
        <v>0</v>
      </c>
      <c r="AQ526">
        <f>IF(AP526&gt;=U526,1,0)</f>
        <v>0</v>
      </c>
      <c r="AR526">
        <f>IF(AP526&gt;=V526,1,0)</f>
        <v>0</v>
      </c>
      <c r="AS526">
        <f>IF(AP526&lt;(U526-0.10),1,0)</f>
        <v>0</v>
      </c>
      <c r="AT526">
        <f>1-AJ526/100</f>
        <v>0</v>
      </c>
      <c r="AU526">
        <f>IF(AN526=1,AT526,1)</f>
        <v>0</v>
      </c>
      <c r="AV526">
        <f>IF(AM526=1,AT526,1)</f>
        <v>0</v>
      </c>
      <c r="AW526">
        <f>IF(AND(AQ526=1,ISNUMBER(AT526)),$AT526,1)</f>
        <v>0</v>
      </c>
      <c r="AX526">
        <f>IF(AND(AR526=1,ISNUMBER(AT526)),$AT526,1)</f>
        <v>0</v>
      </c>
      <c r="AY526">
        <f>IF(ISNUMBER(Y526),INDEX(AllCollegeMoney, MATCH(N526,AllCollegeNCES,0)),0)</f>
        <v>0</v>
      </c>
      <c r="AZ526">
        <f>IF(AND(AQ526=1,ISNUMBER(AT526),AY526=1),$AT526,1)</f>
        <v>0</v>
      </c>
      <c r="BA526">
        <f>IF(AND(AR526=1,ISNUMBER(AT526),AY526=1),$AT526,1)</f>
        <v>0</v>
      </c>
      <c r="BB526">
        <f>IF(ISNUMBER(Y526),INDEX(AllCollegeILPub, MATCH(N526,AllCollegeNCES,0)),0)</f>
        <v>0</v>
      </c>
      <c r="BC526">
        <f>IF(AK526=ReachLabel,AP526,0)</f>
        <v>0</v>
      </c>
      <c r="BD526">
        <f>IF(AK526=MatchLabel,AP526,0)</f>
        <v>0</v>
      </c>
      <c r="BE526">
        <f>IF(AK526=SafetyLabel,AP526,0)</f>
        <v>0</v>
      </c>
      <c r="BF526">
        <f>IF(AK526=SecureLabel,AP526,0)</f>
        <v>0</v>
      </c>
      <c r="BG526">
        <f>IF(AK526=SureThingLabel,AP526,0)</f>
        <v>0</v>
      </c>
      <c r="BH526">
        <f>MAX(BC526:BG526)</f>
        <v>0</v>
      </c>
      <c r="BI526">
        <f>MAX(BD526:BG526)</f>
        <v>0</v>
      </c>
      <c r="BJ526">
        <f>MAX(BE526:BG526)</f>
        <v>0</v>
      </c>
      <c r="BK526">
        <f>IF(AND(AK526=ReachLabel,AY526=1),AP526,0)</f>
        <v>0</v>
      </c>
      <c r="BL526">
        <f>IF(AND(AK526=MatchLabel,AY526=1),AP526,0)</f>
        <v>0</v>
      </c>
      <c r="BM526">
        <f>IF(AND(AK526=SafetyLabel,AY526=1),AP526,0)</f>
        <v>0</v>
      </c>
      <c r="BN526">
        <f>IF(AND(AK526=SecureLabel,AY526=1),AP526,0)</f>
        <v>0</v>
      </c>
      <c r="BO526">
        <f>IF(AND(AK526=SureThingLabel,AY526=1),AP526,0)</f>
        <v>0</v>
      </c>
      <c r="BP526">
        <f>MAX(BK526:BO526)</f>
        <v>0</v>
      </c>
      <c r="BQ526">
        <f>MAX(BL526:BO526)</f>
        <v>0</v>
      </c>
      <c r="BR526">
        <f>MAX(BM526:BO526)</f>
        <v>0</v>
      </c>
      <c r="BS526">
        <f>IF(ISNUMBER(Y526),INDEX(AllCollegeChicago, MATCH(N526,AllCollegeNCES,0))*AY526,0)</f>
        <v>0</v>
      </c>
      <c r="BT526">
        <f>IF(ISNUMBER(Y526),INDEX(AllCollegeMoneyCode, MATCH(N526,AllCollegeNCES,0)),"?")</f>
        <v>0</v>
      </c>
      <c r="BU526">
        <f>IF(OR(BT526="---",BT526="--",BT526="+/--",BT526="+/---"),1,0)</f>
        <v>0</v>
      </c>
      <c r="BV526">
        <f>AY526*AO526*AQ526</f>
        <v>0</v>
      </c>
    </row>
    <row r="527" spans="1:74">
      <c r="A527" t="s">
        <v>86</v>
      </c>
      <c r="B527">
        <v>23477628</v>
      </c>
      <c r="C527" t="s">
        <v>302</v>
      </c>
      <c r="D527" t="s">
        <v>303</v>
      </c>
      <c r="E527" t="s">
        <v>428</v>
      </c>
      <c r="F527" t="s">
        <v>447</v>
      </c>
      <c r="G527" t="s">
        <v>430</v>
      </c>
      <c r="H527" t="s">
        <v>431</v>
      </c>
      <c r="I527" t="s">
        <v>432</v>
      </c>
      <c r="J527" t="s">
        <v>432</v>
      </c>
      <c r="K527">
        <v>0</v>
      </c>
      <c r="L527" t="s">
        <v>428</v>
      </c>
      <c r="M527" t="s">
        <v>428</v>
      </c>
      <c r="N527">
        <v>145600</v>
      </c>
      <c r="O527">
        <f>INDEX(AllCollegeBarrons,MATCH(N527,AllCollegeNCES,0))</f>
        <v>0</v>
      </c>
      <c r="P527">
        <f>INDEX(KidGPAs,MATCH(B527,KidIDs,0))</f>
        <v>0</v>
      </c>
      <c r="Q527">
        <f>INDEX(KidACTs,MATCH(B527,KidIDs,0))</f>
        <v>0</v>
      </c>
      <c r="R527">
        <f>INDEX(Strats,MATCH(B527,KidIDs,0))</f>
        <v>0</v>
      </c>
      <c r="S527">
        <f>INDEX(KidRace,MATCH(B527,KidIDs,0))</f>
        <v>0</v>
      </c>
      <c r="T527">
        <f>IF(OR(S527="M",S527="I"),"H",S527)</f>
        <v>0</v>
      </c>
      <c r="U527">
        <f>INDEX(StudentTargets,MATCH(B527,KidIDs,0))</f>
        <v>0</v>
      </c>
      <c r="V527">
        <f>INDEX(ReachStudentTargets,MATCH(B527,KidIDs,0))</f>
        <v>0</v>
      </c>
      <c r="W527">
        <f>IF(OR(M527="Posse"),1,0)</f>
        <v>0</v>
      </c>
      <c r="X527">
        <f>IF(ISNUMBER(INDEX(AllCollegeGR, MATCH(N527,AllCollegeNCES,0))),ROUND(INDEX(AllCollegeGR, MATCH(N527,AllCollegeNCES,0))+W527*IF(INDEX(AllCollegeGR, MATCH(N527,AllCollegeNCES,0))&gt;0.7,(1-INDEX(AllCollegeGR, MATCH(N527,AllCollegeNCES,0)))/2,0.15),2),INDEX(AllCollegeGR, MATCH(N527,AllCollegeNCES,0)))</f>
        <v>0</v>
      </c>
      <c r="Y527">
        <f>IF(ISNUMBER(INDEX(AllCollegeAAHGR, MATCH(N527,AllCollegeNCES,0))),ROUND(INDEX(AllCollegeAAHGR, MATCH(N527,AllCollegeNCES,0))+W527*IF(INDEX(AllCollegeAAHGR, MATCH(N527,AllCollegeNCES,0))&gt;0.7,(1-INDEX(AllCollegeAAHGR, MATCH(N527,AllCollegeNCES,0)))/2,0.15),2),INDEX(AllCollegeAAHGR, MATCH(N527,AllCollegeNCES,0)))</f>
        <v>0</v>
      </c>
      <c r="Z527">
        <f>IF(OR(T527="H",T527="B"),INDEX(AllCollegeACT25, MATCH(N527,AllCollegeNCES,0)),INDEX(AllCollegeACT50, MATCH(N527,AllCollegeNCES,0)))</f>
        <v>0</v>
      </c>
      <c r="AA527">
        <f>INDEX(CustomWeightsGPA,MATCH(T527&amp;":"&amp;N527,CustomWeightsIndex,0))</f>
        <v>0</v>
      </c>
      <c r="AB527">
        <f>INDEX(CustomWeightsACT,MATCH(T527&amp;":"&amp;N527,CustomWeightsIndex,0))</f>
        <v>0</v>
      </c>
      <c r="AC527">
        <f>INDEX(CustomWeightsIntercept,MATCH(T527&amp;":"&amp;N527,CustomWeightsIndex,0))</f>
        <v>0</v>
      </c>
      <c r="AD527">
        <f>AA527*P527+AB527*Q527+AC527</f>
        <v>0</v>
      </c>
      <c r="AE527">
        <f>INDEX(CoefficientsGPA,MATCH(T527&amp;":"&amp;O527,CoefficientsIndex,0))</f>
        <v>0</v>
      </c>
      <c r="AF527">
        <f>INDEX(CoefficientsACT,MATCH(T527&amp;":"&amp;O527,CoefficientsIndex,0))</f>
        <v>0</v>
      </c>
      <c r="AG527">
        <f>INDEX(CoefficientsIntercept,MATCH(T527&amp;":"&amp;O527,CoefficientsIndex,0))</f>
        <v>0</v>
      </c>
      <c r="AH527">
        <f>AE527*P527+(Q527-Z527)*AF527+AG527</f>
        <v>0</v>
      </c>
      <c r="AI527">
        <f>IF(ISNUMBER(AD527),AD527,AH527)</f>
        <v>0</v>
      </c>
      <c r="AJ527">
        <f>IF(ISNUMBER(AI527),IF(ISNUMBER(AE527),IF(AND(AE527=1,AF527=1,AG527=1),100,ROUND(100*EXP(AI527)/(1+EXP(AI527)),2)),ROUND(100*EXP(AI527)/(1+EXP(AI527)),2)),IF(ISTEXT(O527),IF(LEFT(O527,1)="2",100,"N/A"),"N/A"))</f>
        <v>0</v>
      </c>
      <c r="AK527">
        <f>IF(ISNUMBER(AJ527),IF(AJ527&gt;=99,IF(OR(R527=10,R527=11),MatchLabel,SureThingLabel),IF(AJ527&gt;=95,SecureLabel,IF(AJ527&gt;=80,SafetyLabel,IF(AJ527&gt;=50,MatchLabel,IF(AJ527&gt;=20,ReachLabel,IF(AJ527&gt;=10,LongshotLabel,HailMaryLabel)))))),"Other")</f>
        <v>0</v>
      </c>
      <c r="AL527">
        <f>IF(OR(I527="accepted",I527="cond. accept",I527="summer admit"),IF(J527="yes","CHOICE!","Accepted!"),IF(I527="denied","Denied",IF(K527=1,"Waitlist",IF(L527=1,"Deferred",IF(G527="pending","Pending",IF(OR(G527="initial materials submitted",G527="mid-year submitted",G527="final submitted"),"Submitted",IF(H527="interest","Interest","?")))))))</f>
        <v>0</v>
      </c>
      <c r="AM527">
        <f>IF(OR(AK527=ReachLabel,AK527=LongshotLabel,AK527=HailMaryLabel),1,0)</f>
        <v>0</v>
      </c>
      <c r="AN527">
        <f>IF(OR(AM527=1,AK527=MatchLabel),1,0)</f>
        <v>0</v>
      </c>
      <c r="AO527">
        <f>IF(OR(AK527=MatchLabel,AK527=SafetyLabel,AK527=SecureLabel,AK527=SureThingLabel),1,0)</f>
        <v>0</v>
      </c>
      <c r="AP527">
        <f>IF(OR(T527="H",T527="B"),IF(ISNUMBER(Y527),ROUND(Y527,2),0),IF(ISNUMBER(X527),ROUND(X527,2),0))</f>
        <v>0</v>
      </c>
      <c r="AQ527">
        <f>IF(AP527&gt;=U527,1,0)</f>
        <v>0</v>
      </c>
      <c r="AR527">
        <f>IF(AP527&gt;=V527,1,0)</f>
        <v>0</v>
      </c>
      <c r="AS527">
        <f>IF(AP527&lt;(U527-0.10),1,0)</f>
        <v>0</v>
      </c>
      <c r="AT527">
        <f>1-AJ527/100</f>
        <v>0</v>
      </c>
      <c r="AU527">
        <f>IF(AN527=1,AT527,1)</f>
        <v>0</v>
      </c>
      <c r="AV527">
        <f>IF(AM527=1,AT527,1)</f>
        <v>0</v>
      </c>
      <c r="AW527">
        <f>IF(AND(AQ527=1,ISNUMBER(AT527)),$AT527,1)</f>
        <v>0</v>
      </c>
      <c r="AX527">
        <f>IF(AND(AR527=1,ISNUMBER(AT527)),$AT527,1)</f>
        <v>0</v>
      </c>
      <c r="AY527">
        <f>IF(ISNUMBER(Y527),INDEX(AllCollegeMoney, MATCH(N527,AllCollegeNCES,0)),0)</f>
        <v>0</v>
      </c>
      <c r="AZ527">
        <f>IF(AND(AQ527=1,ISNUMBER(AT527),AY527=1),$AT527,1)</f>
        <v>0</v>
      </c>
      <c r="BA527">
        <f>IF(AND(AR527=1,ISNUMBER(AT527),AY527=1),$AT527,1)</f>
        <v>0</v>
      </c>
      <c r="BB527">
        <f>IF(ISNUMBER(Y527),INDEX(AllCollegeILPub, MATCH(N527,AllCollegeNCES,0)),0)</f>
        <v>0</v>
      </c>
      <c r="BC527">
        <f>IF(AK527=ReachLabel,AP527,0)</f>
        <v>0</v>
      </c>
      <c r="BD527">
        <f>IF(AK527=MatchLabel,AP527,0)</f>
        <v>0</v>
      </c>
      <c r="BE527">
        <f>IF(AK527=SafetyLabel,AP527,0)</f>
        <v>0</v>
      </c>
      <c r="BF527">
        <f>IF(AK527=SecureLabel,AP527,0)</f>
        <v>0</v>
      </c>
      <c r="BG527">
        <f>IF(AK527=SureThingLabel,AP527,0)</f>
        <v>0</v>
      </c>
      <c r="BH527">
        <f>MAX(BC527:BG527)</f>
        <v>0</v>
      </c>
      <c r="BI527">
        <f>MAX(BD527:BG527)</f>
        <v>0</v>
      </c>
      <c r="BJ527">
        <f>MAX(BE527:BG527)</f>
        <v>0</v>
      </c>
      <c r="BK527">
        <f>IF(AND(AK527=ReachLabel,AY527=1),AP527,0)</f>
        <v>0</v>
      </c>
      <c r="BL527">
        <f>IF(AND(AK527=MatchLabel,AY527=1),AP527,0)</f>
        <v>0</v>
      </c>
      <c r="BM527">
        <f>IF(AND(AK527=SafetyLabel,AY527=1),AP527,0)</f>
        <v>0</v>
      </c>
      <c r="BN527">
        <f>IF(AND(AK527=SecureLabel,AY527=1),AP527,0)</f>
        <v>0</v>
      </c>
      <c r="BO527">
        <f>IF(AND(AK527=SureThingLabel,AY527=1),AP527,0)</f>
        <v>0</v>
      </c>
      <c r="BP527">
        <f>MAX(BK527:BO527)</f>
        <v>0</v>
      </c>
      <c r="BQ527">
        <f>MAX(BL527:BO527)</f>
        <v>0</v>
      </c>
      <c r="BR527">
        <f>MAX(BM527:BO527)</f>
        <v>0</v>
      </c>
      <c r="BS527">
        <f>IF(ISNUMBER(Y527),INDEX(AllCollegeChicago, MATCH(N527,AllCollegeNCES,0))*AY527,0)</f>
        <v>0</v>
      </c>
      <c r="BT527">
        <f>IF(ISNUMBER(Y527),INDEX(AllCollegeMoneyCode, MATCH(N527,AllCollegeNCES,0)),"?")</f>
        <v>0</v>
      </c>
      <c r="BU527">
        <f>IF(OR(BT527="---",BT527="--",BT527="+/--",BT527="+/---"),1,0)</f>
        <v>0</v>
      </c>
      <c r="BV527">
        <f>AY527*AO527*AQ527</f>
        <v>0</v>
      </c>
    </row>
    <row r="528" spans="1:74">
      <c r="A528" t="s">
        <v>86</v>
      </c>
      <c r="B528">
        <v>23477628</v>
      </c>
      <c r="C528" t="s">
        <v>302</v>
      </c>
      <c r="D528" t="s">
        <v>303</v>
      </c>
      <c r="E528" t="s">
        <v>428</v>
      </c>
      <c r="F528" t="s">
        <v>435</v>
      </c>
      <c r="G528" t="s">
        <v>430</v>
      </c>
      <c r="H528" t="s">
        <v>431</v>
      </c>
      <c r="I528" t="s">
        <v>432</v>
      </c>
      <c r="J528" t="s">
        <v>432</v>
      </c>
      <c r="K528">
        <v>0</v>
      </c>
      <c r="L528" t="s">
        <v>428</v>
      </c>
      <c r="M528" t="s">
        <v>428</v>
      </c>
      <c r="N528">
        <v>144892</v>
      </c>
      <c r="O528">
        <f>INDEX(AllCollegeBarrons,MATCH(N528,AllCollegeNCES,0))</f>
        <v>0</v>
      </c>
      <c r="P528">
        <f>INDEX(KidGPAs,MATCH(B528,KidIDs,0))</f>
        <v>0</v>
      </c>
      <c r="Q528">
        <f>INDEX(KidACTs,MATCH(B528,KidIDs,0))</f>
        <v>0</v>
      </c>
      <c r="R528">
        <f>INDEX(Strats,MATCH(B528,KidIDs,0))</f>
        <v>0</v>
      </c>
      <c r="S528">
        <f>INDEX(KidRace,MATCH(B528,KidIDs,0))</f>
        <v>0</v>
      </c>
      <c r="T528">
        <f>IF(OR(S528="M",S528="I"),"H",S528)</f>
        <v>0</v>
      </c>
      <c r="U528">
        <f>INDEX(StudentTargets,MATCH(B528,KidIDs,0))</f>
        <v>0</v>
      </c>
      <c r="V528">
        <f>INDEX(ReachStudentTargets,MATCH(B528,KidIDs,0))</f>
        <v>0</v>
      </c>
      <c r="W528">
        <f>IF(OR(M528="Posse"),1,0)</f>
        <v>0</v>
      </c>
      <c r="X528">
        <f>IF(ISNUMBER(INDEX(AllCollegeGR, MATCH(N528,AllCollegeNCES,0))),ROUND(INDEX(AllCollegeGR, MATCH(N528,AllCollegeNCES,0))+W528*IF(INDEX(AllCollegeGR, MATCH(N528,AllCollegeNCES,0))&gt;0.7,(1-INDEX(AllCollegeGR, MATCH(N528,AllCollegeNCES,0)))/2,0.15),2),INDEX(AllCollegeGR, MATCH(N528,AllCollegeNCES,0)))</f>
        <v>0</v>
      </c>
      <c r="Y528">
        <f>IF(ISNUMBER(INDEX(AllCollegeAAHGR, MATCH(N528,AllCollegeNCES,0))),ROUND(INDEX(AllCollegeAAHGR, MATCH(N528,AllCollegeNCES,0))+W528*IF(INDEX(AllCollegeAAHGR, MATCH(N528,AllCollegeNCES,0))&gt;0.7,(1-INDEX(AllCollegeAAHGR, MATCH(N528,AllCollegeNCES,0)))/2,0.15),2),INDEX(AllCollegeAAHGR, MATCH(N528,AllCollegeNCES,0)))</f>
        <v>0</v>
      </c>
      <c r="Z528">
        <f>IF(OR(T528="H",T528="B"),INDEX(AllCollegeACT25, MATCH(N528,AllCollegeNCES,0)),INDEX(AllCollegeACT50, MATCH(N528,AllCollegeNCES,0)))</f>
        <v>0</v>
      </c>
      <c r="AA528">
        <f>INDEX(CustomWeightsGPA,MATCH(T528&amp;":"&amp;N528,CustomWeightsIndex,0))</f>
        <v>0</v>
      </c>
      <c r="AB528">
        <f>INDEX(CustomWeightsACT,MATCH(T528&amp;":"&amp;N528,CustomWeightsIndex,0))</f>
        <v>0</v>
      </c>
      <c r="AC528">
        <f>INDEX(CustomWeightsIntercept,MATCH(T528&amp;":"&amp;N528,CustomWeightsIndex,0))</f>
        <v>0</v>
      </c>
      <c r="AD528">
        <f>AA528*P528+AB528*Q528+AC528</f>
        <v>0</v>
      </c>
      <c r="AE528">
        <f>INDEX(CoefficientsGPA,MATCH(T528&amp;":"&amp;O528,CoefficientsIndex,0))</f>
        <v>0</v>
      </c>
      <c r="AF528">
        <f>INDEX(CoefficientsACT,MATCH(T528&amp;":"&amp;O528,CoefficientsIndex,0))</f>
        <v>0</v>
      </c>
      <c r="AG528">
        <f>INDEX(CoefficientsIntercept,MATCH(T528&amp;":"&amp;O528,CoefficientsIndex,0))</f>
        <v>0</v>
      </c>
      <c r="AH528">
        <f>AE528*P528+(Q528-Z528)*AF528+AG528</f>
        <v>0</v>
      </c>
      <c r="AI528">
        <f>IF(ISNUMBER(AD528),AD528,AH528)</f>
        <v>0</v>
      </c>
      <c r="AJ528">
        <f>IF(ISNUMBER(AI528),IF(ISNUMBER(AE528),IF(AND(AE528=1,AF528=1,AG528=1),100,ROUND(100*EXP(AI528)/(1+EXP(AI528)),2)),ROUND(100*EXP(AI528)/(1+EXP(AI528)),2)),IF(ISTEXT(O528),IF(LEFT(O528,1)="2",100,"N/A"),"N/A"))</f>
        <v>0</v>
      </c>
      <c r="AK528">
        <f>IF(ISNUMBER(AJ528),IF(AJ528&gt;=99,IF(OR(R528=10,R528=11),MatchLabel,SureThingLabel),IF(AJ528&gt;=95,SecureLabel,IF(AJ528&gt;=80,SafetyLabel,IF(AJ528&gt;=50,MatchLabel,IF(AJ528&gt;=20,ReachLabel,IF(AJ528&gt;=10,LongshotLabel,HailMaryLabel)))))),"Other")</f>
        <v>0</v>
      </c>
      <c r="AL528">
        <f>IF(OR(I528="accepted",I528="cond. accept",I528="summer admit"),IF(J528="yes","CHOICE!","Accepted!"),IF(I528="denied","Denied",IF(K528=1,"Waitlist",IF(L528=1,"Deferred",IF(G528="pending","Pending",IF(OR(G528="initial materials submitted",G528="mid-year submitted",G528="final submitted"),"Submitted",IF(H528="interest","Interest","?")))))))</f>
        <v>0</v>
      </c>
      <c r="AM528">
        <f>IF(OR(AK528=ReachLabel,AK528=LongshotLabel,AK528=HailMaryLabel),1,0)</f>
        <v>0</v>
      </c>
      <c r="AN528">
        <f>IF(OR(AM528=1,AK528=MatchLabel),1,0)</f>
        <v>0</v>
      </c>
      <c r="AO528">
        <f>IF(OR(AK528=MatchLabel,AK528=SafetyLabel,AK528=SecureLabel,AK528=SureThingLabel),1,0)</f>
        <v>0</v>
      </c>
      <c r="AP528">
        <f>IF(OR(T528="H",T528="B"),IF(ISNUMBER(Y528),ROUND(Y528,2),0),IF(ISNUMBER(X528),ROUND(X528,2),0))</f>
        <v>0</v>
      </c>
      <c r="AQ528">
        <f>IF(AP528&gt;=U528,1,0)</f>
        <v>0</v>
      </c>
      <c r="AR528">
        <f>IF(AP528&gt;=V528,1,0)</f>
        <v>0</v>
      </c>
      <c r="AS528">
        <f>IF(AP528&lt;(U528-0.10),1,0)</f>
        <v>0</v>
      </c>
      <c r="AT528">
        <f>1-AJ528/100</f>
        <v>0</v>
      </c>
      <c r="AU528">
        <f>IF(AN528=1,AT528,1)</f>
        <v>0</v>
      </c>
      <c r="AV528">
        <f>IF(AM528=1,AT528,1)</f>
        <v>0</v>
      </c>
      <c r="AW528">
        <f>IF(AND(AQ528=1,ISNUMBER(AT528)),$AT528,1)</f>
        <v>0</v>
      </c>
      <c r="AX528">
        <f>IF(AND(AR528=1,ISNUMBER(AT528)),$AT528,1)</f>
        <v>0</v>
      </c>
      <c r="AY528">
        <f>IF(ISNUMBER(Y528),INDEX(AllCollegeMoney, MATCH(N528,AllCollegeNCES,0)),0)</f>
        <v>0</v>
      </c>
      <c r="AZ528">
        <f>IF(AND(AQ528=1,ISNUMBER(AT528),AY528=1),$AT528,1)</f>
        <v>0</v>
      </c>
      <c r="BA528">
        <f>IF(AND(AR528=1,ISNUMBER(AT528),AY528=1),$AT528,1)</f>
        <v>0</v>
      </c>
      <c r="BB528">
        <f>IF(ISNUMBER(Y528),INDEX(AllCollegeILPub, MATCH(N528,AllCollegeNCES,0)),0)</f>
        <v>0</v>
      </c>
      <c r="BC528">
        <f>IF(AK528=ReachLabel,AP528,0)</f>
        <v>0</v>
      </c>
      <c r="BD528">
        <f>IF(AK528=MatchLabel,AP528,0)</f>
        <v>0</v>
      </c>
      <c r="BE528">
        <f>IF(AK528=SafetyLabel,AP528,0)</f>
        <v>0</v>
      </c>
      <c r="BF528">
        <f>IF(AK528=SecureLabel,AP528,0)</f>
        <v>0</v>
      </c>
      <c r="BG528">
        <f>IF(AK528=SureThingLabel,AP528,0)</f>
        <v>0</v>
      </c>
      <c r="BH528">
        <f>MAX(BC528:BG528)</f>
        <v>0</v>
      </c>
      <c r="BI528">
        <f>MAX(BD528:BG528)</f>
        <v>0</v>
      </c>
      <c r="BJ528">
        <f>MAX(BE528:BG528)</f>
        <v>0</v>
      </c>
      <c r="BK528">
        <f>IF(AND(AK528=ReachLabel,AY528=1),AP528,0)</f>
        <v>0</v>
      </c>
      <c r="BL528">
        <f>IF(AND(AK528=MatchLabel,AY528=1),AP528,0)</f>
        <v>0</v>
      </c>
      <c r="BM528">
        <f>IF(AND(AK528=SafetyLabel,AY528=1),AP528,0)</f>
        <v>0</v>
      </c>
      <c r="BN528">
        <f>IF(AND(AK528=SecureLabel,AY528=1),AP528,0)</f>
        <v>0</v>
      </c>
      <c r="BO528">
        <f>IF(AND(AK528=SureThingLabel,AY528=1),AP528,0)</f>
        <v>0</v>
      </c>
      <c r="BP528">
        <f>MAX(BK528:BO528)</f>
        <v>0</v>
      </c>
      <c r="BQ528">
        <f>MAX(BL528:BO528)</f>
        <v>0</v>
      </c>
      <c r="BR528">
        <f>MAX(BM528:BO528)</f>
        <v>0</v>
      </c>
      <c r="BS528">
        <f>IF(ISNUMBER(Y528),INDEX(AllCollegeChicago, MATCH(N528,AllCollegeNCES,0))*AY528,0)</f>
        <v>0</v>
      </c>
      <c r="BT528">
        <f>IF(ISNUMBER(Y528),INDEX(AllCollegeMoneyCode, MATCH(N528,AllCollegeNCES,0)),"?")</f>
        <v>0</v>
      </c>
      <c r="BU528">
        <f>IF(OR(BT528="---",BT528="--",BT528="+/--",BT528="+/---"),1,0)</f>
        <v>0</v>
      </c>
      <c r="BV528">
        <f>AY528*AO528*AQ528</f>
        <v>0</v>
      </c>
    </row>
    <row r="529" spans="1:74">
      <c r="A529" t="s">
        <v>86</v>
      </c>
      <c r="B529">
        <v>23477628</v>
      </c>
      <c r="C529" t="s">
        <v>302</v>
      </c>
      <c r="D529" t="s">
        <v>303</v>
      </c>
      <c r="E529" t="s">
        <v>428</v>
      </c>
      <c r="F529" t="s">
        <v>489</v>
      </c>
      <c r="G529" t="s">
        <v>430</v>
      </c>
      <c r="H529" t="s">
        <v>431</v>
      </c>
      <c r="I529" t="s">
        <v>432</v>
      </c>
      <c r="J529" t="s">
        <v>432</v>
      </c>
      <c r="K529">
        <v>0</v>
      </c>
      <c r="L529" t="s">
        <v>428</v>
      </c>
      <c r="M529" t="s">
        <v>428</v>
      </c>
      <c r="N529">
        <v>147679</v>
      </c>
      <c r="O529">
        <f>INDEX(AllCollegeBarrons,MATCH(N529,AllCollegeNCES,0))</f>
        <v>0</v>
      </c>
      <c r="P529">
        <f>INDEX(KidGPAs,MATCH(B529,KidIDs,0))</f>
        <v>0</v>
      </c>
      <c r="Q529">
        <f>INDEX(KidACTs,MATCH(B529,KidIDs,0))</f>
        <v>0</v>
      </c>
      <c r="R529">
        <f>INDEX(Strats,MATCH(B529,KidIDs,0))</f>
        <v>0</v>
      </c>
      <c r="S529">
        <f>INDEX(KidRace,MATCH(B529,KidIDs,0))</f>
        <v>0</v>
      </c>
      <c r="T529">
        <f>IF(OR(S529="M",S529="I"),"H",S529)</f>
        <v>0</v>
      </c>
      <c r="U529">
        <f>INDEX(StudentTargets,MATCH(B529,KidIDs,0))</f>
        <v>0</v>
      </c>
      <c r="V529">
        <f>INDEX(ReachStudentTargets,MATCH(B529,KidIDs,0))</f>
        <v>0</v>
      </c>
      <c r="W529">
        <f>IF(OR(M529="Posse"),1,0)</f>
        <v>0</v>
      </c>
      <c r="X529">
        <f>IF(ISNUMBER(INDEX(AllCollegeGR, MATCH(N529,AllCollegeNCES,0))),ROUND(INDEX(AllCollegeGR, MATCH(N529,AllCollegeNCES,0))+W529*IF(INDEX(AllCollegeGR, MATCH(N529,AllCollegeNCES,0))&gt;0.7,(1-INDEX(AllCollegeGR, MATCH(N529,AllCollegeNCES,0)))/2,0.15),2),INDEX(AllCollegeGR, MATCH(N529,AllCollegeNCES,0)))</f>
        <v>0</v>
      </c>
      <c r="Y529">
        <f>IF(ISNUMBER(INDEX(AllCollegeAAHGR, MATCH(N529,AllCollegeNCES,0))),ROUND(INDEX(AllCollegeAAHGR, MATCH(N529,AllCollegeNCES,0))+W529*IF(INDEX(AllCollegeAAHGR, MATCH(N529,AllCollegeNCES,0))&gt;0.7,(1-INDEX(AllCollegeAAHGR, MATCH(N529,AllCollegeNCES,0)))/2,0.15),2),INDEX(AllCollegeAAHGR, MATCH(N529,AllCollegeNCES,0)))</f>
        <v>0</v>
      </c>
      <c r="Z529">
        <f>IF(OR(T529="H",T529="B"),INDEX(AllCollegeACT25, MATCH(N529,AllCollegeNCES,0)),INDEX(AllCollegeACT50, MATCH(N529,AllCollegeNCES,0)))</f>
        <v>0</v>
      </c>
      <c r="AA529">
        <f>INDEX(CustomWeightsGPA,MATCH(T529&amp;":"&amp;N529,CustomWeightsIndex,0))</f>
        <v>0</v>
      </c>
      <c r="AB529">
        <f>INDEX(CustomWeightsACT,MATCH(T529&amp;":"&amp;N529,CustomWeightsIndex,0))</f>
        <v>0</v>
      </c>
      <c r="AC529">
        <f>INDEX(CustomWeightsIntercept,MATCH(T529&amp;":"&amp;N529,CustomWeightsIndex,0))</f>
        <v>0</v>
      </c>
      <c r="AD529">
        <f>AA529*P529+AB529*Q529+AC529</f>
        <v>0</v>
      </c>
      <c r="AE529">
        <f>INDEX(CoefficientsGPA,MATCH(T529&amp;":"&amp;O529,CoefficientsIndex,0))</f>
        <v>0</v>
      </c>
      <c r="AF529">
        <f>INDEX(CoefficientsACT,MATCH(T529&amp;":"&amp;O529,CoefficientsIndex,0))</f>
        <v>0</v>
      </c>
      <c r="AG529">
        <f>INDEX(CoefficientsIntercept,MATCH(T529&amp;":"&amp;O529,CoefficientsIndex,0))</f>
        <v>0</v>
      </c>
      <c r="AH529">
        <f>AE529*P529+(Q529-Z529)*AF529+AG529</f>
        <v>0</v>
      </c>
      <c r="AI529">
        <f>IF(ISNUMBER(AD529),AD529,AH529)</f>
        <v>0</v>
      </c>
      <c r="AJ529">
        <f>IF(ISNUMBER(AI529),IF(ISNUMBER(AE529),IF(AND(AE529=1,AF529=1,AG529=1),100,ROUND(100*EXP(AI529)/(1+EXP(AI529)),2)),ROUND(100*EXP(AI529)/(1+EXP(AI529)),2)),IF(ISTEXT(O529),IF(LEFT(O529,1)="2",100,"N/A"),"N/A"))</f>
        <v>0</v>
      </c>
      <c r="AK529">
        <f>IF(ISNUMBER(AJ529),IF(AJ529&gt;=99,IF(OR(R529=10,R529=11),MatchLabel,SureThingLabel),IF(AJ529&gt;=95,SecureLabel,IF(AJ529&gt;=80,SafetyLabel,IF(AJ529&gt;=50,MatchLabel,IF(AJ529&gt;=20,ReachLabel,IF(AJ529&gt;=10,LongshotLabel,HailMaryLabel)))))),"Other")</f>
        <v>0</v>
      </c>
      <c r="AL529">
        <f>IF(OR(I529="accepted",I529="cond. accept",I529="summer admit"),IF(J529="yes","CHOICE!","Accepted!"),IF(I529="denied","Denied",IF(K529=1,"Waitlist",IF(L529=1,"Deferred",IF(G529="pending","Pending",IF(OR(G529="initial materials submitted",G529="mid-year submitted",G529="final submitted"),"Submitted",IF(H529="interest","Interest","?")))))))</f>
        <v>0</v>
      </c>
      <c r="AM529">
        <f>IF(OR(AK529=ReachLabel,AK529=LongshotLabel,AK529=HailMaryLabel),1,0)</f>
        <v>0</v>
      </c>
      <c r="AN529">
        <f>IF(OR(AM529=1,AK529=MatchLabel),1,0)</f>
        <v>0</v>
      </c>
      <c r="AO529">
        <f>IF(OR(AK529=MatchLabel,AK529=SafetyLabel,AK529=SecureLabel,AK529=SureThingLabel),1,0)</f>
        <v>0</v>
      </c>
      <c r="AP529">
        <f>IF(OR(T529="H",T529="B"),IF(ISNUMBER(Y529),ROUND(Y529,2),0),IF(ISNUMBER(X529),ROUND(X529,2),0))</f>
        <v>0</v>
      </c>
      <c r="AQ529">
        <f>IF(AP529&gt;=U529,1,0)</f>
        <v>0</v>
      </c>
      <c r="AR529">
        <f>IF(AP529&gt;=V529,1,0)</f>
        <v>0</v>
      </c>
      <c r="AS529">
        <f>IF(AP529&lt;(U529-0.10),1,0)</f>
        <v>0</v>
      </c>
      <c r="AT529">
        <f>1-AJ529/100</f>
        <v>0</v>
      </c>
      <c r="AU529">
        <f>IF(AN529=1,AT529,1)</f>
        <v>0</v>
      </c>
      <c r="AV529">
        <f>IF(AM529=1,AT529,1)</f>
        <v>0</v>
      </c>
      <c r="AW529">
        <f>IF(AND(AQ529=1,ISNUMBER(AT529)),$AT529,1)</f>
        <v>0</v>
      </c>
      <c r="AX529">
        <f>IF(AND(AR529=1,ISNUMBER(AT529)),$AT529,1)</f>
        <v>0</v>
      </c>
      <c r="AY529">
        <f>IF(ISNUMBER(Y529),INDEX(AllCollegeMoney, MATCH(N529,AllCollegeNCES,0)),0)</f>
        <v>0</v>
      </c>
      <c r="AZ529">
        <f>IF(AND(AQ529=1,ISNUMBER(AT529),AY529=1),$AT529,1)</f>
        <v>0</v>
      </c>
      <c r="BA529">
        <f>IF(AND(AR529=1,ISNUMBER(AT529),AY529=1),$AT529,1)</f>
        <v>0</v>
      </c>
      <c r="BB529">
        <f>IF(ISNUMBER(Y529),INDEX(AllCollegeILPub, MATCH(N529,AllCollegeNCES,0)),0)</f>
        <v>0</v>
      </c>
      <c r="BC529">
        <f>IF(AK529=ReachLabel,AP529,0)</f>
        <v>0</v>
      </c>
      <c r="BD529">
        <f>IF(AK529=MatchLabel,AP529,0)</f>
        <v>0</v>
      </c>
      <c r="BE529">
        <f>IF(AK529=SafetyLabel,AP529,0)</f>
        <v>0</v>
      </c>
      <c r="BF529">
        <f>IF(AK529=SecureLabel,AP529,0)</f>
        <v>0</v>
      </c>
      <c r="BG529">
        <f>IF(AK529=SureThingLabel,AP529,0)</f>
        <v>0</v>
      </c>
      <c r="BH529">
        <f>MAX(BC529:BG529)</f>
        <v>0</v>
      </c>
      <c r="BI529">
        <f>MAX(BD529:BG529)</f>
        <v>0</v>
      </c>
      <c r="BJ529">
        <f>MAX(BE529:BG529)</f>
        <v>0</v>
      </c>
      <c r="BK529">
        <f>IF(AND(AK529=ReachLabel,AY529=1),AP529,0)</f>
        <v>0</v>
      </c>
      <c r="BL529">
        <f>IF(AND(AK529=MatchLabel,AY529=1),AP529,0)</f>
        <v>0</v>
      </c>
      <c r="BM529">
        <f>IF(AND(AK529=SafetyLabel,AY529=1),AP529,0)</f>
        <v>0</v>
      </c>
      <c r="BN529">
        <f>IF(AND(AK529=SecureLabel,AY529=1),AP529,0)</f>
        <v>0</v>
      </c>
      <c r="BO529">
        <f>IF(AND(AK529=SureThingLabel,AY529=1),AP529,0)</f>
        <v>0</v>
      </c>
      <c r="BP529">
        <f>MAX(BK529:BO529)</f>
        <v>0</v>
      </c>
      <c r="BQ529">
        <f>MAX(BL529:BO529)</f>
        <v>0</v>
      </c>
      <c r="BR529">
        <f>MAX(BM529:BO529)</f>
        <v>0</v>
      </c>
      <c r="BS529">
        <f>IF(ISNUMBER(Y529),INDEX(AllCollegeChicago, MATCH(N529,AllCollegeNCES,0))*AY529,0)</f>
        <v>0</v>
      </c>
      <c r="BT529">
        <f>IF(ISNUMBER(Y529),INDEX(AllCollegeMoneyCode, MATCH(N529,AllCollegeNCES,0)),"?")</f>
        <v>0</v>
      </c>
      <c r="BU529">
        <f>IF(OR(BT529="---",BT529="--",BT529="+/--",BT529="+/---"),1,0)</f>
        <v>0</v>
      </c>
      <c r="BV529">
        <f>AY529*AO529*AQ529</f>
        <v>0</v>
      </c>
    </row>
    <row r="530" spans="1:74">
      <c r="A530" t="s">
        <v>86</v>
      </c>
      <c r="B530">
        <v>23477628</v>
      </c>
      <c r="C530" t="s">
        <v>302</v>
      </c>
      <c r="D530" t="s">
        <v>303</v>
      </c>
      <c r="E530" t="s">
        <v>428</v>
      </c>
      <c r="F530" t="s">
        <v>437</v>
      </c>
      <c r="G530" t="s">
        <v>430</v>
      </c>
      <c r="H530" t="s">
        <v>431</v>
      </c>
      <c r="I530" t="s">
        <v>432</v>
      </c>
      <c r="J530" t="s">
        <v>432</v>
      </c>
      <c r="K530">
        <v>0</v>
      </c>
      <c r="L530" t="s">
        <v>428</v>
      </c>
      <c r="M530" t="s">
        <v>428</v>
      </c>
      <c r="N530">
        <v>149772</v>
      </c>
      <c r="O530">
        <f>INDEX(AllCollegeBarrons,MATCH(N530,AllCollegeNCES,0))</f>
        <v>0</v>
      </c>
      <c r="P530">
        <f>INDEX(KidGPAs,MATCH(B530,KidIDs,0))</f>
        <v>0</v>
      </c>
      <c r="Q530">
        <f>INDEX(KidACTs,MATCH(B530,KidIDs,0))</f>
        <v>0</v>
      </c>
      <c r="R530">
        <f>INDEX(Strats,MATCH(B530,KidIDs,0))</f>
        <v>0</v>
      </c>
      <c r="S530">
        <f>INDEX(KidRace,MATCH(B530,KidIDs,0))</f>
        <v>0</v>
      </c>
      <c r="T530">
        <f>IF(OR(S530="M",S530="I"),"H",S530)</f>
        <v>0</v>
      </c>
      <c r="U530">
        <f>INDEX(StudentTargets,MATCH(B530,KidIDs,0))</f>
        <v>0</v>
      </c>
      <c r="V530">
        <f>INDEX(ReachStudentTargets,MATCH(B530,KidIDs,0))</f>
        <v>0</v>
      </c>
      <c r="W530">
        <f>IF(OR(M530="Posse"),1,0)</f>
        <v>0</v>
      </c>
      <c r="X530">
        <f>IF(ISNUMBER(INDEX(AllCollegeGR, MATCH(N530,AllCollegeNCES,0))),ROUND(INDEX(AllCollegeGR, MATCH(N530,AllCollegeNCES,0))+W530*IF(INDEX(AllCollegeGR, MATCH(N530,AllCollegeNCES,0))&gt;0.7,(1-INDEX(AllCollegeGR, MATCH(N530,AllCollegeNCES,0)))/2,0.15),2),INDEX(AllCollegeGR, MATCH(N530,AllCollegeNCES,0)))</f>
        <v>0</v>
      </c>
      <c r="Y530">
        <f>IF(ISNUMBER(INDEX(AllCollegeAAHGR, MATCH(N530,AllCollegeNCES,0))),ROUND(INDEX(AllCollegeAAHGR, MATCH(N530,AllCollegeNCES,0))+W530*IF(INDEX(AllCollegeAAHGR, MATCH(N530,AllCollegeNCES,0))&gt;0.7,(1-INDEX(AllCollegeAAHGR, MATCH(N530,AllCollegeNCES,0)))/2,0.15),2),INDEX(AllCollegeAAHGR, MATCH(N530,AllCollegeNCES,0)))</f>
        <v>0</v>
      </c>
      <c r="Z530">
        <f>IF(OR(T530="H",T530="B"),INDEX(AllCollegeACT25, MATCH(N530,AllCollegeNCES,0)),INDEX(AllCollegeACT50, MATCH(N530,AllCollegeNCES,0)))</f>
        <v>0</v>
      </c>
      <c r="AA530">
        <f>INDEX(CustomWeightsGPA,MATCH(T530&amp;":"&amp;N530,CustomWeightsIndex,0))</f>
        <v>0</v>
      </c>
      <c r="AB530">
        <f>INDEX(CustomWeightsACT,MATCH(T530&amp;":"&amp;N530,CustomWeightsIndex,0))</f>
        <v>0</v>
      </c>
      <c r="AC530">
        <f>INDEX(CustomWeightsIntercept,MATCH(T530&amp;":"&amp;N530,CustomWeightsIndex,0))</f>
        <v>0</v>
      </c>
      <c r="AD530">
        <f>AA530*P530+AB530*Q530+AC530</f>
        <v>0</v>
      </c>
      <c r="AE530">
        <f>INDEX(CoefficientsGPA,MATCH(T530&amp;":"&amp;O530,CoefficientsIndex,0))</f>
        <v>0</v>
      </c>
      <c r="AF530">
        <f>INDEX(CoefficientsACT,MATCH(T530&amp;":"&amp;O530,CoefficientsIndex,0))</f>
        <v>0</v>
      </c>
      <c r="AG530">
        <f>INDEX(CoefficientsIntercept,MATCH(T530&amp;":"&amp;O530,CoefficientsIndex,0))</f>
        <v>0</v>
      </c>
      <c r="AH530">
        <f>AE530*P530+(Q530-Z530)*AF530+AG530</f>
        <v>0</v>
      </c>
      <c r="AI530">
        <f>IF(ISNUMBER(AD530),AD530,AH530)</f>
        <v>0</v>
      </c>
      <c r="AJ530">
        <f>IF(ISNUMBER(AI530),IF(ISNUMBER(AE530),IF(AND(AE530=1,AF530=1,AG530=1),100,ROUND(100*EXP(AI530)/(1+EXP(AI530)),2)),ROUND(100*EXP(AI530)/(1+EXP(AI530)),2)),IF(ISTEXT(O530),IF(LEFT(O530,1)="2",100,"N/A"),"N/A"))</f>
        <v>0</v>
      </c>
      <c r="AK530">
        <f>IF(ISNUMBER(AJ530),IF(AJ530&gt;=99,IF(OR(R530=10,R530=11),MatchLabel,SureThingLabel),IF(AJ530&gt;=95,SecureLabel,IF(AJ530&gt;=80,SafetyLabel,IF(AJ530&gt;=50,MatchLabel,IF(AJ530&gt;=20,ReachLabel,IF(AJ530&gt;=10,LongshotLabel,HailMaryLabel)))))),"Other")</f>
        <v>0</v>
      </c>
      <c r="AL530">
        <f>IF(OR(I530="accepted",I530="cond. accept",I530="summer admit"),IF(J530="yes","CHOICE!","Accepted!"),IF(I530="denied","Denied",IF(K530=1,"Waitlist",IF(L530=1,"Deferred",IF(G530="pending","Pending",IF(OR(G530="initial materials submitted",G530="mid-year submitted",G530="final submitted"),"Submitted",IF(H530="interest","Interest","?")))))))</f>
        <v>0</v>
      </c>
      <c r="AM530">
        <f>IF(OR(AK530=ReachLabel,AK530=LongshotLabel,AK530=HailMaryLabel),1,0)</f>
        <v>0</v>
      </c>
      <c r="AN530">
        <f>IF(OR(AM530=1,AK530=MatchLabel),1,0)</f>
        <v>0</v>
      </c>
      <c r="AO530">
        <f>IF(OR(AK530=MatchLabel,AK530=SafetyLabel,AK530=SecureLabel,AK530=SureThingLabel),1,0)</f>
        <v>0</v>
      </c>
      <c r="AP530">
        <f>IF(OR(T530="H",T530="B"),IF(ISNUMBER(Y530),ROUND(Y530,2),0),IF(ISNUMBER(X530),ROUND(X530,2),0))</f>
        <v>0</v>
      </c>
      <c r="AQ530">
        <f>IF(AP530&gt;=U530,1,0)</f>
        <v>0</v>
      </c>
      <c r="AR530">
        <f>IF(AP530&gt;=V530,1,0)</f>
        <v>0</v>
      </c>
      <c r="AS530">
        <f>IF(AP530&lt;(U530-0.10),1,0)</f>
        <v>0</v>
      </c>
      <c r="AT530">
        <f>1-AJ530/100</f>
        <v>0</v>
      </c>
      <c r="AU530">
        <f>IF(AN530=1,AT530,1)</f>
        <v>0</v>
      </c>
      <c r="AV530">
        <f>IF(AM530=1,AT530,1)</f>
        <v>0</v>
      </c>
      <c r="AW530">
        <f>IF(AND(AQ530=1,ISNUMBER(AT530)),$AT530,1)</f>
        <v>0</v>
      </c>
      <c r="AX530">
        <f>IF(AND(AR530=1,ISNUMBER(AT530)),$AT530,1)</f>
        <v>0</v>
      </c>
      <c r="AY530">
        <f>IF(ISNUMBER(Y530),INDEX(AllCollegeMoney, MATCH(N530,AllCollegeNCES,0)),0)</f>
        <v>0</v>
      </c>
      <c r="AZ530">
        <f>IF(AND(AQ530=1,ISNUMBER(AT530),AY530=1),$AT530,1)</f>
        <v>0</v>
      </c>
      <c r="BA530">
        <f>IF(AND(AR530=1,ISNUMBER(AT530),AY530=1),$AT530,1)</f>
        <v>0</v>
      </c>
      <c r="BB530">
        <f>IF(ISNUMBER(Y530),INDEX(AllCollegeILPub, MATCH(N530,AllCollegeNCES,0)),0)</f>
        <v>0</v>
      </c>
      <c r="BC530">
        <f>IF(AK530=ReachLabel,AP530,0)</f>
        <v>0</v>
      </c>
      <c r="BD530">
        <f>IF(AK530=MatchLabel,AP530,0)</f>
        <v>0</v>
      </c>
      <c r="BE530">
        <f>IF(AK530=SafetyLabel,AP530,0)</f>
        <v>0</v>
      </c>
      <c r="BF530">
        <f>IF(AK530=SecureLabel,AP530,0)</f>
        <v>0</v>
      </c>
      <c r="BG530">
        <f>IF(AK530=SureThingLabel,AP530,0)</f>
        <v>0</v>
      </c>
      <c r="BH530">
        <f>MAX(BC530:BG530)</f>
        <v>0</v>
      </c>
      <c r="BI530">
        <f>MAX(BD530:BG530)</f>
        <v>0</v>
      </c>
      <c r="BJ530">
        <f>MAX(BE530:BG530)</f>
        <v>0</v>
      </c>
      <c r="BK530">
        <f>IF(AND(AK530=ReachLabel,AY530=1),AP530,0)</f>
        <v>0</v>
      </c>
      <c r="BL530">
        <f>IF(AND(AK530=MatchLabel,AY530=1),AP530,0)</f>
        <v>0</v>
      </c>
      <c r="BM530">
        <f>IF(AND(AK530=SafetyLabel,AY530=1),AP530,0)</f>
        <v>0</v>
      </c>
      <c r="BN530">
        <f>IF(AND(AK530=SecureLabel,AY530=1),AP530,0)</f>
        <v>0</v>
      </c>
      <c r="BO530">
        <f>IF(AND(AK530=SureThingLabel,AY530=1),AP530,0)</f>
        <v>0</v>
      </c>
      <c r="BP530">
        <f>MAX(BK530:BO530)</f>
        <v>0</v>
      </c>
      <c r="BQ530">
        <f>MAX(BL530:BO530)</f>
        <v>0</v>
      </c>
      <c r="BR530">
        <f>MAX(BM530:BO530)</f>
        <v>0</v>
      </c>
      <c r="BS530">
        <f>IF(ISNUMBER(Y530),INDEX(AllCollegeChicago, MATCH(N530,AllCollegeNCES,0))*AY530,0)</f>
        <v>0</v>
      </c>
      <c r="BT530">
        <f>IF(ISNUMBER(Y530),INDEX(AllCollegeMoneyCode, MATCH(N530,AllCollegeNCES,0)),"?")</f>
        <v>0</v>
      </c>
      <c r="BU530">
        <f>IF(OR(BT530="---",BT530="--",BT530="+/--",BT530="+/---"),1,0)</f>
        <v>0</v>
      </c>
      <c r="BV530">
        <f>AY530*AO530*AQ530</f>
        <v>0</v>
      </c>
    </row>
    <row r="531" spans="1:74">
      <c r="A531" t="s">
        <v>86</v>
      </c>
      <c r="B531">
        <v>23477628</v>
      </c>
      <c r="C531" t="s">
        <v>302</v>
      </c>
      <c r="D531" t="s">
        <v>303</v>
      </c>
      <c r="E531" t="s">
        <v>428</v>
      </c>
      <c r="F531" t="s">
        <v>562</v>
      </c>
      <c r="G531" t="s">
        <v>430</v>
      </c>
      <c r="H531" t="s">
        <v>431</v>
      </c>
      <c r="I531" t="s">
        <v>432</v>
      </c>
      <c r="J531" t="s">
        <v>432</v>
      </c>
      <c r="K531">
        <v>0</v>
      </c>
      <c r="L531" t="s">
        <v>428</v>
      </c>
      <c r="M531" t="s">
        <v>428</v>
      </c>
      <c r="N531">
        <v>142887</v>
      </c>
      <c r="O531">
        <f>INDEX(AllCollegeBarrons,MATCH(N531,AllCollegeNCES,0))</f>
        <v>0</v>
      </c>
      <c r="P531">
        <f>INDEX(KidGPAs,MATCH(B531,KidIDs,0))</f>
        <v>0</v>
      </c>
      <c r="Q531">
        <f>INDEX(KidACTs,MATCH(B531,KidIDs,0))</f>
        <v>0</v>
      </c>
      <c r="R531">
        <f>INDEX(Strats,MATCH(B531,KidIDs,0))</f>
        <v>0</v>
      </c>
      <c r="S531">
        <f>INDEX(KidRace,MATCH(B531,KidIDs,0))</f>
        <v>0</v>
      </c>
      <c r="T531">
        <f>IF(OR(S531="M",S531="I"),"H",S531)</f>
        <v>0</v>
      </c>
      <c r="U531">
        <f>INDEX(StudentTargets,MATCH(B531,KidIDs,0))</f>
        <v>0</v>
      </c>
      <c r="V531">
        <f>INDEX(ReachStudentTargets,MATCH(B531,KidIDs,0))</f>
        <v>0</v>
      </c>
      <c r="W531">
        <f>IF(OR(M531="Posse"),1,0)</f>
        <v>0</v>
      </c>
      <c r="X531">
        <f>IF(ISNUMBER(INDEX(AllCollegeGR, MATCH(N531,AllCollegeNCES,0))),ROUND(INDEX(AllCollegeGR, MATCH(N531,AllCollegeNCES,0))+W531*IF(INDEX(AllCollegeGR, MATCH(N531,AllCollegeNCES,0))&gt;0.7,(1-INDEX(AllCollegeGR, MATCH(N531,AllCollegeNCES,0)))/2,0.15),2),INDEX(AllCollegeGR, MATCH(N531,AllCollegeNCES,0)))</f>
        <v>0</v>
      </c>
      <c r="Y531">
        <f>IF(ISNUMBER(INDEX(AllCollegeAAHGR, MATCH(N531,AllCollegeNCES,0))),ROUND(INDEX(AllCollegeAAHGR, MATCH(N531,AllCollegeNCES,0))+W531*IF(INDEX(AllCollegeAAHGR, MATCH(N531,AllCollegeNCES,0))&gt;0.7,(1-INDEX(AllCollegeAAHGR, MATCH(N531,AllCollegeNCES,0)))/2,0.15),2),INDEX(AllCollegeAAHGR, MATCH(N531,AllCollegeNCES,0)))</f>
        <v>0</v>
      </c>
      <c r="Z531">
        <f>IF(OR(T531="H",T531="B"),INDEX(AllCollegeACT25, MATCH(N531,AllCollegeNCES,0)),INDEX(AllCollegeACT50, MATCH(N531,AllCollegeNCES,0)))</f>
        <v>0</v>
      </c>
      <c r="AA531">
        <f>INDEX(CustomWeightsGPA,MATCH(T531&amp;":"&amp;N531,CustomWeightsIndex,0))</f>
        <v>0</v>
      </c>
      <c r="AB531">
        <f>INDEX(CustomWeightsACT,MATCH(T531&amp;":"&amp;N531,CustomWeightsIndex,0))</f>
        <v>0</v>
      </c>
      <c r="AC531">
        <f>INDEX(CustomWeightsIntercept,MATCH(T531&amp;":"&amp;N531,CustomWeightsIndex,0))</f>
        <v>0</v>
      </c>
      <c r="AD531">
        <f>AA531*P531+AB531*Q531+AC531</f>
        <v>0</v>
      </c>
      <c r="AE531">
        <f>INDEX(CoefficientsGPA,MATCH(T531&amp;":"&amp;O531,CoefficientsIndex,0))</f>
        <v>0</v>
      </c>
      <c r="AF531">
        <f>INDEX(CoefficientsACT,MATCH(T531&amp;":"&amp;O531,CoefficientsIndex,0))</f>
        <v>0</v>
      </c>
      <c r="AG531">
        <f>INDEX(CoefficientsIntercept,MATCH(T531&amp;":"&amp;O531,CoefficientsIndex,0))</f>
        <v>0</v>
      </c>
      <c r="AH531">
        <f>AE531*P531+(Q531-Z531)*AF531+AG531</f>
        <v>0</v>
      </c>
      <c r="AI531">
        <f>IF(ISNUMBER(AD531),AD531,AH531)</f>
        <v>0</v>
      </c>
      <c r="AJ531">
        <f>IF(ISNUMBER(AI531),IF(ISNUMBER(AE531),IF(AND(AE531=1,AF531=1,AG531=1),100,ROUND(100*EXP(AI531)/(1+EXP(AI531)),2)),ROUND(100*EXP(AI531)/(1+EXP(AI531)),2)),IF(ISTEXT(O531),IF(LEFT(O531,1)="2",100,"N/A"),"N/A"))</f>
        <v>0</v>
      </c>
      <c r="AK531">
        <f>IF(ISNUMBER(AJ531),IF(AJ531&gt;=99,IF(OR(R531=10,R531=11),MatchLabel,SureThingLabel),IF(AJ531&gt;=95,SecureLabel,IF(AJ531&gt;=80,SafetyLabel,IF(AJ531&gt;=50,MatchLabel,IF(AJ531&gt;=20,ReachLabel,IF(AJ531&gt;=10,LongshotLabel,HailMaryLabel)))))),"Other")</f>
        <v>0</v>
      </c>
      <c r="AL531">
        <f>IF(OR(I531="accepted",I531="cond. accept",I531="summer admit"),IF(J531="yes","CHOICE!","Accepted!"),IF(I531="denied","Denied",IF(K531=1,"Waitlist",IF(L531=1,"Deferred",IF(G531="pending","Pending",IF(OR(G531="initial materials submitted",G531="mid-year submitted",G531="final submitted"),"Submitted",IF(H531="interest","Interest","?")))))))</f>
        <v>0</v>
      </c>
      <c r="AM531">
        <f>IF(OR(AK531=ReachLabel,AK531=LongshotLabel,AK531=HailMaryLabel),1,0)</f>
        <v>0</v>
      </c>
      <c r="AN531">
        <f>IF(OR(AM531=1,AK531=MatchLabel),1,0)</f>
        <v>0</v>
      </c>
      <c r="AO531">
        <f>IF(OR(AK531=MatchLabel,AK531=SafetyLabel,AK531=SecureLabel,AK531=SureThingLabel),1,0)</f>
        <v>0</v>
      </c>
      <c r="AP531">
        <f>IF(OR(T531="H",T531="B"),IF(ISNUMBER(Y531),ROUND(Y531,2),0),IF(ISNUMBER(X531),ROUND(X531,2),0))</f>
        <v>0</v>
      </c>
      <c r="AQ531">
        <f>IF(AP531&gt;=U531,1,0)</f>
        <v>0</v>
      </c>
      <c r="AR531">
        <f>IF(AP531&gt;=V531,1,0)</f>
        <v>0</v>
      </c>
      <c r="AS531">
        <f>IF(AP531&lt;(U531-0.10),1,0)</f>
        <v>0</v>
      </c>
      <c r="AT531">
        <f>1-AJ531/100</f>
        <v>0</v>
      </c>
      <c r="AU531">
        <f>IF(AN531=1,AT531,1)</f>
        <v>0</v>
      </c>
      <c r="AV531">
        <f>IF(AM531=1,AT531,1)</f>
        <v>0</v>
      </c>
      <c r="AW531">
        <f>IF(AND(AQ531=1,ISNUMBER(AT531)),$AT531,1)</f>
        <v>0</v>
      </c>
      <c r="AX531">
        <f>IF(AND(AR531=1,ISNUMBER(AT531)),$AT531,1)</f>
        <v>0</v>
      </c>
      <c r="AY531">
        <f>IF(ISNUMBER(Y531),INDEX(AllCollegeMoney, MATCH(N531,AllCollegeNCES,0)),0)</f>
        <v>0</v>
      </c>
      <c r="AZ531">
        <f>IF(AND(AQ531=1,ISNUMBER(AT531),AY531=1),$AT531,1)</f>
        <v>0</v>
      </c>
      <c r="BA531">
        <f>IF(AND(AR531=1,ISNUMBER(AT531),AY531=1),$AT531,1)</f>
        <v>0</v>
      </c>
      <c r="BB531">
        <f>IF(ISNUMBER(Y531),INDEX(AllCollegeILPub, MATCH(N531,AllCollegeNCES,0)),0)</f>
        <v>0</v>
      </c>
      <c r="BC531">
        <f>IF(AK531=ReachLabel,AP531,0)</f>
        <v>0</v>
      </c>
      <c r="BD531">
        <f>IF(AK531=MatchLabel,AP531,0)</f>
        <v>0</v>
      </c>
      <c r="BE531">
        <f>IF(AK531=SafetyLabel,AP531,0)</f>
        <v>0</v>
      </c>
      <c r="BF531">
        <f>IF(AK531=SecureLabel,AP531,0)</f>
        <v>0</v>
      </c>
      <c r="BG531">
        <f>IF(AK531=SureThingLabel,AP531,0)</f>
        <v>0</v>
      </c>
      <c r="BH531">
        <f>MAX(BC531:BG531)</f>
        <v>0</v>
      </c>
      <c r="BI531">
        <f>MAX(BD531:BG531)</f>
        <v>0</v>
      </c>
      <c r="BJ531">
        <f>MAX(BE531:BG531)</f>
        <v>0</v>
      </c>
      <c r="BK531">
        <f>IF(AND(AK531=ReachLabel,AY531=1),AP531,0)</f>
        <v>0</v>
      </c>
      <c r="BL531">
        <f>IF(AND(AK531=MatchLabel,AY531=1),AP531,0)</f>
        <v>0</v>
      </c>
      <c r="BM531">
        <f>IF(AND(AK531=SafetyLabel,AY531=1),AP531,0)</f>
        <v>0</v>
      </c>
      <c r="BN531">
        <f>IF(AND(AK531=SecureLabel,AY531=1),AP531,0)</f>
        <v>0</v>
      </c>
      <c r="BO531">
        <f>IF(AND(AK531=SureThingLabel,AY531=1),AP531,0)</f>
        <v>0</v>
      </c>
      <c r="BP531">
        <f>MAX(BK531:BO531)</f>
        <v>0</v>
      </c>
      <c r="BQ531">
        <f>MAX(BL531:BO531)</f>
        <v>0</v>
      </c>
      <c r="BR531">
        <f>MAX(BM531:BO531)</f>
        <v>0</v>
      </c>
      <c r="BS531">
        <f>IF(ISNUMBER(Y531),INDEX(AllCollegeChicago, MATCH(N531,AllCollegeNCES,0))*AY531,0)</f>
        <v>0</v>
      </c>
      <c r="BT531">
        <f>IF(ISNUMBER(Y531),INDEX(AllCollegeMoneyCode, MATCH(N531,AllCollegeNCES,0)),"?")</f>
        <v>0</v>
      </c>
      <c r="BU531">
        <f>IF(OR(BT531="---",BT531="--",BT531="+/--",BT531="+/---"),1,0)</f>
        <v>0</v>
      </c>
      <c r="BV531">
        <f>AY531*AO531*AQ531</f>
        <v>0</v>
      </c>
    </row>
    <row r="532" spans="1:74">
      <c r="A532" t="s">
        <v>86</v>
      </c>
      <c r="B532">
        <v>23477628</v>
      </c>
      <c r="C532" t="s">
        <v>302</v>
      </c>
      <c r="D532" t="s">
        <v>303</v>
      </c>
      <c r="E532" t="s">
        <v>428</v>
      </c>
      <c r="F532" t="s">
        <v>545</v>
      </c>
      <c r="G532" t="s">
        <v>430</v>
      </c>
      <c r="H532" t="s">
        <v>431</v>
      </c>
      <c r="I532" t="s">
        <v>432</v>
      </c>
      <c r="J532" t="s">
        <v>432</v>
      </c>
      <c r="K532">
        <v>0</v>
      </c>
      <c r="L532" t="s">
        <v>428</v>
      </c>
      <c r="M532" t="s">
        <v>428</v>
      </c>
      <c r="N532">
        <v>144281</v>
      </c>
      <c r="O532">
        <f>INDEX(AllCollegeBarrons,MATCH(N532,AllCollegeNCES,0))</f>
        <v>0</v>
      </c>
      <c r="P532">
        <f>INDEX(KidGPAs,MATCH(B532,KidIDs,0))</f>
        <v>0</v>
      </c>
      <c r="Q532">
        <f>INDEX(KidACTs,MATCH(B532,KidIDs,0))</f>
        <v>0</v>
      </c>
      <c r="R532">
        <f>INDEX(Strats,MATCH(B532,KidIDs,0))</f>
        <v>0</v>
      </c>
      <c r="S532">
        <f>INDEX(KidRace,MATCH(B532,KidIDs,0))</f>
        <v>0</v>
      </c>
      <c r="T532">
        <f>IF(OR(S532="M",S532="I"),"H",S532)</f>
        <v>0</v>
      </c>
      <c r="U532">
        <f>INDEX(StudentTargets,MATCH(B532,KidIDs,0))</f>
        <v>0</v>
      </c>
      <c r="V532">
        <f>INDEX(ReachStudentTargets,MATCH(B532,KidIDs,0))</f>
        <v>0</v>
      </c>
      <c r="W532">
        <f>IF(OR(M532="Posse"),1,0)</f>
        <v>0</v>
      </c>
      <c r="X532">
        <f>IF(ISNUMBER(INDEX(AllCollegeGR, MATCH(N532,AllCollegeNCES,0))),ROUND(INDEX(AllCollegeGR, MATCH(N532,AllCollegeNCES,0))+W532*IF(INDEX(AllCollegeGR, MATCH(N532,AllCollegeNCES,0))&gt;0.7,(1-INDEX(AllCollegeGR, MATCH(N532,AllCollegeNCES,0)))/2,0.15),2),INDEX(AllCollegeGR, MATCH(N532,AllCollegeNCES,0)))</f>
        <v>0</v>
      </c>
      <c r="Y532">
        <f>IF(ISNUMBER(INDEX(AllCollegeAAHGR, MATCH(N532,AllCollegeNCES,0))),ROUND(INDEX(AllCollegeAAHGR, MATCH(N532,AllCollegeNCES,0))+W532*IF(INDEX(AllCollegeAAHGR, MATCH(N532,AllCollegeNCES,0))&gt;0.7,(1-INDEX(AllCollegeAAHGR, MATCH(N532,AllCollegeNCES,0)))/2,0.15),2),INDEX(AllCollegeAAHGR, MATCH(N532,AllCollegeNCES,0)))</f>
        <v>0</v>
      </c>
      <c r="Z532">
        <f>IF(OR(T532="H",T532="B"),INDEX(AllCollegeACT25, MATCH(N532,AllCollegeNCES,0)),INDEX(AllCollegeACT50, MATCH(N532,AllCollegeNCES,0)))</f>
        <v>0</v>
      </c>
      <c r="AA532">
        <f>INDEX(CustomWeightsGPA,MATCH(T532&amp;":"&amp;N532,CustomWeightsIndex,0))</f>
        <v>0</v>
      </c>
      <c r="AB532">
        <f>INDEX(CustomWeightsACT,MATCH(T532&amp;":"&amp;N532,CustomWeightsIndex,0))</f>
        <v>0</v>
      </c>
      <c r="AC532">
        <f>INDEX(CustomWeightsIntercept,MATCH(T532&amp;":"&amp;N532,CustomWeightsIndex,0))</f>
        <v>0</v>
      </c>
      <c r="AD532">
        <f>AA532*P532+AB532*Q532+AC532</f>
        <v>0</v>
      </c>
      <c r="AE532">
        <f>INDEX(CoefficientsGPA,MATCH(T532&amp;":"&amp;O532,CoefficientsIndex,0))</f>
        <v>0</v>
      </c>
      <c r="AF532">
        <f>INDEX(CoefficientsACT,MATCH(T532&amp;":"&amp;O532,CoefficientsIndex,0))</f>
        <v>0</v>
      </c>
      <c r="AG532">
        <f>INDEX(CoefficientsIntercept,MATCH(T532&amp;":"&amp;O532,CoefficientsIndex,0))</f>
        <v>0</v>
      </c>
      <c r="AH532">
        <f>AE532*P532+(Q532-Z532)*AF532+AG532</f>
        <v>0</v>
      </c>
      <c r="AI532">
        <f>IF(ISNUMBER(AD532),AD532,AH532)</f>
        <v>0</v>
      </c>
      <c r="AJ532">
        <f>IF(ISNUMBER(AI532),IF(ISNUMBER(AE532),IF(AND(AE532=1,AF532=1,AG532=1),100,ROUND(100*EXP(AI532)/(1+EXP(AI532)),2)),ROUND(100*EXP(AI532)/(1+EXP(AI532)),2)),IF(ISTEXT(O532),IF(LEFT(O532,1)="2",100,"N/A"),"N/A"))</f>
        <v>0</v>
      </c>
      <c r="AK532">
        <f>IF(ISNUMBER(AJ532),IF(AJ532&gt;=99,IF(OR(R532=10,R532=11),MatchLabel,SureThingLabel),IF(AJ532&gt;=95,SecureLabel,IF(AJ532&gt;=80,SafetyLabel,IF(AJ532&gt;=50,MatchLabel,IF(AJ532&gt;=20,ReachLabel,IF(AJ532&gt;=10,LongshotLabel,HailMaryLabel)))))),"Other")</f>
        <v>0</v>
      </c>
      <c r="AL532">
        <f>IF(OR(I532="accepted",I532="cond. accept",I532="summer admit"),IF(J532="yes","CHOICE!","Accepted!"),IF(I532="denied","Denied",IF(K532=1,"Waitlist",IF(L532=1,"Deferred",IF(G532="pending","Pending",IF(OR(G532="initial materials submitted",G532="mid-year submitted",G532="final submitted"),"Submitted",IF(H532="interest","Interest","?")))))))</f>
        <v>0</v>
      </c>
      <c r="AM532">
        <f>IF(OR(AK532=ReachLabel,AK532=LongshotLabel,AK532=HailMaryLabel),1,0)</f>
        <v>0</v>
      </c>
      <c r="AN532">
        <f>IF(OR(AM532=1,AK532=MatchLabel),1,0)</f>
        <v>0</v>
      </c>
      <c r="AO532">
        <f>IF(OR(AK532=MatchLabel,AK532=SafetyLabel,AK532=SecureLabel,AK532=SureThingLabel),1,0)</f>
        <v>0</v>
      </c>
      <c r="AP532">
        <f>IF(OR(T532="H",T532="B"),IF(ISNUMBER(Y532),ROUND(Y532,2),0),IF(ISNUMBER(X532),ROUND(X532,2),0))</f>
        <v>0</v>
      </c>
      <c r="AQ532">
        <f>IF(AP532&gt;=U532,1,0)</f>
        <v>0</v>
      </c>
      <c r="AR532">
        <f>IF(AP532&gt;=V532,1,0)</f>
        <v>0</v>
      </c>
      <c r="AS532">
        <f>IF(AP532&lt;(U532-0.10),1,0)</f>
        <v>0</v>
      </c>
      <c r="AT532">
        <f>1-AJ532/100</f>
        <v>0</v>
      </c>
      <c r="AU532">
        <f>IF(AN532=1,AT532,1)</f>
        <v>0</v>
      </c>
      <c r="AV532">
        <f>IF(AM532=1,AT532,1)</f>
        <v>0</v>
      </c>
      <c r="AW532">
        <f>IF(AND(AQ532=1,ISNUMBER(AT532)),$AT532,1)</f>
        <v>0</v>
      </c>
      <c r="AX532">
        <f>IF(AND(AR532=1,ISNUMBER(AT532)),$AT532,1)</f>
        <v>0</v>
      </c>
      <c r="AY532">
        <f>IF(ISNUMBER(Y532),INDEX(AllCollegeMoney, MATCH(N532,AllCollegeNCES,0)),0)</f>
        <v>0</v>
      </c>
      <c r="AZ532">
        <f>IF(AND(AQ532=1,ISNUMBER(AT532),AY532=1),$AT532,1)</f>
        <v>0</v>
      </c>
      <c r="BA532">
        <f>IF(AND(AR532=1,ISNUMBER(AT532),AY532=1),$AT532,1)</f>
        <v>0</v>
      </c>
      <c r="BB532">
        <f>IF(ISNUMBER(Y532),INDEX(AllCollegeILPub, MATCH(N532,AllCollegeNCES,0)),0)</f>
        <v>0</v>
      </c>
      <c r="BC532">
        <f>IF(AK532=ReachLabel,AP532,0)</f>
        <v>0</v>
      </c>
      <c r="BD532">
        <f>IF(AK532=MatchLabel,AP532,0)</f>
        <v>0</v>
      </c>
      <c r="BE532">
        <f>IF(AK532=SafetyLabel,AP532,0)</f>
        <v>0</v>
      </c>
      <c r="BF532">
        <f>IF(AK532=SecureLabel,AP532,0)</f>
        <v>0</v>
      </c>
      <c r="BG532">
        <f>IF(AK532=SureThingLabel,AP532,0)</f>
        <v>0</v>
      </c>
      <c r="BH532">
        <f>MAX(BC532:BG532)</f>
        <v>0</v>
      </c>
      <c r="BI532">
        <f>MAX(BD532:BG532)</f>
        <v>0</v>
      </c>
      <c r="BJ532">
        <f>MAX(BE532:BG532)</f>
        <v>0</v>
      </c>
      <c r="BK532">
        <f>IF(AND(AK532=ReachLabel,AY532=1),AP532,0)</f>
        <v>0</v>
      </c>
      <c r="BL532">
        <f>IF(AND(AK532=MatchLabel,AY532=1),AP532,0)</f>
        <v>0</v>
      </c>
      <c r="BM532">
        <f>IF(AND(AK532=SafetyLabel,AY532=1),AP532,0)</f>
        <v>0</v>
      </c>
      <c r="BN532">
        <f>IF(AND(AK532=SecureLabel,AY532=1),AP532,0)</f>
        <v>0</v>
      </c>
      <c r="BO532">
        <f>IF(AND(AK532=SureThingLabel,AY532=1),AP532,0)</f>
        <v>0</v>
      </c>
      <c r="BP532">
        <f>MAX(BK532:BO532)</f>
        <v>0</v>
      </c>
      <c r="BQ532">
        <f>MAX(BL532:BO532)</f>
        <v>0</v>
      </c>
      <c r="BR532">
        <f>MAX(BM532:BO532)</f>
        <v>0</v>
      </c>
      <c r="BS532">
        <f>IF(ISNUMBER(Y532),INDEX(AllCollegeChicago, MATCH(N532,AllCollegeNCES,0))*AY532,0)</f>
        <v>0</v>
      </c>
      <c r="BT532">
        <f>IF(ISNUMBER(Y532),INDEX(AllCollegeMoneyCode, MATCH(N532,AllCollegeNCES,0)),"?")</f>
        <v>0</v>
      </c>
      <c r="BU532">
        <f>IF(OR(BT532="---",BT532="--",BT532="+/--",BT532="+/---"),1,0)</f>
        <v>0</v>
      </c>
      <c r="BV532">
        <f>AY532*AO532*AQ532</f>
        <v>0</v>
      </c>
    </row>
    <row r="533" spans="1:74">
      <c r="A533" t="s">
        <v>86</v>
      </c>
      <c r="B533">
        <v>23477954</v>
      </c>
      <c r="C533" t="s">
        <v>236</v>
      </c>
      <c r="D533" t="s">
        <v>237</v>
      </c>
      <c r="E533" t="s">
        <v>428</v>
      </c>
      <c r="F533" t="s">
        <v>512</v>
      </c>
      <c r="G533" t="s">
        <v>430</v>
      </c>
      <c r="H533" t="s">
        <v>431</v>
      </c>
      <c r="I533" t="s">
        <v>432</v>
      </c>
      <c r="J533" t="s">
        <v>432</v>
      </c>
      <c r="K533">
        <v>0</v>
      </c>
      <c r="L533" t="s">
        <v>428</v>
      </c>
      <c r="M533" t="s">
        <v>428</v>
      </c>
      <c r="N533">
        <v>145691</v>
      </c>
      <c r="O533">
        <f>INDEX(AllCollegeBarrons,MATCH(N533,AllCollegeNCES,0))</f>
        <v>0</v>
      </c>
      <c r="P533">
        <f>INDEX(KidGPAs,MATCH(B533,KidIDs,0))</f>
        <v>0</v>
      </c>
      <c r="Q533">
        <f>INDEX(KidACTs,MATCH(B533,KidIDs,0))</f>
        <v>0</v>
      </c>
      <c r="R533">
        <f>INDEX(Strats,MATCH(B533,KidIDs,0))</f>
        <v>0</v>
      </c>
      <c r="S533">
        <f>INDEX(KidRace,MATCH(B533,KidIDs,0))</f>
        <v>0</v>
      </c>
      <c r="T533">
        <f>IF(OR(S533="M",S533="I"),"H",S533)</f>
        <v>0</v>
      </c>
      <c r="U533">
        <f>INDEX(StudentTargets,MATCH(B533,KidIDs,0))</f>
        <v>0</v>
      </c>
      <c r="V533">
        <f>INDEX(ReachStudentTargets,MATCH(B533,KidIDs,0))</f>
        <v>0</v>
      </c>
      <c r="W533">
        <f>IF(OR(M533="Posse"),1,0)</f>
        <v>0</v>
      </c>
      <c r="X533">
        <f>IF(ISNUMBER(INDEX(AllCollegeGR, MATCH(N533,AllCollegeNCES,0))),ROUND(INDEX(AllCollegeGR, MATCH(N533,AllCollegeNCES,0))+W533*IF(INDEX(AllCollegeGR, MATCH(N533,AllCollegeNCES,0))&gt;0.7,(1-INDEX(AllCollegeGR, MATCH(N533,AllCollegeNCES,0)))/2,0.15),2),INDEX(AllCollegeGR, MATCH(N533,AllCollegeNCES,0)))</f>
        <v>0</v>
      </c>
      <c r="Y533">
        <f>IF(ISNUMBER(INDEX(AllCollegeAAHGR, MATCH(N533,AllCollegeNCES,0))),ROUND(INDEX(AllCollegeAAHGR, MATCH(N533,AllCollegeNCES,0))+W533*IF(INDEX(AllCollegeAAHGR, MATCH(N533,AllCollegeNCES,0))&gt;0.7,(1-INDEX(AllCollegeAAHGR, MATCH(N533,AllCollegeNCES,0)))/2,0.15),2),INDEX(AllCollegeAAHGR, MATCH(N533,AllCollegeNCES,0)))</f>
        <v>0</v>
      </c>
      <c r="Z533">
        <f>IF(OR(T533="H",T533="B"),INDEX(AllCollegeACT25, MATCH(N533,AllCollegeNCES,0)),INDEX(AllCollegeACT50, MATCH(N533,AllCollegeNCES,0)))</f>
        <v>0</v>
      </c>
      <c r="AA533">
        <f>INDEX(CustomWeightsGPA,MATCH(T533&amp;":"&amp;N533,CustomWeightsIndex,0))</f>
        <v>0</v>
      </c>
      <c r="AB533">
        <f>INDEX(CustomWeightsACT,MATCH(T533&amp;":"&amp;N533,CustomWeightsIndex,0))</f>
        <v>0</v>
      </c>
      <c r="AC533">
        <f>INDEX(CustomWeightsIntercept,MATCH(T533&amp;":"&amp;N533,CustomWeightsIndex,0))</f>
        <v>0</v>
      </c>
      <c r="AD533">
        <f>AA533*P533+AB533*Q533+AC533</f>
        <v>0</v>
      </c>
      <c r="AE533">
        <f>INDEX(CoefficientsGPA,MATCH(T533&amp;":"&amp;O533,CoefficientsIndex,0))</f>
        <v>0</v>
      </c>
      <c r="AF533">
        <f>INDEX(CoefficientsACT,MATCH(T533&amp;":"&amp;O533,CoefficientsIndex,0))</f>
        <v>0</v>
      </c>
      <c r="AG533">
        <f>INDEX(CoefficientsIntercept,MATCH(T533&amp;":"&amp;O533,CoefficientsIndex,0))</f>
        <v>0</v>
      </c>
      <c r="AH533">
        <f>AE533*P533+(Q533-Z533)*AF533+AG533</f>
        <v>0</v>
      </c>
      <c r="AI533">
        <f>IF(ISNUMBER(AD533),AD533,AH533)</f>
        <v>0</v>
      </c>
      <c r="AJ533">
        <f>IF(ISNUMBER(AI533),IF(ISNUMBER(AE533),IF(AND(AE533=1,AF533=1,AG533=1),100,ROUND(100*EXP(AI533)/(1+EXP(AI533)),2)),ROUND(100*EXP(AI533)/(1+EXP(AI533)),2)),IF(ISTEXT(O533),IF(LEFT(O533,1)="2",100,"N/A"),"N/A"))</f>
        <v>0</v>
      </c>
      <c r="AK533">
        <f>IF(ISNUMBER(AJ533),IF(AJ533&gt;=99,IF(OR(R533=10,R533=11),MatchLabel,SureThingLabel),IF(AJ533&gt;=95,SecureLabel,IF(AJ533&gt;=80,SafetyLabel,IF(AJ533&gt;=50,MatchLabel,IF(AJ533&gt;=20,ReachLabel,IF(AJ533&gt;=10,LongshotLabel,HailMaryLabel)))))),"Other")</f>
        <v>0</v>
      </c>
      <c r="AL533">
        <f>IF(OR(I533="accepted",I533="cond. accept",I533="summer admit"),IF(J533="yes","CHOICE!","Accepted!"),IF(I533="denied","Denied",IF(K533=1,"Waitlist",IF(L533=1,"Deferred",IF(G533="pending","Pending",IF(OR(G533="initial materials submitted",G533="mid-year submitted",G533="final submitted"),"Submitted",IF(H533="interest","Interest","?")))))))</f>
        <v>0</v>
      </c>
      <c r="AM533">
        <f>IF(OR(AK533=ReachLabel,AK533=LongshotLabel,AK533=HailMaryLabel),1,0)</f>
        <v>0</v>
      </c>
      <c r="AN533">
        <f>IF(OR(AM533=1,AK533=MatchLabel),1,0)</f>
        <v>0</v>
      </c>
      <c r="AO533">
        <f>IF(OR(AK533=MatchLabel,AK533=SafetyLabel,AK533=SecureLabel,AK533=SureThingLabel),1,0)</f>
        <v>0</v>
      </c>
      <c r="AP533">
        <f>IF(OR(T533="H",T533="B"),IF(ISNUMBER(Y533),ROUND(Y533,2),0),IF(ISNUMBER(X533),ROUND(X533,2),0))</f>
        <v>0</v>
      </c>
      <c r="AQ533">
        <f>IF(AP533&gt;=U533,1,0)</f>
        <v>0</v>
      </c>
      <c r="AR533">
        <f>IF(AP533&gt;=V533,1,0)</f>
        <v>0</v>
      </c>
      <c r="AS533">
        <f>IF(AP533&lt;(U533-0.10),1,0)</f>
        <v>0</v>
      </c>
      <c r="AT533">
        <f>1-AJ533/100</f>
        <v>0</v>
      </c>
      <c r="AU533">
        <f>IF(AN533=1,AT533,1)</f>
        <v>0</v>
      </c>
      <c r="AV533">
        <f>IF(AM533=1,AT533,1)</f>
        <v>0</v>
      </c>
      <c r="AW533">
        <f>IF(AND(AQ533=1,ISNUMBER(AT533)),$AT533,1)</f>
        <v>0</v>
      </c>
      <c r="AX533">
        <f>IF(AND(AR533=1,ISNUMBER(AT533)),$AT533,1)</f>
        <v>0</v>
      </c>
      <c r="AY533">
        <f>IF(ISNUMBER(Y533),INDEX(AllCollegeMoney, MATCH(N533,AllCollegeNCES,0)),0)</f>
        <v>0</v>
      </c>
      <c r="AZ533">
        <f>IF(AND(AQ533=1,ISNUMBER(AT533),AY533=1),$AT533,1)</f>
        <v>0</v>
      </c>
      <c r="BA533">
        <f>IF(AND(AR533=1,ISNUMBER(AT533),AY533=1),$AT533,1)</f>
        <v>0</v>
      </c>
      <c r="BB533">
        <f>IF(ISNUMBER(Y533),INDEX(AllCollegeILPub, MATCH(N533,AllCollegeNCES,0)),0)</f>
        <v>0</v>
      </c>
      <c r="BC533">
        <f>IF(AK533=ReachLabel,AP533,0)</f>
        <v>0</v>
      </c>
      <c r="BD533">
        <f>IF(AK533=MatchLabel,AP533,0)</f>
        <v>0</v>
      </c>
      <c r="BE533">
        <f>IF(AK533=SafetyLabel,AP533,0)</f>
        <v>0</v>
      </c>
      <c r="BF533">
        <f>IF(AK533=SecureLabel,AP533,0)</f>
        <v>0</v>
      </c>
      <c r="BG533">
        <f>IF(AK533=SureThingLabel,AP533,0)</f>
        <v>0</v>
      </c>
      <c r="BH533">
        <f>MAX(BC533:BG533)</f>
        <v>0</v>
      </c>
      <c r="BI533">
        <f>MAX(BD533:BG533)</f>
        <v>0</v>
      </c>
      <c r="BJ533">
        <f>MAX(BE533:BG533)</f>
        <v>0</v>
      </c>
      <c r="BK533">
        <f>IF(AND(AK533=ReachLabel,AY533=1),AP533,0)</f>
        <v>0</v>
      </c>
      <c r="BL533">
        <f>IF(AND(AK533=MatchLabel,AY533=1),AP533,0)</f>
        <v>0</v>
      </c>
      <c r="BM533">
        <f>IF(AND(AK533=SafetyLabel,AY533=1),AP533,0)</f>
        <v>0</v>
      </c>
      <c r="BN533">
        <f>IF(AND(AK533=SecureLabel,AY533=1),AP533,0)</f>
        <v>0</v>
      </c>
      <c r="BO533">
        <f>IF(AND(AK533=SureThingLabel,AY533=1),AP533,0)</f>
        <v>0</v>
      </c>
      <c r="BP533">
        <f>MAX(BK533:BO533)</f>
        <v>0</v>
      </c>
      <c r="BQ533">
        <f>MAX(BL533:BO533)</f>
        <v>0</v>
      </c>
      <c r="BR533">
        <f>MAX(BM533:BO533)</f>
        <v>0</v>
      </c>
      <c r="BS533">
        <f>IF(ISNUMBER(Y533),INDEX(AllCollegeChicago, MATCH(N533,AllCollegeNCES,0))*AY533,0)</f>
        <v>0</v>
      </c>
      <c r="BT533">
        <f>IF(ISNUMBER(Y533),INDEX(AllCollegeMoneyCode, MATCH(N533,AllCollegeNCES,0)),"?")</f>
        <v>0</v>
      </c>
      <c r="BU533">
        <f>IF(OR(BT533="---",BT533="--",BT533="+/--",BT533="+/---"),1,0)</f>
        <v>0</v>
      </c>
      <c r="BV533">
        <f>AY533*AO533*AQ533</f>
        <v>0</v>
      </c>
    </row>
    <row r="534" spans="1:74">
      <c r="A534" t="s">
        <v>86</v>
      </c>
      <c r="B534">
        <v>23477954</v>
      </c>
      <c r="C534" t="s">
        <v>236</v>
      </c>
      <c r="D534" t="s">
        <v>237</v>
      </c>
      <c r="E534" t="s">
        <v>428</v>
      </c>
      <c r="F534" t="s">
        <v>433</v>
      </c>
      <c r="G534" t="s">
        <v>430</v>
      </c>
      <c r="H534" t="s">
        <v>431</v>
      </c>
      <c r="I534" t="s">
        <v>432</v>
      </c>
      <c r="J534" t="s">
        <v>432</v>
      </c>
      <c r="K534">
        <v>0</v>
      </c>
      <c r="L534" t="s">
        <v>428</v>
      </c>
      <c r="M534" t="s">
        <v>428</v>
      </c>
      <c r="N534">
        <v>148496</v>
      </c>
      <c r="O534">
        <f>INDEX(AllCollegeBarrons,MATCH(N534,AllCollegeNCES,0))</f>
        <v>0</v>
      </c>
      <c r="P534">
        <f>INDEX(KidGPAs,MATCH(B534,KidIDs,0))</f>
        <v>0</v>
      </c>
      <c r="Q534">
        <f>INDEX(KidACTs,MATCH(B534,KidIDs,0))</f>
        <v>0</v>
      </c>
      <c r="R534">
        <f>INDEX(Strats,MATCH(B534,KidIDs,0))</f>
        <v>0</v>
      </c>
      <c r="S534">
        <f>INDEX(KidRace,MATCH(B534,KidIDs,0))</f>
        <v>0</v>
      </c>
      <c r="T534">
        <f>IF(OR(S534="M",S534="I"),"H",S534)</f>
        <v>0</v>
      </c>
      <c r="U534">
        <f>INDEX(StudentTargets,MATCH(B534,KidIDs,0))</f>
        <v>0</v>
      </c>
      <c r="V534">
        <f>INDEX(ReachStudentTargets,MATCH(B534,KidIDs,0))</f>
        <v>0</v>
      </c>
      <c r="W534">
        <f>IF(OR(M534="Posse"),1,0)</f>
        <v>0</v>
      </c>
      <c r="X534">
        <f>IF(ISNUMBER(INDEX(AllCollegeGR, MATCH(N534,AllCollegeNCES,0))),ROUND(INDEX(AllCollegeGR, MATCH(N534,AllCollegeNCES,0))+W534*IF(INDEX(AllCollegeGR, MATCH(N534,AllCollegeNCES,0))&gt;0.7,(1-INDEX(AllCollegeGR, MATCH(N534,AllCollegeNCES,0)))/2,0.15),2),INDEX(AllCollegeGR, MATCH(N534,AllCollegeNCES,0)))</f>
        <v>0</v>
      </c>
      <c r="Y534">
        <f>IF(ISNUMBER(INDEX(AllCollegeAAHGR, MATCH(N534,AllCollegeNCES,0))),ROUND(INDEX(AllCollegeAAHGR, MATCH(N534,AllCollegeNCES,0))+W534*IF(INDEX(AllCollegeAAHGR, MATCH(N534,AllCollegeNCES,0))&gt;0.7,(1-INDEX(AllCollegeAAHGR, MATCH(N534,AllCollegeNCES,0)))/2,0.15),2),INDEX(AllCollegeAAHGR, MATCH(N534,AllCollegeNCES,0)))</f>
        <v>0</v>
      </c>
      <c r="Z534">
        <f>IF(OR(T534="H",T534="B"),INDEX(AllCollegeACT25, MATCH(N534,AllCollegeNCES,0)),INDEX(AllCollegeACT50, MATCH(N534,AllCollegeNCES,0)))</f>
        <v>0</v>
      </c>
      <c r="AA534">
        <f>INDEX(CustomWeightsGPA,MATCH(T534&amp;":"&amp;N534,CustomWeightsIndex,0))</f>
        <v>0</v>
      </c>
      <c r="AB534">
        <f>INDEX(CustomWeightsACT,MATCH(T534&amp;":"&amp;N534,CustomWeightsIndex,0))</f>
        <v>0</v>
      </c>
      <c r="AC534">
        <f>INDEX(CustomWeightsIntercept,MATCH(T534&amp;":"&amp;N534,CustomWeightsIndex,0))</f>
        <v>0</v>
      </c>
      <c r="AD534">
        <f>AA534*P534+AB534*Q534+AC534</f>
        <v>0</v>
      </c>
      <c r="AE534">
        <f>INDEX(CoefficientsGPA,MATCH(T534&amp;":"&amp;O534,CoefficientsIndex,0))</f>
        <v>0</v>
      </c>
      <c r="AF534">
        <f>INDEX(CoefficientsACT,MATCH(T534&amp;":"&amp;O534,CoefficientsIndex,0))</f>
        <v>0</v>
      </c>
      <c r="AG534">
        <f>INDEX(CoefficientsIntercept,MATCH(T534&amp;":"&amp;O534,CoefficientsIndex,0))</f>
        <v>0</v>
      </c>
      <c r="AH534">
        <f>AE534*P534+(Q534-Z534)*AF534+AG534</f>
        <v>0</v>
      </c>
      <c r="AI534">
        <f>IF(ISNUMBER(AD534),AD534,AH534)</f>
        <v>0</v>
      </c>
      <c r="AJ534">
        <f>IF(ISNUMBER(AI534),IF(ISNUMBER(AE534),IF(AND(AE534=1,AF534=1,AG534=1),100,ROUND(100*EXP(AI534)/(1+EXP(AI534)),2)),ROUND(100*EXP(AI534)/(1+EXP(AI534)),2)),IF(ISTEXT(O534),IF(LEFT(O534,1)="2",100,"N/A"),"N/A"))</f>
        <v>0</v>
      </c>
      <c r="AK534">
        <f>IF(ISNUMBER(AJ534),IF(AJ534&gt;=99,IF(OR(R534=10,R534=11),MatchLabel,SureThingLabel),IF(AJ534&gt;=95,SecureLabel,IF(AJ534&gt;=80,SafetyLabel,IF(AJ534&gt;=50,MatchLabel,IF(AJ534&gt;=20,ReachLabel,IF(AJ534&gt;=10,LongshotLabel,HailMaryLabel)))))),"Other")</f>
        <v>0</v>
      </c>
      <c r="AL534">
        <f>IF(OR(I534="accepted",I534="cond. accept",I534="summer admit"),IF(J534="yes","CHOICE!","Accepted!"),IF(I534="denied","Denied",IF(K534=1,"Waitlist",IF(L534=1,"Deferred",IF(G534="pending","Pending",IF(OR(G534="initial materials submitted",G534="mid-year submitted",G534="final submitted"),"Submitted",IF(H534="interest","Interest","?")))))))</f>
        <v>0</v>
      </c>
      <c r="AM534">
        <f>IF(OR(AK534=ReachLabel,AK534=LongshotLabel,AK534=HailMaryLabel),1,0)</f>
        <v>0</v>
      </c>
      <c r="AN534">
        <f>IF(OR(AM534=1,AK534=MatchLabel),1,0)</f>
        <v>0</v>
      </c>
      <c r="AO534">
        <f>IF(OR(AK534=MatchLabel,AK534=SafetyLabel,AK534=SecureLabel,AK534=SureThingLabel),1,0)</f>
        <v>0</v>
      </c>
      <c r="AP534">
        <f>IF(OR(T534="H",T534="B"),IF(ISNUMBER(Y534),ROUND(Y534,2),0),IF(ISNUMBER(X534),ROUND(X534,2),0))</f>
        <v>0</v>
      </c>
      <c r="AQ534">
        <f>IF(AP534&gt;=U534,1,0)</f>
        <v>0</v>
      </c>
      <c r="AR534">
        <f>IF(AP534&gt;=V534,1,0)</f>
        <v>0</v>
      </c>
      <c r="AS534">
        <f>IF(AP534&lt;(U534-0.10),1,0)</f>
        <v>0</v>
      </c>
      <c r="AT534">
        <f>1-AJ534/100</f>
        <v>0</v>
      </c>
      <c r="AU534">
        <f>IF(AN534=1,AT534,1)</f>
        <v>0</v>
      </c>
      <c r="AV534">
        <f>IF(AM534=1,AT534,1)</f>
        <v>0</v>
      </c>
      <c r="AW534">
        <f>IF(AND(AQ534=1,ISNUMBER(AT534)),$AT534,1)</f>
        <v>0</v>
      </c>
      <c r="AX534">
        <f>IF(AND(AR534=1,ISNUMBER(AT534)),$AT534,1)</f>
        <v>0</v>
      </c>
      <c r="AY534">
        <f>IF(ISNUMBER(Y534),INDEX(AllCollegeMoney, MATCH(N534,AllCollegeNCES,0)),0)</f>
        <v>0</v>
      </c>
      <c r="AZ534">
        <f>IF(AND(AQ534=1,ISNUMBER(AT534),AY534=1),$AT534,1)</f>
        <v>0</v>
      </c>
      <c r="BA534">
        <f>IF(AND(AR534=1,ISNUMBER(AT534),AY534=1),$AT534,1)</f>
        <v>0</v>
      </c>
      <c r="BB534">
        <f>IF(ISNUMBER(Y534),INDEX(AllCollegeILPub, MATCH(N534,AllCollegeNCES,0)),0)</f>
        <v>0</v>
      </c>
      <c r="BC534">
        <f>IF(AK534=ReachLabel,AP534,0)</f>
        <v>0</v>
      </c>
      <c r="BD534">
        <f>IF(AK534=MatchLabel,AP534,0)</f>
        <v>0</v>
      </c>
      <c r="BE534">
        <f>IF(AK534=SafetyLabel,AP534,0)</f>
        <v>0</v>
      </c>
      <c r="BF534">
        <f>IF(AK534=SecureLabel,AP534,0)</f>
        <v>0</v>
      </c>
      <c r="BG534">
        <f>IF(AK534=SureThingLabel,AP534,0)</f>
        <v>0</v>
      </c>
      <c r="BH534">
        <f>MAX(BC534:BG534)</f>
        <v>0</v>
      </c>
      <c r="BI534">
        <f>MAX(BD534:BG534)</f>
        <v>0</v>
      </c>
      <c r="BJ534">
        <f>MAX(BE534:BG534)</f>
        <v>0</v>
      </c>
      <c r="BK534">
        <f>IF(AND(AK534=ReachLabel,AY534=1),AP534,0)</f>
        <v>0</v>
      </c>
      <c r="BL534">
        <f>IF(AND(AK534=MatchLabel,AY534=1),AP534,0)</f>
        <v>0</v>
      </c>
      <c r="BM534">
        <f>IF(AND(AK534=SafetyLabel,AY534=1),AP534,0)</f>
        <v>0</v>
      </c>
      <c r="BN534">
        <f>IF(AND(AK534=SecureLabel,AY534=1),AP534,0)</f>
        <v>0</v>
      </c>
      <c r="BO534">
        <f>IF(AND(AK534=SureThingLabel,AY534=1),AP534,0)</f>
        <v>0</v>
      </c>
      <c r="BP534">
        <f>MAX(BK534:BO534)</f>
        <v>0</v>
      </c>
      <c r="BQ534">
        <f>MAX(BL534:BO534)</f>
        <v>0</v>
      </c>
      <c r="BR534">
        <f>MAX(BM534:BO534)</f>
        <v>0</v>
      </c>
      <c r="BS534">
        <f>IF(ISNUMBER(Y534),INDEX(AllCollegeChicago, MATCH(N534,AllCollegeNCES,0))*AY534,0)</f>
        <v>0</v>
      </c>
      <c r="BT534">
        <f>IF(ISNUMBER(Y534),INDEX(AllCollegeMoneyCode, MATCH(N534,AllCollegeNCES,0)),"?")</f>
        <v>0</v>
      </c>
      <c r="BU534">
        <f>IF(OR(BT534="---",BT534="--",BT534="+/--",BT534="+/---"),1,0)</f>
        <v>0</v>
      </c>
      <c r="BV534">
        <f>AY534*AO534*AQ534</f>
        <v>0</v>
      </c>
    </row>
    <row r="535" spans="1:74">
      <c r="A535" t="s">
        <v>86</v>
      </c>
      <c r="B535">
        <v>23477954</v>
      </c>
      <c r="C535" t="s">
        <v>236</v>
      </c>
      <c r="D535" t="s">
        <v>237</v>
      </c>
      <c r="E535" t="s">
        <v>428</v>
      </c>
      <c r="F535" t="s">
        <v>563</v>
      </c>
      <c r="G535" t="s">
        <v>430</v>
      </c>
      <c r="H535" t="s">
        <v>431</v>
      </c>
      <c r="I535" t="s">
        <v>432</v>
      </c>
      <c r="J535" t="s">
        <v>432</v>
      </c>
      <c r="K535">
        <v>0</v>
      </c>
      <c r="L535" t="s">
        <v>428</v>
      </c>
      <c r="M535" t="s">
        <v>428</v>
      </c>
      <c r="N535">
        <v>175856</v>
      </c>
      <c r="O535">
        <f>INDEX(AllCollegeBarrons,MATCH(N535,AllCollegeNCES,0))</f>
        <v>0</v>
      </c>
      <c r="P535">
        <f>INDEX(KidGPAs,MATCH(B535,KidIDs,0))</f>
        <v>0</v>
      </c>
      <c r="Q535">
        <f>INDEX(KidACTs,MATCH(B535,KidIDs,0))</f>
        <v>0</v>
      </c>
      <c r="R535">
        <f>INDEX(Strats,MATCH(B535,KidIDs,0))</f>
        <v>0</v>
      </c>
      <c r="S535">
        <f>INDEX(KidRace,MATCH(B535,KidIDs,0))</f>
        <v>0</v>
      </c>
      <c r="T535">
        <f>IF(OR(S535="M",S535="I"),"H",S535)</f>
        <v>0</v>
      </c>
      <c r="U535">
        <f>INDEX(StudentTargets,MATCH(B535,KidIDs,0))</f>
        <v>0</v>
      </c>
      <c r="V535">
        <f>INDEX(ReachStudentTargets,MATCH(B535,KidIDs,0))</f>
        <v>0</v>
      </c>
      <c r="W535">
        <f>IF(OR(M535="Posse"),1,0)</f>
        <v>0</v>
      </c>
      <c r="X535">
        <f>IF(ISNUMBER(INDEX(AllCollegeGR, MATCH(N535,AllCollegeNCES,0))),ROUND(INDEX(AllCollegeGR, MATCH(N535,AllCollegeNCES,0))+W535*IF(INDEX(AllCollegeGR, MATCH(N535,AllCollegeNCES,0))&gt;0.7,(1-INDEX(AllCollegeGR, MATCH(N535,AllCollegeNCES,0)))/2,0.15),2),INDEX(AllCollegeGR, MATCH(N535,AllCollegeNCES,0)))</f>
        <v>0</v>
      </c>
      <c r="Y535">
        <f>IF(ISNUMBER(INDEX(AllCollegeAAHGR, MATCH(N535,AllCollegeNCES,0))),ROUND(INDEX(AllCollegeAAHGR, MATCH(N535,AllCollegeNCES,0))+W535*IF(INDEX(AllCollegeAAHGR, MATCH(N535,AllCollegeNCES,0))&gt;0.7,(1-INDEX(AllCollegeAAHGR, MATCH(N535,AllCollegeNCES,0)))/2,0.15),2),INDEX(AllCollegeAAHGR, MATCH(N535,AllCollegeNCES,0)))</f>
        <v>0</v>
      </c>
      <c r="Z535">
        <f>IF(OR(T535="H",T535="B"),INDEX(AllCollegeACT25, MATCH(N535,AllCollegeNCES,0)),INDEX(AllCollegeACT50, MATCH(N535,AllCollegeNCES,0)))</f>
        <v>0</v>
      </c>
      <c r="AA535">
        <f>INDEX(CustomWeightsGPA,MATCH(T535&amp;":"&amp;N535,CustomWeightsIndex,0))</f>
        <v>0</v>
      </c>
      <c r="AB535">
        <f>INDEX(CustomWeightsACT,MATCH(T535&amp;":"&amp;N535,CustomWeightsIndex,0))</f>
        <v>0</v>
      </c>
      <c r="AC535">
        <f>INDEX(CustomWeightsIntercept,MATCH(T535&amp;":"&amp;N535,CustomWeightsIndex,0))</f>
        <v>0</v>
      </c>
      <c r="AD535">
        <f>AA535*P535+AB535*Q535+AC535</f>
        <v>0</v>
      </c>
      <c r="AE535">
        <f>INDEX(CoefficientsGPA,MATCH(T535&amp;":"&amp;O535,CoefficientsIndex,0))</f>
        <v>0</v>
      </c>
      <c r="AF535">
        <f>INDEX(CoefficientsACT,MATCH(T535&amp;":"&amp;O535,CoefficientsIndex,0))</f>
        <v>0</v>
      </c>
      <c r="AG535">
        <f>INDEX(CoefficientsIntercept,MATCH(T535&amp;":"&amp;O535,CoefficientsIndex,0))</f>
        <v>0</v>
      </c>
      <c r="AH535">
        <f>AE535*P535+(Q535-Z535)*AF535+AG535</f>
        <v>0</v>
      </c>
      <c r="AI535">
        <f>IF(ISNUMBER(AD535),AD535,AH535)</f>
        <v>0</v>
      </c>
      <c r="AJ535">
        <f>IF(ISNUMBER(AI535),IF(ISNUMBER(AE535),IF(AND(AE535=1,AF535=1,AG535=1),100,ROUND(100*EXP(AI535)/(1+EXP(AI535)),2)),ROUND(100*EXP(AI535)/(1+EXP(AI535)),2)),IF(ISTEXT(O535),IF(LEFT(O535,1)="2",100,"N/A"),"N/A"))</f>
        <v>0</v>
      </c>
      <c r="AK535">
        <f>IF(ISNUMBER(AJ535),IF(AJ535&gt;=99,IF(OR(R535=10,R535=11),MatchLabel,SureThingLabel),IF(AJ535&gt;=95,SecureLabel,IF(AJ535&gt;=80,SafetyLabel,IF(AJ535&gt;=50,MatchLabel,IF(AJ535&gt;=20,ReachLabel,IF(AJ535&gt;=10,LongshotLabel,HailMaryLabel)))))),"Other")</f>
        <v>0</v>
      </c>
      <c r="AL535">
        <f>IF(OR(I535="accepted",I535="cond. accept",I535="summer admit"),IF(J535="yes","CHOICE!","Accepted!"),IF(I535="denied","Denied",IF(K535=1,"Waitlist",IF(L535=1,"Deferred",IF(G535="pending","Pending",IF(OR(G535="initial materials submitted",G535="mid-year submitted",G535="final submitted"),"Submitted",IF(H535="interest","Interest","?")))))))</f>
        <v>0</v>
      </c>
      <c r="AM535">
        <f>IF(OR(AK535=ReachLabel,AK535=LongshotLabel,AK535=HailMaryLabel),1,0)</f>
        <v>0</v>
      </c>
      <c r="AN535">
        <f>IF(OR(AM535=1,AK535=MatchLabel),1,0)</f>
        <v>0</v>
      </c>
      <c r="AO535">
        <f>IF(OR(AK535=MatchLabel,AK535=SafetyLabel,AK535=SecureLabel,AK535=SureThingLabel),1,0)</f>
        <v>0</v>
      </c>
      <c r="AP535">
        <f>IF(OR(T535="H",T535="B"),IF(ISNUMBER(Y535),ROUND(Y535,2),0),IF(ISNUMBER(X535),ROUND(X535,2),0))</f>
        <v>0</v>
      </c>
      <c r="AQ535">
        <f>IF(AP535&gt;=U535,1,0)</f>
        <v>0</v>
      </c>
      <c r="AR535">
        <f>IF(AP535&gt;=V535,1,0)</f>
        <v>0</v>
      </c>
      <c r="AS535">
        <f>IF(AP535&lt;(U535-0.10),1,0)</f>
        <v>0</v>
      </c>
      <c r="AT535">
        <f>1-AJ535/100</f>
        <v>0</v>
      </c>
      <c r="AU535">
        <f>IF(AN535=1,AT535,1)</f>
        <v>0</v>
      </c>
      <c r="AV535">
        <f>IF(AM535=1,AT535,1)</f>
        <v>0</v>
      </c>
      <c r="AW535">
        <f>IF(AND(AQ535=1,ISNUMBER(AT535)),$AT535,1)</f>
        <v>0</v>
      </c>
      <c r="AX535">
        <f>IF(AND(AR535=1,ISNUMBER(AT535)),$AT535,1)</f>
        <v>0</v>
      </c>
      <c r="AY535">
        <f>IF(ISNUMBER(Y535),INDEX(AllCollegeMoney, MATCH(N535,AllCollegeNCES,0)),0)</f>
        <v>0</v>
      </c>
      <c r="AZ535">
        <f>IF(AND(AQ535=1,ISNUMBER(AT535),AY535=1),$AT535,1)</f>
        <v>0</v>
      </c>
      <c r="BA535">
        <f>IF(AND(AR535=1,ISNUMBER(AT535),AY535=1),$AT535,1)</f>
        <v>0</v>
      </c>
      <c r="BB535">
        <f>IF(ISNUMBER(Y535),INDEX(AllCollegeILPub, MATCH(N535,AllCollegeNCES,0)),0)</f>
        <v>0</v>
      </c>
      <c r="BC535">
        <f>IF(AK535=ReachLabel,AP535,0)</f>
        <v>0</v>
      </c>
      <c r="BD535">
        <f>IF(AK535=MatchLabel,AP535,0)</f>
        <v>0</v>
      </c>
      <c r="BE535">
        <f>IF(AK535=SafetyLabel,AP535,0)</f>
        <v>0</v>
      </c>
      <c r="BF535">
        <f>IF(AK535=SecureLabel,AP535,0)</f>
        <v>0</v>
      </c>
      <c r="BG535">
        <f>IF(AK535=SureThingLabel,AP535,0)</f>
        <v>0</v>
      </c>
      <c r="BH535">
        <f>MAX(BC535:BG535)</f>
        <v>0</v>
      </c>
      <c r="BI535">
        <f>MAX(BD535:BG535)</f>
        <v>0</v>
      </c>
      <c r="BJ535">
        <f>MAX(BE535:BG535)</f>
        <v>0</v>
      </c>
      <c r="BK535">
        <f>IF(AND(AK535=ReachLabel,AY535=1),AP535,0)</f>
        <v>0</v>
      </c>
      <c r="BL535">
        <f>IF(AND(AK535=MatchLabel,AY535=1),AP535,0)</f>
        <v>0</v>
      </c>
      <c r="BM535">
        <f>IF(AND(AK535=SafetyLabel,AY535=1),AP535,0)</f>
        <v>0</v>
      </c>
      <c r="BN535">
        <f>IF(AND(AK535=SecureLabel,AY535=1),AP535,0)</f>
        <v>0</v>
      </c>
      <c r="BO535">
        <f>IF(AND(AK535=SureThingLabel,AY535=1),AP535,0)</f>
        <v>0</v>
      </c>
      <c r="BP535">
        <f>MAX(BK535:BO535)</f>
        <v>0</v>
      </c>
      <c r="BQ535">
        <f>MAX(BL535:BO535)</f>
        <v>0</v>
      </c>
      <c r="BR535">
        <f>MAX(BM535:BO535)</f>
        <v>0</v>
      </c>
      <c r="BS535">
        <f>IF(ISNUMBER(Y535),INDEX(AllCollegeChicago, MATCH(N535,AllCollegeNCES,0))*AY535,0)</f>
        <v>0</v>
      </c>
      <c r="BT535">
        <f>IF(ISNUMBER(Y535),INDEX(AllCollegeMoneyCode, MATCH(N535,AllCollegeNCES,0)),"?")</f>
        <v>0</v>
      </c>
      <c r="BU535">
        <f>IF(OR(BT535="---",BT535="--",BT535="+/--",BT535="+/---"),1,0)</f>
        <v>0</v>
      </c>
      <c r="BV535">
        <f>AY535*AO535*AQ535</f>
        <v>0</v>
      </c>
    </row>
    <row r="536" spans="1:74">
      <c r="A536" t="s">
        <v>86</v>
      </c>
      <c r="B536">
        <v>23477954</v>
      </c>
      <c r="C536" t="s">
        <v>236</v>
      </c>
      <c r="D536" t="s">
        <v>237</v>
      </c>
      <c r="E536" t="s">
        <v>428</v>
      </c>
      <c r="F536" t="s">
        <v>502</v>
      </c>
      <c r="G536" t="s">
        <v>430</v>
      </c>
      <c r="H536" t="s">
        <v>431</v>
      </c>
      <c r="I536" t="s">
        <v>432</v>
      </c>
      <c r="J536" t="s">
        <v>432</v>
      </c>
      <c r="K536">
        <v>0</v>
      </c>
      <c r="L536" t="s">
        <v>428</v>
      </c>
      <c r="M536" t="s">
        <v>428</v>
      </c>
      <c r="N536">
        <v>145813</v>
      </c>
      <c r="O536">
        <f>INDEX(AllCollegeBarrons,MATCH(N536,AllCollegeNCES,0))</f>
        <v>0</v>
      </c>
      <c r="P536">
        <f>INDEX(KidGPAs,MATCH(B536,KidIDs,0))</f>
        <v>0</v>
      </c>
      <c r="Q536">
        <f>INDEX(KidACTs,MATCH(B536,KidIDs,0))</f>
        <v>0</v>
      </c>
      <c r="R536">
        <f>INDEX(Strats,MATCH(B536,KidIDs,0))</f>
        <v>0</v>
      </c>
      <c r="S536">
        <f>INDEX(KidRace,MATCH(B536,KidIDs,0))</f>
        <v>0</v>
      </c>
      <c r="T536">
        <f>IF(OR(S536="M",S536="I"),"H",S536)</f>
        <v>0</v>
      </c>
      <c r="U536">
        <f>INDEX(StudentTargets,MATCH(B536,KidIDs,0))</f>
        <v>0</v>
      </c>
      <c r="V536">
        <f>INDEX(ReachStudentTargets,MATCH(B536,KidIDs,0))</f>
        <v>0</v>
      </c>
      <c r="W536">
        <f>IF(OR(M536="Posse"),1,0)</f>
        <v>0</v>
      </c>
      <c r="X536">
        <f>IF(ISNUMBER(INDEX(AllCollegeGR, MATCH(N536,AllCollegeNCES,0))),ROUND(INDEX(AllCollegeGR, MATCH(N536,AllCollegeNCES,0))+W536*IF(INDEX(AllCollegeGR, MATCH(N536,AllCollegeNCES,0))&gt;0.7,(1-INDEX(AllCollegeGR, MATCH(N536,AllCollegeNCES,0)))/2,0.15),2),INDEX(AllCollegeGR, MATCH(N536,AllCollegeNCES,0)))</f>
        <v>0</v>
      </c>
      <c r="Y536">
        <f>IF(ISNUMBER(INDEX(AllCollegeAAHGR, MATCH(N536,AllCollegeNCES,0))),ROUND(INDEX(AllCollegeAAHGR, MATCH(N536,AllCollegeNCES,0))+W536*IF(INDEX(AllCollegeAAHGR, MATCH(N536,AllCollegeNCES,0))&gt;0.7,(1-INDEX(AllCollegeAAHGR, MATCH(N536,AllCollegeNCES,0)))/2,0.15),2),INDEX(AllCollegeAAHGR, MATCH(N536,AllCollegeNCES,0)))</f>
        <v>0</v>
      </c>
      <c r="Z536">
        <f>IF(OR(T536="H",T536="B"),INDEX(AllCollegeACT25, MATCH(N536,AllCollegeNCES,0)),INDEX(AllCollegeACT50, MATCH(N536,AllCollegeNCES,0)))</f>
        <v>0</v>
      </c>
      <c r="AA536">
        <f>INDEX(CustomWeightsGPA,MATCH(T536&amp;":"&amp;N536,CustomWeightsIndex,0))</f>
        <v>0</v>
      </c>
      <c r="AB536">
        <f>INDEX(CustomWeightsACT,MATCH(T536&amp;":"&amp;N536,CustomWeightsIndex,0))</f>
        <v>0</v>
      </c>
      <c r="AC536">
        <f>INDEX(CustomWeightsIntercept,MATCH(T536&amp;":"&amp;N536,CustomWeightsIndex,0))</f>
        <v>0</v>
      </c>
      <c r="AD536">
        <f>AA536*P536+AB536*Q536+AC536</f>
        <v>0</v>
      </c>
      <c r="AE536">
        <f>INDEX(CoefficientsGPA,MATCH(T536&amp;":"&amp;O536,CoefficientsIndex,0))</f>
        <v>0</v>
      </c>
      <c r="AF536">
        <f>INDEX(CoefficientsACT,MATCH(T536&amp;":"&amp;O536,CoefficientsIndex,0))</f>
        <v>0</v>
      </c>
      <c r="AG536">
        <f>INDEX(CoefficientsIntercept,MATCH(T536&amp;":"&amp;O536,CoefficientsIndex,0))</f>
        <v>0</v>
      </c>
      <c r="AH536">
        <f>AE536*P536+(Q536-Z536)*AF536+AG536</f>
        <v>0</v>
      </c>
      <c r="AI536">
        <f>IF(ISNUMBER(AD536),AD536,AH536)</f>
        <v>0</v>
      </c>
      <c r="AJ536">
        <f>IF(ISNUMBER(AI536),IF(ISNUMBER(AE536),IF(AND(AE536=1,AF536=1,AG536=1),100,ROUND(100*EXP(AI536)/(1+EXP(AI536)),2)),ROUND(100*EXP(AI536)/(1+EXP(AI536)),2)),IF(ISTEXT(O536),IF(LEFT(O536,1)="2",100,"N/A"),"N/A"))</f>
        <v>0</v>
      </c>
      <c r="AK536">
        <f>IF(ISNUMBER(AJ536),IF(AJ536&gt;=99,IF(OR(R536=10,R536=11),MatchLabel,SureThingLabel),IF(AJ536&gt;=95,SecureLabel,IF(AJ536&gt;=80,SafetyLabel,IF(AJ536&gt;=50,MatchLabel,IF(AJ536&gt;=20,ReachLabel,IF(AJ536&gt;=10,LongshotLabel,HailMaryLabel)))))),"Other")</f>
        <v>0</v>
      </c>
      <c r="AL536">
        <f>IF(OR(I536="accepted",I536="cond. accept",I536="summer admit"),IF(J536="yes","CHOICE!","Accepted!"),IF(I536="denied","Denied",IF(K536=1,"Waitlist",IF(L536=1,"Deferred",IF(G536="pending","Pending",IF(OR(G536="initial materials submitted",G536="mid-year submitted",G536="final submitted"),"Submitted",IF(H536="interest","Interest","?")))))))</f>
        <v>0</v>
      </c>
      <c r="AM536">
        <f>IF(OR(AK536=ReachLabel,AK536=LongshotLabel,AK536=HailMaryLabel),1,0)</f>
        <v>0</v>
      </c>
      <c r="AN536">
        <f>IF(OR(AM536=1,AK536=MatchLabel),1,0)</f>
        <v>0</v>
      </c>
      <c r="AO536">
        <f>IF(OR(AK536=MatchLabel,AK536=SafetyLabel,AK536=SecureLabel,AK536=SureThingLabel),1,0)</f>
        <v>0</v>
      </c>
      <c r="AP536">
        <f>IF(OR(T536="H",T536="B"),IF(ISNUMBER(Y536),ROUND(Y536,2),0),IF(ISNUMBER(X536),ROUND(X536,2),0))</f>
        <v>0</v>
      </c>
      <c r="AQ536">
        <f>IF(AP536&gt;=U536,1,0)</f>
        <v>0</v>
      </c>
      <c r="AR536">
        <f>IF(AP536&gt;=V536,1,0)</f>
        <v>0</v>
      </c>
      <c r="AS536">
        <f>IF(AP536&lt;(U536-0.10),1,0)</f>
        <v>0</v>
      </c>
      <c r="AT536">
        <f>1-AJ536/100</f>
        <v>0</v>
      </c>
      <c r="AU536">
        <f>IF(AN536=1,AT536,1)</f>
        <v>0</v>
      </c>
      <c r="AV536">
        <f>IF(AM536=1,AT536,1)</f>
        <v>0</v>
      </c>
      <c r="AW536">
        <f>IF(AND(AQ536=1,ISNUMBER(AT536)),$AT536,1)</f>
        <v>0</v>
      </c>
      <c r="AX536">
        <f>IF(AND(AR536=1,ISNUMBER(AT536)),$AT536,1)</f>
        <v>0</v>
      </c>
      <c r="AY536">
        <f>IF(ISNUMBER(Y536),INDEX(AllCollegeMoney, MATCH(N536,AllCollegeNCES,0)),0)</f>
        <v>0</v>
      </c>
      <c r="AZ536">
        <f>IF(AND(AQ536=1,ISNUMBER(AT536),AY536=1),$AT536,1)</f>
        <v>0</v>
      </c>
      <c r="BA536">
        <f>IF(AND(AR536=1,ISNUMBER(AT536),AY536=1),$AT536,1)</f>
        <v>0</v>
      </c>
      <c r="BB536">
        <f>IF(ISNUMBER(Y536),INDEX(AllCollegeILPub, MATCH(N536,AllCollegeNCES,0)),0)</f>
        <v>0</v>
      </c>
      <c r="BC536">
        <f>IF(AK536=ReachLabel,AP536,0)</f>
        <v>0</v>
      </c>
      <c r="BD536">
        <f>IF(AK536=MatchLabel,AP536,0)</f>
        <v>0</v>
      </c>
      <c r="BE536">
        <f>IF(AK536=SafetyLabel,AP536,0)</f>
        <v>0</v>
      </c>
      <c r="BF536">
        <f>IF(AK536=SecureLabel,AP536,0)</f>
        <v>0</v>
      </c>
      <c r="BG536">
        <f>IF(AK536=SureThingLabel,AP536,0)</f>
        <v>0</v>
      </c>
      <c r="BH536">
        <f>MAX(BC536:BG536)</f>
        <v>0</v>
      </c>
      <c r="BI536">
        <f>MAX(BD536:BG536)</f>
        <v>0</v>
      </c>
      <c r="BJ536">
        <f>MAX(BE536:BG536)</f>
        <v>0</v>
      </c>
      <c r="BK536">
        <f>IF(AND(AK536=ReachLabel,AY536=1),AP536,0)</f>
        <v>0</v>
      </c>
      <c r="BL536">
        <f>IF(AND(AK536=MatchLabel,AY536=1),AP536,0)</f>
        <v>0</v>
      </c>
      <c r="BM536">
        <f>IF(AND(AK536=SafetyLabel,AY536=1),AP536,0)</f>
        <v>0</v>
      </c>
      <c r="BN536">
        <f>IF(AND(AK536=SecureLabel,AY536=1),AP536,0)</f>
        <v>0</v>
      </c>
      <c r="BO536">
        <f>IF(AND(AK536=SureThingLabel,AY536=1),AP536,0)</f>
        <v>0</v>
      </c>
      <c r="BP536">
        <f>MAX(BK536:BO536)</f>
        <v>0</v>
      </c>
      <c r="BQ536">
        <f>MAX(BL536:BO536)</f>
        <v>0</v>
      </c>
      <c r="BR536">
        <f>MAX(BM536:BO536)</f>
        <v>0</v>
      </c>
      <c r="BS536">
        <f>IF(ISNUMBER(Y536),INDEX(AllCollegeChicago, MATCH(N536,AllCollegeNCES,0))*AY536,0)</f>
        <v>0</v>
      </c>
      <c r="BT536">
        <f>IF(ISNUMBER(Y536),INDEX(AllCollegeMoneyCode, MATCH(N536,AllCollegeNCES,0)),"?")</f>
        <v>0</v>
      </c>
      <c r="BU536">
        <f>IF(OR(BT536="---",BT536="--",BT536="+/--",BT536="+/---"),1,0)</f>
        <v>0</v>
      </c>
      <c r="BV536">
        <f>AY536*AO536*AQ536</f>
        <v>0</v>
      </c>
    </row>
    <row r="537" spans="1:74">
      <c r="A537" t="s">
        <v>86</v>
      </c>
      <c r="B537">
        <v>23477954</v>
      </c>
      <c r="C537" t="s">
        <v>236</v>
      </c>
      <c r="D537" t="s">
        <v>237</v>
      </c>
      <c r="E537" t="s">
        <v>428</v>
      </c>
      <c r="F537" t="s">
        <v>447</v>
      </c>
      <c r="G537" t="s">
        <v>430</v>
      </c>
      <c r="H537" t="s">
        <v>431</v>
      </c>
      <c r="I537" t="s">
        <v>432</v>
      </c>
      <c r="J537" t="s">
        <v>432</v>
      </c>
      <c r="K537">
        <v>0</v>
      </c>
      <c r="L537" t="s">
        <v>428</v>
      </c>
      <c r="M537" t="s">
        <v>428</v>
      </c>
      <c r="N537">
        <v>145600</v>
      </c>
      <c r="O537">
        <f>INDEX(AllCollegeBarrons,MATCH(N537,AllCollegeNCES,0))</f>
        <v>0</v>
      </c>
      <c r="P537">
        <f>INDEX(KidGPAs,MATCH(B537,KidIDs,0))</f>
        <v>0</v>
      </c>
      <c r="Q537">
        <f>INDEX(KidACTs,MATCH(B537,KidIDs,0))</f>
        <v>0</v>
      </c>
      <c r="R537">
        <f>INDEX(Strats,MATCH(B537,KidIDs,0))</f>
        <v>0</v>
      </c>
      <c r="S537">
        <f>INDEX(KidRace,MATCH(B537,KidIDs,0))</f>
        <v>0</v>
      </c>
      <c r="T537">
        <f>IF(OR(S537="M",S537="I"),"H",S537)</f>
        <v>0</v>
      </c>
      <c r="U537">
        <f>INDEX(StudentTargets,MATCH(B537,KidIDs,0))</f>
        <v>0</v>
      </c>
      <c r="V537">
        <f>INDEX(ReachStudentTargets,MATCH(B537,KidIDs,0))</f>
        <v>0</v>
      </c>
      <c r="W537">
        <f>IF(OR(M537="Posse"),1,0)</f>
        <v>0</v>
      </c>
      <c r="X537">
        <f>IF(ISNUMBER(INDEX(AllCollegeGR, MATCH(N537,AllCollegeNCES,0))),ROUND(INDEX(AllCollegeGR, MATCH(N537,AllCollegeNCES,0))+W537*IF(INDEX(AllCollegeGR, MATCH(N537,AllCollegeNCES,0))&gt;0.7,(1-INDEX(AllCollegeGR, MATCH(N537,AllCollegeNCES,0)))/2,0.15),2),INDEX(AllCollegeGR, MATCH(N537,AllCollegeNCES,0)))</f>
        <v>0</v>
      </c>
      <c r="Y537">
        <f>IF(ISNUMBER(INDEX(AllCollegeAAHGR, MATCH(N537,AllCollegeNCES,0))),ROUND(INDEX(AllCollegeAAHGR, MATCH(N537,AllCollegeNCES,0))+W537*IF(INDEX(AllCollegeAAHGR, MATCH(N537,AllCollegeNCES,0))&gt;0.7,(1-INDEX(AllCollegeAAHGR, MATCH(N537,AllCollegeNCES,0)))/2,0.15),2),INDEX(AllCollegeAAHGR, MATCH(N537,AllCollegeNCES,0)))</f>
        <v>0</v>
      </c>
      <c r="Z537">
        <f>IF(OR(T537="H",T537="B"),INDEX(AllCollegeACT25, MATCH(N537,AllCollegeNCES,0)),INDEX(AllCollegeACT50, MATCH(N537,AllCollegeNCES,0)))</f>
        <v>0</v>
      </c>
      <c r="AA537">
        <f>INDEX(CustomWeightsGPA,MATCH(T537&amp;":"&amp;N537,CustomWeightsIndex,0))</f>
        <v>0</v>
      </c>
      <c r="AB537">
        <f>INDEX(CustomWeightsACT,MATCH(T537&amp;":"&amp;N537,CustomWeightsIndex,0))</f>
        <v>0</v>
      </c>
      <c r="AC537">
        <f>INDEX(CustomWeightsIntercept,MATCH(T537&amp;":"&amp;N537,CustomWeightsIndex,0))</f>
        <v>0</v>
      </c>
      <c r="AD537">
        <f>AA537*P537+AB537*Q537+AC537</f>
        <v>0</v>
      </c>
      <c r="AE537">
        <f>INDEX(CoefficientsGPA,MATCH(T537&amp;":"&amp;O537,CoefficientsIndex,0))</f>
        <v>0</v>
      </c>
      <c r="AF537">
        <f>INDEX(CoefficientsACT,MATCH(T537&amp;":"&amp;O537,CoefficientsIndex,0))</f>
        <v>0</v>
      </c>
      <c r="AG537">
        <f>INDEX(CoefficientsIntercept,MATCH(T537&amp;":"&amp;O537,CoefficientsIndex,0))</f>
        <v>0</v>
      </c>
      <c r="AH537">
        <f>AE537*P537+(Q537-Z537)*AF537+AG537</f>
        <v>0</v>
      </c>
      <c r="AI537">
        <f>IF(ISNUMBER(AD537),AD537,AH537)</f>
        <v>0</v>
      </c>
      <c r="AJ537">
        <f>IF(ISNUMBER(AI537),IF(ISNUMBER(AE537),IF(AND(AE537=1,AF537=1,AG537=1),100,ROUND(100*EXP(AI537)/(1+EXP(AI537)),2)),ROUND(100*EXP(AI537)/(1+EXP(AI537)),2)),IF(ISTEXT(O537),IF(LEFT(O537,1)="2",100,"N/A"),"N/A"))</f>
        <v>0</v>
      </c>
      <c r="AK537">
        <f>IF(ISNUMBER(AJ537),IF(AJ537&gt;=99,IF(OR(R537=10,R537=11),MatchLabel,SureThingLabel),IF(AJ537&gt;=95,SecureLabel,IF(AJ537&gt;=80,SafetyLabel,IF(AJ537&gt;=50,MatchLabel,IF(AJ537&gt;=20,ReachLabel,IF(AJ537&gt;=10,LongshotLabel,HailMaryLabel)))))),"Other")</f>
        <v>0</v>
      </c>
      <c r="AL537">
        <f>IF(OR(I537="accepted",I537="cond. accept",I537="summer admit"),IF(J537="yes","CHOICE!","Accepted!"),IF(I537="denied","Denied",IF(K537=1,"Waitlist",IF(L537=1,"Deferred",IF(G537="pending","Pending",IF(OR(G537="initial materials submitted",G537="mid-year submitted",G537="final submitted"),"Submitted",IF(H537="interest","Interest","?")))))))</f>
        <v>0</v>
      </c>
      <c r="AM537">
        <f>IF(OR(AK537=ReachLabel,AK537=LongshotLabel,AK537=HailMaryLabel),1,0)</f>
        <v>0</v>
      </c>
      <c r="AN537">
        <f>IF(OR(AM537=1,AK537=MatchLabel),1,0)</f>
        <v>0</v>
      </c>
      <c r="AO537">
        <f>IF(OR(AK537=MatchLabel,AK537=SafetyLabel,AK537=SecureLabel,AK537=SureThingLabel),1,0)</f>
        <v>0</v>
      </c>
      <c r="AP537">
        <f>IF(OR(T537="H",T537="B"),IF(ISNUMBER(Y537),ROUND(Y537,2),0),IF(ISNUMBER(X537),ROUND(X537,2),0))</f>
        <v>0</v>
      </c>
      <c r="AQ537">
        <f>IF(AP537&gt;=U537,1,0)</f>
        <v>0</v>
      </c>
      <c r="AR537">
        <f>IF(AP537&gt;=V537,1,0)</f>
        <v>0</v>
      </c>
      <c r="AS537">
        <f>IF(AP537&lt;(U537-0.10),1,0)</f>
        <v>0</v>
      </c>
      <c r="AT537">
        <f>1-AJ537/100</f>
        <v>0</v>
      </c>
      <c r="AU537">
        <f>IF(AN537=1,AT537,1)</f>
        <v>0</v>
      </c>
      <c r="AV537">
        <f>IF(AM537=1,AT537,1)</f>
        <v>0</v>
      </c>
      <c r="AW537">
        <f>IF(AND(AQ537=1,ISNUMBER(AT537)),$AT537,1)</f>
        <v>0</v>
      </c>
      <c r="AX537">
        <f>IF(AND(AR537=1,ISNUMBER(AT537)),$AT537,1)</f>
        <v>0</v>
      </c>
      <c r="AY537">
        <f>IF(ISNUMBER(Y537),INDEX(AllCollegeMoney, MATCH(N537,AllCollegeNCES,0)),0)</f>
        <v>0</v>
      </c>
      <c r="AZ537">
        <f>IF(AND(AQ537=1,ISNUMBER(AT537),AY537=1),$AT537,1)</f>
        <v>0</v>
      </c>
      <c r="BA537">
        <f>IF(AND(AR537=1,ISNUMBER(AT537),AY537=1),$AT537,1)</f>
        <v>0</v>
      </c>
      <c r="BB537">
        <f>IF(ISNUMBER(Y537),INDEX(AllCollegeILPub, MATCH(N537,AllCollegeNCES,0)),0)</f>
        <v>0</v>
      </c>
      <c r="BC537">
        <f>IF(AK537=ReachLabel,AP537,0)</f>
        <v>0</v>
      </c>
      <c r="BD537">
        <f>IF(AK537=MatchLabel,AP537,0)</f>
        <v>0</v>
      </c>
      <c r="BE537">
        <f>IF(AK537=SafetyLabel,AP537,0)</f>
        <v>0</v>
      </c>
      <c r="BF537">
        <f>IF(AK537=SecureLabel,AP537,0)</f>
        <v>0</v>
      </c>
      <c r="BG537">
        <f>IF(AK537=SureThingLabel,AP537,0)</f>
        <v>0</v>
      </c>
      <c r="BH537">
        <f>MAX(BC537:BG537)</f>
        <v>0</v>
      </c>
      <c r="BI537">
        <f>MAX(BD537:BG537)</f>
        <v>0</v>
      </c>
      <c r="BJ537">
        <f>MAX(BE537:BG537)</f>
        <v>0</v>
      </c>
      <c r="BK537">
        <f>IF(AND(AK537=ReachLabel,AY537=1),AP537,0)</f>
        <v>0</v>
      </c>
      <c r="BL537">
        <f>IF(AND(AK537=MatchLabel,AY537=1),AP537,0)</f>
        <v>0</v>
      </c>
      <c r="BM537">
        <f>IF(AND(AK537=SafetyLabel,AY537=1),AP537,0)</f>
        <v>0</v>
      </c>
      <c r="BN537">
        <f>IF(AND(AK537=SecureLabel,AY537=1),AP537,0)</f>
        <v>0</v>
      </c>
      <c r="BO537">
        <f>IF(AND(AK537=SureThingLabel,AY537=1),AP537,0)</f>
        <v>0</v>
      </c>
      <c r="BP537">
        <f>MAX(BK537:BO537)</f>
        <v>0</v>
      </c>
      <c r="BQ537">
        <f>MAX(BL537:BO537)</f>
        <v>0</v>
      </c>
      <c r="BR537">
        <f>MAX(BM537:BO537)</f>
        <v>0</v>
      </c>
      <c r="BS537">
        <f>IF(ISNUMBER(Y537),INDEX(AllCollegeChicago, MATCH(N537,AllCollegeNCES,0))*AY537,0)</f>
        <v>0</v>
      </c>
      <c r="BT537">
        <f>IF(ISNUMBER(Y537),INDEX(AllCollegeMoneyCode, MATCH(N537,AllCollegeNCES,0)),"?")</f>
        <v>0</v>
      </c>
      <c r="BU537">
        <f>IF(OR(BT537="---",BT537="--",BT537="+/--",BT537="+/---"),1,0)</f>
        <v>0</v>
      </c>
      <c r="BV537">
        <f>AY537*AO537*AQ537</f>
        <v>0</v>
      </c>
    </row>
    <row r="538" spans="1:74">
      <c r="A538" t="s">
        <v>86</v>
      </c>
      <c r="B538">
        <v>23477954</v>
      </c>
      <c r="C538" t="s">
        <v>236</v>
      </c>
      <c r="D538" t="s">
        <v>237</v>
      </c>
      <c r="E538" t="s">
        <v>428</v>
      </c>
      <c r="F538" t="s">
        <v>435</v>
      </c>
      <c r="G538" t="s">
        <v>430</v>
      </c>
      <c r="H538" t="s">
        <v>431</v>
      </c>
      <c r="I538" t="s">
        <v>432</v>
      </c>
      <c r="J538" t="s">
        <v>432</v>
      </c>
      <c r="K538">
        <v>0</v>
      </c>
      <c r="L538" t="s">
        <v>428</v>
      </c>
      <c r="M538" t="s">
        <v>428</v>
      </c>
      <c r="N538">
        <v>144892</v>
      </c>
      <c r="O538">
        <f>INDEX(AllCollegeBarrons,MATCH(N538,AllCollegeNCES,0))</f>
        <v>0</v>
      </c>
      <c r="P538">
        <f>INDEX(KidGPAs,MATCH(B538,KidIDs,0))</f>
        <v>0</v>
      </c>
      <c r="Q538">
        <f>INDEX(KidACTs,MATCH(B538,KidIDs,0))</f>
        <v>0</v>
      </c>
      <c r="R538">
        <f>INDEX(Strats,MATCH(B538,KidIDs,0))</f>
        <v>0</v>
      </c>
      <c r="S538">
        <f>INDEX(KidRace,MATCH(B538,KidIDs,0))</f>
        <v>0</v>
      </c>
      <c r="T538">
        <f>IF(OR(S538="M",S538="I"),"H",S538)</f>
        <v>0</v>
      </c>
      <c r="U538">
        <f>INDEX(StudentTargets,MATCH(B538,KidIDs,0))</f>
        <v>0</v>
      </c>
      <c r="V538">
        <f>INDEX(ReachStudentTargets,MATCH(B538,KidIDs,0))</f>
        <v>0</v>
      </c>
      <c r="W538">
        <f>IF(OR(M538="Posse"),1,0)</f>
        <v>0</v>
      </c>
      <c r="X538">
        <f>IF(ISNUMBER(INDEX(AllCollegeGR, MATCH(N538,AllCollegeNCES,0))),ROUND(INDEX(AllCollegeGR, MATCH(N538,AllCollegeNCES,0))+W538*IF(INDEX(AllCollegeGR, MATCH(N538,AllCollegeNCES,0))&gt;0.7,(1-INDEX(AllCollegeGR, MATCH(N538,AllCollegeNCES,0)))/2,0.15),2),INDEX(AllCollegeGR, MATCH(N538,AllCollegeNCES,0)))</f>
        <v>0</v>
      </c>
      <c r="Y538">
        <f>IF(ISNUMBER(INDEX(AllCollegeAAHGR, MATCH(N538,AllCollegeNCES,0))),ROUND(INDEX(AllCollegeAAHGR, MATCH(N538,AllCollegeNCES,0))+W538*IF(INDEX(AllCollegeAAHGR, MATCH(N538,AllCollegeNCES,0))&gt;0.7,(1-INDEX(AllCollegeAAHGR, MATCH(N538,AllCollegeNCES,0)))/2,0.15),2),INDEX(AllCollegeAAHGR, MATCH(N538,AllCollegeNCES,0)))</f>
        <v>0</v>
      </c>
      <c r="Z538">
        <f>IF(OR(T538="H",T538="B"),INDEX(AllCollegeACT25, MATCH(N538,AllCollegeNCES,0)),INDEX(AllCollegeACT50, MATCH(N538,AllCollegeNCES,0)))</f>
        <v>0</v>
      </c>
      <c r="AA538">
        <f>INDEX(CustomWeightsGPA,MATCH(T538&amp;":"&amp;N538,CustomWeightsIndex,0))</f>
        <v>0</v>
      </c>
      <c r="AB538">
        <f>INDEX(CustomWeightsACT,MATCH(T538&amp;":"&amp;N538,CustomWeightsIndex,0))</f>
        <v>0</v>
      </c>
      <c r="AC538">
        <f>INDEX(CustomWeightsIntercept,MATCH(T538&amp;":"&amp;N538,CustomWeightsIndex,0))</f>
        <v>0</v>
      </c>
      <c r="AD538">
        <f>AA538*P538+AB538*Q538+AC538</f>
        <v>0</v>
      </c>
      <c r="AE538">
        <f>INDEX(CoefficientsGPA,MATCH(T538&amp;":"&amp;O538,CoefficientsIndex,0))</f>
        <v>0</v>
      </c>
      <c r="AF538">
        <f>INDEX(CoefficientsACT,MATCH(T538&amp;":"&amp;O538,CoefficientsIndex,0))</f>
        <v>0</v>
      </c>
      <c r="AG538">
        <f>INDEX(CoefficientsIntercept,MATCH(T538&amp;":"&amp;O538,CoefficientsIndex,0))</f>
        <v>0</v>
      </c>
      <c r="AH538">
        <f>AE538*P538+(Q538-Z538)*AF538+AG538</f>
        <v>0</v>
      </c>
      <c r="AI538">
        <f>IF(ISNUMBER(AD538),AD538,AH538)</f>
        <v>0</v>
      </c>
      <c r="AJ538">
        <f>IF(ISNUMBER(AI538),IF(ISNUMBER(AE538),IF(AND(AE538=1,AF538=1,AG538=1),100,ROUND(100*EXP(AI538)/(1+EXP(AI538)),2)),ROUND(100*EXP(AI538)/(1+EXP(AI538)),2)),IF(ISTEXT(O538),IF(LEFT(O538,1)="2",100,"N/A"),"N/A"))</f>
        <v>0</v>
      </c>
      <c r="AK538">
        <f>IF(ISNUMBER(AJ538),IF(AJ538&gt;=99,IF(OR(R538=10,R538=11),MatchLabel,SureThingLabel),IF(AJ538&gt;=95,SecureLabel,IF(AJ538&gt;=80,SafetyLabel,IF(AJ538&gt;=50,MatchLabel,IF(AJ538&gt;=20,ReachLabel,IF(AJ538&gt;=10,LongshotLabel,HailMaryLabel)))))),"Other")</f>
        <v>0</v>
      </c>
      <c r="AL538">
        <f>IF(OR(I538="accepted",I538="cond. accept",I538="summer admit"),IF(J538="yes","CHOICE!","Accepted!"),IF(I538="denied","Denied",IF(K538=1,"Waitlist",IF(L538=1,"Deferred",IF(G538="pending","Pending",IF(OR(G538="initial materials submitted",G538="mid-year submitted",G538="final submitted"),"Submitted",IF(H538="interest","Interest","?")))))))</f>
        <v>0</v>
      </c>
      <c r="AM538">
        <f>IF(OR(AK538=ReachLabel,AK538=LongshotLabel,AK538=HailMaryLabel),1,0)</f>
        <v>0</v>
      </c>
      <c r="AN538">
        <f>IF(OR(AM538=1,AK538=MatchLabel),1,0)</f>
        <v>0</v>
      </c>
      <c r="AO538">
        <f>IF(OR(AK538=MatchLabel,AK538=SafetyLabel,AK538=SecureLabel,AK538=SureThingLabel),1,0)</f>
        <v>0</v>
      </c>
      <c r="AP538">
        <f>IF(OR(T538="H",T538="B"),IF(ISNUMBER(Y538),ROUND(Y538,2),0),IF(ISNUMBER(X538),ROUND(X538,2),0))</f>
        <v>0</v>
      </c>
      <c r="AQ538">
        <f>IF(AP538&gt;=U538,1,0)</f>
        <v>0</v>
      </c>
      <c r="AR538">
        <f>IF(AP538&gt;=V538,1,0)</f>
        <v>0</v>
      </c>
      <c r="AS538">
        <f>IF(AP538&lt;(U538-0.10),1,0)</f>
        <v>0</v>
      </c>
      <c r="AT538">
        <f>1-AJ538/100</f>
        <v>0</v>
      </c>
      <c r="AU538">
        <f>IF(AN538=1,AT538,1)</f>
        <v>0</v>
      </c>
      <c r="AV538">
        <f>IF(AM538=1,AT538,1)</f>
        <v>0</v>
      </c>
      <c r="AW538">
        <f>IF(AND(AQ538=1,ISNUMBER(AT538)),$AT538,1)</f>
        <v>0</v>
      </c>
      <c r="AX538">
        <f>IF(AND(AR538=1,ISNUMBER(AT538)),$AT538,1)</f>
        <v>0</v>
      </c>
      <c r="AY538">
        <f>IF(ISNUMBER(Y538),INDEX(AllCollegeMoney, MATCH(N538,AllCollegeNCES,0)),0)</f>
        <v>0</v>
      </c>
      <c r="AZ538">
        <f>IF(AND(AQ538=1,ISNUMBER(AT538),AY538=1),$AT538,1)</f>
        <v>0</v>
      </c>
      <c r="BA538">
        <f>IF(AND(AR538=1,ISNUMBER(AT538),AY538=1),$AT538,1)</f>
        <v>0</v>
      </c>
      <c r="BB538">
        <f>IF(ISNUMBER(Y538),INDEX(AllCollegeILPub, MATCH(N538,AllCollegeNCES,0)),0)</f>
        <v>0</v>
      </c>
      <c r="BC538">
        <f>IF(AK538=ReachLabel,AP538,0)</f>
        <v>0</v>
      </c>
      <c r="BD538">
        <f>IF(AK538=MatchLabel,AP538,0)</f>
        <v>0</v>
      </c>
      <c r="BE538">
        <f>IF(AK538=SafetyLabel,AP538,0)</f>
        <v>0</v>
      </c>
      <c r="BF538">
        <f>IF(AK538=SecureLabel,AP538,0)</f>
        <v>0</v>
      </c>
      <c r="BG538">
        <f>IF(AK538=SureThingLabel,AP538,0)</f>
        <v>0</v>
      </c>
      <c r="BH538">
        <f>MAX(BC538:BG538)</f>
        <v>0</v>
      </c>
      <c r="BI538">
        <f>MAX(BD538:BG538)</f>
        <v>0</v>
      </c>
      <c r="BJ538">
        <f>MAX(BE538:BG538)</f>
        <v>0</v>
      </c>
      <c r="BK538">
        <f>IF(AND(AK538=ReachLabel,AY538=1),AP538,0)</f>
        <v>0</v>
      </c>
      <c r="BL538">
        <f>IF(AND(AK538=MatchLabel,AY538=1),AP538,0)</f>
        <v>0</v>
      </c>
      <c r="BM538">
        <f>IF(AND(AK538=SafetyLabel,AY538=1),AP538,0)</f>
        <v>0</v>
      </c>
      <c r="BN538">
        <f>IF(AND(AK538=SecureLabel,AY538=1),AP538,0)</f>
        <v>0</v>
      </c>
      <c r="BO538">
        <f>IF(AND(AK538=SureThingLabel,AY538=1),AP538,0)</f>
        <v>0</v>
      </c>
      <c r="BP538">
        <f>MAX(BK538:BO538)</f>
        <v>0</v>
      </c>
      <c r="BQ538">
        <f>MAX(BL538:BO538)</f>
        <v>0</v>
      </c>
      <c r="BR538">
        <f>MAX(BM538:BO538)</f>
        <v>0</v>
      </c>
      <c r="BS538">
        <f>IF(ISNUMBER(Y538),INDEX(AllCollegeChicago, MATCH(N538,AllCollegeNCES,0))*AY538,0)</f>
        <v>0</v>
      </c>
      <c r="BT538">
        <f>IF(ISNUMBER(Y538),INDEX(AllCollegeMoneyCode, MATCH(N538,AllCollegeNCES,0)),"?")</f>
        <v>0</v>
      </c>
      <c r="BU538">
        <f>IF(OR(BT538="---",BT538="--",BT538="+/--",BT538="+/---"),1,0)</f>
        <v>0</v>
      </c>
      <c r="BV538">
        <f>AY538*AO538*AQ538</f>
        <v>0</v>
      </c>
    </row>
    <row r="539" spans="1:74">
      <c r="A539" t="s">
        <v>86</v>
      </c>
      <c r="B539">
        <v>23477954</v>
      </c>
      <c r="C539" t="s">
        <v>236</v>
      </c>
      <c r="D539" t="s">
        <v>237</v>
      </c>
      <c r="E539" t="s">
        <v>428</v>
      </c>
      <c r="F539" t="s">
        <v>437</v>
      </c>
      <c r="G539" t="s">
        <v>430</v>
      </c>
      <c r="H539" t="s">
        <v>431</v>
      </c>
      <c r="I539" t="s">
        <v>432</v>
      </c>
      <c r="J539" t="s">
        <v>432</v>
      </c>
      <c r="K539">
        <v>0</v>
      </c>
      <c r="L539" t="s">
        <v>428</v>
      </c>
      <c r="M539" t="s">
        <v>428</v>
      </c>
      <c r="N539">
        <v>149772</v>
      </c>
      <c r="O539">
        <f>INDEX(AllCollegeBarrons,MATCH(N539,AllCollegeNCES,0))</f>
        <v>0</v>
      </c>
      <c r="P539">
        <f>INDEX(KidGPAs,MATCH(B539,KidIDs,0))</f>
        <v>0</v>
      </c>
      <c r="Q539">
        <f>INDEX(KidACTs,MATCH(B539,KidIDs,0))</f>
        <v>0</v>
      </c>
      <c r="R539">
        <f>INDEX(Strats,MATCH(B539,KidIDs,0))</f>
        <v>0</v>
      </c>
      <c r="S539">
        <f>INDEX(KidRace,MATCH(B539,KidIDs,0))</f>
        <v>0</v>
      </c>
      <c r="T539">
        <f>IF(OR(S539="M",S539="I"),"H",S539)</f>
        <v>0</v>
      </c>
      <c r="U539">
        <f>INDEX(StudentTargets,MATCH(B539,KidIDs,0))</f>
        <v>0</v>
      </c>
      <c r="V539">
        <f>INDEX(ReachStudentTargets,MATCH(B539,KidIDs,0))</f>
        <v>0</v>
      </c>
      <c r="W539">
        <f>IF(OR(M539="Posse"),1,0)</f>
        <v>0</v>
      </c>
      <c r="X539">
        <f>IF(ISNUMBER(INDEX(AllCollegeGR, MATCH(N539,AllCollegeNCES,0))),ROUND(INDEX(AllCollegeGR, MATCH(N539,AllCollegeNCES,0))+W539*IF(INDEX(AllCollegeGR, MATCH(N539,AllCollegeNCES,0))&gt;0.7,(1-INDEX(AllCollegeGR, MATCH(N539,AllCollegeNCES,0)))/2,0.15),2),INDEX(AllCollegeGR, MATCH(N539,AllCollegeNCES,0)))</f>
        <v>0</v>
      </c>
      <c r="Y539">
        <f>IF(ISNUMBER(INDEX(AllCollegeAAHGR, MATCH(N539,AllCollegeNCES,0))),ROUND(INDEX(AllCollegeAAHGR, MATCH(N539,AllCollegeNCES,0))+W539*IF(INDEX(AllCollegeAAHGR, MATCH(N539,AllCollegeNCES,0))&gt;0.7,(1-INDEX(AllCollegeAAHGR, MATCH(N539,AllCollegeNCES,0)))/2,0.15),2),INDEX(AllCollegeAAHGR, MATCH(N539,AllCollegeNCES,0)))</f>
        <v>0</v>
      </c>
      <c r="Z539">
        <f>IF(OR(T539="H",T539="B"),INDEX(AllCollegeACT25, MATCH(N539,AllCollegeNCES,0)),INDEX(AllCollegeACT50, MATCH(N539,AllCollegeNCES,0)))</f>
        <v>0</v>
      </c>
      <c r="AA539">
        <f>INDEX(CustomWeightsGPA,MATCH(T539&amp;":"&amp;N539,CustomWeightsIndex,0))</f>
        <v>0</v>
      </c>
      <c r="AB539">
        <f>INDEX(CustomWeightsACT,MATCH(T539&amp;":"&amp;N539,CustomWeightsIndex,0))</f>
        <v>0</v>
      </c>
      <c r="AC539">
        <f>INDEX(CustomWeightsIntercept,MATCH(T539&amp;":"&amp;N539,CustomWeightsIndex,0))</f>
        <v>0</v>
      </c>
      <c r="AD539">
        <f>AA539*P539+AB539*Q539+AC539</f>
        <v>0</v>
      </c>
      <c r="AE539">
        <f>INDEX(CoefficientsGPA,MATCH(T539&amp;":"&amp;O539,CoefficientsIndex,0))</f>
        <v>0</v>
      </c>
      <c r="AF539">
        <f>INDEX(CoefficientsACT,MATCH(T539&amp;":"&amp;O539,CoefficientsIndex,0))</f>
        <v>0</v>
      </c>
      <c r="AG539">
        <f>INDEX(CoefficientsIntercept,MATCH(T539&amp;":"&amp;O539,CoefficientsIndex,0))</f>
        <v>0</v>
      </c>
      <c r="AH539">
        <f>AE539*P539+(Q539-Z539)*AF539+AG539</f>
        <v>0</v>
      </c>
      <c r="AI539">
        <f>IF(ISNUMBER(AD539),AD539,AH539)</f>
        <v>0</v>
      </c>
      <c r="AJ539">
        <f>IF(ISNUMBER(AI539),IF(ISNUMBER(AE539),IF(AND(AE539=1,AF539=1,AG539=1),100,ROUND(100*EXP(AI539)/(1+EXP(AI539)),2)),ROUND(100*EXP(AI539)/(1+EXP(AI539)),2)),IF(ISTEXT(O539),IF(LEFT(O539,1)="2",100,"N/A"),"N/A"))</f>
        <v>0</v>
      </c>
      <c r="AK539">
        <f>IF(ISNUMBER(AJ539),IF(AJ539&gt;=99,IF(OR(R539=10,R539=11),MatchLabel,SureThingLabel),IF(AJ539&gt;=95,SecureLabel,IF(AJ539&gt;=80,SafetyLabel,IF(AJ539&gt;=50,MatchLabel,IF(AJ539&gt;=20,ReachLabel,IF(AJ539&gt;=10,LongshotLabel,HailMaryLabel)))))),"Other")</f>
        <v>0</v>
      </c>
      <c r="AL539">
        <f>IF(OR(I539="accepted",I539="cond. accept",I539="summer admit"),IF(J539="yes","CHOICE!","Accepted!"),IF(I539="denied","Denied",IF(K539=1,"Waitlist",IF(L539=1,"Deferred",IF(G539="pending","Pending",IF(OR(G539="initial materials submitted",G539="mid-year submitted",G539="final submitted"),"Submitted",IF(H539="interest","Interest","?")))))))</f>
        <v>0</v>
      </c>
      <c r="AM539">
        <f>IF(OR(AK539=ReachLabel,AK539=LongshotLabel,AK539=HailMaryLabel),1,0)</f>
        <v>0</v>
      </c>
      <c r="AN539">
        <f>IF(OR(AM539=1,AK539=MatchLabel),1,0)</f>
        <v>0</v>
      </c>
      <c r="AO539">
        <f>IF(OR(AK539=MatchLabel,AK539=SafetyLabel,AK539=SecureLabel,AK539=SureThingLabel),1,0)</f>
        <v>0</v>
      </c>
      <c r="AP539">
        <f>IF(OR(T539="H",T539="B"),IF(ISNUMBER(Y539),ROUND(Y539,2),0),IF(ISNUMBER(X539),ROUND(X539,2),0))</f>
        <v>0</v>
      </c>
      <c r="AQ539">
        <f>IF(AP539&gt;=U539,1,0)</f>
        <v>0</v>
      </c>
      <c r="AR539">
        <f>IF(AP539&gt;=V539,1,0)</f>
        <v>0</v>
      </c>
      <c r="AS539">
        <f>IF(AP539&lt;(U539-0.10),1,0)</f>
        <v>0</v>
      </c>
      <c r="AT539">
        <f>1-AJ539/100</f>
        <v>0</v>
      </c>
      <c r="AU539">
        <f>IF(AN539=1,AT539,1)</f>
        <v>0</v>
      </c>
      <c r="AV539">
        <f>IF(AM539=1,AT539,1)</f>
        <v>0</v>
      </c>
      <c r="AW539">
        <f>IF(AND(AQ539=1,ISNUMBER(AT539)),$AT539,1)</f>
        <v>0</v>
      </c>
      <c r="AX539">
        <f>IF(AND(AR539=1,ISNUMBER(AT539)),$AT539,1)</f>
        <v>0</v>
      </c>
      <c r="AY539">
        <f>IF(ISNUMBER(Y539),INDEX(AllCollegeMoney, MATCH(N539,AllCollegeNCES,0)),0)</f>
        <v>0</v>
      </c>
      <c r="AZ539">
        <f>IF(AND(AQ539=1,ISNUMBER(AT539),AY539=1),$AT539,1)</f>
        <v>0</v>
      </c>
      <c r="BA539">
        <f>IF(AND(AR539=1,ISNUMBER(AT539),AY539=1),$AT539,1)</f>
        <v>0</v>
      </c>
      <c r="BB539">
        <f>IF(ISNUMBER(Y539),INDEX(AllCollegeILPub, MATCH(N539,AllCollegeNCES,0)),0)</f>
        <v>0</v>
      </c>
      <c r="BC539">
        <f>IF(AK539=ReachLabel,AP539,0)</f>
        <v>0</v>
      </c>
      <c r="BD539">
        <f>IF(AK539=MatchLabel,AP539,0)</f>
        <v>0</v>
      </c>
      <c r="BE539">
        <f>IF(AK539=SafetyLabel,AP539,0)</f>
        <v>0</v>
      </c>
      <c r="BF539">
        <f>IF(AK539=SecureLabel,AP539,0)</f>
        <v>0</v>
      </c>
      <c r="BG539">
        <f>IF(AK539=SureThingLabel,AP539,0)</f>
        <v>0</v>
      </c>
      <c r="BH539">
        <f>MAX(BC539:BG539)</f>
        <v>0</v>
      </c>
      <c r="BI539">
        <f>MAX(BD539:BG539)</f>
        <v>0</v>
      </c>
      <c r="BJ539">
        <f>MAX(BE539:BG539)</f>
        <v>0</v>
      </c>
      <c r="BK539">
        <f>IF(AND(AK539=ReachLabel,AY539=1),AP539,0)</f>
        <v>0</v>
      </c>
      <c r="BL539">
        <f>IF(AND(AK539=MatchLabel,AY539=1),AP539,0)</f>
        <v>0</v>
      </c>
      <c r="BM539">
        <f>IF(AND(AK539=SafetyLabel,AY539=1),AP539,0)</f>
        <v>0</v>
      </c>
      <c r="BN539">
        <f>IF(AND(AK539=SecureLabel,AY539=1),AP539,0)</f>
        <v>0</v>
      </c>
      <c r="BO539">
        <f>IF(AND(AK539=SureThingLabel,AY539=1),AP539,0)</f>
        <v>0</v>
      </c>
      <c r="BP539">
        <f>MAX(BK539:BO539)</f>
        <v>0</v>
      </c>
      <c r="BQ539">
        <f>MAX(BL539:BO539)</f>
        <v>0</v>
      </c>
      <c r="BR539">
        <f>MAX(BM539:BO539)</f>
        <v>0</v>
      </c>
      <c r="BS539">
        <f>IF(ISNUMBER(Y539),INDEX(AllCollegeChicago, MATCH(N539,AllCollegeNCES,0))*AY539,0)</f>
        <v>0</v>
      </c>
      <c r="BT539">
        <f>IF(ISNUMBER(Y539),INDEX(AllCollegeMoneyCode, MATCH(N539,AllCollegeNCES,0)),"?")</f>
        <v>0</v>
      </c>
      <c r="BU539">
        <f>IF(OR(BT539="---",BT539="--",BT539="+/--",BT539="+/---"),1,0)</f>
        <v>0</v>
      </c>
      <c r="BV539">
        <f>AY539*AO539*AQ539</f>
        <v>0</v>
      </c>
    </row>
    <row r="540" spans="1:74">
      <c r="A540" t="s">
        <v>86</v>
      </c>
      <c r="B540">
        <v>23477954</v>
      </c>
      <c r="C540" t="s">
        <v>236</v>
      </c>
      <c r="D540" t="s">
        <v>237</v>
      </c>
      <c r="E540" t="s">
        <v>428</v>
      </c>
      <c r="F540" t="s">
        <v>438</v>
      </c>
      <c r="G540" t="s">
        <v>430</v>
      </c>
      <c r="H540" t="s">
        <v>431</v>
      </c>
      <c r="I540" t="s">
        <v>432</v>
      </c>
      <c r="J540" t="s">
        <v>432</v>
      </c>
      <c r="K540">
        <v>0</v>
      </c>
      <c r="L540" t="s">
        <v>428</v>
      </c>
      <c r="M540" t="s">
        <v>439</v>
      </c>
      <c r="N540">
        <v>150774</v>
      </c>
      <c r="O540">
        <f>INDEX(AllCollegeBarrons,MATCH(N540,AllCollegeNCES,0))</f>
        <v>0</v>
      </c>
      <c r="P540">
        <f>INDEX(KidGPAs,MATCH(B540,KidIDs,0))</f>
        <v>0</v>
      </c>
      <c r="Q540">
        <f>INDEX(KidACTs,MATCH(B540,KidIDs,0))</f>
        <v>0</v>
      </c>
      <c r="R540">
        <f>INDEX(Strats,MATCH(B540,KidIDs,0))</f>
        <v>0</v>
      </c>
      <c r="S540">
        <f>INDEX(KidRace,MATCH(B540,KidIDs,0))</f>
        <v>0</v>
      </c>
      <c r="T540">
        <f>IF(OR(S540="M",S540="I"),"H",S540)</f>
        <v>0</v>
      </c>
      <c r="U540">
        <f>INDEX(StudentTargets,MATCH(B540,KidIDs,0))</f>
        <v>0</v>
      </c>
      <c r="V540">
        <f>INDEX(ReachStudentTargets,MATCH(B540,KidIDs,0))</f>
        <v>0</v>
      </c>
      <c r="W540">
        <f>IF(OR(M540="Posse"),1,0)</f>
        <v>0</v>
      </c>
      <c r="X540">
        <f>IF(ISNUMBER(INDEX(AllCollegeGR, MATCH(N540,AllCollegeNCES,0))),ROUND(INDEX(AllCollegeGR, MATCH(N540,AllCollegeNCES,0))+W540*IF(INDEX(AllCollegeGR, MATCH(N540,AllCollegeNCES,0))&gt;0.7,(1-INDEX(AllCollegeGR, MATCH(N540,AllCollegeNCES,0)))/2,0.15),2),INDEX(AllCollegeGR, MATCH(N540,AllCollegeNCES,0)))</f>
        <v>0</v>
      </c>
      <c r="Y540">
        <f>IF(ISNUMBER(INDEX(AllCollegeAAHGR, MATCH(N540,AllCollegeNCES,0))),ROUND(INDEX(AllCollegeAAHGR, MATCH(N540,AllCollegeNCES,0))+W540*IF(INDEX(AllCollegeAAHGR, MATCH(N540,AllCollegeNCES,0))&gt;0.7,(1-INDEX(AllCollegeAAHGR, MATCH(N540,AllCollegeNCES,0)))/2,0.15),2),INDEX(AllCollegeAAHGR, MATCH(N540,AllCollegeNCES,0)))</f>
        <v>0</v>
      </c>
      <c r="Z540">
        <f>IF(OR(T540="H",T540="B"),INDEX(AllCollegeACT25, MATCH(N540,AllCollegeNCES,0)),INDEX(AllCollegeACT50, MATCH(N540,AllCollegeNCES,0)))</f>
        <v>0</v>
      </c>
      <c r="AA540">
        <f>INDEX(CustomWeightsGPA,MATCH(T540&amp;":"&amp;N540,CustomWeightsIndex,0))</f>
        <v>0</v>
      </c>
      <c r="AB540">
        <f>INDEX(CustomWeightsACT,MATCH(T540&amp;":"&amp;N540,CustomWeightsIndex,0))</f>
        <v>0</v>
      </c>
      <c r="AC540">
        <f>INDEX(CustomWeightsIntercept,MATCH(T540&amp;":"&amp;N540,CustomWeightsIndex,0))</f>
        <v>0</v>
      </c>
      <c r="AD540">
        <f>AA540*P540+AB540*Q540+AC540</f>
        <v>0</v>
      </c>
      <c r="AE540">
        <f>INDEX(CoefficientsGPA,MATCH(T540&amp;":"&amp;O540,CoefficientsIndex,0))</f>
        <v>0</v>
      </c>
      <c r="AF540">
        <f>INDEX(CoefficientsACT,MATCH(T540&amp;":"&amp;O540,CoefficientsIndex,0))</f>
        <v>0</v>
      </c>
      <c r="AG540">
        <f>INDEX(CoefficientsIntercept,MATCH(T540&amp;":"&amp;O540,CoefficientsIndex,0))</f>
        <v>0</v>
      </c>
      <c r="AH540">
        <f>AE540*P540+(Q540-Z540)*AF540+AG540</f>
        <v>0</v>
      </c>
      <c r="AI540">
        <f>IF(ISNUMBER(AD540),AD540,AH540)</f>
        <v>0</v>
      </c>
      <c r="AJ540">
        <f>IF(ISNUMBER(AI540),IF(ISNUMBER(AE540),IF(AND(AE540=1,AF540=1,AG540=1),100,ROUND(100*EXP(AI540)/(1+EXP(AI540)),2)),ROUND(100*EXP(AI540)/(1+EXP(AI540)),2)),IF(ISTEXT(O540),IF(LEFT(O540,1)="2",100,"N/A"),"N/A"))</f>
        <v>0</v>
      </c>
      <c r="AK540">
        <f>IF(ISNUMBER(AJ540),IF(AJ540&gt;=99,IF(OR(R540=10,R540=11),MatchLabel,SureThingLabel),IF(AJ540&gt;=95,SecureLabel,IF(AJ540&gt;=80,SafetyLabel,IF(AJ540&gt;=50,MatchLabel,IF(AJ540&gt;=20,ReachLabel,IF(AJ540&gt;=10,LongshotLabel,HailMaryLabel)))))),"Other")</f>
        <v>0</v>
      </c>
      <c r="AL540">
        <f>IF(OR(I540="accepted",I540="cond. accept",I540="summer admit"),IF(J540="yes","CHOICE!","Accepted!"),IF(I540="denied","Denied",IF(K540=1,"Waitlist",IF(L540=1,"Deferred",IF(G540="pending","Pending",IF(OR(G540="initial materials submitted",G540="mid-year submitted",G540="final submitted"),"Submitted",IF(H540="interest","Interest","?")))))))</f>
        <v>0</v>
      </c>
      <c r="AM540">
        <f>IF(OR(AK540=ReachLabel,AK540=LongshotLabel,AK540=HailMaryLabel),1,0)</f>
        <v>0</v>
      </c>
      <c r="AN540">
        <f>IF(OR(AM540=1,AK540=MatchLabel),1,0)</f>
        <v>0</v>
      </c>
      <c r="AO540">
        <f>IF(OR(AK540=MatchLabel,AK540=SafetyLabel,AK540=SecureLabel,AK540=SureThingLabel),1,0)</f>
        <v>0</v>
      </c>
      <c r="AP540">
        <f>IF(OR(T540="H",T540="B"),IF(ISNUMBER(Y540),ROUND(Y540,2),0),IF(ISNUMBER(X540),ROUND(X540,2),0))</f>
        <v>0</v>
      </c>
      <c r="AQ540">
        <f>IF(AP540&gt;=U540,1,0)</f>
        <v>0</v>
      </c>
      <c r="AR540">
        <f>IF(AP540&gt;=V540,1,0)</f>
        <v>0</v>
      </c>
      <c r="AS540">
        <f>IF(AP540&lt;(U540-0.10),1,0)</f>
        <v>0</v>
      </c>
      <c r="AT540">
        <f>1-AJ540/100</f>
        <v>0</v>
      </c>
      <c r="AU540">
        <f>IF(AN540=1,AT540,1)</f>
        <v>0</v>
      </c>
      <c r="AV540">
        <f>IF(AM540=1,AT540,1)</f>
        <v>0</v>
      </c>
      <c r="AW540">
        <f>IF(AND(AQ540=1,ISNUMBER(AT540)),$AT540,1)</f>
        <v>0</v>
      </c>
      <c r="AX540">
        <f>IF(AND(AR540=1,ISNUMBER(AT540)),$AT540,1)</f>
        <v>0</v>
      </c>
      <c r="AY540">
        <f>IF(ISNUMBER(Y540),INDEX(AllCollegeMoney, MATCH(N540,AllCollegeNCES,0)),0)</f>
        <v>0</v>
      </c>
      <c r="AZ540">
        <f>IF(AND(AQ540=1,ISNUMBER(AT540),AY540=1),$AT540,1)</f>
        <v>0</v>
      </c>
      <c r="BA540">
        <f>IF(AND(AR540=1,ISNUMBER(AT540),AY540=1),$AT540,1)</f>
        <v>0</v>
      </c>
      <c r="BB540">
        <f>IF(ISNUMBER(Y540),INDEX(AllCollegeILPub, MATCH(N540,AllCollegeNCES,0)),0)</f>
        <v>0</v>
      </c>
      <c r="BC540">
        <f>IF(AK540=ReachLabel,AP540,0)</f>
        <v>0</v>
      </c>
      <c r="BD540">
        <f>IF(AK540=MatchLabel,AP540,0)</f>
        <v>0</v>
      </c>
      <c r="BE540">
        <f>IF(AK540=SafetyLabel,AP540,0)</f>
        <v>0</v>
      </c>
      <c r="BF540">
        <f>IF(AK540=SecureLabel,AP540,0)</f>
        <v>0</v>
      </c>
      <c r="BG540">
        <f>IF(AK540=SureThingLabel,AP540,0)</f>
        <v>0</v>
      </c>
      <c r="BH540">
        <f>MAX(BC540:BG540)</f>
        <v>0</v>
      </c>
      <c r="BI540">
        <f>MAX(BD540:BG540)</f>
        <v>0</v>
      </c>
      <c r="BJ540">
        <f>MAX(BE540:BG540)</f>
        <v>0</v>
      </c>
      <c r="BK540">
        <f>IF(AND(AK540=ReachLabel,AY540=1),AP540,0)</f>
        <v>0</v>
      </c>
      <c r="BL540">
        <f>IF(AND(AK540=MatchLabel,AY540=1),AP540,0)</f>
        <v>0</v>
      </c>
      <c r="BM540">
        <f>IF(AND(AK540=SafetyLabel,AY540=1),AP540,0)</f>
        <v>0</v>
      </c>
      <c r="BN540">
        <f>IF(AND(AK540=SecureLabel,AY540=1),AP540,0)</f>
        <v>0</v>
      </c>
      <c r="BO540">
        <f>IF(AND(AK540=SureThingLabel,AY540=1),AP540,0)</f>
        <v>0</v>
      </c>
      <c r="BP540">
        <f>MAX(BK540:BO540)</f>
        <v>0</v>
      </c>
      <c r="BQ540">
        <f>MAX(BL540:BO540)</f>
        <v>0</v>
      </c>
      <c r="BR540">
        <f>MAX(BM540:BO540)</f>
        <v>0</v>
      </c>
      <c r="BS540">
        <f>IF(ISNUMBER(Y540),INDEX(AllCollegeChicago, MATCH(N540,AllCollegeNCES,0))*AY540,0)</f>
        <v>0</v>
      </c>
      <c r="BT540">
        <f>IF(ISNUMBER(Y540),INDEX(AllCollegeMoneyCode, MATCH(N540,AllCollegeNCES,0)),"?")</f>
        <v>0</v>
      </c>
      <c r="BU540">
        <f>IF(OR(BT540="---",BT540="--",BT540="+/--",BT540="+/---"),1,0)</f>
        <v>0</v>
      </c>
      <c r="BV540">
        <f>AY540*AO540*AQ540</f>
        <v>0</v>
      </c>
    </row>
    <row r="541" spans="1:74">
      <c r="A541" t="s">
        <v>86</v>
      </c>
      <c r="B541">
        <v>23477954</v>
      </c>
      <c r="C541" t="s">
        <v>236</v>
      </c>
      <c r="D541" t="s">
        <v>237</v>
      </c>
      <c r="E541" t="s">
        <v>428</v>
      </c>
      <c r="F541" t="s">
        <v>440</v>
      </c>
      <c r="G541" t="s">
        <v>430</v>
      </c>
      <c r="H541" t="s">
        <v>431</v>
      </c>
      <c r="I541" t="s">
        <v>432</v>
      </c>
      <c r="J541" t="s">
        <v>432</v>
      </c>
      <c r="K541">
        <v>0</v>
      </c>
      <c r="L541" t="s">
        <v>428</v>
      </c>
      <c r="M541" t="s">
        <v>428</v>
      </c>
      <c r="N541">
        <v>147703</v>
      </c>
      <c r="O541">
        <f>INDEX(AllCollegeBarrons,MATCH(N541,AllCollegeNCES,0))</f>
        <v>0</v>
      </c>
      <c r="P541">
        <f>INDEX(KidGPAs,MATCH(B541,KidIDs,0))</f>
        <v>0</v>
      </c>
      <c r="Q541">
        <f>INDEX(KidACTs,MATCH(B541,KidIDs,0))</f>
        <v>0</v>
      </c>
      <c r="R541">
        <f>INDEX(Strats,MATCH(B541,KidIDs,0))</f>
        <v>0</v>
      </c>
      <c r="S541">
        <f>INDEX(KidRace,MATCH(B541,KidIDs,0))</f>
        <v>0</v>
      </c>
      <c r="T541">
        <f>IF(OR(S541="M",S541="I"),"H",S541)</f>
        <v>0</v>
      </c>
      <c r="U541">
        <f>INDEX(StudentTargets,MATCH(B541,KidIDs,0))</f>
        <v>0</v>
      </c>
      <c r="V541">
        <f>INDEX(ReachStudentTargets,MATCH(B541,KidIDs,0))</f>
        <v>0</v>
      </c>
      <c r="W541">
        <f>IF(OR(M541="Posse"),1,0)</f>
        <v>0</v>
      </c>
      <c r="X541">
        <f>IF(ISNUMBER(INDEX(AllCollegeGR, MATCH(N541,AllCollegeNCES,0))),ROUND(INDEX(AllCollegeGR, MATCH(N541,AllCollegeNCES,0))+W541*IF(INDEX(AllCollegeGR, MATCH(N541,AllCollegeNCES,0))&gt;0.7,(1-INDEX(AllCollegeGR, MATCH(N541,AllCollegeNCES,0)))/2,0.15),2),INDEX(AllCollegeGR, MATCH(N541,AllCollegeNCES,0)))</f>
        <v>0</v>
      </c>
      <c r="Y541">
        <f>IF(ISNUMBER(INDEX(AllCollegeAAHGR, MATCH(N541,AllCollegeNCES,0))),ROUND(INDEX(AllCollegeAAHGR, MATCH(N541,AllCollegeNCES,0))+W541*IF(INDEX(AllCollegeAAHGR, MATCH(N541,AllCollegeNCES,0))&gt;0.7,(1-INDEX(AllCollegeAAHGR, MATCH(N541,AllCollegeNCES,0)))/2,0.15),2),INDEX(AllCollegeAAHGR, MATCH(N541,AllCollegeNCES,0)))</f>
        <v>0</v>
      </c>
      <c r="Z541">
        <f>IF(OR(T541="H",T541="B"),INDEX(AllCollegeACT25, MATCH(N541,AllCollegeNCES,0)),INDEX(AllCollegeACT50, MATCH(N541,AllCollegeNCES,0)))</f>
        <v>0</v>
      </c>
      <c r="AA541">
        <f>INDEX(CustomWeightsGPA,MATCH(T541&amp;":"&amp;N541,CustomWeightsIndex,0))</f>
        <v>0</v>
      </c>
      <c r="AB541">
        <f>INDEX(CustomWeightsACT,MATCH(T541&amp;":"&amp;N541,CustomWeightsIndex,0))</f>
        <v>0</v>
      </c>
      <c r="AC541">
        <f>INDEX(CustomWeightsIntercept,MATCH(T541&amp;":"&amp;N541,CustomWeightsIndex,0))</f>
        <v>0</v>
      </c>
      <c r="AD541">
        <f>AA541*P541+AB541*Q541+AC541</f>
        <v>0</v>
      </c>
      <c r="AE541">
        <f>INDEX(CoefficientsGPA,MATCH(T541&amp;":"&amp;O541,CoefficientsIndex,0))</f>
        <v>0</v>
      </c>
      <c r="AF541">
        <f>INDEX(CoefficientsACT,MATCH(T541&amp;":"&amp;O541,CoefficientsIndex,0))</f>
        <v>0</v>
      </c>
      <c r="AG541">
        <f>INDEX(CoefficientsIntercept,MATCH(T541&amp;":"&amp;O541,CoefficientsIndex,0))</f>
        <v>0</v>
      </c>
      <c r="AH541">
        <f>AE541*P541+(Q541-Z541)*AF541+AG541</f>
        <v>0</v>
      </c>
      <c r="AI541">
        <f>IF(ISNUMBER(AD541),AD541,AH541)</f>
        <v>0</v>
      </c>
      <c r="AJ541">
        <f>IF(ISNUMBER(AI541),IF(ISNUMBER(AE541),IF(AND(AE541=1,AF541=1,AG541=1),100,ROUND(100*EXP(AI541)/(1+EXP(AI541)),2)),ROUND(100*EXP(AI541)/(1+EXP(AI541)),2)),IF(ISTEXT(O541),IF(LEFT(O541,1)="2",100,"N/A"),"N/A"))</f>
        <v>0</v>
      </c>
      <c r="AK541">
        <f>IF(ISNUMBER(AJ541),IF(AJ541&gt;=99,IF(OR(R541=10,R541=11),MatchLabel,SureThingLabel),IF(AJ541&gt;=95,SecureLabel,IF(AJ541&gt;=80,SafetyLabel,IF(AJ541&gt;=50,MatchLabel,IF(AJ541&gt;=20,ReachLabel,IF(AJ541&gt;=10,LongshotLabel,HailMaryLabel)))))),"Other")</f>
        <v>0</v>
      </c>
      <c r="AL541">
        <f>IF(OR(I541="accepted",I541="cond. accept",I541="summer admit"),IF(J541="yes","CHOICE!","Accepted!"),IF(I541="denied","Denied",IF(K541=1,"Waitlist",IF(L541=1,"Deferred",IF(G541="pending","Pending",IF(OR(G541="initial materials submitted",G541="mid-year submitted",G541="final submitted"),"Submitted",IF(H541="interest","Interest","?")))))))</f>
        <v>0</v>
      </c>
      <c r="AM541">
        <f>IF(OR(AK541=ReachLabel,AK541=LongshotLabel,AK541=HailMaryLabel),1,0)</f>
        <v>0</v>
      </c>
      <c r="AN541">
        <f>IF(OR(AM541=1,AK541=MatchLabel),1,0)</f>
        <v>0</v>
      </c>
      <c r="AO541">
        <f>IF(OR(AK541=MatchLabel,AK541=SafetyLabel,AK541=SecureLabel,AK541=SureThingLabel),1,0)</f>
        <v>0</v>
      </c>
      <c r="AP541">
        <f>IF(OR(T541="H",T541="B"),IF(ISNUMBER(Y541),ROUND(Y541,2),0),IF(ISNUMBER(X541),ROUND(X541,2),0))</f>
        <v>0</v>
      </c>
      <c r="AQ541">
        <f>IF(AP541&gt;=U541,1,0)</f>
        <v>0</v>
      </c>
      <c r="AR541">
        <f>IF(AP541&gt;=V541,1,0)</f>
        <v>0</v>
      </c>
      <c r="AS541">
        <f>IF(AP541&lt;(U541-0.10),1,0)</f>
        <v>0</v>
      </c>
      <c r="AT541">
        <f>1-AJ541/100</f>
        <v>0</v>
      </c>
      <c r="AU541">
        <f>IF(AN541=1,AT541,1)</f>
        <v>0</v>
      </c>
      <c r="AV541">
        <f>IF(AM541=1,AT541,1)</f>
        <v>0</v>
      </c>
      <c r="AW541">
        <f>IF(AND(AQ541=1,ISNUMBER(AT541)),$AT541,1)</f>
        <v>0</v>
      </c>
      <c r="AX541">
        <f>IF(AND(AR541=1,ISNUMBER(AT541)),$AT541,1)</f>
        <v>0</v>
      </c>
      <c r="AY541">
        <f>IF(ISNUMBER(Y541),INDEX(AllCollegeMoney, MATCH(N541,AllCollegeNCES,0)),0)</f>
        <v>0</v>
      </c>
      <c r="AZ541">
        <f>IF(AND(AQ541=1,ISNUMBER(AT541),AY541=1),$AT541,1)</f>
        <v>0</v>
      </c>
      <c r="BA541">
        <f>IF(AND(AR541=1,ISNUMBER(AT541),AY541=1),$AT541,1)</f>
        <v>0</v>
      </c>
      <c r="BB541">
        <f>IF(ISNUMBER(Y541),INDEX(AllCollegeILPub, MATCH(N541,AllCollegeNCES,0)),0)</f>
        <v>0</v>
      </c>
      <c r="BC541">
        <f>IF(AK541=ReachLabel,AP541,0)</f>
        <v>0</v>
      </c>
      <c r="BD541">
        <f>IF(AK541=MatchLabel,AP541,0)</f>
        <v>0</v>
      </c>
      <c r="BE541">
        <f>IF(AK541=SafetyLabel,AP541,0)</f>
        <v>0</v>
      </c>
      <c r="BF541">
        <f>IF(AK541=SecureLabel,AP541,0)</f>
        <v>0</v>
      </c>
      <c r="BG541">
        <f>IF(AK541=SureThingLabel,AP541,0)</f>
        <v>0</v>
      </c>
      <c r="BH541">
        <f>MAX(BC541:BG541)</f>
        <v>0</v>
      </c>
      <c r="BI541">
        <f>MAX(BD541:BG541)</f>
        <v>0</v>
      </c>
      <c r="BJ541">
        <f>MAX(BE541:BG541)</f>
        <v>0</v>
      </c>
      <c r="BK541">
        <f>IF(AND(AK541=ReachLabel,AY541=1),AP541,0)</f>
        <v>0</v>
      </c>
      <c r="BL541">
        <f>IF(AND(AK541=MatchLabel,AY541=1),AP541,0)</f>
        <v>0</v>
      </c>
      <c r="BM541">
        <f>IF(AND(AK541=SafetyLabel,AY541=1),AP541,0)</f>
        <v>0</v>
      </c>
      <c r="BN541">
        <f>IF(AND(AK541=SecureLabel,AY541=1),AP541,0)</f>
        <v>0</v>
      </c>
      <c r="BO541">
        <f>IF(AND(AK541=SureThingLabel,AY541=1),AP541,0)</f>
        <v>0</v>
      </c>
      <c r="BP541">
        <f>MAX(BK541:BO541)</f>
        <v>0</v>
      </c>
      <c r="BQ541">
        <f>MAX(BL541:BO541)</f>
        <v>0</v>
      </c>
      <c r="BR541">
        <f>MAX(BM541:BO541)</f>
        <v>0</v>
      </c>
      <c r="BS541">
        <f>IF(ISNUMBER(Y541),INDEX(AllCollegeChicago, MATCH(N541,AllCollegeNCES,0))*AY541,0)</f>
        <v>0</v>
      </c>
      <c r="BT541">
        <f>IF(ISNUMBER(Y541),INDEX(AllCollegeMoneyCode, MATCH(N541,AllCollegeNCES,0)),"?")</f>
        <v>0</v>
      </c>
      <c r="BU541">
        <f>IF(OR(BT541="---",BT541="--",BT541="+/--",BT541="+/---"),1,0)</f>
        <v>0</v>
      </c>
      <c r="BV541">
        <f>AY541*AO541*AQ541</f>
        <v>0</v>
      </c>
    </row>
    <row r="542" spans="1:74">
      <c r="A542" t="s">
        <v>86</v>
      </c>
      <c r="B542">
        <v>23477954</v>
      </c>
      <c r="C542" t="s">
        <v>236</v>
      </c>
      <c r="D542" t="s">
        <v>237</v>
      </c>
      <c r="E542" t="s">
        <v>428</v>
      </c>
      <c r="F542" t="s">
        <v>488</v>
      </c>
      <c r="G542" t="s">
        <v>430</v>
      </c>
      <c r="H542" t="s">
        <v>431</v>
      </c>
      <c r="I542" t="s">
        <v>432</v>
      </c>
      <c r="J542" t="s">
        <v>432</v>
      </c>
      <c r="K542">
        <v>0</v>
      </c>
      <c r="L542" t="s">
        <v>428</v>
      </c>
      <c r="M542" t="s">
        <v>428</v>
      </c>
      <c r="N542">
        <v>149231</v>
      </c>
      <c r="O542">
        <f>INDEX(AllCollegeBarrons,MATCH(N542,AllCollegeNCES,0))</f>
        <v>0</v>
      </c>
      <c r="P542">
        <f>INDEX(KidGPAs,MATCH(B542,KidIDs,0))</f>
        <v>0</v>
      </c>
      <c r="Q542">
        <f>INDEX(KidACTs,MATCH(B542,KidIDs,0))</f>
        <v>0</v>
      </c>
      <c r="R542">
        <f>INDEX(Strats,MATCH(B542,KidIDs,0))</f>
        <v>0</v>
      </c>
      <c r="S542">
        <f>INDEX(KidRace,MATCH(B542,KidIDs,0))</f>
        <v>0</v>
      </c>
      <c r="T542">
        <f>IF(OR(S542="M",S542="I"),"H",S542)</f>
        <v>0</v>
      </c>
      <c r="U542">
        <f>INDEX(StudentTargets,MATCH(B542,KidIDs,0))</f>
        <v>0</v>
      </c>
      <c r="V542">
        <f>INDEX(ReachStudentTargets,MATCH(B542,KidIDs,0))</f>
        <v>0</v>
      </c>
      <c r="W542">
        <f>IF(OR(M542="Posse"),1,0)</f>
        <v>0</v>
      </c>
      <c r="X542">
        <f>IF(ISNUMBER(INDEX(AllCollegeGR, MATCH(N542,AllCollegeNCES,0))),ROUND(INDEX(AllCollegeGR, MATCH(N542,AllCollegeNCES,0))+W542*IF(INDEX(AllCollegeGR, MATCH(N542,AllCollegeNCES,0))&gt;0.7,(1-INDEX(AllCollegeGR, MATCH(N542,AllCollegeNCES,0)))/2,0.15),2),INDEX(AllCollegeGR, MATCH(N542,AllCollegeNCES,0)))</f>
        <v>0</v>
      </c>
      <c r="Y542">
        <f>IF(ISNUMBER(INDEX(AllCollegeAAHGR, MATCH(N542,AllCollegeNCES,0))),ROUND(INDEX(AllCollegeAAHGR, MATCH(N542,AllCollegeNCES,0))+W542*IF(INDEX(AllCollegeAAHGR, MATCH(N542,AllCollegeNCES,0))&gt;0.7,(1-INDEX(AllCollegeAAHGR, MATCH(N542,AllCollegeNCES,0)))/2,0.15),2),INDEX(AllCollegeAAHGR, MATCH(N542,AllCollegeNCES,0)))</f>
        <v>0</v>
      </c>
      <c r="Z542">
        <f>IF(OR(T542="H",T542="B"),INDEX(AllCollegeACT25, MATCH(N542,AllCollegeNCES,0)),INDEX(AllCollegeACT50, MATCH(N542,AllCollegeNCES,0)))</f>
        <v>0</v>
      </c>
      <c r="AA542">
        <f>INDEX(CustomWeightsGPA,MATCH(T542&amp;":"&amp;N542,CustomWeightsIndex,0))</f>
        <v>0</v>
      </c>
      <c r="AB542">
        <f>INDEX(CustomWeightsACT,MATCH(T542&amp;":"&amp;N542,CustomWeightsIndex,0))</f>
        <v>0</v>
      </c>
      <c r="AC542">
        <f>INDEX(CustomWeightsIntercept,MATCH(T542&amp;":"&amp;N542,CustomWeightsIndex,0))</f>
        <v>0</v>
      </c>
      <c r="AD542">
        <f>AA542*P542+AB542*Q542+AC542</f>
        <v>0</v>
      </c>
      <c r="AE542">
        <f>INDEX(CoefficientsGPA,MATCH(T542&amp;":"&amp;O542,CoefficientsIndex,0))</f>
        <v>0</v>
      </c>
      <c r="AF542">
        <f>INDEX(CoefficientsACT,MATCH(T542&amp;":"&amp;O542,CoefficientsIndex,0))</f>
        <v>0</v>
      </c>
      <c r="AG542">
        <f>INDEX(CoefficientsIntercept,MATCH(T542&amp;":"&amp;O542,CoefficientsIndex,0))</f>
        <v>0</v>
      </c>
      <c r="AH542">
        <f>AE542*P542+(Q542-Z542)*AF542+AG542</f>
        <v>0</v>
      </c>
      <c r="AI542">
        <f>IF(ISNUMBER(AD542),AD542,AH542)</f>
        <v>0</v>
      </c>
      <c r="AJ542">
        <f>IF(ISNUMBER(AI542),IF(ISNUMBER(AE542),IF(AND(AE542=1,AF542=1,AG542=1),100,ROUND(100*EXP(AI542)/(1+EXP(AI542)),2)),ROUND(100*EXP(AI542)/(1+EXP(AI542)),2)),IF(ISTEXT(O542),IF(LEFT(O542,1)="2",100,"N/A"),"N/A"))</f>
        <v>0</v>
      </c>
      <c r="AK542">
        <f>IF(ISNUMBER(AJ542),IF(AJ542&gt;=99,IF(OR(R542=10,R542=11),MatchLabel,SureThingLabel),IF(AJ542&gt;=95,SecureLabel,IF(AJ542&gt;=80,SafetyLabel,IF(AJ542&gt;=50,MatchLabel,IF(AJ542&gt;=20,ReachLabel,IF(AJ542&gt;=10,LongshotLabel,HailMaryLabel)))))),"Other")</f>
        <v>0</v>
      </c>
      <c r="AL542">
        <f>IF(OR(I542="accepted",I542="cond. accept",I542="summer admit"),IF(J542="yes","CHOICE!","Accepted!"),IF(I542="denied","Denied",IF(K542=1,"Waitlist",IF(L542=1,"Deferred",IF(G542="pending","Pending",IF(OR(G542="initial materials submitted",G542="mid-year submitted",G542="final submitted"),"Submitted",IF(H542="interest","Interest","?")))))))</f>
        <v>0</v>
      </c>
      <c r="AM542">
        <f>IF(OR(AK542=ReachLabel,AK542=LongshotLabel,AK542=HailMaryLabel),1,0)</f>
        <v>0</v>
      </c>
      <c r="AN542">
        <f>IF(OR(AM542=1,AK542=MatchLabel),1,0)</f>
        <v>0</v>
      </c>
      <c r="AO542">
        <f>IF(OR(AK542=MatchLabel,AK542=SafetyLabel,AK542=SecureLabel,AK542=SureThingLabel),1,0)</f>
        <v>0</v>
      </c>
      <c r="AP542">
        <f>IF(OR(T542="H",T542="B"),IF(ISNUMBER(Y542),ROUND(Y542,2),0),IF(ISNUMBER(X542),ROUND(X542,2),0))</f>
        <v>0</v>
      </c>
      <c r="AQ542">
        <f>IF(AP542&gt;=U542,1,0)</f>
        <v>0</v>
      </c>
      <c r="AR542">
        <f>IF(AP542&gt;=V542,1,0)</f>
        <v>0</v>
      </c>
      <c r="AS542">
        <f>IF(AP542&lt;(U542-0.10),1,0)</f>
        <v>0</v>
      </c>
      <c r="AT542">
        <f>1-AJ542/100</f>
        <v>0</v>
      </c>
      <c r="AU542">
        <f>IF(AN542=1,AT542,1)</f>
        <v>0</v>
      </c>
      <c r="AV542">
        <f>IF(AM542=1,AT542,1)</f>
        <v>0</v>
      </c>
      <c r="AW542">
        <f>IF(AND(AQ542=1,ISNUMBER(AT542)),$AT542,1)</f>
        <v>0</v>
      </c>
      <c r="AX542">
        <f>IF(AND(AR542=1,ISNUMBER(AT542)),$AT542,1)</f>
        <v>0</v>
      </c>
      <c r="AY542">
        <f>IF(ISNUMBER(Y542),INDEX(AllCollegeMoney, MATCH(N542,AllCollegeNCES,0)),0)</f>
        <v>0</v>
      </c>
      <c r="AZ542">
        <f>IF(AND(AQ542=1,ISNUMBER(AT542),AY542=1),$AT542,1)</f>
        <v>0</v>
      </c>
      <c r="BA542">
        <f>IF(AND(AR542=1,ISNUMBER(AT542),AY542=1),$AT542,1)</f>
        <v>0</v>
      </c>
      <c r="BB542">
        <f>IF(ISNUMBER(Y542),INDEX(AllCollegeILPub, MATCH(N542,AllCollegeNCES,0)),0)</f>
        <v>0</v>
      </c>
      <c r="BC542">
        <f>IF(AK542=ReachLabel,AP542,0)</f>
        <v>0</v>
      </c>
      <c r="BD542">
        <f>IF(AK542=MatchLabel,AP542,0)</f>
        <v>0</v>
      </c>
      <c r="BE542">
        <f>IF(AK542=SafetyLabel,AP542,0)</f>
        <v>0</v>
      </c>
      <c r="BF542">
        <f>IF(AK542=SecureLabel,AP542,0)</f>
        <v>0</v>
      </c>
      <c r="BG542">
        <f>IF(AK542=SureThingLabel,AP542,0)</f>
        <v>0</v>
      </c>
      <c r="BH542">
        <f>MAX(BC542:BG542)</f>
        <v>0</v>
      </c>
      <c r="BI542">
        <f>MAX(BD542:BG542)</f>
        <v>0</v>
      </c>
      <c r="BJ542">
        <f>MAX(BE542:BG542)</f>
        <v>0</v>
      </c>
      <c r="BK542">
        <f>IF(AND(AK542=ReachLabel,AY542=1),AP542,0)</f>
        <v>0</v>
      </c>
      <c r="BL542">
        <f>IF(AND(AK542=MatchLabel,AY542=1),AP542,0)</f>
        <v>0</v>
      </c>
      <c r="BM542">
        <f>IF(AND(AK542=SafetyLabel,AY542=1),AP542,0)</f>
        <v>0</v>
      </c>
      <c r="BN542">
        <f>IF(AND(AK542=SecureLabel,AY542=1),AP542,0)</f>
        <v>0</v>
      </c>
      <c r="BO542">
        <f>IF(AND(AK542=SureThingLabel,AY542=1),AP542,0)</f>
        <v>0</v>
      </c>
      <c r="BP542">
        <f>MAX(BK542:BO542)</f>
        <v>0</v>
      </c>
      <c r="BQ542">
        <f>MAX(BL542:BO542)</f>
        <v>0</v>
      </c>
      <c r="BR542">
        <f>MAX(BM542:BO542)</f>
        <v>0</v>
      </c>
      <c r="BS542">
        <f>IF(ISNUMBER(Y542),INDEX(AllCollegeChicago, MATCH(N542,AllCollegeNCES,0))*AY542,0)</f>
        <v>0</v>
      </c>
      <c r="BT542">
        <f>IF(ISNUMBER(Y542),INDEX(AllCollegeMoneyCode, MATCH(N542,AllCollegeNCES,0)),"?")</f>
        <v>0</v>
      </c>
      <c r="BU542">
        <f>IF(OR(BT542="---",BT542="--",BT542="+/--",BT542="+/---"),1,0)</f>
        <v>0</v>
      </c>
      <c r="BV542">
        <f>AY542*AO542*AQ542</f>
        <v>0</v>
      </c>
    </row>
    <row r="543" spans="1:74">
      <c r="A543" t="s">
        <v>86</v>
      </c>
      <c r="B543">
        <v>23478035</v>
      </c>
      <c r="C543" t="s">
        <v>233</v>
      </c>
      <c r="D543" t="s">
        <v>234</v>
      </c>
      <c r="E543" t="s">
        <v>428</v>
      </c>
      <c r="F543" t="s">
        <v>564</v>
      </c>
      <c r="G543" t="s">
        <v>430</v>
      </c>
      <c r="H543" t="s">
        <v>431</v>
      </c>
      <c r="I543" t="s">
        <v>432</v>
      </c>
      <c r="J543" t="s">
        <v>432</v>
      </c>
      <c r="K543">
        <v>0</v>
      </c>
      <c r="L543" t="s">
        <v>428</v>
      </c>
      <c r="M543" t="s">
        <v>428</v>
      </c>
      <c r="N543">
        <v>113698</v>
      </c>
      <c r="O543">
        <f>INDEX(AllCollegeBarrons,MATCH(N543,AllCollegeNCES,0))</f>
        <v>0</v>
      </c>
      <c r="P543">
        <f>INDEX(KidGPAs,MATCH(B543,KidIDs,0))</f>
        <v>0</v>
      </c>
      <c r="Q543">
        <f>INDEX(KidACTs,MATCH(B543,KidIDs,0))</f>
        <v>0</v>
      </c>
      <c r="R543">
        <f>INDEX(Strats,MATCH(B543,KidIDs,0))</f>
        <v>0</v>
      </c>
      <c r="S543">
        <f>INDEX(KidRace,MATCH(B543,KidIDs,0))</f>
        <v>0</v>
      </c>
      <c r="T543">
        <f>IF(OR(S543="M",S543="I"),"H",S543)</f>
        <v>0</v>
      </c>
      <c r="U543">
        <f>INDEX(StudentTargets,MATCH(B543,KidIDs,0))</f>
        <v>0</v>
      </c>
      <c r="V543">
        <f>INDEX(ReachStudentTargets,MATCH(B543,KidIDs,0))</f>
        <v>0</v>
      </c>
      <c r="W543">
        <f>IF(OR(M543="Posse"),1,0)</f>
        <v>0</v>
      </c>
      <c r="X543">
        <f>IF(ISNUMBER(INDEX(AllCollegeGR, MATCH(N543,AllCollegeNCES,0))),ROUND(INDEX(AllCollegeGR, MATCH(N543,AllCollegeNCES,0))+W543*IF(INDEX(AllCollegeGR, MATCH(N543,AllCollegeNCES,0))&gt;0.7,(1-INDEX(AllCollegeGR, MATCH(N543,AllCollegeNCES,0)))/2,0.15),2),INDEX(AllCollegeGR, MATCH(N543,AllCollegeNCES,0)))</f>
        <v>0</v>
      </c>
      <c r="Y543">
        <f>IF(ISNUMBER(INDEX(AllCollegeAAHGR, MATCH(N543,AllCollegeNCES,0))),ROUND(INDEX(AllCollegeAAHGR, MATCH(N543,AllCollegeNCES,0))+W543*IF(INDEX(AllCollegeAAHGR, MATCH(N543,AllCollegeNCES,0))&gt;0.7,(1-INDEX(AllCollegeAAHGR, MATCH(N543,AllCollegeNCES,0)))/2,0.15),2),INDEX(AllCollegeAAHGR, MATCH(N543,AllCollegeNCES,0)))</f>
        <v>0</v>
      </c>
      <c r="Z543">
        <f>IF(OR(T543="H",T543="B"),INDEX(AllCollegeACT25, MATCH(N543,AllCollegeNCES,0)),INDEX(AllCollegeACT50, MATCH(N543,AllCollegeNCES,0)))</f>
        <v>0</v>
      </c>
      <c r="AA543">
        <f>INDEX(CustomWeightsGPA,MATCH(T543&amp;":"&amp;N543,CustomWeightsIndex,0))</f>
        <v>0</v>
      </c>
      <c r="AB543">
        <f>INDEX(CustomWeightsACT,MATCH(T543&amp;":"&amp;N543,CustomWeightsIndex,0))</f>
        <v>0</v>
      </c>
      <c r="AC543">
        <f>INDEX(CustomWeightsIntercept,MATCH(T543&amp;":"&amp;N543,CustomWeightsIndex,0))</f>
        <v>0</v>
      </c>
      <c r="AD543">
        <f>AA543*P543+AB543*Q543+AC543</f>
        <v>0</v>
      </c>
      <c r="AE543">
        <f>INDEX(CoefficientsGPA,MATCH(T543&amp;":"&amp;O543,CoefficientsIndex,0))</f>
        <v>0</v>
      </c>
      <c r="AF543">
        <f>INDEX(CoefficientsACT,MATCH(T543&amp;":"&amp;O543,CoefficientsIndex,0))</f>
        <v>0</v>
      </c>
      <c r="AG543">
        <f>INDEX(CoefficientsIntercept,MATCH(T543&amp;":"&amp;O543,CoefficientsIndex,0))</f>
        <v>0</v>
      </c>
      <c r="AH543">
        <f>AE543*P543+(Q543-Z543)*AF543+AG543</f>
        <v>0</v>
      </c>
      <c r="AI543">
        <f>IF(ISNUMBER(AD543),AD543,AH543)</f>
        <v>0</v>
      </c>
      <c r="AJ543">
        <f>IF(ISNUMBER(AI543),IF(ISNUMBER(AE543),IF(AND(AE543=1,AF543=1,AG543=1),100,ROUND(100*EXP(AI543)/(1+EXP(AI543)),2)),ROUND(100*EXP(AI543)/(1+EXP(AI543)),2)),IF(ISTEXT(O543),IF(LEFT(O543,1)="2",100,"N/A"),"N/A"))</f>
        <v>0</v>
      </c>
      <c r="AK543">
        <f>IF(ISNUMBER(AJ543),IF(AJ543&gt;=99,IF(OR(R543=10,R543=11),MatchLabel,SureThingLabel),IF(AJ543&gt;=95,SecureLabel,IF(AJ543&gt;=80,SafetyLabel,IF(AJ543&gt;=50,MatchLabel,IF(AJ543&gt;=20,ReachLabel,IF(AJ543&gt;=10,LongshotLabel,HailMaryLabel)))))),"Other")</f>
        <v>0</v>
      </c>
      <c r="AL543">
        <f>IF(OR(I543="accepted",I543="cond. accept",I543="summer admit"),IF(J543="yes","CHOICE!","Accepted!"),IF(I543="denied","Denied",IF(K543=1,"Waitlist",IF(L543=1,"Deferred",IF(G543="pending","Pending",IF(OR(G543="initial materials submitted",G543="mid-year submitted",G543="final submitted"),"Submitted",IF(H543="interest","Interest","?")))))))</f>
        <v>0</v>
      </c>
      <c r="AM543">
        <f>IF(OR(AK543=ReachLabel,AK543=LongshotLabel,AK543=HailMaryLabel),1,0)</f>
        <v>0</v>
      </c>
      <c r="AN543">
        <f>IF(OR(AM543=1,AK543=MatchLabel),1,0)</f>
        <v>0</v>
      </c>
      <c r="AO543">
        <f>IF(OR(AK543=MatchLabel,AK543=SafetyLabel,AK543=SecureLabel,AK543=SureThingLabel),1,0)</f>
        <v>0</v>
      </c>
      <c r="AP543">
        <f>IF(OR(T543="H",T543="B"),IF(ISNUMBER(Y543),ROUND(Y543,2),0),IF(ISNUMBER(X543),ROUND(X543,2),0))</f>
        <v>0</v>
      </c>
      <c r="AQ543">
        <f>IF(AP543&gt;=U543,1,0)</f>
        <v>0</v>
      </c>
      <c r="AR543">
        <f>IF(AP543&gt;=V543,1,0)</f>
        <v>0</v>
      </c>
      <c r="AS543">
        <f>IF(AP543&lt;(U543-0.10),1,0)</f>
        <v>0</v>
      </c>
      <c r="AT543">
        <f>1-AJ543/100</f>
        <v>0</v>
      </c>
      <c r="AU543">
        <f>IF(AN543=1,AT543,1)</f>
        <v>0</v>
      </c>
      <c r="AV543">
        <f>IF(AM543=1,AT543,1)</f>
        <v>0</v>
      </c>
      <c r="AW543">
        <f>IF(AND(AQ543=1,ISNUMBER(AT543)),$AT543,1)</f>
        <v>0</v>
      </c>
      <c r="AX543">
        <f>IF(AND(AR543=1,ISNUMBER(AT543)),$AT543,1)</f>
        <v>0</v>
      </c>
      <c r="AY543">
        <f>IF(ISNUMBER(Y543),INDEX(AllCollegeMoney, MATCH(N543,AllCollegeNCES,0)),0)</f>
        <v>0</v>
      </c>
      <c r="AZ543">
        <f>IF(AND(AQ543=1,ISNUMBER(AT543),AY543=1),$AT543,1)</f>
        <v>0</v>
      </c>
      <c r="BA543">
        <f>IF(AND(AR543=1,ISNUMBER(AT543),AY543=1),$AT543,1)</f>
        <v>0</v>
      </c>
      <c r="BB543">
        <f>IF(ISNUMBER(Y543),INDEX(AllCollegeILPub, MATCH(N543,AllCollegeNCES,0)),0)</f>
        <v>0</v>
      </c>
      <c r="BC543">
        <f>IF(AK543=ReachLabel,AP543,0)</f>
        <v>0</v>
      </c>
      <c r="BD543">
        <f>IF(AK543=MatchLabel,AP543,0)</f>
        <v>0</v>
      </c>
      <c r="BE543">
        <f>IF(AK543=SafetyLabel,AP543,0)</f>
        <v>0</v>
      </c>
      <c r="BF543">
        <f>IF(AK543=SecureLabel,AP543,0)</f>
        <v>0</v>
      </c>
      <c r="BG543">
        <f>IF(AK543=SureThingLabel,AP543,0)</f>
        <v>0</v>
      </c>
      <c r="BH543">
        <f>MAX(BC543:BG543)</f>
        <v>0</v>
      </c>
      <c r="BI543">
        <f>MAX(BD543:BG543)</f>
        <v>0</v>
      </c>
      <c r="BJ543">
        <f>MAX(BE543:BG543)</f>
        <v>0</v>
      </c>
      <c r="BK543">
        <f>IF(AND(AK543=ReachLabel,AY543=1),AP543,0)</f>
        <v>0</v>
      </c>
      <c r="BL543">
        <f>IF(AND(AK543=MatchLabel,AY543=1),AP543,0)</f>
        <v>0</v>
      </c>
      <c r="BM543">
        <f>IF(AND(AK543=SafetyLabel,AY543=1),AP543,0)</f>
        <v>0</v>
      </c>
      <c r="BN543">
        <f>IF(AND(AK543=SecureLabel,AY543=1),AP543,0)</f>
        <v>0</v>
      </c>
      <c r="BO543">
        <f>IF(AND(AK543=SureThingLabel,AY543=1),AP543,0)</f>
        <v>0</v>
      </c>
      <c r="BP543">
        <f>MAX(BK543:BO543)</f>
        <v>0</v>
      </c>
      <c r="BQ543">
        <f>MAX(BL543:BO543)</f>
        <v>0</v>
      </c>
      <c r="BR543">
        <f>MAX(BM543:BO543)</f>
        <v>0</v>
      </c>
      <c r="BS543">
        <f>IF(ISNUMBER(Y543),INDEX(AllCollegeChicago, MATCH(N543,AllCollegeNCES,0))*AY543,0)</f>
        <v>0</v>
      </c>
      <c r="BT543">
        <f>IF(ISNUMBER(Y543),INDEX(AllCollegeMoneyCode, MATCH(N543,AllCollegeNCES,0)),"?")</f>
        <v>0</v>
      </c>
      <c r="BU543">
        <f>IF(OR(BT543="---",BT543="--",BT543="+/--",BT543="+/---"),1,0)</f>
        <v>0</v>
      </c>
      <c r="BV543">
        <f>AY543*AO543*AQ543</f>
        <v>0</v>
      </c>
    </row>
    <row r="544" spans="1:74">
      <c r="A544" t="s">
        <v>86</v>
      </c>
      <c r="B544">
        <v>23478035</v>
      </c>
      <c r="C544" t="s">
        <v>233</v>
      </c>
      <c r="D544" t="s">
        <v>234</v>
      </c>
      <c r="E544" t="s">
        <v>428</v>
      </c>
      <c r="F544" t="s">
        <v>512</v>
      </c>
      <c r="G544" t="s">
        <v>430</v>
      </c>
      <c r="H544" t="s">
        <v>431</v>
      </c>
      <c r="I544" t="s">
        <v>432</v>
      </c>
      <c r="J544" t="s">
        <v>432</v>
      </c>
      <c r="K544">
        <v>0</v>
      </c>
      <c r="L544" t="s">
        <v>428</v>
      </c>
      <c r="M544" t="s">
        <v>428</v>
      </c>
      <c r="N544">
        <v>145691</v>
      </c>
      <c r="O544">
        <f>INDEX(AllCollegeBarrons,MATCH(N544,AllCollegeNCES,0))</f>
        <v>0</v>
      </c>
      <c r="P544">
        <f>INDEX(KidGPAs,MATCH(B544,KidIDs,0))</f>
        <v>0</v>
      </c>
      <c r="Q544">
        <f>INDEX(KidACTs,MATCH(B544,KidIDs,0))</f>
        <v>0</v>
      </c>
      <c r="R544">
        <f>INDEX(Strats,MATCH(B544,KidIDs,0))</f>
        <v>0</v>
      </c>
      <c r="S544">
        <f>INDEX(KidRace,MATCH(B544,KidIDs,0))</f>
        <v>0</v>
      </c>
      <c r="T544">
        <f>IF(OR(S544="M",S544="I"),"H",S544)</f>
        <v>0</v>
      </c>
      <c r="U544">
        <f>INDEX(StudentTargets,MATCH(B544,KidIDs,0))</f>
        <v>0</v>
      </c>
      <c r="V544">
        <f>INDEX(ReachStudentTargets,MATCH(B544,KidIDs,0))</f>
        <v>0</v>
      </c>
      <c r="W544">
        <f>IF(OR(M544="Posse"),1,0)</f>
        <v>0</v>
      </c>
      <c r="X544">
        <f>IF(ISNUMBER(INDEX(AllCollegeGR, MATCH(N544,AllCollegeNCES,0))),ROUND(INDEX(AllCollegeGR, MATCH(N544,AllCollegeNCES,0))+W544*IF(INDEX(AllCollegeGR, MATCH(N544,AllCollegeNCES,0))&gt;0.7,(1-INDEX(AllCollegeGR, MATCH(N544,AllCollegeNCES,0)))/2,0.15),2),INDEX(AllCollegeGR, MATCH(N544,AllCollegeNCES,0)))</f>
        <v>0</v>
      </c>
      <c r="Y544">
        <f>IF(ISNUMBER(INDEX(AllCollegeAAHGR, MATCH(N544,AllCollegeNCES,0))),ROUND(INDEX(AllCollegeAAHGR, MATCH(N544,AllCollegeNCES,0))+W544*IF(INDEX(AllCollegeAAHGR, MATCH(N544,AllCollegeNCES,0))&gt;0.7,(1-INDEX(AllCollegeAAHGR, MATCH(N544,AllCollegeNCES,0)))/2,0.15),2),INDEX(AllCollegeAAHGR, MATCH(N544,AllCollegeNCES,0)))</f>
        <v>0</v>
      </c>
      <c r="Z544">
        <f>IF(OR(T544="H",T544="B"),INDEX(AllCollegeACT25, MATCH(N544,AllCollegeNCES,0)),INDEX(AllCollegeACT50, MATCH(N544,AllCollegeNCES,0)))</f>
        <v>0</v>
      </c>
      <c r="AA544">
        <f>INDEX(CustomWeightsGPA,MATCH(T544&amp;":"&amp;N544,CustomWeightsIndex,0))</f>
        <v>0</v>
      </c>
      <c r="AB544">
        <f>INDEX(CustomWeightsACT,MATCH(T544&amp;":"&amp;N544,CustomWeightsIndex,0))</f>
        <v>0</v>
      </c>
      <c r="AC544">
        <f>INDEX(CustomWeightsIntercept,MATCH(T544&amp;":"&amp;N544,CustomWeightsIndex,0))</f>
        <v>0</v>
      </c>
      <c r="AD544">
        <f>AA544*P544+AB544*Q544+AC544</f>
        <v>0</v>
      </c>
      <c r="AE544">
        <f>INDEX(CoefficientsGPA,MATCH(T544&amp;":"&amp;O544,CoefficientsIndex,0))</f>
        <v>0</v>
      </c>
      <c r="AF544">
        <f>INDEX(CoefficientsACT,MATCH(T544&amp;":"&amp;O544,CoefficientsIndex,0))</f>
        <v>0</v>
      </c>
      <c r="AG544">
        <f>INDEX(CoefficientsIntercept,MATCH(T544&amp;":"&amp;O544,CoefficientsIndex,0))</f>
        <v>0</v>
      </c>
      <c r="AH544">
        <f>AE544*P544+(Q544-Z544)*AF544+AG544</f>
        <v>0</v>
      </c>
      <c r="AI544">
        <f>IF(ISNUMBER(AD544),AD544,AH544)</f>
        <v>0</v>
      </c>
      <c r="AJ544">
        <f>IF(ISNUMBER(AI544),IF(ISNUMBER(AE544),IF(AND(AE544=1,AF544=1,AG544=1),100,ROUND(100*EXP(AI544)/(1+EXP(AI544)),2)),ROUND(100*EXP(AI544)/(1+EXP(AI544)),2)),IF(ISTEXT(O544),IF(LEFT(O544,1)="2",100,"N/A"),"N/A"))</f>
        <v>0</v>
      </c>
      <c r="AK544">
        <f>IF(ISNUMBER(AJ544),IF(AJ544&gt;=99,IF(OR(R544=10,R544=11),MatchLabel,SureThingLabel),IF(AJ544&gt;=95,SecureLabel,IF(AJ544&gt;=80,SafetyLabel,IF(AJ544&gt;=50,MatchLabel,IF(AJ544&gt;=20,ReachLabel,IF(AJ544&gt;=10,LongshotLabel,HailMaryLabel)))))),"Other")</f>
        <v>0</v>
      </c>
      <c r="AL544">
        <f>IF(OR(I544="accepted",I544="cond. accept",I544="summer admit"),IF(J544="yes","CHOICE!","Accepted!"),IF(I544="denied","Denied",IF(K544=1,"Waitlist",IF(L544=1,"Deferred",IF(G544="pending","Pending",IF(OR(G544="initial materials submitted",G544="mid-year submitted",G544="final submitted"),"Submitted",IF(H544="interest","Interest","?")))))))</f>
        <v>0</v>
      </c>
      <c r="AM544">
        <f>IF(OR(AK544=ReachLabel,AK544=LongshotLabel,AK544=HailMaryLabel),1,0)</f>
        <v>0</v>
      </c>
      <c r="AN544">
        <f>IF(OR(AM544=1,AK544=MatchLabel),1,0)</f>
        <v>0</v>
      </c>
      <c r="AO544">
        <f>IF(OR(AK544=MatchLabel,AK544=SafetyLabel,AK544=SecureLabel,AK544=SureThingLabel),1,0)</f>
        <v>0</v>
      </c>
      <c r="AP544">
        <f>IF(OR(T544="H",T544="B"),IF(ISNUMBER(Y544),ROUND(Y544,2),0),IF(ISNUMBER(X544),ROUND(X544,2),0))</f>
        <v>0</v>
      </c>
      <c r="AQ544">
        <f>IF(AP544&gt;=U544,1,0)</f>
        <v>0</v>
      </c>
      <c r="AR544">
        <f>IF(AP544&gt;=V544,1,0)</f>
        <v>0</v>
      </c>
      <c r="AS544">
        <f>IF(AP544&lt;(U544-0.10),1,0)</f>
        <v>0</v>
      </c>
      <c r="AT544">
        <f>1-AJ544/100</f>
        <v>0</v>
      </c>
      <c r="AU544">
        <f>IF(AN544=1,AT544,1)</f>
        <v>0</v>
      </c>
      <c r="AV544">
        <f>IF(AM544=1,AT544,1)</f>
        <v>0</v>
      </c>
      <c r="AW544">
        <f>IF(AND(AQ544=1,ISNUMBER(AT544)),$AT544,1)</f>
        <v>0</v>
      </c>
      <c r="AX544">
        <f>IF(AND(AR544=1,ISNUMBER(AT544)),$AT544,1)</f>
        <v>0</v>
      </c>
      <c r="AY544">
        <f>IF(ISNUMBER(Y544),INDEX(AllCollegeMoney, MATCH(N544,AllCollegeNCES,0)),0)</f>
        <v>0</v>
      </c>
      <c r="AZ544">
        <f>IF(AND(AQ544=1,ISNUMBER(AT544),AY544=1),$AT544,1)</f>
        <v>0</v>
      </c>
      <c r="BA544">
        <f>IF(AND(AR544=1,ISNUMBER(AT544),AY544=1),$AT544,1)</f>
        <v>0</v>
      </c>
      <c r="BB544">
        <f>IF(ISNUMBER(Y544),INDEX(AllCollegeILPub, MATCH(N544,AllCollegeNCES,0)),0)</f>
        <v>0</v>
      </c>
      <c r="BC544">
        <f>IF(AK544=ReachLabel,AP544,0)</f>
        <v>0</v>
      </c>
      <c r="BD544">
        <f>IF(AK544=MatchLabel,AP544,0)</f>
        <v>0</v>
      </c>
      <c r="BE544">
        <f>IF(AK544=SafetyLabel,AP544,0)</f>
        <v>0</v>
      </c>
      <c r="BF544">
        <f>IF(AK544=SecureLabel,AP544,0)</f>
        <v>0</v>
      </c>
      <c r="BG544">
        <f>IF(AK544=SureThingLabel,AP544,0)</f>
        <v>0</v>
      </c>
      <c r="BH544">
        <f>MAX(BC544:BG544)</f>
        <v>0</v>
      </c>
      <c r="BI544">
        <f>MAX(BD544:BG544)</f>
        <v>0</v>
      </c>
      <c r="BJ544">
        <f>MAX(BE544:BG544)</f>
        <v>0</v>
      </c>
      <c r="BK544">
        <f>IF(AND(AK544=ReachLabel,AY544=1),AP544,0)</f>
        <v>0</v>
      </c>
      <c r="BL544">
        <f>IF(AND(AK544=MatchLabel,AY544=1),AP544,0)</f>
        <v>0</v>
      </c>
      <c r="BM544">
        <f>IF(AND(AK544=SafetyLabel,AY544=1),AP544,0)</f>
        <v>0</v>
      </c>
      <c r="BN544">
        <f>IF(AND(AK544=SecureLabel,AY544=1),AP544,0)</f>
        <v>0</v>
      </c>
      <c r="BO544">
        <f>IF(AND(AK544=SureThingLabel,AY544=1),AP544,0)</f>
        <v>0</v>
      </c>
      <c r="BP544">
        <f>MAX(BK544:BO544)</f>
        <v>0</v>
      </c>
      <c r="BQ544">
        <f>MAX(BL544:BO544)</f>
        <v>0</v>
      </c>
      <c r="BR544">
        <f>MAX(BM544:BO544)</f>
        <v>0</v>
      </c>
      <c r="BS544">
        <f>IF(ISNUMBER(Y544),INDEX(AllCollegeChicago, MATCH(N544,AllCollegeNCES,0))*AY544,0)</f>
        <v>0</v>
      </c>
      <c r="BT544">
        <f>IF(ISNUMBER(Y544),INDEX(AllCollegeMoneyCode, MATCH(N544,AllCollegeNCES,0)),"?")</f>
        <v>0</v>
      </c>
      <c r="BU544">
        <f>IF(OR(BT544="---",BT544="--",BT544="+/--",BT544="+/---"),1,0)</f>
        <v>0</v>
      </c>
      <c r="BV544">
        <f>AY544*AO544*AQ544</f>
        <v>0</v>
      </c>
    </row>
    <row r="545" spans="1:74">
      <c r="A545" t="s">
        <v>86</v>
      </c>
      <c r="B545">
        <v>23478035</v>
      </c>
      <c r="C545" t="s">
        <v>233</v>
      </c>
      <c r="D545" t="s">
        <v>234</v>
      </c>
      <c r="E545" t="s">
        <v>428</v>
      </c>
      <c r="F545" t="s">
        <v>433</v>
      </c>
      <c r="G545" t="s">
        <v>430</v>
      </c>
      <c r="H545" t="s">
        <v>431</v>
      </c>
      <c r="I545" t="s">
        <v>432</v>
      </c>
      <c r="J545" t="s">
        <v>432</v>
      </c>
      <c r="K545">
        <v>0</v>
      </c>
      <c r="L545" t="s">
        <v>428</v>
      </c>
      <c r="M545" t="s">
        <v>428</v>
      </c>
      <c r="N545">
        <v>148496</v>
      </c>
      <c r="O545">
        <f>INDEX(AllCollegeBarrons,MATCH(N545,AllCollegeNCES,0))</f>
        <v>0</v>
      </c>
      <c r="P545">
        <f>INDEX(KidGPAs,MATCH(B545,KidIDs,0))</f>
        <v>0</v>
      </c>
      <c r="Q545">
        <f>INDEX(KidACTs,MATCH(B545,KidIDs,0))</f>
        <v>0</v>
      </c>
      <c r="R545">
        <f>INDEX(Strats,MATCH(B545,KidIDs,0))</f>
        <v>0</v>
      </c>
      <c r="S545">
        <f>INDEX(KidRace,MATCH(B545,KidIDs,0))</f>
        <v>0</v>
      </c>
      <c r="T545">
        <f>IF(OR(S545="M",S545="I"),"H",S545)</f>
        <v>0</v>
      </c>
      <c r="U545">
        <f>INDEX(StudentTargets,MATCH(B545,KidIDs,0))</f>
        <v>0</v>
      </c>
      <c r="V545">
        <f>INDEX(ReachStudentTargets,MATCH(B545,KidIDs,0))</f>
        <v>0</v>
      </c>
      <c r="W545">
        <f>IF(OR(M545="Posse"),1,0)</f>
        <v>0</v>
      </c>
      <c r="X545">
        <f>IF(ISNUMBER(INDEX(AllCollegeGR, MATCH(N545,AllCollegeNCES,0))),ROUND(INDEX(AllCollegeGR, MATCH(N545,AllCollegeNCES,0))+W545*IF(INDEX(AllCollegeGR, MATCH(N545,AllCollegeNCES,0))&gt;0.7,(1-INDEX(AllCollegeGR, MATCH(N545,AllCollegeNCES,0)))/2,0.15),2),INDEX(AllCollegeGR, MATCH(N545,AllCollegeNCES,0)))</f>
        <v>0</v>
      </c>
      <c r="Y545">
        <f>IF(ISNUMBER(INDEX(AllCollegeAAHGR, MATCH(N545,AllCollegeNCES,0))),ROUND(INDEX(AllCollegeAAHGR, MATCH(N545,AllCollegeNCES,0))+W545*IF(INDEX(AllCollegeAAHGR, MATCH(N545,AllCollegeNCES,0))&gt;0.7,(1-INDEX(AllCollegeAAHGR, MATCH(N545,AllCollegeNCES,0)))/2,0.15),2),INDEX(AllCollegeAAHGR, MATCH(N545,AllCollegeNCES,0)))</f>
        <v>0</v>
      </c>
      <c r="Z545">
        <f>IF(OR(T545="H",T545="B"),INDEX(AllCollegeACT25, MATCH(N545,AllCollegeNCES,0)),INDEX(AllCollegeACT50, MATCH(N545,AllCollegeNCES,0)))</f>
        <v>0</v>
      </c>
      <c r="AA545">
        <f>INDEX(CustomWeightsGPA,MATCH(T545&amp;":"&amp;N545,CustomWeightsIndex,0))</f>
        <v>0</v>
      </c>
      <c r="AB545">
        <f>INDEX(CustomWeightsACT,MATCH(T545&amp;":"&amp;N545,CustomWeightsIndex,0))</f>
        <v>0</v>
      </c>
      <c r="AC545">
        <f>INDEX(CustomWeightsIntercept,MATCH(T545&amp;":"&amp;N545,CustomWeightsIndex,0))</f>
        <v>0</v>
      </c>
      <c r="AD545">
        <f>AA545*P545+AB545*Q545+AC545</f>
        <v>0</v>
      </c>
      <c r="AE545">
        <f>INDEX(CoefficientsGPA,MATCH(T545&amp;":"&amp;O545,CoefficientsIndex,0))</f>
        <v>0</v>
      </c>
      <c r="AF545">
        <f>INDEX(CoefficientsACT,MATCH(T545&amp;":"&amp;O545,CoefficientsIndex,0))</f>
        <v>0</v>
      </c>
      <c r="AG545">
        <f>INDEX(CoefficientsIntercept,MATCH(T545&amp;":"&amp;O545,CoefficientsIndex,0))</f>
        <v>0</v>
      </c>
      <c r="AH545">
        <f>AE545*P545+(Q545-Z545)*AF545+AG545</f>
        <v>0</v>
      </c>
      <c r="AI545">
        <f>IF(ISNUMBER(AD545),AD545,AH545)</f>
        <v>0</v>
      </c>
      <c r="AJ545">
        <f>IF(ISNUMBER(AI545),IF(ISNUMBER(AE545),IF(AND(AE545=1,AF545=1,AG545=1),100,ROUND(100*EXP(AI545)/(1+EXP(AI545)),2)),ROUND(100*EXP(AI545)/(1+EXP(AI545)),2)),IF(ISTEXT(O545),IF(LEFT(O545,1)="2",100,"N/A"),"N/A"))</f>
        <v>0</v>
      </c>
      <c r="AK545">
        <f>IF(ISNUMBER(AJ545),IF(AJ545&gt;=99,IF(OR(R545=10,R545=11),MatchLabel,SureThingLabel),IF(AJ545&gt;=95,SecureLabel,IF(AJ545&gt;=80,SafetyLabel,IF(AJ545&gt;=50,MatchLabel,IF(AJ545&gt;=20,ReachLabel,IF(AJ545&gt;=10,LongshotLabel,HailMaryLabel)))))),"Other")</f>
        <v>0</v>
      </c>
      <c r="AL545">
        <f>IF(OR(I545="accepted",I545="cond. accept",I545="summer admit"),IF(J545="yes","CHOICE!","Accepted!"),IF(I545="denied","Denied",IF(K545=1,"Waitlist",IF(L545=1,"Deferred",IF(G545="pending","Pending",IF(OR(G545="initial materials submitted",G545="mid-year submitted",G545="final submitted"),"Submitted",IF(H545="interest","Interest","?")))))))</f>
        <v>0</v>
      </c>
      <c r="AM545">
        <f>IF(OR(AK545=ReachLabel,AK545=LongshotLabel,AK545=HailMaryLabel),1,0)</f>
        <v>0</v>
      </c>
      <c r="AN545">
        <f>IF(OR(AM545=1,AK545=MatchLabel),1,0)</f>
        <v>0</v>
      </c>
      <c r="AO545">
        <f>IF(OR(AK545=MatchLabel,AK545=SafetyLabel,AK545=SecureLabel,AK545=SureThingLabel),1,0)</f>
        <v>0</v>
      </c>
      <c r="AP545">
        <f>IF(OR(T545="H",T545="B"),IF(ISNUMBER(Y545),ROUND(Y545,2),0),IF(ISNUMBER(X545),ROUND(X545,2),0))</f>
        <v>0</v>
      </c>
      <c r="AQ545">
        <f>IF(AP545&gt;=U545,1,0)</f>
        <v>0</v>
      </c>
      <c r="AR545">
        <f>IF(AP545&gt;=V545,1,0)</f>
        <v>0</v>
      </c>
      <c r="AS545">
        <f>IF(AP545&lt;(U545-0.10),1,0)</f>
        <v>0</v>
      </c>
      <c r="AT545">
        <f>1-AJ545/100</f>
        <v>0</v>
      </c>
      <c r="AU545">
        <f>IF(AN545=1,AT545,1)</f>
        <v>0</v>
      </c>
      <c r="AV545">
        <f>IF(AM545=1,AT545,1)</f>
        <v>0</v>
      </c>
      <c r="AW545">
        <f>IF(AND(AQ545=1,ISNUMBER(AT545)),$AT545,1)</f>
        <v>0</v>
      </c>
      <c r="AX545">
        <f>IF(AND(AR545=1,ISNUMBER(AT545)),$AT545,1)</f>
        <v>0</v>
      </c>
      <c r="AY545">
        <f>IF(ISNUMBER(Y545),INDEX(AllCollegeMoney, MATCH(N545,AllCollegeNCES,0)),0)</f>
        <v>0</v>
      </c>
      <c r="AZ545">
        <f>IF(AND(AQ545=1,ISNUMBER(AT545),AY545=1),$AT545,1)</f>
        <v>0</v>
      </c>
      <c r="BA545">
        <f>IF(AND(AR545=1,ISNUMBER(AT545),AY545=1),$AT545,1)</f>
        <v>0</v>
      </c>
      <c r="BB545">
        <f>IF(ISNUMBER(Y545),INDEX(AllCollegeILPub, MATCH(N545,AllCollegeNCES,0)),0)</f>
        <v>0</v>
      </c>
      <c r="BC545">
        <f>IF(AK545=ReachLabel,AP545,0)</f>
        <v>0</v>
      </c>
      <c r="BD545">
        <f>IF(AK545=MatchLabel,AP545,0)</f>
        <v>0</v>
      </c>
      <c r="BE545">
        <f>IF(AK545=SafetyLabel,AP545,0)</f>
        <v>0</v>
      </c>
      <c r="BF545">
        <f>IF(AK545=SecureLabel,AP545,0)</f>
        <v>0</v>
      </c>
      <c r="BG545">
        <f>IF(AK545=SureThingLabel,AP545,0)</f>
        <v>0</v>
      </c>
      <c r="BH545">
        <f>MAX(BC545:BG545)</f>
        <v>0</v>
      </c>
      <c r="BI545">
        <f>MAX(BD545:BG545)</f>
        <v>0</v>
      </c>
      <c r="BJ545">
        <f>MAX(BE545:BG545)</f>
        <v>0</v>
      </c>
      <c r="BK545">
        <f>IF(AND(AK545=ReachLabel,AY545=1),AP545,0)</f>
        <v>0</v>
      </c>
      <c r="BL545">
        <f>IF(AND(AK545=MatchLabel,AY545=1),AP545,0)</f>
        <v>0</v>
      </c>
      <c r="BM545">
        <f>IF(AND(AK545=SafetyLabel,AY545=1),AP545,0)</f>
        <v>0</v>
      </c>
      <c r="BN545">
        <f>IF(AND(AK545=SecureLabel,AY545=1),AP545,0)</f>
        <v>0</v>
      </c>
      <c r="BO545">
        <f>IF(AND(AK545=SureThingLabel,AY545=1),AP545,0)</f>
        <v>0</v>
      </c>
      <c r="BP545">
        <f>MAX(BK545:BO545)</f>
        <v>0</v>
      </c>
      <c r="BQ545">
        <f>MAX(BL545:BO545)</f>
        <v>0</v>
      </c>
      <c r="BR545">
        <f>MAX(BM545:BO545)</f>
        <v>0</v>
      </c>
      <c r="BS545">
        <f>IF(ISNUMBER(Y545),INDEX(AllCollegeChicago, MATCH(N545,AllCollegeNCES,0))*AY545,0)</f>
        <v>0</v>
      </c>
      <c r="BT545">
        <f>IF(ISNUMBER(Y545),INDEX(AllCollegeMoneyCode, MATCH(N545,AllCollegeNCES,0)),"?")</f>
        <v>0</v>
      </c>
      <c r="BU545">
        <f>IF(OR(BT545="---",BT545="--",BT545="+/--",BT545="+/---"),1,0)</f>
        <v>0</v>
      </c>
      <c r="BV545">
        <f>AY545*AO545*AQ545</f>
        <v>0</v>
      </c>
    </row>
    <row r="546" spans="1:74">
      <c r="A546" t="s">
        <v>86</v>
      </c>
      <c r="B546">
        <v>23478035</v>
      </c>
      <c r="C546" t="s">
        <v>233</v>
      </c>
      <c r="D546" t="s">
        <v>234</v>
      </c>
      <c r="E546" t="s">
        <v>428</v>
      </c>
      <c r="F546" t="s">
        <v>563</v>
      </c>
      <c r="G546" t="s">
        <v>430</v>
      </c>
      <c r="H546" t="s">
        <v>431</v>
      </c>
      <c r="I546" t="s">
        <v>432</v>
      </c>
      <c r="J546" t="s">
        <v>432</v>
      </c>
      <c r="K546">
        <v>0</v>
      </c>
      <c r="L546" t="s">
        <v>428</v>
      </c>
      <c r="M546" t="s">
        <v>428</v>
      </c>
      <c r="N546">
        <v>175856</v>
      </c>
      <c r="O546">
        <f>INDEX(AllCollegeBarrons,MATCH(N546,AllCollegeNCES,0))</f>
        <v>0</v>
      </c>
      <c r="P546">
        <f>INDEX(KidGPAs,MATCH(B546,KidIDs,0))</f>
        <v>0</v>
      </c>
      <c r="Q546">
        <f>INDEX(KidACTs,MATCH(B546,KidIDs,0))</f>
        <v>0</v>
      </c>
      <c r="R546">
        <f>INDEX(Strats,MATCH(B546,KidIDs,0))</f>
        <v>0</v>
      </c>
      <c r="S546">
        <f>INDEX(KidRace,MATCH(B546,KidIDs,0))</f>
        <v>0</v>
      </c>
      <c r="T546">
        <f>IF(OR(S546="M",S546="I"),"H",S546)</f>
        <v>0</v>
      </c>
      <c r="U546">
        <f>INDEX(StudentTargets,MATCH(B546,KidIDs,0))</f>
        <v>0</v>
      </c>
      <c r="V546">
        <f>INDEX(ReachStudentTargets,MATCH(B546,KidIDs,0))</f>
        <v>0</v>
      </c>
      <c r="W546">
        <f>IF(OR(M546="Posse"),1,0)</f>
        <v>0</v>
      </c>
      <c r="X546">
        <f>IF(ISNUMBER(INDEX(AllCollegeGR, MATCH(N546,AllCollegeNCES,0))),ROUND(INDEX(AllCollegeGR, MATCH(N546,AllCollegeNCES,0))+W546*IF(INDEX(AllCollegeGR, MATCH(N546,AllCollegeNCES,0))&gt;0.7,(1-INDEX(AllCollegeGR, MATCH(N546,AllCollegeNCES,0)))/2,0.15),2),INDEX(AllCollegeGR, MATCH(N546,AllCollegeNCES,0)))</f>
        <v>0</v>
      </c>
      <c r="Y546">
        <f>IF(ISNUMBER(INDEX(AllCollegeAAHGR, MATCH(N546,AllCollegeNCES,0))),ROUND(INDEX(AllCollegeAAHGR, MATCH(N546,AllCollegeNCES,0))+W546*IF(INDEX(AllCollegeAAHGR, MATCH(N546,AllCollegeNCES,0))&gt;0.7,(1-INDEX(AllCollegeAAHGR, MATCH(N546,AllCollegeNCES,0)))/2,0.15),2),INDEX(AllCollegeAAHGR, MATCH(N546,AllCollegeNCES,0)))</f>
        <v>0</v>
      </c>
      <c r="Z546">
        <f>IF(OR(T546="H",T546="B"),INDEX(AllCollegeACT25, MATCH(N546,AllCollegeNCES,0)),INDEX(AllCollegeACT50, MATCH(N546,AllCollegeNCES,0)))</f>
        <v>0</v>
      </c>
      <c r="AA546">
        <f>INDEX(CustomWeightsGPA,MATCH(T546&amp;":"&amp;N546,CustomWeightsIndex,0))</f>
        <v>0</v>
      </c>
      <c r="AB546">
        <f>INDEX(CustomWeightsACT,MATCH(T546&amp;":"&amp;N546,CustomWeightsIndex,0))</f>
        <v>0</v>
      </c>
      <c r="AC546">
        <f>INDEX(CustomWeightsIntercept,MATCH(T546&amp;":"&amp;N546,CustomWeightsIndex,0))</f>
        <v>0</v>
      </c>
      <c r="AD546">
        <f>AA546*P546+AB546*Q546+AC546</f>
        <v>0</v>
      </c>
      <c r="AE546">
        <f>INDEX(CoefficientsGPA,MATCH(T546&amp;":"&amp;O546,CoefficientsIndex,0))</f>
        <v>0</v>
      </c>
      <c r="AF546">
        <f>INDEX(CoefficientsACT,MATCH(T546&amp;":"&amp;O546,CoefficientsIndex,0))</f>
        <v>0</v>
      </c>
      <c r="AG546">
        <f>INDEX(CoefficientsIntercept,MATCH(T546&amp;":"&amp;O546,CoefficientsIndex,0))</f>
        <v>0</v>
      </c>
      <c r="AH546">
        <f>AE546*P546+(Q546-Z546)*AF546+AG546</f>
        <v>0</v>
      </c>
      <c r="AI546">
        <f>IF(ISNUMBER(AD546),AD546,AH546)</f>
        <v>0</v>
      </c>
      <c r="AJ546">
        <f>IF(ISNUMBER(AI546),IF(ISNUMBER(AE546),IF(AND(AE546=1,AF546=1,AG546=1),100,ROUND(100*EXP(AI546)/(1+EXP(AI546)),2)),ROUND(100*EXP(AI546)/(1+EXP(AI546)),2)),IF(ISTEXT(O546),IF(LEFT(O546,1)="2",100,"N/A"),"N/A"))</f>
        <v>0</v>
      </c>
      <c r="AK546">
        <f>IF(ISNUMBER(AJ546),IF(AJ546&gt;=99,IF(OR(R546=10,R546=11),MatchLabel,SureThingLabel),IF(AJ546&gt;=95,SecureLabel,IF(AJ546&gt;=80,SafetyLabel,IF(AJ546&gt;=50,MatchLabel,IF(AJ546&gt;=20,ReachLabel,IF(AJ546&gt;=10,LongshotLabel,HailMaryLabel)))))),"Other")</f>
        <v>0</v>
      </c>
      <c r="AL546">
        <f>IF(OR(I546="accepted",I546="cond. accept",I546="summer admit"),IF(J546="yes","CHOICE!","Accepted!"),IF(I546="denied","Denied",IF(K546=1,"Waitlist",IF(L546=1,"Deferred",IF(G546="pending","Pending",IF(OR(G546="initial materials submitted",G546="mid-year submitted",G546="final submitted"),"Submitted",IF(H546="interest","Interest","?")))))))</f>
        <v>0</v>
      </c>
      <c r="AM546">
        <f>IF(OR(AK546=ReachLabel,AK546=LongshotLabel,AK546=HailMaryLabel),1,0)</f>
        <v>0</v>
      </c>
      <c r="AN546">
        <f>IF(OR(AM546=1,AK546=MatchLabel),1,0)</f>
        <v>0</v>
      </c>
      <c r="AO546">
        <f>IF(OR(AK546=MatchLabel,AK546=SafetyLabel,AK546=SecureLabel,AK546=SureThingLabel),1,0)</f>
        <v>0</v>
      </c>
      <c r="AP546">
        <f>IF(OR(T546="H",T546="B"),IF(ISNUMBER(Y546),ROUND(Y546,2),0),IF(ISNUMBER(X546),ROUND(X546,2),0))</f>
        <v>0</v>
      </c>
      <c r="AQ546">
        <f>IF(AP546&gt;=U546,1,0)</f>
        <v>0</v>
      </c>
      <c r="AR546">
        <f>IF(AP546&gt;=V546,1,0)</f>
        <v>0</v>
      </c>
      <c r="AS546">
        <f>IF(AP546&lt;(U546-0.10),1,0)</f>
        <v>0</v>
      </c>
      <c r="AT546">
        <f>1-AJ546/100</f>
        <v>0</v>
      </c>
      <c r="AU546">
        <f>IF(AN546=1,AT546,1)</f>
        <v>0</v>
      </c>
      <c r="AV546">
        <f>IF(AM546=1,AT546,1)</f>
        <v>0</v>
      </c>
      <c r="AW546">
        <f>IF(AND(AQ546=1,ISNUMBER(AT546)),$AT546,1)</f>
        <v>0</v>
      </c>
      <c r="AX546">
        <f>IF(AND(AR546=1,ISNUMBER(AT546)),$AT546,1)</f>
        <v>0</v>
      </c>
      <c r="AY546">
        <f>IF(ISNUMBER(Y546),INDEX(AllCollegeMoney, MATCH(N546,AllCollegeNCES,0)),0)</f>
        <v>0</v>
      </c>
      <c r="AZ546">
        <f>IF(AND(AQ546=1,ISNUMBER(AT546),AY546=1),$AT546,1)</f>
        <v>0</v>
      </c>
      <c r="BA546">
        <f>IF(AND(AR546=1,ISNUMBER(AT546),AY546=1),$AT546,1)</f>
        <v>0</v>
      </c>
      <c r="BB546">
        <f>IF(ISNUMBER(Y546),INDEX(AllCollegeILPub, MATCH(N546,AllCollegeNCES,0)),0)</f>
        <v>0</v>
      </c>
      <c r="BC546">
        <f>IF(AK546=ReachLabel,AP546,0)</f>
        <v>0</v>
      </c>
      <c r="BD546">
        <f>IF(AK546=MatchLabel,AP546,0)</f>
        <v>0</v>
      </c>
      <c r="BE546">
        <f>IF(AK546=SafetyLabel,AP546,0)</f>
        <v>0</v>
      </c>
      <c r="BF546">
        <f>IF(AK546=SecureLabel,AP546,0)</f>
        <v>0</v>
      </c>
      <c r="BG546">
        <f>IF(AK546=SureThingLabel,AP546,0)</f>
        <v>0</v>
      </c>
      <c r="BH546">
        <f>MAX(BC546:BG546)</f>
        <v>0</v>
      </c>
      <c r="BI546">
        <f>MAX(BD546:BG546)</f>
        <v>0</v>
      </c>
      <c r="BJ546">
        <f>MAX(BE546:BG546)</f>
        <v>0</v>
      </c>
      <c r="BK546">
        <f>IF(AND(AK546=ReachLabel,AY546=1),AP546,0)</f>
        <v>0</v>
      </c>
      <c r="BL546">
        <f>IF(AND(AK546=MatchLabel,AY546=1),AP546,0)</f>
        <v>0</v>
      </c>
      <c r="BM546">
        <f>IF(AND(AK546=SafetyLabel,AY546=1),AP546,0)</f>
        <v>0</v>
      </c>
      <c r="BN546">
        <f>IF(AND(AK546=SecureLabel,AY546=1),AP546,0)</f>
        <v>0</v>
      </c>
      <c r="BO546">
        <f>IF(AND(AK546=SureThingLabel,AY546=1),AP546,0)</f>
        <v>0</v>
      </c>
      <c r="BP546">
        <f>MAX(BK546:BO546)</f>
        <v>0</v>
      </c>
      <c r="BQ546">
        <f>MAX(BL546:BO546)</f>
        <v>0</v>
      </c>
      <c r="BR546">
        <f>MAX(BM546:BO546)</f>
        <v>0</v>
      </c>
      <c r="BS546">
        <f>IF(ISNUMBER(Y546),INDEX(AllCollegeChicago, MATCH(N546,AllCollegeNCES,0))*AY546,0)</f>
        <v>0</v>
      </c>
      <c r="BT546">
        <f>IF(ISNUMBER(Y546),INDEX(AllCollegeMoneyCode, MATCH(N546,AllCollegeNCES,0)),"?")</f>
        <v>0</v>
      </c>
      <c r="BU546">
        <f>IF(OR(BT546="---",BT546="--",BT546="+/--",BT546="+/---"),1,0)</f>
        <v>0</v>
      </c>
      <c r="BV546">
        <f>AY546*AO546*AQ546</f>
        <v>0</v>
      </c>
    </row>
    <row r="547" spans="1:74">
      <c r="A547" t="s">
        <v>86</v>
      </c>
      <c r="B547">
        <v>23478035</v>
      </c>
      <c r="C547" t="s">
        <v>233</v>
      </c>
      <c r="D547" t="s">
        <v>234</v>
      </c>
      <c r="E547" t="s">
        <v>428</v>
      </c>
      <c r="F547" t="s">
        <v>502</v>
      </c>
      <c r="G547" t="s">
        <v>430</v>
      </c>
      <c r="H547" t="s">
        <v>431</v>
      </c>
      <c r="I547" t="s">
        <v>432</v>
      </c>
      <c r="J547" t="s">
        <v>432</v>
      </c>
      <c r="K547">
        <v>0</v>
      </c>
      <c r="L547" t="s">
        <v>428</v>
      </c>
      <c r="M547" t="s">
        <v>428</v>
      </c>
      <c r="N547">
        <v>145813</v>
      </c>
      <c r="O547">
        <f>INDEX(AllCollegeBarrons,MATCH(N547,AllCollegeNCES,0))</f>
        <v>0</v>
      </c>
      <c r="P547">
        <f>INDEX(KidGPAs,MATCH(B547,KidIDs,0))</f>
        <v>0</v>
      </c>
      <c r="Q547">
        <f>INDEX(KidACTs,MATCH(B547,KidIDs,0))</f>
        <v>0</v>
      </c>
      <c r="R547">
        <f>INDEX(Strats,MATCH(B547,KidIDs,0))</f>
        <v>0</v>
      </c>
      <c r="S547">
        <f>INDEX(KidRace,MATCH(B547,KidIDs,0))</f>
        <v>0</v>
      </c>
      <c r="T547">
        <f>IF(OR(S547="M",S547="I"),"H",S547)</f>
        <v>0</v>
      </c>
      <c r="U547">
        <f>INDEX(StudentTargets,MATCH(B547,KidIDs,0))</f>
        <v>0</v>
      </c>
      <c r="V547">
        <f>INDEX(ReachStudentTargets,MATCH(B547,KidIDs,0))</f>
        <v>0</v>
      </c>
      <c r="W547">
        <f>IF(OR(M547="Posse"),1,0)</f>
        <v>0</v>
      </c>
      <c r="X547">
        <f>IF(ISNUMBER(INDEX(AllCollegeGR, MATCH(N547,AllCollegeNCES,0))),ROUND(INDEX(AllCollegeGR, MATCH(N547,AllCollegeNCES,0))+W547*IF(INDEX(AllCollegeGR, MATCH(N547,AllCollegeNCES,0))&gt;0.7,(1-INDEX(AllCollegeGR, MATCH(N547,AllCollegeNCES,0)))/2,0.15),2),INDEX(AllCollegeGR, MATCH(N547,AllCollegeNCES,0)))</f>
        <v>0</v>
      </c>
      <c r="Y547">
        <f>IF(ISNUMBER(INDEX(AllCollegeAAHGR, MATCH(N547,AllCollegeNCES,0))),ROUND(INDEX(AllCollegeAAHGR, MATCH(N547,AllCollegeNCES,0))+W547*IF(INDEX(AllCollegeAAHGR, MATCH(N547,AllCollegeNCES,0))&gt;0.7,(1-INDEX(AllCollegeAAHGR, MATCH(N547,AllCollegeNCES,0)))/2,0.15),2),INDEX(AllCollegeAAHGR, MATCH(N547,AllCollegeNCES,0)))</f>
        <v>0</v>
      </c>
      <c r="Z547">
        <f>IF(OR(T547="H",T547="B"),INDEX(AllCollegeACT25, MATCH(N547,AllCollegeNCES,0)),INDEX(AllCollegeACT50, MATCH(N547,AllCollegeNCES,0)))</f>
        <v>0</v>
      </c>
      <c r="AA547">
        <f>INDEX(CustomWeightsGPA,MATCH(T547&amp;":"&amp;N547,CustomWeightsIndex,0))</f>
        <v>0</v>
      </c>
      <c r="AB547">
        <f>INDEX(CustomWeightsACT,MATCH(T547&amp;":"&amp;N547,CustomWeightsIndex,0))</f>
        <v>0</v>
      </c>
      <c r="AC547">
        <f>INDEX(CustomWeightsIntercept,MATCH(T547&amp;":"&amp;N547,CustomWeightsIndex,0))</f>
        <v>0</v>
      </c>
      <c r="AD547">
        <f>AA547*P547+AB547*Q547+AC547</f>
        <v>0</v>
      </c>
      <c r="AE547">
        <f>INDEX(CoefficientsGPA,MATCH(T547&amp;":"&amp;O547,CoefficientsIndex,0))</f>
        <v>0</v>
      </c>
      <c r="AF547">
        <f>INDEX(CoefficientsACT,MATCH(T547&amp;":"&amp;O547,CoefficientsIndex,0))</f>
        <v>0</v>
      </c>
      <c r="AG547">
        <f>INDEX(CoefficientsIntercept,MATCH(T547&amp;":"&amp;O547,CoefficientsIndex,0))</f>
        <v>0</v>
      </c>
      <c r="AH547">
        <f>AE547*P547+(Q547-Z547)*AF547+AG547</f>
        <v>0</v>
      </c>
      <c r="AI547">
        <f>IF(ISNUMBER(AD547),AD547,AH547)</f>
        <v>0</v>
      </c>
      <c r="AJ547">
        <f>IF(ISNUMBER(AI547),IF(ISNUMBER(AE547),IF(AND(AE547=1,AF547=1,AG547=1),100,ROUND(100*EXP(AI547)/(1+EXP(AI547)),2)),ROUND(100*EXP(AI547)/(1+EXP(AI547)),2)),IF(ISTEXT(O547),IF(LEFT(O547,1)="2",100,"N/A"),"N/A"))</f>
        <v>0</v>
      </c>
      <c r="AK547">
        <f>IF(ISNUMBER(AJ547),IF(AJ547&gt;=99,IF(OR(R547=10,R547=11),MatchLabel,SureThingLabel),IF(AJ547&gt;=95,SecureLabel,IF(AJ547&gt;=80,SafetyLabel,IF(AJ547&gt;=50,MatchLabel,IF(AJ547&gt;=20,ReachLabel,IF(AJ547&gt;=10,LongshotLabel,HailMaryLabel)))))),"Other")</f>
        <v>0</v>
      </c>
      <c r="AL547">
        <f>IF(OR(I547="accepted",I547="cond. accept",I547="summer admit"),IF(J547="yes","CHOICE!","Accepted!"),IF(I547="denied","Denied",IF(K547=1,"Waitlist",IF(L547=1,"Deferred",IF(G547="pending","Pending",IF(OR(G547="initial materials submitted",G547="mid-year submitted",G547="final submitted"),"Submitted",IF(H547="interest","Interest","?")))))))</f>
        <v>0</v>
      </c>
      <c r="AM547">
        <f>IF(OR(AK547=ReachLabel,AK547=LongshotLabel,AK547=HailMaryLabel),1,0)</f>
        <v>0</v>
      </c>
      <c r="AN547">
        <f>IF(OR(AM547=1,AK547=MatchLabel),1,0)</f>
        <v>0</v>
      </c>
      <c r="AO547">
        <f>IF(OR(AK547=MatchLabel,AK547=SafetyLabel,AK547=SecureLabel,AK547=SureThingLabel),1,0)</f>
        <v>0</v>
      </c>
      <c r="AP547">
        <f>IF(OR(T547="H",T547="B"),IF(ISNUMBER(Y547),ROUND(Y547,2),0),IF(ISNUMBER(X547),ROUND(X547,2),0))</f>
        <v>0</v>
      </c>
      <c r="AQ547">
        <f>IF(AP547&gt;=U547,1,0)</f>
        <v>0</v>
      </c>
      <c r="AR547">
        <f>IF(AP547&gt;=V547,1,0)</f>
        <v>0</v>
      </c>
      <c r="AS547">
        <f>IF(AP547&lt;(U547-0.10),1,0)</f>
        <v>0</v>
      </c>
      <c r="AT547">
        <f>1-AJ547/100</f>
        <v>0</v>
      </c>
      <c r="AU547">
        <f>IF(AN547=1,AT547,1)</f>
        <v>0</v>
      </c>
      <c r="AV547">
        <f>IF(AM547=1,AT547,1)</f>
        <v>0</v>
      </c>
      <c r="AW547">
        <f>IF(AND(AQ547=1,ISNUMBER(AT547)),$AT547,1)</f>
        <v>0</v>
      </c>
      <c r="AX547">
        <f>IF(AND(AR547=1,ISNUMBER(AT547)),$AT547,1)</f>
        <v>0</v>
      </c>
      <c r="AY547">
        <f>IF(ISNUMBER(Y547),INDEX(AllCollegeMoney, MATCH(N547,AllCollegeNCES,0)),0)</f>
        <v>0</v>
      </c>
      <c r="AZ547">
        <f>IF(AND(AQ547=1,ISNUMBER(AT547),AY547=1),$AT547,1)</f>
        <v>0</v>
      </c>
      <c r="BA547">
        <f>IF(AND(AR547=1,ISNUMBER(AT547),AY547=1),$AT547,1)</f>
        <v>0</v>
      </c>
      <c r="BB547">
        <f>IF(ISNUMBER(Y547),INDEX(AllCollegeILPub, MATCH(N547,AllCollegeNCES,0)),0)</f>
        <v>0</v>
      </c>
      <c r="BC547">
        <f>IF(AK547=ReachLabel,AP547,0)</f>
        <v>0</v>
      </c>
      <c r="BD547">
        <f>IF(AK547=MatchLabel,AP547,0)</f>
        <v>0</v>
      </c>
      <c r="BE547">
        <f>IF(AK547=SafetyLabel,AP547,0)</f>
        <v>0</v>
      </c>
      <c r="BF547">
        <f>IF(AK547=SecureLabel,AP547,0)</f>
        <v>0</v>
      </c>
      <c r="BG547">
        <f>IF(AK547=SureThingLabel,AP547,0)</f>
        <v>0</v>
      </c>
      <c r="BH547">
        <f>MAX(BC547:BG547)</f>
        <v>0</v>
      </c>
      <c r="BI547">
        <f>MAX(BD547:BG547)</f>
        <v>0</v>
      </c>
      <c r="BJ547">
        <f>MAX(BE547:BG547)</f>
        <v>0</v>
      </c>
      <c r="BK547">
        <f>IF(AND(AK547=ReachLabel,AY547=1),AP547,0)</f>
        <v>0</v>
      </c>
      <c r="BL547">
        <f>IF(AND(AK547=MatchLabel,AY547=1),AP547,0)</f>
        <v>0</v>
      </c>
      <c r="BM547">
        <f>IF(AND(AK547=SafetyLabel,AY547=1),AP547,0)</f>
        <v>0</v>
      </c>
      <c r="BN547">
        <f>IF(AND(AK547=SecureLabel,AY547=1),AP547,0)</f>
        <v>0</v>
      </c>
      <c r="BO547">
        <f>IF(AND(AK547=SureThingLabel,AY547=1),AP547,0)</f>
        <v>0</v>
      </c>
      <c r="BP547">
        <f>MAX(BK547:BO547)</f>
        <v>0</v>
      </c>
      <c r="BQ547">
        <f>MAX(BL547:BO547)</f>
        <v>0</v>
      </c>
      <c r="BR547">
        <f>MAX(BM547:BO547)</f>
        <v>0</v>
      </c>
      <c r="BS547">
        <f>IF(ISNUMBER(Y547),INDEX(AllCollegeChicago, MATCH(N547,AllCollegeNCES,0))*AY547,0)</f>
        <v>0</v>
      </c>
      <c r="BT547">
        <f>IF(ISNUMBER(Y547),INDEX(AllCollegeMoneyCode, MATCH(N547,AllCollegeNCES,0)),"?")</f>
        <v>0</v>
      </c>
      <c r="BU547">
        <f>IF(OR(BT547="---",BT547="--",BT547="+/--",BT547="+/---"),1,0)</f>
        <v>0</v>
      </c>
      <c r="BV547">
        <f>AY547*AO547*AQ547</f>
        <v>0</v>
      </c>
    </row>
    <row r="548" spans="1:74">
      <c r="A548" t="s">
        <v>86</v>
      </c>
      <c r="B548">
        <v>23478035</v>
      </c>
      <c r="C548" t="s">
        <v>233</v>
      </c>
      <c r="D548" t="s">
        <v>234</v>
      </c>
      <c r="E548" t="s">
        <v>428</v>
      </c>
      <c r="F548" t="s">
        <v>447</v>
      </c>
      <c r="G548" t="s">
        <v>430</v>
      </c>
      <c r="H548" t="s">
        <v>431</v>
      </c>
      <c r="I548" t="s">
        <v>432</v>
      </c>
      <c r="J548" t="s">
        <v>432</v>
      </c>
      <c r="K548">
        <v>0</v>
      </c>
      <c r="L548" t="s">
        <v>428</v>
      </c>
      <c r="M548" t="s">
        <v>428</v>
      </c>
      <c r="N548">
        <v>145600</v>
      </c>
      <c r="O548">
        <f>INDEX(AllCollegeBarrons,MATCH(N548,AllCollegeNCES,0))</f>
        <v>0</v>
      </c>
      <c r="P548">
        <f>INDEX(KidGPAs,MATCH(B548,KidIDs,0))</f>
        <v>0</v>
      </c>
      <c r="Q548">
        <f>INDEX(KidACTs,MATCH(B548,KidIDs,0))</f>
        <v>0</v>
      </c>
      <c r="R548">
        <f>INDEX(Strats,MATCH(B548,KidIDs,0))</f>
        <v>0</v>
      </c>
      <c r="S548">
        <f>INDEX(KidRace,MATCH(B548,KidIDs,0))</f>
        <v>0</v>
      </c>
      <c r="T548">
        <f>IF(OR(S548="M",S548="I"),"H",S548)</f>
        <v>0</v>
      </c>
      <c r="U548">
        <f>INDEX(StudentTargets,MATCH(B548,KidIDs,0))</f>
        <v>0</v>
      </c>
      <c r="V548">
        <f>INDEX(ReachStudentTargets,MATCH(B548,KidIDs,0))</f>
        <v>0</v>
      </c>
      <c r="W548">
        <f>IF(OR(M548="Posse"),1,0)</f>
        <v>0</v>
      </c>
      <c r="X548">
        <f>IF(ISNUMBER(INDEX(AllCollegeGR, MATCH(N548,AllCollegeNCES,0))),ROUND(INDEX(AllCollegeGR, MATCH(N548,AllCollegeNCES,0))+W548*IF(INDEX(AllCollegeGR, MATCH(N548,AllCollegeNCES,0))&gt;0.7,(1-INDEX(AllCollegeGR, MATCH(N548,AllCollegeNCES,0)))/2,0.15),2),INDEX(AllCollegeGR, MATCH(N548,AllCollegeNCES,0)))</f>
        <v>0</v>
      </c>
      <c r="Y548">
        <f>IF(ISNUMBER(INDEX(AllCollegeAAHGR, MATCH(N548,AllCollegeNCES,0))),ROUND(INDEX(AllCollegeAAHGR, MATCH(N548,AllCollegeNCES,0))+W548*IF(INDEX(AllCollegeAAHGR, MATCH(N548,AllCollegeNCES,0))&gt;0.7,(1-INDEX(AllCollegeAAHGR, MATCH(N548,AllCollegeNCES,0)))/2,0.15),2),INDEX(AllCollegeAAHGR, MATCH(N548,AllCollegeNCES,0)))</f>
        <v>0</v>
      </c>
      <c r="Z548">
        <f>IF(OR(T548="H",T548="B"),INDEX(AllCollegeACT25, MATCH(N548,AllCollegeNCES,0)),INDEX(AllCollegeACT50, MATCH(N548,AllCollegeNCES,0)))</f>
        <v>0</v>
      </c>
      <c r="AA548">
        <f>INDEX(CustomWeightsGPA,MATCH(T548&amp;":"&amp;N548,CustomWeightsIndex,0))</f>
        <v>0</v>
      </c>
      <c r="AB548">
        <f>INDEX(CustomWeightsACT,MATCH(T548&amp;":"&amp;N548,CustomWeightsIndex,0))</f>
        <v>0</v>
      </c>
      <c r="AC548">
        <f>INDEX(CustomWeightsIntercept,MATCH(T548&amp;":"&amp;N548,CustomWeightsIndex,0))</f>
        <v>0</v>
      </c>
      <c r="AD548">
        <f>AA548*P548+AB548*Q548+AC548</f>
        <v>0</v>
      </c>
      <c r="AE548">
        <f>INDEX(CoefficientsGPA,MATCH(T548&amp;":"&amp;O548,CoefficientsIndex,0))</f>
        <v>0</v>
      </c>
      <c r="AF548">
        <f>INDEX(CoefficientsACT,MATCH(T548&amp;":"&amp;O548,CoefficientsIndex,0))</f>
        <v>0</v>
      </c>
      <c r="AG548">
        <f>INDEX(CoefficientsIntercept,MATCH(T548&amp;":"&amp;O548,CoefficientsIndex,0))</f>
        <v>0</v>
      </c>
      <c r="AH548">
        <f>AE548*P548+(Q548-Z548)*AF548+AG548</f>
        <v>0</v>
      </c>
      <c r="AI548">
        <f>IF(ISNUMBER(AD548),AD548,AH548)</f>
        <v>0</v>
      </c>
      <c r="AJ548">
        <f>IF(ISNUMBER(AI548),IF(ISNUMBER(AE548),IF(AND(AE548=1,AF548=1,AG548=1),100,ROUND(100*EXP(AI548)/(1+EXP(AI548)),2)),ROUND(100*EXP(AI548)/(1+EXP(AI548)),2)),IF(ISTEXT(O548),IF(LEFT(O548,1)="2",100,"N/A"),"N/A"))</f>
        <v>0</v>
      </c>
      <c r="AK548">
        <f>IF(ISNUMBER(AJ548),IF(AJ548&gt;=99,IF(OR(R548=10,R548=11),MatchLabel,SureThingLabel),IF(AJ548&gt;=95,SecureLabel,IF(AJ548&gt;=80,SafetyLabel,IF(AJ548&gt;=50,MatchLabel,IF(AJ548&gt;=20,ReachLabel,IF(AJ548&gt;=10,LongshotLabel,HailMaryLabel)))))),"Other")</f>
        <v>0</v>
      </c>
      <c r="AL548">
        <f>IF(OR(I548="accepted",I548="cond. accept",I548="summer admit"),IF(J548="yes","CHOICE!","Accepted!"),IF(I548="denied","Denied",IF(K548=1,"Waitlist",IF(L548=1,"Deferred",IF(G548="pending","Pending",IF(OR(G548="initial materials submitted",G548="mid-year submitted",G548="final submitted"),"Submitted",IF(H548="interest","Interest","?")))))))</f>
        <v>0</v>
      </c>
      <c r="AM548">
        <f>IF(OR(AK548=ReachLabel,AK548=LongshotLabel,AK548=HailMaryLabel),1,0)</f>
        <v>0</v>
      </c>
      <c r="AN548">
        <f>IF(OR(AM548=1,AK548=MatchLabel),1,0)</f>
        <v>0</v>
      </c>
      <c r="AO548">
        <f>IF(OR(AK548=MatchLabel,AK548=SafetyLabel,AK548=SecureLabel,AK548=SureThingLabel),1,0)</f>
        <v>0</v>
      </c>
      <c r="AP548">
        <f>IF(OR(T548="H",T548="B"),IF(ISNUMBER(Y548),ROUND(Y548,2),0),IF(ISNUMBER(X548),ROUND(X548,2),0))</f>
        <v>0</v>
      </c>
      <c r="AQ548">
        <f>IF(AP548&gt;=U548,1,0)</f>
        <v>0</v>
      </c>
      <c r="AR548">
        <f>IF(AP548&gt;=V548,1,0)</f>
        <v>0</v>
      </c>
      <c r="AS548">
        <f>IF(AP548&lt;(U548-0.10),1,0)</f>
        <v>0</v>
      </c>
      <c r="AT548">
        <f>1-AJ548/100</f>
        <v>0</v>
      </c>
      <c r="AU548">
        <f>IF(AN548=1,AT548,1)</f>
        <v>0</v>
      </c>
      <c r="AV548">
        <f>IF(AM548=1,AT548,1)</f>
        <v>0</v>
      </c>
      <c r="AW548">
        <f>IF(AND(AQ548=1,ISNUMBER(AT548)),$AT548,1)</f>
        <v>0</v>
      </c>
      <c r="AX548">
        <f>IF(AND(AR548=1,ISNUMBER(AT548)),$AT548,1)</f>
        <v>0</v>
      </c>
      <c r="AY548">
        <f>IF(ISNUMBER(Y548),INDEX(AllCollegeMoney, MATCH(N548,AllCollegeNCES,0)),0)</f>
        <v>0</v>
      </c>
      <c r="AZ548">
        <f>IF(AND(AQ548=1,ISNUMBER(AT548),AY548=1),$AT548,1)</f>
        <v>0</v>
      </c>
      <c r="BA548">
        <f>IF(AND(AR548=1,ISNUMBER(AT548),AY548=1),$AT548,1)</f>
        <v>0</v>
      </c>
      <c r="BB548">
        <f>IF(ISNUMBER(Y548),INDEX(AllCollegeILPub, MATCH(N548,AllCollegeNCES,0)),0)</f>
        <v>0</v>
      </c>
      <c r="BC548">
        <f>IF(AK548=ReachLabel,AP548,0)</f>
        <v>0</v>
      </c>
      <c r="BD548">
        <f>IF(AK548=MatchLabel,AP548,0)</f>
        <v>0</v>
      </c>
      <c r="BE548">
        <f>IF(AK548=SafetyLabel,AP548,0)</f>
        <v>0</v>
      </c>
      <c r="BF548">
        <f>IF(AK548=SecureLabel,AP548,0)</f>
        <v>0</v>
      </c>
      <c r="BG548">
        <f>IF(AK548=SureThingLabel,AP548,0)</f>
        <v>0</v>
      </c>
      <c r="BH548">
        <f>MAX(BC548:BG548)</f>
        <v>0</v>
      </c>
      <c r="BI548">
        <f>MAX(BD548:BG548)</f>
        <v>0</v>
      </c>
      <c r="BJ548">
        <f>MAX(BE548:BG548)</f>
        <v>0</v>
      </c>
      <c r="BK548">
        <f>IF(AND(AK548=ReachLabel,AY548=1),AP548,0)</f>
        <v>0</v>
      </c>
      <c r="BL548">
        <f>IF(AND(AK548=MatchLabel,AY548=1),AP548,0)</f>
        <v>0</v>
      </c>
      <c r="BM548">
        <f>IF(AND(AK548=SafetyLabel,AY548=1),AP548,0)</f>
        <v>0</v>
      </c>
      <c r="BN548">
        <f>IF(AND(AK548=SecureLabel,AY548=1),AP548,0)</f>
        <v>0</v>
      </c>
      <c r="BO548">
        <f>IF(AND(AK548=SureThingLabel,AY548=1),AP548,0)</f>
        <v>0</v>
      </c>
      <c r="BP548">
        <f>MAX(BK548:BO548)</f>
        <v>0</v>
      </c>
      <c r="BQ548">
        <f>MAX(BL548:BO548)</f>
        <v>0</v>
      </c>
      <c r="BR548">
        <f>MAX(BM548:BO548)</f>
        <v>0</v>
      </c>
      <c r="BS548">
        <f>IF(ISNUMBER(Y548),INDEX(AllCollegeChicago, MATCH(N548,AllCollegeNCES,0))*AY548,0)</f>
        <v>0</v>
      </c>
      <c r="BT548">
        <f>IF(ISNUMBER(Y548),INDEX(AllCollegeMoneyCode, MATCH(N548,AllCollegeNCES,0)),"?")</f>
        <v>0</v>
      </c>
      <c r="BU548">
        <f>IF(OR(BT548="---",BT548="--",BT548="+/--",BT548="+/---"),1,0)</f>
        <v>0</v>
      </c>
      <c r="BV548">
        <f>AY548*AO548*AQ548</f>
        <v>0</v>
      </c>
    </row>
    <row r="549" spans="1:74">
      <c r="A549" t="s">
        <v>86</v>
      </c>
      <c r="B549">
        <v>23478035</v>
      </c>
      <c r="C549" t="s">
        <v>233</v>
      </c>
      <c r="D549" t="s">
        <v>234</v>
      </c>
      <c r="E549" t="s">
        <v>428</v>
      </c>
      <c r="F549" t="s">
        <v>437</v>
      </c>
      <c r="G549" t="s">
        <v>430</v>
      </c>
      <c r="H549" t="s">
        <v>431</v>
      </c>
      <c r="I549" t="s">
        <v>432</v>
      </c>
      <c r="J549" t="s">
        <v>432</v>
      </c>
      <c r="K549">
        <v>0</v>
      </c>
      <c r="L549" t="s">
        <v>428</v>
      </c>
      <c r="M549" t="s">
        <v>428</v>
      </c>
      <c r="N549">
        <v>149772</v>
      </c>
      <c r="O549">
        <f>INDEX(AllCollegeBarrons,MATCH(N549,AllCollegeNCES,0))</f>
        <v>0</v>
      </c>
      <c r="P549">
        <f>INDEX(KidGPAs,MATCH(B549,KidIDs,0))</f>
        <v>0</v>
      </c>
      <c r="Q549">
        <f>INDEX(KidACTs,MATCH(B549,KidIDs,0))</f>
        <v>0</v>
      </c>
      <c r="R549">
        <f>INDEX(Strats,MATCH(B549,KidIDs,0))</f>
        <v>0</v>
      </c>
      <c r="S549">
        <f>INDEX(KidRace,MATCH(B549,KidIDs,0))</f>
        <v>0</v>
      </c>
      <c r="T549">
        <f>IF(OR(S549="M",S549="I"),"H",S549)</f>
        <v>0</v>
      </c>
      <c r="U549">
        <f>INDEX(StudentTargets,MATCH(B549,KidIDs,0))</f>
        <v>0</v>
      </c>
      <c r="V549">
        <f>INDEX(ReachStudentTargets,MATCH(B549,KidIDs,0))</f>
        <v>0</v>
      </c>
      <c r="W549">
        <f>IF(OR(M549="Posse"),1,0)</f>
        <v>0</v>
      </c>
      <c r="X549">
        <f>IF(ISNUMBER(INDEX(AllCollegeGR, MATCH(N549,AllCollegeNCES,0))),ROUND(INDEX(AllCollegeGR, MATCH(N549,AllCollegeNCES,0))+W549*IF(INDEX(AllCollegeGR, MATCH(N549,AllCollegeNCES,0))&gt;0.7,(1-INDEX(AllCollegeGR, MATCH(N549,AllCollegeNCES,0)))/2,0.15),2),INDEX(AllCollegeGR, MATCH(N549,AllCollegeNCES,0)))</f>
        <v>0</v>
      </c>
      <c r="Y549">
        <f>IF(ISNUMBER(INDEX(AllCollegeAAHGR, MATCH(N549,AllCollegeNCES,0))),ROUND(INDEX(AllCollegeAAHGR, MATCH(N549,AllCollegeNCES,0))+W549*IF(INDEX(AllCollegeAAHGR, MATCH(N549,AllCollegeNCES,0))&gt;0.7,(1-INDEX(AllCollegeAAHGR, MATCH(N549,AllCollegeNCES,0)))/2,0.15),2),INDEX(AllCollegeAAHGR, MATCH(N549,AllCollegeNCES,0)))</f>
        <v>0</v>
      </c>
      <c r="Z549">
        <f>IF(OR(T549="H",T549="B"),INDEX(AllCollegeACT25, MATCH(N549,AllCollegeNCES,0)),INDEX(AllCollegeACT50, MATCH(N549,AllCollegeNCES,0)))</f>
        <v>0</v>
      </c>
      <c r="AA549">
        <f>INDEX(CustomWeightsGPA,MATCH(T549&amp;":"&amp;N549,CustomWeightsIndex,0))</f>
        <v>0</v>
      </c>
      <c r="AB549">
        <f>INDEX(CustomWeightsACT,MATCH(T549&amp;":"&amp;N549,CustomWeightsIndex,0))</f>
        <v>0</v>
      </c>
      <c r="AC549">
        <f>INDEX(CustomWeightsIntercept,MATCH(T549&amp;":"&amp;N549,CustomWeightsIndex,0))</f>
        <v>0</v>
      </c>
      <c r="AD549">
        <f>AA549*P549+AB549*Q549+AC549</f>
        <v>0</v>
      </c>
      <c r="AE549">
        <f>INDEX(CoefficientsGPA,MATCH(T549&amp;":"&amp;O549,CoefficientsIndex,0))</f>
        <v>0</v>
      </c>
      <c r="AF549">
        <f>INDEX(CoefficientsACT,MATCH(T549&amp;":"&amp;O549,CoefficientsIndex,0))</f>
        <v>0</v>
      </c>
      <c r="AG549">
        <f>INDEX(CoefficientsIntercept,MATCH(T549&amp;":"&amp;O549,CoefficientsIndex,0))</f>
        <v>0</v>
      </c>
      <c r="AH549">
        <f>AE549*P549+(Q549-Z549)*AF549+AG549</f>
        <v>0</v>
      </c>
      <c r="AI549">
        <f>IF(ISNUMBER(AD549),AD549,AH549)</f>
        <v>0</v>
      </c>
      <c r="AJ549">
        <f>IF(ISNUMBER(AI549),IF(ISNUMBER(AE549),IF(AND(AE549=1,AF549=1,AG549=1),100,ROUND(100*EXP(AI549)/(1+EXP(AI549)),2)),ROUND(100*EXP(AI549)/(1+EXP(AI549)),2)),IF(ISTEXT(O549),IF(LEFT(O549,1)="2",100,"N/A"),"N/A"))</f>
        <v>0</v>
      </c>
      <c r="AK549">
        <f>IF(ISNUMBER(AJ549),IF(AJ549&gt;=99,IF(OR(R549=10,R549=11),MatchLabel,SureThingLabel),IF(AJ549&gt;=95,SecureLabel,IF(AJ549&gt;=80,SafetyLabel,IF(AJ549&gt;=50,MatchLabel,IF(AJ549&gt;=20,ReachLabel,IF(AJ549&gt;=10,LongshotLabel,HailMaryLabel)))))),"Other")</f>
        <v>0</v>
      </c>
      <c r="AL549">
        <f>IF(OR(I549="accepted",I549="cond. accept",I549="summer admit"),IF(J549="yes","CHOICE!","Accepted!"),IF(I549="denied","Denied",IF(K549=1,"Waitlist",IF(L549=1,"Deferred",IF(G549="pending","Pending",IF(OR(G549="initial materials submitted",G549="mid-year submitted",G549="final submitted"),"Submitted",IF(H549="interest","Interest","?")))))))</f>
        <v>0</v>
      </c>
      <c r="AM549">
        <f>IF(OR(AK549=ReachLabel,AK549=LongshotLabel,AK549=HailMaryLabel),1,0)</f>
        <v>0</v>
      </c>
      <c r="AN549">
        <f>IF(OR(AM549=1,AK549=MatchLabel),1,0)</f>
        <v>0</v>
      </c>
      <c r="AO549">
        <f>IF(OR(AK549=MatchLabel,AK549=SafetyLabel,AK549=SecureLabel,AK549=SureThingLabel),1,0)</f>
        <v>0</v>
      </c>
      <c r="AP549">
        <f>IF(OR(T549="H",T549="B"),IF(ISNUMBER(Y549),ROUND(Y549,2),0),IF(ISNUMBER(X549),ROUND(X549,2),0))</f>
        <v>0</v>
      </c>
      <c r="AQ549">
        <f>IF(AP549&gt;=U549,1,0)</f>
        <v>0</v>
      </c>
      <c r="AR549">
        <f>IF(AP549&gt;=V549,1,0)</f>
        <v>0</v>
      </c>
      <c r="AS549">
        <f>IF(AP549&lt;(U549-0.10),1,0)</f>
        <v>0</v>
      </c>
      <c r="AT549">
        <f>1-AJ549/100</f>
        <v>0</v>
      </c>
      <c r="AU549">
        <f>IF(AN549=1,AT549,1)</f>
        <v>0</v>
      </c>
      <c r="AV549">
        <f>IF(AM549=1,AT549,1)</f>
        <v>0</v>
      </c>
      <c r="AW549">
        <f>IF(AND(AQ549=1,ISNUMBER(AT549)),$AT549,1)</f>
        <v>0</v>
      </c>
      <c r="AX549">
        <f>IF(AND(AR549=1,ISNUMBER(AT549)),$AT549,1)</f>
        <v>0</v>
      </c>
      <c r="AY549">
        <f>IF(ISNUMBER(Y549),INDEX(AllCollegeMoney, MATCH(N549,AllCollegeNCES,0)),0)</f>
        <v>0</v>
      </c>
      <c r="AZ549">
        <f>IF(AND(AQ549=1,ISNUMBER(AT549),AY549=1),$AT549,1)</f>
        <v>0</v>
      </c>
      <c r="BA549">
        <f>IF(AND(AR549=1,ISNUMBER(AT549),AY549=1),$AT549,1)</f>
        <v>0</v>
      </c>
      <c r="BB549">
        <f>IF(ISNUMBER(Y549),INDEX(AllCollegeILPub, MATCH(N549,AllCollegeNCES,0)),0)</f>
        <v>0</v>
      </c>
      <c r="BC549">
        <f>IF(AK549=ReachLabel,AP549,0)</f>
        <v>0</v>
      </c>
      <c r="BD549">
        <f>IF(AK549=MatchLabel,AP549,0)</f>
        <v>0</v>
      </c>
      <c r="BE549">
        <f>IF(AK549=SafetyLabel,AP549,0)</f>
        <v>0</v>
      </c>
      <c r="BF549">
        <f>IF(AK549=SecureLabel,AP549,0)</f>
        <v>0</v>
      </c>
      <c r="BG549">
        <f>IF(AK549=SureThingLabel,AP549,0)</f>
        <v>0</v>
      </c>
      <c r="BH549">
        <f>MAX(BC549:BG549)</f>
        <v>0</v>
      </c>
      <c r="BI549">
        <f>MAX(BD549:BG549)</f>
        <v>0</v>
      </c>
      <c r="BJ549">
        <f>MAX(BE549:BG549)</f>
        <v>0</v>
      </c>
      <c r="BK549">
        <f>IF(AND(AK549=ReachLabel,AY549=1),AP549,0)</f>
        <v>0</v>
      </c>
      <c r="BL549">
        <f>IF(AND(AK549=MatchLabel,AY549=1),AP549,0)</f>
        <v>0</v>
      </c>
      <c r="BM549">
        <f>IF(AND(AK549=SafetyLabel,AY549=1),AP549,0)</f>
        <v>0</v>
      </c>
      <c r="BN549">
        <f>IF(AND(AK549=SecureLabel,AY549=1),AP549,0)</f>
        <v>0</v>
      </c>
      <c r="BO549">
        <f>IF(AND(AK549=SureThingLabel,AY549=1),AP549,0)</f>
        <v>0</v>
      </c>
      <c r="BP549">
        <f>MAX(BK549:BO549)</f>
        <v>0</v>
      </c>
      <c r="BQ549">
        <f>MAX(BL549:BO549)</f>
        <v>0</v>
      </c>
      <c r="BR549">
        <f>MAX(BM549:BO549)</f>
        <v>0</v>
      </c>
      <c r="BS549">
        <f>IF(ISNUMBER(Y549),INDEX(AllCollegeChicago, MATCH(N549,AllCollegeNCES,0))*AY549,0)</f>
        <v>0</v>
      </c>
      <c r="BT549">
        <f>IF(ISNUMBER(Y549),INDEX(AllCollegeMoneyCode, MATCH(N549,AllCollegeNCES,0)),"?")</f>
        <v>0</v>
      </c>
      <c r="BU549">
        <f>IF(OR(BT549="---",BT549="--",BT549="+/--",BT549="+/---"),1,0)</f>
        <v>0</v>
      </c>
      <c r="BV549">
        <f>AY549*AO549*AQ549</f>
        <v>0</v>
      </c>
    </row>
    <row r="550" spans="1:74">
      <c r="A550" t="s">
        <v>86</v>
      </c>
      <c r="B550">
        <v>23478035</v>
      </c>
      <c r="C550" t="s">
        <v>233</v>
      </c>
      <c r="D550" t="s">
        <v>234</v>
      </c>
      <c r="E550" t="s">
        <v>428</v>
      </c>
      <c r="F550" t="s">
        <v>438</v>
      </c>
      <c r="G550" t="s">
        <v>430</v>
      </c>
      <c r="H550" t="s">
        <v>431</v>
      </c>
      <c r="I550" t="s">
        <v>432</v>
      </c>
      <c r="J550" t="s">
        <v>432</v>
      </c>
      <c r="K550">
        <v>0</v>
      </c>
      <c r="L550" t="s">
        <v>428</v>
      </c>
      <c r="M550" t="s">
        <v>439</v>
      </c>
      <c r="N550">
        <v>150774</v>
      </c>
      <c r="O550">
        <f>INDEX(AllCollegeBarrons,MATCH(N550,AllCollegeNCES,0))</f>
        <v>0</v>
      </c>
      <c r="P550">
        <f>INDEX(KidGPAs,MATCH(B550,KidIDs,0))</f>
        <v>0</v>
      </c>
      <c r="Q550">
        <f>INDEX(KidACTs,MATCH(B550,KidIDs,0))</f>
        <v>0</v>
      </c>
      <c r="R550">
        <f>INDEX(Strats,MATCH(B550,KidIDs,0))</f>
        <v>0</v>
      </c>
      <c r="S550">
        <f>INDEX(KidRace,MATCH(B550,KidIDs,0))</f>
        <v>0</v>
      </c>
      <c r="T550">
        <f>IF(OR(S550="M",S550="I"),"H",S550)</f>
        <v>0</v>
      </c>
      <c r="U550">
        <f>INDEX(StudentTargets,MATCH(B550,KidIDs,0))</f>
        <v>0</v>
      </c>
      <c r="V550">
        <f>INDEX(ReachStudentTargets,MATCH(B550,KidIDs,0))</f>
        <v>0</v>
      </c>
      <c r="W550">
        <f>IF(OR(M550="Posse"),1,0)</f>
        <v>0</v>
      </c>
      <c r="X550">
        <f>IF(ISNUMBER(INDEX(AllCollegeGR, MATCH(N550,AllCollegeNCES,0))),ROUND(INDEX(AllCollegeGR, MATCH(N550,AllCollegeNCES,0))+W550*IF(INDEX(AllCollegeGR, MATCH(N550,AllCollegeNCES,0))&gt;0.7,(1-INDEX(AllCollegeGR, MATCH(N550,AllCollegeNCES,0)))/2,0.15),2),INDEX(AllCollegeGR, MATCH(N550,AllCollegeNCES,0)))</f>
        <v>0</v>
      </c>
      <c r="Y550">
        <f>IF(ISNUMBER(INDEX(AllCollegeAAHGR, MATCH(N550,AllCollegeNCES,0))),ROUND(INDEX(AllCollegeAAHGR, MATCH(N550,AllCollegeNCES,0))+W550*IF(INDEX(AllCollegeAAHGR, MATCH(N550,AllCollegeNCES,0))&gt;0.7,(1-INDEX(AllCollegeAAHGR, MATCH(N550,AllCollegeNCES,0)))/2,0.15),2),INDEX(AllCollegeAAHGR, MATCH(N550,AllCollegeNCES,0)))</f>
        <v>0</v>
      </c>
      <c r="Z550">
        <f>IF(OR(T550="H",T550="B"),INDEX(AllCollegeACT25, MATCH(N550,AllCollegeNCES,0)),INDEX(AllCollegeACT50, MATCH(N550,AllCollegeNCES,0)))</f>
        <v>0</v>
      </c>
      <c r="AA550">
        <f>INDEX(CustomWeightsGPA,MATCH(T550&amp;":"&amp;N550,CustomWeightsIndex,0))</f>
        <v>0</v>
      </c>
      <c r="AB550">
        <f>INDEX(CustomWeightsACT,MATCH(T550&amp;":"&amp;N550,CustomWeightsIndex,0))</f>
        <v>0</v>
      </c>
      <c r="AC550">
        <f>INDEX(CustomWeightsIntercept,MATCH(T550&amp;":"&amp;N550,CustomWeightsIndex,0))</f>
        <v>0</v>
      </c>
      <c r="AD550">
        <f>AA550*P550+AB550*Q550+AC550</f>
        <v>0</v>
      </c>
      <c r="AE550">
        <f>INDEX(CoefficientsGPA,MATCH(T550&amp;":"&amp;O550,CoefficientsIndex,0))</f>
        <v>0</v>
      </c>
      <c r="AF550">
        <f>INDEX(CoefficientsACT,MATCH(T550&amp;":"&amp;O550,CoefficientsIndex,0))</f>
        <v>0</v>
      </c>
      <c r="AG550">
        <f>INDEX(CoefficientsIntercept,MATCH(T550&amp;":"&amp;O550,CoefficientsIndex,0))</f>
        <v>0</v>
      </c>
      <c r="AH550">
        <f>AE550*P550+(Q550-Z550)*AF550+AG550</f>
        <v>0</v>
      </c>
      <c r="AI550">
        <f>IF(ISNUMBER(AD550),AD550,AH550)</f>
        <v>0</v>
      </c>
      <c r="AJ550">
        <f>IF(ISNUMBER(AI550),IF(ISNUMBER(AE550),IF(AND(AE550=1,AF550=1,AG550=1),100,ROUND(100*EXP(AI550)/(1+EXP(AI550)),2)),ROUND(100*EXP(AI550)/(1+EXP(AI550)),2)),IF(ISTEXT(O550),IF(LEFT(O550,1)="2",100,"N/A"),"N/A"))</f>
        <v>0</v>
      </c>
      <c r="AK550">
        <f>IF(ISNUMBER(AJ550),IF(AJ550&gt;=99,IF(OR(R550=10,R550=11),MatchLabel,SureThingLabel),IF(AJ550&gt;=95,SecureLabel,IF(AJ550&gt;=80,SafetyLabel,IF(AJ550&gt;=50,MatchLabel,IF(AJ550&gt;=20,ReachLabel,IF(AJ550&gt;=10,LongshotLabel,HailMaryLabel)))))),"Other")</f>
        <v>0</v>
      </c>
      <c r="AL550">
        <f>IF(OR(I550="accepted",I550="cond. accept",I550="summer admit"),IF(J550="yes","CHOICE!","Accepted!"),IF(I550="denied","Denied",IF(K550=1,"Waitlist",IF(L550=1,"Deferred",IF(G550="pending","Pending",IF(OR(G550="initial materials submitted",G550="mid-year submitted",G550="final submitted"),"Submitted",IF(H550="interest","Interest","?")))))))</f>
        <v>0</v>
      </c>
      <c r="AM550">
        <f>IF(OR(AK550=ReachLabel,AK550=LongshotLabel,AK550=HailMaryLabel),1,0)</f>
        <v>0</v>
      </c>
      <c r="AN550">
        <f>IF(OR(AM550=1,AK550=MatchLabel),1,0)</f>
        <v>0</v>
      </c>
      <c r="AO550">
        <f>IF(OR(AK550=MatchLabel,AK550=SafetyLabel,AK550=SecureLabel,AK550=SureThingLabel),1,0)</f>
        <v>0</v>
      </c>
      <c r="AP550">
        <f>IF(OR(T550="H",T550="B"),IF(ISNUMBER(Y550),ROUND(Y550,2),0),IF(ISNUMBER(X550),ROUND(X550,2),0))</f>
        <v>0</v>
      </c>
      <c r="AQ550">
        <f>IF(AP550&gt;=U550,1,0)</f>
        <v>0</v>
      </c>
      <c r="AR550">
        <f>IF(AP550&gt;=V550,1,0)</f>
        <v>0</v>
      </c>
      <c r="AS550">
        <f>IF(AP550&lt;(U550-0.10),1,0)</f>
        <v>0</v>
      </c>
      <c r="AT550">
        <f>1-AJ550/100</f>
        <v>0</v>
      </c>
      <c r="AU550">
        <f>IF(AN550=1,AT550,1)</f>
        <v>0</v>
      </c>
      <c r="AV550">
        <f>IF(AM550=1,AT550,1)</f>
        <v>0</v>
      </c>
      <c r="AW550">
        <f>IF(AND(AQ550=1,ISNUMBER(AT550)),$AT550,1)</f>
        <v>0</v>
      </c>
      <c r="AX550">
        <f>IF(AND(AR550=1,ISNUMBER(AT550)),$AT550,1)</f>
        <v>0</v>
      </c>
      <c r="AY550">
        <f>IF(ISNUMBER(Y550),INDEX(AllCollegeMoney, MATCH(N550,AllCollegeNCES,0)),0)</f>
        <v>0</v>
      </c>
      <c r="AZ550">
        <f>IF(AND(AQ550=1,ISNUMBER(AT550),AY550=1),$AT550,1)</f>
        <v>0</v>
      </c>
      <c r="BA550">
        <f>IF(AND(AR550=1,ISNUMBER(AT550),AY550=1),$AT550,1)</f>
        <v>0</v>
      </c>
      <c r="BB550">
        <f>IF(ISNUMBER(Y550),INDEX(AllCollegeILPub, MATCH(N550,AllCollegeNCES,0)),0)</f>
        <v>0</v>
      </c>
      <c r="BC550">
        <f>IF(AK550=ReachLabel,AP550,0)</f>
        <v>0</v>
      </c>
      <c r="BD550">
        <f>IF(AK550=MatchLabel,AP550,0)</f>
        <v>0</v>
      </c>
      <c r="BE550">
        <f>IF(AK550=SafetyLabel,AP550,0)</f>
        <v>0</v>
      </c>
      <c r="BF550">
        <f>IF(AK550=SecureLabel,AP550,0)</f>
        <v>0</v>
      </c>
      <c r="BG550">
        <f>IF(AK550=SureThingLabel,AP550,0)</f>
        <v>0</v>
      </c>
      <c r="BH550">
        <f>MAX(BC550:BG550)</f>
        <v>0</v>
      </c>
      <c r="BI550">
        <f>MAX(BD550:BG550)</f>
        <v>0</v>
      </c>
      <c r="BJ550">
        <f>MAX(BE550:BG550)</f>
        <v>0</v>
      </c>
      <c r="BK550">
        <f>IF(AND(AK550=ReachLabel,AY550=1),AP550,0)</f>
        <v>0</v>
      </c>
      <c r="BL550">
        <f>IF(AND(AK550=MatchLabel,AY550=1),AP550,0)</f>
        <v>0</v>
      </c>
      <c r="BM550">
        <f>IF(AND(AK550=SafetyLabel,AY550=1),AP550,0)</f>
        <v>0</v>
      </c>
      <c r="BN550">
        <f>IF(AND(AK550=SecureLabel,AY550=1),AP550,0)</f>
        <v>0</v>
      </c>
      <c r="BO550">
        <f>IF(AND(AK550=SureThingLabel,AY550=1),AP550,0)</f>
        <v>0</v>
      </c>
      <c r="BP550">
        <f>MAX(BK550:BO550)</f>
        <v>0</v>
      </c>
      <c r="BQ550">
        <f>MAX(BL550:BO550)</f>
        <v>0</v>
      </c>
      <c r="BR550">
        <f>MAX(BM550:BO550)</f>
        <v>0</v>
      </c>
      <c r="BS550">
        <f>IF(ISNUMBER(Y550),INDEX(AllCollegeChicago, MATCH(N550,AllCollegeNCES,0))*AY550,0)</f>
        <v>0</v>
      </c>
      <c r="BT550">
        <f>IF(ISNUMBER(Y550),INDEX(AllCollegeMoneyCode, MATCH(N550,AllCollegeNCES,0)),"?")</f>
        <v>0</v>
      </c>
      <c r="BU550">
        <f>IF(OR(BT550="---",BT550="--",BT550="+/--",BT550="+/---"),1,0)</f>
        <v>0</v>
      </c>
      <c r="BV550">
        <f>AY550*AO550*AQ550</f>
        <v>0</v>
      </c>
    </row>
    <row r="551" spans="1:74">
      <c r="A551" t="s">
        <v>86</v>
      </c>
      <c r="B551">
        <v>23478035</v>
      </c>
      <c r="C551" t="s">
        <v>233</v>
      </c>
      <c r="D551" t="s">
        <v>234</v>
      </c>
      <c r="E551" t="s">
        <v>428</v>
      </c>
      <c r="F551" t="s">
        <v>440</v>
      </c>
      <c r="G551" t="s">
        <v>430</v>
      </c>
      <c r="H551" t="s">
        <v>431</v>
      </c>
      <c r="I551" t="s">
        <v>432</v>
      </c>
      <c r="J551" t="s">
        <v>432</v>
      </c>
      <c r="K551">
        <v>0</v>
      </c>
      <c r="L551" t="s">
        <v>428</v>
      </c>
      <c r="M551" t="s">
        <v>428</v>
      </c>
      <c r="N551">
        <v>147703</v>
      </c>
      <c r="O551">
        <f>INDEX(AllCollegeBarrons,MATCH(N551,AllCollegeNCES,0))</f>
        <v>0</v>
      </c>
      <c r="P551">
        <f>INDEX(KidGPAs,MATCH(B551,KidIDs,0))</f>
        <v>0</v>
      </c>
      <c r="Q551">
        <f>INDEX(KidACTs,MATCH(B551,KidIDs,0))</f>
        <v>0</v>
      </c>
      <c r="R551">
        <f>INDEX(Strats,MATCH(B551,KidIDs,0))</f>
        <v>0</v>
      </c>
      <c r="S551">
        <f>INDEX(KidRace,MATCH(B551,KidIDs,0))</f>
        <v>0</v>
      </c>
      <c r="T551">
        <f>IF(OR(S551="M",S551="I"),"H",S551)</f>
        <v>0</v>
      </c>
      <c r="U551">
        <f>INDEX(StudentTargets,MATCH(B551,KidIDs,0))</f>
        <v>0</v>
      </c>
      <c r="V551">
        <f>INDEX(ReachStudentTargets,MATCH(B551,KidIDs,0))</f>
        <v>0</v>
      </c>
      <c r="W551">
        <f>IF(OR(M551="Posse"),1,0)</f>
        <v>0</v>
      </c>
      <c r="X551">
        <f>IF(ISNUMBER(INDEX(AllCollegeGR, MATCH(N551,AllCollegeNCES,0))),ROUND(INDEX(AllCollegeGR, MATCH(N551,AllCollegeNCES,0))+W551*IF(INDEX(AllCollegeGR, MATCH(N551,AllCollegeNCES,0))&gt;0.7,(1-INDEX(AllCollegeGR, MATCH(N551,AllCollegeNCES,0)))/2,0.15),2),INDEX(AllCollegeGR, MATCH(N551,AllCollegeNCES,0)))</f>
        <v>0</v>
      </c>
      <c r="Y551">
        <f>IF(ISNUMBER(INDEX(AllCollegeAAHGR, MATCH(N551,AllCollegeNCES,0))),ROUND(INDEX(AllCollegeAAHGR, MATCH(N551,AllCollegeNCES,0))+W551*IF(INDEX(AllCollegeAAHGR, MATCH(N551,AllCollegeNCES,0))&gt;0.7,(1-INDEX(AllCollegeAAHGR, MATCH(N551,AllCollegeNCES,0)))/2,0.15),2),INDEX(AllCollegeAAHGR, MATCH(N551,AllCollegeNCES,0)))</f>
        <v>0</v>
      </c>
      <c r="Z551">
        <f>IF(OR(T551="H",T551="B"),INDEX(AllCollegeACT25, MATCH(N551,AllCollegeNCES,0)),INDEX(AllCollegeACT50, MATCH(N551,AllCollegeNCES,0)))</f>
        <v>0</v>
      </c>
      <c r="AA551">
        <f>INDEX(CustomWeightsGPA,MATCH(T551&amp;":"&amp;N551,CustomWeightsIndex,0))</f>
        <v>0</v>
      </c>
      <c r="AB551">
        <f>INDEX(CustomWeightsACT,MATCH(T551&amp;":"&amp;N551,CustomWeightsIndex,0))</f>
        <v>0</v>
      </c>
      <c r="AC551">
        <f>INDEX(CustomWeightsIntercept,MATCH(T551&amp;":"&amp;N551,CustomWeightsIndex,0))</f>
        <v>0</v>
      </c>
      <c r="AD551">
        <f>AA551*P551+AB551*Q551+AC551</f>
        <v>0</v>
      </c>
      <c r="AE551">
        <f>INDEX(CoefficientsGPA,MATCH(T551&amp;":"&amp;O551,CoefficientsIndex,0))</f>
        <v>0</v>
      </c>
      <c r="AF551">
        <f>INDEX(CoefficientsACT,MATCH(T551&amp;":"&amp;O551,CoefficientsIndex,0))</f>
        <v>0</v>
      </c>
      <c r="AG551">
        <f>INDEX(CoefficientsIntercept,MATCH(T551&amp;":"&amp;O551,CoefficientsIndex,0))</f>
        <v>0</v>
      </c>
      <c r="AH551">
        <f>AE551*P551+(Q551-Z551)*AF551+AG551</f>
        <v>0</v>
      </c>
      <c r="AI551">
        <f>IF(ISNUMBER(AD551),AD551,AH551)</f>
        <v>0</v>
      </c>
      <c r="AJ551">
        <f>IF(ISNUMBER(AI551),IF(ISNUMBER(AE551),IF(AND(AE551=1,AF551=1,AG551=1),100,ROUND(100*EXP(AI551)/(1+EXP(AI551)),2)),ROUND(100*EXP(AI551)/(1+EXP(AI551)),2)),IF(ISTEXT(O551),IF(LEFT(O551,1)="2",100,"N/A"),"N/A"))</f>
        <v>0</v>
      </c>
      <c r="AK551">
        <f>IF(ISNUMBER(AJ551),IF(AJ551&gt;=99,IF(OR(R551=10,R551=11),MatchLabel,SureThingLabel),IF(AJ551&gt;=95,SecureLabel,IF(AJ551&gt;=80,SafetyLabel,IF(AJ551&gt;=50,MatchLabel,IF(AJ551&gt;=20,ReachLabel,IF(AJ551&gt;=10,LongshotLabel,HailMaryLabel)))))),"Other")</f>
        <v>0</v>
      </c>
      <c r="AL551">
        <f>IF(OR(I551="accepted",I551="cond. accept",I551="summer admit"),IF(J551="yes","CHOICE!","Accepted!"),IF(I551="denied","Denied",IF(K551=1,"Waitlist",IF(L551=1,"Deferred",IF(G551="pending","Pending",IF(OR(G551="initial materials submitted",G551="mid-year submitted",G551="final submitted"),"Submitted",IF(H551="interest","Interest","?")))))))</f>
        <v>0</v>
      </c>
      <c r="AM551">
        <f>IF(OR(AK551=ReachLabel,AK551=LongshotLabel,AK551=HailMaryLabel),1,0)</f>
        <v>0</v>
      </c>
      <c r="AN551">
        <f>IF(OR(AM551=1,AK551=MatchLabel),1,0)</f>
        <v>0</v>
      </c>
      <c r="AO551">
        <f>IF(OR(AK551=MatchLabel,AK551=SafetyLabel,AK551=SecureLabel,AK551=SureThingLabel),1,0)</f>
        <v>0</v>
      </c>
      <c r="AP551">
        <f>IF(OR(T551="H",T551="B"),IF(ISNUMBER(Y551),ROUND(Y551,2),0),IF(ISNUMBER(X551),ROUND(X551,2),0))</f>
        <v>0</v>
      </c>
      <c r="AQ551">
        <f>IF(AP551&gt;=U551,1,0)</f>
        <v>0</v>
      </c>
      <c r="AR551">
        <f>IF(AP551&gt;=V551,1,0)</f>
        <v>0</v>
      </c>
      <c r="AS551">
        <f>IF(AP551&lt;(U551-0.10),1,0)</f>
        <v>0</v>
      </c>
      <c r="AT551">
        <f>1-AJ551/100</f>
        <v>0</v>
      </c>
      <c r="AU551">
        <f>IF(AN551=1,AT551,1)</f>
        <v>0</v>
      </c>
      <c r="AV551">
        <f>IF(AM551=1,AT551,1)</f>
        <v>0</v>
      </c>
      <c r="AW551">
        <f>IF(AND(AQ551=1,ISNUMBER(AT551)),$AT551,1)</f>
        <v>0</v>
      </c>
      <c r="AX551">
        <f>IF(AND(AR551=1,ISNUMBER(AT551)),$AT551,1)</f>
        <v>0</v>
      </c>
      <c r="AY551">
        <f>IF(ISNUMBER(Y551),INDEX(AllCollegeMoney, MATCH(N551,AllCollegeNCES,0)),0)</f>
        <v>0</v>
      </c>
      <c r="AZ551">
        <f>IF(AND(AQ551=1,ISNUMBER(AT551),AY551=1),$AT551,1)</f>
        <v>0</v>
      </c>
      <c r="BA551">
        <f>IF(AND(AR551=1,ISNUMBER(AT551),AY551=1),$AT551,1)</f>
        <v>0</v>
      </c>
      <c r="BB551">
        <f>IF(ISNUMBER(Y551),INDEX(AllCollegeILPub, MATCH(N551,AllCollegeNCES,0)),0)</f>
        <v>0</v>
      </c>
      <c r="BC551">
        <f>IF(AK551=ReachLabel,AP551,0)</f>
        <v>0</v>
      </c>
      <c r="BD551">
        <f>IF(AK551=MatchLabel,AP551,0)</f>
        <v>0</v>
      </c>
      <c r="BE551">
        <f>IF(AK551=SafetyLabel,AP551,0)</f>
        <v>0</v>
      </c>
      <c r="BF551">
        <f>IF(AK551=SecureLabel,AP551,0)</f>
        <v>0</v>
      </c>
      <c r="BG551">
        <f>IF(AK551=SureThingLabel,AP551,0)</f>
        <v>0</v>
      </c>
      <c r="BH551">
        <f>MAX(BC551:BG551)</f>
        <v>0</v>
      </c>
      <c r="BI551">
        <f>MAX(BD551:BG551)</f>
        <v>0</v>
      </c>
      <c r="BJ551">
        <f>MAX(BE551:BG551)</f>
        <v>0</v>
      </c>
      <c r="BK551">
        <f>IF(AND(AK551=ReachLabel,AY551=1),AP551,0)</f>
        <v>0</v>
      </c>
      <c r="BL551">
        <f>IF(AND(AK551=MatchLabel,AY551=1),AP551,0)</f>
        <v>0</v>
      </c>
      <c r="BM551">
        <f>IF(AND(AK551=SafetyLabel,AY551=1),AP551,0)</f>
        <v>0</v>
      </c>
      <c r="BN551">
        <f>IF(AND(AK551=SecureLabel,AY551=1),AP551,0)</f>
        <v>0</v>
      </c>
      <c r="BO551">
        <f>IF(AND(AK551=SureThingLabel,AY551=1),AP551,0)</f>
        <v>0</v>
      </c>
      <c r="BP551">
        <f>MAX(BK551:BO551)</f>
        <v>0</v>
      </c>
      <c r="BQ551">
        <f>MAX(BL551:BO551)</f>
        <v>0</v>
      </c>
      <c r="BR551">
        <f>MAX(BM551:BO551)</f>
        <v>0</v>
      </c>
      <c r="BS551">
        <f>IF(ISNUMBER(Y551),INDEX(AllCollegeChicago, MATCH(N551,AllCollegeNCES,0))*AY551,0)</f>
        <v>0</v>
      </c>
      <c r="BT551">
        <f>IF(ISNUMBER(Y551),INDEX(AllCollegeMoneyCode, MATCH(N551,AllCollegeNCES,0)),"?")</f>
        <v>0</v>
      </c>
      <c r="BU551">
        <f>IF(OR(BT551="---",BT551="--",BT551="+/--",BT551="+/---"),1,0)</f>
        <v>0</v>
      </c>
      <c r="BV551">
        <f>AY551*AO551*AQ551</f>
        <v>0</v>
      </c>
    </row>
    <row r="552" spans="1:74">
      <c r="A552" t="s">
        <v>86</v>
      </c>
      <c r="B552">
        <v>23478035</v>
      </c>
      <c r="C552" t="s">
        <v>233</v>
      </c>
      <c r="D552" t="s">
        <v>234</v>
      </c>
      <c r="E552" t="s">
        <v>428</v>
      </c>
      <c r="F552" t="s">
        <v>488</v>
      </c>
      <c r="G552" t="s">
        <v>430</v>
      </c>
      <c r="H552" t="s">
        <v>431</v>
      </c>
      <c r="I552" t="s">
        <v>432</v>
      </c>
      <c r="J552" t="s">
        <v>432</v>
      </c>
      <c r="K552">
        <v>0</v>
      </c>
      <c r="L552" t="s">
        <v>428</v>
      </c>
      <c r="M552" t="s">
        <v>428</v>
      </c>
      <c r="N552">
        <v>149231</v>
      </c>
      <c r="O552">
        <f>INDEX(AllCollegeBarrons,MATCH(N552,AllCollegeNCES,0))</f>
        <v>0</v>
      </c>
      <c r="P552">
        <f>INDEX(KidGPAs,MATCH(B552,KidIDs,0))</f>
        <v>0</v>
      </c>
      <c r="Q552">
        <f>INDEX(KidACTs,MATCH(B552,KidIDs,0))</f>
        <v>0</v>
      </c>
      <c r="R552">
        <f>INDEX(Strats,MATCH(B552,KidIDs,0))</f>
        <v>0</v>
      </c>
      <c r="S552">
        <f>INDEX(KidRace,MATCH(B552,KidIDs,0))</f>
        <v>0</v>
      </c>
      <c r="T552">
        <f>IF(OR(S552="M",S552="I"),"H",S552)</f>
        <v>0</v>
      </c>
      <c r="U552">
        <f>INDEX(StudentTargets,MATCH(B552,KidIDs,0))</f>
        <v>0</v>
      </c>
      <c r="V552">
        <f>INDEX(ReachStudentTargets,MATCH(B552,KidIDs,0))</f>
        <v>0</v>
      </c>
      <c r="W552">
        <f>IF(OR(M552="Posse"),1,0)</f>
        <v>0</v>
      </c>
      <c r="X552">
        <f>IF(ISNUMBER(INDEX(AllCollegeGR, MATCH(N552,AllCollegeNCES,0))),ROUND(INDEX(AllCollegeGR, MATCH(N552,AllCollegeNCES,0))+W552*IF(INDEX(AllCollegeGR, MATCH(N552,AllCollegeNCES,0))&gt;0.7,(1-INDEX(AllCollegeGR, MATCH(N552,AllCollegeNCES,0)))/2,0.15),2),INDEX(AllCollegeGR, MATCH(N552,AllCollegeNCES,0)))</f>
        <v>0</v>
      </c>
      <c r="Y552">
        <f>IF(ISNUMBER(INDEX(AllCollegeAAHGR, MATCH(N552,AllCollegeNCES,0))),ROUND(INDEX(AllCollegeAAHGR, MATCH(N552,AllCollegeNCES,0))+W552*IF(INDEX(AllCollegeAAHGR, MATCH(N552,AllCollegeNCES,0))&gt;0.7,(1-INDEX(AllCollegeAAHGR, MATCH(N552,AllCollegeNCES,0)))/2,0.15),2),INDEX(AllCollegeAAHGR, MATCH(N552,AllCollegeNCES,0)))</f>
        <v>0</v>
      </c>
      <c r="Z552">
        <f>IF(OR(T552="H",T552="B"),INDEX(AllCollegeACT25, MATCH(N552,AllCollegeNCES,0)),INDEX(AllCollegeACT50, MATCH(N552,AllCollegeNCES,0)))</f>
        <v>0</v>
      </c>
      <c r="AA552">
        <f>INDEX(CustomWeightsGPA,MATCH(T552&amp;":"&amp;N552,CustomWeightsIndex,0))</f>
        <v>0</v>
      </c>
      <c r="AB552">
        <f>INDEX(CustomWeightsACT,MATCH(T552&amp;":"&amp;N552,CustomWeightsIndex,0))</f>
        <v>0</v>
      </c>
      <c r="AC552">
        <f>INDEX(CustomWeightsIntercept,MATCH(T552&amp;":"&amp;N552,CustomWeightsIndex,0))</f>
        <v>0</v>
      </c>
      <c r="AD552">
        <f>AA552*P552+AB552*Q552+AC552</f>
        <v>0</v>
      </c>
      <c r="AE552">
        <f>INDEX(CoefficientsGPA,MATCH(T552&amp;":"&amp;O552,CoefficientsIndex,0))</f>
        <v>0</v>
      </c>
      <c r="AF552">
        <f>INDEX(CoefficientsACT,MATCH(T552&amp;":"&amp;O552,CoefficientsIndex,0))</f>
        <v>0</v>
      </c>
      <c r="AG552">
        <f>INDEX(CoefficientsIntercept,MATCH(T552&amp;":"&amp;O552,CoefficientsIndex,0))</f>
        <v>0</v>
      </c>
      <c r="AH552">
        <f>AE552*P552+(Q552-Z552)*AF552+AG552</f>
        <v>0</v>
      </c>
      <c r="AI552">
        <f>IF(ISNUMBER(AD552),AD552,AH552)</f>
        <v>0</v>
      </c>
      <c r="AJ552">
        <f>IF(ISNUMBER(AI552),IF(ISNUMBER(AE552),IF(AND(AE552=1,AF552=1,AG552=1),100,ROUND(100*EXP(AI552)/(1+EXP(AI552)),2)),ROUND(100*EXP(AI552)/(1+EXP(AI552)),2)),IF(ISTEXT(O552),IF(LEFT(O552,1)="2",100,"N/A"),"N/A"))</f>
        <v>0</v>
      </c>
      <c r="AK552">
        <f>IF(ISNUMBER(AJ552),IF(AJ552&gt;=99,IF(OR(R552=10,R552=11),MatchLabel,SureThingLabel),IF(AJ552&gt;=95,SecureLabel,IF(AJ552&gt;=80,SafetyLabel,IF(AJ552&gt;=50,MatchLabel,IF(AJ552&gt;=20,ReachLabel,IF(AJ552&gt;=10,LongshotLabel,HailMaryLabel)))))),"Other")</f>
        <v>0</v>
      </c>
      <c r="AL552">
        <f>IF(OR(I552="accepted",I552="cond. accept",I552="summer admit"),IF(J552="yes","CHOICE!","Accepted!"),IF(I552="denied","Denied",IF(K552=1,"Waitlist",IF(L552=1,"Deferred",IF(G552="pending","Pending",IF(OR(G552="initial materials submitted",G552="mid-year submitted",G552="final submitted"),"Submitted",IF(H552="interest","Interest","?")))))))</f>
        <v>0</v>
      </c>
      <c r="AM552">
        <f>IF(OR(AK552=ReachLabel,AK552=LongshotLabel,AK552=HailMaryLabel),1,0)</f>
        <v>0</v>
      </c>
      <c r="AN552">
        <f>IF(OR(AM552=1,AK552=MatchLabel),1,0)</f>
        <v>0</v>
      </c>
      <c r="AO552">
        <f>IF(OR(AK552=MatchLabel,AK552=SafetyLabel,AK552=SecureLabel,AK552=SureThingLabel),1,0)</f>
        <v>0</v>
      </c>
      <c r="AP552">
        <f>IF(OR(T552="H",T552="B"),IF(ISNUMBER(Y552),ROUND(Y552,2),0),IF(ISNUMBER(X552),ROUND(X552,2),0))</f>
        <v>0</v>
      </c>
      <c r="AQ552">
        <f>IF(AP552&gt;=U552,1,0)</f>
        <v>0</v>
      </c>
      <c r="AR552">
        <f>IF(AP552&gt;=V552,1,0)</f>
        <v>0</v>
      </c>
      <c r="AS552">
        <f>IF(AP552&lt;(U552-0.10),1,0)</f>
        <v>0</v>
      </c>
      <c r="AT552">
        <f>1-AJ552/100</f>
        <v>0</v>
      </c>
      <c r="AU552">
        <f>IF(AN552=1,AT552,1)</f>
        <v>0</v>
      </c>
      <c r="AV552">
        <f>IF(AM552=1,AT552,1)</f>
        <v>0</v>
      </c>
      <c r="AW552">
        <f>IF(AND(AQ552=1,ISNUMBER(AT552)),$AT552,1)</f>
        <v>0</v>
      </c>
      <c r="AX552">
        <f>IF(AND(AR552=1,ISNUMBER(AT552)),$AT552,1)</f>
        <v>0</v>
      </c>
      <c r="AY552">
        <f>IF(ISNUMBER(Y552),INDEX(AllCollegeMoney, MATCH(N552,AllCollegeNCES,0)),0)</f>
        <v>0</v>
      </c>
      <c r="AZ552">
        <f>IF(AND(AQ552=1,ISNUMBER(AT552),AY552=1),$AT552,1)</f>
        <v>0</v>
      </c>
      <c r="BA552">
        <f>IF(AND(AR552=1,ISNUMBER(AT552),AY552=1),$AT552,1)</f>
        <v>0</v>
      </c>
      <c r="BB552">
        <f>IF(ISNUMBER(Y552),INDEX(AllCollegeILPub, MATCH(N552,AllCollegeNCES,0)),0)</f>
        <v>0</v>
      </c>
      <c r="BC552">
        <f>IF(AK552=ReachLabel,AP552,0)</f>
        <v>0</v>
      </c>
      <c r="BD552">
        <f>IF(AK552=MatchLabel,AP552,0)</f>
        <v>0</v>
      </c>
      <c r="BE552">
        <f>IF(AK552=SafetyLabel,AP552,0)</f>
        <v>0</v>
      </c>
      <c r="BF552">
        <f>IF(AK552=SecureLabel,AP552,0)</f>
        <v>0</v>
      </c>
      <c r="BG552">
        <f>IF(AK552=SureThingLabel,AP552,0)</f>
        <v>0</v>
      </c>
      <c r="BH552">
        <f>MAX(BC552:BG552)</f>
        <v>0</v>
      </c>
      <c r="BI552">
        <f>MAX(BD552:BG552)</f>
        <v>0</v>
      </c>
      <c r="BJ552">
        <f>MAX(BE552:BG552)</f>
        <v>0</v>
      </c>
      <c r="BK552">
        <f>IF(AND(AK552=ReachLabel,AY552=1),AP552,0)</f>
        <v>0</v>
      </c>
      <c r="BL552">
        <f>IF(AND(AK552=MatchLabel,AY552=1),AP552,0)</f>
        <v>0</v>
      </c>
      <c r="BM552">
        <f>IF(AND(AK552=SafetyLabel,AY552=1),AP552,0)</f>
        <v>0</v>
      </c>
      <c r="BN552">
        <f>IF(AND(AK552=SecureLabel,AY552=1),AP552,0)</f>
        <v>0</v>
      </c>
      <c r="BO552">
        <f>IF(AND(AK552=SureThingLabel,AY552=1),AP552,0)</f>
        <v>0</v>
      </c>
      <c r="BP552">
        <f>MAX(BK552:BO552)</f>
        <v>0</v>
      </c>
      <c r="BQ552">
        <f>MAX(BL552:BO552)</f>
        <v>0</v>
      </c>
      <c r="BR552">
        <f>MAX(BM552:BO552)</f>
        <v>0</v>
      </c>
      <c r="BS552">
        <f>IF(ISNUMBER(Y552),INDEX(AllCollegeChicago, MATCH(N552,AllCollegeNCES,0))*AY552,0)</f>
        <v>0</v>
      </c>
      <c r="BT552">
        <f>IF(ISNUMBER(Y552),INDEX(AllCollegeMoneyCode, MATCH(N552,AllCollegeNCES,0)),"?")</f>
        <v>0</v>
      </c>
      <c r="BU552">
        <f>IF(OR(BT552="---",BT552="--",BT552="+/--",BT552="+/---"),1,0)</f>
        <v>0</v>
      </c>
      <c r="BV552">
        <f>AY552*AO552*AQ552</f>
        <v>0</v>
      </c>
    </row>
    <row r="553" spans="1:74">
      <c r="A553" t="s">
        <v>86</v>
      </c>
      <c r="B553">
        <v>23478500</v>
      </c>
      <c r="C553" t="s">
        <v>113</v>
      </c>
      <c r="D553" t="s">
        <v>114</v>
      </c>
      <c r="E553" t="s">
        <v>428</v>
      </c>
      <c r="F553" t="s">
        <v>503</v>
      </c>
      <c r="G553" t="s">
        <v>430</v>
      </c>
      <c r="H553" t="s">
        <v>431</v>
      </c>
      <c r="I553" t="s">
        <v>432</v>
      </c>
      <c r="J553" t="s">
        <v>432</v>
      </c>
      <c r="K553">
        <v>0</v>
      </c>
      <c r="L553" t="s">
        <v>428</v>
      </c>
      <c r="M553" t="s">
        <v>428</v>
      </c>
      <c r="N553">
        <v>121345</v>
      </c>
      <c r="O553">
        <f>INDEX(AllCollegeBarrons,MATCH(N553,AllCollegeNCES,0))</f>
        <v>0</v>
      </c>
      <c r="P553">
        <f>INDEX(KidGPAs,MATCH(B553,KidIDs,0))</f>
        <v>0</v>
      </c>
      <c r="Q553">
        <f>INDEX(KidACTs,MATCH(B553,KidIDs,0))</f>
        <v>0</v>
      </c>
      <c r="R553">
        <f>INDEX(Strats,MATCH(B553,KidIDs,0))</f>
        <v>0</v>
      </c>
      <c r="S553">
        <f>INDEX(KidRace,MATCH(B553,KidIDs,0))</f>
        <v>0</v>
      </c>
      <c r="T553">
        <f>IF(OR(S553="M",S553="I"),"H",S553)</f>
        <v>0</v>
      </c>
      <c r="U553">
        <f>INDEX(StudentTargets,MATCH(B553,KidIDs,0))</f>
        <v>0</v>
      </c>
      <c r="V553">
        <f>INDEX(ReachStudentTargets,MATCH(B553,KidIDs,0))</f>
        <v>0</v>
      </c>
      <c r="W553">
        <f>IF(OR(M553="Posse"),1,0)</f>
        <v>0</v>
      </c>
      <c r="X553">
        <f>IF(ISNUMBER(INDEX(AllCollegeGR, MATCH(N553,AllCollegeNCES,0))),ROUND(INDEX(AllCollegeGR, MATCH(N553,AllCollegeNCES,0))+W553*IF(INDEX(AllCollegeGR, MATCH(N553,AllCollegeNCES,0))&gt;0.7,(1-INDEX(AllCollegeGR, MATCH(N553,AllCollegeNCES,0)))/2,0.15),2),INDEX(AllCollegeGR, MATCH(N553,AllCollegeNCES,0)))</f>
        <v>0</v>
      </c>
      <c r="Y553">
        <f>IF(ISNUMBER(INDEX(AllCollegeAAHGR, MATCH(N553,AllCollegeNCES,0))),ROUND(INDEX(AllCollegeAAHGR, MATCH(N553,AllCollegeNCES,0))+W553*IF(INDEX(AllCollegeAAHGR, MATCH(N553,AllCollegeNCES,0))&gt;0.7,(1-INDEX(AllCollegeAAHGR, MATCH(N553,AllCollegeNCES,0)))/2,0.15),2),INDEX(AllCollegeAAHGR, MATCH(N553,AllCollegeNCES,0)))</f>
        <v>0</v>
      </c>
      <c r="Z553">
        <f>IF(OR(T553="H",T553="B"),INDEX(AllCollegeACT25, MATCH(N553,AllCollegeNCES,0)),INDEX(AllCollegeACT50, MATCH(N553,AllCollegeNCES,0)))</f>
        <v>0</v>
      </c>
      <c r="AA553">
        <f>INDEX(CustomWeightsGPA,MATCH(T553&amp;":"&amp;N553,CustomWeightsIndex,0))</f>
        <v>0</v>
      </c>
      <c r="AB553">
        <f>INDEX(CustomWeightsACT,MATCH(T553&amp;":"&amp;N553,CustomWeightsIndex,0))</f>
        <v>0</v>
      </c>
      <c r="AC553">
        <f>INDEX(CustomWeightsIntercept,MATCH(T553&amp;":"&amp;N553,CustomWeightsIndex,0))</f>
        <v>0</v>
      </c>
      <c r="AD553">
        <f>AA553*P553+AB553*Q553+AC553</f>
        <v>0</v>
      </c>
      <c r="AE553">
        <f>INDEX(CoefficientsGPA,MATCH(T553&amp;":"&amp;O553,CoefficientsIndex,0))</f>
        <v>0</v>
      </c>
      <c r="AF553">
        <f>INDEX(CoefficientsACT,MATCH(T553&amp;":"&amp;O553,CoefficientsIndex,0))</f>
        <v>0</v>
      </c>
      <c r="AG553">
        <f>INDEX(CoefficientsIntercept,MATCH(T553&amp;":"&amp;O553,CoefficientsIndex,0))</f>
        <v>0</v>
      </c>
      <c r="AH553">
        <f>AE553*P553+(Q553-Z553)*AF553+AG553</f>
        <v>0</v>
      </c>
      <c r="AI553">
        <f>IF(ISNUMBER(AD553),AD553,AH553)</f>
        <v>0</v>
      </c>
      <c r="AJ553">
        <f>IF(ISNUMBER(AI553),IF(ISNUMBER(AE553),IF(AND(AE553=1,AF553=1,AG553=1),100,ROUND(100*EXP(AI553)/(1+EXP(AI553)),2)),ROUND(100*EXP(AI553)/(1+EXP(AI553)),2)),IF(ISTEXT(O553),IF(LEFT(O553,1)="2",100,"N/A"),"N/A"))</f>
        <v>0</v>
      </c>
      <c r="AK553">
        <f>IF(ISNUMBER(AJ553),IF(AJ553&gt;=99,IF(OR(R553=10,R553=11),MatchLabel,SureThingLabel),IF(AJ553&gt;=95,SecureLabel,IF(AJ553&gt;=80,SafetyLabel,IF(AJ553&gt;=50,MatchLabel,IF(AJ553&gt;=20,ReachLabel,IF(AJ553&gt;=10,LongshotLabel,HailMaryLabel)))))),"Other")</f>
        <v>0</v>
      </c>
      <c r="AL553">
        <f>IF(OR(I553="accepted",I553="cond. accept",I553="summer admit"),IF(J553="yes","CHOICE!","Accepted!"),IF(I553="denied","Denied",IF(K553=1,"Waitlist",IF(L553=1,"Deferred",IF(G553="pending","Pending",IF(OR(G553="initial materials submitted",G553="mid-year submitted",G553="final submitted"),"Submitted",IF(H553="interest","Interest","?")))))))</f>
        <v>0</v>
      </c>
      <c r="AM553">
        <f>IF(OR(AK553=ReachLabel,AK553=LongshotLabel,AK553=HailMaryLabel),1,0)</f>
        <v>0</v>
      </c>
      <c r="AN553">
        <f>IF(OR(AM553=1,AK553=MatchLabel),1,0)</f>
        <v>0</v>
      </c>
      <c r="AO553">
        <f>IF(OR(AK553=MatchLabel,AK553=SafetyLabel,AK553=SecureLabel,AK553=SureThingLabel),1,0)</f>
        <v>0</v>
      </c>
      <c r="AP553">
        <f>IF(OR(T553="H",T553="B"),IF(ISNUMBER(Y553),ROUND(Y553,2),0),IF(ISNUMBER(X553),ROUND(X553,2),0))</f>
        <v>0</v>
      </c>
      <c r="AQ553">
        <f>IF(AP553&gt;=U553,1,0)</f>
        <v>0</v>
      </c>
      <c r="AR553">
        <f>IF(AP553&gt;=V553,1,0)</f>
        <v>0</v>
      </c>
      <c r="AS553">
        <f>IF(AP553&lt;(U553-0.10),1,0)</f>
        <v>0</v>
      </c>
      <c r="AT553">
        <f>1-AJ553/100</f>
        <v>0</v>
      </c>
      <c r="AU553">
        <f>IF(AN553=1,AT553,1)</f>
        <v>0</v>
      </c>
      <c r="AV553">
        <f>IF(AM553=1,AT553,1)</f>
        <v>0</v>
      </c>
      <c r="AW553">
        <f>IF(AND(AQ553=1,ISNUMBER(AT553)),$AT553,1)</f>
        <v>0</v>
      </c>
      <c r="AX553">
        <f>IF(AND(AR553=1,ISNUMBER(AT553)),$AT553,1)</f>
        <v>0</v>
      </c>
      <c r="AY553">
        <f>IF(ISNUMBER(Y553),INDEX(AllCollegeMoney, MATCH(N553,AllCollegeNCES,0)),0)</f>
        <v>0</v>
      </c>
      <c r="AZ553">
        <f>IF(AND(AQ553=1,ISNUMBER(AT553),AY553=1),$AT553,1)</f>
        <v>0</v>
      </c>
      <c r="BA553">
        <f>IF(AND(AR553=1,ISNUMBER(AT553),AY553=1),$AT553,1)</f>
        <v>0</v>
      </c>
      <c r="BB553">
        <f>IF(ISNUMBER(Y553),INDEX(AllCollegeILPub, MATCH(N553,AllCollegeNCES,0)),0)</f>
        <v>0</v>
      </c>
      <c r="BC553">
        <f>IF(AK553=ReachLabel,AP553,0)</f>
        <v>0</v>
      </c>
      <c r="BD553">
        <f>IF(AK553=MatchLabel,AP553,0)</f>
        <v>0</v>
      </c>
      <c r="BE553">
        <f>IF(AK553=SafetyLabel,AP553,0)</f>
        <v>0</v>
      </c>
      <c r="BF553">
        <f>IF(AK553=SecureLabel,AP553,0)</f>
        <v>0</v>
      </c>
      <c r="BG553">
        <f>IF(AK553=SureThingLabel,AP553,0)</f>
        <v>0</v>
      </c>
      <c r="BH553">
        <f>MAX(BC553:BG553)</f>
        <v>0</v>
      </c>
      <c r="BI553">
        <f>MAX(BD553:BG553)</f>
        <v>0</v>
      </c>
      <c r="BJ553">
        <f>MAX(BE553:BG553)</f>
        <v>0</v>
      </c>
      <c r="BK553">
        <f>IF(AND(AK553=ReachLabel,AY553=1),AP553,0)</f>
        <v>0</v>
      </c>
      <c r="BL553">
        <f>IF(AND(AK553=MatchLabel,AY553=1),AP553,0)</f>
        <v>0</v>
      </c>
      <c r="BM553">
        <f>IF(AND(AK553=SafetyLabel,AY553=1),AP553,0)</f>
        <v>0</v>
      </c>
      <c r="BN553">
        <f>IF(AND(AK553=SecureLabel,AY553=1),AP553,0)</f>
        <v>0</v>
      </c>
      <c r="BO553">
        <f>IF(AND(AK553=SureThingLabel,AY553=1),AP553,0)</f>
        <v>0</v>
      </c>
      <c r="BP553">
        <f>MAX(BK553:BO553)</f>
        <v>0</v>
      </c>
      <c r="BQ553">
        <f>MAX(BL553:BO553)</f>
        <v>0</v>
      </c>
      <c r="BR553">
        <f>MAX(BM553:BO553)</f>
        <v>0</v>
      </c>
      <c r="BS553">
        <f>IF(ISNUMBER(Y553),INDEX(AllCollegeChicago, MATCH(N553,AllCollegeNCES,0))*AY553,0)</f>
        <v>0</v>
      </c>
      <c r="BT553">
        <f>IF(ISNUMBER(Y553),INDEX(AllCollegeMoneyCode, MATCH(N553,AllCollegeNCES,0)),"?")</f>
        <v>0</v>
      </c>
      <c r="BU553">
        <f>IF(OR(BT553="---",BT553="--",BT553="+/--",BT553="+/---"),1,0)</f>
        <v>0</v>
      </c>
      <c r="BV553">
        <f>AY553*AO553*AQ553</f>
        <v>0</v>
      </c>
    </row>
    <row r="554" spans="1:74">
      <c r="A554" t="s">
        <v>86</v>
      </c>
      <c r="B554">
        <v>23478500</v>
      </c>
      <c r="C554" t="s">
        <v>113</v>
      </c>
      <c r="D554" t="s">
        <v>114</v>
      </c>
      <c r="E554" t="s">
        <v>428</v>
      </c>
      <c r="F554" t="s">
        <v>494</v>
      </c>
      <c r="G554" t="s">
        <v>430</v>
      </c>
      <c r="H554" t="s">
        <v>431</v>
      </c>
      <c r="I554" t="s">
        <v>432</v>
      </c>
      <c r="J554" t="s">
        <v>432</v>
      </c>
      <c r="K554">
        <v>0</v>
      </c>
      <c r="L554" t="s">
        <v>428</v>
      </c>
      <c r="M554" t="s">
        <v>428</v>
      </c>
      <c r="N554">
        <v>216597</v>
      </c>
      <c r="O554">
        <f>INDEX(AllCollegeBarrons,MATCH(N554,AllCollegeNCES,0))</f>
        <v>0</v>
      </c>
      <c r="P554">
        <f>INDEX(KidGPAs,MATCH(B554,KidIDs,0))</f>
        <v>0</v>
      </c>
      <c r="Q554">
        <f>INDEX(KidACTs,MATCH(B554,KidIDs,0))</f>
        <v>0</v>
      </c>
      <c r="R554">
        <f>INDEX(Strats,MATCH(B554,KidIDs,0))</f>
        <v>0</v>
      </c>
      <c r="S554">
        <f>INDEX(KidRace,MATCH(B554,KidIDs,0))</f>
        <v>0</v>
      </c>
      <c r="T554">
        <f>IF(OR(S554="M",S554="I"),"H",S554)</f>
        <v>0</v>
      </c>
      <c r="U554">
        <f>INDEX(StudentTargets,MATCH(B554,KidIDs,0))</f>
        <v>0</v>
      </c>
      <c r="V554">
        <f>INDEX(ReachStudentTargets,MATCH(B554,KidIDs,0))</f>
        <v>0</v>
      </c>
      <c r="W554">
        <f>IF(OR(M554="Posse"),1,0)</f>
        <v>0</v>
      </c>
      <c r="X554">
        <f>IF(ISNUMBER(INDEX(AllCollegeGR, MATCH(N554,AllCollegeNCES,0))),ROUND(INDEX(AllCollegeGR, MATCH(N554,AllCollegeNCES,0))+W554*IF(INDEX(AllCollegeGR, MATCH(N554,AllCollegeNCES,0))&gt;0.7,(1-INDEX(AllCollegeGR, MATCH(N554,AllCollegeNCES,0)))/2,0.15),2),INDEX(AllCollegeGR, MATCH(N554,AllCollegeNCES,0)))</f>
        <v>0</v>
      </c>
      <c r="Y554">
        <f>IF(ISNUMBER(INDEX(AllCollegeAAHGR, MATCH(N554,AllCollegeNCES,0))),ROUND(INDEX(AllCollegeAAHGR, MATCH(N554,AllCollegeNCES,0))+W554*IF(INDEX(AllCollegeAAHGR, MATCH(N554,AllCollegeNCES,0))&gt;0.7,(1-INDEX(AllCollegeAAHGR, MATCH(N554,AllCollegeNCES,0)))/2,0.15),2),INDEX(AllCollegeAAHGR, MATCH(N554,AllCollegeNCES,0)))</f>
        <v>0</v>
      </c>
      <c r="Z554">
        <f>IF(OR(T554="H",T554="B"),INDEX(AllCollegeACT25, MATCH(N554,AllCollegeNCES,0)),INDEX(AllCollegeACT50, MATCH(N554,AllCollegeNCES,0)))</f>
        <v>0</v>
      </c>
      <c r="AA554">
        <f>INDEX(CustomWeightsGPA,MATCH(T554&amp;":"&amp;N554,CustomWeightsIndex,0))</f>
        <v>0</v>
      </c>
      <c r="AB554">
        <f>INDEX(CustomWeightsACT,MATCH(T554&amp;":"&amp;N554,CustomWeightsIndex,0))</f>
        <v>0</v>
      </c>
      <c r="AC554">
        <f>INDEX(CustomWeightsIntercept,MATCH(T554&amp;":"&amp;N554,CustomWeightsIndex,0))</f>
        <v>0</v>
      </c>
      <c r="AD554">
        <f>AA554*P554+AB554*Q554+AC554</f>
        <v>0</v>
      </c>
      <c r="AE554">
        <f>INDEX(CoefficientsGPA,MATCH(T554&amp;":"&amp;O554,CoefficientsIndex,0))</f>
        <v>0</v>
      </c>
      <c r="AF554">
        <f>INDEX(CoefficientsACT,MATCH(T554&amp;":"&amp;O554,CoefficientsIndex,0))</f>
        <v>0</v>
      </c>
      <c r="AG554">
        <f>INDEX(CoefficientsIntercept,MATCH(T554&amp;":"&amp;O554,CoefficientsIndex,0))</f>
        <v>0</v>
      </c>
      <c r="AH554">
        <f>AE554*P554+(Q554-Z554)*AF554+AG554</f>
        <v>0</v>
      </c>
      <c r="AI554">
        <f>IF(ISNUMBER(AD554),AD554,AH554)</f>
        <v>0</v>
      </c>
      <c r="AJ554">
        <f>IF(ISNUMBER(AI554),IF(ISNUMBER(AE554),IF(AND(AE554=1,AF554=1,AG554=1),100,ROUND(100*EXP(AI554)/(1+EXP(AI554)),2)),ROUND(100*EXP(AI554)/(1+EXP(AI554)),2)),IF(ISTEXT(O554),IF(LEFT(O554,1)="2",100,"N/A"),"N/A"))</f>
        <v>0</v>
      </c>
      <c r="AK554">
        <f>IF(ISNUMBER(AJ554),IF(AJ554&gt;=99,IF(OR(R554=10,R554=11),MatchLabel,SureThingLabel),IF(AJ554&gt;=95,SecureLabel,IF(AJ554&gt;=80,SafetyLabel,IF(AJ554&gt;=50,MatchLabel,IF(AJ554&gt;=20,ReachLabel,IF(AJ554&gt;=10,LongshotLabel,HailMaryLabel)))))),"Other")</f>
        <v>0</v>
      </c>
      <c r="AL554">
        <f>IF(OR(I554="accepted",I554="cond. accept",I554="summer admit"),IF(J554="yes","CHOICE!","Accepted!"),IF(I554="denied","Denied",IF(K554=1,"Waitlist",IF(L554=1,"Deferred",IF(G554="pending","Pending",IF(OR(G554="initial materials submitted",G554="mid-year submitted",G554="final submitted"),"Submitted",IF(H554="interest","Interest","?")))))))</f>
        <v>0</v>
      </c>
      <c r="AM554">
        <f>IF(OR(AK554=ReachLabel,AK554=LongshotLabel,AK554=HailMaryLabel),1,0)</f>
        <v>0</v>
      </c>
      <c r="AN554">
        <f>IF(OR(AM554=1,AK554=MatchLabel),1,0)</f>
        <v>0</v>
      </c>
      <c r="AO554">
        <f>IF(OR(AK554=MatchLabel,AK554=SafetyLabel,AK554=SecureLabel,AK554=SureThingLabel),1,0)</f>
        <v>0</v>
      </c>
      <c r="AP554">
        <f>IF(OR(T554="H",T554="B"),IF(ISNUMBER(Y554),ROUND(Y554,2),0),IF(ISNUMBER(X554),ROUND(X554,2),0))</f>
        <v>0</v>
      </c>
      <c r="AQ554">
        <f>IF(AP554&gt;=U554,1,0)</f>
        <v>0</v>
      </c>
      <c r="AR554">
        <f>IF(AP554&gt;=V554,1,0)</f>
        <v>0</v>
      </c>
      <c r="AS554">
        <f>IF(AP554&lt;(U554-0.10),1,0)</f>
        <v>0</v>
      </c>
      <c r="AT554">
        <f>1-AJ554/100</f>
        <v>0</v>
      </c>
      <c r="AU554">
        <f>IF(AN554=1,AT554,1)</f>
        <v>0</v>
      </c>
      <c r="AV554">
        <f>IF(AM554=1,AT554,1)</f>
        <v>0</v>
      </c>
      <c r="AW554">
        <f>IF(AND(AQ554=1,ISNUMBER(AT554)),$AT554,1)</f>
        <v>0</v>
      </c>
      <c r="AX554">
        <f>IF(AND(AR554=1,ISNUMBER(AT554)),$AT554,1)</f>
        <v>0</v>
      </c>
      <c r="AY554">
        <f>IF(ISNUMBER(Y554),INDEX(AllCollegeMoney, MATCH(N554,AllCollegeNCES,0)),0)</f>
        <v>0</v>
      </c>
      <c r="AZ554">
        <f>IF(AND(AQ554=1,ISNUMBER(AT554),AY554=1),$AT554,1)</f>
        <v>0</v>
      </c>
      <c r="BA554">
        <f>IF(AND(AR554=1,ISNUMBER(AT554),AY554=1),$AT554,1)</f>
        <v>0</v>
      </c>
      <c r="BB554">
        <f>IF(ISNUMBER(Y554),INDEX(AllCollegeILPub, MATCH(N554,AllCollegeNCES,0)),0)</f>
        <v>0</v>
      </c>
      <c r="BC554">
        <f>IF(AK554=ReachLabel,AP554,0)</f>
        <v>0</v>
      </c>
      <c r="BD554">
        <f>IF(AK554=MatchLabel,AP554,0)</f>
        <v>0</v>
      </c>
      <c r="BE554">
        <f>IF(AK554=SafetyLabel,AP554,0)</f>
        <v>0</v>
      </c>
      <c r="BF554">
        <f>IF(AK554=SecureLabel,AP554,0)</f>
        <v>0</v>
      </c>
      <c r="BG554">
        <f>IF(AK554=SureThingLabel,AP554,0)</f>
        <v>0</v>
      </c>
      <c r="BH554">
        <f>MAX(BC554:BG554)</f>
        <v>0</v>
      </c>
      <c r="BI554">
        <f>MAX(BD554:BG554)</f>
        <v>0</v>
      </c>
      <c r="BJ554">
        <f>MAX(BE554:BG554)</f>
        <v>0</v>
      </c>
      <c r="BK554">
        <f>IF(AND(AK554=ReachLabel,AY554=1),AP554,0)</f>
        <v>0</v>
      </c>
      <c r="BL554">
        <f>IF(AND(AK554=MatchLabel,AY554=1),AP554,0)</f>
        <v>0</v>
      </c>
      <c r="BM554">
        <f>IF(AND(AK554=SafetyLabel,AY554=1),AP554,0)</f>
        <v>0</v>
      </c>
      <c r="BN554">
        <f>IF(AND(AK554=SecureLabel,AY554=1),AP554,0)</f>
        <v>0</v>
      </c>
      <c r="BO554">
        <f>IF(AND(AK554=SureThingLabel,AY554=1),AP554,0)</f>
        <v>0</v>
      </c>
      <c r="BP554">
        <f>MAX(BK554:BO554)</f>
        <v>0</v>
      </c>
      <c r="BQ554">
        <f>MAX(BL554:BO554)</f>
        <v>0</v>
      </c>
      <c r="BR554">
        <f>MAX(BM554:BO554)</f>
        <v>0</v>
      </c>
      <c r="BS554">
        <f>IF(ISNUMBER(Y554),INDEX(AllCollegeChicago, MATCH(N554,AllCollegeNCES,0))*AY554,0)</f>
        <v>0</v>
      </c>
      <c r="BT554">
        <f>IF(ISNUMBER(Y554),INDEX(AllCollegeMoneyCode, MATCH(N554,AllCollegeNCES,0)),"?")</f>
        <v>0</v>
      </c>
      <c r="BU554">
        <f>IF(OR(BT554="---",BT554="--",BT554="+/--",BT554="+/---"),1,0)</f>
        <v>0</v>
      </c>
      <c r="BV554">
        <f>AY554*AO554*AQ554</f>
        <v>0</v>
      </c>
    </row>
    <row r="555" spans="1:74">
      <c r="A555" t="s">
        <v>86</v>
      </c>
      <c r="B555">
        <v>23478500</v>
      </c>
      <c r="C555" t="s">
        <v>113</v>
      </c>
      <c r="D555" t="s">
        <v>114</v>
      </c>
      <c r="E555" t="s">
        <v>428</v>
      </c>
      <c r="F555" t="s">
        <v>565</v>
      </c>
      <c r="G555" t="s">
        <v>430</v>
      </c>
      <c r="H555" t="s">
        <v>431</v>
      </c>
      <c r="I555" t="s">
        <v>432</v>
      </c>
      <c r="J555" t="s">
        <v>432</v>
      </c>
      <c r="K555">
        <v>0</v>
      </c>
      <c r="L555" t="s">
        <v>428</v>
      </c>
      <c r="M555" t="s">
        <v>428</v>
      </c>
      <c r="N555">
        <v>167835</v>
      </c>
      <c r="O555">
        <f>INDEX(AllCollegeBarrons,MATCH(N555,AllCollegeNCES,0))</f>
        <v>0</v>
      </c>
      <c r="P555">
        <f>INDEX(KidGPAs,MATCH(B555,KidIDs,0))</f>
        <v>0</v>
      </c>
      <c r="Q555">
        <f>INDEX(KidACTs,MATCH(B555,KidIDs,0))</f>
        <v>0</v>
      </c>
      <c r="R555">
        <f>INDEX(Strats,MATCH(B555,KidIDs,0))</f>
        <v>0</v>
      </c>
      <c r="S555">
        <f>INDEX(KidRace,MATCH(B555,KidIDs,0))</f>
        <v>0</v>
      </c>
      <c r="T555">
        <f>IF(OR(S555="M",S555="I"),"H",S555)</f>
        <v>0</v>
      </c>
      <c r="U555">
        <f>INDEX(StudentTargets,MATCH(B555,KidIDs,0))</f>
        <v>0</v>
      </c>
      <c r="V555">
        <f>INDEX(ReachStudentTargets,MATCH(B555,KidIDs,0))</f>
        <v>0</v>
      </c>
      <c r="W555">
        <f>IF(OR(M555="Posse"),1,0)</f>
        <v>0</v>
      </c>
      <c r="X555">
        <f>IF(ISNUMBER(INDEX(AllCollegeGR, MATCH(N555,AllCollegeNCES,0))),ROUND(INDEX(AllCollegeGR, MATCH(N555,AllCollegeNCES,0))+W555*IF(INDEX(AllCollegeGR, MATCH(N555,AllCollegeNCES,0))&gt;0.7,(1-INDEX(AllCollegeGR, MATCH(N555,AllCollegeNCES,0)))/2,0.15),2),INDEX(AllCollegeGR, MATCH(N555,AllCollegeNCES,0)))</f>
        <v>0</v>
      </c>
      <c r="Y555">
        <f>IF(ISNUMBER(INDEX(AllCollegeAAHGR, MATCH(N555,AllCollegeNCES,0))),ROUND(INDEX(AllCollegeAAHGR, MATCH(N555,AllCollegeNCES,0))+W555*IF(INDEX(AllCollegeAAHGR, MATCH(N555,AllCollegeNCES,0))&gt;0.7,(1-INDEX(AllCollegeAAHGR, MATCH(N555,AllCollegeNCES,0)))/2,0.15),2),INDEX(AllCollegeAAHGR, MATCH(N555,AllCollegeNCES,0)))</f>
        <v>0</v>
      </c>
      <c r="Z555">
        <f>IF(OR(T555="H",T555="B"),INDEX(AllCollegeACT25, MATCH(N555,AllCollegeNCES,0)),INDEX(AllCollegeACT50, MATCH(N555,AllCollegeNCES,0)))</f>
        <v>0</v>
      </c>
      <c r="AA555">
        <f>INDEX(CustomWeightsGPA,MATCH(T555&amp;":"&amp;N555,CustomWeightsIndex,0))</f>
        <v>0</v>
      </c>
      <c r="AB555">
        <f>INDEX(CustomWeightsACT,MATCH(T555&amp;":"&amp;N555,CustomWeightsIndex,0))</f>
        <v>0</v>
      </c>
      <c r="AC555">
        <f>INDEX(CustomWeightsIntercept,MATCH(T555&amp;":"&amp;N555,CustomWeightsIndex,0))</f>
        <v>0</v>
      </c>
      <c r="AD555">
        <f>AA555*P555+AB555*Q555+AC555</f>
        <v>0</v>
      </c>
      <c r="AE555">
        <f>INDEX(CoefficientsGPA,MATCH(T555&amp;":"&amp;O555,CoefficientsIndex,0))</f>
        <v>0</v>
      </c>
      <c r="AF555">
        <f>INDEX(CoefficientsACT,MATCH(T555&amp;":"&amp;O555,CoefficientsIndex,0))</f>
        <v>0</v>
      </c>
      <c r="AG555">
        <f>INDEX(CoefficientsIntercept,MATCH(T555&amp;":"&amp;O555,CoefficientsIndex,0))</f>
        <v>0</v>
      </c>
      <c r="AH555">
        <f>AE555*P555+(Q555-Z555)*AF555+AG555</f>
        <v>0</v>
      </c>
      <c r="AI555">
        <f>IF(ISNUMBER(AD555),AD555,AH555)</f>
        <v>0</v>
      </c>
      <c r="AJ555">
        <f>IF(ISNUMBER(AI555),IF(ISNUMBER(AE555),IF(AND(AE555=1,AF555=1,AG555=1),100,ROUND(100*EXP(AI555)/(1+EXP(AI555)),2)),ROUND(100*EXP(AI555)/(1+EXP(AI555)),2)),IF(ISTEXT(O555),IF(LEFT(O555,1)="2",100,"N/A"),"N/A"))</f>
        <v>0</v>
      </c>
      <c r="AK555">
        <f>IF(ISNUMBER(AJ555),IF(AJ555&gt;=99,IF(OR(R555=10,R555=11),MatchLabel,SureThingLabel),IF(AJ555&gt;=95,SecureLabel,IF(AJ555&gt;=80,SafetyLabel,IF(AJ555&gt;=50,MatchLabel,IF(AJ555&gt;=20,ReachLabel,IF(AJ555&gt;=10,LongshotLabel,HailMaryLabel)))))),"Other")</f>
        <v>0</v>
      </c>
      <c r="AL555">
        <f>IF(OR(I555="accepted",I555="cond. accept",I555="summer admit"),IF(J555="yes","CHOICE!","Accepted!"),IF(I555="denied","Denied",IF(K555=1,"Waitlist",IF(L555=1,"Deferred",IF(G555="pending","Pending",IF(OR(G555="initial materials submitted",G555="mid-year submitted",G555="final submitted"),"Submitted",IF(H555="interest","Interest","?")))))))</f>
        <v>0</v>
      </c>
      <c r="AM555">
        <f>IF(OR(AK555=ReachLabel,AK555=LongshotLabel,AK555=HailMaryLabel),1,0)</f>
        <v>0</v>
      </c>
      <c r="AN555">
        <f>IF(OR(AM555=1,AK555=MatchLabel),1,0)</f>
        <v>0</v>
      </c>
      <c r="AO555">
        <f>IF(OR(AK555=MatchLabel,AK555=SafetyLabel,AK555=SecureLabel,AK555=SureThingLabel),1,0)</f>
        <v>0</v>
      </c>
      <c r="AP555">
        <f>IF(OR(T555="H",T555="B"),IF(ISNUMBER(Y555),ROUND(Y555,2),0),IF(ISNUMBER(X555),ROUND(X555,2),0))</f>
        <v>0</v>
      </c>
      <c r="AQ555">
        <f>IF(AP555&gt;=U555,1,0)</f>
        <v>0</v>
      </c>
      <c r="AR555">
        <f>IF(AP555&gt;=V555,1,0)</f>
        <v>0</v>
      </c>
      <c r="AS555">
        <f>IF(AP555&lt;(U555-0.10),1,0)</f>
        <v>0</v>
      </c>
      <c r="AT555">
        <f>1-AJ555/100</f>
        <v>0</v>
      </c>
      <c r="AU555">
        <f>IF(AN555=1,AT555,1)</f>
        <v>0</v>
      </c>
      <c r="AV555">
        <f>IF(AM555=1,AT555,1)</f>
        <v>0</v>
      </c>
      <c r="AW555">
        <f>IF(AND(AQ555=1,ISNUMBER(AT555)),$AT555,1)</f>
        <v>0</v>
      </c>
      <c r="AX555">
        <f>IF(AND(AR555=1,ISNUMBER(AT555)),$AT555,1)</f>
        <v>0</v>
      </c>
      <c r="AY555">
        <f>IF(ISNUMBER(Y555),INDEX(AllCollegeMoney, MATCH(N555,AllCollegeNCES,0)),0)</f>
        <v>0</v>
      </c>
      <c r="AZ555">
        <f>IF(AND(AQ555=1,ISNUMBER(AT555),AY555=1),$AT555,1)</f>
        <v>0</v>
      </c>
      <c r="BA555">
        <f>IF(AND(AR555=1,ISNUMBER(AT555),AY555=1),$AT555,1)</f>
        <v>0</v>
      </c>
      <c r="BB555">
        <f>IF(ISNUMBER(Y555),INDEX(AllCollegeILPub, MATCH(N555,AllCollegeNCES,0)),0)</f>
        <v>0</v>
      </c>
      <c r="BC555">
        <f>IF(AK555=ReachLabel,AP555,0)</f>
        <v>0</v>
      </c>
      <c r="BD555">
        <f>IF(AK555=MatchLabel,AP555,0)</f>
        <v>0</v>
      </c>
      <c r="BE555">
        <f>IF(AK555=SafetyLabel,AP555,0)</f>
        <v>0</v>
      </c>
      <c r="BF555">
        <f>IF(AK555=SecureLabel,AP555,0)</f>
        <v>0</v>
      </c>
      <c r="BG555">
        <f>IF(AK555=SureThingLabel,AP555,0)</f>
        <v>0</v>
      </c>
      <c r="BH555">
        <f>MAX(BC555:BG555)</f>
        <v>0</v>
      </c>
      <c r="BI555">
        <f>MAX(BD555:BG555)</f>
        <v>0</v>
      </c>
      <c r="BJ555">
        <f>MAX(BE555:BG555)</f>
        <v>0</v>
      </c>
      <c r="BK555">
        <f>IF(AND(AK555=ReachLabel,AY555=1),AP555,0)</f>
        <v>0</v>
      </c>
      <c r="BL555">
        <f>IF(AND(AK555=MatchLabel,AY555=1),AP555,0)</f>
        <v>0</v>
      </c>
      <c r="BM555">
        <f>IF(AND(AK555=SafetyLabel,AY555=1),AP555,0)</f>
        <v>0</v>
      </c>
      <c r="BN555">
        <f>IF(AND(AK555=SecureLabel,AY555=1),AP555,0)</f>
        <v>0</v>
      </c>
      <c r="BO555">
        <f>IF(AND(AK555=SureThingLabel,AY555=1),AP555,0)</f>
        <v>0</v>
      </c>
      <c r="BP555">
        <f>MAX(BK555:BO555)</f>
        <v>0</v>
      </c>
      <c r="BQ555">
        <f>MAX(BL555:BO555)</f>
        <v>0</v>
      </c>
      <c r="BR555">
        <f>MAX(BM555:BO555)</f>
        <v>0</v>
      </c>
      <c r="BS555">
        <f>IF(ISNUMBER(Y555),INDEX(AllCollegeChicago, MATCH(N555,AllCollegeNCES,0))*AY555,0)</f>
        <v>0</v>
      </c>
      <c r="BT555">
        <f>IF(ISNUMBER(Y555),INDEX(AllCollegeMoneyCode, MATCH(N555,AllCollegeNCES,0)),"?")</f>
        <v>0</v>
      </c>
      <c r="BU555">
        <f>IF(OR(BT555="---",BT555="--",BT555="+/--",BT555="+/---"),1,0)</f>
        <v>0</v>
      </c>
      <c r="BV555">
        <f>AY555*AO555*AQ555</f>
        <v>0</v>
      </c>
    </row>
    <row r="556" spans="1:74">
      <c r="A556" t="s">
        <v>86</v>
      </c>
      <c r="B556">
        <v>23478500</v>
      </c>
      <c r="C556" t="s">
        <v>113</v>
      </c>
      <c r="D556" t="s">
        <v>114</v>
      </c>
      <c r="E556" t="s">
        <v>428</v>
      </c>
      <c r="F556" t="s">
        <v>566</v>
      </c>
      <c r="G556" t="s">
        <v>430</v>
      </c>
      <c r="H556" t="s">
        <v>431</v>
      </c>
      <c r="I556" t="s">
        <v>432</v>
      </c>
      <c r="J556" t="s">
        <v>432</v>
      </c>
      <c r="K556">
        <v>0</v>
      </c>
      <c r="L556" t="s">
        <v>428</v>
      </c>
      <c r="M556" t="s">
        <v>428</v>
      </c>
      <c r="N556">
        <v>130590</v>
      </c>
      <c r="O556">
        <f>INDEX(AllCollegeBarrons,MATCH(N556,AllCollegeNCES,0))</f>
        <v>0</v>
      </c>
      <c r="P556">
        <f>INDEX(KidGPAs,MATCH(B556,KidIDs,0))</f>
        <v>0</v>
      </c>
      <c r="Q556">
        <f>INDEX(KidACTs,MATCH(B556,KidIDs,0))</f>
        <v>0</v>
      </c>
      <c r="R556">
        <f>INDEX(Strats,MATCH(B556,KidIDs,0))</f>
        <v>0</v>
      </c>
      <c r="S556">
        <f>INDEX(KidRace,MATCH(B556,KidIDs,0))</f>
        <v>0</v>
      </c>
      <c r="T556">
        <f>IF(OR(S556="M",S556="I"),"H",S556)</f>
        <v>0</v>
      </c>
      <c r="U556">
        <f>INDEX(StudentTargets,MATCH(B556,KidIDs,0))</f>
        <v>0</v>
      </c>
      <c r="V556">
        <f>INDEX(ReachStudentTargets,MATCH(B556,KidIDs,0))</f>
        <v>0</v>
      </c>
      <c r="W556">
        <f>IF(OR(M556="Posse"),1,0)</f>
        <v>0</v>
      </c>
      <c r="X556">
        <f>IF(ISNUMBER(INDEX(AllCollegeGR, MATCH(N556,AllCollegeNCES,0))),ROUND(INDEX(AllCollegeGR, MATCH(N556,AllCollegeNCES,0))+W556*IF(INDEX(AllCollegeGR, MATCH(N556,AllCollegeNCES,0))&gt;0.7,(1-INDEX(AllCollegeGR, MATCH(N556,AllCollegeNCES,0)))/2,0.15),2),INDEX(AllCollegeGR, MATCH(N556,AllCollegeNCES,0)))</f>
        <v>0</v>
      </c>
      <c r="Y556">
        <f>IF(ISNUMBER(INDEX(AllCollegeAAHGR, MATCH(N556,AllCollegeNCES,0))),ROUND(INDEX(AllCollegeAAHGR, MATCH(N556,AllCollegeNCES,0))+W556*IF(INDEX(AllCollegeAAHGR, MATCH(N556,AllCollegeNCES,0))&gt;0.7,(1-INDEX(AllCollegeAAHGR, MATCH(N556,AllCollegeNCES,0)))/2,0.15),2),INDEX(AllCollegeAAHGR, MATCH(N556,AllCollegeNCES,0)))</f>
        <v>0</v>
      </c>
      <c r="Z556">
        <f>IF(OR(T556="H",T556="B"),INDEX(AllCollegeACT25, MATCH(N556,AllCollegeNCES,0)),INDEX(AllCollegeACT50, MATCH(N556,AllCollegeNCES,0)))</f>
        <v>0</v>
      </c>
      <c r="AA556">
        <f>INDEX(CustomWeightsGPA,MATCH(T556&amp;":"&amp;N556,CustomWeightsIndex,0))</f>
        <v>0</v>
      </c>
      <c r="AB556">
        <f>INDEX(CustomWeightsACT,MATCH(T556&amp;":"&amp;N556,CustomWeightsIndex,0))</f>
        <v>0</v>
      </c>
      <c r="AC556">
        <f>INDEX(CustomWeightsIntercept,MATCH(T556&amp;":"&amp;N556,CustomWeightsIndex,0))</f>
        <v>0</v>
      </c>
      <c r="AD556">
        <f>AA556*P556+AB556*Q556+AC556</f>
        <v>0</v>
      </c>
      <c r="AE556">
        <f>INDEX(CoefficientsGPA,MATCH(T556&amp;":"&amp;O556,CoefficientsIndex,0))</f>
        <v>0</v>
      </c>
      <c r="AF556">
        <f>INDEX(CoefficientsACT,MATCH(T556&amp;":"&amp;O556,CoefficientsIndex,0))</f>
        <v>0</v>
      </c>
      <c r="AG556">
        <f>INDEX(CoefficientsIntercept,MATCH(T556&amp;":"&amp;O556,CoefficientsIndex,0))</f>
        <v>0</v>
      </c>
      <c r="AH556">
        <f>AE556*P556+(Q556-Z556)*AF556+AG556</f>
        <v>0</v>
      </c>
      <c r="AI556">
        <f>IF(ISNUMBER(AD556),AD556,AH556)</f>
        <v>0</v>
      </c>
      <c r="AJ556">
        <f>IF(ISNUMBER(AI556),IF(ISNUMBER(AE556),IF(AND(AE556=1,AF556=1,AG556=1),100,ROUND(100*EXP(AI556)/(1+EXP(AI556)),2)),ROUND(100*EXP(AI556)/(1+EXP(AI556)),2)),IF(ISTEXT(O556),IF(LEFT(O556,1)="2",100,"N/A"),"N/A"))</f>
        <v>0</v>
      </c>
      <c r="AK556">
        <f>IF(ISNUMBER(AJ556),IF(AJ556&gt;=99,IF(OR(R556=10,R556=11),MatchLabel,SureThingLabel),IF(AJ556&gt;=95,SecureLabel,IF(AJ556&gt;=80,SafetyLabel,IF(AJ556&gt;=50,MatchLabel,IF(AJ556&gt;=20,ReachLabel,IF(AJ556&gt;=10,LongshotLabel,HailMaryLabel)))))),"Other")</f>
        <v>0</v>
      </c>
      <c r="AL556">
        <f>IF(OR(I556="accepted",I556="cond. accept",I556="summer admit"),IF(J556="yes","CHOICE!","Accepted!"),IF(I556="denied","Denied",IF(K556=1,"Waitlist",IF(L556=1,"Deferred",IF(G556="pending","Pending",IF(OR(G556="initial materials submitted",G556="mid-year submitted",G556="final submitted"),"Submitted",IF(H556="interest","Interest","?")))))))</f>
        <v>0</v>
      </c>
      <c r="AM556">
        <f>IF(OR(AK556=ReachLabel,AK556=LongshotLabel,AK556=HailMaryLabel),1,0)</f>
        <v>0</v>
      </c>
      <c r="AN556">
        <f>IF(OR(AM556=1,AK556=MatchLabel),1,0)</f>
        <v>0</v>
      </c>
      <c r="AO556">
        <f>IF(OR(AK556=MatchLabel,AK556=SafetyLabel,AK556=SecureLabel,AK556=SureThingLabel),1,0)</f>
        <v>0</v>
      </c>
      <c r="AP556">
        <f>IF(OR(T556="H",T556="B"),IF(ISNUMBER(Y556),ROUND(Y556,2),0),IF(ISNUMBER(X556),ROUND(X556,2),0))</f>
        <v>0</v>
      </c>
      <c r="AQ556">
        <f>IF(AP556&gt;=U556,1,0)</f>
        <v>0</v>
      </c>
      <c r="AR556">
        <f>IF(AP556&gt;=V556,1,0)</f>
        <v>0</v>
      </c>
      <c r="AS556">
        <f>IF(AP556&lt;(U556-0.10),1,0)</f>
        <v>0</v>
      </c>
      <c r="AT556">
        <f>1-AJ556/100</f>
        <v>0</v>
      </c>
      <c r="AU556">
        <f>IF(AN556=1,AT556,1)</f>
        <v>0</v>
      </c>
      <c r="AV556">
        <f>IF(AM556=1,AT556,1)</f>
        <v>0</v>
      </c>
      <c r="AW556">
        <f>IF(AND(AQ556=1,ISNUMBER(AT556)),$AT556,1)</f>
        <v>0</v>
      </c>
      <c r="AX556">
        <f>IF(AND(AR556=1,ISNUMBER(AT556)),$AT556,1)</f>
        <v>0</v>
      </c>
      <c r="AY556">
        <f>IF(ISNUMBER(Y556),INDEX(AllCollegeMoney, MATCH(N556,AllCollegeNCES,0)),0)</f>
        <v>0</v>
      </c>
      <c r="AZ556">
        <f>IF(AND(AQ556=1,ISNUMBER(AT556),AY556=1),$AT556,1)</f>
        <v>0</v>
      </c>
      <c r="BA556">
        <f>IF(AND(AR556=1,ISNUMBER(AT556),AY556=1),$AT556,1)</f>
        <v>0</v>
      </c>
      <c r="BB556">
        <f>IF(ISNUMBER(Y556),INDEX(AllCollegeILPub, MATCH(N556,AllCollegeNCES,0)),0)</f>
        <v>0</v>
      </c>
      <c r="BC556">
        <f>IF(AK556=ReachLabel,AP556,0)</f>
        <v>0</v>
      </c>
      <c r="BD556">
        <f>IF(AK556=MatchLabel,AP556,0)</f>
        <v>0</v>
      </c>
      <c r="BE556">
        <f>IF(AK556=SafetyLabel,AP556,0)</f>
        <v>0</v>
      </c>
      <c r="BF556">
        <f>IF(AK556=SecureLabel,AP556,0)</f>
        <v>0</v>
      </c>
      <c r="BG556">
        <f>IF(AK556=SureThingLabel,AP556,0)</f>
        <v>0</v>
      </c>
      <c r="BH556">
        <f>MAX(BC556:BG556)</f>
        <v>0</v>
      </c>
      <c r="BI556">
        <f>MAX(BD556:BG556)</f>
        <v>0</v>
      </c>
      <c r="BJ556">
        <f>MAX(BE556:BG556)</f>
        <v>0</v>
      </c>
      <c r="BK556">
        <f>IF(AND(AK556=ReachLabel,AY556=1),AP556,0)</f>
        <v>0</v>
      </c>
      <c r="BL556">
        <f>IF(AND(AK556=MatchLabel,AY556=1),AP556,0)</f>
        <v>0</v>
      </c>
      <c r="BM556">
        <f>IF(AND(AK556=SafetyLabel,AY556=1),AP556,0)</f>
        <v>0</v>
      </c>
      <c r="BN556">
        <f>IF(AND(AK556=SecureLabel,AY556=1),AP556,0)</f>
        <v>0</v>
      </c>
      <c r="BO556">
        <f>IF(AND(AK556=SureThingLabel,AY556=1),AP556,0)</f>
        <v>0</v>
      </c>
      <c r="BP556">
        <f>MAX(BK556:BO556)</f>
        <v>0</v>
      </c>
      <c r="BQ556">
        <f>MAX(BL556:BO556)</f>
        <v>0</v>
      </c>
      <c r="BR556">
        <f>MAX(BM556:BO556)</f>
        <v>0</v>
      </c>
      <c r="BS556">
        <f>IF(ISNUMBER(Y556),INDEX(AllCollegeChicago, MATCH(N556,AllCollegeNCES,0))*AY556,0)</f>
        <v>0</v>
      </c>
      <c r="BT556">
        <f>IF(ISNUMBER(Y556),INDEX(AllCollegeMoneyCode, MATCH(N556,AllCollegeNCES,0)),"?")</f>
        <v>0</v>
      </c>
      <c r="BU556">
        <f>IF(OR(BT556="---",BT556="--",BT556="+/--",BT556="+/---"),1,0)</f>
        <v>0</v>
      </c>
      <c r="BV556">
        <f>AY556*AO556*AQ556</f>
        <v>0</v>
      </c>
    </row>
    <row r="557" spans="1:74">
      <c r="A557" t="s">
        <v>86</v>
      </c>
      <c r="B557">
        <v>23478500</v>
      </c>
      <c r="C557" t="s">
        <v>113</v>
      </c>
      <c r="D557" t="s">
        <v>114</v>
      </c>
      <c r="E557" t="s">
        <v>428</v>
      </c>
      <c r="F557" t="s">
        <v>567</v>
      </c>
      <c r="G557" t="s">
        <v>430</v>
      </c>
      <c r="H557" t="s">
        <v>431</v>
      </c>
      <c r="I557" t="s">
        <v>432</v>
      </c>
      <c r="J557" t="s">
        <v>432</v>
      </c>
      <c r="K557">
        <v>0</v>
      </c>
      <c r="L557" t="s">
        <v>428</v>
      </c>
      <c r="M557" t="s">
        <v>428</v>
      </c>
      <c r="N557">
        <v>141060</v>
      </c>
      <c r="O557">
        <f>INDEX(AllCollegeBarrons,MATCH(N557,AllCollegeNCES,0))</f>
        <v>0</v>
      </c>
      <c r="P557">
        <f>INDEX(KidGPAs,MATCH(B557,KidIDs,0))</f>
        <v>0</v>
      </c>
      <c r="Q557">
        <f>INDEX(KidACTs,MATCH(B557,KidIDs,0))</f>
        <v>0</v>
      </c>
      <c r="R557">
        <f>INDEX(Strats,MATCH(B557,KidIDs,0))</f>
        <v>0</v>
      </c>
      <c r="S557">
        <f>INDEX(KidRace,MATCH(B557,KidIDs,0))</f>
        <v>0</v>
      </c>
      <c r="T557">
        <f>IF(OR(S557="M",S557="I"),"H",S557)</f>
        <v>0</v>
      </c>
      <c r="U557">
        <f>INDEX(StudentTargets,MATCH(B557,KidIDs,0))</f>
        <v>0</v>
      </c>
      <c r="V557">
        <f>INDEX(ReachStudentTargets,MATCH(B557,KidIDs,0))</f>
        <v>0</v>
      </c>
      <c r="W557">
        <f>IF(OR(M557="Posse"),1,0)</f>
        <v>0</v>
      </c>
      <c r="X557">
        <f>IF(ISNUMBER(INDEX(AllCollegeGR, MATCH(N557,AllCollegeNCES,0))),ROUND(INDEX(AllCollegeGR, MATCH(N557,AllCollegeNCES,0))+W557*IF(INDEX(AllCollegeGR, MATCH(N557,AllCollegeNCES,0))&gt;0.7,(1-INDEX(AllCollegeGR, MATCH(N557,AllCollegeNCES,0)))/2,0.15),2),INDEX(AllCollegeGR, MATCH(N557,AllCollegeNCES,0)))</f>
        <v>0</v>
      </c>
      <c r="Y557">
        <f>IF(ISNUMBER(INDEX(AllCollegeAAHGR, MATCH(N557,AllCollegeNCES,0))),ROUND(INDEX(AllCollegeAAHGR, MATCH(N557,AllCollegeNCES,0))+W557*IF(INDEX(AllCollegeAAHGR, MATCH(N557,AllCollegeNCES,0))&gt;0.7,(1-INDEX(AllCollegeAAHGR, MATCH(N557,AllCollegeNCES,0)))/2,0.15),2),INDEX(AllCollegeAAHGR, MATCH(N557,AllCollegeNCES,0)))</f>
        <v>0</v>
      </c>
      <c r="Z557">
        <f>IF(OR(T557="H",T557="B"),INDEX(AllCollegeACT25, MATCH(N557,AllCollegeNCES,0)),INDEX(AllCollegeACT50, MATCH(N557,AllCollegeNCES,0)))</f>
        <v>0</v>
      </c>
      <c r="AA557">
        <f>INDEX(CustomWeightsGPA,MATCH(T557&amp;":"&amp;N557,CustomWeightsIndex,0))</f>
        <v>0</v>
      </c>
      <c r="AB557">
        <f>INDEX(CustomWeightsACT,MATCH(T557&amp;":"&amp;N557,CustomWeightsIndex,0))</f>
        <v>0</v>
      </c>
      <c r="AC557">
        <f>INDEX(CustomWeightsIntercept,MATCH(T557&amp;":"&amp;N557,CustomWeightsIndex,0))</f>
        <v>0</v>
      </c>
      <c r="AD557">
        <f>AA557*P557+AB557*Q557+AC557</f>
        <v>0</v>
      </c>
      <c r="AE557">
        <f>INDEX(CoefficientsGPA,MATCH(T557&amp;":"&amp;O557,CoefficientsIndex,0))</f>
        <v>0</v>
      </c>
      <c r="AF557">
        <f>INDEX(CoefficientsACT,MATCH(T557&amp;":"&amp;O557,CoefficientsIndex,0))</f>
        <v>0</v>
      </c>
      <c r="AG557">
        <f>INDEX(CoefficientsIntercept,MATCH(T557&amp;":"&amp;O557,CoefficientsIndex,0))</f>
        <v>0</v>
      </c>
      <c r="AH557">
        <f>AE557*P557+(Q557-Z557)*AF557+AG557</f>
        <v>0</v>
      </c>
      <c r="AI557">
        <f>IF(ISNUMBER(AD557),AD557,AH557)</f>
        <v>0</v>
      </c>
      <c r="AJ557">
        <f>IF(ISNUMBER(AI557),IF(ISNUMBER(AE557),IF(AND(AE557=1,AF557=1,AG557=1),100,ROUND(100*EXP(AI557)/(1+EXP(AI557)),2)),ROUND(100*EXP(AI557)/(1+EXP(AI557)),2)),IF(ISTEXT(O557),IF(LEFT(O557,1)="2",100,"N/A"),"N/A"))</f>
        <v>0</v>
      </c>
      <c r="AK557">
        <f>IF(ISNUMBER(AJ557),IF(AJ557&gt;=99,IF(OR(R557=10,R557=11),MatchLabel,SureThingLabel),IF(AJ557&gt;=95,SecureLabel,IF(AJ557&gt;=80,SafetyLabel,IF(AJ557&gt;=50,MatchLabel,IF(AJ557&gt;=20,ReachLabel,IF(AJ557&gt;=10,LongshotLabel,HailMaryLabel)))))),"Other")</f>
        <v>0</v>
      </c>
      <c r="AL557">
        <f>IF(OR(I557="accepted",I557="cond. accept",I557="summer admit"),IF(J557="yes","CHOICE!","Accepted!"),IF(I557="denied","Denied",IF(K557=1,"Waitlist",IF(L557=1,"Deferred",IF(G557="pending","Pending",IF(OR(G557="initial materials submitted",G557="mid-year submitted",G557="final submitted"),"Submitted",IF(H557="interest","Interest","?")))))))</f>
        <v>0</v>
      </c>
      <c r="AM557">
        <f>IF(OR(AK557=ReachLabel,AK557=LongshotLabel,AK557=HailMaryLabel),1,0)</f>
        <v>0</v>
      </c>
      <c r="AN557">
        <f>IF(OR(AM557=1,AK557=MatchLabel),1,0)</f>
        <v>0</v>
      </c>
      <c r="AO557">
        <f>IF(OR(AK557=MatchLabel,AK557=SafetyLabel,AK557=SecureLabel,AK557=SureThingLabel),1,0)</f>
        <v>0</v>
      </c>
      <c r="AP557">
        <f>IF(OR(T557="H",T557="B"),IF(ISNUMBER(Y557),ROUND(Y557,2),0),IF(ISNUMBER(X557),ROUND(X557,2),0))</f>
        <v>0</v>
      </c>
      <c r="AQ557">
        <f>IF(AP557&gt;=U557,1,0)</f>
        <v>0</v>
      </c>
      <c r="AR557">
        <f>IF(AP557&gt;=V557,1,0)</f>
        <v>0</v>
      </c>
      <c r="AS557">
        <f>IF(AP557&lt;(U557-0.10),1,0)</f>
        <v>0</v>
      </c>
      <c r="AT557">
        <f>1-AJ557/100</f>
        <v>0</v>
      </c>
      <c r="AU557">
        <f>IF(AN557=1,AT557,1)</f>
        <v>0</v>
      </c>
      <c r="AV557">
        <f>IF(AM557=1,AT557,1)</f>
        <v>0</v>
      </c>
      <c r="AW557">
        <f>IF(AND(AQ557=1,ISNUMBER(AT557)),$AT557,1)</f>
        <v>0</v>
      </c>
      <c r="AX557">
        <f>IF(AND(AR557=1,ISNUMBER(AT557)),$AT557,1)</f>
        <v>0</v>
      </c>
      <c r="AY557">
        <f>IF(ISNUMBER(Y557),INDEX(AllCollegeMoney, MATCH(N557,AllCollegeNCES,0)),0)</f>
        <v>0</v>
      </c>
      <c r="AZ557">
        <f>IF(AND(AQ557=1,ISNUMBER(AT557),AY557=1),$AT557,1)</f>
        <v>0</v>
      </c>
      <c r="BA557">
        <f>IF(AND(AR557=1,ISNUMBER(AT557),AY557=1),$AT557,1)</f>
        <v>0</v>
      </c>
      <c r="BB557">
        <f>IF(ISNUMBER(Y557),INDEX(AllCollegeILPub, MATCH(N557,AllCollegeNCES,0)),0)</f>
        <v>0</v>
      </c>
      <c r="BC557">
        <f>IF(AK557=ReachLabel,AP557,0)</f>
        <v>0</v>
      </c>
      <c r="BD557">
        <f>IF(AK557=MatchLabel,AP557,0)</f>
        <v>0</v>
      </c>
      <c r="BE557">
        <f>IF(AK557=SafetyLabel,AP557,0)</f>
        <v>0</v>
      </c>
      <c r="BF557">
        <f>IF(AK557=SecureLabel,AP557,0)</f>
        <v>0</v>
      </c>
      <c r="BG557">
        <f>IF(AK557=SureThingLabel,AP557,0)</f>
        <v>0</v>
      </c>
      <c r="BH557">
        <f>MAX(BC557:BG557)</f>
        <v>0</v>
      </c>
      <c r="BI557">
        <f>MAX(BD557:BG557)</f>
        <v>0</v>
      </c>
      <c r="BJ557">
        <f>MAX(BE557:BG557)</f>
        <v>0</v>
      </c>
      <c r="BK557">
        <f>IF(AND(AK557=ReachLabel,AY557=1),AP557,0)</f>
        <v>0</v>
      </c>
      <c r="BL557">
        <f>IF(AND(AK557=MatchLabel,AY557=1),AP557,0)</f>
        <v>0</v>
      </c>
      <c r="BM557">
        <f>IF(AND(AK557=SafetyLabel,AY557=1),AP557,0)</f>
        <v>0</v>
      </c>
      <c r="BN557">
        <f>IF(AND(AK557=SecureLabel,AY557=1),AP557,0)</f>
        <v>0</v>
      </c>
      <c r="BO557">
        <f>IF(AND(AK557=SureThingLabel,AY557=1),AP557,0)</f>
        <v>0</v>
      </c>
      <c r="BP557">
        <f>MAX(BK557:BO557)</f>
        <v>0</v>
      </c>
      <c r="BQ557">
        <f>MAX(BL557:BO557)</f>
        <v>0</v>
      </c>
      <c r="BR557">
        <f>MAX(BM557:BO557)</f>
        <v>0</v>
      </c>
      <c r="BS557">
        <f>IF(ISNUMBER(Y557),INDEX(AllCollegeChicago, MATCH(N557,AllCollegeNCES,0))*AY557,0)</f>
        <v>0</v>
      </c>
      <c r="BT557">
        <f>IF(ISNUMBER(Y557),INDEX(AllCollegeMoneyCode, MATCH(N557,AllCollegeNCES,0)),"?")</f>
        <v>0</v>
      </c>
      <c r="BU557">
        <f>IF(OR(BT557="---",BT557="--",BT557="+/--",BT557="+/---"),1,0)</f>
        <v>0</v>
      </c>
      <c r="BV557">
        <f>AY557*AO557*AQ557</f>
        <v>0</v>
      </c>
    </row>
    <row r="558" spans="1:74">
      <c r="A558" t="s">
        <v>86</v>
      </c>
      <c r="B558">
        <v>23478500</v>
      </c>
      <c r="C558" t="s">
        <v>113</v>
      </c>
      <c r="D558" t="s">
        <v>114</v>
      </c>
      <c r="E558" t="s">
        <v>428</v>
      </c>
      <c r="F558" t="s">
        <v>465</v>
      </c>
      <c r="G558" t="s">
        <v>430</v>
      </c>
      <c r="H558" t="s">
        <v>431</v>
      </c>
      <c r="I558" t="s">
        <v>432</v>
      </c>
      <c r="J558" t="s">
        <v>432</v>
      </c>
      <c r="K558">
        <v>0</v>
      </c>
      <c r="L558" t="s">
        <v>428</v>
      </c>
      <c r="M558" t="s">
        <v>428</v>
      </c>
      <c r="N558">
        <v>212577</v>
      </c>
      <c r="O558">
        <f>INDEX(AllCollegeBarrons,MATCH(N558,AllCollegeNCES,0))</f>
        <v>0</v>
      </c>
      <c r="P558">
        <f>INDEX(KidGPAs,MATCH(B558,KidIDs,0))</f>
        <v>0</v>
      </c>
      <c r="Q558">
        <f>INDEX(KidACTs,MATCH(B558,KidIDs,0))</f>
        <v>0</v>
      </c>
      <c r="R558">
        <f>INDEX(Strats,MATCH(B558,KidIDs,0))</f>
        <v>0</v>
      </c>
      <c r="S558">
        <f>INDEX(KidRace,MATCH(B558,KidIDs,0))</f>
        <v>0</v>
      </c>
      <c r="T558">
        <f>IF(OR(S558="M",S558="I"),"H",S558)</f>
        <v>0</v>
      </c>
      <c r="U558">
        <f>INDEX(StudentTargets,MATCH(B558,KidIDs,0))</f>
        <v>0</v>
      </c>
      <c r="V558">
        <f>INDEX(ReachStudentTargets,MATCH(B558,KidIDs,0))</f>
        <v>0</v>
      </c>
      <c r="W558">
        <f>IF(OR(M558="Posse"),1,0)</f>
        <v>0</v>
      </c>
      <c r="X558">
        <f>IF(ISNUMBER(INDEX(AllCollegeGR, MATCH(N558,AllCollegeNCES,0))),ROUND(INDEX(AllCollegeGR, MATCH(N558,AllCollegeNCES,0))+W558*IF(INDEX(AllCollegeGR, MATCH(N558,AllCollegeNCES,0))&gt;0.7,(1-INDEX(AllCollegeGR, MATCH(N558,AllCollegeNCES,0)))/2,0.15),2),INDEX(AllCollegeGR, MATCH(N558,AllCollegeNCES,0)))</f>
        <v>0</v>
      </c>
      <c r="Y558">
        <f>IF(ISNUMBER(INDEX(AllCollegeAAHGR, MATCH(N558,AllCollegeNCES,0))),ROUND(INDEX(AllCollegeAAHGR, MATCH(N558,AllCollegeNCES,0))+W558*IF(INDEX(AllCollegeAAHGR, MATCH(N558,AllCollegeNCES,0))&gt;0.7,(1-INDEX(AllCollegeAAHGR, MATCH(N558,AllCollegeNCES,0)))/2,0.15),2),INDEX(AllCollegeAAHGR, MATCH(N558,AllCollegeNCES,0)))</f>
        <v>0</v>
      </c>
      <c r="Z558">
        <f>IF(OR(T558="H",T558="B"),INDEX(AllCollegeACT25, MATCH(N558,AllCollegeNCES,0)),INDEX(AllCollegeACT50, MATCH(N558,AllCollegeNCES,0)))</f>
        <v>0</v>
      </c>
      <c r="AA558">
        <f>INDEX(CustomWeightsGPA,MATCH(T558&amp;":"&amp;N558,CustomWeightsIndex,0))</f>
        <v>0</v>
      </c>
      <c r="AB558">
        <f>INDEX(CustomWeightsACT,MATCH(T558&amp;":"&amp;N558,CustomWeightsIndex,0))</f>
        <v>0</v>
      </c>
      <c r="AC558">
        <f>INDEX(CustomWeightsIntercept,MATCH(T558&amp;":"&amp;N558,CustomWeightsIndex,0))</f>
        <v>0</v>
      </c>
      <c r="AD558">
        <f>AA558*P558+AB558*Q558+AC558</f>
        <v>0</v>
      </c>
      <c r="AE558">
        <f>INDEX(CoefficientsGPA,MATCH(T558&amp;":"&amp;O558,CoefficientsIndex,0))</f>
        <v>0</v>
      </c>
      <c r="AF558">
        <f>INDEX(CoefficientsACT,MATCH(T558&amp;":"&amp;O558,CoefficientsIndex,0))</f>
        <v>0</v>
      </c>
      <c r="AG558">
        <f>INDEX(CoefficientsIntercept,MATCH(T558&amp;":"&amp;O558,CoefficientsIndex,0))</f>
        <v>0</v>
      </c>
      <c r="AH558">
        <f>AE558*P558+(Q558-Z558)*AF558+AG558</f>
        <v>0</v>
      </c>
      <c r="AI558">
        <f>IF(ISNUMBER(AD558),AD558,AH558)</f>
        <v>0</v>
      </c>
      <c r="AJ558">
        <f>IF(ISNUMBER(AI558),IF(ISNUMBER(AE558),IF(AND(AE558=1,AF558=1,AG558=1),100,ROUND(100*EXP(AI558)/(1+EXP(AI558)),2)),ROUND(100*EXP(AI558)/(1+EXP(AI558)),2)),IF(ISTEXT(O558),IF(LEFT(O558,1)="2",100,"N/A"),"N/A"))</f>
        <v>0</v>
      </c>
      <c r="AK558">
        <f>IF(ISNUMBER(AJ558),IF(AJ558&gt;=99,IF(OR(R558=10,R558=11),MatchLabel,SureThingLabel),IF(AJ558&gt;=95,SecureLabel,IF(AJ558&gt;=80,SafetyLabel,IF(AJ558&gt;=50,MatchLabel,IF(AJ558&gt;=20,ReachLabel,IF(AJ558&gt;=10,LongshotLabel,HailMaryLabel)))))),"Other")</f>
        <v>0</v>
      </c>
      <c r="AL558">
        <f>IF(OR(I558="accepted",I558="cond. accept",I558="summer admit"),IF(J558="yes","CHOICE!","Accepted!"),IF(I558="denied","Denied",IF(K558=1,"Waitlist",IF(L558=1,"Deferred",IF(G558="pending","Pending",IF(OR(G558="initial materials submitted",G558="mid-year submitted",G558="final submitted"),"Submitted",IF(H558="interest","Interest","?")))))))</f>
        <v>0</v>
      </c>
      <c r="AM558">
        <f>IF(OR(AK558=ReachLabel,AK558=LongshotLabel,AK558=HailMaryLabel),1,0)</f>
        <v>0</v>
      </c>
      <c r="AN558">
        <f>IF(OR(AM558=1,AK558=MatchLabel),1,0)</f>
        <v>0</v>
      </c>
      <c r="AO558">
        <f>IF(OR(AK558=MatchLabel,AK558=SafetyLabel,AK558=SecureLabel,AK558=SureThingLabel),1,0)</f>
        <v>0</v>
      </c>
      <c r="AP558">
        <f>IF(OR(T558="H",T558="B"),IF(ISNUMBER(Y558),ROUND(Y558,2),0),IF(ISNUMBER(X558),ROUND(X558,2),0))</f>
        <v>0</v>
      </c>
      <c r="AQ558">
        <f>IF(AP558&gt;=U558,1,0)</f>
        <v>0</v>
      </c>
      <c r="AR558">
        <f>IF(AP558&gt;=V558,1,0)</f>
        <v>0</v>
      </c>
      <c r="AS558">
        <f>IF(AP558&lt;(U558-0.10),1,0)</f>
        <v>0</v>
      </c>
      <c r="AT558">
        <f>1-AJ558/100</f>
        <v>0</v>
      </c>
      <c r="AU558">
        <f>IF(AN558=1,AT558,1)</f>
        <v>0</v>
      </c>
      <c r="AV558">
        <f>IF(AM558=1,AT558,1)</f>
        <v>0</v>
      </c>
      <c r="AW558">
        <f>IF(AND(AQ558=1,ISNUMBER(AT558)),$AT558,1)</f>
        <v>0</v>
      </c>
      <c r="AX558">
        <f>IF(AND(AR558=1,ISNUMBER(AT558)),$AT558,1)</f>
        <v>0</v>
      </c>
      <c r="AY558">
        <f>IF(ISNUMBER(Y558),INDEX(AllCollegeMoney, MATCH(N558,AllCollegeNCES,0)),0)</f>
        <v>0</v>
      </c>
      <c r="AZ558">
        <f>IF(AND(AQ558=1,ISNUMBER(AT558),AY558=1),$AT558,1)</f>
        <v>0</v>
      </c>
      <c r="BA558">
        <f>IF(AND(AR558=1,ISNUMBER(AT558),AY558=1),$AT558,1)</f>
        <v>0</v>
      </c>
      <c r="BB558">
        <f>IF(ISNUMBER(Y558),INDEX(AllCollegeILPub, MATCH(N558,AllCollegeNCES,0)),0)</f>
        <v>0</v>
      </c>
      <c r="BC558">
        <f>IF(AK558=ReachLabel,AP558,0)</f>
        <v>0</v>
      </c>
      <c r="BD558">
        <f>IF(AK558=MatchLabel,AP558,0)</f>
        <v>0</v>
      </c>
      <c r="BE558">
        <f>IF(AK558=SafetyLabel,AP558,0)</f>
        <v>0</v>
      </c>
      <c r="BF558">
        <f>IF(AK558=SecureLabel,AP558,0)</f>
        <v>0</v>
      </c>
      <c r="BG558">
        <f>IF(AK558=SureThingLabel,AP558,0)</f>
        <v>0</v>
      </c>
      <c r="BH558">
        <f>MAX(BC558:BG558)</f>
        <v>0</v>
      </c>
      <c r="BI558">
        <f>MAX(BD558:BG558)</f>
        <v>0</v>
      </c>
      <c r="BJ558">
        <f>MAX(BE558:BG558)</f>
        <v>0</v>
      </c>
      <c r="BK558">
        <f>IF(AND(AK558=ReachLabel,AY558=1),AP558,0)</f>
        <v>0</v>
      </c>
      <c r="BL558">
        <f>IF(AND(AK558=MatchLabel,AY558=1),AP558,0)</f>
        <v>0</v>
      </c>
      <c r="BM558">
        <f>IF(AND(AK558=SafetyLabel,AY558=1),AP558,0)</f>
        <v>0</v>
      </c>
      <c r="BN558">
        <f>IF(AND(AK558=SecureLabel,AY558=1),AP558,0)</f>
        <v>0</v>
      </c>
      <c r="BO558">
        <f>IF(AND(AK558=SureThingLabel,AY558=1),AP558,0)</f>
        <v>0</v>
      </c>
      <c r="BP558">
        <f>MAX(BK558:BO558)</f>
        <v>0</v>
      </c>
      <c r="BQ558">
        <f>MAX(BL558:BO558)</f>
        <v>0</v>
      </c>
      <c r="BR558">
        <f>MAX(BM558:BO558)</f>
        <v>0</v>
      </c>
      <c r="BS558">
        <f>IF(ISNUMBER(Y558),INDEX(AllCollegeChicago, MATCH(N558,AllCollegeNCES,0))*AY558,0)</f>
        <v>0</v>
      </c>
      <c r="BT558">
        <f>IF(ISNUMBER(Y558),INDEX(AllCollegeMoneyCode, MATCH(N558,AllCollegeNCES,0)),"?")</f>
        <v>0</v>
      </c>
      <c r="BU558">
        <f>IF(OR(BT558="---",BT558="--",BT558="+/--",BT558="+/---"),1,0)</f>
        <v>0</v>
      </c>
      <c r="BV558">
        <f>AY558*AO558*AQ558</f>
        <v>0</v>
      </c>
    </row>
    <row r="559" spans="1:74">
      <c r="A559" t="s">
        <v>86</v>
      </c>
      <c r="B559">
        <v>23478500</v>
      </c>
      <c r="C559" t="s">
        <v>113</v>
      </c>
      <c r="D559" t="s">
        <v>114</v>
      </c>
      <c r="E559" t="s">
        <v>428</v>
      </c>
      <c r="F559" t="s">
        <v>568</v>
      </c>
      <c r="G559" t="s">
        <v>430</v>
      </c>
      <c r="H559" t="s">
        <v>431</v>
      </c>
      <c r="I559" t="s">
        <v>432</v>
      </c>
      <c r="J559" t="s">
        <v>432</v>
      </c>
      <c r="K559">
        <v>0</v>
      </c>
      <c r="L559" t="s">
        <v>428</v>
      </c>
      <c r="M559" t="s">
        <v>428</v>
      </c>
      <c r="N559">
        <v>128902</v>
      </c>
      <c r="O559">
        <f>INDEX(AllCollegeBarrons,MATCH(N559,AllCollegeNCES,0))</f>
        <v>0</v>
      </c>
      <c r="P559">
        <f>INDEX(KidGPAs,MATCH(B559,KidIDs,0))</f>
        <v>0</v>
      </c>
      <c r="Q559">
        <f>INDEX(KidACTs,MATCH(B559,KidIDs,0))</f>
        <v>0</v>
      </c>
      <c r="R559">
        <f>INDEX(Strats,MATCH(B559,KidIDs,0))</f>
        <v>0</v>
      </c>
      <c r="S559">
        <f>INDEX(KidRace,MATCH(B559,KidIDs,0))</f>
        <v>0</v>
      </c>
      <c r="T559">
        <f>IF(OR(S559="M",S559="I"),"H",S559)</f>
        <v>0</v>
      </c>
      <c r="U559">
        <f>INDEX(StudentTargets,MATCH(B559,KidIDs,0))</f>
        <v>0</v>
      </c>
      <c r="V559">
        <f>INDEX(ReachStudentTargets,MATCH(B559,KidIDs,0))</f>
        <v>0</v>
      </c>
      <c r="W559">
        <f>IF(OR(M559="Posse"),1,0)</f>
        <v>0</v>
      </c>
      <c r="X559">
        <f>IF(ISNUMBER(INDEX(AllCollegeGR, MATCH(N559,AllCollegeNCES,0))),ROUND(INDEX(AllCollegeGR, MATCH(N559,AllCollegeNCES,0))+W559*IF(INDEX(AllCollegeGR, MATCH(N559,AllCollegeNCES,0))&gt;0.7,(1-INDEX(AllCollegeGR, MATCH(N559,AllCollegeNCES,0)))/2,0.15),2),INDEX(AllCollegeGR, MATCH(N559,AllCollegeNCES,0)))</f>
        <v>0</v>
      </c>
      <c r="Y559">
        <f>IF(ISNUMBER(INDEX(AllCollegeAAHGR, MATCH(N559,AllCollegeNCES,0))),ROUND(INDEX(AllCollegeAAHGR, MATCH(N559,AllCollegeNCES,0))+W559*IF(INDEX(AllCollegeAAHGR, MATCH(N559,AllCollegeNCES,0))&gt;0.7,(1-INDEX(AllCollegeAAHGR, MATCH(N559,AllCollegeNCES,0)))/2,0.15),2),INDEX(AllCollegeAAHGR, MATCH(N559,AllCollegeNCES,0)))</f>
        <v>0</v>
      </c>
      <c r="Z559">
        <f>IF(OR(T559="H",T559="B"),INDEX(AllCollegeACT25, MATCH(N559,AllCollegeNCES,0)),INDEX(AllCollegeACT50, MATCH(N559,AllCollegeNCES,0)))</f>
        <v>0</v>
      </c>
      <c r="AA559">
        <f>INDEX(CustomWeightsGPA,MATCH(T559&amp;":"&amp;N559,CustomWeightsIndex,0))</f>
        <v>0</v>
      </c>
      <c r="AB559">
        <f>INDEX(CustomWeightsACT,MATCH(T559&amp;":"&amp;N559,CustomWeightsIndex,0))</f>
        <v>0</v>
      </c>
      <c r="AC559">
        <f>INDEX(CustomWeightsIntercept,MATCH(T559&amp;":"&amp;N559,CustomWeightsIndex,0))</f>
        <v>0</v>
      </c>
      <c r="AD559">
        <f>AA559*P559+AB559*Q559+AC559</f>
        <v>0</v>
      </c>
      <c r="AE559">
        <f>INDEX(CoefficientsGPA,MATCH(T559&amp;":"&amp;O559,CoefficientsIndex,0))</f>
        <v>0</v>
      </c>
      <c r="AF559">
        <f>INDEX(CoefficientsACT,MATCH(T559&amp;":"&amp;O559,CoefficientsIndex,0))</f>
        <v>0</v>
      </c>
      <c r="AG559">
        <f>INDEX(CoefficientsIntercept,MATCH(T559&amp;":"&amp;O559,CoefficientsIndex,0))</f>
        <v>0</v>
      </c>
      <c r="AH559">
        <f>AE559*P559+(Q559-Z559)*AF559+AG559</f>
        <v>0</v>
      </c>
      <c r="AI559">
        <f>IF(ISNUMBER(AD559),AD559,AH559)</f>
        <v>0</v>
      </c>
      <c r="AJ559">
        <f>IF(ISNUMBER(AI559),IF(ISNUMBER(AE559),IF(AND(AE559=1,AF559=1,AG559=1),100,ROUND(100*EXP(AI559)/(1+EXP(AI559)),2)),ROUND(100*EXP(AI559)/(1+EXP(AI559)),2)),IF(ISTEXT(O559),IF(LEFT(O559,1)="2",100,"N/A"),"N/A"))</f>
        <v>0</v>
      </c>
      <c r="AK559">
        <f>IF(ISNUMBER(AJ559),IF(AJ559&gt;=99,IF(OR(R559=10,R559=11),MatchLabel,SureThingLabel),IF(AJ559&gt;=95,SecureLabel,IF(AJ559&gt;=80,SafetyLabel,IF(AJ559&gt;=50,MatchLabel,IF(AJ559&gt;=20,ReachLabel,IF(AJ559&gt;=10,LongshotLabel,HailMaryLabel)))))),"Other")</f>
        <v>0</v>
      </c>
      <c r="AL559">
        <f>IF(OR(I559="accepted",I559="cond. accept",I559="summer admit"),IF(J559="yes","CHOICE!","Accepted!"),IF(I559="denied","Denied",IF(K559=1,"Waitlist",IF(L559=1,"Deferred",IF(G559="pending","Pending",IF(OR(G559="initial materials submitted",G559="mid-year submitted",G559="final submitted"),"Submitted",IF(H559="interest","Interest","?")))))))</f>
        <v>0</v>
      </c>
      <c r="AM559">
        <f>IF(OR(AK559=ReachLabel,AK559=LongshotLabel,AK559=HailMaryLabel),1,0)</f>
        <v>0</v>
      </c>
      <c r="AN559">
        <f>IF(OR(AM559=1,AK559=MatchLabel),1,0)</f>
        <v>0</v>
      </c>
      <c r="AO559">
        <f>IF(OR(AK559=MatchLabel,AK559=SafetyLabel,AK559=SecureLabel,AK559=SureThingLabel),1,0)</f>
        <v>0</v>
      </c>
      <c r="AP559">
        <f>IF(OR(T559="H",T559="B"),IF(ISNUMBER(Y559),ROUND(Y559,2),0),IF(ISNUMBER(X559),ROUND(X559,2),0))</f>
        <v>0</v>
      </c>
      <c r="AQ559">
        <f>IF(AP559&gt;=U559,1,0)</f>
        <v>0</v>
      </c>
      <c r="AR559">
        <f>IF(AP559&gt;=V559,1,0)</f>
        <v>0</v>
      </c>
      <c r="AS559">
        <f>IF(AP559&lt;(U559-0.10),1,0)</f>
        <v>0</v>
      </c>
      <c r="AT559">
        <f>1-AJ559/100</f>
        <v>0</v>
      </c>
      <c r="AU559">
        <f>IF(AN559=1,AT559,1)</f>
        <v>0</v>
      </c>
      <c r="AV559">
        <f>IF(AM559=1,AT559,1)</f>
        <v>0</v>
      </c>
      <c r="AW559">
        <f>IF(AND(AQ559=1,ISNUMBER(AT559)),$AT559,1)</f>
        <v>0</v>
      </c>
      <c r="AX559">
        <f>IF(AND(AR559=1,ISNUMBER(AT559)),$AT559,1)</f>
        <v>0</v>
      </c>
      <c r="AY559">
        <f>IF(ISNUMBER(Y559),INDEX(AllCollegeMoney, MATCH(N559,AllCollegeNCES,0)),0)</f>
        <v>0</v>
      </c>
      <c r="AZ559">
        <f>IF(AND(AQ559=1,ISNUMBER(AT559),AY559=1),$AT559,1)</f>
        <v>0</v>
      </c>
      <c r="BA559">
        <f>IF(AND(AR559=1,ISNUMBER(AT559),AY559=1),$AT559,1)</f>
        <v>0</v>
      </c>
      <c r="BB559">
        <f>IF(ISNUMBER(Y559),INDEX(AllCollegeILPub, MATCH(N559,AllCollegeNCES,0)),0)</f>
        <v>0</v>
      </c>
      <c r="BC559">
        <f>IF(AK559=ReachLabel,AP559,0)</f>
        <v>0</v>
      </c>
      <c r="BD559">
        <f>IF(AK559=MatchLabel,AP559,0)</f>
        <v>0</v>
      </c>
      <c r="BE559">
        <f>IF(AK559=SafetyLabel,AP559,0)</f>
        <v>0</v>
      </c>
      <c r="BF559">
        <f>IF(AK559=SecureLabel,AP559,0)</f>
        <v>0</v>
      </c>
      <c r="BG559">
        <f>IF(AK559=SureThingLabel,AP559,0)</f>
        <v>0</v>
      </c>
      <c r="BH559">
        <f>MAX(BC559:BG559)</f>
        <v>0</v>
      </c>
      <c r="BI559">
        <f>MAX(BD559:BG559)</f>
        <v>0</v>
      </c>
      <c r="BJ559">
        <f>MAX(BE559:BG559)</f>
        <v>0</v>
      </c>
      <c r="BK559">
        <f>IF(AND(AK559=ReachLabel,AY559=1),AP559,0)</f>
        <v>0</v>
      </c>
      <c r="BL559">
        <f>IF(AND(AK559=MatchLabel,AY559=1),AP559,0)</f>
        <v>0</v>
      </c>
      <c r="BM559">
        <f>IF(AND(AK559=SafetyLabel,AY559=1),AP559,0)</f>
        <v>0</v>
      </c>
      <c r="BN559">
        <f>IF(AND(AK559=SecureLabel,AY559=1),AP559,0)</f>
        <v>0</v>
      </c>
      <c r="BO559">
        <f>IF(AND(AK559=SureThingLabel,AY559=1),AP559,0)</f>
        <v>0</v>
      </c>
      <c r="BP559">
        <f>MAX(BK559:BO559)</f>
        <v>0</v>
      </c>
      <c r="BQ559">
        <f>MAX(BL559:BO559)</f>
        <v>0</v>
      </c>
      <c r="BR559">
        <f>MAX(BM559:BO559)</f>
        <v>0</v>
      </c>
      <c r="BS559">
        <f>IF(ISNUMBER(Y559),INDEX(AllCollegeChicago, MATCH(N559,AllCollegeNCES,0))*AY559,0)</f>
        <v>0</v>
      </c>
      <c r="BT559">
        <f>IF(ISNUMBER(Y559),INDEX(AllCollegeMoneyCode, MATCH(N559,AllCollegeNCES,0)),"?")</f>
        <v>0</v>
      </c>
      <c r="BU559">
        <f>IF(OR(BT559="---",BT559="--",BT559="+/--",BT559="+/---"),1,0)</f>
        <v>0</v>
      </c>
      <c r="BV559">
        <f>AY559*AO559*AQ559</f>
        <v>0</v>
      </c>
    </row>
    <row r="560" spans="1:74">
      <c r="A560" t="s">
        <v>86</v>
      </c>
      <c r="B560">
        <v>23478500</v>
      </c>
      <c r="C560" t="s">
        <v>113</v>
      </c>
      <c r="D560" t="s">
        <v>114</v>
      </c>
      <c r="E560" t="s">
        <v>428</v>
      </c>
      <c r="F560" t="s">
        <v>467</v>
      </c>
      <c r="G560" t="s">
        <v>430</v>
      </c>
      <c r="H560" t="s">
        <v>431</v>
      </c>
      <c r="I560" t="s">
        <v>432</v>
      </c>
      <c r="J560" t="s">
        <v>432</v>
      </c>
      <c r="K560">
        <v>0</v>
      </c>
      <c r="L560" t="s">
        <v>428</v>
      </c>
      <c r="M560" t="s">
        <v>428</v>
      </c>
      <c r="N560">
        <v>170976</v>
      </c>
      <c r="O560">
        <f>INDEX(AllCollegeBarrons,MATCH(N560,AllCollegeNCES,0))</f>
        <v>0</v>
      </c>
      <c r="P560">
        <f>INDEX(KidGPAs,MATCH(B560,KidIDs,0))</f>
        <v>0</v>
      </c>
      <c r="Q560">
        <f>INDEX(KidACTs,MATCH(B560,KidIDs,0))</f>
        <v>0</v>
      </c>
      <c r="R560">
        <f>INDEX(Strats,MATCH(B560,KidIDs,0))</f>
        <v>0</v>
      </c>
      <c r="S560">
        <f>INDEX(KidRace,MATCH(B560,KidIDs,0))</f>
        <v>0</v>
      </c>
      <c r="T560">
        <f>IF(OR(S560="M",S560="I"),"H",S560)</f>
        <v>0</v>
      </c>
      <c r="U560">
        <f>INDEX(StudentTargets,MATCH(B560,KidIDs,0))</f>
        <v>0</v>
      </c>
      <c r="V560">
        <f>INDEX(ReachStudentTargets,MATCH(B560,KidIDs,0))</f>
        <v>0</v>
      </c>
      <c r="W560">
        <f>IF(OR(M560="Posse"),1,0)</f>
        <v>0</v>
      </c>
      <c r="X560">
        <f>IF(ISNUMBER(INDEX(AllCollegeGR, MATCH(N560,AllCollegeNCES,0))),ROUND(INDEX(AllCollegeGR, MATCH(N560,AllCollegeNCES,0))+W560*IF(INDEX(AllCollegeGR, MATCH(N560,AllCollegeNCES,0))&gt;0.7,(1-INDEX(AllCollegeGR, MATCH(N560,AllCollegeNCES,0)))/2,0.15),2),INDEX(AllCollegeGR, MATCH(N560,AllCollegeNCES,0)))</f>
        <v>0</v>
      </c>
      <c r="Y560">
        <f>IF(ISNUMBER(INDEX(AllCollegeAAHGR, MATCH(N560,AllCollegeNCES,0))),ROUND(INDEX(AllCollegeAAHGR, MATCH(N560,AllCollegeNCES,0))+W560*IF(INDEX(AllCollegeAAHGR, MATCH(N560,AllCollegeNCES,0))&gt;0.7,(1-INDEX(AllCollegeAAHGR, MATCH(N560,AllCollegeNCES,0)))/2,0.15),2),INDEX(AllCollegeAAHGR, MATCH(N560,AllCollegeNCES,0)))</f>
        <v>0</v>
      </c>
      <c r="Z560">
        <f>IF(OR(T560="H",T560="B"),INDEX(AllCollegeACT25, MATCH(N560,AllCollegeNCES,0)),INDEX(AllCollegeACT50, MATCH(N560,AllCollegeNCES,0)))</f>
        <v>0</v>
      </c>
      <c r="AA560">
        <f>INDEX(CustomWeightsGPA,MATCH(T560&amp;":"&amp;N560,CustomWeightsIndex,0))</f>
        <v>0</v>
      </c>
      <c r="AB560">
        <f>INDEX(CustomWeightsACT,MATCH(T560&amp;":"&amp;N560,CustomWeightsIndex,0))</f>
        <v>0</v>
      </c>
      <c r="AC560">
        <f>INDEX(CustomWeightsIntercept,MATCH(T560&amp;":"&amp;N560,CustomWeightsIndex,0))</f>
        <v>0</v>
      </c>
      <c r="AD560">
        <f>AA560*P560+AB560*Q560+AC560</f>
        <v>0</v>
      </c>
      <c r="AE560">
        <f>INDEX(CoefficientsGPA,MATCH(T560&amp;":"&amp;O560,CoefficientsIndex,0))</f>
        <v>0</v>
      </c>
      <c r="AF560">
        <f>INDEX(CoefficientsACT,MATCH(T560&amp;":"&amp;O560,CoefficientsIndex,0))</f>
        <v>0</v>
      </c>
      <c r="AG560">
        <f>INDEX(CoefficientsIntercept,MATCH(T560&amp;":"&amp;O560,CoefficientsIndex,0))</f>
        <v>0</v>
      </c>
      <c r="AH560">
        <f>AE560*P560+(Q560-Z560)*AF560+AG560</f>
        <v>0</v>
      </c>
      <c r="AI560">
        <f>IF(ISNUMBER(AD560),AD560,AH560)</f>
        <v>0</v>
      </c>
      <c r="AJ560">
        <f>IF(ISNUMBER(AI560),IF(ISNUMBER(AE560),IF(AND(AE560=1,AF560=1,AG560=1),100,ROUND(100*EXP(AI560)/(1+EXP(AI560)),2)),ROUND(100*EXP(AI560)/(1+EXP(AI560)),2)),IF(ISTEXT(O560),IF(LEFT(O560,1)="2",100,"N/A"),"N/A"))</f>
        <v>0</v>
      </c>
      <c r="AK560">
        <f>IF(ISNUMBER(AJ560),IF(AJ560&gt;=99,IF(OR(R560=10,R560=11),MatchLabel,SureThingLabel),IF(AJ560&gt;=95,SecureLabel,IF(AJ560&gt;=80,SafetyLabel,IF(AJ560&gt;=50,MatchLabel,IF(AJ560&gt;=20,ReachLabel,IF(AJ560&gt;=10,LongshotLabel,HailMaryLabel)))))),"Other")</f>
        <v>0</v>
      </c>
      <c r="AL560">
        <f>IF(OR(I560="accepted",I560="cond. accept",I560="summer admit"),IF(J560="yes","CHOICE!","Accepted!"),IF(I560="denied","Denied",IF(K560=1,"Waitlist",IF(L560=1,"Deferred",IF(G560="pending","Pending",IF(OR(G560="initial materials submitted",G560="mid-year submitted",G560="final submitted"),"Submitted",IF(H560="interest","Interest","?")))))))</f>
        <v>0</v>
      </c>
      <c r="AM560">
        <f>IF(OR(AK560=ReachLabel,AK560=LongshotLabel,AK560=HailMaryLabel),1,0)</f>
        <v>0</v>
      </c>
      <c r="AN560">
        <f>IF(OR(AM560=1,AK560=MatchLabel),1,0)</f>
        <v>0</v>
      </c>
      <c r="AO560">
        <f>IF(OR(AK560=MatchLabel,AK560=SafetyLabel,AK560=SecureLabel,AK560=SureThingLabel),1,0)</f>
        <v>0</v>
      </c>
      <c r="AP560">
        <f>IF(OR(T560="H",T560="B"),IF(ISNUMBER(Y560),ROUND(Y560,2),0),IF(ISNUMBER(X560),ROUND(X560,2),0))</f>
        <v>0</v>
      </c>
      <c r="AQ560">
        <f>IF(AP560&gt;=U560,1,0)</f>
        <v>0</v>
      </c>
      <c r="AR560">
        <f>IF(AP560&gt;=V560,1,0)</f>
        <v>0</v>
      </c>
      <c r="AS560">
        <f>IF(AP560&lt;(U560-0.10),1,0)</f>
        <v>0</v>
      </c>
      <c r="AT560">
        <f>1-AJ560/100</f>
        <v>0</v>
      </c>
      <c r="AU560">
        <f>IF(AN560=1,AT560,1)</f>
        <v>0</v>
      </c>
      <c r="AV560">
        <f>IF(AM560=1,AT560,1)</f>
        <v>0</v>
      </c>
      <c r="AW560">
        <f>IF(AND(AQ560=1,ISNUMBER(AT560)),$AT560,1)</f>
        <v>0</v>
      </c>
      <c r="AX560">
        <f>IF(AND(AR560=1,ISNUMBER(AT560)),$AT560,1)</f>
        <v>0</v>
      </c>
      <c r="AY560">
        <f>IF(ISNUMBER(Y560),INDEX(AllCollegeMoney, MATCH(N560,AllCollegeNCES,0)),0)</f>
        <v>0</v>
      </c>
      <c r="AZ560">
        <f>IF(AND(AQ560=1,ISNUMBER(AT560),AY560=1),$AT560,1)</f>
        <v>0</v>
      </c>
      <c r="BA560">
        <f>IF(AND(AR560=1,ISNUMBER(AT560),AY560=1),$AT560,1)</f>
        <v>0</v>
      </c>
      <c r="BB560">
        <f>IF(ISNUMBER(Y560),INDEX(AllCollegeILPub, MATCH(N560,AllCollegeNCES,0)),0)</f>
        <v>0</v>
      </c>
      <c r="BC560">
        <f>IF(AK560=ReachLabel,AP560,0)</f>
        <v>0</v>
      </c>
      <c r="BD560">
        <f>IF(AK560=MatchLabel,AP560,0)</f>
        <v>0</v>
      </c>
      <c r="BE560">
        <f>IF(AK560=SafetyLabel,AP560,0)</f>
        <v>0</v>
      </c>
      <c r="BF560">
        <f>IF(AK560=SecureLabel,AP560,0)</f>
        <v>0</v>
      </c>
      <c r="BG560">
        <f>IF(AK560=SureThingLabel,AP560,0)</f>
        <v>0</v>
      </c>
      <c r="BH560">
        <f>MAX(BC560:BG560)</f>
        <v>0</v>
      </c>
      <c r="BI560">
        <f>MAX(BD560:BG560)</f>
        <v>0</v>
      </c>
      <c r="BJ560">
        <f>MAX(BE560:BG560)</f>
        <v>0</v>
      </c>
      <c r="BK560">
        <f>IF(AND(AK560=ReachLabel,AY560=1),AP560,0)</f>
        <v>0</v>
      </c>
      <c r="BL560">
        <f>IF(AND(AK560=MatchLabel,AY560=1),AP560,0)</f>
        <v>0</v>
      </c>
      <c r="BM560">
        <f>IF(AND(AK560=SafetyLabel,AY560=1),AP560,0)</f>
        <v>0</v>
      </c>
      <c r="BN560">
        <f>IF(AND(AK560=SecureLabel,AY560=1),AP560,0)</f>
        <v>0</v>
      </c>
      <c r="BO560">
        <f>IF(AND(AK560=SureThingLabel,AY560=1),AP560,0)</f>
        <v>0</v>
      </c>
      <c r="BP560">
        <f>MAX(BK560:BO560)</f>
        <v>0</v>
      </c>
      <c r="BQ560">
        <f>MAX(BL560:BO560)</f>
        <v>0</v>
      </c>
      <c r="BR560">
        <f>MAX(BM560:BO560)</f>
        <v>0</v>
      </c>
      <c r="BS560">
        <f>IF(ISNUMBER(Y560),INDEX(AllCollegeChicago, MATCH(N560,AllCollegeNCES,0))*AY560,0)</f>
        <v>0</v>
      </c>
      <c r="BT560">
        <f>IF(ISNUMBER(Y560),INDEX(AllCollegeMoneyCode, MATCH(N560,AllCollegeNCES,0)),"?")</f>
        <v>0</v>
      </c>
      <c r="BU560">
        <f>IF(OR(BT560="---",BT560="--",BT560="+/--",BT560="+/---"),1,0)</f>
        <v>0</v>
      </c>
      <c r="BV560">
        <f>AY560*AO560*AQ560</f>
        <v>0</v>
      </c>
    </row>
    <row r="561" spans="1:74">
      <c r="A561" t="s">
        <v>86</v>
      </c>
      <c r="B561">
        <v>23478500</v>
      </c>
      <c r="C561" t="s">
        <v>113</v>
      </c>
      <c r="D561" t="s">
        <v>114</v>
      </c>
      <c r="E561" t="s">
        <v>428</v>
      </c>
      <c r="F561" t="s">
        <v>453</v>
      </c>
      <c r="G561" t="s">
        <v>430</v>
      </c>
      <c r="H561" t="s">
        <v>431</v>
      </c>
      <c r="I561" t="s">
        <v>432</v>
      </c>
      <c r="J561" t="s">
        <v>432</v>
      </c>
      <c r="K561">
        <v>0</v>
      </c>
      <c r="L561" t="s">
        <v>428</v>
      </c>
      <c r="M561" t="s">
        <v>428</v>
      </c>
      <c r="N561">
        <v>212674</v>
      </c>
      <c r="O561">
        <f>INDEX(AllCollegeBarrons,MATCH(N561,AllCollegeNCES,0))</f>
        <v>0</v>
      </c>
      <c r="P561">
        <f>INDEX(KidGPAs,MATCH(B561,KidIDs,0))</f>
        <v>0</v>
      </c>
      <c r="Q561">
        <f>INDEX(KidACTs,MATCH(B561,KidIDs,0))</f>
        <v>0</v>
      </c>
      <c r="R561">
        <f>INDEX(Strats,MATCH(B561,KidIDs,0))</f>
        <v>0</v>
      </c>
      <c r="S561">
        <f>INDEX(KidRace,MATCH(B561,KidIDs,0))</f>
        <v>0</v>
      </c>
      <c r="T561">
        <f>IF(OR(S561="M",S561="I"),"H",S561)</f>
        <v>0</v>
      </c>
      <c r="U561">
        <f>INDEX(StudentTargets,MATCH(B561,KidIDs,0))</f>
        <v>0</v>
      </c>
      <c r="V561">
        <f>INDEX(ReachStudentTargets,MATCH(B561,KidIDs,0))</f>
        <v>0</v>
      </c>
      <c r="W561">
        <f>IF(OR(M561="Posse"),1,0)</f>
        <v>0</v>
      </c>
      <c r="X561">
        <f>IF(ISNUMBER(INDEX(AllCollegeGR, MATCH(N561,AllCollegeNCES,0))),ROUND(INDEX(AllCollegeGR, MATCH(N561,AllCollegeNCES,0))+W561*IF(INDEX(AllCollegeGR, MATCH(N561,AllCollegeNCES,0))&gt;0.7,(1-INDEX(AllCollegeGR, MATCH(N561,AllCollegeNCES,0)))/2,0.15),2),INDEX(AllCollegeGR, MATCH(N561,AllCollegeNCES,0)))</f>
        <v>0</v>
      </c>
      <c r="Y561">
        <f>IF(ISNUMBER(INDEX(AllCollegeAAHGR, MATCH(N561,AllCollegeNCES,0))),ROUND(INDEX(AllCollegeAAHGR, MATCH(N561,AllCollegeNCES,0))+W561*IF(INDEX(AllCollegeAAHGR, MATCH(N561,AllCollegeNCES,0))&gt;0.7,(1-INDEX(AllCollegeAAHGR, MATCH(N561,AllCollegeNCES,0)))/2,0.15),2),INDEX(AllCollegeAAHGR, MATCH(N561,AllCollegeNCES,0)))</f>
        <v>0</v>
      </c>
      <c r="Z561">
        <f>IF(OR(T561="H",T561="B"),INDEX(AllCollegeACT25, MATCH(N561,AllCollegeNCES,0)),INDEX(AllCollegeACT50, MATCH(N561,AllCollegeNCES,0)))</f>
        <v>0</v>
      </c>
      <c r="AA561">
        <f>INDEX(CustomWeightsGPA,MATCH(T561&amp;":"&amp;N561,CustomWeightsIndex,0))</f>
        <v>0</v>
      </c>
      <c r="AB561">
        <f>INDEX(CustomWeightsACT,MATCH(T561&amp;":"&amp;N561,CustomWeightsIndex,0))</f>
        <v>0</v>
      </c>
      <c r="AC561">
        <f>INDEX(CustomWeightsIntercept,MATCH(T561&amp;":"&amp;N561,CustomWeightsIndex,0))</f>
        <v>0</v>
      </c>
      <c r="AD561">
        <f>AA561*P561+AB561*Q561+AC561</f>
        <v>0</v>
      </c>
      <c r="AE561">
        <f>INDEX(CoefficientsGPA,MATCH(T561&amp;":"&amp;O561,CoefficientsIndex,0))</f>
        <v>0</v>
      </c>
      <c r="AF561">
        <f>INDEX(CoefficientsACT,MATCH(T561&amp;":"&amp;O561,CoefficientsIndex,0))</f>
        <v>0</v>
      </c>
      <c r="AG561">
        <f>INDEX(CoefficientsIntercept,MATCH(T561&amp;":"&amp;O561,CoefficientsIndex,0))</f>
        <v>0</v>
      </c>
      <c r="AH561">
        <f>AE561*P561+(Q561-Z561)*AF561+AG561</f>
        <v>0</v>
      </c>
      <c r="AI561">
        <f>IF(ISNUMBER(AD561),AD561,AH561)</f>
        <v>0</v>
      </c>
      <c r="AJ561">
        <f>IF(ISNUMBER(AI561),IF(ISNUMBER(AE561),IF(AND(AE561=1,AF561=1,AG561=1),100,ROUND(100*EXP(AI561)/(1+EXP(AI561)),2)),ROUND(100*EXP(AI561)/(1+EXP(AI561)),2)),IF(ISTEXT(O561),IF(LEFT(O561,1)="2",100,"N/A"),"N/A"))</f>
        <v>0</v>
      </c>
      <c r="AK561">
        <f>IF(ISNUMBER(AJ561),IF(AJ561&gt;=99,IF(OR(R561=10,R561=11),MatchLabel,SureThingLabel),IF(AJ561&gt;=95,SecureLabel,IF(AJ561&gt;=80,SafetyLabel,IF(AJ561&gt;=50,MatchLabel,IF(AJ561&gt;=20,ReachLabel,IF(AJ561&gt;=10,LongshotLabel,HailMaryLabel)))))),"Other")</f>
        <v>0</v>
      </c>
      <c r="AL561">
        <f>IF(OR(I561="accepted",I561="cond. accept",I561="summer admit"),IF(J561="yes","CHOICE!","Accepted!"),IF(I561="denied","Denied",IF(K561=1,"Waitlist",IF(L561=1,"Deferred",IF(G561="pending","Pending",IF(OR(G561="initial materials submitted",G561="mid-year submitted",G561="final submitted"),"Submitted",IF(H561="interest","Interest","?")))))))</f>
        <v>0</v>
      </c>
      <c r="AM561">
        <f>IF(OR(AK561=ReachLabel,AK561=LongshotLabel,AK561=HailMaryLabel),1,0)</f>
        <v>0</v>
      </c>
      <c r="AN561">
        <f>IF(OR(AM561=1,AK561=MatchLabel),1,0)</f>
        <v>0</v>
      </c>
      <c r="AO561">
        <f>IF(OR(AK561=MatchLabel,AK561=SafetyLabel,AK561=SecureLabel,AK561=SureThingLabel),1,0)</f>
        <v>0</v>
      </c>
      <c r="AP561">
        <f>IF(OR(T561="H",T561="B"),IF(ISNUMBER(Y561),ROUND(Y561,2),0),IF(ISNUMBER(X561),ROUND(X561,2),0))</f>
        <v>0</v>
      </c>
      <c r="AQ561">
        <f>IF(AP561&gt;=U561,1,0)</f>
        <v>0</v>
      </c>
      <c r="AR561">
        <f>IF(AP561&gt;=V561,1,0)</f>
        <v>0</v>
      </c>
      <c r="AS561">
        <f>IF(AP561&lt;(U561-0.10),1,0)</f>
        <v>0</v>
      </c>
      <c r="AT561">
        <f>1-AJ561/100</f>
        <v>0</v>
      </c>
      <c r="AU561">
        <f>IF(AN561=1,AT561,1)</f>
        <v>0</v>
      </c>
      <c r="AV561">
        <f>IF(AM561=1,AT561,1)</f>
        <v>0</v>
      </c>
      <c r="AW561">
        <f>IF(AND(AQ561=1,ISNUMBER(AT561)),$AT561,1)</f>
        <v>0</v>
      </c>
      <c r="AX561">
        <f>IF(AND(AR561=1,ISNUMBER(AT561)),$AT561,1)</f>
        <v>0</v>
      </c>
      <c r="AY561">
        <f>IF(ISNUMBER(Y561),INDEX(AllCollegeMoney, MATCH(N561,AllCollegeNCES,0)),0)</f>
        <v>0</v>
      </c>
      <c r="AZ561">
        <f>IF(AND(AQ561=1,ISNUMBER(AT561),AY561=1),$AT561,1)</f>
        <v>0</v>
      </c>
      <c r="BA561">
        <f>IF(AND(AR561=1,ISNUMBER(AT561),AY561=1),$AT561,1)</f>
        <v>0</v>
      </c>
      <c r="BB561">
        <f>IF(ISNUMBER(Y561),INDEX(AllCollegeILPub, MATCH(N561,AllCollegeNCES,0)),0)</f>
        <v>0</v>
      </c>
      <c r="BC561">
        <f>IF(AK561=ReachLabel,AP561,0)</f>
        <v>0</v>
      </c>
      <c r="BD561">
        <f>IF(AK561=MatchLabel,AP561,0)</f>
        <v>0</v>
      </c>
      <c r="BE561">
        <f>IF(AK561=SafetyLabel,AP561,0)</f>
        <v>0</v>
      </c>
      <c r="BF561">
        <f>IF(AK561=SecureLabel,AP561,0)</f>
        <v>0</v>
      </c>
      <c r="BG561">
        <f>IF(AK561=SureThingLabel,AP561,0)</f>
        <v>0</v>
      </c>
      <c r="BH561">
        <f>MAX(BC561:BG561)</f>
        <v>0</v>
      </c>
      <c r="BI561">
        <f>MAX(BD561:BG561)</f>
        <v>0</v>
      </c>
      <c r="BJ561">
        <f>MAX(BE561:BG561)</f>
        <v>0</v>
      </c>
      <c r="BK561">
        <f>IF(AND(AK561=ReachLabel,AY561=1),AP561,0)</f>
        <v>0</v>
      </c>
      <c r="BL561">
        <f>IF(AND(AK561=MatchLabel,AY561=1),AP561,0)</f>
        <v>0</v>
      </c>
      <c r="BM561">
        <f>IF(AND(AK561=SafetyLabel,AY561=1),AP561,0)</f>
        <v>0</v>
      </c>
      <c r="BN561">
        <f>IF(AND(AK561=SecureLabel,AY561=1),AP561,0)</f>
        <v>0</v>
      </c>
      <c r="BO561">
        <f>IF(AND(AK561=SureThingLabel,AY561=1),AP561,0)</f>
        <v>0</v>
      </c>
      <c r="BP561">
        <f>MAX(BK561:BO561)</f>
        <v>0</v>
      </c>
      <c r="BQ561">
        <f>MAX(BL561:BO561)</f>
        <v>0</v>
      </c>
      <c r="BR561">
        <f>MAX(BM561:BO561)</f>
        <v>0</v>
      </c>
      <c r="BS561">
        <f>IF(ISNUMBER(Y561),INDEX(AllCollegeChicago, MATCH(N561,AllCollegeNCES,0))*AY561,0)</f>
        <v>0</v>
      </c>
      <c r="BT561">
        <f>IF(ISNUMBER(Y561),INDEX(AllCollegeMoneyCode, MATCH(N561,AllCollegeNCES,0)),"?")</f>
        <v>0</v>
      </c>
      <c r="BU561">
        <f>IF(OR(BT561="---",BT561="--",BT561="+/--",BT561="+/---"),1,0)</f>
        <v>0</v>
      </c>
      <c r="BV561">
        <f>AY561*AO561*AQ561</f>
        <v>0</v>
      </c>
    </row>
    <row r="562" spans="1:74">
      <c r="A562" t="s">
        <v>86</v>
      </c>
      <c r="B562">
        <v>23478500</v>
      </c>
      <c r="C562" t="s">
        <v>113</v>
      </c>
      <c r="D562" t="s">
        <v>114</v>
      </c>
      <c r="E562" t="s">
        <v>428</v>
      </c>
      <c r="F562" t="s">
        <v>468</v>
      </c>
      <c r="G562" t="s">
        <v>430</v>
      </c>
      <c r="H562" t="s">
        <v>431</v>
      </c>
      <c r="I562" t="s">
        <v>432</v>
      </c>
      <c r="J562" t="s">
        <v>432</v>
      </c>
      <c r="K562">
        <v>0</v>
      </c>
      <c r="L562" t="s">
        <v>428</v>
      </c>
      <c r="M562" t="s">
        <v>428</v>
      </c>
      <c r="N562">
        <v>212009</v>
      </c>
      <c r="O562">
        <f>INDEX(AllCollegeBarrons,MATCH(N562,AllCollegeNCES,0))</f>
        <v>0</v>
      </c>
      <c r="P562">
        <f>INDEX(KidGPAs,MATCH(B562,KidIDs,0))</f>
        <v>0</v>
      </c>
      <c r="Q562">
        <f>INDEX(KidACTs,MATCH(B562,KidIDs,0))</f>
        <v>0</v>
      </c>
      <c r="R562">
        <f>INDEX(Strats,MATCH(B562,KidIDs,0))</f>
        <v>0</v>
      </c>
      <c r="S562">
        <f>INDEX(KidRace,MATCH(B562,KidIDs,0))</f>
        <v>0</v>
      </c>
      <c r="T562">
        <f>IF(OR(S562="M",S562="I"),"H",S562)</f>
        <v>0</v>
      </c>
      <c r="U562">
        <f>INDEX(StudentTargets,MATCH(B562,KidIDs,0))</f>
        <v>0</v>
      </c>
      <c r="V562">
        <f>INDEX(ReachStudentTargets,MATCH(B562,KidIDs,0))</f>
        <v>0</v>
      </c>
      <c r="W562">
        <f>IF(OR(M562="Posse"),1,0)</f>
        <v>0</v>
      </c>
      <c r="X562">
        <f>IF(ISNUMBER(INDEX(AllCollegeGR, MATCH(N562,AllCollegeNCES,0))),ROUND(INDEX(AllCollegeGR, MATCH(N562,AllCollegeNCES,0))+W562*IF(INDEX(AllCollegeGR, MATCH(N562,AllCollegeNCES,0))&gt;0.7,(1-INDEX(AllCollegeGR, MATCH(N562,AllCollegeNCES,0)))/2,0.15),2),INDEX(AllCollegeGR, MATCH(N562,AllCollegeNCES,0)))</f>
        <v>0</v>
      </c>
      <c r="Y562">
        <f>IF(ISNUMBER(INDEX(AllCollegeAAHGR, MATCH(N562,AllCollegeNCES,0))),ROUND(INDEX(AllCollegeAAHGR, MATCH(N562,AllCollegeNCES,0))+W562*IF(INDEX(AllCollegeAAHGR, MATCH(N562,AllCollegeNCES,0))&gt;0.7,(1-INDEX(AllCollegeAAHGR, MATCH(N562,AllCollegeNCES,0)))/2,0.15),2),INDEX(AllCollegeAAHGR, MATCH(N562,AllCollegeNCES,0)))</f>
        <v>0</v>
      </c>
      <c r="Z562">
        <f>IF(OR(T562="H",T562="B"),INDEX(AllCollegeACT25, MATCH(N562,AllCollegeNCES,0)),INDEX(AllCollegeACT50, MATCH(N562,AllCollegeNCES,0)))</f>
        <v>0</v>
      </c>
      <c r="AA562">
        <f>INDEX(CustomWeightsGPA,MATCH(T562&amp;":"&amp;N562,CustomWeightsIndex,0))</f>
        <v>0</v>
      </c>
      <c r="AB562">
        <f>INDEX(CustomWeightsACT,MATCH(T562&amp;":"&amp;N562,CustomWeightsIndex,0))</f>
        <v>0</v>
      </c>
      <c r="AC562">
        <f>INDEX(CustomWeightsIntercept,MATCH(T562&amp;":"&amp;N562,CustomWeightsIndex,0))</f>
        <v>0</v>
      </c>
      <c r="AD562">
        <f>AA562*P562+AB562*Q562+AC562</f>
        <v>0</v>
      </c>
      <c r="AE562">
        <f>INDEX(CoefficientsGPA,MATCH(T562&amp;":"&amp;O562,CoefficientsIndex,0))</f>
        <v>0</v>
      </c>
      <c r="AF562">
        <f>INDEX(CoefficientsACT,MATCH(T562&amp;":"&amp;O562,CoefficientsIndex,0))</f>
        <v>0</v>
      </c>
      <c r="AG562">
        <f>INDEX(CoefficientsIntercept,MATCH(T562&amp;":"&amp;O562,CoefficientsIndex,0))</f>
        <v>0</v>
      </c>
      <c r="AH562">
        <f>AE562*P562+(Q562-Z562)*AF562+AG562</f>
        <v>0</v>
      </c>
      <c r="AI562">
        <f>IF(ISNUMBER(AD562),AD562,AH562)</f>
        <v>0</v>
      </c>
      <c r="AJ562">
        <f>IF(ISNUMBER(AI562),IF(ISNUMBER(AE562),IF(AND(AE562=1,AF562=1,AG562=1),100,ROUND(100*EXP(AI562)/(1+EXP(AI562)),2)),ROUND(100*EXP(AI562)/(1+EXP(AI562)),2)),IF(ISTEXT(O562),IF(LEFT(O562,1)="2",100,"N/A"),"N/A"))</f>
        <v>0</v>
      </c>
      <c r="AK562">
        <f>IF(ISNUMBER(AJ562),IF(AJ562&gt;=99,IF(OR(R562=10,R562=11),MatchLabel,SureThingLabel),IF(AJ562&gt;=95,SecureLabel,IF(AJ562&gt;=80,SafetyLabel,IF(AJ562&gt;=50,MatchLabel,IF(AJ562&gt;=20,ReachLabel,IF(AJ562&gt;=10,LongshotLabel,HailMaryLabel)))))),"Other")</f>
        <v>0</v>
      </c>
      <c r="AL562">
        <f>IF(OR(I562="accepted",I562="cond. accept",I562="summer admit"),IF(J562="yes","CHOICE!","Accepted!"),IF(I562="denied","Denied",IF(K562=1,"Waitlist",IF(L562=1,"Deferred",IF(G562="pending","Pending",IF(OR(G562="initial materials submitted",G562="mid-year submitted",G562="final submitted"),"Submitted",IF(H562="interest","Interest","?")))))))</f>
        <v>0</v>
      </c>
      <c r="AM562">
        <f>IF(OR(AK562=ReachLabel,AK562=LongshotLabel,AK562=HailMaryLabel),1,0)</f>
        <v>0</v>
      </c>
      <c r="AN562">
        <f>IF(OR(AM562=1,AK562=MatchLabel),1,0)</f>
        <v>0</v>
      </c>
      <c r="AO562">
        <f>IF(OR(AK562=MatchLabel,AK562=SafetyLabel,AK562=SecureLabel,AK562=SureThingLabel),1,0)</f>
        <v>0</v>
      </c>
      <c r="AP562">
        <f>IF(OR(T562="H",T562="B"),IF(ISNUMBER(Y562),ROUND(Y562,2),0),IF(ISNUMBER(X562),ROUND(X562,2),0))</f>
        <v>0</v>
      </c>
      <c r="AQ562">
        <f>IF(AP562&gt;=U562,1,0)</f>
        <v>0</v>
      </c>
      <c r="AR562">
        <f>IF(AP562&gt;=V562,1,0)</f>
        <v>0</v>
      </c>
      <c r="AS562">
        <f>IF(AP562&lt;(U562-0.10),1,0)</f>
        <v>0</v>
      </c>
      <c r="AT562">
        <f>1-AJ562/100</f>
        <v>0</v>
      </c>
      <c r="AU562">
        <f>IF(AN562=1,AT562,1)</f>
        <v>0</v>
      </c>
      <c r="AV562">
        <f>IF(AM562=1,AT562,1)</f>
        <v>0</v>
      </c>
      <c r="AW562">
        <f>IF(AND(AQ562=1,ISNUMBER(AT562)),$AT562,1)</f>
        <v>0</v>
      </c>
      <c r="AX562">
        <f>IF(AND(AR562=1,ISNUMBER(AT562)),$AT562,1)</f>
        <v>0</v>
      </c>
      <c r="AY562">
        <f>IF(ISNUMBER(Y562),INDEX(AllCollegeMoney, MATCH(N562,AllCollegeNCES,0)),0)</f>
        <v>0</v>
      </c>
      <c r="AZ562">
        <f>IF(AND(AQ562=1,ISNUMBER(AT562),AY562=1),$AT562,1)</f>
        <v>0</v>
      </c>
      <c r="BA562">
        <f>IF(AND(AR562=1,ISNUMBER(AT562),AY562=1),$AT562,1)</f>
        <v>0</v>
      </c>
      <c r="BB562">
        <f>IF(ISNUMBER(Y562),INDEX(AllCollegeILPub, MATCH(N562,AllCollegeNCES,0)),0)</f>
        <v>0</v>
      </c>
      <c r="BC562">
        <f>IF(AK562=ReachLabel,AP562,0)</f>
        <v>0</v>
      </c>
      <c r="BD562">
        <f>IF(AK562=MatchLabel,AP562,0)</f>
        <v>0</v>
      </c>
      <c r="BE562">
        <f>IF(AK562=SafetyLabel,AP562,0)</f>
        <v>0</v>
      </c>
      <c r="BF562">
        <f>IF(AK562=SecureLabel,AP562,0)</f>
        <v>0</v>
      </c>
      <c r="BG562">
        <f>IF(AK562=SureThingLabel,AP562,0)</f>
        <v>0</v>
      </c>
      <c r="BH562">
        <f>MAX(BC562:BG562)</f>
        <v>0</v>
      </c>
      <c r="BI562">
        <f>MAX(BD562:BG562)</f>
        <v>0</v>
      </c>
      <c r="BJ562">
        <f>MAX(BE562:BG562)</f>
        <v>0</v>
      </c>
      <c r="BK562">
        <f>IF(AND(AK562=ReachLabel,AY562=1),AP562,0)</f>
        <v>0</v>
      </c>
      <c r="BL562">
        <f>IF(AND(AK562=MatchLabel,AY562=1),AP562,0)</f>
        <v>0</v>
      </c>
      <c r="BM562">
        <f>IF(AND(AK562=SafetyLabel,AY562=1),AP562,0)</f>
        <v>0</v>
      </c>
      <c r="BN562">
        <f>IF(AND(AK562=SecureLabel,AY562=1),AP562,0)</f>
        <v>0</v>
      </c>
      <c r="BO562">
        <f>IF(AND(AK562=SureThingLabel,AY562=1),AP562,0)</f>
        <v>0</v>
      </c>
      <c r="BP562">
        <f>MAX(BK562:BO562)</f>
        <v>0</v>
      </c>
      <c r="BQ562">
        <f>MAX(BL562:BO562)</f>
        <v>0</v>
      </c>
      <c r="BR562">
        <f>MAX(BM562:BO562)</f>
        <v>0</v>
      </c>
      <c r="BS562">
        <f>IF(ISNUMBER(Y562),INDEX(AllCollegeChicago, MATCH(N562,AllCollegeNCES,0))*AY562,0)</f>
        <v>0</v>
      </c>
      <c r="BT562">
        <f>IF(ISNUMBER(Y562),INDEX(AllCollegeMoneyCode, MATCH(N562,AllCollegeNCES,0)),"?")</f>
        <v>0</v>
      </c>
      <c r="BU562">
        <f>IF(OR(BT562="---",BT562="--",BT562="+/--",BT562="+/---"),1,0)</f>
        <v>0</v>
      </c>
      <c r="BV562">
        <f>AY562*AO562*AQ562</f>
        <v>0</v>
      </c>
    </row>
    <row r="563" spans="1:74">
      <c r="A563" t="s">
        <v>86</v>
      </c>
      <c r="B563">
        <v>23478500</v>
      </c>
      <c r="C563" t="s">
        <v>113</v>
      </c>
      <c r="D563" t="s">
        <v>114</v>
      </c>
      <c r="E563" t="s">
        <v>428</v>
      </c>
      <c r="F563" t="s">
        <v>496</v>
      </c>
      <c r="G563" t="s">
        <v>430</v>
      </c>
      <c r="H563" t="s">
        <v>431</v>
      </c>
      <c r="I563" t="s">
        <v>432</v>
      </c>
      <c r="J563" t="s">
        <v>432</v>
      </c>
      <c r="K563">
        <v>0</v>
      </c>
      <c r="L563" t="s">
        <v>428</v>
      </c>
      <c r="M563" t="s">
        <v>428</v>
      </c>
      <c r="N563">
        <v>150400</v>
      </c>
      <c r="O563">
        <f>INDEX(AllCollegeBarrons,MATCH(N563,AllCollegeNCES,0))</f>
        <v>0</v>
      </c>
      <c r="P563">
        <f>INDEX(KidGPAs,MATCH(B563,KidIDs,0))</f>
        <v>0</v>
      </c>
      <c r="Q563">
        <f>INDEX(KidACTs,MATCH(B563,KidIDs,0))</f>
        <v>0</v>
      </c>
      <c r="R563">
        <f>INDEX(Strats,MATCH(B563,KidIDs,0))</f>
        <v>0</v>
      </c>
      <c r="S563">
        <f>INDEX(KidRace,MATCH(B563,KidIDs,0))</f>
        <v>0</v>
      </c>
      <c r="T563">
        <f>IF(OR(S563="M",S563="I"),"H",S563)</f>
        <v>0</v>
      </c>
      <c r="U563">
        <f>INDEX(StudentTargets,MATCH(B563,KidIDs,0))</f>
        <v>0</v>
      </c>
      <c r="V563">
        <f>INDEX(ReachStudentTargets,MATCH(B563,KidIDs,0))</f>
        <v>0</v>
      </c>
      <c r="W563">
        <f>IF(OR(M563="Posse"),1,0)</f>
        <v>0</v>
      </c>
      <c r="X563">
        <f>IF(ISNUMBER(INDEX(AllCollegeGR, MATCH(N563,AllCollegeNCES,0))),ROUND(INDEX(AllCollegeGR, MATCH(N563,AllCollegeNCES,0))+W563*IF(INDEX(AllCollegeGR, MATCH(N563,AllCollegeNCES,0))&gt;0.7,(1-INDEX(AllCollegeGR, MATCH(N563,AllCollegeNCES,0)))/2,0.15),2),INDEX(AllCollegeGR, MATCH(N563,AllCollegeNCES,0)))</f>
        <v>0</v>
      </c>
      <c r="Y563">
        <f>IF(ISNUMBER(INDEX(AllCollegeAAHGR, MATCH(N563,AllCollegeNCES,0))),ROUND(INDEX(AllCollegeAAHGR, MATCH(N563,AllCollegeNCES,0))+W563*IF(INDEX(AllCollegeAAHGR, MATCH(N563,AllCollegeNCES,0))&gt;0.7,(1-INDEX(AllCollegeAAHGR, MATCH(N563,AllCollegeNCES,0)))/2,0.15),2),INDEX(AllCollegeAAHGR, MATCH(N563,AllCollegeNCES,0)))</f>
        <v>0</v>
      </c>
      <c r="Z563">
        <f>IF(OR(T563="H",T563="B"),INDEX(AllCollegeACT25, MATCH(N563,AllCollegeNCES,0)),INDEX(AllCollegeACT50, MATCH(N563,AllCollegeNCES,0)))</f>
        <v>0</v>
      </c>
      <c r="AA563">
        <f>INDEX(CustomWeightsGPA,MATCH(T563&amp;":"&amp;N563,CustomWeightsIndex,0))</f>
        <v>0</v>
      </c>
      <c r="AB563">
        <f>INDEX(CustomWeightsACT,MATCH(T563&amp;":"&amp;N563,CustomWeightsIndex,0))</f>
        <v>0</v>
      </c>
      <c r="AC563">
        <f>INDEX(CustomWeightsIntercept,MATCH(T563&amp;":"&amp;N563,CustomWeightsIndex,0))</f>
        <v>0</v>
      </c>
      <c r="AD563">
        <f>AA563*P563+AB563*Q563+AC563</f>
        <v>0</v>
      </c>
      <c r="AE563">
        <f>INDEX(CoefficientsGPA,MATCH(T563&amp;":"&amp;O563,CoefficientsIndex,0))</f>
        <v>0</v>
      </c>
      <c r="AF563">
        <f>INDEX(CoefficientsACT,MATCH(T563&amp;":"&amp;O563,CoefficientsIndex,0))</f>
        <v>0</v>
      </c>
      <c r="AG563">
        <f>INDEX(CoefficientsIntercept,MATCH(T563&amp;":"&amp;O563,CoefficientsIndex,0))</f>
        <v>0</v>
      </c>
      <c r="AH563">
        <f>AE563*P563+(Q563-Z563)*AF563+AG563</f>
        <v>0</v>
      </c>
      <c r="AI563">
        <f>IF(ISNUMBER(AD563),AD563,AH563)</f>
        <v>0</v>
      </c>
      <c r="AJ563">
        <f>IF(ISNUMBER(AI563),IF(ISNUMBER(AE563),IF(AND(AE563=1,AF563=1,AG563=1),100,ROUND(100*EXP(AI563)/(1+EXP(AI563)),2)),ROUND(100*EXP(AI563)/(1+EXP(AI563)),2)),IF(ISTEXT(O563),IF(LEFT(O563,1)="2",100,"N/A"),"N/A"))</f>
        <v>0</v>
      </c>
      <c r="AK563">
        <f>IF(ISNUMBER(AJ563),IF(AJ563&gt;=99,IF(OR(R563=10,R563=11),MatchLabel,SureThingLabel),IF(AJ563&gt;=95,SecureLabel,IF(AJ563&gt;=80,SafetyLabel,IF(AJ563&gt;=50,MatchLabel,IF(AJ563&gt;=20,ReachLabel,IF(AJ563&gt;=10,LongshotLabel,HailMaryLabel)))))),"Other")</f>
        <v>0</v>
      </c>
      <c r="AL563">
        <f>IF(OR(I563="accepted",I563="cond. accept",I563="summer admit"),IF(J563="yes","CHOICE!","Accepted!"),IF(I563="denied","Denied",IF(K563=1,"Waitlist",IF(L563=1,"Deferred",IF(G563="pending","Pending",IF(OR(G563="initial materials submitted",G563="mid-year submitted",G563="final submitted"),"Submitted",IF(H563="interest","Interest","?")))))))</f>
        <v>0</v>
      </c>
      <c r="AM563">
        <f>IF(OR(AK563=ReachLabel,AK563=LongshotLabel,AK563=HailMaryLabel),1,0)</f>
        <v>0</v>
      </c>
      <c r="AN563">
        <f>IF(OR(AM563=1,AK563=MatchLabel),1,0)</f>
        <v>0</v>
      </c>
      <c r="AO563">
        <f>IF(OR(AK563=MatchLabel,AK563=SafetyLabel,AK563=SecureLabel,AK563=SureThingLabel),1,0)</f>
        <v>0</v>
      </c>
      <c r="AP563">
        <f>IF(OR(T563="H",T563="B"),IF(ISNUMBER(Y563),ROUND(Y563,2),0),IF(ISNUMBER(X563),ROUND(X563,2),0))</f>
        <v>0</v>
      </c>
      <c r="AQ563">
        <f>IF(AP563&gt;=U563,1,0)</f>
        <v>0</v>
      </c>
      <c r="AR563">
        <f>IF(AP563&gt;=V563,1,0)</f>
        <v>0</v>
      </c>
      <c r="AS563">
        <f>IF(AP563&lt;(U563-0.10),1,0)</f>
        <v>0</v>
      </c>
      <c r="AT563">
        <f>1-AJ563/100</f>
        <v>0</v>
      </c>
      <c r="AU563">
        <f>IF(AN563=1,AT563,1)</f>
        <v>0</v>
      </c>
      <c r="AV563">
        <f>IF(AM563=1,AT563,1)</f>
        <v>0</v>
      </c>
      <c r="AW563">
        <f>IF(AND(AQ563=1,ISNUMBER(AT563)),$AT563,1)</f>
        <v>0</v>
      </c>
      <c r="AX563">
        <f>IF(AND(AR563=1,ISNUMBER(AT563)),$AT563,1)</f>
        <v>0</v>
      </c>
      <c r="AY563">
        <f>IF(ISNUMBER(Y563),INDEX(AllCollegeMoney, MATCH(N563,AllCollegeNCES,0)),0)</f>
        <v>0</v>
      </c>
      <c r="AZ563">
        <f>IF(AND(AQ563=1,ISNUMBER(AT563),AY563=1),$AT563,1)</f>
        <v>0</v>
      </c>
      <c r="BA563">
        <f>IF(AND(AR563=1,ISNUMBER(AT563),AY563=1),$AT563,1)</f>
        <v>0</v>
      </c>
      <c r="BB563">
        <f>IF(ISNUMBER(Y563),INDEX(AllCollegeILPub, MATCH(N563,AllCollegeNCES,0)),0)</f>
        <v>0</v>
      </c>
      <c r="BC563">
        <f>IF(AK563=ReachLabel,AP563,0)</f>
        <v>0</v>
      </c>
      <c r="BD563">
        <f>IF(AK563=MatchLabel,AP563,0)</f>
        <v>0</v>
      </c>
      <c r="BE563">
        <f>IF(AK563=SafetyLabel,AP563,0)</f>
        <v>0</v>
      </c>
      <c r="BF563">
        <f>IF(AK563=SecureLabel,AP563,0)</f>
        <v>0</v>
      </c>
      <c r="BG563">
        <f>IF(AK563=SureThingLabel,AP563,0)</f>
        <v>0</v>
      </c>
      <c r="BH563">
        <f>MAX(BC563:BG563)</f>
        <v>0</v>
      </c>
      <c r="BI563">
        <f>MAX(BD563:BG563)</f>
        <v>0</v>
      </c>
      <c r="BJ563">
        <f>MAX(BE563:BG563)</f>
        <v>0</v>
      </c>
      <c r="BK563">
        <f>IF(AND(AK563=ReachLabel,AY563=1),AP563,0)</f>
        <v>0</v>
      </c>
      <c r="BL563">
        <f>IF(AND(AK563=MatchLabel,AY563=1),AP563,0)</f>
        <v>0</v>
      </c>
      <c r="BM563">
        <f>IF(AND(AK563=SafetyLabel,AY563=1),AP563,0)</f>
        <v>0</v>
      </c>
      <c r="BN563">
        <f>IF(AND(AK563=SecureLabel,AY563=1),AP563,0)</f>
        <v>0</v>
      </c>
      <c r="BO563">
        <f>IF(AND(AK563=SureThingLabel,AY563=1),AP563,0)</f>
        <v>0</v>
      </c>
      <c r="BP563">
        <f>MAX(BK563:BO563)</f>
        <v>0</v>
      </c>
      <c r="BQ563">
        <f>MAX(BL563:BO563)</f>
        <v>0</v>
      </c>
      <c r="BR563">
        <f>MAX(BM563:BO563)</f>
        <v>0</v>
      </c>
      <c r="BS563">
        <f>IF(ISNUMBER(Y563),INDEX(AllCollegeChicago, MATCH(N563,AllCollegeNCES,0))*AY563,0)</f>
        <v>0</v>
      </c>
      <c r="BT563">
        <f>IF(ISNUMBER(Y563),INDEX(AllCollegeMoneyCode, MATCH(N563,AllCollegeNCES,0)),"?")</f>
        <v>0</v>
      </c>
      <c r="BU563">
        <f>IF(OR(BT563="---",BT563="--",BT563="+/--",BT563="+/---"),1,0)</f>
        <v>0</v>
      </c>
      <c r="BV563">
        <f>AY563*AO563*AQ563</f>
        <v>0</v>
      </c>
    </row>
    <row r="564" spans="1:74">
      <c r="A564" t="s">
        <v>86</v>
      </c>
      <c r="B564">
        <v>23478500</v>
      </c>
      <c r="C564" t="s">
        <v>113</v>
      </c>
      <c r="D564" t="s">
        <v>114</v>
      </c>
      <c r="E564" t="s">
        <v>428</v>
      </c>
      <c r="F564" t="s">
        <v>455</v>
      </c>
      <c r="G564" t="s">
        <v>430</v>
      </c>
      <c r="H564" t="s">
        <v>431</v>
      </c>
      <c r="I564" t="s">
        <v>432</v>
      </c>
      <c r="J564" t="s">
        <v>432</v>
      </c>
      <c r="K564">
        <v>0</v>
      </c>
      <c r="L564" t="s">
        <v>428</v>
      </c>
      <c r="M564" t="s">
        <v>428</v>
      </c>
      <c r="N564">
        <v>240444</v>
      </c>
      <c r="O564">
        <f>INDEX(AllCollegeBarrons,MATCH(N564,AllCollegeNCES,0))</f>
        <v>0</v>
      </c>
      <c r="P564">
        <f>INDEX(KidGPAs,MATCH(B564,KidIDs,0))</f>
        <v>0</v>
      </c>
      <c r="Q564">
        <f>INDEX(KidACTs,MATCH(B564,KidIDs,0))</f>
        <v>0</v>
      </c>
      <c r="R564">
        <f>INDEX(Strats,MATCH(B564,KidIDs,0))</f>
        <v>0</v>
      </c>
      <c r="S564">
        <f>INDEX(KidRace,MATCH(B564,KidIDs,0))</f>
        <v>0</v>
      </c>
      <c r="T564">
        <f>IF(OR(S564="M",S564="I"),"H",S564)</f>
        <v>0</v>
      </c>
      <c r="U564">
        <f>INDEX(StudentTargets,MATCH(B564,KidIDs,0))</f>
        <v>0</v>
      </c>
      <c r="V564">
        <f>INDEX(ReachStudentTargets,MATCH(B564,KidIDs,0))</f>
        <v>0</v>
      </c>
      <c r="W564">
        <f>IF(OR(M564="Posse"),1,0)</f>
        <v>0</v>
      </c>
      <c r="X564">
        <f>IF(ISNUMBER(INDEX(AllCollegeGR, MATCH(N564,AllCollegeNCES,0))),ROUND(INDEX(AllCollegeGR, MATCH(N564,AllCollegeNCES,0))+W564*IF(INDEX(AllCollegeGR, MATCH(N564,AllCollegeNCES,0))&gt;0.7,(1-INDEX(AllCollegeGR, MATCH(N564,AllCollegeNCES,0)))/2,0.15),2),INDEX(AllCollegeGR, MATCH(N564,AllCollegeNCES,0)))</f>
        <v>0</v>
      </c>
      <c r="Y564">
        <f>IF(ISNUMBER(INDEX(AllCollegeAAHGR, MATCH(N564,AllCollegeNCES,0))),ROUND(INDEX(AllCollegeAAHGR, MATCH(N564,AllCollegeNCES,0))+W564*IF(INDEX(AllCollegeAAHGR, MATCH(N564,AllCollegeNCES,0))&gt;0.7,(1-INDEX(AllCollegeAAHGR, MATCH(N564,AllCollegeNCES,0)))/2,0.15),2),INDEX(AllCollegeAAHGR, MATCH(N564,AllCollegeNCES,0)))</f>
        <v>0</v>
      </c>
      <c r="Z564">
        <f>IF(OR(T564="H",T564="B"),INDEX(AllCollegeACT25, MATCH(N564,AllCollegeNCES,0)),INDEX(AllCollegeACT50, MATCH(N564,AllCollegeNCES,0)))</f>
        <v>0</v>
      </c>
      <c r="AA564">
        <f>INDEX(CustomWeightsGPA,MATCH(T564&amp;":"&amp;N564,CustomWeightsIndex,0))</f>
        <v>0</v>
      </c>
      <c r="AB564">
        <f>INDEX(CustomWeightsACT,MATCH(T564&amp;":"&amp;N564,CustomWeightsIndex,0))</f>
        <v>0</v>
      </c>
      <c r="AC564">
        <f>INDEX(CustomWeightsIntercept,MATCH(T564&amp;":"&amp;N564,CustomWeightsIndex,0))</f>
        <v>0</v>
      </c>
      <c r="AD564">
        <f>AA564*P564+AB564*Q564+AC564</f>
        <v>0</v>
      </c>
      <c r="AE564">
        <f>INDEX(CoefficientsGPA,MATCH(T564&amp;":"&amp;O564,CoefficientsIndex,0))</f>
        <v>0</v>
      </c>
      <c r="AF564">
        <f>INDEX(CoefficientsACT,MATCH(T564&amp;":"&amp;O564,CoefficientsIndex,0))</f>
        <v>0</v>
      </c>
      <c r="AG564">
        <f>INDEX(CoefficientsIntercept,MATCH(T564&amp;":"&amp;O564,CoefficientsIndex,0))</f>
        <v>0</v>
      </c>
      <c r="AH564">
        <f>AE564*P564+(Q564-Z564)*AF564+AG564</f>
        <v>0</v>
      </c>
      <c r="AI564">
        <f>IF(ISNUMBER(AD564),AD564,AH564)</f>
        <v>0</v>
      </c>
      <c r="AJ564">
        <f>IF(ISNUMBER(AI564),IF(ISNUMBER(AE564),IF(AND(AE564=1,AF564=1,AG564=1),100,ROUND(100*EXP(AI564)/(1+EXP(AI564)),2)),ROUND(100*EXP(AI564)/(1+EXP(AI564)),2)),IF(ISTEXT(O564),IF(LEFT(O564,1)="2",100,"N/A"),"N/A"))</f>
        <v>0</v>
      </c>
      <c r="AK564">
        <f>IF(ISNUMBER(AJ564),IF(AJ564&gt;=99,IF(OR(R564=10,R564=11),MatchLabel,SureThingLabel),IF(AJ564&gt;=95,SecureLabel,IF(AJ564&gt;=80,SafetyLabel,IF(AJ564&gt;=50,MatchLabel,IF(AJ564&gt;=20,ReachLabel,IF(AJ564&gt;=10,LongshotLabel,HailMaryLabel)))))),"Other")</f>
        <v>0</v>
      </c>
      <c r="AL564">
        <f>IF(OR(I564="accepted",I564="cond. accept",I564="summer admit"),IF(J564="yes","CHOICE!","Accepted!"),IF(I564="denied","Denied",IF(K564=1,"Waitlist",IF(L564=1,"Deferred",IF(G564="pending","Pending",IF(OR(G564="initial materials submitted",G564="mid-year submitted",G564="final submitted"),"Submitted",IF(H564="interest","Interest","?")))))))</f>
        <v>0</v>
      </c>
      <c r="AM564">
        <f>IF(OR(AK564=ReachLabel,AK564=LongshotLabel,AK564=HailMaryLabel),1,0)</f>
        <v>0</v>
      </c>
      <c r="AN564">
        <f>IF(OR(AM564=1,AK564=MatchLabel),1,0)</f>
        <v>0</v>
      </c>
      <c r="AO564">
        <f>IF(OR(AK564=MatchLabel,AK564=SafetyLabel,AK564=SecureLabel,AK564=SureThingLabel),1,0)</f>
        <v>0</v>
      </c>
      <c r="AP564">
        <f>IF(OR(T564="H",T564="B"),IF(ISNUMBER(Y564),ROUND(Y564,2),0),IF(ISNUMBER(X564),ROUND(X564,2),0))</f>
        <v>0</v>
      </c>
      <c r="AQ564">
        <f>IF(AP564&gt;=U564,1,0)</f>
        <v>0</v>
      </c>
      <c r="AR564">
        <f>IF(AP564&gt;=V564,1,0)</f>
        <v>0</v>
      </c>
      <c r="AS564">
        <f>IF(AP564&lt;(U564-0.10),1,0)</f>
        <v>0</v>
      </c>
      <c r="AT564">
        <f>1-AJ564/100</f>
        <v>0</v>
      </c>
      <c r="AU564">
        <f>IF(AN564=1,AT564,1)</f>
        <v>0</v>
      </c>
      <c r="AV564">
        <f>IF(AM564=1,AT564,1)</f>
        <v>0</v>
      </c>
      <c r="AW564">
        <f>IF(AND(AQ564=1,ISNUMBER(AT564)),$AT564,1)</f>
        <v>0</v>
      </c>
      <c r="AX564">
        <f>IF(AND(AR564=1,ISNUMBER(AT564)),$AT564,1)</f>
        <v>0</v>
      </c>
      <c r="AY564">
        <f>IF(ISNUMBER(Y564),INDEX(AllCollegeMoney, MATCH(N564,AllCollegeNCES,0)),0)</f>
        <v>0</v>
      </c>
      <c r="AZ564">
        <f>IF(AND(AQ564=1,ISNUMBER(AT564),AY564=1),$AT564,1)</f>
        <v>0</v>
      </c>
      <c r="BA564">
        <f>IF(AND(AR564=1,ISNUMBER(AT564),AY564=1),$AT564,1)</f>
        <v>0</v>
      </c>
      <c r="BB564">
        <f>IF(ISNUMBER(Y564),INDEX(AllCollegeILPub, MATCH(N564,AllCollegeNCES,0)),0)</f>
        <v>0</v>
      </c>
      <c r="BC564">
        <f>IF(AK564=ReachLabel,AP564,0)</f>
        <v>0</v>
      </c>
      <c r="BD564">
        <f>IF(AK564=MatchLabel,AP564,0)</f>
        <v>0</v>
      </c>
      <c r="BE564">
        <f>IF(AK564=SafetyLabel,AP564,0)</f>
        <v>0</v>
      </c>
      <c r="BF564">
        <f>IF(AK564=SecureLabel,AP564,0)</f>
        <v>0</v>
      </c>
      <c r="BG564">
        <f>IF(AK564=SureThingLabel,AP564,0)</f>
        <v>0</v>
      </c>
      <c r="BH564">
        <f>MAX(BC564:BG564)</f>
        <v>0</v>
      </c>
      <c r="BI564">
        <f>MAX(BD564:BG564)</f>
        <v>0</v>
      </c>
      <c r="BJ564">
        <f>MAX(BE564:BG564)</f>
        <v>0</v>
      </c>
      <c r="BK564">
        <f>IF(AND(AK564=ReachLabel,AY564=1),AP564,0)</f>
        <v>0</v>
      </c>
      <c r="BL564">
        <f>IF(AND(AK564=MatchLabel,AY564=1),AP564,0)</f>
        <v>0</v>
      </c>
      <c r="BM564">
        <f>IF(AND(AK564=SafetyLabel,AY564=1),AP564,0)</f>
        <v>0</v>
      </c>
      <c r="BN564">
        <f>IF(AND(AK564=SecureLabel,AY564=1),AP564,0)</f>
        <v>0</v>
      </c>
      <c r="BO564">
        <f>IF(AND(AK564=SureThingLabel,AY564=1),AP564,0)</f>
        <v>0</v>
      </c>
      <c r="BP564">
        <f>MAX(BK564:BO564)</f>
        <v>0</v>
      </c>
      <c r="BQ564">
        <f>MAX(BL564:BO564)</f>
        <v>0</v>
      </c>
      <c r="BR564">
        <f>MAX(BM564:BO564)</f>
        <v>0</v>
      </c>
      <c r="BS564">
        <f>IF(ISNUMBER(Y564),INDEX(AllCollegeChicago, MATCH(N564,AllCollegeNCES,0))*AY564,0)</f>
        <v>0</v>
      </c>
      <c r="BT564">
        <f>IF(ISNUMBER(Y564),INDEX(AllCollegeMoneyCode, MATCH(N564,AllCollegeNCES,0)),"?")</f>
        <v>0</v>
      </c>
      <c r="BU564">
        <f>IF(OR(BT564="---",BT564="--",BT564="+/--",BT564="+/---"),1,0)</f>
        <v>0</v>
      </c>
      <c r="BV564">
        <f>AY564*AO564*AQ564</f>
        <v>0</v>
      </c>
    </row>
    <row r="565" spans="1:74">
      <c r="A565" t="s">
        <v>86</v>
      </c>
      <c r="B565">
        <v>23478500</v>
      </c>
      <c r="C565" t="s">
        <v>113</v>
      </c>
      <c r="D565" t="s">
        <v>114</v>
      </c>
      <c r="E565" t="s">
        <v>428</v>
      </c>
      <c r="F565" t="s">
        <v>469</v>
      </c>
      <c r="G565" t="s">
        <v>430</v>
      </c>
      <c r="H565" t="s">
        <v>431</v>
      </c>
      <c r="I565" t="s">
        <v>432</v>
      </c>
      <c r="J565" t="s">
        <v>432</v>
      </c>
      <c r="K565">
        <v>0</v>
      </c>
      <c r="L565" t="s">
        <v>428</v>
      </c>
      <c r="M565" t="s">
        <v>428</v>
      </c>
      <c r="N565">
        <v>174844</v>
      </c>
      <c r="O565">
        <f>INDEX(AllCollegeBarrons,MATCH(N565,AllCollegeNCES,0))</f>
        <v>0</v>
      </c>
      <c r="P565">
        <f>INDEX(KidGPAs,MATCH(B565,KidIDs,0))</f>
        <v>0</v>
      </c>
      <c r="Q565">
        <f>INDEX(KidACTs,MATCH(B565,KidIDs,0))</f>
        <v>0</v>
      </c>
      <c r="R565">
        <f>INDEX(Strats,MATCH(B565,KidIDs,0))</f>
        <v>0</v>
      </c>
      <c r="S565">
        <f>INDEX(KidRace,MATCH(B565,KidIDs,0))</f>
        <v>0</v>
      </c>
      <c r="T565">
        <f>IF(OR(S565="M",S565="I"),"H",S565)</f>
        <v>0</v>
      </c>
      <c r="U565">
        <f>INDEX(StudentTargets,MATCH(B565,KidIDs,0))</f>
        <v>0</v>
      </c>
      <c r="V565">
        <f>INDEX(ReachStudentTargets,MATCH(B565,KidIDs,0))</f>
        <v>0</v>
      </c>
      <c r="W565">
        <f>IF(OR(M565="Posse"),1,0)</f>
        <v>0</v>
      </c>
      <c r="X565">
        <f>IF(ISNUMBER(INDEX(AllCollegeGR, MATCH(N565,AllCollegeNCES,0))),ROUND(INDEX(AllCollegeGR, MATCH(N565,AllCollegeNCES,0))+W565*IF(INDEX(AllCollegeGR, MATCH(N565,AllCollegeNCES,0))&gt;0.7,(1-INDEX(AllCollegeGR, MATCH(N565,AllCollegeNCES,0)))/2,0.15),2),INDEX(AllCollegeGR, MATCH(N565,AllCollegeNCES,0)))</f>
        <v>0</v>
      </c>
      <c r="Y565">
        <f>IF(ISNUMBER(INDEX(AllCollegeAAHGR, MATCH(N565,AllCollegeNCES,0))),ROUND(INDEX(AllCollegeAAHGR, MATCH(N565,AllCollegeNCES,0))+W565*IF(INDEX(AllCollegeAAHGR, MATCH(N565,AllCollegeNCES,0))&gt;0.7,(1-INDEX(AllCollegeAAHGR, MATCH(N565,AllCollegeNCES,0)))/2,0.15),2),INDEX(AllCollegeAAHGR, MATCH(N565,AllCollegeNCES,0)))</f>
        <v>0</v>
      </c>
      <c r="Z565">
        <f>IF(OR(T565="H",T565="B"),INDEX(AllCollegeACT25, MATCH(N565,AllCollegeNCES,0)),INDEX(AllCollegeACT50, MATCH(N565,AllCollegeNCES,0)))</f>
        <v>0</v>
      </c>
      <c r="AA565">
        <f>INDEX(CustomWeightsGPA,MATCH(T565&amp;":"&amp;N565,CustomWeightsIndex,0))</f>
        <v>0</v>
      </c>
      <c r="AB565">
        <f>INDEX(CustomWeightsACT,MATCH(T565&amp;":"&amp;N565,CustomWeightsIndex,0))</f>
        <v>0</v>
      </c>
      <c r="AC565">
        <f>INDEX(CustomWeightsIntercept,MATCH(T565&amp;":"&amp;N565,CustomWeightsIndex,0))</f>
        <v>0</v>
      </c>
      <c r="AD565">
        <f>AA565*P565+AB565*Q565+AC565</f>
        <v>0</v>
      </c>
      <c r="AE565">
        <f>INDEX(CoefficientsGPA,MATCH(T565&amp;":"&amp;O565,CoefficientsIndex,0))</f>
        <v>0</v>
      </c>
      <c r="AF565">
        <f>INDEX(CoefficientsACT,MATCH(T565&amp;":"&amp;O565,CoefficientsIndex,0))</f>
        <v>0</v>
      </c>
      <c r="AG565">
        <f>INDEX(CoefficientsIntercept,MATCH(T565&amp;":"&amp;O565,CoefficientsIndex,0))</f>
        <v>0</v>
      </c>
      <c r="AH565">
        <f>AE565*P565+(Q565-Z565)*AF565+AG565</f>
        <v>0</v>
      </c>
      <c r="AI565">
        <f>IF(ISNUMBER(AD565),AD565,AH565)</f>
        <v>0</v>
      </c>
      <c r="AJ565">
        <f>IF(ISNUMBER(AI565),IF(ISNUMBER(AE565),IF(AND(AE565=1,AF565=1,AG565=1),100,ROUND(100*EXP(AI565)/(1+EXP(AI565)),2)),ROUND(100*EXP(AI565)/(1+EXP(AI565)),2)),IF(ISTEXT(O565),IF(LEFT(O565,1)="2",100,"N/A"),"N/A"))</f>
        <v>0</v>
      </c>
      <c r="AK565">
        <f>IF(ISNUMBER(AJ565),IF(AJ565&gt;=99,IF(OR(R565=10,R565=11),MatchLabel,SureThingLabel),IF(AJ565&gt;=95,SecureLabel,IF(AJ565&gt;=80,SafetyLabel,IF(AJ565&gt;=50,MatchLabel,IF(AJ565&gt;=20,ReachLabel,IF(AJ565&gt;=10,LongshotLabel,HailMaryLabel)))))),"Other")</f>
        <v>0</v>
      </c>
      <c r="AL565">
        <f>IF(OR(I565="accepted",I565="cond. accept",I565="summer admit"),IF(J565="yes","CHOICE!","Accepted!"),IF(I565="denied","Denied",IF(K565=1,"Waitlist",IF(L565=1,"Deferred",IF(G565="pending","Pending",IF(OR(G565="initial materials submitted",G565="mid-year submitted",G565="final submitted"),"Submitted",IF(H565="interest","Interest","?")))))))</f>
        <v>0</v>
      </c>
      <c r="AM565">
        <f>IF(OR(AK565=ReachLabel,AK565=LongshotLabel,AK565=HailMaryLabel),1,0)</f>
        <v>0</v>
      </c>
      <c r="AN565">
        <f>IF(OR(AM565=1,AK565=MatchLabel),1,0)</f>
        <v>0</v>
      </c>
      <c r="AO565">
        <f>IF(OR(AK565=MatchLabel,AK565=SafetyLabel,AK565=SecureLabel,AK565=SureThingLabel),1,0)</f>
        <v>0</v>
      </c>
      <c r="AP565">
        <f>IF(OR(T565="H",T565="B"),IF(ISNUMBER(Y565),ROUND(Y565,2),0),IF(ISNUMBER(X565),ROUND(X565,2),0))</f>
        <v>0</v>
      </c>
      <c r="AQ565">
        <f>IF(AP565&gt;=U565,1,0)</f>
        <v>0</v>
      </c>
      <c r="AR565">
        <f>IF(AP565&gt;=V565,1,0)</f>
        <v>0</v>
      </c>
      <c r="AS565">
        <f>IF(AP565&lt;(U565-0.10),1,0)</f>
        <v>0</v>
      </c>
      <c r="AT565">
        <f>1-AJ565/100</f>
        <v>0</v>
      </c>
      <c r="AU565">
        <f>IF(AN565=1,AT565,1)</f>
        <v>0</v>
      </c>
      <c r="AV565">
        <f>IF(AM565=1,AT565,1)</f>
        <v>0</v>
      </c>
      <c r="AW565">
        <f>IF(AND(AQ565=1,ISNUMBER(AT565)),$AT565,1)</f>
        <v>0</v>
      </c>
      <c r="AX565">
        <f>IF(AND(AR565=1,ISNUMBER(AT565)),$AT565,1)</f>
        <v>0</v>
      </c>
      <c r="AY565">
        <f>IF(ISNUMBER(Y565),INDEX(AllCollegeMoney, MATCH(N565,AllCollegeNCES,0)),0)</f>
        <v>0</v>
      </c>
      <c r="AZ565">
        <f>IF(AND(AQ565=1,ISNUMBER(AT565),AY565=1),$AT565,1)</f>
        <v>0</v>
      </c>
      <c r="BA565">
        <f>IF(AND(AR565=1,ISNUMBER(AT565),AY565=1),$AT565,1)</f>
        <v>0</v>
      </c>
      <c r="BB565">
        <f>IF(ISNUMBER(Y565),INDEX(AllCollegeILPub, MATCH(N565,AllCollegeNCES,0)),0)</f>
        <v>0</v>
      </c>
      <c r="BC565">
        <f>IF(AK565=ReachLabel,AP565,0)</f>
        <v>0</v>
      </c>
      <c r="BD565">
        <f>IF(AK565=MatchLabel,AP565,0)</f>
        <v>0</v>
      </c>
      <c r="BE565">
        <f>IF(AK565=SafetyLabel,AP565,0)</f>
        <v>0</v>
      </c>
      <c r="BF565">
        <f>IF(AK565=SecureLabel,AP565,0)</f>
        <v>0</v>
      </c>
      <c r="BG565">
        <f>IF(AK565=SureThingLabel,AP565,0)</f>
        <v>0</v>
      </c>
      <c r="BH565">
        <f>MAX(BC565:BG565)</f>
        <v>0</v>
      </c>
      <c r="BI565">
        <f>MAX(BD565:BG565)</f>
        <v>0</v>
      </c>
      <c r="BJ565">
        <f>MAX(BE565:BG565)</f>
        <v>0</v>
      </c>
      <c r="BK565">
        <f>IF(AND(AK565=ReachLabel,AY565=1),AP565,0)</f>
        <v>0</v>
      </c>
      <c r="BL565">
        <f>IF(AND(AK565=MatchLabel,AY565=1),AP565,0)</f>
        <v>0</v>
      </c>
      <c r="BM565">
        <f>IF(AND(AK565=SafetyLabel,AY565=1),AP565,0)</f>
        <v>0</v>
      </c>
      <c r="BN565">
        <f>IF(AND(AK565=SecureLabel,AY565=1),AP565,0)</f>
        <v>0</v>
      </c>
      <c r="BO565">
        <f>IF(AND(AK565=SureThingLabel,AY565=1),AP565,0)</f>
        <v>0</v>
      </c>
      <c r="BP565">
        <f>MAX(BK565:BO565)</f>
        <v>0</v>
      </c>
      <c r="BQ565">
        <f>MAX(BL565:BO565)</f>
        <v>0</v>
      </c>
      <c r="BR565">
        <f>MAX(BM565:BO565)</f>
        <v>0</v>
      </c>
      <c r="BS565">
        <f>IF(ISNUMBER(Y565),INDEX(AllCollegeChicago, MATCH(N565,AllCollegeNCES,0))*AY565,0)</f>
        <v>0</v>
      </c>
      <c r="BT565">
        <f>IF(ISNUMBER(Y565),INDEX(AllCollegeMoneyCode, MATCH(N565,AllCollegeNCES,0)),"?")</f>
        <v>0</v>
      </c>
      <c r="BU565">
        <f>IF(OR(BT565="---",BT565="--",BT565="+/--",BT565="+/---"),1,0)</f>
        <v>0</v>
      </c>
      <c r="BV565">
        <f>AY565*AO565*AQ565</f>
        <v>0</v>
      </c>
    </row>
    <row r="566" spans="1:74">
      <c r="A566" t="s">
        <v>86</v>
      </c>
      <c r="B566">
        <v>23478500</v>
      </c>
      <c r="C566" t="s">
        <v>113</v>
      </c>
      <c r="D566" t="s">
        <v>114</v>
      </c>
      <c r="E566" t="s">
        <v>428</v>
      </c>
      <c r="F566" t="s">
        <v>457</v>
      </c>
      <c r="G566" t="s">
        <v>430</v>
      </c>
      <c r="H566" t="s">
        <v>431</v>
      </c>
      <c r="I566" t="s">
        <v>432</v>
      </c>
      <c r="J566" t="s">
        <v>432</v>
      </c>
      <c r="K566">
        <v>0</v>
      </c>
      <c r="L566" t="s">
        <v>428</v>
      </c>
      <c r="M566" t="s">
        <v>428</v>
      </c>
      <c r="N566">
        <v>145637</v>
      </c>
      <c r="O566">
        <f>INDEX(AllCollegeBarrons,MATCH(N566,AllCollegeNCES,0))</f>
        <v>0</v>
      </c>
      <c r="P566">
        <f>INDEX(KidGPAs,MATCH(B566,KidIDs,0))</f>
        <v>0</v>
      </c>
      <c r="Q566">
        <f>INDEX(KidACTs,MATCH(B566,KidIDs,0))</f>
        <v>0</v>
      </c>
      <c r="R566">
        <f>INDEX(Strats,MATCH(B566,KidIDs,0))</f>
        <v>0</v>
      </c>
      <c r="S566">
        <f>INDEX(KidRace,MATCH(B566,KidIDs,0))</f>
        <v>0</v>
      </c>
      <c r="T566">
        <f>IF(OR(S566="M",S566="I"),"H",S566)</f>
        <v>0</v>
      </c>
      <c r="U566">
        <f>INDEX(StudentTargets,MATCH(B566,KidIDs,0))</f>
        <v>0</v>
      </c>
      <c r="V566">
        <f>INDEX(ReachStudentTargets,MATCH(B566,KidIDs,0))</f>
        <v>0</v>
      </c>
      <c r="W566">
        <f>IF(OR(M566="Posse"),1,0)</f>
        <v>0</v>
      </c>
      <c r="X566">
        <f>IF(ISNUMBER(INDEX(AllCollegeGR, MATCH(N566,AllCollegeNCES,0))),ROUND(INDEX(AllCollegeGR, MATCH(N566,AllCollegeNCES,0))+W566*IF(INDEX(AllCollegeGR, MATCH(N566,AllCollegeNCES,0))&gt;0.7,(1-INDEX(AllCollegeGR, MATCH(N566,AllCollegeNCES,0)))/2,0.15),2),INDEX(AllCollegeGR, MATCH(N566,AllCollegeNCES,0)))</f>
        <v>0</v>
      </c>
      <c r="Y566">
        <f>IF(ISNUMBER(INDEX(AllCollegeAAHGR, MATCH(N566,AllCollegeNCES,0))),ROUND(INDEX(AllCollegeAAHGR, MATCH(N566,AllCollegeNCES,0))+W566*IF(INDEX(AllCollegeAAHGR, MATCH(N566,AllCollegeNCES,0))&gt;0.7,(1-INDEX(AllCollegeAAHGR, MATCH(N566,AllCollegeNCES,0)))/2,0.15),2),INDEX(AllCollegeAAHGR, MATCH(N566,AllCollegeNCES,0)))</f>
        <v>0</v>
      </c>
      <c r="Z566">
        <f>IF(OR(T566="H",T566="B"),INDEX(AllCollegeACT25, MATCH(N566,AllCollegeNCES,0)),INDEX(AllCollegeACT50, MATCH(N566,AllCollegeNCES,0)))</f>
        <v>0</v>
      </c>
      <c r="AA566">
        <f>INDEX(CustomWeightsGPA,MATCH(T566&amp;":"&amp;N566,CustomWeightsIndex,0))</f>
        <v>0</v>
      </c>
      <c r="AB566">
        <f>INDEX(CustomWeightsACT,MATCH(T566&amp;":"&amp;N566,CustomWeightsIndex,0))</f>
        <v>0</v>
      </c>
      <c r="AC566">
        <f>INDEX(CustomWeightsIntercept,MATCH(T566&amp;":"&amp;N566,CustomWeightsIndex,0))</f>
        <v>0</v>
      </c>
      <c r="AD566">
        <f>AA566*P566+AB566*Q566+AC566</f>
        <v>0</v>
      </c>
      <c r="AE566">
        <f>INDEX(CoefficientsGPA,MATCH(T566&amp;":"&amp;O566,CoefficientsIndex,0))</f>
        <v>0</v>
      </c>
      <c r="AF566">
        <f>INDEX(CoefficientsACT,MATCH(T566&amp;":"&amp;O566,CoefficientsIndex,0))</f>
        <v>0</v>
      </c>
      <c r="AG566">
        <f>INDEX(CoefficientsIntercept,MATCH(T566&amp;":"&amp;O566,CoefficientsIndex,0))</f>
        <v>0</v>
      </c>
      <c r="AH566">
        <f>AE566*P566+(Q566-Z566)*AF566+AG566</f>
        <v>0</v>
      </c>
      <c r="AI566">
        <f>IF(ISNUMBER(AD566),AD566,AH566)</f>
        <v>0</v>
      </c>
      <c r="AJ566">
        <f>IF(ISNUMBER(AI566),IF(ISNUMBER(AE566),IF(AND(AE566=1,AF566=1,AG566=1),100,ROUND(100*EXP(AI566)/(1+EXP(AI566)),2)),ROUND(100*EXP(AI566)/(1+EXP(AI566)),2)),IF(ISTEXT(O566),IF(LEFT(O566,1)="2",100,"N/A"),"N/A"))</f>
        <v>0</v>
      </c>
      <c r="AK566">
        <f>IF(ISNUMBER(AJ566),IF(AJ566&gt;=99,IF(OR(R566=10,R566=11),MatchLabel,SureThingLabel),IF(AJ566&gt;=95,SecureLabel,IF(AJ566&gt;=80,SafetyLabel,IF(AJ566&gt;=50,MatchLabel,IF(AJ566&gt;=20,ReachLabel,IF(AJ566&gt;=10,LongshotLabel,HailMaryLabel)))))),"Other")</f>
        <v>0</v>
      </c>
      <c r="AL566">
        <f>IF(OR(I566="accepted",I566="cond. accept",I566="summer admit"),IF(J566="yes","CHOICE!","Accepted!"),IF(I566="denied","Denied",IF(K566=1,"Waitlist",IF(L566=1,"Deferred",IF(G566="pending","Pending",IF(OR(G566="initial materials submitted",G566="mid-year submitted",G566="final submitted"),"Submitted",IF(H566="interest","Interest","?")))))))</f>
        <v>0</v>
      </c>
      <c r="AM566">
        <f>IF(OR(AK566=ReachLabel,AK566=LongshotLabel,AK566=HailMaryLabel),1,0)</f>
        <v>0</v>
      </c>
      <c r="AN566">
        <f>IF(OR(AM566=1,AK566=MatchLabel),1,0)</f>
        <v>0</v>
      </c>
      <c r="AO566">
        <f>IF(OR(AK566=MatchLabel,AK566=SafetyLabel,AK566=SecureLabel,AK566=SureThingLabel),1,0)</f>
        <v>0</v>
      </c>
      <c r="AP566">
        <f>IF(OR(T566="H",T566="B"),IF(ISNUMBER(Y566),ROUND(Y566,2),0),IF(ISNUMBER(X566),ROUND(X566,2),0))</f>
        <v>0</v>
      </c>
      <c r="AQ566">
        <f>IF(AP566&gt;=U566,1,0)</f>
        <v>0</v>
      </c>
      <c r="AR566">
        <f>IF(AP566&gt;=V566,1,0)</f>
        <v>0</v>
      </c>
      <c r="AS566">
        <f>IF(AP566&lt;(U566-0.10),1,0)</f>
        <v>0</v>
      </c>
      <c r="AT566">
        <f>1-AJ566/100</f>
        <v>0</v>
      </c>
      <c r="AU566">
        <f>IF(AN566=1,AT566,1)</f>
        <v>0</v>
      </c>
      <c r="AV566">
        <f>IF(AM566=1,AT566,1)</f>
        <v>0</v>
      </c>
      <c r="AW566">
        <f>IF(AND(AQ566=1,ISNUMBER(AT566)),$AT566,1)</f>
        <v>0</v>
      </c>
      <c r="AX566">
        <f>IF(AND(AR566=1,ISNUMBER(AT566)),$AT566,1)</f>
        <v>0</v>
      </c>
      <c r="AY566">
        <f>IF(ISNUMBER(Y566),INDEX(AllCollegeMoney, MATCH(N566,AllCollegeNCES,0)),0)</f>
        <v>0</v>
      </c>
      <c r="AZ566">
        <f>IF(AND(AQ566=1,ISNUMBER(AT566),AY566=1),$AT566,1)</f>
        <v>0</v>
      </c>
      <c r="BA566">
        <f>IF(AND(AR566=1,ISNUMBER(AT566),AY566=1),$AT566,1)</f>
        <v>0</v>
      </c>
      <c r="BB566">
        <f>IF(ISNUMBER(Y566),INDEX(AllCollegeILPub, MATCH(N566,AllCollegeNCES,0)),0)</f>
        <v>0</v>
      </c>
      <c r="BC566">
        <f>IF(AK566=ReachLabel,AP566,0)</f>
        <v>0</v>
      </c>
      <c r="BD566">
        <f>IF(AK566=MatchLabel,AP566,0)</f>
        <v>0</v>
      </c>
      <c r="BE566">
        <f>IF(AK566=SafetyLabel,AP566,0)</f>
        <v>0</v>
      </c>
      <c r="BF566">
        <f>IF(AK566=SecureLabel,AP566,0)</f>
        <v>0</v>
      </c>
      <c r="BG566">
        <f>IF(AK566=SureThingLabel,AP566,0)</f>
        <v>0</v>
      </c>
      <c r="BH566">
        <f>MAX(BC566:BG566)</f>
        <v>0</v>
      </c>
      <c r="BI566">
        <f>MAX(BD566:BG566)</f>
        <v>0</v>
      </c>
      <c r="BJ566">
        <f>MAX(BE566:BG566)</f>
        <v>0</v>
      </c>
      <c r="BK566">
        <f>IF(AND(AK566=ReachLabel,AY566=1),AP566,0)</f>
        <v>0</v>
      </c>
      <c r="BL566">
        <f>IF(AND(AK566=MatchLabel,AY566=1),AP566,0)</f>
        <v>0</v>
      </c>
      <c r="BM566">
        <f>IF(AND(AK566=SafetyLabel,AY566=1),AP566,0)</f>
        <v>0</v>
      </c>
      <c r="BN566">
        <f>IF(AND(AK566=SecureLabel,AY566=1),AP566,0)</f>
        <v>0</v>
      </c>
      <c r="BO566">
        <f>IF(AND(AK566=SureThingLabel,AY566=1),AP566,0)</f>
        <v>0</v>
      </c>
      <c r="BP566">
        <f>MAX(BK566:BO566)</f>
        <v>0</v>
      </c>
      <c r="BQ566">
        <f>MAX(BL566:BO566)</f>
        <v>0</v>
      </c>
      <c r="BR566">
        <f>MAX(BM566:BO566)</f>
        <v>0</v>
      </c>
      <c r="BS566">
        <f>IF(ISNUMBER(Y566),INDEX(AllCollegeChicago, MATCH(N566,AllCollegeNCES,0))*AY566,0)</f>
        <v>0</v>
      </c>
      <c r="BT566">
        <f>IF(ISNUMBER(Y566),INDEX(AllCollegeMoneyCode, MATCH(N566,AllCollegeNCES,0)),"?")</f>
        <v>0</v>
      </c>
      <c r="BU566">
        <f>IF(OR(BT566="---",BT566="--",BT566="+/--",BT566="+/---"),1,0)</f>
        <v>0</v>
      </c>
      <c r="BV566">
        <f>AY566*AO566*AQ566</f>
        <v>0</v>
      </c>
    </row>
    <row r="567" spans="1:74">
      <c r="A567" t="s">
        <v>86</v>
      </c>
      <c r="B567">
        <v>23478500</v>
      </c>
      <c r="C567" t="s">
        <v>113</v>
      </c>
      <c r="D567" t="s">
        <v>114</v>
      </c>
      <c r="E567" t="s">
        <v>428</v>
      </c>
      <c r="F567" t="s">
        <v>458</v>
      </c>
      <c r="G567" t="s">
        <v>430</v>
      </c>
      <c r="H567" t="s">
        <v>431</v>
      </c>
      <c r="I567" t="s">
        <v>432</v>
      </c>
      <c r="J567" t="s">
        <v>432</v>
      </c>
      <c r="K567">
        <v>0</v>
      </c>
      <c r="L567" t="s">
        <v>428</v>
      </c>
      <c r="M567" t="s">
        <v>428</v>
      </c>
      <c r="N567">
        <v>202523</v>
      </c>
      <c r="O567">
        <f>INDEX(AllCollegeBarrons,MATCH(N567,AllCollegeNCES,0))</f>
        <v>0</v>
      </c>
      <c r="P567">
        <f>INDEX(KidGPAs,MATCH(B567,KidIDs,0))</f>
        <v>0</v>
      </c>
      <c r="Q567">
        <f>INDEX(KidACTs,MATCH(B567,KidIDs,0))</f>
        <v>0</v>
      </c>
      <c r="R567">
        <f>INDEX(Strats,MATCH(B567,KidIDs,0))</f>
        <v>0</v>
      </c>
      <c r="S567">
        <f>INDEX(KidRace,MATCH(B567,KidIDs,0))</f>
        <v>0</v>
      </c>
      <c r="T567">
        <f>IF(OR(S567="M",S567="I"),"H",S567)</f>
        <v>0</v>
      </c>
      <c r="U567">
        <f>INDEX(StudentTargets,MATCH(B567,KidIDs,0))</f>
        <v>0</v>
      </c>
      <c r="V567">
        <f>INDEX(ReachStudentTargets,MATCH(B567,KidIDs,0))</f>
        <v>0</v>
      </c>
      <c r="W567">
        <f>IF(OR(M567="Posse"),1,0)</f>
        <v>0</v>
      </c>
      <c r="X567">
        <f>IF(ISNUMBER(INDEX(AllCollegeGR, MATCH(N567,AllCollegeNCES,0))),ROUND(INDEX(AllCollegeGR, MATCH(N567,AllCollegeNCES,0))+W567*IF(INDEX(AllCollegeGR, MATCH(N567,AllCollegeNCES,0))&gt;0.7,(1-INDEX(AllCollegeGR, MATCH(N567,AllCollegeNCES,0)))/2,0.15),2),INDEX(AllCollegeGR, MATCH(N567,AllCollegeNCES,0)))</f>
        <v>0</v>
      </c>
      <c r="Y567">
        <f>IF(ISNUMBER(INDEX(AllCollegeAAHGR, MATCH(N567,AllCollegeNCES,0))),ROUND(INDEX(AllCollegeAAHGR, MATCH(N567,AllCollegeNCES,0))+W567*IF(INDEX(AllCollegeAAHGR, MATCH(N567,AllCollegeNCES,0))&gt;0.7,(1-INDEX(AllCollegeAAHGR, MATCH(N567,AllCollegeNCES,0)))/2,0.15),2),INDEX(AllCollegeAAHGR, MATCH(N567,AllCollegeNCES,0)))</f>
        <v>0</v>
      </c>
      <c r="Z567">
        <f>IF(OR(T567="H",T567="B"),INDEX(AllCollegeACT25, MATCH(N567,AllCollegeNCES,0)),INDEX(AllCollegeACT50, MATCH(N567,AllCollegeNCES,0)))</f>
        <v>0</v>
      </c>
      <c r="AA567">
        <f>INDEX(CustomWeightsGPA,MATCH(T567&amp;":"&amp;N567,CustomWeightsIndex,0))</f>
        <v>0</v>
      </c>
      <c r="AB567">
        <f>INDEX(CustomWeightsACT,MATCH(T567&amp;":"&amp;N567,CustomWeightsIndex,0))</f>
        <v>0</v>
      </c>
      <c r="AC567">
        <f>INDEX(CustomWeightsIntercept,MATCH(T567&amp;":"&amp;N567,CustomWeightsIndex,0))</f>
        <v>0</v>
      </c>
      <c r="AD567">
        <f>AA567*P567+AB567*Q567+AC567</f>
        <v>0</v>
      </c>
      <c r="AE567">
        <f>INDEX(CoefficientsGPA,MATCH(T567&amp;":"&amp;O567,CoefficientsIndex,0))</f>
        <v>0</v>
      </c>
      <c r="AF567">
        <f>INDEX(CoefficientsACT,MATCH(T567&amp;":"&amp;O567,CoefficientsIndex,0))</f>
        <v>0</v>
      </c>
      <c r="AG567">
        <f>INDEX(CoefficientsIntercept,MATCH(T567&amp;":"&amp;O567,CoefficientsIndex,0))</f>
        <v>0</v>
      </c>
      <c r="AH567">
        <f>AE567*P567+(Q567-Z567)*AF567+AG567</f>
        <v>0</v>
      </c>
      <c r="AI567">
        <f>IF(ISNUMBER(AD567),AD567,AH567)</f>
        <v>0</v>
      </c>
      <c r="AJ567">
        <f>IF(ISNUMBER(AI567),IF(ISNUMBER(AE567),IF(AND(AE567=1,AF567=1,AG567=1),100,ROUND(100*EXP(AI567)/(1+EXP(AI567)),2)),ROUND(100*EXP(AI567)/(1+EXP(AI567)),2)),IF(ISTEXT(O567),IF(LEFT(O567,1)="2",100,"N/A"),"N/A"))</f>
        <v>0</v>
      </c>
      <c r="AK567">
        <f>IF(ISNUMBER(AJ567),IF(AJ567&gt;=99,IF(OR(R567=10,R567=11),MatchLabel,SureThingLabel),IF(AJ567&gt;=95,SecureLabel,IF(AJ567&gt;=80,SafetyLabel,IF(AJ567&gt;=50,MatchLabel,IF(AJ567&gt;=20,ReachLabel,IF(AJ567&gt;=10,LongshotLabel,HailMaryLabel)))))),"Other")</f>
        <v>0</v>
      </c>
      <c r="AL567">
        <f>IF(OR(I567="accepted",I567="cond. accept",I567="summer admit"),IF(J567="yes","CHOICE!","Accepted!"),IF(I567="denied","Denied",IF(K567=1,"Waitlist",IF(L567=1,"Deferred",IF(G567="pending","Pending",IF(OR(G567="initial materials submitted",G567="mid-year submitted",G567="final submitted"),"Submitted",IF(H567="interest","Interest","?")))))))</f>
        <v>0</v>
      </c>
      <c r="AM567">
        <f>IF(OR(AK567=ReachLabel,AK567=LongshotLabel,AK567=HailMaryLabel),1,0)</f>
        <v>0</v>
      </c>
      <c r="AN567">
        <f>IF(OR(AM567=1,AK567=MatchLabel),1,0)</f>
        <v>0</v>
      </c>
      <c r="AO567">
        <f>IF(OR(AK567=MatchLabel,AK567=SafetyLabel,AK567=SecureLabel,AK567=SureThingLabel),1,0)</f>
        <v>0</v>
      </c>
      <c r="AP567">
        <f>IF(OR(T567="H",T567="B"),IF(ISNUMBER(Y567),ROUND(Y567,2),0),IF(ISNUMBER(X567),ROUND(X567,2),0))</f>
        <v>0</v>
      </c>
      <c r="AQ567">
        <f>IF(AP567&gt;=U567,1,0)</f>
        <v>0</v>
      </c>
      <c r="AR567">
        <f>IF(AP567&gt;=V567,1,0)</f>
        <v>0</v>
      </c>
      <c r="AS567">
        <f>IF(AP567&lt;(U567-0.10),1,0)</f>
        <v>0</v>
      </c>
      <c r="AT567">
        <f>1-AJ567/100</f>
        <v>0</v>
      </c>
      <c r="AU567">
        <f>IF(AN567=1,AT567,1)</f>
        <v>0</v>
      </c>
      <c r="AV567">
        <f>IF(AM567=1,AT567,1)</f>
        <v>0</v>
      </c>
      <c r="AW567">
        <f>IF(AND(AQ567=1,ISNUMBER(AT567)),$AT567,1)</f>
        <v>0</v>
      </c>
      <c r="AX567">
        <f>IF(AND(AR567=1,ISNUMBER(AT567)),$AT567,1)</f>
        <v>0</v>
      </c>
      <c r="AY567">
        <f>IF(ISNUMBER(Y567),INDEX(AllCollegeMoney, MATCH(N567,AllCollegeNCES,0)),0)</f>
        <v>0</v>
      </c>
      <c r="AZ567">
        <f>IF(AND(AQ567=1,ISNUMBER(AT567),AY567=1),$AT567,1)</f>
        <v>0</v>
      </c>
      <c r="BA567">
        <f>IF(AND(AR567=1,ISNUMBER(AT567),AY567=1),$AT567,1)</f>
        <v>0</v>
      </c>
      <c r="BB567">
        <f>IF(ISNUMBER(Y567),INDEX(AllCollegeILPub, MATCH(N567,AllCollegeNCES,0)),0)</f>
        <v>0</v>
      </c>
      <c r="BC567">
        <f>IF(AK567=ReachLabel,AP567,0)</f>
        <v>0</v>
      </c>
      <c r="BD567">
        <f>IF(AK567=MatchLabel,AP567,0)</f>
        <v>0</v>
      </c>
      <c r="BE567">
        <f>IF(AK567=SafetyLabel,AP567,0)</f>
        <v>0</v>
      </c>
      <c r="BF567">
        <f>IF(AK567=SecureLabel,AP567,0)</f>
        <v>0</v>
      </c>
      <c r="BG567">
        <f>IF(AK567=SureThingLabel,AP567,0)</f>
        <v>0</v>
      </c>
      <c r="BH567">
        <f>MAX(BC567:BG567)</f>
        <v>0</v>
      </c>
      <c r="BI567">
        <f>MAX(BD567:BG567)</f>
        <v>0</v>
      </c>
      <c r="BJ567">
        <f>MAX(BE567:BG567)</f>
        <v>0</v>
      </c>
      <c r="BK567">
        <f>IF(AND(AK567=ReachLabel,AY567=1),AP567,0)</f>
        <v>0</v>
      </c>
      <c r="BL567">
        <f>IF(AND(AK567=MatchLabel,AY567=1),AP567,0)</f>
        <v>0</v>
      </c>
      <c r="BM567">
        <f>IF(AND(AK567=SafetyLabel,AY567=1),AP567,0)</f>
        <v>0</v>
      </c>
      <c r="BN567">
        <f>IF(AND(AK567=SecureLabel,AY567=1),AP567,0)</f>
        <v>0</v>
      </c>
      <c r="BO567">
        <f>IF(AND(AK567=SureThingLabel,AY567=1),AP567,0)</f>
        <v>0</v>
      </c>
      <c r="BP567">
        <f>MAX(BK567:BO567)</f>
        <v>0</v>
      </c>
      <c r="BQ567">
        <f>MAX(BL567:BO567)</f>
        <v>0</v>
      </c>
      <c r="BR567">
        <f>MAX(BM567:BO567)</f>
        <v>0</v>
      </c>
      <c r="BS567">
        <f>IF(ISNUMBER(Y567),INDEX(AllCollegeChicago, MATCH(N567,AllCollegeNCES,0))*AY567,0)</f>
        <v>0</v>
      </c>
      <c r="BT567">
        <f>IF(ISNUMBER(Y567),INDEX(AllCollegeMoneyCode, MATCH(N567,AllCollegeNCES,0)),"?")</f>
        <v>0</v>
      </c>
      <c r="BU567">
        <f>IF(OR(BT567="---",BT567="--",BT567="+/--",BT567="+/---"),1,0)</f>
        <v>0</v>
      </c>
      <c r="BV567">
        <f>AY567*AO567*AQ567</f>
        <v>0</v>
      </c>
    </row>
    <row r="568" spans="1:74">
      <c r="A568" t="s">
        <v>86</v>
      </c>
      <c r="B568">
        <v>23478500</v>
      </c>
      <c r="C568" t="s">
        <v>113</v>
      </c>
      <c r="D568" t="s">
        <v>114</v>
      </c>
      <c r="E568" t="s">
        <v>428</v>
      </c>
      <c r="F568" t="s">
        <v>459</v>
      </c>
      <c r="G568" t="s">
        <v>430</v>
      </c>
      <c r="H568" t="s">
        <v>431</v>
      </c>
      <c r="I568" t="s">
        <v>432</v>
      </c>
      <c r="J568" t="s">
        <v>432</v>
      </c>
      <c r="K568">
        <v>0</v>
      </c>
      <c r="L568" t="s">
        <v>428</v>
      </c>
      <c r="M568" t="s">
        <v>428</v>
      </c>
      <c r="N568">
        <v>146427</v>
      </c>
      <c r="O568">
        <f>INDEX(AllCollegeBarrons,MATCH(N568,AllCollegeNCES,0))</f>
        <v>0</v>
      </c>
      <c r="P568">
        <f>INDEX(KidGPAs,MATCH(B568,KidIDs,0))</f>
        <v>0</v>
      </c>
      <c r="Q568">
        <f>INDEX(KidACTs,MATCH(B568,KidIDs,0))</f>
        <v>0</v>
      </c>
      <c r="R568">
        <f>INDEX(Strats,MATCH(B568,KidIDs,0))</f>
        <v>0</v>
      </c>
      <c r="S568">
        <f>INDEX(KidRace,MATCH(B568,KidIDs,0))</f>
        <v>0</v>
      </c>
      <c r="T568">
        <f>IF(OR(S568="M",S568="I"),"H",S568)</f>
        <v>0</v>
      </c>
      <c r="U568">
        <f>INDEX(StudentTargets,MATCH(B568,KidIDs,0))</f>
        <v>0</v>
      </c>
      <c r="V568">
        <f>INDEX(ReachStudentTargets,MATCH(B568,KidIDs,0))</f>
        <v>0</v>
      </c>
      <c r="W568">
        <f>IF(OR(M568="Posse"),1,0)</f>
        <v>0</v>
      </c>
      <c r="X568">
        <f>IF(ISNUMBER(INDEX(AllCollegeGR, MATCH(N568,AllCollegeNCES,0))),ROUND(INDEX(AllCollegeGR, MATCH(N568,AllCollegeNCES,0))+W568*IF(INDEX(AllCollegeGR, MATCH(N568,AllCollegeNCES,0))&gt;0.7,(1-INDEX(AllCollegeGR, MATCH(N568,AllCollegeNCES,0)))/2,0.15),2),INDEX(AllCollegeGR, MATCH(N568,AllCollegeNCES,0)))</f>
        <v>0</v>
      </c>
      <c r="Y568">
        <f>IF(ISNUMBER(INDEX(AllCollegeAAHGR, MATCH(N568,AllCollegeNCES,0))),ROUND(INDEX(AllCollegeAAHGR, MATCH(N568,AllCollegeNCES,0))+W568*IF(INDEX(AllCollegeAAHGR, MATCH(N568,AllCollegeNCES,0))&gt;0.7,(1-INDEX(AllCollegeAAHGR, MATCH(N568,AllCollegeNCES,0)))/2,0.15),2),INDEX(AllCollegeAAHGR, MATCH(N568,AllCollegeNCES,0)))</f>
        <v>0</v>
      </c>
      <c r="Z568">
        <f>IF(OR(T568="H",T568="B"),INDEX(AllCollegeACT25, MATCH(N568,AllCollegeNCES,0)),INDEX(AllCollegeACT50, MATCH(N568,AllCollegeNCES,0)))</f>
        <v>0</v>
      </c>
      <c r="AA568">
        <f>INDEX(CustomWeightsGPA,MATCH(T568&amp;":"&amp;N568,CustomWeightsIndex,0))</f>
        <v>0</v>
      </c>
      <c r="AB568">
        <f>INDEX(CustomWeightsACT,MATCH(T568&amp;":"&amp;N568,CustomWeightsIndex,0))</f>
        <v>0</v>
      </c>
      <c r="AC568">
        <f>INDEX(CustomWeightsIntercept,MATCH(T568&amp;":"&amp;N568,CustomWeightsIndex,0))</f>
        <v>0</v>
      </c>
      <c r="AD568">
        <f>AA568*P568+AB568*Q568+AC568</f>
        <v>0</v>
      </c>
      <c r="AE568">
        <f>INDEX(CoefficientsGPA,MATCH(T568&amp;":"&amp;O568,CoefficientsIndex,0))</f>
        <v>0</v>
      </c>
      <c r="AF568">
        <f>INDEX(CoefficientsACT,MATCH(T568&amp;":"&amp;O568,CoefficientsIndex,0))</f>
        <v>0</v>
      </c>
      <c r="AG568">
        <f>INDEX(CoefficientsIntercept,MATCH(T568&amp;":"&amp;O568,CoefficientsIndex,0))</f>
        <v>0</v>
      </c>
      <c r="AH568">
        <f>AE568*P568+(Q568-Z568)*AF568+AG568</f>
        <v>0</v>
      </c>
      <c r="AI568">
        <f>IF(ISNUMBER(AD568),AD568,AH568)</f>
        <v>0</v>
      </c>
      <c r="AJ568">
        <f>IF(ISNUMBER(AI568),IF(ISNUMBER(AE568),IF(AND(AE568=1,AF568=1,AG568=1),100,ROUND(100*EXP(AI568)/(1+EXP(AI568)),2)),ROUND(100*EXP(AI568)/(1+EXP(AI568)),2)),IF(ISTEXT(O568),IF(LEFT(O568,1)="2",100,"N/A"),"N/A"))</f>
        <v>0</v>
      </c>
      <c r="AK568">
        <f>IF(ISNUMBER(AJ568),IF(AJ568&gt;=99,IF(OR(R568=10,R568=11),MatchLabel,SureThingLabel),IF(AJ568&gt;=95,SecureLabel,IF(AJ568&gt;=80,SafetyLabel,IF(AJ568&gt;=50,MatchLabel,IF(AJ568&gt;=20,ReachLabel,IF(AJ568&gt;=10,LongshotLabel,HailMaryLabel)))))),"Other")</f>
        <v>0</v>
      </c>
      <c r="AL568">
        <f>IF(OR(I568="accepted",I568="cond. accept",I568="summer admit"),IF(J568="yes","CHOICE!","Accepted!"),IF(I568="denied","Denied",IF(K568=1,"Waitlist",IF(L568=1,"Deferred",IF(G568="pending","Pending",IF(OR(G568="initial materials submitted",G568="mid-year submitted",G568="final submitted"),"Submitted",IF(H568="interest","Interest","?")))))))</f>
        <v>0</v>
      </c>
      <c r="AM568">
        <f>IF(OR(AK568=ReachLabel,AK568=LongshotLabel,AK568=HailMaryLabel),1,0)</f>
        <v>0</v>
      </c>
      <c r="AN568">
        <f>IF(OR(AM568=1,AK568=MatchLabel),1,0)</f>
        <v>0</v>
      </c>
      <c r="AO568">
        <f>IF(OR(AK568=MatchLabel,AK568=SafetyLabel,AK568=SecureLabel,AK568=SureThingLabel),1,0)</f>
        <v>0</v>
      </c>
      <c r="AP568">
        <f>IF(OR(T568="H",T568="B"),IF(ISNUMBER(Y568),ROUND(Y568,2),0),IF(ISNUMBER(X568),ROUND(X568,2),0))</f>
        <v>0</v>
      </c>
      <c r="AQ568">
        <f>IF(AP568&gt;=U568,1,0)</f>
        <v>0</v>
      </c>
      <c r="AR568">
        <f>IF(AP568&gt;=V568,1,0)</f>
        <v>0</v>
      </c>
      <c r="AS568">
        <f>IF(AP568&lt;(U568-0.10),1,0)</f>
        <v>0</v>
      </c>
      <c r="AT568">
        <f>1-AJ568/100</f>
        <v>0</v>
      </c>
      <c r="AU568">
        <f>IF(AN568=1,AT568,1)</f>
        <v>0</v>
      </c>
      <c r="AV568">
        <f>IF(AM568=1,AT568,1)</f>
        <v>0</v>
      </c>
      <c r="AW568">
        <f>IF(AND(AQ568=1,ISNUMBER(AT568)),$AT568,1)</f>
        <v>0</v>
      </c>
      <c r="AX568">
        <f>IF(AND(AR568=1,ISNUMBER(AT568)),$AT568,1)</f>
        <v>0</v>
      </c>
      <c r="AY568">
        <f>IF(ISNUMBER(Y568),INDEX(AllCollegeMoney, MATCH(N568,AllCollegeNCES,0)),0)</f>
        <v>0</v>
      </c>
      <c r="AZ568">
        <f>IF(AND(AQ568=1,ISNUMBER(AT568),AY568=1),$AT568,1)</f>
        <v>0</v>
      </c>
      <c r="BA568">
        <f>IF(AND(AR568=1,ISNUMBER(AT568),AY568=1),$AT568,1)</f>
        <v>0</v>
      </c>
      <c r="BB568">
        <f>IF(ISNUMBER(Y568),INDEX(AllCollegeILPub, MATCH(N568,AllCollegeNCES,0)),0)</f>
        <v>0</v>
      </c>
      <c r="BC568">
        <f>IF(AK568=ReachLabel,AP568,0)</f>
        <v>0</v>
      </c>
      <c r="BD568">
        <f>IF(AK568=MatchLabel,AP568,0)</f>
        <v>0</v>
      </c>
      <c r="BE568">
        <f>IF(AK568=SafetyLabel,AP568,0)</f>
        <v>0</v>
      </c>
      <c r="BF568">
        <f>IF(AK568=SecureLabel,AP568,0)</f>
        <v>0</v>
      </c>
      <c r="BG568">
        <f>IF(AK568=SureThingLabel,AP568,0)</f>
        <v>0</v>
      </c>
      <c r="BH568">
        <f>MAX(BC568:BG568)</f>
        <v>0</v>
      </c>
      <c r="BI568">
        <f>MAX(BD568:BG568)</f>
        <v>0</v>
      </c>
      <c r="BJ568">
        <f>MAX(BE568:BG568)</f>
        <v>0</v>
      </c>
      <c r="BK568">
        <f>IF(AND(AK568=ReachLabel,AY568=1),AP568,0)</f>
        <v>0</v>
      </c>
      <c r="BL568">
        <f>IF(AND(AK568=MatchLabel,AY568=1),AP568,0)</f>
        <v>0</v>
      </c>
      <c r="BM568">
        <f>IF(AND(AK568=SafetyLabel,AY568=1),AP568,0)</f>
        <v>0</v>
      </c>
      <c r="BN568">
        <f>IF(AND(AK568=SecureLabel,AY568=1),AP568,0)</f>
        <v>0</v>
      </c>
      <c r="BO568">
        <f>IF(AND(AK568=SureThingLabel,AY568=1),AP568,0)</f>
        <v>0</v>
      </c>
      <c r="BP568">
        <f>MAX(BK568:BO568)</f>
        <v>0</v>
      </c>
      <c r="BQ568">
        <f>MAX(BL568:BO568)</f>
        <v>0</v>
      </c>
      <c r="BR568">
        <f>MAX(BM568:BO568)</f>
        <v>0</v>
      </c>
      <c r="BS568">
        <f>IF(ISNUMBER(Y568),INDEX(AllCollegeChicago, MATCH(N568,AllCollegeNCES,0))*AY568,0)</f>
        <v>0</v>
      </c>
      <c r="BT568">
        <f>IF(ISNUMBER(Y568),INDEX(AllCollegeMoneyCode, MATCH(N568,AllCollegeNCES,0)),"?")</f>
        <v>0</v>
      </c>
      <c r="BU568">
        <f>IF(OR(BT568="---",BT568="--",BT568="+/--",BT568="+/---"),1,0)</f>
        <v>0</v>
      </c>
      <c r="BV568">
        <f>AY568*AO568*AQ568</f>
        <v>0</v>
      </c>
    </row>
    <row r="569" spans="1:74">
      <c r="A569" t="s">
        <v>86</v>
      </c>
      <c r="B569">
        <v>23478500</v>
      </c>
      <c r="C569" t="s">
        <v>113</v>
      </c>
      <c r="D569" t="s">
        <v>114</v>
      </c>
      <c r="E569" t="s">
        <v>428</v>
      </c>
      <c r="F569" t="s">
        <v>471</v>
      </c>
      <c r="G569" t="s">
        <v>430</v>
      </c>
      <c r="H569" t="s">
        <v>431</v>
      </c>
      <c r="I569" t="s">
        <v>432</v>
      </c>
      <c r="J569" t="s">
        <v>432</v>
      </c>
      <c r="K569">
        <v>0</v>
      </c>
      <c r="L569" t="s">
        <v>428</v>
      </c>
      <c r="M569" t="s">
        <v>428</v>
      </c>
      <c r="N569">
        <v>170301</v>
      </c>
      <c r="O569">
        <f>INDEX(AllCollegeBarrons,MATCH(N569,AllCollegeNCES,0))</f>
        <v>0</v>
      </c>
      <c r="P569">
        <f>INDEX(KidGPAs,MATCH(B569,KidIDs,0))</f>
        <v>0</v>
      </c>
      <c r="Q569">
        <f>INDEX(KidACTs,MATCH(B569,KidIDs,0))</f>
        <v>0</v>
      </c>
      <c r="R569">
        <f>INDEX(Strats,MATCH(B569,KidIDs,0))</f>
        <v>0</v>
      </c>
      <c r="S569">
        <f>INDEX(KidRace,MATCH(B569,KidIDs,0))</f>
        <v>0</v>
      </c>
      <c r="T569">
        <f>IF(OR(S569="M",S569="I"),"H",S569)</f>
        <v>0</v>
      </c>
      <c r="U569">
        <f>INDEX(StudentTargets,MATCH(B569,KidIDs,0))</f>
        <v>0</v>
      </c>
      <c r="V569">
        <f>INDEX(ReachStudentTargets,MATCH(B569,KidIDs,0))</f>
        <v>0</v>
      </c>
      <c r="W569">
        <f>IF(OR(M569="Posse"),1,0)</f>
        <v>0</v>
      </c>
      <c r="X569">
        <f>IF(ISNUMBER(INDEX(AllCollegeGR, MATCH(N569,AllCollegeNCES,0))),ROUND(INDEX(AllCollegeGR, MATCH(N569,AllCollegeNCES,0))+W569*IF(INDEX(AllCollegeGR, MATCH(N569,AllCollegeNCES,0))&gt;0.7,(1-INDEX(AllCollegeGR, MATCH(N569,AllCollegeNCES,0)))/2,0.15),2),INDEX(AllCollegeGR, MATCH(N569,AllCollegeNCES,0)))</f>
        <v>0</v>
      </c>
      <c r="Y569">
        <f>IF(ISNUMBER(INDEX(AllCollegeAAHGR, MATCH(N569,AllCollegeNCES,0))),ROUND(INDEX(AllCollegeAAHGR, MATCH(N569,AllCollegeNCES,0))+W569*IF(INDEX(AllCollegeAAHGR, MATCH(N569,AllCollegeNCES,0))&gt;0.7,(1-INDEX(AllCollegeAAHGR, MATCH(N569,AllCollegeNCES,0)))/2,0.15),2),INDEX(AllCollegeAAHGR, MATCH(N569,AllCollegeNCES,0)))</f>
        <v>0</v>
      </c>
      <c r="Z569">
        <f>IF(OR(T569="H",T569="B"),INDEX(AllCollegeACT25, MATCH(N569,AllCollegeNCES,0)),INDEX(AllCollegeACT50, MATCH(N569,AllCollegeNCES,0)))</f>
        <v>0</v>
      </c>
      <c r="AA569">
        <f>INDEX(CustomWeightsGPA,MATCH(T569&amp;":"&amp;N569,CustomWeightsIndex,0))</f>
        <v>0</v>
      </c>
      <c r="AB569">
        <f>INDEX(CustomWeightsACT,MATCH(T569&amp;":"&amp;N569,CustomWeightsIndex,0))</f>
        <v>0</v>
      </c>
      <c r="AC569">
        <f>INDEX(CustomWeightsIntercept,MATCH(T569&amp;":"&amp;N569,CustomWeightsIndex,0))</f>
        <v>0</v>
      </c>
      <c r="AD569">
        <f>AA569*P569+AB569*Q569+AC569</f>
        <v>0</v>
      </c>
      <c r="AE569">
        <f>INDEX(CoefficientsGPA,MATCH(T569&amp;":"&amp;O569,CoefficientsIndex,0))</f>
        <v>0</v>
      </c>
      <c r="AF569">
        <f>INDEX(CoefficientsACT,MATCH(T569&amp;":"&amp;O569,CoefficientsIndex,0))</f>
        <v>0</v>
      </c>
      <c r="AG569">
        <f>INDEX(CoefficientsIntercept,MATCH(T569&amp;":"&amp;O569,CoefficientsIndex,0))</f>
        <v>0</v>
      </c>
      <c r="AH569">
        <f>AE569*P569+(Q569-Z569)*AF569+AG569</f>
        <v>0</v>
      </c>
      <c r="AI569">
        <f>IF(ISNUMBER(AD569),AD569,AH569)</f>
        <v>0</v>
      </c>
      <c r="AJ569">
        <f>IF(ISNUMBER(AI569),IF(ISNUMBER(AE569),IF(AND(AE569=1,AF569=1,AG569=1),100,ROUND(100*EXP(AI569)/(1+EXP(AI569)),2)),ROUND(100*EXP(AI569)/(1+EXP(AI569)),2)),IF(ISTEXT(O569),IF(LEFT(O569,1)="2",100,"N/A"),"N/A"))</f>
        <v>0</v>
      </c>
      <c r="AK569">
        <f>IF(ISNUMBER(AJ569),IF(AJ569&gt;=99,IF(OR(R569=10,R569=11),MatchLabel,SureThingLabel),IF(AJ569&gt;=95,SecureLabel,IF(AJ569&gt;=80,SafetyLabel,IF(AJ569&gt;=50,MatchLabel,IF(AJ569&gt;=20,ReachLabel,IF(AJ569&gt;=10,LongshotLabel,HailMaryLabel)))))),"Other")</f>
        <v>0</v>
      </c>
      <c r="AL569">
        <f>IF(OR(I569="accepted",I569="cond. accept",I569="summer admit"),IF(J569="yes","CHOICE!","Accepted!"),IF(I569="denied","Denied",IF(K569=1,"Waitlist",IF(L569=1,"Deferred",IF(G569="pending","Pending",IF(OR(G569="initial materials submitted",G569="mid-year submitted",G569="final submitted"),"Submitted",IF(H569="interest","Interest","?")))))))</f>
        <v>0</v>
      </c>
      <c r="AM569">
        <f>IF(OR(AK569=ReachLabel,AK569=LongshotLabel,AK569=HailMaryLabel),1,0)</f>
        <v>0</v>
      </c>
      <c r="AN569">
        <f>IF(OR(AM569=1,AK569=MatchLabel),1,0)</f>
        <v>0</v>
      </c>
      <c r="AO569">
        <f>IF(OR(AK569=MatchLabel,AK569=SafetyLabel,AK569=SecureLabel,AK569=SureThingLabel),1,0)</f>
        <v>0</v>
      </c>
      <c r="AP569">
        <f>IF(OR(T569="H",T569="B"),IF(ISNUMBER(Y569),ROUND(Y569,2),0),IF(ISNUMBER(X569),ROUND(X569,2),0))</f>
        <v>0</v>
      </c>
      <c r="AQ569">
        <f>IF(AP569&gt;=U569,1,0)</f>
        <v>0</v>
      </c>
      <c r="AR569">
        <f>IF(AP569&gt;=V569,1,0)</f>
        <v>0</v>
      </c>
      <c r="AS569">
        <f>IF(AP569&lt;(U569-0.10),1,0)</f>
        <v>0</v>
      </c>
      <c r="AT569">
        <f>1-AJ569/100</f>
        <v>0</v>
      </c>
      <c r="AU569">
        <f>IF(AN569=1,AT569,1)</f>
        <v>0</v>
      </c>
      <c r="AV569">
        <f>IF(AM569=1,AT569,1)</f>
        <v>0</v>
      </c>
      <c r="AW569">
        <f>IF(AND(AQ569=1,ISNUMBER(AT569)),$AT569,1)</f>
        <v>0</v>
      </c>
      <c r="AX569">
        <f>IF(AND(AR569=1,ISNUMBER(AT569)),$AT569,1)</f>
        <v>0</v>
      </c>
      <c r="AY569">
        <f>IF(ISNUMBER(Y569),INDEX(AllCollegeMoney, MATCH(N569,AllCollegeNCES,0)),0)</f>
        <v>0</v>
      </c>
      <c r="AZ569">
        <f>IF(AND(AQ569=1,ISNUMBER(AT569),AY569=1),$AT569,1)</f>
        <v>0</v>
      </c>
      <c r="BA569">
        <f>IF(AND(AR569=1,ISNUMBER(AT569),AY569=1),$AT569,1)</f>
        <v>0</v>
      </c>
      <c r="BB569">
        <f>IF(ISNUMBER(Y569),INDEX(AllCollegeILPub, MATCH(N569,AllCollegeNCES,0)),0)</f>
        <v>0</v>
      </c>
      <c r="BC569">
        <f>IF(AK569=ReachLabel,AP569,0)</f>
        <v>0</v>
      </c>
      <c r="BD569">
        <f>IF(AK569=MatchLabel,AP569,0)</f>
        <v>0</v>
      </c>
      <c r="BE569">
        <f>IF(AK569=SafetyLabel,AP569,0)</f>
        <v>0</v>
      </c>
      <c r="BF569">
        <f>IF(AK569=SecureLabel,AP569,0)</f>
        <v>0</v>
      </c>
      <c r="BG569">
        <f>IF(AK569=SureThingLabel,AP569,0)</f>
        <v>0</v>
      </c>
      <c r="BH569">
        <f>MAX(BC569:BG569)</f>
        <v>0</v>
      </c>
      <c r="BI569">
        <f>MAX(BD569:BG569)</f>
        <v>0</v>
      </c>
      <c r="BJ569">
        <f>MAX(BE569:BG569)</f>
        <v>0</v>
      </c>
      <c r="BK569">
        <f>IF(AND(AK569=ReachLabel,AY569=1),AP569,0)</f>
        <v>0</v>
      </c>
      <c r="BL569">
        <f>IF(AND(AK569=MatchLabel,AY569=1),AP569,0)</f>
        <v>0</v>
      </c>
      <c r="BM569">
        <f>IF(AND(AK569=SafetyLabel,AY569=1),AP569,0)</f>
        <v>0</v>
      </c>
      <c r="BN569">
        <f>IF(AND(AK569=SecureLabel,AY569=1),AP569,0)</f>
        <v>0</v>
      </c>
      <c r="BO569">
        <f>IF(AND(AK569=SureThingLabel,AY569=1),AP569,0)</f>
        <v>0</v>
      </c>
      <c r="BP569">
        <f>MAX(BK569:BO569)</f>
        <v>0</v>
      </c>
      <c r="BQ569">
        <f>MAX(BL569:BO569)</f>
        <v>0</v>
      </c>
      <c r="BR569">
        <f>MAX(BM569:BO569)</f>
        <v>0</v>
      </c>
      <c r="BS569">
        <f>IF(ISNUMBER(Y569),INDEX(AllCollegeChicago, MATCH(N569,AllCollegeNCES,0))*AY569,0)</f>
        <v>0</v>
      </c>
      <c r="BT569">
        <f>IF(ISNUMBER(Y569),INDEX(AllCollegeMoneyCode, MATCH(N569,AllCollegeNCES,0)),"?")</f>
        <v>0</v>
      </c>
      <c r="BU569">
        <f>IF(OR(BT569="---",BT569="--",BT569="+/--",BT569="+/---"),1,0)</f>
        <v>0</v>
      </c>
      <c r="BV569">
        <f>AY569*AO569*AQ569</f>
        <v>0</v>
      </c>
    </row>
    <row r="570" spans="1:74">
      <c r="A570" t="s">
        <v>86</v>
      </c>
      <c r="B570">
        <v>23499435</v>
      </c>
      <c r="C570" t="s">
        <v>305</v>
      </c>
      <c r="D570" t="s">
        <v>306</v>
      </c>
      <c r="E570" t="s">
        <v>428</v>
      </c>
      <c r="F570" t="s">
        <v>453</v>
      </c>
      <c r="G570" t="s">
        <v>430</v>
      </c>
      <c r="H570" t="s">
        <v>431</v>
      </c>
      <c r="I570" t="s">
        <v>432</v>
      </c>
      <c r="J570" t="s">
        <v>432</v>
      </c>
      <c r="K570">
        <v>0</v>
      </c>
      <c r="L570" t="s">
        <v>428</v>
      </c>
      <c r="M570" t="s">
        <v>428</v>
      </c>
      <c r="N570">
        <v>212674</v>
      </c>
      <c r="O570">
        <f>INDEX(AllCollegeBarrons,MATCH(N570,AllCollegeNCES,0))</f>
        <v>0</v>
      </c>
      <c r="P570">
        <f>INDEX(KidGPAs,MATCH(B570,KidIDs,0))</f>
        <v>0</v>
      </c>
      <c r="Q570">
        <f>INDEX(KidACTs,MATCH(B570,KidIDs,0))</f>
        <v>0</v>
      </c>
      <c r="R570">
        <f>INDEX(Strats,MATCH(B570,KidIDs,0))</f>
        <v>0</v>
      </c>
      <c r="S570">
        <f>INDEX(KidRace,MATCH(B570,KidIDs,0))</f>
        <v>0</v>
      </c>
      <c r="T570">
        <f>IF(OR(S570="M",S570="I"),"H",S570)</f>
        <v>0</v>
      </c>
      <c r="U570">
        <f>INDEX(StudentTargets,MATCH(B570,KidIDs,0))</f>
        <v>0</v>
      </c>
      <c r="V570">
        <f>INDEX(ReachStudentTargets,MATCH(B570,KidIDs,0))</f>
        <v>0</v>
      </c>
      <c r="W570">
        <f>IF(OR(M570="Posse"),1,0)</f>
        <v>0</v>
      </c>
      <c r="X570">
        <f>IF(ISNUMBER(INDEX(AllCollegeGR, MATCH(N570,AllCollegeNCES,0))),ROUND(INDEX(AllCollegeGR, MATCH(N570,AllCollegeNCES,0))+W570*IF(INDEX(AllCollegeGR, MATCH(N570,AllCollegeNCES,0))&gt;0.7,(1-INDEX(AllCollegeGR, MATCH(N570,AllCollegeNCES,0)))/2,0.15),2),INDEX(AllCollegeGR, MATCH(N570,AllCollegeNCES,0)))</f>
        <v>0</v>
      </c>
      <c r="Y570">
        <f>IF(ISNUMBER(INDEX(AllCollegeAAHGR, MATCH(N570,AllCollegeNCES,0))),ROUND(INDEX(AllCollegeAAHGR, MATCH(N570,AllCollegeNCES,0))+W570*IF(INDEX(AllCollegeAAHGR, MATCH(N570,AllCollegeNCES,0))&gt;0.7,(1-INDEX(AllCollegeAAHGR, MATCH(N570,AllCollegeNCES,0)))/2,0.15),2),INDEX(AllCollegeAAHGR, MATCH(N570,AllCollegeNCES,0)))</f>
        <v>0</v>
      </c>
      <c r="Z570">
        <f>IF(OR(T570="H",T570="B"),INDEX(AllCollegeACT25, MATCH(N570,AllCollegeNCES,0)),INDEX(AllCollegeACT50, MATCH(N570,AllCollegeNCES,0)))</f>
        <v>0</v>
      </c>
      <c r="AA570">
        <f>INDEX(CustomWeightsGPA,MATCH(T570&amp;":"&amp;N570,CustomWeightsIndex,0))</f>
        <v>0</v>
      </c>
      <c r="AB570">
        <f>INDEX(CustomWeightsACT,MATCH(T570&amp;":"&amp;N570,CustomWeightsIndex,0))</f>
        <v>0</v>
      </c>
      <c r="AC570">
        <f>INDEX(CustomWeightsIntercept,MATCH(T570&amp;":"&amp;N570,CustomWeightsIndex,0))</f>
        <v>0</v>
      </c>
      <c r="AD570">
        <f>AA570*P570+AB570*Q570+AC570</f>
        <v>0</v>
      </c>
      <c r="AE570">
        <f>INDEX(CoefficientsGPA,MATCH(T570&amp;":"&amp;O570,CoefficientsIndex,0))</f>
        <v>0</v>
      </c>
      <c r="AF570">
        <f>INDEX(CoefficientsACT,MATCH(T570&amp;":"&amp;O570,CoefficientsIndex,0))</f>
        <v>0</v>
      </c>
      <c r="AG570">
        <f>INDEX(CoefficientsIntercept,MATCH(T570&amp;":"&amp;O570,CoefficientsIndex,0))</f>
        <v>0</v>
      </c>
      <c r="AH570">
        <f>AE570*P570+(Q570-Z570)*AF570+AG570</f>
        <v>0</v>
      </c>
      <c r="AI570">
        <f>IF(ISNUMBER(AD570),AD570,AH570)</f>
        <v>0</v>
      </c>
      <c r="AJ570">
        <f>IF(ISNUMBER(AI570),IF(ISNUMBER(AE570),IF(AND(AE570=1,AF570=1,AG570=1),100,ROUND(100*EXP(AI570)/(1+EXP(AI570)),2)),ROUND(100*EXP(AI570)/(1+EXP(AI570)),2)),IF(ISTEXT(O570),IF(LEFT(O570,1)="2",100,"N/A"),"N/A"))</f>
        <v>0</v>
      </c>
      <c r="AK570">
        <f>IF(ISNUMBER(AJ570),IF(AJ570&gt;=99,IF(OR(R570=10,R570=11),MatchLabel,SureThingLabel),IF(AJ570&gt;=95,SecureLabel,IF(AJ570&gt;=80,SafetyLabel,IF(AJ570&gt;=50,MatchLabel,IF(AJ570&gt;=20,ReachLabel,IF(AJ570&gt;=10,LongshotLabel,HailMaryLabel)))))),"Other")</f>
        <v>0</v>
      </c>
      <c r="AL570">
        <f>IF(OR(I570="accepted",I570="cond. accept",I570="summer admit"),IF(J570="yes","CHOICE!","Accepted!"),IF(I570="denied","Denied",IF(K570=1,"Waitlist",IF(L570=1,"Deferred",IF(G570="pending","Pending",IF(OR(G570="initial materials submitted",G570="mid-year submitted",G570="final submitted"),"Submitted",IF(H570="interest","Interest","?")))))))</f>
        <v>0</v>
      </c>
      <c r="AM570">
        <f>IF(OR(AK570=ReachLabel,AK570=LongshotLabel,AK570=HailMaryLabel),1,0)</f>
        <v>0</v>
      </c>
      <c r="AN570">
        <f>IF(OR(AM570=1,AK570=MatchLabel),1,0)</f>
        <v>0</v>
      </c>
      <c r="AO570">
        <f>IF(OR(AK570=MatchLabel,AK570=SafetyLabel,AK570=SecureLabel,AK570=SureThingLabel),1,0)</f>
        <v>0</v>
      </c>
      <c r="AP570">
        <f>IF(OR(T570="H",T570="B"),IF(ISNUMBER(Y570),ROUND(Y570,2),0),IF(ISNUMBER(X570),ROUND(X570,2),0))</f>
        <v>0</v>
      </c>
      <c r="AQ570">
        <f>IF(AP570&gt;=U570,1,0)</f>
        <v>0</v>
      </c>
      <c r="AR570">
        <f>IF(AP570&gt;=V570,1,0)</f>
        <v>0</v>
      </c>
      <c r="AS570">
        <f>IF(AP570&lt;(U570-0.10),1,0)</f>
        <v>0</v>
      </c>
      <c r="AT570">
        <f>1-AJ570/100</f>
        <v>0</v>
      </c>
      <c r="AU570">
        <f>IF(AN570=1,AT570,1)</f>
        <v>0</v>
      </c>
      <c r="AV570">
        <f>IF(AM570=1,AT570,1)</f>
        <v>0</v>
      </c>
      <c r="AW570">
        <f>IF(AND(AQ570=1,ISNUMBER(AT570)),$AT570,1)</f>
        <v>0</v>
      </c>
      <c r="AX570">
        <f>IF(AND(AR570=1,ISNUMBER(AT570)),$AT570,1)</f>
        <v>0</v>
      </c>
      <c r="AY570">
        <f>IF(ISNUMBER(Y570),INDEX(AllCollegeMoney, MATCH(N570,AllCollegeNCES,0)),0)</f>
        <v>0</v>
      </c>
      <c r="AZ570">
        <f>IF(AND(AQ570=1,ISNUMBER(AT570),AY570=1),$AT570,1)</f>
        <v>0</v>
      </c>
      <c r="BA570">
        <f>IF(AND(AR570=1,ISNUMBER(AT570),AY570=1),$AT570,1)</f>
        <v>0</v>
      </c>
      <c r="BB570">
        <f>IF(ISNUMBER(Y570),INDEX(AllCollegeILPub, MATCH(N570,AllCollegeNCES,0)),0)</f>
        <v>0</v>
      </c>
      <c r="BC570">
        <f>IF(AK570=ReachLabel,AP570,0)</f>
        <v>0</v>
      </c>
      <c r="BD570">
        <f>IF(AK570=MatchLabel,AP570,0)</f>
        <v>0</v>
      </c>
      <c r="BE570">
        <f>IF(AK570=SafetyLabel,AP570,0)</f>
        <v>0</v>
      </c>
      <c r="BF570">
        <f>IF(AK570=SecureLabel,AP570,0)</f>
        <v>0</v>
      </c>
      <c r="BG570">
        <f>IF(AK570=SureThingLabel,AP570,0)</f>
        <v>0</v>
      </c>
      <c r="BH570">
        <f>MAX(BC570:BG570)</f>
        <v>0</v>
      </c>
      <c r="BI570">
        <f>MAX(BD570:BG570)</f>
        <v>0</v>
      </c>
      <c r="BJ570">
        <f>MAX(BE570:BG570)</f>
        <v>0</v>
      </c>
      <c r="BK570">
        <f>IF(AND(AK570=ReachLabel,AY570=1),AP570,0)</f>
        <v>0</v>
      </c>
      <c r="BL570">
        <f>IF(AND(AK570=MatchLabel,AY570=1),AP570,0)</f>
        <v>0</v>
      </c>
      <c r="BM570">
        <f>IF(AND(AK570=SafetyLabel,AY570=1),AP570,0)</f>
        <v>0</v>
      </c>
      <c r="BN570">
        <f>IF(AND(AK570=SecureLabel,AY570=1),AP570,0)</f>
        <v>0</v>
      </c>
      <c r="BO570">
        <f>IF(AND(AK570=SureThingLabel,AY570=1),AP570,0)</f>
        <v>0</v>
      </c>
      <c r="BP570">
        <f>MAX(BK570:BO570)</f>
        <v>0</v>
      </c>
      <c r="BQ570">
        <f>MAX(BL570:BO570)</f>
        <v>0</v>
      </c>
      <c r="BR570">
        <f>MAX(BM570:BO570)</f>
        <v>0</v>
      </c>
      <c r="BS570">
        <f>IF(ISNUMBER(Y570),INDEX(AllCollegeChicago, MATCH(N570,AllCollegeNCES,0))*AY570,0)</f>
        <v>0</v>
      </c>
      <c r="BT570">
        <f>IF(ISNUMBER(Y570),INDEX(AllCollegeMoneyCode, MATCH(N570,AllCollegeNCES,0)),"?")</f>
        <v>0</v>
      </c>
      <c r="BU570">
        <f>IF(OR(BT570="---",BT570="--",BT570="+/--",BT570="+/---"),1,0)</f>
        <v>0</v>
      </c>
      <c r="BV570">
        <f>AY570*AO570*AQ570</f>
        <v>0</v>
      </c>
    </row>
    <row r="571" spans="1:74">
      <c r="A571" t="s">
        <v>86</v>
      </c>
      <c r="B571">
        <v>23499435</v>
      </c>
      <c r="C571" t="s">
        <v>305</v>
      </c>
      <c r="D571" t="s">
        <v>306</v>
      </c>
      <c r="E571" t="s">
        <v>428</v>
      </c>
      <c r="F571" t="s">
        <v>499</v>
      </c>
      <c r="G571" t="s">
        <v>430</v>
      </c>
      <c r="H571" t="s">
        <v>431</v>
      </c>
      <c r="I571" t="s">
        <v>432</v>
      </c>
      <c r="J571" t="s">
        <v>432</v>
      </c>
      <c r="K571">
        <v>0</v>
      </c>
      <c r="L571" t="s">
        <v>428</v>
      </c>
      <c r="M571" t="s">
        <v>428</v>
      </c>
      <c r="N571">
        <v>117946</v>
      </c>
      <c r="O571">
        <f>INDEX(AllCollegeBarrons,MATCH(N571,AllCollegeNCES,0))</f>
        <v>0</v>
      </c>
      <c r="P571">
        <f>INDEX(KidGPAs,MATCH(B571,KidIDs,0))</f>
        <v>0</v>
      </c>
      <c r="Q571">
        <f>INDEX(KidACTs,MATCH(B571,KidIDs,0))</f>
        <v>0</v>
      </c>
      <c r="R571">
        <f>INDEX(Strats,MATCH(B571,KidIDs,0))</f>
        <v>0</v>
      </c>
      <c r="S571">
        <f>INDEX(KidRace,MATCH(B571,KidIDs,0))</f>
        <v>0</v>
      </c>
      <c r="T571">
        <f>IF(OR(S571="M",S571="I"),"H",S571)</f>
        <v>0</v>
      </c>
      <c r="U571">
        <f>INDEX(StudentTargets,MATCH(B571,KidIDs,0))</f>
        <v>0</v>
      </c>
      <c r="V571">
        <f>INDEX(ReachStudentTargets,MATCH(B571,KidIDs,0))</f>
        <v>0</v>
      </c>
      <c r="W571">
        <f>IF(OR(M571="Posse"),1,0)</f>
        <v>0</v>
      </c>
      <c r="X571">
        <f>IF(ISNUMBER(INDEX(AllCollegeGR, MATCH(N571,AllCollegeNCES,0))),ROUND(INDEX(AllCollegeGR, MATCH(N571,AllCollegeNCES,0))+W571*IF(INDEX(AllCollegeGR, MATCH(N571,AllCollegeNCES,0))&gt;0.7,(1-INDEX(AllCollegeGR, MATCH(N571,AllCollegeNCES,0)))/2,0.15),2),INDEX(AllCollegeGR, MATCH(N571,AllCollegeNCES,0)))</f>
        <v>0</v>
      </c>
      <c r="Y571">
        <f>IF(ISNUMBER(INDEX(AllCollegeAAHGR, MATCH(N571,AllCollegeNCES,0))),ROUND(INDEX(AllCollegeAAHGR, MATCH(N571,AllCollegeNCES,0))+W571*IF(INDEX(AllCollegeAAHGR, MATCH(N571,AllCollegeNCES,0))&gt;0.7,(1-INDEX(AllCollegeAAHGR, MATCH(N571,AllCollegeNCES,0)))/2,0.15),2),INDEX(AllCollegeAAHGR, MATCH(N571,AllCollegeNCES,0)))</f>
        <v>0</v>
      </c>
      <c r="Z571">
        <f>IF(OR(T571="H",T571="B"),INDEX(AllCollegeACT25, MATCH(N571,AllCollegeNCES,0)),INDEX(AllCollegeACT50, MATCH(N571,AllCollegeNCES,0)))</f>
        <v>0</v>
      </c>
      <c r="AA571">
        <f>INDEX(CustomWeightsGPA,MATCH(T571&amp;":"&amp;N571,CustomWeightsIndex,0))</f>
        <v>0</v>
      </c>
      <c r="AB571">
        <f>INDEX(CustomWeightsACT,MATCH(T571&amp;":"&amp;N571,CustomWeightsIndex,0))</f>
        <v>0</v>
      </c>
      <c r="AC571">
        <f>INDEX(CustomWeightsIntercept,MATCH(T571&amp;":"&amp;N571,CustomWeightsIndex,0))</f>
        <v>0</v>
      </c>
      <c r="AD571">
        <f>AA571*P571+AB571*Q571+AC571</f>
        <v>0</v>
      </c>
      <c r="AE571">
        <f>INDEX(CoefficientsGPA,MATCH(T571&amp;":"&amp;O571,CoefficientsIndex,0))</f>
        <v>0</v>
      </c>
      <c r="AF571">
        <f>INDEX(CoefficientsACT,MATCH(T571&amp;":"&amp;O571,CoefficientsIndex,0))</f>
        <v>0</v>
      </c>
      <c r="AG571">
        <f>INDEX(CoefficientsIntercept,MATCH(T571&amp;":"&amp;O571,CoefficientsIndex,0))</f>
        <v>0</v>
      </c>
      <c r="AH571">
        <f>AE571*P571+(Q571-Z571)*AF571+AG571</f>
        <v>0</v>
      </c>
      <c r="AI571">
        <f>IF(ISNUMBER(AD571),AD571,AH571)</f>
        <v>0</v>
      </c>
      <c r="AJ571">
        <f>IF(ISNUMBER(AI571),IF(ISNUMBER(AE571),IF(AND(AE571=1,AF571=1,AG571=1),100,ROUND(100*EXP(AI571)/(1+EXP(AI571)),2)),ROUND(100*EXP(AI571)/(1+EXP(AI571)),2)),IF(ISTEXT(O571),IF(LEFT(O571,1)="2",100,"N/A"),"N/A"))</f>
        <v>0</v>
      </c>
      <c r="AK571">
        <f>IF(ISNUMBER(AJ571),IF(AJ571&gt;=99,IF(OR(R571=10,R571=11),MatchLabel,SureThingLabel),IF(AJ571&gt;=95,SecureLabel,IF(AJ571&gt;=80,SafetyLabel,IF(AJ571&gt;=50,MatchLabel,IF(AJ571&gt;=20,ReachLabel,IF(AJ571&gt;=10,LongshotLabel,HailMaryLabel)))))),"Other")</f>
        <v>0</v>
      </c>
      <c r="AL571">
        <f>IF(OR(I571="accepted",I571="cond. accept",I571="summer admit"),IF(J571="yes","CHOICE!","Accepted!"),IF(I571="denied","Denied",IF(K571=1,"Waitlist",IF(L571=1,"Deferred",IF(G571="pending","Pending",IF(OR(G571="initial materials submitted",G571="mid-year submitted",G571="final submitted"),"Submitted",IF(H571="interest","Interest","?")))))))</f>
        <v>0</v>
      </c>
      <c r="AM571">
        <f>IF(OR(AK571=ReachLabel,AK571=LongshotLabel,AK571=HailMaryLabel),1,0)</f>
        <v>0</v>
      </c>
      <c r="AN571">
        <f>IF(OR(AM571=1,AK571=MatchLabel),1,0)</f>
        <v>0</v>
      </c>
      <c r="AO571">
        <f>IF(OR(AK571=MatchLabel,AK571=SafetyLabel,AK571=SecureLabel,AK571=SureThingLabel),1,0)</f>
        <v>0</v>
      </c>
      <c r="AP571">
        <f>IF(OR(T571="H",T571="B"),IF(ISNUMBER(Y571),ROUND(Y571,2),0),IF(ISNUMBER(X571),ROUND(X571,2),0))</f>
        <v>0</v>
      </c>
      <c r="AQ571">
        <f>IF(AP571&gt;=U571,1,0)</f>
        <v>0</v>
      </c>
      <c r="AR571">
        <f>IF(AP571&gt;=V571,1,0)</f>
        <v>0</v>
      </c>
      <c r="AS571">
        <f>IF(AP571&lt;(U571-0.10),1,0)</f>
        <v>0</v>
      </c>
      <c r="AT571">
        <f>1-AJ571/100</f>
        <v>0</v>
      </c>
      <c r="AU571">
        <f>IF(AN571=1,AT571,1)</f>
        <v>0</v>
      </c>
      <c r="AV571">
        <f>IF(AM571=1,AT571,1)</f>
        <v>0</v>
      </c>
      <c r="AW571">
        <f>IF(AND(AQ571=1,ISNUMBER(AT571)),$AT571,1)</f>
        <v>0</v>
      </c>
      <c r="AX571">
        <f>IF(AND(AR571=1,ISNUMBER(AT571)),$AT571,1)</f>
        <v>0</v>
      </c>
      <c r="AY571">
        <f>IF(ISNUMBER(Y571),INDEX(AllCollegeMoney, MATCH(N571,AllCollegeNCES,0)),0)</f>
        <v>0</v>
      </c>
      <c r="AZ571">
        <f>IF(AND(AQ571=1,ISNUMBER(AT571),AY571=1),$AT571,1)</f>
        <v>0</v>
      </c>
      <c r="BA571">
        <f>IF(AND(AR571=1,ISNUMBER(AT571),AY571=1),$AT571,1)</f>
        <v>0</v>
      </c>
      <c r="BB571">
        <f>IF(ISNUMBER(Y571),INDEX(AllCollegeILPub, MATCH(N571,AllCollegeNCES,0)),0)</f>
        <v>0</v>
      </c>
      <c r="BC571">
        <f>IF(AK571=ReachLabel,AP571,0)</f>
        <v>0</v>
      </c>
      <c r="BD571">
        <f>IF(AK571=MatchLabel,AP571,0)</f>
        <v>0</v>
      </c>
      <c r="BE571">
        <f>IF(AK571=SafetyLabel,AP571,0)</f>
        <v>0</v>
      </c>
      <c r="BF571">
        <f>IF(AK571=SecureLabel,AP571,0)</f>
        <v>0</v>
      </c>
      <c r="BG571">
        <f>IF(AK571=SureThingLabel,AP571,0)</f>
        <v>0</v>
      </c>
      <c r="BH571">
        <f>MAX(BC571:BG571)</f>
        <v>0</v>
      </c>
      <c r="BI571">
        <f>MAX(BD571:BG571)</f>
        <v>0</v>
      </c>
      <c r="BJ571">
        <f>MAX(BE571:BG571)</f>
        <v>0</v>
      </c>
      <c r="BK571">
        <f>IF(AND(AK571=ReachLabel,AY571=1),AP571,0)</f>
        <v>0</v>
      </c>
      <c r="BL571">
        <f>IF(AND(AK571=MatchLabel,AY571=1),AP571,0)</f>
        <v>0</v>
      </c>
      <c r="BM571">
        <f>IF(AND(AK571=SafetyLabel,AY571=1),AP571,0)</f>
        <v>0</v>
      </c>
      <c r="BN571">
        <f>IF(AND(AK571=SecureLabel,AY571=1),AP571,0)</f>
        <v>0</v>
      </c>
      <c r="BO571">
        <f>IF(AND(AK571=SureThingLabel,AY571=1),AP571,0)</f>
        <v>0</v>
      </c>
      <c r="BP571">
        <f>MAX(BK571:BO571)</f>
        <v>0</v>
      </c>
      <c r="BQ571">
        <f>MAX(BL571:BO571)</f>
        <v>0</v>
      </c>
      <c r="BR571">
        <f>MAX(BM571:BO571)</f>
        <v>0</v>
      </c>
      <c r="BS571">
        <f>IF(ISNUMBER(Y571),INDEX(AllCollegeChicago, MATCH(N571,AllCollegeNCES,0))*AY571,0)</f>
        <v>0</v>
      </c>
      <c r="BT571">
        <f>IF(ISNUMBER(Y571),INDEX(AllCollegeMoneyCode, MATCH(N571,AllCollegeNCES,0)),"?")</f>
        <v>0</v>
      </c>
      <c r="BU571">
        <f>IF(OR(BT571="---",BT571="--",BT571="+/--",BT571="+/---"),1,0)</f>
        <v>0</v>
      </c>
      <c r="BV571">
        <f>AY571*AO571*AQ571</f>
        <v>0</v>
      </c>
    </row>
    <row r="572" spans="1:74">
      <c r="A572" t="s">
        <v>86</v>
      </c>
      <c r="B572">
        <v>23499435</v>
      </c>
      <c r="C572" t="s">
        <v>305</v>
      </c>
      <c r="D572" t="s">
        <v>306</v>
      </c>
      <c r="E572" t="s">
        <v>428</v>
      </c>
      <c r="F572" t="s">
        <v>454</v>
      </c>
      <c r="G572" t="s">
        <v>430</v>
      </c>
      <c r="H572" t="s">
        <v>431</v>
      </c>
      <c r="I572" t="s">
        <v>432</v>
      </c>
      <c r="J572" t="s">
        <v>432</v>
      </c>
      <c r="K572">
        <v>0</v>
      </c>
      <c r="L572" t="s">
        <v>428</v>
      </c>
      <c r="M572" t="s">
        <v>428</v>
      </c>
      <c r="N572">
        <v>170532</v>
      </c>
      <c r="O572">
        <f>INDEX(AllCollegeBarrons,MATCH(N572,AllCollegeNCES,0))</f>
        <v>0</v>
      </c>
      <c r="P572">
        <f>INDEX(KidGPAs,MATCH(B572,KidIDs,0))</f>
        <v>0</v>
      </c>
      <c r="Q572">
        <f>INDEX(KidACTs,MATCH(B572,KidIDs,0))</f>
        <v>0</v>
      </c>
      <c r="R572">
        <f>INDEX(Strats,MATCH(B572,KidIDs,0))</f>
        <v>0</v>
      </c>
      <c r="S572">
        <f>INDEX(KidRace,MATCH(B572,KidIDs,0))</f>
        <v>0</v>
      </c>
      <c r="T572">
        <f>IF(OR(S572="M",S572="I"),"H",S572)</f>
        <v>0</v>
      </c>
      <c r="U572">
        <f>INDEX(StudentTargets,MATCH(B572,KidIDs,0))</f>
        <v>0</v>
      </c>
      <c r="V572">
        <f>INDEX(ReachStudentTargets,MATCH(B572,KidIDs,0))</f>
        <v>0</v>
      </c>
      <c r="W572">
        <f>IF(OR(M572="Posse"),1,0)</f>
        <v>0</v>
      </c>
      <c r="X572">
        <f>IF(ISNUMBER(INDEX(AllCollegeGR, MATCH(N572,AllCollegeNCES,0))),ROUND(INDEX(AllCollegeGR, MATCH(N572,AllCollegeNCES,0))+W572*IF(INDEX(AllCollegeGR, MATCH(N572,AllCollegeNCES,0))&gt;0.7,(1-INDEX(AllCollegeGR, MATCH(N572,AllCollegeNCES,0)))/2,0.15),2),INDEX(AllCollegeGR, MATCH(N572,AllCollegeNCES,0)))</f>
        <v>0</v>
      </c>
      <c r="Y572">
        <f>IF(ISNUMBER(INDEX(AllCollegeAAHGR, MATCH(N572,AllCollegeNCES,0))),ROUND(INDEX(AllCollegeAAHGR, MATCH(N572,AllCollegeNCES,0))+W572*IF(INDEX(AllCollegeAAHGR, MATCH(N572,AllCollegeNCES,0))&gt;0.7,(1-INDEX(AllCollegeAAHGR, MATCH(N572,AllCollegeNCES,0)))/2,0.15),2),INDEX(AllCollegeAAHGR, MATCH(N572,AllCollegeNCES,0)))</f>
        <v>0</v>
      </c>
      <c r="Z572">
        <f>IF(OR(T572="H",T572="B"),INDEX(AllCollegeACT25, MATCH(N572,AllCollegeNCES,0)),INDEX(AllCollegeACT50, MATCH(N572,AllCollegeNCES,0)))</f>
        <v>0</v>
      </c>
      <c r="AA572">
        <f>INDEX(CustomWeightsGPA,MATCH(T572&amp;":"&amp;N572,CustomWeightsIndex,0))</f>
        <v>0</v>
      </c>
      <c r="AB572">
        <f>INDEX(CustomWeightsACT,MATCH(T572&amp;":"&amp;N572,CustomWeightsIndex,0))</f>
        <v>0</v>
      </c>
      <c r="AC572">
        <f>INDEX(CustomWeightsIntercept,MATCH(T572&amp;":"&amp;N572,CustomWeightsIndex,0))</f>
        <v>0</v>
      </c>
      <c r="AD572">
        <f>AA572*P572+AB572*Q572+AC572</f>
        <v>0</v>
      </c>
      <c r="AE572">
        <f>INDEX(CoefficientsGPA,MATCH(T572&amp;":"&amp;O572,CoefficientsIndex,0))</f>
        <v>0</v>
      </c>
      <c r="AF572">
        <f>INDEX(CoefficientsACT,MATCH(T572&amp;":"&amp;O572,CoefficientsIndex,0))</f>
        <v>0</v>
      </c>
      <c r="AG572">
        <f>INDEX(CoefficientsIntercept,MATCH(T572&amp;":"&amp;O572,CoefficientsIndex,0))</f>
        <v>0</v>
      </c>
      <c r="AH572">
        <f>AE572*P572+(Q572-Z572)*AF572+AG572</f>
        <v>0</v>
      </c>
      <c r="AI572">
        <f>IF(ISNUMBER(AD572),AD572,AH572)</f>
        <v>0</v>
      </c>
      <c r="AJ572">
        <f>IF(ISNUMBER(AI572),IF(ISNUMBER(AE572),IF(AND(AE572=1,AF572=1,AG572=1),100,ROUND(100*EXP(AI572)/(1+EXP(AI572)),2)),ROUND(100*EXP(AI572)/(1+EXP(AI572)),2)),IF(ISTEXT(O572),IF(LEFT(O572,1)="2",100,"N/A"),"N/A"))</f>
        <v>0</v>
      </c>
      <c r="AK572">
        <f>IF(ISNUMBER(AJ572),IF(AJ572&gt;=99,IF(OR(R572=10,R572=11),MatchLabel,SureThingLabel),IF(AJ572&gt;=95,SecureLabel,IF(AJ572&gt;=80,SafetyLabel,IF(AJ572&gt;=50,MatchLabel,IF(AJ572&gt;=20,ReachLabel,IF(AJ572&gt;=10,LongshotLabel,HailMaryLabel)))))),"Other")</f>
        <v>0</v>
      </c>
      <c r="AL572">
        <f>IF(OR(I572="accepted",I572="cond. accept",I572="summer admit"),IF(J572="yes","CHOICE!","Accepted!"),IF(I572="denied","Denied",IF(K572=1,"Waitlist",IF(L572=1,"Deferred",IF(G572="pending","Pending",IF(OR(G572="initial materials submitted",G572="mid-year submitted",G572="final submitted"),"Submitted",IF(H572="interest","Interest","?")))))))</f>
        <v>0</v>
      </c>
      <c r="AM572">
        <f>IF(OR(AK572=ReachLabel,AK572=LongshotLabel,AK572=HailMaryLabel),1,0)</f>
        <v>0</v>
      </c>
      <c r="AN572">
        <f>IF(OR(AM572=1,AK572=MatchLabel),1,0)</f>
        <v>0</v>
      </c>
      <c r="AO572">
        <f>IF(OR(AK572=MatchLabel,AK572=SafetyLabel,AK572=SecureLabel,AK572=SureThingLabel),1,0)</f>
        <v>0</v>
      </c>
      <c r="AP572">
        <f>IF(OR(T572="H",T572="B"),IF(ISNUMBER(Y572),ROUND(Y572,2),0),IF(ISNUMBER(X572),ROUND(X572,2),0))</f>
        <v>0</v>
      </c>
      <c r="AQ572">
        <f>IF(AP572&gt;=U572,1,0)</f>
        <v>0</v>
      </c>
      <c r="AR572">
        <f>IF(AP572&gt;=V572,1,0)</f>
        <v>0</v>
      </c>
      <c r="AS572">
        <f>IF(AP572&lt;(U572-0.10),1,0)</f>
        <v>0</v>
      </c>
      <c r="AT572">
        <f>1-AJ572/100</f>
        <v>0</v>
      </c>
      <c r="AU572">
        <f>IF(AN572=1,AT572,1)</f>
        <v>0</v>
      </c>
      <c r="AV572">
        <f>IF(AM572=1,AT572,1)</f>
        <v>0</v>
      </c>
      <c r="AW572">
        <f>IF(AND(AQ572=1,ISNUMBER(AT572)),$AT572,1)</f>
        <v>0</v>
      </c>
      <c r="AX572">
        <f>IF(AND(AR572=1,ISNUMBER(AT572)),$AT572,1)</f>
        <v>0</v>
      </c>
      <c r="AY572">
        <f>IF(ISNUMBER(Y572),INDEX(AllCollegeMoney, MATCH(N572,AllCollegeNCES,0)),0)</f>
        <v>0</v>
      </c>
      <c r="AZ572">
        <f>IF(AND(AQ572=1,ISNUMBER(AT572),AY572=1),$AT572,1)</f>
        <v>0</v>
      </c>
      <c r="BA572">
        <f>IF(AND(AR572=1,ISNUMBER(AT572),AY572=1),$AT572,1)</f>
        <v>0</v>
      </c>
      <c r="BB572">
        <f>IF(ISNUMBER(Y572),INDEX(AllCollegeILPub, MATCH(N572,AllCollegeNCES,0)),0)</f>
        <v>0</v>
      </c>
      <c r="BC572">
        <f>IF(AK572=ReachLabel,AP572,0)</f>
        <v>0</v>
      </c>
      <c r="BD572">
        <f>IF(AK572=MatchLabel,AP572,0)</f>
        <v>0</v>
      </c>
      <c r="BE572">
        <f>IF(AK572=SafetyLabel,AP572,0)</f>
        <v>0</v>
      </c>
      <c r="BF572">
        <f>IF(AK572=SecureLabel,AP572,0)</f>
        <v>0</v>
      </c>
      <c r="BG572">
        <f>IF(AK572=SureThingLabel,AP572,0)</f>
        <v>0</v>
      </c>
      <c r="BH572">
        <f>MAX(BC572:BG572)</f>
        <v>0</v>
      </c>
      <c r="BI572">
        <f>MAX(BD572:BG572)</f>
        <v>0</v>
      </c>
      <c r="BJ572">
        <f>MAX(BE572:BG572)</f>
        <v>0</v>
      </c>
      <c r="BK572">
        <f>IF(AND(AK572=ReachLabel,AY572=1),AP572,0)</f>
        <v>0</v>
      </c>
      <c r="BL572">
        <f>IF(AND(AK572=MatchLabel,AY572=1),AP572,0)</f>
        <v>0</v>
      </c>
      <c r="BM572">
        <f>IF(AND(AK572=SafetyLabel,AY572=1),AP572,0)</f>
        <v>0</v>
      </c>
      <c r="BN572">
        <f>IF(AND(AK572=SecureLabel,AY572=1),AP572,0)</f>
        <v>0</v>
      </c>
      <c r="BO572">
        <f>IF(AND(AK572=SureThingLabel,AY572=1),AP572,0)</f>
        <v>0</v>
      </c>
      <c r="BP572">
        <f>MAX(BK572:BO572)</f>
        <v>0</v>
      </c>
      <c r="BQ572">
        <f>MAX(BL572:BO572)</f>
        <v>0</v>
      </c>
      <c r="BR572">
        <f>MAX(BM572:BO572)</f>
        <v>0</v>
      </c>
      <c r="BS572">
        <f>IF(ISNUMBER(Y572),INDEX(AllCollegeChicago, MATCH(N572,AllCollegeNCES,0))*AY572,0)</f>
        <v>0</v>
      </c>
      <c r="BT572">
        <f>IF(ISNUMBER(Y572),INDEX(AllCollegeMoneyCode, MATCH(N572,AllCollegeNCES,0)),"?")</f>
        <v>0</v>
      </c>
      <c r="BU572">
        <f>IF(OR(BT572="---",BT572="--",BT572="+/--",BT572="+/---"),1,0)</f>
        <v>0</v>
      </c>
      <c r="BV572">
        <f>AY572*AO572*AQ572</f>
        <v>0</v>
      </c>
    </row>
    <row r="573" spans="1:74">
      <c r="A573" t="s">
        <v>86</v>
      </c>
      <c r="B573">
        <v>23499435</v>
      </c>
      <c r="C573" t="s">
        <v>305</v>
      </c>
      <c r="D573" t="s">
        <v>306</v>
      </c>
      <c r="E573" t="s">
        <v>428</v>
      </c>
      <c r="F573" t="s">
        <v>455</v>
      </c>
      <c r="G573" t="s">
        <v>430</v>
      </c>
      <c r="H573" t="s">
        <v>431</v>
      </c>
      <c r="I573" t="s">
        <v>432</v>
      </c>
      <c r="J573" t="s">
        <v>432</v>
      </c>
      <c r="K573">
        <v>0</v>
      </c>
      <c r="L573" t="s">
        <v>428</v>
      </c>
      <c r="M573" t="s">
        <v>428</v>
      </c>
      <c r="N573">
        <v>240444</v>
      </c>
      <c r="O573">
        <f>INDEX(AllCollegeBarrons,MATCH(N573,AllCollegeNCES,0))</f>
        <v>0</v>
      </c>
      <c r="P573">
        <f>INDEX(KidGPAs,MATCH(B573,KidIDs,0))</f>
        <v>0</v>
      </c>
      <c r="Q573">
        <f>INDEX(KidACTs,MATCH(B573,KidIDs,0))</f>
        <v>0</v>
      </c>
      <c r="R573">
        <f>INDEX(Strats,MATCH(B573,KidIDs,0))</f>
        <v>0</v>
      </c>
      <c r="S573">
        <f>INDEX(KidRace,MATCH(B573,KidIDs,0))</f>
        <v>0</v>
      </c>
      <c r="T573">
        <f>IF(OR(S573="M",S573="I"),"H",S573)</f>
        <v>0</v>
      </c>
      <c r="U573">
        <f>INDEX(StudentTargets,MATCH(B573,KidIDs,0))</f>
        <v>0</v>
      </c>
      <c r="V573">
        <f>INDEX(ReachStudentTargets,MATCH(B573,KidIDs,0))</f>
        <v>0</v>
      </c>
      <c r="W573">
        <f>IF(OR(M573="Posse"),1,0)</f>
        <v>0</v>
      </c>
      <c r="X573">
        <f>IF(ISNUMBER(INDEX(AllCollegeGR, MATCH(N573,AllCollegeNCES,0))),ROUND(INDEX(AllCollegeGR, MATCH(N573,AllCollegeNCES,0))+W573*IF(INDEX(AllCollegeGR, MATCH(N573,AllCollegeNCES,0))&gt;0.7,(1-INDEX(AllCollegeGR, MATCH(N573,AllCollegeNCES,0)))/2,0.15),2),INDEX(AllCollegeGR, MATCH(N573,AllCollegeNCES,0)))</f>
        <v>0</v>
      </c>
      <c r="Y573">
        <f>IF(ISNUMBER(INDEX(AllCollegeAAHGR, MATCH(N573,AllCollegeNCES,0))),ROUND(INDEX(AllCollegeAAHGR, MATCH(N573,AllCollegeNCES,0))+W573*IF(INDEX(AllCollegeAAHGR, MATCH(N573,AllCollegeNCES,0))&gt;0.7,(1-INDEX(AllCollegeAAHGR, MATCH(N573,AllCollegeNCES,0)))/2,0.15),2),INDEX(AllCollegeAAHGR, MATCH(N573,AllCollegeNCES,0)))</f>
        <v>0</v>
      </c>
      <c r="Z573">
        <f>IF(OR(T573="H",T573="B"),INDEX(AllCollegeACT25, MATCH(N573,AllCollegeNCES,0)),INDEX(AllCollegeACT50, MATCH(N573,AllCollegeNCES,0)))</f>
        <v>0</v>
      </c>
      <c r="AA573">
        <f>INDEX(CustomWeightsGPA,MATCH(T573&amp;":"&amp;N573,CustomWeightsIndex,0))</f>
        <v>0</v>
      </c>
      <c r="AB573">
        <f>INDEX(CustomWeightsACT,MATCH(T573&amp;":"&amp;N573,CustomWeightsIndex,0))</f>
        <v>0</v>
      </c>
      <c r="AC573">
        <f>INDEX(CustomWeightsIntercept,MATCH(T573&amp;":"&amp;N573,CustomWeightsIndex,0))</f>
        <v>0</v>
      </c>
      <c r="AD573">
        <f>AA573*P573+AB573*Q573+AC573</f>
        <v>0</v>
      </c>
      <c r="AE573">
        <f>INDEX(CoefficientsGPA,MATCH(T573&amp;":"&amp;O573,CoefficientsIndex,0))</f>
        <v>0</v>
      </c>
      <c r="AF573">
        <f>INDEX(CoefficientsACT,MATCH(T573&amp;":"&amp;O573,CoefficientsIndex,0))</f>
        <v>0</v>
      </c>
      <c r="AG573">
        <f>INDEX(CoefficientsIntercept,MATCH(T573&amp;":"&amp;O573,CoefficientsIndex,0))</f>
        <v>0</v>
      </c>
      <c r="AH573">
        <f>AE573*P573+(Q573-Z573)*AF573+AG573</f>
        <v>0</v>
      </c>
      <c r="AI573">
        <f>IF(ISNUMBER(AD573),AD573,AH573)</f>
        <v>0</v>
      </c>
      <c r="AJ573">
        <f>IF(ISNUMBER(AI573),IF(ISNUMBER(AE573),IF(AND(AE573=1,AF573=1,AG573=1),100,ROUND(100*EXP(AI573)/(1+EXP(AI573)),2)),ROUND(100*EXP(AI573)/(1+EXP(AI573)),2)),IF(ISTEXT(O573),IF(LEFT(O573,1)="2",100,"N/A"),"N/A"))</f>
        <v>0</v>
      </c>
      <c r="AK573">
        <f>IF(ISNUMBER(AJ573),IF(AJ573&gt;=99,IF(OR(R573=10,R573=11),MatchLabel,SureThingLabel),IF(AJ573&gt;=95,SecureLabel,IF(AJ573&gt;=80,SafetyLabel,IF(AJ573&gt;=50,MatchLabel,IF(AJ573&gt;=20,ReachLabel,IF(AJ573&gt;=10,LongshotLabel,HailMaryLabel)))))),"Other")</f>
        <v>0</v>
      </c>
      <c r="AL573">
        <f>IF(OR(I573="accepted",I573="cond. accept",I573="summer admit"),IF(J573="yes","CHOICE!","Accepted!"),IF(I573="denied","Denied",IF(K573=1,"Waitlist",IF(L573=1,"Deferred",IF(G573="pending","Pending",IF(OR(G573="initial materials submitted",G573="mid-year submitted",G573="final submitted"),"Submitted",IF(H573="interest","Interest","?")))))))</f>
        <v>0</v>
      </c>
      <c r="AM573">
        <f>IF(OR(AK573=ReachLabel,AK573=LongshotLabel,AK573=HailMaryLabel),1,0)</f>
        <v>0</v>
      </c>
      <c r="AN573">
        <f>IF(OR(AM573=1,AK573=MatchLabel),1,0)</f>
        <v>0</v>
      </c>
      <c r="AO573">
        <f>IF(OR(AK573=MatchLabel,AK573=SafetyLabel,AK573=SecureLabel,AK573=SureThingLabel),1,0)</f>
        <v>0</v>
      </c>
      <c r="AP573">
        <f>IF(OR(T573="H",T573="B"),IF(ISNUMBER(Y573),ROUND(Y573,2),0),IF(ISNUMBER(X573),ROUND(X573,2),0))</f>
        <v>0</v>
      </c>
      <c r="AQ573">
        <f>IF(AP573&gt;=U573,1,0)</f>
        <v>0</v>
      </c>
      <c r="AR573">
        <f>IF(AP573&gt;=V573,1,0)</f>
        <v>0</v>
      </c>
      <c r="AS573">
        <f>IF(AP573&lt;(U573-0.10),1,0)</f>
        <v>0</v>
      </c>
      <c r="AT573">
        <f>1-AJ573/100</f>
        <v>0</v>
      </c>
      <c r="AU573">
        <f>IF(AN573=1,AT573,1)</f>
        <v>0</v>
      </c>
      <c r="AV573">
        <f>IF(AM573=1,AT573,1)</f>
        <v>0</v>
      </c>
      <c r="AW573">
        <f>IF(AND(AQ573=1,ISNUMBER(AT573)),$AT573,1)</f>
        <v>0</v>
      </c>
      <c r="AX573">
        <f>IF(AND(AR573=1,ISNUMBER(AT573)),$AT573,1)</f>
        <v>0</v>
      </c>
      <c r="AY573">
        <f>IF(ISNUMBER(Y573),INDEX(AllCollegeMoney, MATCH(N573,AllCollegeNCES,0)),0)</f>
        <v>0</v>
      </c>
      <c r="AZ573">
        <f>IF(AND(AQ573=1,ISNUMBER(AT573),AY573=1),$AT573,1)</f>
        <v>0</v>
      </c>
      <c r="BA573">
        <f>IF(AND(AR573=1,ISNUMBER(AT573),AY573=1),$AT573,1)</f>
        <v>0</v>
      </c>
      <c r="BB573">
        <f>IF(ISNUMBER(Y573),INDEX(AllCollegeILPub, MATCH(N573,AllCollegeNCES,0)),0)</f>
        <v>0</v>
      </c>
      <c r="BC573">
        <f>IF(AK573=ReachLabel,AP573,0)</f>
        <v>0</v>
      </c>
      <c r="BD573">
        <f>IF(AK573=MatchLabel,AP573,0)</f>
        <v>0</v>
      </c>
      <c r="BE573">
        <f>IF(AK573=SafetyLabel,AP573,0)</f>
        <v>0</v>
      </c>
      <c r="BF573">
        <f>IF(AK573=SecureLabel,AP573,0)</f>
        <v>0</v>
      </c>
      <c r="BG573">
        <f>IF(AK573=SureThingLabel,AP573,0)</f>
        <v>0</v>
      </c>
      <c r="BH573">
        <f>MAX(BC573:BG573)</f>
        <v>0</v>
      </c>
      <c r="BI573">
        <f>MAX(BD573:BG573)</f>
        <v>0</v>
      </c>
      <c r="BJ573">
        <f>MAX(BE573:BG573)</f>
        <v>0</v>
      </c>
      <c r="BK573">
        <f>IF(AND(AK573=ReachLabel,AY573=1),AP573,0)</f>
        <v>0</v>
      </c>
      <c r="BL573">
        <f>IF(AND(AK573=MatchLabel,AY573=1),AP573,0)</f>
        <v>0</v>
      </c>
      <c r="BM573">
        <f>IF(AND(AK573=SafetyLabel,AY573=1),AP573,0)</f>
        <v>0</v>
      </c>
      <c r="BN573">
        <f>IF(AND(AK573=SecureLabel,AY573=1),AP573,0)</f>
        <v>0</v>
      </c>
      <c r="BO573">
        <f>IF(AND(AK573=SureThingLabel,AY573=1),AP573,0)</f>
        <v>0</v>
      </c>
      <c r="BP573">
        <f>MAX(BK573:BO573)</f>
        <v>0</v>
      </c>
      <c r="BQ573">
        <f>MAX(BL573:BO573)</f>
        <v>0</v>
      </c>
      <c r="BR573">
        <f>MAX(BM573:BO573)</f>
        <v>0</v>
      </c>
      <c r="BS573">
        <f>IF(ISNUMBER(Y573),INDEX(AllCollegeChicago, MATCH(N573,AllCollegeNCES,0))*AY573,0)</f>
        <v>0</v>
      </c>
      <c r="BT573">
        <f>IF(ISNUMBER(Y573),INDEX(AllCollegeMoneyCode, MATCH(N573,AllCollegeNCES,0)),"?")</f>
        <v>0</v>
      </c>
      <c r="BU573">
        <f>IF(OR(BT573="---",BT573="--",BT573="+/--",BT573="+/---"),1,0)</f>
        <v>0</v>
      </c>
      <c r="BV573">
        <f>AY573*AO573*AQ573</f>
        <v>0</v>
      </c>
    </row>
    <row r="574" spans="1:74">
      <c r="A574" t="s">
        <v>86</v>
      </c>
      <c r="B574">
        <v>23499435</v>
      </c>
      <c r="C574" t="s">
        <v>305</v>
      </c>
      <c r="D574" t="s">
        <v>306</v>
      </c>
      <c r="E574" t="s">
        <v>428</v>
      </c>
      <c r="F574" t="s">
        <v>469</v>
      </c>
      <c r="G574" t="s">
        <v>430</v>
      </c>
      <c r="H574" t="s">
        <v>431</v>
      </c>
      <c r="I574" t="s">
        <v>432</v>
      </c>
      <c r="J574" t="s">
        <v>432</v>
      </c>
      <c r="K574">
        <v>0</v>
      </c>
      <c r="L574" t="s">
        <v>428</v>
      </c>
      <c r="M574" t="s">
        <v>428</v>
      </c>
      <c r="N574">
        <v>174844</v>
      </c>
      <c r="O574">
        <f>INDEX(AllCollegeBarrons,MATCH(N574,AllCollegeNCES,0))</f>
        <v>0</v>
      </c>
      <c r="P574">
        <f>INDEX(KidGPAs,MATCH(B574,KidIDs,0))</f>
        <v>0</v>
      </c>
      <c r="Q574">
        <f>INDEX(KidACTs,MATCH(B574,KidIDs,0))</f>
        <v>0</v>
      </c>
      <c r="R574">
        <f>INDEX(Strats,MATCH(B574,KidIDs,0))</f>
        <v>0</v>
      </c>
      <c r="S574">
        <f>INDEX(KidRace,MATCH(B574,KidIDs,0))</f>
        <v>0</v>
      </c>
      <c r="T574">
        <f>IF(OR(S574="M",S574="I"),"H",S574)</f>
        <v>0</v>
      </c>
      <c r="U574">
        <f>INDEX(StudentTargets,MATCH(B574,KidIDs,0))</f>
        <v>0</v>
      </c>
      <c r="V574">
        <f>INDEX(ReachStudentTargets,MATCH(B574,KidIDs,0))</f>
        <v>0</v>
      </c>
      <c r="W574">
        <f>IF(OR(M574="Posse"),1,0)</f>
        <v>0</v>
      </c>
      <c r="X574">
        <f>IF(ISNUMBER(INDEX(AllCollegeGR, MATCH(N574,AllCollegeNCES,0))),ROUND(INDEX(AllCollegeGR, MATCH(N574,AllCollegeNCES,0))+W574*IF(INDEX(AllCollegeGR, MATCH(N574,AllCollegeNCES,0))&gt;0.7,(1-INDEX(AllCollegeGR, MATCH(N574,AllCollegeNCES,0)))/2,0.15),2),INDEX(AllCollegeGR, MATCH(N574,AllCollegeNCES,0)))</f>
        <v>0</v>
      </c>
      <c r="Y574">
        <f>IF(ISNUMBER(INDEX(AllCollegeAAHGR, MATCH(N574,AllCollegeNCES,0))),ROUND(INDEX(AllCollegeAAHGR, MATCH(N574,AllCollegeNCES,0))+W574*IF(INDEX(AllCollegeAAHGR, MATCH(N574,AllCollegeNCES,0))&gt;0.7,(1-INDEX(AllCollegeAAHGR, MATCH(N574,AllCollegeNCES,0)))/2,0.15),2),INDEX(AllCollegeAAHGR, MATCH(N574,AllCollegeNCES,0)))</f>
        <v>0</v>
      </c>
      <c r="Z574">
        <f>IF(OR(T574="H",T574="B"),INDEX(AllCollegeACT25, MATCH(N574,AllCollegeNCES,0)),INDEX(AllCollegeACT50, MATCH(N574,AllCollegeNCES,0)))</f>
        <v>0</v>
      </c>
      <c r="AA574">
        <f>INDEX(CustomWeightsGPA,MATCH(T574&amp;":"&amp;N574,CustomWeightsIndex,0))</f>
        <v>0</v>
      </c>
      <c r="AB574">
        <f>INDEX(CustomWeightsACT,MATCH(T574&amp;":"&amp;N574,CustomWeightsIndex,0))</f>
        <v>0</v>
      </c>
      <c r="AC574">
        <f>INDEX(CustomWeightsIntercept,MATCH(T574&amp;":"&amp;N574,CustomWeightsIndex,0))</f>
        <v>0</v>
      </c>
      <c r="AD574">
        <f>AA574*P574+AB574*Q574+AC574</f>
        <v>0</v>
      </c>
      <c r="AE574">
        <f>INDEX(CoefficientsGPA,MATCH(T574&amp;":"&amp;O574,CoefficientsIndex,0))</f>
        <v>0</v>
      </c>
      <c r="AF574">
        <f>INDEX(CoefficientsACT,MATCH(T574&amp;":"&amp;O574,CoefficientsIndex,0))</f>
        <v>0</v>
      </c>
      <c r="AG574">
        <f>INDEX(CoefficientsIntercept,MATCH(T574&amp;":"&amp;O574,CoefficientsIndex,0))</f>
        <v>0</v>
      </c>
      <c r="AH574">
        <f>AE574*P574+(Q574-Z574)*AF574+AG574</f>
        <v>0</v>
      </c>
      <c r="AI574">
        <f>IF(ISNUMBER(AD574),AD574,AH574)</f>
        <v>0</v>
      </c>
      <c r="AJ574">
        <f>IF(ISNUMBER(AI574),IF(ISNUMBER(AE574),IF(AND(AE574=1,AF574=1,AG574=1),100,ROUND(100*EXP(AI574)/(1+EXP(AI574)),2)),ROUND(100*EXP(AI574)/(1+EXP(AI574)),2)),IF(ISTEXT(O574),IF(LEFT(O574,1)="2",100,"N/A"),"N/A"))</f>
        <v>0</v>
      </c>
      <c r="AK574">
        <f>IF(ISNUMBER(AJ574),IF(AJ574&gt;=99,IF(OR(R574=10,R574=11),MatchLabel,SureThingLabel),IF(AJ574&gt;=95,SecureLabel,IF(AJ574&gt;=80,SafetyLabel,IF(AJ574&gt;=50,MatchLabel,IF(AJ574&gt;=20,ReachLabel,IF(AJ574&gt;=10,LongshotLabel,HailMaryLabel)))))),"Other")</f>
        <v>0</v>
      </c>
      <c r="AL574">
        <f>IF(OR(I574="accepted",I574="cond. accept",I574="summer admit"),IF(J574="yes","CHOICE!","Accepted!"),IF(I574="denied","Denied",IF(K574=1,"Waitlist",IF(L574=1,"Deferred",IF(G574="pending","Pending",IF(OR(G574="initial materials submitted",G574="mid-year submitted",G574="final submitted"),"Submitted",IF(H574="interest","Interest","?")))))))</f>
        <v>0</v>
      </c>
      <c r="AM574">
        <f>IF(OR(AK574=ReachLabel,AK574=LongshotLabel,AK574=HailMaryLabel),1,0)</f>
        <v>0</v>
      </c>
      <c r="AN574">
        <f>IF(OR(AM574=1,AK574=MatchLabel),1,0)</f>
        <v>0</v>
      </c>
      <c r="AO574">
        <f>IF(OR(AK574=MatchLabel,AK574=SafetyLabel,AK574=SecureLabel,AK574=SureThingLabel),1,0)</f>
        <v>0</v>
      </c>
      <c r="AP574">
        <f>IF(OR(T574="H",T574="B"),IF(ISNUMBER(Y574),ROUND(Y574,2),0),IF(ISNUMBER(X574),ROUND(X574,2),0))</f>
        <v>0</v>
      </c>
      <c r="AQ574">
        <f>IF(AP574&gt;=U574,1,0)</f>
        <v>0</v>
      </c>
      <c r="AR574">
        <f>IF(AP574&gt;=V574,1,0)</f>
        <v>0</v>
      </c>
      <c r="AS574">
        <f>IF(AP574&lt;(U574-0.10),1,0)</f>
        <v>0</v>
      </c>
      <c r="AT574">
        <f>1-AJ574/100</f>
        <v>0</v>
      </c>
      <c r="AU574">
        <f>IF(AN574=1,AT574,1)</f>
        <v>0</v>
      </c>
      <c r="AV574">
        <f>IF(AM574=1,AT574,1)</f>
        <v>0</v>
      </c>
      <c r="AW574">
        <f>IF(AND(AQ574=1,ISNUMBER(AT574)),$AT574,1)</f>
        <v>0</v>
      </c>
      <c r="AX574">
        <f>IF(AND(AR574=1,ISNUMBER(AT574)),$AT574,1)</f>
        <v>0</v>
      </c>
      <c r="AY574">
        <f>IF(ISNUMBER(Y574),INDEX(AllCollegeMoney, MATCH(N574,AllCollegeNCES,0)),0)</f>
        <v>0</v>
      </c>
      <c r="AZ574">
        <f>IF(AND(AQ574=1,ISNUMBER(AT574),AY574=1),$AT574,1)</f>
        <v>0</v>
      </c>
      <c r="BA574">
        <f>IF(AND(AR574=1,ISNUMBER(AT574),AY574=1),$AT574,1)</f>
        <v>0</v>
      </c>
      <c r="BB574">
        <f>IF(ISNUMBER(Y574),INDEX(AllCollegeILPub, MATCH(N574,AllCollegeNCES,0)),0)</f>
        <v>0</v>
      </c>
      <c r="BC574">
        <f>IF(AK574=ReachLabel,AP574,0)</f>
        <v>0</v>
      </c>
      <c r="BD574">
        <f>IF(AK574=MatchLabel,AP574,0)</f>
        <v>0</v>
      </c>
      <c r="BE574">
        <f>IF(AK574=SafetyLabel,AP574,0)</f>
        <v>0</v>
      </c>
      <c r="BF574">
        <f>IF(AK574=SecureLabel,AP574,0)</f>
        <v>0</v>
      </c>
      <c r="BG574">
        <f>IF(AK574=SureThingLabel,AP574,0)</f>
        <v>0</v>
      </c>
      <c r="BH574">
        <f>MAX(BC574:BG574)</f>
        <v>0</v>
      </c>
      <c r="BI574">
        <f>MAX(BD574:BG574)</f>
        <v>0</v>
      </c>
      <c r="BJ574">
        <f>MAX(BE574:BG574)</f>
        <v>0</v>
      </c>
      <c r="BK574">
        <f>IF(AND(AK574=ReachLabel,AY574=1),AP574,0)</f>
        <v>0</v>
      </c>
      <c r="BL574">
        <f>IF(AND(AK574=MatchLabel,AY574=1),AP574,0)</f>
        <v>0</v>
      </c>
      <c r="BM574">
        <f>IF(AND(AK574=SafetyLabel,AY574=1),AP574,0)</f>
        <v>0</v>
      </c>
      <c r="BN574">
        <f>IF(AND(AK574=SecureLabel,AY574=1),AP574,0)</f>
        <v>0</v>
      </c>
      <c r="BO574">
        <f>IF(AND(AK574=SureThingLabel,AY574=1),AP574,0)</f>
        <v>0</v>
      </c>
      <c r="BP574">
        <f>MAX(BK574:BO574)</f>
        <v>0</v>
      </c>
      <c r="BQ574">
        <f>MAX(BL574:BO574)</f>
        <v>0</v>
      </c>
      <c r="BR574">
        <f>MAX(BM574:BO574)</f>
        <v>0</v>
      </c>
      <c r="BS574">
        <f>IF(ISNUMBER(Y574),INDEX(AllCollegeChicago, MATCH(N574,AllCollegeNCES,0))*AY574,0)</f>
        <v>0</v>
      </c>
      <c r="BT574">
        <f>IF(ISNUMBER(Y574),INDEX(AllCollegeMoneyCode, MATCH(N574,AllCollegeNCES,0)),"?")</f>
        <v>0</v>
      </c>
      <c r="BU574">
        <f>IF(OR(BT574="---",BT574="--",BT574="+/--",BT574="+/---"),1,0)</f>
        <v>0</v>
      </c>
      <c r="BV574">
        <f>AY574*AO574*AQ574</f>
        <v>0</v>
      </c>
    </row>
    <row r="575" spans="1:74">
      <c r="A575" t="s">
        <v>86</v>
      </c>
      <c r="B575">
        <v>23499435</v>
      </c>
      <c r="C575" t="s">
        <v>305</v>
      </c>
      <c r="D575" t="s">
        <v>306</v>
      </c>
      <c r="E575" t="s">
        <v>428</v>
      </c>
      <c r="F575" t="s">
        <v>457</v>
      </c>
      <c r="G575" t="s">
        <v>430</v>
      </c>
      <c r="H575" t="s">
        <v>431</v>
      </c>
      <c r="I575" t="s">
        <v>432</v>
      </c>
      <c r="J575" t="s">
        <v>432</v>
      </c>
      <c r="K575">
        <v>0</v>
      </c>
      <c r="L575" t="s">
        <v>428</v>
      </c>
      <c r="M575" t="s">
        <v>428</v>
      </c>
      <c r="N575">
        <v>145637</v>
      </c>
      <c r="O575">
        <f>INDEX(AllCollegeBarrons,MATCH(N575,AllCollegeNCES,0))</f>
        <v>0</v>
      </c>
      <c r="P575">
        <f>INDEX(KidGPAs,MATCH(B575,KidIDs,0))</f>
        <v>0</v>
      </c>
      <c r="Q575">
        <f>INDEX(KidACTs,MATCH(B575,KidIDs,0))</f>
        <v>0</v>
      </c>
      <c r="R575">
        <f>INDEX(Strats,MATCH(B575,KidIDs,0))</f>
        <v>0</v>
      </c>
      <c r="S575">
        <f>INDEX(KidRace,MATCH(B575,KidIDs,0))</f>
        <v>0</v>
      </c>
      <c r="T575">
        <f>IF(OR(S575="M",S575="I"),"H",S575)</f>
        <v>0</v>
      </c>
      <c r="U575">
        <f>INDEX(StudentTargets,MATCH(B575,KidIDs,0))</f>
        <v>0</v>
      </c>
      <c r="V575">
        <f>INDEX(ReachStudentTargets,MATCH(B575,KidIDs,0))</f>
        <v>0</v>
      </c>
      <c r="W575">
        <f>IF(OR(M575="Posse"),1,0)</f>
        <v>0</v>
      </c>
      <c r="X575">
        <f>IF(ISNUMBER(INDEX(AllCollegeGR, MATCH(N575,AllCollegeNCES,0))),ROUND(INDEX(AllCollegeGR, MATCH(N575,AllCollegeNCES,0))+W575*IF(INDEX(AllCollegeGR, MATCH(N575,AllCollegeNCES,0))&gt;0.7,(1-INDEX(AllCollegeGR, MATCH(N575,AllCollegeNCES,0)))/2,0.15),2),INDEX(AllCollegeGR, MATCH(N575,AllCollegeNCES,0)))</f>
        <v>0</v>
      </c>
      <c r="Y575">
        <f>IF(ISNUMBER(INDEX(AllCollegeAAHGR, MATCH(N575,AllCollegeNCES,0))),ROUND(INDEX(AllCollegeAAHGR, MATCH(N575,AllCollegeNCES,0))+W575*IF(INDEX(AllCollegeAAHGR, MATCH(N575,AllCollegeNCES,0))&gt;0.7,(1-INDEX(AllCollegeAAHGR, MATCH(N575,AllCollegeNCES,0)))/2,0.15),2),INDEX(AllCollegeAAHGR, MATCH(N575,AllCollegeNCES,0)))</f>
        <v>0</v>
      </c>
      <c r="Z575">
        <f>IF(OR(T575="H",T575="B"),INDEX(AllCollegeACT25, MATCH(N575,AllCollegeNCES,0)),INDEX(AllCollegeACT50, MATCH(N575,AllCollegeNCES,0)))</f>
        <v>0</v>
      </c>
      <c r="AA575">
        <f>INDEX(CustomWeightsGPA,MATCH(T575&amp;":"&amp;N575,CustomWeightsIndex,0))</f>
        <v>0</v>
      </c>
      <c r="AB575">
        <f>INDEX(CustomWeightsACT,MATCH(T575&amp;":"&amp;N575,CustomWeightsIndex,0))</f>
        <v>0</v>
      </c>
      <c r="AC575">
        <f>INDEX(CustomWeightsIntercept,MATCH(T575&amp;":"&amp;N575,CustomWeightsIndex,0))</f>
        <v>0</v>
      </c>
      <c r="AD575">
        <f>AA575*P575+AB575*Q575+AC575</f>
        <v>0</v>
      </c>
      <c r="AE575">
        <f>INDEX(CoefficientsGPA,MATCH(T575&amp;":"&amp;O575,CoefficientsIndex,0))</f>
        <v>0</v>
      </c>
      <c r="AF575">
        <f>INDEX(CoefficientsACT,MATCH(T575&amp;":"&amp;O575,CoefficientsIndex,0))</f>
        <v>0</v>
      </c>
      <c r="AG575">
        <f>INDEX(CoefficientsIntercept,MATCH(T575&amp;":"&amp;O575,CoefficientsIndex,0))</f>
        <v>0</v>
      </c>
      <c r="AH575">
        <f>AE575*P575+(Q575-Z575)*AF575+AG575</f>
        <v>0</v>
      </c>
      <c r="AI575">
        <f>IF(ISNUMBER(AD575),AD575,AH575)</f>
        <v>0</v>
      </c>
      <c r="AJ575">
        <f>IF(ISNUMBER(AI575),IF(ISNUMBER(AE575),IF(AND(AE575=1,AF575=1,AG575=1),100,ROUND(100*EXP(AI575)/(1+EXP(AI575)),2)),ROUND(100*EXP(AI575)/(1+EXP(AI575)),2)),IF(ISTEXT(O575),IF(LEFT(O575,1)="2",100,"N/A"),"N/A"))</f>
        <v>0</v>
      </c>
      <c r="AK575">
        <f>IF(ISNUMBER(AJ575),IF(AJ575&gt;=99,IF(OR(R575=10,R575=11),MatchLabel,SureThingLabel),IF(AJ575&gt;=95,SecureLabel,IF(AJ575&gt;=80,SafetyLabel,IF(AJ575&gt;=50,MatchLabel,IF(AJ575&gt;=20,ReachLabel,IF(AJ575&gt;=10,LongshotLabel,HailMaryLabel)))))),"Other")</f>
        <v>0</v>
      </c>
      <c r="AL575">
        <f>IF(OR(I575="accepted",I575="cond. accept",I575="summer admit"),IF(J575="yes","CHOICE!","Accepted!"),IF(I575="denied","Denied",IF(K575=1,"Waitlist",IF(L575=1,"Deferred",IF(G575="pending","Pending",IF(OR(G575="initial materials submitted",G575="mid-year submitted",G575="final submitted"),"Submitted",IF(H575="interest","Interest","?")))))))</f>
        <v>0</v>
      </c>
      <c r="AM575">
        <f>IF(OR(AK575=ReachLabel,AK575=LongshotLabel,AK575=HailMaryLabel),1,0)</f>
        <v>0</v>
      </c>
      <c r="AN575">
        <f>IF(OR(AM575=1,AK575=MatchLabel),1,0)</f>
        <v>0</v>
      </c>
      <c r="AO575">
        <f>IF(OR(AK575=MatchLabel,AK575=SafetyLabel,AK575=SecureLabel,AK575=SureThingLabel),1,0)</f>
        <v>0</v>
      </c>
      <c r="AP575">
        <f>IF(OR(T575="H",T575="B"),IF(ISNUMBER(Y575),ROUND(Y575,2),0),IF(ISNUMBER(X575),ROUND(X575,2),0))</f>
        <v>0</v>
      </c>
      <c r="AQ575">
        <f>IF(AP575&gt;=U575,1,0)</f>
        <v>0</v>
      </c>
      <c r="AR575">
        <f>IF(AP575&gt;=V575,1,0)</f>
        <v>0</v>
      </c>
      <c r="AS575">
        <f>IF(AP575&lt;(U575-0.10),1,0)</f>
        <v>0</v>
      </c>
      <c r="AT575">
        <f>1-AJ575/100</f>
        <v>0</v>
      </c>
      <c r="AU575">
        <f>IF(AN575=1,AT575,1)</f>
        <v>0</v>
      </c>
      <c r="AV575">
        <f>IF(AM575=1,AT575,1)</f>
        <v>0</v>
      </c>
      <c r="AW575">
        <f>IF(AND(AQ575=1,ISNUMBER(AT575)),$AT575,1)</f>
        <v>0</v>
      </c>
      <c r="AX575">
        <f>IF(AND(AR575=1,ISNUMBER(AT575)),$AT575,1)</f>
        <v>0</v>
      </c>
      <c r="AY575">
        <f>IF(ISNUMBER(Y575),INDEX(AllCollegeMoney, MATCH(N575,AllCollegeNCES,0)),0)</f>
        <v>0</v>
      </c>
      <c r="AZ575">
        <f>IF(AND(AQ575=1,ISNUMBER(AT575),AY575=1),$AT575,1)</f>
        <v>0</v>
      </c>
      <c r="BA575">
        <f>IF(AND(AR575=1,ISNUMBER(AT575),AY575=1),$AT575,1)</f>
        <v>0</v>
      </c>
      <c r="BB575">
        <f>IF(ISNUMBER(Y575),INDEX(AllCollegeILPub, MATCH(N575,AllCollegeNCES,0)),0)</f>
        <v>0</v>
      </c>
      <c r="BC575">
        <f>IF(AK575=ReachLabel,AP575,0)</f>
        <v>0</v>
      </c>
      <c r="BD575">
        <f>IF(AK575=MatchLabel,AP575,0)</f>
        <v>0</v>
      </c>
      <c r="BE575">
        <f>IF(AK575=SafetyLabel,AP575,0)</f>
        <v>0</v>
      </c>
      <c r="BF575">
        <f>IF(AK575=SecureLabel,AP575,0)</f>
        <v>0</v>
      </c>
      <c r="BG575">
        <f>IF(AK575=SureThingLabel,AP575,0)</f>
        <v>0</v>
      </c>
      <c r="BH575">
        <f>MAX(BC575:BG575)</f>
        <v>0</v>
      </c>
      <c r="BI575">
        <f>MAX(BD575:BG575)</f>
        <v>0</v>
      </c>
      <c r="BJ575">
        <f>MAX(BE575:BG575)</f>
        <v>0</v>
      </c>
      <c r="BK575">
        <f>IF(AND(AK575=ReachLabel,AY575=1),AP575,0)</f>
        <v>0</v>
      </c>
      <c r="BL575">
        <f>IF(AND(AK575=MatchLabel,AY575=1),AP575,0)</f>
        <v>0</v>
      </c>
      <c r="BM575">
        <f>IF(AND(AK575=SafetyLabel,AY575=1),AP575,0)</f>
        <v>0</v>
      </c>
      <c r="BN575">
        <f>IF(AND(AK575=SecureLabel,AY575=1),AP575,0)</f>
        <v>0</v>
      </c>
      <c r="BO575">
        <f>IF(AND(AK575=SureThingLabel,AY575=1),AP575,0)</f>
        <v>0</v>
      </c>
      <c r="BP575">
        <f>MAX(BK575:BO575)</f>
        <v>0</v>
      </c>
      <c r="BQ575">
        <f>MAX(BL575:BO575)</f>
        <v>0</v>
      </c>
      <c r="BR575">
        <f>MAX(BM575:BO575)</f>
        <v>0</v>
      </c>
      <c r="BS575">
        <f>IF(ISNUMBER(Y575),INDEX(AllCollegeChicago, MATCH(N575,AllCollegeNCES,0))*AY575,0)</f>
        <v>0</v>
      </c>
      <c r="BT575">
        <f>IF(ISNUMBER(Y575),INDEX(AllCollegeMoneyCode, MATCH(N575,AllCollegeNCES,0)),"?")</f>
        <v>0</v>
      </c>
      <c r="BU575">
        <f>IF(OR(BT575="---",BT575="--",BT575="+/--",BT575="+/---"),1,0)</f>
        <v>0</v>
      </c>
      <c r="BV575">
        <f>AY575*AO575*AQ575</f>
        <v>0</v>
      </c>
    </row>
    <row r="576" spans="1:74">
      <c r="A576" t="s">
        <v>86</v>
      </c>
      <c r="B576">
        <v>23499435</v>
      </c>
      <c r="C576" t="s">
        <v>305</v>
      </c>
      <c r="D576" t="s">
        <v>306</v>
      </c>
      <c r="E576" t="s">
        <v>428</v>
      </c>
      <c r="F576" t="s">
        <v>459</v>
      </c>
      <c r="G576" t="s">
        <v>430</v>
      </c>
      <c r="H576" t="s">
        <v>431</v>
      </c>
      <c r="I576" t="s">
        <v>432</v>
      </c>
      <c r="J576" t="s">
        <v>432</v>
      </c>
      <c r="K576">
        <v>0</v>
      </c>
      <c r="L576" t="s">
        <v>428</v>
      </c>
      <c r="M576" t="s">
        <v>428</v>
      </c>
      <c r="N576">
        <v>146427</v>
      </c>
      <c r="O576">
        <f>INDEX(AllCollegeBarrons,MATCH(N576,AllCollegeNCES,0))</f>
        <v>0</v>
      </c>
      <c r="P576">
        <f>INDEX(KidGPAs,MATCH(B576,KidIDs,0))</f>
        <v>0</v>
      </c>
      <c r="Q576">
        <f>INDEX(KidACTs,MATCH(B576,KidIDs,0))</f>
        <v>0</v>
      </c>
      <c r="R576">
        <f>INDEX(Strats,MATCH(B576,KidIDs,0))</f>
        <v>0</v>
      </c>
      <c r="S576">
        <f>INDEX(KidRace,MATCH(B576,KidIDs,0))</f>
        <v>0</v>
      </c>
      <c r="T576">
        <f>IF(OR(S576="M",S576="I"),"H",S576)</f>
        <v>0</v>
      </c>
      <c r="U576">
        <f>INDEX(StudentTargets,MATCH(B576,KidIDs,0))</f>
        <v>0</v>
      </c>
      <c r="V576">
        <f>INDEX(ReachStudentTargets,MATCH(B576,KidIDs,0))</f>
        <v>0</v>
      </c>
      <c r="W576">
        <f>IF(OR(M576="Posse"),1,0)</f>
        <v>0</v>
      </c>
      <c r="X576">
        <f>IF(ISNUMBER(INDEX(AllCollegeGR, MATCH(N576,AllCollegeNCES,0))),ROUND(INDEX(AllCollegeGR, MATCH(N576,AllCollegeNCES,0))+W576*IF(INDEX(AllCollegeGR, MATCH(N576,AllCollegeNCES,0))&gt;0.7,(1-INDEX(AllCollegeGR, MATCH(N576,AllCollegeNCES,0)))/2,0.15),2),INDEX(AllCollegeGR, MATCH(N576,AllCollegeNCES,0)))</f>
        <v>0</v>
      </c>
      <c r="Y576">
        <f>IF(ISNUMBER(INDEX(AllCollegeAAHGR, MATCH(N576,AllCollegeNCES,0))),ROUND(INDEX(AllCollegeAAHGR, MATCH(N576,AllCollegeNCES,0))+W576*IF(INDEX(AllCollegeAAHGR, MATCH(N576,AllCollegeNCES,0))&gt;0.7,(1-INDEX(AllCollegeAAHGR, MATCH(N576,AllCollegeNCES,0)))/2,0.15),2),INDEX(AllCollegeAAHGR, MATCH(N576,AllCollegeNCES,0)))</f>
        <v>0</v>
      </c>
      <c r="Z576">
        <f>IF(OR(T576="H",T576="B"),INDEX(AllCollegeACT25, MATCH(N576,AllCollegeNCES,0)),INDEX(AllCollegeACT50, MATCH(N576,AllCollegeNCES,0)))</f>
        <v>0</v>
      </c>
      <c r="AA576">
        <f>INDEX(CustomWeightsGPA,MATCH(T576&amp;":"&amp;N576,CustomWeightsIndex,0))</f>
        <v>0</v>
      </c>
      <c r="AB576">
        <f>INDEX(CustomWeightsACT,MATCH(T576&amp;":"&amp;N576,CustomWeightsIndex,0))</f>
        <v>0</v>
      </c>
      <c r="AC576">
        <f>INDEX(CustomWeightsIntercept,MATCH(T576&amp;":"&amp;N576,CustomWeightsIndex,0))</f>
        <v>0</v>
      </c>
      <c r="AD576">
        <f>AA576*P576+AB576*Q576+AC576</f>
        <v>0</v>
      </c>
      <c r="AE576">
        <f>INDEX(CoefficientsGPA,MATCH(T576&amp;":"&amp;O576,CoefficientsIndex,0))</f>
        <v>0</v>
      </c>
      <c r="AF576">
        <f>INDEX(CoefficientsACT,MATCH(T576&amp;":"&amp;O576,CoefficientsIndex,0))</f>
        <v>0</v>
      </c>
      <c r="AG576">
        <f>INDEX(CoefficientsIntercept,MATCH(T576&amp;":"&amp;O576,CoefficientsIndex,0))</f>
        <v>0</v>
      </c>
      <c r="AH576">
        <f>AE576*P576+(Q576-Z576)*AF576+AG576</f>
        <v>0</v>
      </c>
      <c r="AI576">
        <f>IF(ISNUMBER(AD576),AD576,AH576)</f>
        <v>0</v>
      </c>
      <c r="AJ576">
        <f>IF(ISNUMBER(AI576),IF(ISNUMBER(AE576),IF(AND(AE576=1,AF576=1,AG576=1),100,ROUND(100*EXP(AI576)/(1+EXP(AI576)),2)),ROUND(100*EXP(AI576)/(1+EXP(AI576)),2)),IF(ISTEXT(O576),IF(LEFT(O576,1)="2",100,"N/A"),"N/A"))</f>
        <v>0</v>
      </c>
      <c r="AK576">
        <f>IF(ISNUMBER(AJ576),IF(AJ576&gt;=99,IF(OR(R576=10,R576=11),MatchLabel,SureThingLabel),IF(AJ576&gt;=95,SecureLabel,IF(AJ576&gt;=80,SafetyLabel,IF(AJ576&gt;=50,MatchLabel,IF(AJ576&gt;=20,ReachLabel,IF(AJ576&gt;=10,LongshotLabel,HailMaryLabel)))))),"Other")</f>
        <v>0</v>
      </c>
      <c r="AL576">
        <f>IF(OR(I576="accepted",I576="cond. accept",I576="summer admit"),IF(J576="yes","CHOICE!","Accepted!"),IF(I576="denied","Denied",IF(K576=1,"Waitlist",IF(L576=1,"Deferred",IF(G576="pending","Pending",IF(OR(G576="initial materials submitted",G576="mid-year submitted",G576="final submitted"),"Submitted",IF(H576="interest","Interest","?")))))))</f>
        <v>0</v>
      </c>
      <c r="AM576">
        <f>IF(OR(AK576=ReachLabel,AK576=LongshotLabel,AK576=HailMaryLabel),1,0)</f>
        <v>0</v>
      </c>
      <c r="AN576">
        <f>IF(OR(AM576=1,AK576=MatchLabel),1,0)</f>
        <v>0</v>
      </c>
      <c r="AO576">
        <f>IF(OR(AK576=MatchLabel,AK576=SafetyLabel,AK576=SecureLabel,AK576=SureThingLabel),1,0)</f>
        <v>0</v>
      </c>
      <c r="AP576">
        <f>IF(OR(T576="H",T576="B"),IF(ISNUMBER(Y576),ROUND(Y576,2),0),IF(ISNUMBER(X576),ROUND(X576,2),0))</f>
        <v>0</v>
      </c>
      <c r="AQ576">
        <f>IF(AP576&gt;=U576,1,0)</f>
        <v>0</v>
      </c>
      <c r="AR576">
        <f>IF(AP576&gt;=V576,1,0)</f>
        <v>0</v>
      </c>
      <c r="AS576">
        <f>IF(AP576&lt;(U576-0.10),1,0)</f>
        <v>0</v>
      </c>
      <c r="AT576">
        <f>1-AJ576/100</f>
        <v>0</v>
      </c>
      <c r="AU576">
        <f>IF(AN576=1,AT576,1)</f>
        <v>0</v>
      </c>
      <c r="AV576">
        <f>IF(AM576=1,AT576,1)</f>
        <v>0</v>
      </c>
      <c r="AW576">
        <f>IF(AND(AQ576=1,ISNUMBER(AT576)),$AT576,1)</f>
        <v>0</v>
      </c>
      <c r="AX576">
        <f>IF(AND(AR576=1,ISNUMBER(AT576)),$AT576,1)</f>
        <v>0</v>
      </c>
      <c r="AY576">
        <f>IF(ISNUMBER(Y576),INDEX(AllCollegeMoney, MATCH(N576,AllCollegeNCES,0)),0)</f>
        <v>0</v>
      </c>
      <c r="AZ576">
        <f>IF(AND(AQ576=1,ISNUMBER(AT576),AY576=1),$AT576,1)</f>
        <v>0</v>
      </c>
      <c r="BA576">
        <f>IF(AND(AR576=1,ISNUMBER(AT576),AY576=1),$AT576,1)</f>
        <v>0</v>
      </c>
      <c r="BB576">
        <f>IF(ISNUMBER(Y576),INDEX(AllCollegeILPub, MATCH(N576,AllCollegeNCES,0)),0)</f>
        <v>0</v>
      </c>
      <c r="BC576">
        <f>IF(AK576=ReachLabel,AP576,0)</f>
        <v>0</v>
      </c>
      <c r="BD576">
        <f>IF(AK576=MatchLabel,AP576,0)</f>
        <v>0</v>
      </c>
      <c r="BE576">
        <f>IF(AK576=SafetyLabel,AP576,0)</f>
        <v>0</v>
      </c>
      <c r="BF576">
        <f>IF(AK576=SecureLabel,AP576,0)</f>
        <v>0</v>
      </c>
      <c r="BG576">
        <f>IF(AK576=SureThingLabel,AP576,0)</f>
        <v>0</v>
      </c>
      <c r="BH576">
        <f>MAX(BC576:BG576)</f>
        <v>0</v>
      </c>
      <c r="BI576">
        <f>MAX(BD576:BG576)</f>
        <v>0</v>
      </c>
      <c r="BJ576">
        <f>MAX(BE576:BG576)</f>
        <v>0</v>
      </c>
      <c r="BK576">
        <f>IF(AND(AK576=ReachLabel,AY576=1),AP576,0)</f>
        <v>0</v>
      </c>
      <c r="BL576">
        <f>IF(AND(AK576=MatchLabel,AY576=1),AP576,0)</f>
        <v>0</v>
      </c>
      <c r="BM576">
        <f>IF(AND(AK576=SafetyLabel,AY576=1),AP576,0)</f>
        <v>0</v>
      </c>
      <c r="BN576">
        <f>IF(AND(AK576=SecureLabel,AY576=1),AP576,0)</f>
        <v>0</v>
      </c>
      <c r="BO576">
        <f>IF(AND(AK576=SureThingLabel,AY576=1),AP576,0)</f>
        <v>0</v>
      </c>
      <c r="BP576">
        <f>MAX(BK576:BO576)</f>
        <v>0</v>
      </c>
      <c r="BQ576">
        <f>MAX(BL576:BO576)</f>
        <v>0</v>
      </c>
      <c r="BR576">
        <f>MAX(BM576:BO576)</f>
        <v>0</v>
      </c>
      <c r="BS576">
        <f>IF(ISNUMBER(Y576),INDEX(AllCollegeChicago, MATCH(N576,AllCollegeNCES,0))*AY576,0)</f>
        <v>0</v>
      </c>
      <c r="BT576">
        <f>IF(ISNUMBER(Y576),INDEX(AllCollegeMoneyCode, MATCH(N576,AllCollegeNCES,0)),"?")</f>
        <v>0</v>
      </c>
      <c r="BU576">
        <f>IF(OR(BT576="---",BT576="--",BT576="+/--",BT576="+/---"),1,0)</f>
        <v>0</v>
      </c>
      <c r="BV576">
        <f>AY576*AO576*AQ576</f>
        <v>0</v>
      </c>
    </row>
    <row r="577" spans="1:74">
      <c r="A577" t="s">
        <v>86</v>
      </c>
      <c r="B577">
        <v>23499435</v>
      </c>
      <c r="C577" t="s">
        <v>305</v>
      </c>
      <c r="D577" t="s">
        <v>306</v>
      </c>
      <c r="E577" t="s">
        <v>428</v>
      </c>
      <c r="F577" t="s">
        <v>471</v>
      </c>
      <c r="G577" t="s">
        <v>463</v>
      </c>
      <c r="H577" t="s">
        <v>431</v>
      </c>
      <c r="I577" t="s">
        <v>432</v>
      </c>
      <c r="J577" t="s">
        <v>432</v>
      </c>
      <c r="K577">
        <v>0</v>
      </c>
      <c r="L577" t="s">
        <v>428</v>
      </c>
      <c r="M577" t="s">
        <v>428</v>
      </c>
      <c r="N577">
        <v>170301</v>
      </c>
      <c r="O577">
        <f>INDEX(AllCollegeBarrons,MATCH(N577,AllCollegeNCES,0))</f>
        <v>0</v>
      </c>
      <c r="P577">
        <f>INDEX(KidGPAs,MATCH(B577,KidIDs,0))</f>
        <v>0</v>
      </c>
      <c r="Q577">
        <f>INDEX(KidACTs,MATCH(B577,KidIDs,0))</f>
        <v>0</v>
      </c>
      <c r="R577">
        <f>INDEX(Strats,MATCH(B577,KidIDs,0))</f>
        <v>0</v>
      </c>
      <c r="S577">
        <f>INDEX(KidRace,MATCH(B577,KidIDs,0))</f>
        <v>0</v>
      </c>
      <c r="T577">
        <f>IF(OR(S577="M",S577="I"),"H",S577)</f>
        <v>0</v>
      </c>
      <c r="U577">
        <f>INDEX(StudentTargets,MATCH(B577,KidIDs,0))</f>
        <v>0</v>
      </c>
      <c r="V577">
        <f>INDEX(ReachStudentTargets,MATCH(B577,KidIDs,0))</f>
        <v>0</v>
      </c>
      <c r="W577">
        <f>IF(OR(M577="Posse"),1,0)</f>
        <v>0</v>
      </c>
      <c r="X577">
        <f>IF(ISNUMBER(INDEX(AllCollegeGR, MATCH(N577,AllCollegeNCES,0))),ROUND(INDEX(AllCollegeGR, MATCH(N577,AllCollegeNCES,0))+W577*IF(INDEX(AllCollegeGR, MATCH(N577,AllCollegeNCES,0))&gt;0.7,(1-INDEX(AllCollegeGR, MATCH(N577,AllCollegeNCES,0)))/2,0.15),2),INDEX(AllCollegeGR, MATCH(N577,AllCollegeNCES,0)))</f>
        <v>0</v>
      </c>
      <c r="Y577">
        <f>IF(ISNUMBER(INDEX(AllCollegeAAHGR, MATCH(N577,AllCollegeNCES,0))),ROUND(INDEX(AllCollegeAAHGR, MATCH(N577,AllCollegeNCES,0))+W577*IF(INDEX(AllCollegeAAHGR, MATCH(N577,AllCollegeNCES,0))&gt;0.7,(1-INDEX(AllCollegeAAHGR, MATCH(N577,AllCollegeNCES,0)))/2,0.15),2),INDEX(AllCollegeAAHGR, MATCH(N577,AllCollegeNCES,0)))</f>
        <v>0</v>
      </c>
      <c r="Z577">
        <f>IF(OR(T577="H",T577="B"),INDEX(AllCollegeACT25, MATCH(N577,AllCollegeNCES,0)),INDEX(AllCollegeACT50, MATCH(N577,AllCollegeNCES,0)))</f>
        <v>0</v>
      </c>
      <c r="AA577">
        <f>INDEX(CustomWeightsGPA,MATCH(T577&amp;":"&amp;N577,CustomWeightsIndex,0))</f>
        <v>0</v>
      </c>
      <c r="AB577">
        <f>INDEX(CustomWeightsACT,MATCH(T577&amp;":"&amp;N577,CustomWeightsIndex,0))</f>
        <v>0</v>
      </c>
      <c r="AC577">
        <f>INDEX(CustomWeightsIntercept,MATCH(T577&amp;":"&amp;N577,CustomWeightsIndex,0))</f>
        <v>0</v>
      </c>
      <c r="AD577">
        <f>AA577*P577+AB577*Q577+AC577</f>
        <v>0</v>
      </c>
      <c r="AE577">
        <f>INDEX(CoefficientsGPA,MATCH(T577&amp;":"&amp;O577,CoefficientsIndex,0))</f>
        <v>0</v>
      </c>
      <c r="AF577">
        <f>INDEX(CoefficientsACT,MATCH(T577&amp;":"&amp;O577,CoefficientsIndex,0))</f>
        <v>0</v>
      </c>
      <c r="AG577">
        <f>INDEX(CoefficientsIntercept,MATCH(T577&amp;":"&amp;O577,CoefficientsIndex,0))</f>
        <v>0</v>
      </c>
      <c r="AH577">
        <f>AE577*P577+(Q577-Z577)*AF577+AG577</f>
        <v>0</v>
      </c>
      <c r="AI577">
        <f>IF(ISNUMBER(AD577),AD577,AH577)</f>
        <v>0</v>
      </c>
      <c r="AJ577">
        <f>IF(ISNUMBER(AI577),IF(ISNUMBER(AE577),IF(AND(AE577=1,AF577=1,AG577=1),100,ROUND(100*EXP(AI577)/(1+EXP(AI577)),2)),ROUND(100*EXP(AI577)/(1+EXP(AI577)),2)),IF(ISTEXT(O577),IF(LEFT(O577,1)="2",100,"N/A"),"N/A"))</f>
        <v>0</v>
      </c>
      <c r="AK577">
        <f>IF(ISNUMBER(AJ577),IF(AJ577&gt;=99,IF(OR(R577=10,R577=11),MatchLabel,SureThingLabel),IF(AJ577&gt;=95,SecureLabel,IF(AJ577&gt;=80,SafetyLabel,IF(AJ577&gt;=50,MatchLabel,IF(AJ577&gt;=20,ReachLabel,IF(AJ577&gt;=10,LongshotLabel,HailMaryLabel)))))),"Other")</f>
        <v>0</v>
      </c>
      <c r="AL577">
        <f>IF(OR(I577="accepted",I577="cond. accept",I577="summer admit"),IF(J577="yes","CHOICE!","Accepted!"),IF(I577="denied","Denied",IF(K577=1,"Waitlist",IF(L577=1,"Deferred",IF(G577="pending","Pending",IF(OR(G577="initial materials submitted",G577="mid-year submitted",G577="final submitted"),"Submitted",IF(H577="interest","Interest","?")))))))</f>
        <v>0</v>
      </c>
      <c r="AM577">
        <f>IF(OR(AK577=ReachLabel,AK577=LongshotLabel,AK577=HailMaryLabel),1,0)</f>
        <v>0</v>
      </c>
      <c r="AN577">
        <f>IF(OR(AM577=1,AK577=MatchLabel),1,0)</f>
        <v>0</v>
      </c>
      <c r="AO577">
        <f>IF(OR(AK577=MatchLabel,AK577=SafetyLabel,AK577=SecureLabel,AK577=SureThingLabel),1,0)</f>
        <v>0</v>
      </c>
      <c r="AP577">
        <f>IF(OR(T577="H",T577="B"),IF(ISNUMBER(Y577),ROUND(Y577,2),0),IF(ISNUMBER(X577),ROUND(X577,2),0))</f>
        <v>0</v>
      </c>
      <c r="AQ577">
        <f>IF(AP577&gt;=U577,1,0)</f>
        <v>0</v>
      </c>
      <c r="AR577">
        <f>IF(AP577&gt;=V577,1,0)</f>
        <v>0</v>
      </c>
      <c r="AS577">
        <f>IF(AP577&lt;(U577-0.10),1,0)</f>
        <v>0</v>
      </c>
      <c r="AT577">
        <f>1-AJ577/100</f>
        <v>0</v>
      </c>
      <c r="AU577">
        <f>IF(AN577=1,AT577,1)</f>
        <v>0</v>
      </c>
      <c r="AV577">
        <f>IF(AM577=1,AT577,1)</f>
        <v>0</v>
      </c>
      <c r="AW577">
        <f>IF(AND(AQ577=1,ISNUMBER(AT577)),$AT577,1)</f>
        <v>0</v>
      </c>
      <c r="AX577">
        <f>IF(AND(AR577=1,ISNUMBER(AT577)),$AT577,1)</f>
        <v>0</v>
      </c>
      <c r="AY577">
        <f>IF(ISNUMBER(Y577),INDEX(AllCollegeMoney, MATCH(N577,AllCollegeNCES,0)),0)</f>
        <v>0</v>
      </c>
      <c r="AZ577">
        <f>IF(AND(AQ577=1,ISNUMBER(AT577),AY577=1),$AT577,1)</f>
        <v>0</v>
      </c>
      <c r="BA577">
        <f>IF(AND(AR577=1,ISNUMBER(AT577),AY577=1),$AT577,1)</f>
        <v>0</v>
      </c>
      <c r="BB577">
        <f>IF(ISNUMBER(Y577),INDEX(AllCollegeILPub, MATCH(N577,AllCollegeNCES,0)),0)</f>
        <v>0</v>
      </c>
      <c r="BC577">
        <f>IF(AK577=ReachLabel,AP577,0)</f>
        <v>0</v>
      </c>
      <c r="BD577">
        <f>IF(AK577=MatchLabel,AP577,0)</f>
        <v>0</v>
      </c>
      <c r="BE577">
        <f>IF(AK577=SafetyLabel,AP577,0)</f>
        <v>0</v>
      </c>
      <c r="BF577">
        <f>IF(AK577=SecureLabel,AP577,0)</f>
        <v>0</v>
      </c>
      <c r="BG577">
        <f>IF(AK577=SureThingLabel,AP577,0)</f>
        <v>0</v>
      </c>
      <c r="BH577">
        <f>MAX(BC577:BG577)</f>
        <v>0</v>
      </c>
      <c r="BI577">
        <f>MAX(BD577:BG577)</f>
        <v>0</v>
      </c>
      <c r="BJ577">
        <f>MAX(BE577:BG577)</f>
        <v>0</v>
      </c>
      <c r="BK577">
        <f>IF(AND(AK577=ReachLabel,AY577=1),AP577,0)</f>
        <v>0</v>
      </c>
      <c r="BL577">
        <f>IF(AND(AK577=MatchLabel,AY577=1),AP577,0)</f>
        <v>0</v>
      </c>
      <c r="BM577">
        <f>IF(AND(AK577=SafetyLabel,AY577=1),AP577,0)</f>
        <v>0</v>
      </c>
      <c r="BN577">
        <f>IF(AND(AK577=SecureLabel,AY577=1),AP577,0)</f>
        <v>0</v>
      </c>
      <c r="BO577">
        <f>IF(AND(AK577=SureThingLabel,AY577=1),AP577,0)</f>
        <v>0</v>
      </c>
      <c r="BP577">
        <f>MAX(BK577:BO577)</f>
        <v>0</v>
      </c>
      <c r="BQ577">
        <f>MAX(BL577:BO577)</f>
        <v>0</v>
      </c>
      <c r="BR577">
        <f>MAX(BM577:BO577)</f>
        <v>0</v>
      </c>
      <c r="BS577">
        <f>IF(ISNUMBER(Y577),INDEX(AllCollegeChicago, MATCH(N577,AllCollegeNCES,0))*AY577,0)</f>
        <v>0</v>
      </c>
      <c r="BT577">
        <f>IF(ISNUMBER(Y577),INDEX(AllCollegeMoneyCode, MATCH(N577,AllCollegeNCES,0)),"?")</f>
        <v>0</v>
      </c>
      <c r="BU577">
        <f>IF(OR(BT577="---",BT577="--",BT577="+/--",BT577="+/---"),1,0)</f>
        <v>0</v>
      </c>
      <c r="BV577">
        <f>AY577*AO577*AQ577</f>
        <v>0</v>
      </c>
    </row>
    <row r="578" spans="1:74">
      <c r="A578" t="s">
        <v>86</v>
      </c>
      <c r="B578">
        <v>23499435</v>
      </c>
      <c r="C578" t="s">
        <v>305</v>
      </c>
      <c r="D578" t="s">
        <v>306</v>
      </c>
      <c r="E578" t="s">
        <v>428</v>
      </c>
      <c r="F578" t="s">
        <v>447</v>
      </c>
      <c r="G578" t="s">
        <v>430</v>
      </c>
      <c r="H578" t="s">
        <v>431</v>
      </c>
      <c r="I578" t="s">
        <v>432</v>
      </c>
      <c r="J578" t="s">
        <v>432</v>
      </c>
      <c r="K578">
        <v>0</v>
      </c>
      <c r="L578" t="s">
        <v>428</v>
      </c>
      <c r="M578" t="s">
        <v>428</v>
      </c>
      <c r="N578">
        <v>145600</v>
      </c>
      <c r="O578">
        <f>INDEX(AllCollegeBarrons,MATCH(N578,AllCollegeNCES,0))</f>
        <v>0</v>
      </c>
      <c r="P578">
        <f>INDEX(KidGPAs,MATCH(B578,KidIDs,0))</f>
        <v>0</v>
      </c>
      <c r="Q578">
        <f>INDEX(KidACTs,MATCH(B578,KidIDs,0))</f>
        <v>0</v>
      </c>
      <c r="R578">
        <f>INDEX(Strats,MATCH(B578,KidIDs,0))</f>
        <v>0</v>
      </c>
      <c r="S578">
        <f>INDEX(KidRace,MATCH(B578,KidIDs,0))</f>
        <v>0</v>
      </c>
      <c r="T578">
        <f>IF(OR(S578="M",S578="I"),"H",S578)</f>
        <v>0</v>
      </c>
      <c r="U578">
        <f>INDEX(StudentTargets,MATCH(B578,KidIDs,0))</f>
        <v>0</v>
      </c>
      <c r="V578">
        <f>INDEX(ReachStudentTargets,MATCH(B578,KidIDs,0))</f>
        <v>0</v>
      </c>
      <c r="W578">
        <f>IF(OR(M578="Posse"),1,0)</f>
        <v>0</v>
      </c>
      <c r="X578">
        <f>IF(ISNUMBER(INDEX(AllCollegeGR, MATCH(N578,AllCollegeNCES,0))),ROUND(INDEX(AllCollegeGR, MATCH(N578,AllCollegeNCES,0))+W578*IF(INDEX(AllCollegeGR, MATCH(N578,AllCollegeNCES,0))&gt;0.7,(1-INDEX(AllCollegeGR, MATCH(N578,AllCollegeNCES,0)))/2,0.15),2),INDEX(AllCollegeGR, MATCH(N578,AllCollegeNCES,0)))</f>
        <v>0</v>
      </c>
      <c r="Y578">
        <f>IF(ISNUMBER(INDEX(AllCollegeAAHGR, MATCH(N578,AllCollegeNCES,0))),ROUND(INDEX(AllCollegeAAHGR, MATCH(N578,AllCollegeNCES,0))+W578*IF(INDEX(AllCollegeAAHGR, MATCH(N578,AllCollegeNCES,0))&gt;0.7,(1-INDEX(AllCollegeAAHGR, MATCH(N578,AllCollegeNCES,0)))/2,0.15),2),INDEX(AllCollegeAAHGR, MATCH(N578,AllCollegeNCES,0)))</f>
        <v>0</v>
      </c>
      <c r="Z578">
        <f>IF(OR(T578="H",T578="B"),INDEX(AllCollegeACT25, MATCH(N578,AllCollegeNCES,0)),INDEX(AllCollegeACT50, MATCH(N578,AllCollegeNCES,0)))</f>
        <v>0</v>
      </c>
      <c r="AA578">
        <f>INDEX(CustomWeightsGPA,MATCH(T578&amp;":"&amp;N578,CustomWeightsIndex,0))</f>
        <v>0</v>
      </c>
      <c r="AB578">
        <f>INDEX(CustomWeightsACT,MATCH(T578&amp;":"&amp;N578,CustomWeightsIndex,0))</f>
        <v>0</v>
      </c>
      <c r="AC578">
        <f>INDEX(CustomWeightsIntercept,MATCH(T578&amp;":"&amp;N578,CustomWeightsIndex,0))</f>
        <v>0</v>
      </c>
      <c r="AD578">
        <f>AA578*P578+AB578*Q578+AC578</f>
        <v>0</v>
      </c>
      <c r="AE578">
        <f>INDEX(CoefficientsGPA,MATCH(T578&amp;":"&amp;O578,CoefficientsIndex,0))</f>
        <v>0</v>
      </c>
      <c r="AF578">
        <f>INDEX(CoefficientsACT,MATCH(T578&amp;":"&amp;O578,CoefficientsIndex,0))</f>
        <v>0</v>
      </c>
      <c r="AG578">
        <f>INDEX(CoefficientsIntercept,MATCH(T578&amp;":"&amp;O578,CoefficientsIndex,0))</f>
        <v>0</v>
      </c>
      <c r="AH578">
        <f>AE578*P578+(Q578-Z578)*AF578+AG578</f>
        <v>0</v>
      </c>
      <c r="AI578">
        <f>IF(ISNUMBER(AD578),AD578,AH578)</f>
        <v>0</v>
      </c>
      <c r="AJ578">
        <f>IF(ISNUMBER(AI578),IF(ISNUMBER(AE578),IF(AND(AE578=1,AF578=1,AG578=1),100,ROUND(100*EXP(AI578)/(1+EXP(AI578)),2)),ROUND(100*EXP(AI578)/(1+EXP(AI578)),2)),IF(ISTEXT(O578),IF(LEFT(O578,1)="2",100,"N/A"),"N/A"))</f>
        <v>0</v>
      </c>
      <c r="AK578">
        <f>IF(ISNUMBER(AJ578),IF(AJ578&gt;=99,IF(OR(R578=10,R578=11),MatchLabel,SureThingLabel),IF(AJ578&gt;=95,SecureLabel,IF(AJ578&gt;=80,SafetyLabel,IF(AJ578&gt;=50,MatchLabel,IF(AJ578&gt;=20,ReachLabel,IF(AJ578&gt;=10,LongshotLabel,HailMaryLabel)))))),"Other")</f>
        <v>0</v>
      </c>
      <c r="AL578">
        <f>IF(OR(I578="accepted",I578="cond. accept",I578="summer admit"),IF(J578="yes","CHOICE!","Accepted!"),IF(I578="denied","Denied",IF(K578=1,"Waitlist",IF(L578=1,"Deferred",IF(G578="pending","Pending",IF(OR(G578="initial materials submitted",G578="mid-year submitted",G578="final submitted"),"Submitted",IF(H578="interest","Interest","?")))))))</f>
        <v>0</v>
      </c>
      <c r="AM578">
        <f>IF(OR(AK578=ReachLabel,AK578=LongshotLabel,AK578=HailMaryLabel),1,0)</f>
        <v>0</v>
      </c>
      <c r="AN578">
        <f>IF(OR(AM578=1,AK578=MatchLabel),1,0)</f>
        <v>0</v>
      </c>
      <c r="AO578">
        <f>IF(OR(AK578=MatchLabel,AK578=SafetyLabel,AK578=SecureLabel,AK578=SureThingLabel),1,0)</f>
        <v>0</v>
      </c>
      <c r="AP578">
        <f>IF(OR(T578="H",T578="B"),IF(ISNUMBER(Y578),ROUND(Y578,2),0),IF(ISNUMBER(X578),ROUND(X578,2),0))</f>
        <v>0</v>
      </c>
      <c r="AQ578">
        <f>IF(AP578&gt;=U578,1,0)</f>
        <v>0</v>
      </c>
      <c r="AR578">
        <f>IF(AP578&gt;=V578,1,0)</f>
        <v>0</v>
      </c>
      <c r="AS578">
        <f>IF(AP578&lt;(U578-0.10),1,0)</f>
        <v>0</v>
      </c>
      <c r="AT578">
        <f>1-AJ578/100</f>
        <v>0</v>
      </c>
      <c r="AU578">
        <f>IF(AN578=1,AT578,1)</f>
        <v>0</v>
      </c>
      <c r="AV578">
        <f>IF(AM578=1,AT578,1)</f>
        <v>0</v>
      </c>
      <c r="AW578">
        <f>IF(AND(AQ578=1,ISNUMBER(AT578)),$AT578,1)</f>
        <v>0</v>
      </c>
      <c r="AX578">
        <f>IF(AND(AR578=1,ISNUMBER(AT578)),$AT578,1)</f>
        <v>0</v>
      </c>
      <c r="AY578">
        <f>IF(ISNUMBER(Y578),INDEX(AllCollegeMoney, MATCH(N578,AllCollegeNCES,0)),0)</f>
        <v>0</v>
      </c>
      <c r="AZ578">
        <f>IF(AND(AQ578=1,ISNUMBER(AT578),AY578=1),$AT578,1)</f>
        <v>0</v>
      </c>
      <c r="BA578">
        <f>IF(AND(AR578=1,ISNUMBER(AT578),AY578=1),$AT578,1)</f>
        <v>0</v>
      </c>
      <c r="BB578">
        <f>IF(ISNUMBER(Y578),INDEX(AllCollegeILPub, MATCH(N578,AllCollegeNCES,0)),0)</f>
        <v>0</v>
      </c>
      <c r="BC578">
        <f>IF(AK578=ReachLabel,AP578,0)</f>
        <v>0</v>
      </c>
      <c r="BD578">
        <f>IF(AK578=MatchLabel,AP578,0)</f>
        <v>0</v>
      </c>
      <c r="BE578">
        <f>IF(AK578=SafetyLabel,AP578,0)</f>
        <v>0</v>
      </c>
      <c r="BF578">
        <f>IF(AK578=SecureLabel,AP578,0)</f>
        <v>0</v>
      </c>
      <c r="BG578">
        <f>IF(AK578=SureThingLabel,AP578,0)</f>
        <v>0</v>
      </c>
      <c r="BH578">
        <f>MAX(BC578:BG578)</f>
        <v>0</v>
      </c>
      <c r="BI578">
        <f>MAX(BD578:BG578)</f>
        <v>0</v>
      </c>
      <c r="BJ578">
        <f>MAX(BE578:BG578)</f>
        <v>0</v>
      </c>
      <c r="BK578">
        <f>IF(AND(AK578=ReachLabel,AY578=1),AP578,0)</f>
        <v>0</v>
      </c>
      <c r="BL578">
        <f>IF(AND(AK578=MatchLabel,AY578=1),AP578,0)</f>
        <v>0</v>
      </c>
      <c r="BM578">
        <f>IF(AND(AK578=SafetyLabel,AY578=1),AP578,0)</f>
        <v>0</v>
      </c>
      <c r="BN578">
        <f>IF(AND(AK578=SecureLabel,AY578=1),AP578,0)</f>
        <v>0</v>
      </c>
      <c r="BO578">
        <f>IF(AND(AK578=SureThingLabel,AY578=1),AP578,0)</f>
        <v>0</v>
      </c>
      <c r="BP578">
        <f>MAX(BK578:BO578)</f>
        <v>0</v>
      </c>
      <c r="BQ578">
        <f>MAX(BL578:BO578)</f>
        <v>0</v>
      </c>
      <c r="BR578">
        <f>MAX(BM578:BO578)</f>
        <v>0</v>
      </c>
      <c r="BS578">
        <f>IF(ISNUMBER(Y578),INDEX(AllCollegeChicago, MATCH(N578,AllCollegeNCES,0))*AY578,0)</f>
        <v>0</v>
      </c>
      <c r="BT578">
        <f>IF(ISNUMBER(Y578),INDEX(AllCollegeMoneyCode, MATCH(N578,AllCollegeNCES,0)),"?")</f>
        <v>0</v>
      </c>
      <c r="BU578">
        <f>IF(OR(BT578="---",BT578="--",BT578="+/--",BT578="+/---"),1,0)</f>
        <v>0</v>
      </c>
      <c r="BV578">
        <f>AY578*AO578*AQ578</f>
        <v>0</v>
      </c>
    </row>
    <row r="579" spans="1:74">
      <c r="A579" t="s">
        <v>86</v>
      </c>
      <c r="B579">
        <v>23499435</v>
      </c>
      <c r="C579" t="s">
        <v>305</v>
      </c>
      <c r="D579" t="s">
        <v>306</v>
      </c>
      <c r="E579" t="s">
        <v>428</v>
      </c>
      <c r="F579" t="s">
        <v>489</v>
      </c>
      <c r="G579" t="s">
        <v>430</v>
      </c>
      <c r="H579" t="s">
        <v>431</v>
      </c>
      <c r="I579" t="s">
        <v>432</v>
      </c>
      <c r="J579" t="s">
        <v>432</v>
      </c>
      <c r="K579">
        <v>0</v>
      </c>
      <c r="L579" t="s">
        <v>428</v>
      </c>
      <c r="M579" t="s">
        <v>428</v>
      </c>
      <c r="N579">
        <v>147679</v>
      </c>
      <c r="O579">
        <f>INDEX(AllCollegeBarrons,MATCH(N579,AllCollegeNCES,0))</f>
        <v>0</v>
      </c>
      <c r="P579">
        <f>INDEX(KidGPAs,MATCH(B579,KidIDs,0))</f>
        <v>0</v>
      </c>
      <c r="Q579">
        <f>INDEX(KidACTs,MATCH(B579,KidIDs,0))</f>
        <v>0</v>
      </c>
      <c r="R579">
        <f>INDEX(Strats,MATCH(B579,KidIDs,0))</f>
        <v>0</v>
      </c>
      <c r="S579">
        <f>INDEX(KidRace,MATCH(B579,KidIDs,0))</f>
        <v>0</v>
      </c>
      <c r="T579">
        <f>IF(OR(S579="M",S579="I"),"H",S579)</f>
        <v>0</v>
      </c>
      <c r="U579">
        <f>INDEX(StudentTargets,MATCH(B579,KidIDs,0))</f>
        <v>0</v>
      </c>
      <c r="V579">
        <f>INDEX(ReachStudentTargets,MATCH(B579,KidIDs,0))</f>
        <v>0</v>
      </c>
      <c r="W579">
        <f>IF(OR(M579="Posse"),1,0)</f>
        <v>0</v>
      </c>
      <c r="X579">
        <f>IF(ISNUMBER(INDEX(AllCollegeGR, MATCH(N579,AllCollegeNCES,0))),ROUND(INDEX(AllCollegeGR, MATCH(N579,AllCollegeNCES,0))+W579*IF(INDEX(AllCollegeGR, MATCH(N579,AllCollegeNCES,0))&gt;0.7,(1-INDEX(AllCollegeGR, MATCH(N579,AllCollegeNCES,0)))/2,0.15),2),INDEX(AllCollegeGR, MATCH(N579,AllCollegeNCES,0)))</f>
        <v>0</v>
      </c>
      <c r="Y579">
        <f>IF(ISNUMBER(INDEX(AllCollegeAAHGR, MATCH(N579,AllCollegeNCES,0))),ROUND(INDEX(AllCollegeAAHGR, MATCH(N579,AllCollegeNCES,0))+W579*IF(INDEX(AllCollegeAAHGR, MATCH(N579,AllCollegeNCES,0))&gt;0.7,(1-INDEX(AllCollegeAAHGR, MATCH(N579,AllCollegeNCES,0)))/2,0.15),2),INDEX(AllCollegeAAHGR, MATCH(N579,AllCollegeNCES,0)))</f>
        <v>0</v>
      </c>
      <c r="Z579">
        <f>IF(OR(T579="H",T579="B"),INDEX(AllCollegeACT25, MATCH(N579,AllCollegeNCES,0)),INDEX(AllCollegeACT50, MATCH(N579,AllCollegeNCES,0)))</f>
        <v>0</v>
      </c>
      <c r="AA579">
        <f>INDEX(CustomWeightsGPA,MATCH(T579&amp;":"&amp;N579,CustomWeightsIndex,0))</f>
        <v>0</v>
      </c>
      <c r="AB579">
        <f>INDEX(CustomWeightsACT,MATCH(T579&amp;":"&amp;N579,CustomWeightsIndex,0))</f>
        <v>0</v>
      </c>
      <c r="AC579">
        <f>INDEX(CustomWeightsIntercept,MATCH(T579&amp;":"&amp;N579,CustomWeightsIndex,0))</f>
        <v>0</v>
      </c>
      <c r="AD579">
        <f>AA579*P579+AB579*Q579+AC579</f>
        <v>0</v>
      </c>
      <c r="AE579">
        <f>INDEX(CoefficientsGPA,MATCH(T579&amp;":"&amp;O579,CoefficientsIndex,0))</f>
        <v>0</v>
      </c>
      <c r="AF579">
        <f>INDEX(CoefficientsACT,MATCH(T579&amp;":"&amp;O579,CoefficientsIndex,0))</f>
        <v>0</v>
      </c>
      <c r="AG579">
        <f>INDEX(CoefficientsIntercept,MATCH(T579&amp;":"&amp;O579,CoefficientsIndex,0))</f>
        <v>0</v>
      </c>
      <c r="AH579">
        <f>AE579*P579+(Q579-Z579)*AF579+AG579</f>
        <v>0</v>
      </c>
      <c r="AI579">
        <f>IF(ISNUMBER(AD579),AD579,AH579)</f>
        <v>0</v>
      </c>
      <c r="AJ579">
        <f>IF(ISNUMBER(AI579),IF(ISNUMBER(AE579),IF(AND(AE579=1,AF579=1,AG579=1),100,ROUND(100*EXP(AI579)/(1+EXP(AI579)),2)),ROUND(100*EXP(AI579)/(1+EXP(AI579)),2)),IF(ISTEXT(O579),IF(LEFT(O579,1)="2",100,"N/A"),"N/A"))</f>
        <v>0</v>
      </c>
      <c r="AK579">
        <f>IF(ISNUMBER(AJ579),IF(AJ579&gt;=99,IF(OR(R579=10,R579=11),MatchLabel,SureThingLabel),IF(AJ579&gt;=95,SecureLabel,IF(AJ579&gt;=80,SafetyLabel,IF(AJ579&gt;=50,MatchLabel,IF(AJ579&gt;=20,ReachLabel,IF(AJ579&gt;=10,LongshotLabel,HailMaryLabel)))))),"Other")</f>
        <v>0</v>
      </c>
      <c r="AL579">
        <f>IF(OR(I579="accepted",I579="cond. accept",I579="summer admit"),IF(J579="yes","CHOICE!","Accepted!"),IF(I579="denied","Denied",IF(K579=1,"Waitlist",IF(L579=1,"Deferred",IF(G579="pending","Pending",IF(OR(G579="initial materials submitted",G579="mid-year submitted",G579="final submitted"),"Submitted",IF(H579="interest","Interest","?")))))))</f>
        <v>0</v>
      </c>
      <c r="AM579">
        <f>IF(OR(AK579=ReachLabel,AK579=LongshotLabel,AK579=HailMaryLabel),1,0)</f>
        <v>0</v>
      </c>
      <c r="AN579">
        <f>IF(OR(AM579=1,AK579=MatchLabel),1,0)</f>
        <v>0</v>
      </c>
      <c r="AO579">
        <f>IF(OR(AK579=MatchLabel,AK579=SafetyLabel,AK579=SecureLabel,AK579=SureThingLabel),1,0)</f>
        <v>0</v>
      </c>
      <c r="AP579">
        <f>IF(OR(T579="H",T579="B"),IF(ISNUMBER(Y579),ROUND(Y579,2),0),IF(ISNUMBER(X579),ROUND(X579,2),0))</f>
        <v>0</v>
      </c>
      <c r="AQ579">
        <f>IF(AP579&gt;=U579,1,0)</f>
        <v>0</v>
      </c>
      <c r="AR579">
        <f>IF(AP579&gt;=V579,1,0)</f>
        <v>0</v>
      </c>
      <c r="AS579">
        <f>IF(AP579&lt;(U579-0.10),1,0)</f>
        <v>0</v>
      </c>
      <c r="AT579">
        <f>1-AJ579/100</f>
        <v>0</v>
      </c>
      <c r="AU579">
        <f>IF(AN579=1,AT579,1)</f>
        <v>0</v>
      </c>
      <c r="AV579">
        <f>IF(AM579=1,AT579,1)</f>
        <v>0</v>
      </c>
      <c r="AW579">
        <f>IF(AND(AQ579=1,ISNUMBER(AT579)),$AT579,1)</f>
        <v>0</v>
      </c>
      <c r="AX579">
        <f>IF(AND(AR579=1,ISNUMBER(AT579)),$AT579,1)</f>
        <v>0</v>
      </c>
      <c r="AY579">
        <f>IF(ISNUMBER(Y579),INDEX(AllCollegeMoney, MATCH(N579,AllCollegeNCES,0)),0)</f>
        <v>0</v>
      </c>
      <c r="AZ579">
        <f>IF(AND(AQ579=1,ISNUMBER(AT579),AY579=1),$AT579,1)</f>
        <v>0</v>
      </c>
      <c r="BA579">
        <f>IF(AND(AR579=1,ISNUMBER(AT579),AY579=1),$AT579,1)</f>
        <v>0</v>
      </c>
      <c r="BB579">
        <f>IF(ISNUMBER(Y579),INDEX(AllCollegeILPub, MATCH(N579,AllCollegeNCES,0)),0)</f>
        <v>0</v>
      </c>
      <c r="BC579">
        <f>IF(AK579=ReachLabel,AP579,0)</f>
        <v>0</v>
      </c>
      <c r="BD579">
        <f>IF(AK579=MatchLabel,AP579,0)</f>
        <v>0</v>
      </c>
      <c r="BE579">
        <f>IF(AK579=SafetyLabel,AP579,0)</f>
        <v>0</v>
      </c>
      <c r="BF579">
        <f>IF(AK579=SecureLabel,AP579,0)</f>
        <v>0</v>
      </c>
      <c r="BG579">
        <f>IF(AK579=SureThingLabel,AP579,0)</f>
        <v>0</v>
      </c>
      <c r="BH579">
        <f>MAX(BC579:BG579)</f>
        <v>0</v>
      </c>
      <c r="BI579">
        <f>MAX(BD579:BG579)</f>
        <v>0</v>
      </c>
      <c r="BJ579">
        <f>MAX(BE579:BG579)</f>
        <v>0</v>
      </c>
      <c r="BK579">
        <f>IF(AND(AK579=ReachLabel,AY579=1),AP579,0)</f>
        <v>0</v>
      </c>
      <c r="BL579">
        <f>IF(AND(AK579=MatchLabel,AY579=1),AP579,0)</f>
        <v>0</v>
      </c>
      <c r="BM579">
        <f>IF(AND(AK579=SafetyLabel,AY579=1),AP579,0)</f>
        <v>0</v>
      </c>
      <c r="BN579">
        <f>IF(AND(AK579=SecureLabel,AY579=1),AP579,0)</f>
        <v>0</v>
      </c>
      <c r="BO579">
        <f>IF(AND(AK579=SureThingLabel,AY579=1),AP579,0)</f>
        <v>0</v>
      </c>
      <c r="BP579">
        <f>MAX(BK579:BO579)</f>
        <v>0</v>
      </c>
      <c r="BQ579">
        <f>MAX(BL579:BO579)</f>
        <v>0</v>
      </c>
      <c r="BR579">
        <f>MAX(BM579:BO579)</f>
        <v>0</v>
      </c>
      <c r="BS579">
        <f>IF(ISNUMBER(Y579),INDEX(AllCollegeChicago, MATCH(N579,AllCollegeNCES,0))*AY579,0)</f>
        <v>0</v>
      </c>
      <c r="BT579">
        <f>IF(ISNUMBER(Y579),INDEX(AllCollegeMoneyCode, MATCH(N579,AllCollegeNCES,0)),"?")</f>
        <v>0</v>
      </c>
      <c r="BU579">
        <f>IF(OR(BT579="---",BT579="--",BT579="+/--",BT579="+/---"),1,0)</f>
        <v>0</v>
      </c>
      <c r="BV579">
        <f>AY579*AO579*AQ579</f>
        <v>0</v>
      </c>
    </row>
    <row r="580" spans="1:74">
      <c r="A580" t="s">
        <v>86</v>
      </c>
      <c r="B580">
        <v>23560568</v>
      </c>
      <c r="C580" t="s">
        <v>254</v>
      </c>
      <c r="D580" t="s">
        <v>255</v>
      </c>
      <c r="E580" t="s">
        <v>428</v>
      </c>
      <c r="F580" t="s">
        <v>456</v>
      </c>
      <c r="G580" t="s">
        <v>463</v>
      </c>
      <c r="H580" t="s">
        <v>431</v>
      </c>
      <c r="I580" t="s">
        <v>432</v>
      </c>
      <c r="J580" t="s">
        <v>432</v>
      </c>
      <c r="K580">
        <v>0</v>
      </c>
      <c r="L580" t="s">
        <v>428</v>
      </c>
      <c r="M580" t="s">
        <v>428</v>
      </c>
      <c r="N580">
        <v>213668</v>
      </c>
      <c r="O580">
        <f>INDEX(AllCollegeBarrons,MATCH(N580,AllCollegeNCES,0))</f>
        <v>0</v>
      </c>
      <c r="P580">
        <f>INDEX(KidGPAs,MATCH(B580,KidIDs,0))</f>
        <v>0</v>
      </c>
      <c r="Q580">
        <f>INDEX(KidACTs,MATCH(B580,KidIDs,0))</f>
        <v>0</v>
      </c>
      <c r="R580">
        <f>INDEX(Strats,MATCH(B580,KidIDs,0))</f>
        <v>0</v>
      </c>
      <c r="S580">
        <f>INDEX(KidRace,MATCH(B580,KidIDs,0))</f>
        <v>0</v>
      </c>
      <c r="T580">
        <f>IF(OR(S580="M",S580="I"),"H",S580)</f>
        <v>0</v>
      </c>
      <c r="U580">
        <f>INDEX(StudentTargets,MATCH(B580,KidIDs,0))</f>
        <v>0</v>
      </c>
      <c r="V580">
        <f>INDEX(ReachStudentTargets,MATCH(B580,KidIDs,0))</f>
        <v>0</v>
      </c>
      <c r="W580">
        <f>IF(OR(M580="Posse"),1,0)</f>
        <v>0</v>
      </c>
      <c r="X580">
        <f>IF(ISNUMBER(INDEX(AllCollegeGR, MATCH(N580,AllCollegeNCES,0))),ROUND(INDEX(AllCollegeGR, MATCH(N580,AllCollegeNCES,0))+W580*IF(INDEX(AllCollegeGR, MATCH(N580,AllCollegeNCES,0))&gt;0.7,(1-INDEX(AllCollegeGR, MATCH(N580,AllCollegeNCES,0)))/2,0.15),2),INDEX(AllCollegeGR, MATCH(N580,AllCollegeNCES,0)))</f>
        <v>0</v>
      </c>
      <c r="Y580">
        <f>IF(ISNUMBER(INDEX(AllCollegeAAHGR, MATCH(N580,AllCollegeNCES,0))),ROUND(INDEX(AllCollegeAAHGR, MATCH(N580,AllCollegeNCES,0))+W580*IF(INDEX(AllCollegeAAHGR, MATCH(N580,AllCollegeNCES,0))&gt;0.7,(1-INDEX(AllCollegeAAHGR, MATCH(N580,AllCollegeNCES,0)))/2,0.15),2),INDEX(AllCollegeAAHGR, MATCH(N580,AllCollegeNCES,0)))</f>
        <v>0</v>
      </c>
      <c r="Z580">
        <f>IF(OR(T580="H",T580="B"),INDEX(AllCollegeACT25, MATCH(N580,AllCollegeNCES,0)),INDEX(AllCollegeACT50, MATCH(N580,AllCollegeNCES,0)))</f>
        <v>0</v>
      </c>
      <c r="AA580">
        <f>INDEX(CustomWeightsGPA,MATCH(T580&amp;":"&amp;N580,CustomWeightsIndex,0))</f>
        <v>0</v>
      </c>
      <c r="AB580">
        <f>INDEX(CustomWeightsACT,MATCH(T580&amp;":"&amp;N580,CustomWeightsIndex,0))</f>
        <v>0</v>
      </c>
      <c r="AC580">
        <f>INDEX(CustomWeightsIntercept,MATCH(T580&amp;":"&amp;N580,CustomWeightsIndex,0))</f>
        <v>0</v>
      </c>
      <c r="AD580">
        <f>AA580*P580+AB580*Q580+AC580</f>
        <v>0</v>
      </c>
      <c r="AE580">
        <f>INDEX(CoefficientsGPA,MATCH(T580&amp;":"&amp;O580,CoefficientsIndex,0))</f>
        <v>0</v>
      </c>
      <c r="AF580">
        <f>INDEX(CoefficientsACT,MATCH(T580&amp;":"&amp;O580,CoefficientsIndex,0))</f>
        <v>0</v>
      </c>
      <c r="AG580">
        <f>INDEX(CoefficientsIntercept,MATCH(T580&amp;":"&amp;O580,CoefficientsIndex,0))</f>
        <v>0</v>
      </c>
      <c r="AH580">
        <f>AE580*P580+(Q580-Z580)*AF580+AG580</f>
        <v>0</v>
      </c>
      <c r="AI580">
        <f>IF(ISNUMBER(AD580),AD580,AH580)</f>
        <v>0</v>
      </c>
      <c r="AJ580">
        <f>IF(ISNUMBER(AI580),IF(ISNUMBER(AE580),IF(AND(AE580=1,AF580=1,AG580=1),100,ROUND(100*EXP(AI580)/(1+EXP(AI580)),2)),ROUND(100*EXP(AI580)/(1+EXP(AI580)),2)),IF(ISTEXT(O580),IF(LEFT(O580,1)="2",100,"N/A"),"N/A"))</f>
        <v>0</v>
      </c>
      <c r="AK580">
        <f>IF(ISNUMBER(AJ580),IF(AJ580&gt;=99,IF(OR(R580=10,R580=11),MatchLabel,SureThingLabel),IF(AJ580&gt;=95,SecureLabel,IF(AJ580&gt;=80,SafetyLabel,IF(AJ580&gt;=50,MatchLabel,IF(AJ580&gt;=20,ReachLabel,IF(AJ580&gt;=10,LongshotLabel,HailMaryLabel)))))),"Other")</f>
        <v>0</v>
      </c>
      <c r="AL580">
        <f>IF(OR(I580="accepted",I580="cond. accept",I580="summer admit"),IF(J580="yes","CHOICE!","Accepted!"),IF(I580="denied","Denied",IF(K580=1,"Waitlist",IF(L580=1,"Deferred",IF(G580="pending","Pending",IF(OR(G580="initial materials submitted",G580="mid-year submitted",G580="final submitted"),"Submitted",IF(H580="interest","Interest","?")))))))</f>
        <v>0</v>
      </c>
      <c r="AM580">
        <f>IF(OR(AK580=ReachLabel,AK580=LongshotLabel,AK580=HailMaryLabel),1,0)</f>
        <v>0</v>
      </c>
      <c r="AN580">
        <f>IF(OR(AM580=1,AK580=MatchLabel),1,0)</f>
        <v>0</v>
      </c>
      <c r="AO580">
        <f>IF(OR(AK580=MatchLabel,AK580=SafetyLabel,AK580=SecureLabel,AK580=SureThingLabel),1,0)</f>
        <v>0</v>
      </c>
      <c r="AP580">
        <f>IF(OR(T580="H",T580="B"),IF(ISNUMBER(Y580),ROUND(Y580,2),0),IF(ISNUMBER(X580),ROUND(X580,2),0))</f>
        <v>0</v>
      </c>
      <c r="AQ580">
        <f>IF(AP580&gt;=U580,1,0)</f>
        <v>0</v>
      </c>
      <c r="AR580">
        <f>IF(AP580&gt;=V580,1,0)</f>
        <v>0</v>
      </c>
      <c r="AS580">
        <f>IF(AP580&lt;(U580-0.10),1,0)</f>
        <v>0</v>
      </c>
      <c r="AT580">
        <f>1-AJ580/100</f>
        <v>0</v>
      </c>
      <c r="AU580">
        <f>IF(AN580=1,AT580,1)</f>
        <v>0</v>
      </c>
      <c r="AV580">
        <f>IF(AM580=1,AT580,1)</f>
        <v>0</v>
      </c>
      <c r="AW580">
        <f>IF(AND(AQ580=1,ISNUMBER(AT580)),$AT580,1)</f>
        <v>0</v>
      </c>
      <c r="AX580">
        <f>IF(AND(AR580=1,ISNUMBER(AT580)),$AT580,1)</f>
        <v>0</v>
      </c>
      <c r="AY580">
        <f>IF(ISNUMBER(Y580),INDEX(AllCollegeMoney, MATCH(N580,AllCollegeNCES,0)),0)</f>
        <v>0</v>
      </c>
      <c r="AZ580">
        <f>IF(AND(AQ580=1,ISNUMBER(AT580),AY580=1),$AT580,1)</f>
        <v>0</v>
      </c>
      <c r="BA580">
        <f>IF(AND(AR580=1,ISNUMBER(AT580),AY580=1),$AT580,1)</f>
        <v>0</v>
      </c>
      <c r="BB580">
        <f>IF(ISNUMBER(Y580),INDEX(AllCollegeILPub, MATCH(N580,AllCollegeNCES,0)),0)</f>
        <v>0</v>
      </c>
      <c r="BC580">
        <f>IF(AK580=ReachLabel,AP580,0)</f>
        <v>0</v>
      </c>
      <c r="BD580">
        <f>IF(AK580=MatchLabel,AP580,0)</f>
        <v>0</v>
      </c>
      <c r="BE580">
        <f>IF(AK580=SafetyLabel,AP580,0)</f>
        <v>0</v>
      </c>
      <c r="BF580">
        <f>IF(AK580=SecureLabel,AP580,0)</f>
        <v>0</v>
      </c>
      <c r="BG580">
        <f>IF(AK580=SureThingLabel,AP580,0)</f>
        <v>0</v>
      </c>
      <c r="BH580">
        <f>MAX(BC580:BG580)</f>
        <v>0</v>
      </c>
      <c r="BI580">
        <f>MAX(BD580:BG580)</f>
        <v>0</v>
      </c>
      <c r="BJ580">
        <f>MAX(BE580:BG580)</f>
        <v>0</v>
      </c>
      <c r="BK580">
        <f>IF(AND(AK580=ReachLabel,AY580=1),AP580,0)</f>
        <v>0</v>
      </c>
      <c r="BL580">
        <f>IF(AND(AK580=MatchLabel,AY580=1),AP580,0)</f>
        <v>0</v>
      </c>
      <c r="BM580">
        <f>IF(AND(AK580=SafetyLabel,AY580=1),AP580,0)</f>
        <v>0</v>
      </c>
      <c r="BN580">
        <f>IF(AND(AK580=SecureLabel,AY580=1),AP580,0)</f>
        <v>0</v>
      </c>
      <c r="BO580">
        <f>IF(AND(AK580=SureThingLabel,AY580=1),AP580,0)</f>
        <v>0</v>
      </c>
      <c r="BP580">
        <f>MAX(BK580:BO580)</f>
        <v>0</v>
      </c>
      <c r="BQ580">
        <f>MAX(BL580:BO580)</f>
        <v>0</v>
      </c>
      <c r="BR580">
        <f>MAX(BM580:BO580)</f>
        <v>0</v>
      </c>
      <c r="BS580">
        <f>IF(ISNUMBER(Y580),INDEX(AllCollegeChicago, MATCH(N580,AllCollegeNCES,0))*AY580,0)</f>
        <v>0</v>
      </c>
      <c r="BT580">
        <f>IF(ISNUMBER(Y580),INDEX(AllCollegeMoneyCode, MATCH(N580,AllCollegeNCES,0)),"?")</f>
        <v>0</v>
      </c>
      <c r="BU580">
        <f>IF(OR(BT580="---",BT580="--",BT580="+/--",BT580="+/---"),1,0)</f>
        <v>0</v>
      </c>
      <c r="BV580">
        <f>AY580*AO580*AQ580</f>
        <v>0</v>
      </c>
    </row>
    <row r="581" spans="1:74">
      <c r="A581" t="s">
        <v>86</v>
      </c>
      <c r="B581">
        <v>23560568</v>
      </c>
      <c r="C581" t="s">
        <v>254</v>
      </c>
      <c r="D581" t="s">
        <v>255</v>
      </c>
      <c r="E581" t="s">
        <v>428</v>
      </c>
      <c r="F581" t="s">
        <v>457</v>
      </c>
      <c r="G581" t="s">
        <v>430</v>
      </c>
      <c r="H581" t="s">
        <v>431</v>
      </c>
      <c r="I581" t="s">
        <v>432</v>
      </c>
      <c r="J581" t="s">
        <v>432</v>
      </c>
      <c r="K581">
        <v>0</v>
      </c>
      <c r="L581" t="s">
        <v>428</v>
      </c>
      <c r="M581" t="s">
        <v>428</v>
      </c>
      <c r="N581">
        <v>145637</v>
      </c>
      <c r="O581">
        <f>INDEX(AllCollegeBarrons,MATCH(N581,AllCollegeNCES,0))</f>
        <v>0</v>
      </c>
      <c r="P581">
        <f>INDEX(KidGPAs,MATCH(B581,KidIDs,0))</f>
        <v>0</v>
      </c>
      <c r="Q581">
        <f>INDEX(KidACTs,MATCH(B581,KidIDs,0))</f>
        <v>0</v>
      </c>
      <c r="R581">
        <f>INDEX(Strats,MATCH(B581,KidIDs,0))</f>
        <v>0</v>
      </c>
      <c r="S581">
        <f>INDEX(KidRace,MATCH(B581,KidIDs,0))</f>
        <v>0</v>
      </c>
      <c r="T581">
        <f>IF(OR(S581="M",S581="I"),"H",S581)</f>
        <v>0</v>
      </c>
      <c r="U581">
        <f>INDEX(StudentTargets,MATCH(B581,KidIDs,0))</f>
        <v>0</v>
      </c>
      <c r="V581">
        <f>INDEX(ReachStudentTargets,MATCH(B581,KidIDs,0))</f>
        <v>0</v>
      </c>
      <c r="W581">
        <f>IF(OR(M581="Posse"),1,0)</f>
        <v>0</v>
      </c>
      <c r="X581">
        <f>IF(ISNUMBER(INDEX(AllCollegeGR, MATCH(N581,AllCollegeNCES,0))),ROUND(INDEX(AllCollegeGR, MATCH(N581,AllCollegeNCES,0))+W581*IF(INDEX(AllCollegeGR, MATCH(N581,AllCollegeNCES,0))&gt;0.7,(1-INDEX(AllCollegeGR, MATCH(N581,AllCollegeNCES,0)))/2,0.15),2),INDEX(AllCollegeGR, MATCH(N581,AllCollegeNCES,0)))</f>
        <v>0</v>
      </c>
      <c r="Y581">
        <f>IF(ISNUMBER(INDEX(AllCollegeAAHGR, MATCH(N581,AllCollegeNCES,0))),ROUND(INDEX(AllCollegeAAHGR, MATCH(N581,AllCollegeNCES,0))+W581*IF(INDEX(AllCollegeAAHGR, MATCH(N581,AllCollegeNCES,0))&gt;0.7,(1-INDEX(AllCollegeAAHGR, MATCH(N581,AllCollegeNCES,0)))/2,0.15),2),INDEX(AllCollegeAAHGR, MATCH(N581,AllCollegeNCES,0)))</f>
        <v>0</v>
      </c>
      <c r="Z581">
        <f>IF(OR(T581="H",T581="B"),INDEX(AllCollegeACT25, MATCH(N581,AllCollegeNCES,0)),INDEX(AllCollegeACT50, MATCH(N581,AllCollegeNCES,0)))</f>
        <v>0</v>
      </c>
      <c r="AA581">
        <f>INDEX(CustomWeightsGPA,MATCH(T581&amp;":"&amp;N581,CustomWeightsIndex,0))</f>
        <v>0</v>
      </c>
      <c r="AB581">
        <f>INDEX(CustomWeightsACT,MATCH(T581&amp;":"&amp;N581,CustomWeightsIndex,0))</f>
        <v>0</v>
      </c>
      <c r="AC581">
        <f>INDEX(CustomWeightsIntercept,MATCH(T581&amp;":"&amp;N581,CustomWeightsIndex,0))</f>
        <v>0</v>
      </c>
      <c r="AD581">
        <f>AA581*P581+AB581*Q581+AC581</f>
        <v>0</v>
      </c>
      <c r="AE581">
        <f>INDEX(CoefficientsGPA,MATCH(T581&amp;":"&amp;O581,CoefficientsIndex,0))</f>
        <v>0</v>
      </c>
      <c r="AF581">
        <f>INDEX(CoefficientsACT,MATCH(T581&amp;":"&amp;O581,CoefficientsIndex,0))</f>
        <v>0</v>
      </c>
      <c r="AG581">
        <f>INDEX(CoefficientsIntercept,MATCH(T581&amp;":"&amp;O581,CoefficientsIndex,0))</f>
        <v>0</v>
      </c>
      <c r="AH581">
        <f>AE581*P581+(Q581-Z581)*AF581+AG581</f>
        <v>0</v>
      </c>
      <c r="AI581">
        <f>IF(ISNUMBER(AD581),AD581,AH581)</f>
        <v>0</v>
      </c>
      <c r="AJ581">
        <f>IF(ISNUMBER(AI581),IF(ISNUMBER(AE581),IF(AND(AE581=1,AF581=1,AG581=1),100,ROUND(100*EXP(AI581)/(1+EXP(AI581)),2)),ROUND(100*EXP(AI581)/(1+EXP(AI581)),2)),IF(ISTEXT(O581),IF(LEFT(O581,1)="2",100,"N/A"),"N/A"))</f>
        <v>0</v>
      </c>
      <c r="AK581">
        <f>IF(ISNUMBER(AJ581),IF(AJ581&gt;=99,IF(OR(R581=10,R581=11),MatchLabel,SureThingLabel),IF(AJ581&gt;=95,SecureLabel,IF(AJ581&gt;=80,SafetyLabel,IF(AJ581&gt;=50,MatchLabel,IF(AJ581&gt;=20,ReachLabel,IF(AJ581&gt;=10,LongshotLabel,HailMaryLabel)))))),"Other")</f>
        <v>0</v>
      </c>
      <c r="AL581">
        <f>IF(OR(I581="accepted",I581="cond. accept",I581="summer admit"),IF(J581="yes","CHOICE!","Accepted!"),IF(I581="denied","Denied",IF(K581=1,"Waitlist",IF(L581=1,"Deferred",IF(G581="pending","Pending",IF(OR(G581="initial materials submitted",G581="mid-year submitted",G581="final submitted"),"Submitted",IF(H581="interest","Interest","?")))))))</f>
        <v>0</v>
      </c>
      <c r="AM581">
        <f>IF(OR(AK581=ReachLabel,AK581=LongshotLabel,AK581=HailMaryLabel),1,0)</f>
        <v>0</v>
      </c>
      <c r="AN581">
        <f>IF(OR(AM581=1,AK581=MatchLabel),1,0)</f>
        <v>0</v>
      </c>
      <c r="AO581">
        <f>IF(OR(AK581=MatchLabel,AK581=SafetyLabel,AK581=SecureLabel,AK581=SureThingLabel),1,0)</f>
        <v>0</v>
      </c>
      <c r="AP581">
        <f>IF(OR(T581="H",T581="B"),IF(ISNUMBER(Y581),ROUND(Y581,2),0),IF(ISNUMBER(X581),ROUND(X581,2),0))</f>
        <v>0</v>
      </c>
      <c r="AQ581">
        <f>IF(AP581&gt;=U581,1,0)</f>
        <v>0</v>
      </c>
      <c r="AR581">
        <f>IF(AP581&gt;=V581,1,0)</f>
        <v>0</v>
      </c>
      <c r="AS581">
        <f>IF(AP581&lt;(U581-0.10),1,0)</f>
        <v>0</v>
      </c>
      <c r="AT581">
        <f>1-AJ581/100</f>
        <v>0</v>
      </c>
      <c r="AU581">
        <f>IF(AN581=1,AT581,1)</f>
        <v>0</v>
      </c>
      <c r="AV581">
        <f>IF(AM581=1,AT581,1)</f>
        <v>0</v>
      </c>
      <c r="AW581">
        <f>IF(AND(AQ581=1,ISNUMBER(AT581)),$AT581,1)</f>
        <v>0</v>
      </c>
      <c r="AX581">
        <f>IF(AND(AR581=1,ISNUMBER(AT581)),$AT581,1)</f>
        <v>0</v>
      </c>
      <c r="AY581">
        <f>IF(ISNUMBER(Y581),INDEX(AllCollegeMoney, MATCH(N581,AllCollegeNCES,0)),0)</f>
        <v>0</v>
      </c>
      <c r="AZ581">
        <f>IF(AND(AQ581=1,ISNUMBER(AT581),AY581=1),$AT581,1)</f>
        <v>0</v>
      </c>
      <c r="BA581">
        <f>IF(AND(AR581=1,ISNUMBER(AT581),AY581=1),$AT581,1)</f>
        <v>0</v>
      </c>
      <c r="BB581">
        <f>IF(ISNUMBER(Y581),INDEX(AllCollegeILPub, MATCH(N581,AllCollegeNCES,0)),0)</f>
        <v>0</v>
      </c>
      <c r="BC581">
        <f>IF(AK581=ReachLabel,AP581,0)</f>
        <v>0</v>
      </c>
      <c r="BD581">
        <f>IF(AK581=MatchLabel,AP581,0)</f>
        <v>0</v>
      </c>
      <c r="BE581">
        <f>IF(AK581=SafetyLabel,AP581,0)</f>
        <v>0</v>
      </c>
      <c r="BF581">
        <f>IF(AK581=SecureLabel,AP581,0)</f>
        <v>0</v>
      </c>
      <c r="BG581">
        <f>IF(AK581=SureThingLabel,AP581,0)</f>
        <v>0</v>
      </c>
      <c r="BH581">
        <f>MAX(BC581:BG581)</f>
        <v>0</v>
      </c>
      <c r="BI581">
        <f>MAX(BD581:BG581)</f>
        <v>0</v>
      </c>
      <c r="BJ581">
        <f>MAX(BE581:BG581)</f>
        <v>0</v>
      </c>
      <c r="BK581">
        <f>IF(AND(AK581=ReachLabel,AY581=1),AP581,0)</f>
        <v>0</v>
      </c>
      <c r="BL581">
        <f>IF(AND(AK581=MatchLabel,AY581=1),AP581,0)</f>
        <v>0</v>
      </c>
      <c r="BM581">
        <f>IF(AND(AK581=SafetyLabel,AY581=1),AP581,0)</f>
        <v>0</v>
      </c>
      <c r="BN581">
        <f>IF(AND(AK581=SecureLabel,AY581=1),AP581,0)</f>
        <v>0</v>
      </c>
      <c r="BO581">
        <f>IF(AND(AK581=SureThingLabel,AY581=1),AP581,0)</f>
        <v>0</v>
      </c>
      <c r="BP581">
        <f>MAX(BK581:BO581)</f>
        <v>0</v>
      </c>
      <c r="BQ581">
        <f>MAX(BL581:BO581)</f>
        <v>0</v>
      </c>
      <c r="BR581">
        <f>MAX(BM581:BO581)</f>
        <v>0</v>
      </c>
      <c r="BS581">
        <f>IF(ISNUMBER(Y581),INDEX(AllCollegeChicago, MATCH(N581,AllCollegeNCES,0))*AY581,0)</f>
        <v>0</v>
      </c>
      <c r="BT581">
        <f>IF(ISNUMBER(Y581),INDEX(AllCollegeMoneyCode, MATCH(N581,AllCollegeNCES,0)),"?")</f>
        <v>0</v>
      </c>
      <c r="BU581">
        <f>IF(OR(BT581="---",BT581="--",BT581="+/--",BT581="+/---"),1,0)</f>
        <v>0</v>
      </c>
      <c r="BV581">
        <f>AY581*AO581*AQ581</f>
        <v>0</v>
      </c>
    </row>
    <row r="582" spans="1:74">
      <c r="A582" t="s">
        <v>86</v>
      </c>
      <c r="B582">
        <v>23560568</v>
      </c>
      <c r="C582" t="s">
        <v>254</v>
      </c>
      <c r="D582" t="s">
        <v>255</v>
      </c>
      <c r="E582" t="s">
        <v>428</v>
      </c>
      <c r="F582" t="s">
        <v>459</v>
      </c>
      <c r="G582" t="s">
        <v>430</v>
      </c>
      <c r="H582" t="s">
        <v>431</v>
      </c>
      <c r="I582" t="s">
        <v>432</v>
      </c>
      <c r="J582" t="s">
        <v>432</v>
      </c>
      <c r="K582">
        <v>0</v>
      </c>
      <c r="L582" t="s">
        <v>428</v>
      </c>
      <c r="M582" t="s">
        <v>428</v>
      </c>
      <c r="N582">
        <v>146427</v>
      </c>
      <c r="O582">
        <f>INDEX(AllCollegeBarrons,MATCH(N582,AllCollegeNCES,0))</f>
        <v>0</v>
      </c>
      <c r="P582">
        <f>INDEX(KidGPAs,MATCH(B582,KidIDs,0))</f>
        <v>0</v>
      </c>
      <c r="Q582">
        <f>INDEX(KidACTs,MATCH(B582,KidIDs,0))</f>
        <v>0</v>
      </c>
      <c r="R582">
        <f>INDEX(Strats,MATCH(B582,KidIDs,0))</f>
        <v>0</v>
      </c>
      <c r="S582">
        <f>INDEX(KidRace,MATCH(B582,KidIDs,0))</f>
        <v>0</v>
      </c>
      <c r="T582">
        <f>IF(OR(S582="M",S582="I"),"H",S582)</f>
        <v>0</v>
      </c>
      <c r="U582">
        <f>INDEX(StudentTargets,MATCH(B582,KidIDs,0))</f>
        <v>0</v>
      </c>
      <c r="V582">
        <f>INDEX(ReachStudentTargets,MATCH(B582,KidIDs,0))</f>
        <v>0</v>
      </c>
      <c r="W582">
        <f>IF(OR(M582="Posse"),1,0)</f>
        <v>0</v>
      </c>
      <c r="X582">
        <f>IF(ISNUMBER(INDEX(AllCollegeGR, MATCH(N582,AllCollegeNCES,0))),ROUND(INDEX(AllCollegeGR, MATCH(N582,AllCollegeNCES,0))+W582*IF(INDEX(AllCollegeGR, MATCH(N582,AllCollegeNCES,0))&gt;0.7,(1-INDEX(AllCollegeGR, MATCH(N582,AllCollegeNCES,0)))/2,0.15),2),INDEX(AllCollegeGR, MATCH(N582,AllCollegeNCES,0)))</f>
        <v>0</v>
      </c>
      <c r="Y582">
        <f>IF(ISNUMBER(INDEX(AllCollegeAAHGR, MATCH(N582,AllCollegeNCES,0))),ROUND(INDEX(AllCollegeAAHGR, MATCH(N582,AllCollegeNCES,0))+W582*IF(INDEX(AllCollegeAAHGR, MATCH(N582,AllCollegeNCES,0))&gt;0.7,(1-INDEX(AllCollegeAAHGR, MATCH(N582,AllCollegeNCES,0)))/2,0.15),2),INDEX(AllCollegeAAHGR, MATCH(N582,AllCollegeNCES,0)))</f>
        <v>0</v>
      </c>
      <c r="Z582">
        <f>IF(OR(T582="H",T582="B"),INDEX(AllCollegeACT25, MATCH(N582,AllCollegeNCES,0)),INDEX(AllCollegeACT50, MATCH(N582,AllCollegeNCES,0)))</f>
        <v>0</v>
      </c>
      <c r="AA582">
        <f>INDEX(CustomWeightsGPA,MATCH(T582&amp;":"&amp;N582,CustomWeightsIndex,0))</f>
        <v>0</v>
      </c>
      <c r="AB582">
        <f>INDEX(CustomWeightsACT,MATCH(T582&amp;":"&amp;N582,CustomWeightsIndex,0))</f>
        <v>0</v>
      </c>
      <c r="AC582">
        <f>INDEX(CustomWeightsIntercept,MATCH(T582&amp;":"&amp;N582,CustomWeightsIndex,0))</f>
        <v>0</v>
      </c>
      <c r="AD582">
        <f>AA582*P582+AB582*Q582+AC582</f>
        <v>0</v>
      </c>
      <c r="AE582">
        <f>INDEX(CoefficientsGPA,MATCH(T582&amp;":"&amp;O582,CoefficientsIndex,0))</f>
        <v>0</v>
      </c>
      <c r="AF582">
        <f>INDEX(CoefficientsACT,MATCH(T582&amp;":"&amp;O582,CoefficientsIndex,0))</f>
        <v>0</v>
      </c>
      <c r="AG582">
        <f>INDEX(CoefficientsIntercept,MATCH(T582&amp;":"&amp;O582,CoefficientsIndex,0))</f>
        <v>0</v>
      </c>
      <c r="AH582">
        <f>AE582*P582+(Q582-Z582)*AF582+AG582</f>
        <v>0</v>
      </c>
      <c r="AI582">
        <f>IF(ISNUMBER(AD582),AD582,AH582)</f>
        <v>0</v>
      </c>
      <c r="AJ582">
        <f>IF(ISNUMBER(AI582),IF(ISNUMBER(AE582),IF(AND(AE582=1,AF582=1,AG582=1),100,ROUND(100*EXP(AI582)/(1+EXP(AI582)),2)),ROUND(100*EXP(AI582)/(1+EXP(AI582)),2)),IF(ISTEXT(O582),IF(LEFT(O582,1)="2",100,"N/A"),"N/A"))</f>
        <v>0</v>
      </c>
      <c r="AK582">
        <f>IF(ISNUMBER(AJ582),IF(AJ582&gt;=99,IF(OR(R582=10,R582=11),MatchLabel,SureThingLabel),IF(AJ582&gt;=95,SecureLabel,IF(AJ582&gt;=80,SafetyLabel,IF(AJ582&gt;=50,MatchLabel,IF(AJ582&gt;=20,ReachLabel,IF(AJ582&gt;=10,LongshotLabel,HailMaryLabel)))))),"Other")</f>
        <v>0</v>
      </c>
      <c r="AL582">
        <f>IF(OR(I582="accepted",I582="cond. accept",I582="summer admit"),IF(J582="yes","CHOICE!","Accepted!"),IF(I582="denied","Denied",IF(K582=1,"Waitlist",IF(L582=1,"Deferred",IF(G582="pending","Pending",IF(OR(G582="initial materials submitted",G582="mid-year submitted",G582="final submitted"),"Submitted",IF(H582="interest","Interest","?")))))))</f>
        <v>0</v>
      </c>
      <c r="AM582">
        <f>IF(OR(AK582=ReachLabel,AK582=LongshotLabel,AK582=HailMaryLabel),1,0)</f>
        <v>0</v>
      </c>
      <c r="AN582">
        <f>IF(OR(AM582=1,AK582=MatchLabel),1,0)</f>
        <v>0</v>
      </c>
      <c r="AO582">
        <f>IF(OR(AK582=MatchLabel,AK582=SafetyLabel,AK582=SecureLabel,AK582=SureThingLabel),1,0)</f>
        <v>0</v>
      </c>
      <c r="AP582">
        <f>IF(OR(T582="H",T582="B"),IF(ISNUMBER(Y582),ROUND(Y582,2),0),IF(ISNUMBER(X582),ROUND(X582,2),0))</f>
        <v>0</v>
      </c>
      <c r="AQ582">
        <f>IF(AP582&gt;=U582,1,0)</f>
        <v>0</v>
      </c>
      <c r="AR582">
        <f>IF(AP582&gt;=V582,1,0)</f>
        <v>0</v>
      </c>
      <c r="AS582">
        <f>IF(AP582&lt;(U582-0.10),1,0)</f>
        <v>0</v>
      </c>
      <c r="AT582">
        <f>1-AJ582/100</f>
        <v>0</v>
      </c>
      <c r="AU582">
        <f>IF(AN582=1,AT582,1)</f>
        <v>0</v>
      </c>
      <c r="AV582">
        <f>IF(AM582=1,AT582,1)</f>
        <v>0</v>
      </c>
      <c r="AW582">
        <f>IF(AND(AQ582=1,ISNUMBER(AT582)),$AT582,1)</f>
        <v>0</v>
      </c>
      <c r="AX582">
        <f>IF(AND(AR582=1,ISNUMBER(AT582)),$AT582,1)</f>
        <v>0</v>
      </c>
      <c r="AY582">
        <f>IF(ISNUMBER(Y582),INDEX(AllCollegeMoney, MATCH(N582,AllCollegeNCES,0)),0)</f>
        <v>0</v>
      </c>
      <c r="AZ582">
        <f>IF(AND(AQ582=1,ISNUMBER(AT582),AY582=1),$AT582,1)</f>
        <v>0</v>
      </c>
      <c r="BA582">
        <f>IF(AND(AR582=1,ISNUMBER(AT582),AY582=1),$AT582,1)</f>
        <v>0</v>
      </c>
      <c r="BB582">
        <f>IF(ISNUMBER(Y582),INDEX(AllCollegeILPub, MATCH(N582,AllCollegeNCES,0)),0)</f>
        <v>0</v>
      </c>
      <c r="BC582">
        <f>IF(AK582=ReachLabel,AP582,0)</f>
        <v>0</v>
      </c>
      <c r="BD582">
        <f>IF(AK582=MatchLabel,AP582,0)</f>
        <v>0</v>
      </c>
      <c r="BE582">
        <f>IF(AK582=SafetyLabel,AP582,0)</f>
        <v>0</v>
      </c>
      <c r="BF582">
        <f>IF(AK582=SecureLabel,AP582,0)</f>
        <v>0</v>
      </c>
      <c r="BG582">
        <f>IF(AK582=SureThingLabel,AP582,0)</f>
        <v>0</v>
      </c>
      <c r="BH582">
        <f>MAX(BC582:BG582)</f>
        <v>0</v>
      </c>
      <c r="BI582">
        <f>MAX(BD582:BG582)</f>
        <v>0</v>
      </c>
      <c r="BJ582">
        <f>MAX(BE582:BG582)</f>
        <v>0</v>
      </c>
      <c r="BK582">
        <f>IF(AND(AK582=ReachLabel,AY582=1),AP582,0)</f>
        <v>0</v>
      </c>
      <c r="BL582">
        <f>IF(AND(AK582=MatchLabel,AY582=1),AP582,0)</f>
        <v>0</v>
      </c>
      <c r="BM582">
        <f>IF(AND(AK582=SafetyLabel,AY582=1),AP582,0)</f>
        <v>0</v>
      </c>
      <c r="BN582">
        <f>IF(AND(AK582=SecureLabel,AY582=1),AP582,0)</f>
        <v>0</v>
      </c>
      <c r="BO582">
        <f>IF(AND(AK582=SureThingLabel,AY582=1),AP582,0)</f>
        <v>0</v>
      </c>
      <c r="BP582">
        <f>MAX(BK582:BO582)</f>
        <v>0</v>
      </c>
      <c r="BQ582">
        <f>MAX(BL582:BO582)</f>
        <v>0</v>
      </c>
      <c r="BR582">
        <f>MAX(BM582:BO582)</f>
        <v>0</v>
      </c>
      <c r="BS582">
        <f>IF(ISNUMBER(Y582),INDEX(AllCollegeChicago, MATCH(N582,AllCollegeNCES,0))*AY582,0)</f>
        <v>0</v>
      </c>
      <c r="BT582">
        <f>IF(ISNUMBER(Y582),INDEX(AllCollegeMoneyCode, MATCH(N582,AllCollegeNCES,0)),"?")</f>
        <v>0</v>
      </c>
      <c r="BU582">
        <f>IF(OR(BT582="---",BT582="--",BT582="+/--",BT582="+/---"),1,0)</f>
        <v>0</v>
      </c>
      <c r="BV582">
        <f>AY582*AO582*AQ582</f>
        <v>0</v>
      </c>
    </row>
    <row r="583" spans="1:74">
      <c r="A583" t="s">
        <v>86</v>
      </c>
      <c r="B583">
        <v>23560568</v>
      </c>
      <c r="C583" t="s">
        <v>254</v>
      </c>
      <c r="D583" t="s">
        <v>255</v>
      </c>
      <c r="E583" t="s">
        <v>428</v>
      </c>
      <c r="F583" t="s">
        <v>470</v>
      </c>
      <c r="G583" t="s">
        <v>430</v>
      </c>
      <c r="H583" t="s">
        <v>431</v>
      </c>
      <c r="I583" t="s">
        <v>432</v>
      </c>
      <c r="J583" t="s">
        <v>432</v>
      </c>
      <c r="K583">
        <v>0</v>
      </c>
      <c r="L583" t="s">
        <v>428</v>
      </c>
      <c r="M583" t="s">
        <v>428</v>
      </c>
      <c r="N583">
        <v>206589</v>
      </c>
      <c r="O583">
        <f>INDEX(AllCollegeBarrons,MATCH(N583,AllCollegeNCES,0))</f>
        <v>0</v>
      </c>
      <c r="P583">
        <f>INDEX(KidGPAs,MATCH(B583,KidIDs,0))</f>
        <v>0</v>
      </c>
      <c r="Q583">
        <f>INDEX(KidACTs,MATCH(B583,KidIDs,0))</f>
        <v>0</v>
      </c>
      <c r="R583">
        <f>INDEX(Strats,MATCH(B583,KidIDs,0))</f>
        <v>0</v>
      </c>
      <c r="S583">
        <f>INDEX(KidRace,MATCH(B583,KidIDs,0))</f>
        <v>0</v>
      </c>
      <c r="T583">
        <f>IF(OR(S583="M",S583="I"),"H",S583)</f>
        <v>0</v>
      </c>
      <c r="U583">
        <f>INDEX(StudentTargets,MATCH(B583,KidIDs,0))</f>
        <v>0</v>
      </c>
      <c r="V583">
        <f>INDEX(ReachStudentTargets,MATCH(B583,KidIDs,0))</f>
        <v>0</v>
      </c>
      <c r="W583">
        <f>IF(OR(M583="Posse"),1,0)</f>
        <v>0</v>
      </c>
      <c r="X583">
        <f>IF(ISNUMBER(INDEX(AllCollegeGR, MATCH(N583,AllCollegeNCES,0))),ROUND(INDEX(AllCollegeGR, MATCH(N583,AllCollegeNCES,0))+W583*IF(INDEX(AllCollegeGR, MATCH(N583,AllCollegeNCES,0))&gt;0.7,(1-INDEX(AllCollegeGR, MATCH(N583,AllCollegeNCES,0)))/2,0.15),2),INDEX(AllCollegeGR, MATCH(N583,AllCollegeNCES,0)))</f>
        <v>0</v>
      </c>
      <c r="Y583">
        <f>IF(ISNUMBER(INDEX(AllCollegeAAHGR, MATCH(N583,AllCollegeNCES,0))),ROUND(INDEX(AllCollegeAAHGR, MATCH(N583,AllCollegeNCES,0))+W583*IF(INDEX(AllCollegeAAHGR, MATCH(N583,AllCollegeNCES,0))&gt;0.7,(1-INDEX(AllCollegeAAHGR, MATCH(N583,AllCollegeNCES,0)))/2,0.15),2),INDEX(AllCollegeAAHGR, MATCH(N583,AllCollegeNCES,0)))</f>
        <v>0</v>
      </c>
      <c r="Z583">
        <f>IF(OR(T583="H",T583="B"),INDEX(AllCollegeACT25, MATCH(N583,AllCollegeNCES,0)),INDEX(AllCollegeACT50, MATCH(N583,AllCollegeNCES,0)))</f>
        <v>0</v>
      </c>
      <c r="AA583">
        <f>INDEX(CustomWeightsGPA,MATCH(T583&amp;":"&amp;N583,CustomWeightsIndex,0))</f>
        <v>0</v>
      </c>
      <c r="AB583">
        <f>INDEX(CustomWeightsACT,MATCH(T583&amp;":"&amp;N583,CustomWeightsIndex,0))</f>
        <v>0</v>
      </c>
      <c r="AC583">
        <f>INDEX(CustomWeightsIntercept,MATCH(T583&amp;":"&amp;N583,CustomWeightsIndex,0))</f>
        <v>0</v>
      </c>
      <c r="AD583">
        <f>AA583*P583+AB583*Q583+AC583</f>
        <v>0</v>
      </c>
      <c r="AE583">
        <f>INDEX(CoefficientsGPA,MATCH(T583&amp;":"&amp;O583,CoefficientsIndex,0))</f>
        <v>0</v>
      </c>
      <c r="AF583">
        <f>INDEX(CoefficientsACT,MATCH(T583&amp;":"&amp;O583,CoefficientsIndex,0))</f>
        <v>0</v>
      </c>
      <c r="AG583">
        <f>INDEX(CoefficientsIntercept,MATCH(T583&amp;":"&amp;O583,CoefficientsIndex,0))</f>
        <v>0</v>
      </c>
      <c r="AH583">
        <f>AE583*P583+(Q583-Z583)*AF583+AG583</f>
        <v>0</v>
      </c>
      <c r="AI583">
        <f>IF(ISNUMBER(AD583),AD583,AH583)</f>
        <v>0</v>
      </c>
      <c r="AJ583">
        <f>IF(ISNUMBER(AI583),IF(ISNUMBER(AE583),IF(AND(AE583=1,AF583=1,AG583=1),100,ROUND(100*EXP(AI583)/(1+EXP(AI583)),2)),ROUND(100*EXP(AI583)/(1+EXP(AI583)),2)),IF(ISTEXT(O583),IF(LEFT(O583,1)="2",100,"N/A"),"N/A"))</f>
        <v>0</v>
      </c>
      <c r="AK583">
        <f>IF(ISNUMBER(AJ583),IF(AJ583&gt;=99,IF(OR(R583=10,R583=11),MatchLabel,SureThingLabel),IF(AJ583&gt;=95,SecureLabel,IF(AJ583&gt;=80,SafetyLabel,IF(AJ583&gt;=50,MatchLabel,IF(AJ583&gt;=20,ReachLabel,IF(AJ583&gt;=10,LongshotLabel,HailMaryLabel)))))),"Other")</f>
        <v>0</v>
      </c>
      <c r="AL583">
        <f>IF(OR(I583="accepted",I583="cond. accept",I583="summer admit"),IF(J583="yes","CHOICE!","Accepted!"),IF(I583="denied","Denied",IF(K583=1,"Waitlist",IF(L583=1,"Deferred",IF(G583="pending","Pending",IF(OR(G583="initial materials submitted",G583="mid-year submitted",G583="final submitted"),"Submitted",IF(H583="interest","Interest","?")))))))</f>
        <v>0</v>
      </c>
      <c r="AM583">
        <f>IF(OR(AK583=ReachLabel,AK583=LongshotLabel,AK583=HailMaryLabel),1,0)</f>
        <v>0</v>
      </c>
      <c r="AN583">
        <f>IF(OR(AM583=1,AK583=MatchLabel),1,0)</f>
        <v>0</v>
      </c>
      <c r="AO583">
        <f>IF(OR(AK583=MatchLabel,AK583=SafetyLabel,AK583=SecureLabel,AK583=SureThingLabel),1,0)</f>
        <v>0</v>
      </c>
      <c r="AP583">
        <f>IF(OR(T583="H",T583="B"),IF(ISNUMBER(Y583),ROUND(Y583,2),0),IF(ISNUMBER(X583),ROUND(X583,2),0))</f>
        <v>0</v>
      </c>
      <c r="AQ583">
        <f>IF(AP583&gt;=U583,1,0)</f>
        <v>0</v>
      </c>
      <c r="AR583">
        <f>IF(AP583&gt;=V583,1,0)</f>
        <v>0</v>
      </c>
      <c r="AS583">
        <f>IF(AP583&lt;(U583-0.10),1,0)</f>
        <v>0</v>
      </c>
      <c r="AT583">
        <f>1-AJ583/100</f>
        <v>0</v>
      </c>
      <c r="AU583">
        <f>IF(AN583=1,AT583,1)</f>
        <v>0</v>
      </c>
      <c r="AV583">
        <f>IF(AM583=1,AT583,1)</f>
        <v>0</v>
      </c>
      <c r="AW583">
        <f>IF(AND(AQ583=1,ISNUMBER(AT583)),$AT583,1)</f>
        <v>0</v>
      </c>
      <c r="AX583">
        <f>IF(AND(AR583=1,ISNUMBER(AT583)),$AT583,1)</f>
        <v>0</v>
      </c>
      <c r="AY583">
        <f>IF(ISNUMBER(Y583),INDEX(AllCollegeMoney, MATCH(N583,AllCollegeNCES,0)),0)</f>
        <v>0</v>
      </c>
      <c r="AZ583">
        <f>IF(AND(AQ583=1,ISNUMBER(AT583),AY583=1),$AT583,1)</f>
        <v>0</v>
      </c>
      <c r="BA583">
        <f>IF(AND(AR583=1,ISNUMBER(AT583),AY583=1),$AT583,1)</f>
        <v>0</v>
      </c>
      <c r="BB583">
        <f>IF(ISNUMBER(Y583),INDEX(AllCollegeILPub, MATCH(N583,AllCollegeNCES,0)),0)</f>
        <v>0</v>
      </c>
      <c r="BC583">
        <f>IF(AK583=ReachLabel,AP583,0)</f>
        <v>0</v>
      </c>
      <c r="BD583">
        <f>IF(AK583=MatchLabel,AP583,0)</f>
        <v>0</v>
      </c>
      <c r="BE583">
        <f>IF(AK583=SafetyLabel,AP583,0)</f>
        <v>0</v>
      </c>
      <c r="BF583">
        <f>IF(AK583=SecureLabel,AP583,0)</f>
        <v>0</v>
      </c>
      <c r="BG583">
        <f>IF(AK583=SureThingLabel,AP583,0)</f>
        <v>0</v>
      </c>
      <c r="BH583">
        <f>MAX(BC583:BG583)</f>
        <v>0</v>
      </c>
      <c r="BI583">
        <f>MAX(BD583:BG583)</f>
        <v>0</v>
      </c>
      <c r="BJ583">
        <f>MAX(BE583:BG583)</f>
        <v>0</v>
      </c>
      <c r="BK583">
        <f>IF(AND(AK583=ReachLabel,AY583=1),AP583,0)</f>
        <v>0</v>
      </c>
      <c r="BL583">
        <f>IF(AND(AK583=MatchLabel,AY583=1),AP583,0)</f>
        <v>0</v>
      </c>
      <c r="BM583">
        <f>IF(AND(AK583=SafetyLabel,AY583=1),AP583,0)</f>
        <v>0</v>
      </c>
      <c r="BN583">
        <f>IF(AND(AK583=SecureLabel,AY583=1),AP583,0)</f>
        <v>0</v>
      </c>
      <c r="BO583">
        <f>IF(AND(AK583=SureThingLabel,AY583=1),AP583,0)</f>
        <v>0</v>
      </c>
      <c r="BP583">
        <f>MAX(BK583:BO583)</f>
        <v>0</v>
      </c>
      <c r="BQ583">
        <f>MAX(BL583:BO583)</f>
        <v>0</v>
      </c>
      <c r="BR583">
        <f>MAX(BM583:BO583)</f>
        <v>0</v>
      </c>
      <c r="BS583">
        <f>IF(ISNUMBER(Y583),INDEX(AllCollegeChicago, MATCH(N583,AllCollegeNCES,0))*AY583,0)</f>
        <v>0</v>
      </c>
      <c r="BT583">
        <f>IF(ISNUMBER(Y583),INDEX(AllCollegeMoneyCode, MATCH(N583,AllCollegeNCES,0)),"?")</f>
        <v>0</v>
      </c>
      <c r="BU583">
        <f>IF(OR(BT583="---",BT583="--",BT583="+/--",BT583="+/---"),1,0)</f>
        <v>0</v>
      </c>
      <c r="BV583">
        <f>AY583*AO583*AQ583</f>
        <v>0</v>
      </c>
    </row>
    <row r="584" spans="1:74">
      <c r="A584" t="s">
        <v>86</v>
      </c>
      <c r="B584">
        <v>23560568</v>
      </c>
      <c r="C584" t="s">
        <v>254</v>
      </c>
      <c r="D584" t="s">
        <v>255</v>
      </c>
      <c r="E584" t="s">
        <v>428</v>
      </c>
      <c r="F584" t="s">
        <v>461</v>
      </c>
      <c r="G584" t="s">
        <v>463</v>
      </c>
      <c r="H584" t="s">
        <v>431</v>
      </c>
      <c r="I584" t="s">
        <v>432</v>
      </c>
      <c r="J584" t="s">
        <v>432</v>
      </c>
      <c r="K584">
        <v>0</v>
      </c>
      <c r="L584" t="s">
        <v>428</v>
      </c>
      <c r="M584" t="s">
        <v>428</v>
      </c>
      <c r="N584">
        <v>153834</v>
      </c>
      <c r="O584">
        <f>INDEX(AllCollegeBarrons,MATCH(N584,AllCollegeNCES,0))</f>
        <v>0</v>
      </c>
      <c r="P584">
        <f>INDEX(KidGPAs,MATCH(B584,KidIDs,0))</f>
        <v>0</v>
      </c>
      <c r="Q584">
        <f>INDEX(KidACTs,MATCH(B584,KidIDs,0))</f>
        <v>0</v>
      </c>
      <c r="R584">
        <f>INDEX(Strats,MATCH(B584,KidIDs,0))</f>
        <v>0</v>
      </c>
      <c r="S584">
        <f>INDEX(KidRace,MATCH(B584,KidIDs,0))</f>
        <v>0</v>
      </c>
      <c r="T584">
        <f>IF(OR(S584="M",S584="I"),"H",S584)</f>
        <v>0</v>
      </c>
      <c r="U584">
        <f>INDEX(StudentTargets,MATCH(B584,KidIDs,0))</f>
        <v>0</v>
      </c>
      <c r="V584">
        <f>INDEX(ReachStudentTargets,MATCH(B584,KidIDs,0))</f>
        <v>0</v>
      </c>
      <c r="W584">
        <f>IF(OR(M584="Posse"),1,0)</f>
        <v>0</v>
      </c>
      <c r="X584">
        <f>IF(ISNUMBER(INDEX(AllCollegeGR, MATCH(N584,AllCollegeNCES,0))),ROUND(INDEX(AllCollegeGR, MATCH(N584,AllCollegeNCES,0))+W584*IF(INDEX(AllCollegeGR, MATCH(N584,AllCollegeNCES,0))&gt;0.7,(1-INDEX(AllCollegeGR, MATCH(N584,AllCollegeNCES,0)))/2,0.15),2),INDEX(AllCollegeGR, MATCH(N584,AllCollegeNCES,0)))</f>
        <v>0</v>
      </c>
      <c r="Y584">
        <f>IF(ISNUMBER(INDEX(AllCollegeAAHGR, MATCH(N584,AllCollegeNCES,0))),ROUND(INDEX(AllCollegeAAHGR, MATCH(N584,AllCollegeNCES,0))+W584*IF(INDEX(AllCollegeAAHGR, MATCH(N584,AllCollegeNCES,0))&gt;0.7,(1-INDEX(AllCollegeAAHGR, MATCH(N584,AllCollegeNCES,0)))/2,0.15),2),INDEX(AllCollegeAAHGR, MATCH(N584,AllCollegeNCES,0)))</f>
        <v>0</v>
      </c>
      <c r="Z584">
        <f>IF(OR(T584="H",T584="B"),INDEX(AllCollegeACT25, MATCH(N584,AllCollegeNCES,0)),INDEX(AllCollegeACT50, MATCH(N584,AllCollegeNCES,0)))</f>
        <v>0</v>
      </c>
      <c r="AA584">
        <f>INDEX(CustomWeightsGPA,MATCH(T584&amp;":"&amp;N584,CustomWeightsIndex,0))</f>
        <v>0</v>
      </c>
      <c r="AB584">
        <f>INDEX(CustomWeightsACT,MATCH(T584&amp;":"&amp;N584,CustomWeightsIndex,0))</f>
        <v>0</v>
      </c>
      <c r="AC584">
        <f>INDEX(CustomWeightsIntercept,MATCH(T584&amp;":"&amp;N584,CustomWeightsIndex,0))</f>
        <v>0</v>
      </c>
      <c r="AD584">
        <f>AA584*P584+AB584*Q584+AC584</f>
        <v>0</v>
      </c>
      <c r="AE584">
        <f>INDEX(CoefficientsGPA,MATCH(T584&amp;":"&amp;O584,CoefficientsIndex,0))</f>
        <v>0</v>
      </c>
      <c r="AF584">
        <f>INDEX(CoefficientsACT,MATCH(T584&amp;":"&amp;O584,CoefficientsIndex,0))</f>
        <v>0</v>
      </c>
      <c r="AG584">
        <f>INDEX(CoefficientsIntercept,MATCH(T584&amp;":"&amp;O584,CoefficientsIndex,0))</f>
        <v>0</v>
      </c>
      <c r="AH584">
        <f>AE584*P584+(Q584-Z584)*AF584+AG584</f>
        <v>0</v>
      </c>
      <c r="AI584">
        <f>IF(ISNUMBER(AD584),AD584,AH584)</f>
        <v>0</v>
      </c>
      <c r="AJ584">
        <f>IF(ISNUMBER(AI584),IF(ISNUMBER(AE584),IF(AND(AE584=1,AF584=1,AG584=1),100,ROUND(100*EXP(AI584)/(1+EXP(AI584)),2)),ROUND(100*EXP(AI584)/(1+EXP(AI584)),2)),IF(ISTEXT(O584),IF(LEFT(O584,1)="2",100,"N/A"),"N/A"))</f>
        <v>0</v>
      </c>
      <c r="AK584">
        <f>IF(ISNUMBER(AJ584),IF(AJ584&gt;=99,IF(OR(R584=10,R584=11),MatchLabel,SureThingLabel),IF(AJ584&gt;=95,SecureLabel,IF(AJ584&gt;=80,SafetyLabel,IF(AJ584&gt;=50,MatchLabel,IF(AJ584&gt;=20,ReachLabel,IF(AJ584&gt;=10,LongshotLabel,HailMaryLabel)))))),"Other")</f>
        <v>0</v>
      </c>
      <c r="AL584">
        <f>IF(OR(I584="accepted",I584="cond. accept",I584="summer admit"),IF(J584="yes","CHOICE!","Accepted!"),IF(I584="denied","Denied",IF(K584=1,"Waitlist",IF(L584=1,"Deferred",IF(G584="pending","Pending",IF(OR(G584="initial materials submitted",G584="mid-year submitted",G584="final submitted"),"Submitted",IF(H584="interest","Interest","?")))))))</f>
        <v>0</v>
      </c>
      <c r="AM584">
        <f>IF(OR(AK584=ReachLabel,AK584=LongshotLabel,AK584=HailMaryLabel),1,0)</f>
        <v>0</v>
      </c>
      <c r="AN584">
        <f>IF(OR(AM584=1,AK584=MatchLabel),1,0)</f>
        <v>0</v>
      </c>
      <c r="AO584">
        <f>IF(OR(AK584=MatchLabel,AK584=SafetyLabel,AK584=SecureLabel,AK584=SureThingLabel),1,0)</f>
        <v>0</v>
      </c>
      <c r="AP584">
        <f>IF(OR(T584="H",T584="B"),IF(ISNUMBER(Y584),ROUND(Y584,2),0),IF(ISNUMBER(X584),ROUND(X584,2),0))</f>
        <v>0</v>
      </c>
      <c r="AQ584">
        <f>IF(AP584&gt;=U584,1,0)</f>
        <v>0</v>
      </c>
      <c r="AR584">
        <f>IF(AP584&gt;=V584,1,0)</f>
        <v>0</v>
      </c>
      <c r="AS584">
        <f>IF(AP584&lt;(U584-0.10),1,0)</f>
        <v>0</v>
      </c>
      <c r="AT584">
        <f>1-AJ584/100</f>
        <v>0</v>
      </c>
      <c r="AU584">
        <f>IF(AN584=1,AT584,1)</f>
        <v>0</v>
      </c>
      <c r="AV584">
        <f>IF(AM584=1,AT584,1)</f>
        <v>0</v>
      </c>
      <c r="AW584">
        <f>IF(AND(AQ584=1,ISNUMBER(AT584)),$AT584,1)</f>
        <v>0</v>
      </c>
      <c r="AX584">
        <f>IF(AND(AR584=1,ISNUMBER(AT584)),$AT584,1)</f>
        <v>0</v>
      </c>
      <c r="AY584">
        <f>IF(ISNUMBER(Y584),INDEX(AllCollegeMoney, MATCH(N584,AllCollegeNCES,0)),0)</f>
        <v>0</v>
      </c>
      <c r="AZ584">
        <f>IF(AND(AQ584=1,ISNUMBER(AT584),AY584=1),$AT584,1)</f>
        <v>0</v>
      </c>
      <c r="BA584">
        <f>IF(AND(AR584=1,ISNUMBER(AT584),AY584=1),$AT584,1)</f>
        <v>0</v>
      </c>
      <c r="BB584">
        <f>IF(ISNUMBER(Y584),INDEX(AllCollegeILPub, MATCH(N584,AllCollegeNCES,0)),0)</f>
        <v>0</v>
      </c>
      <c r="BC584">
        <f>IF(AK584=ReachLabel,AP584,0)</f>
        <v>0</v>
      </c>
      <c r="BD584">
        <f>IF(AK584=MatchLabel,AP584,0)</f>
        <v>0</v>
      </c>
      <c r="BE584">
        <f>IF(AK584=SafetyLabel,AP584,0)</f>
        <v>0</v>
      </c>
      <c r="BF584">
        <f>IF(AK584=SecureLabel,AP584,0)</f>
        <v>0</v>
      </c>
      <c r="BG584">
        <f>IF(AK584=SureThingLabel,AP584,0)</f>
        <v>0</v>
      </c>
      <c r="BH584">
        <f>MAX(BC584:BG584)</f>
        <v>0</v>
      </c>
      <c r="BI584">
        <f>MAX(BD584:BG584)</f>
        <v>0</v>
      </c>
      <c r="BJ584">
        <f>MAX(BE584:BG584)</f>
        <v>0</v>
      </c>
      <c r="BK584">
        <f>IF(AND(AK584=ReachLabel,AY584=1),AP584,0)</f>
        <v>0</v>
      </c>
      <c r="BL584">
        <f>IF(AND(AK584=MatchLabel,AY584=1),AP584,0)</f>
        <v>0</v>
      </c>
      <c r="BM584">
        <f>IF(AND(AK584=SafetyLabel,AY584=1),AP584,0)</f>
        <v>0</v>
      </c>
      <c r="BN584">
        <f>IF(AND(AK584=SecureLabel,AY584=1),AP584,0)</f>
        <v>0</v>
      </c>
      <c r="BO584">
        <f>IF(AND(AK584=SureThingLabel,AY584=1),AP584,0)</f>
        <v>0</v>
      </c>
      <c r="BP584">
        <f>MAX(BK584:BO584)</f>
        <v>0</v>
      </c>
      <c r="BQ584">
        <f>MAX(BL584:BO584)</f>
        <v>0</v>
      </c>
      <c r="BR584">
        <f>MAX(BM584:BO584)</f>
        <v>0</v>
      </c>
      <c r="BS584">
        <f>IF(ISNUMBER(Y584),INDEX(AllCollegeChicago, MATCH(N584,AllCollegeNCES,0))*AY584,0)</f>
        <v>0</v>
      </c>
      <c r="BT584">
        <f>IF(ISNUMBER(Y584),INDEX(AllCollegeMoneyCode, MATCH(N584,AllCollegeNCES,0)),"?")</f>
        <v>0</v>
      </c>
      <c r="BU584">
        <f>IF(OR(BT584="---",BT584="--",BT584="+/--",BT584="+/---"),1,0)</f>
        <v>0</v>
      </c>
      <c r="BV584">
        <f>AY584*AO584*AQ584</f>
        <v>0</v>
      </c>
    </row>
    <row r="585" spans="1:74">
      <c r="A585" t="s">
        <v>86</v>
      </c>
      <c r="B585">
        <v>23560568</v>
      </c>
      <c r="C585" t="s">
        <v>254</v>
      </c>
      <c r="D585" t="s">
        <v>255</v>
      </c>
      <c r="E585" t="s">
        <v>428</v>
      </c>
      <c r="F585" t="s">
        <v>462</v>
      </c>
      <c r="G585" t="s">
        <v>463</v>
      </c>
      <c r="H585" t="s">
        <v>431</v>
      </c>
      <c r="I585" t="s">
        <v>432</v>
      </c>
      <c r="J585" t="s">
        <v>432</v>
      </c>
      <c r="K585">
        <v>0</v>
      </c>
      <c r="L585" t="s">
        <v>428</v>
      </c>
      <c r="M585" t="s">
        <v>428</v>
      </c>
      <c r="N585">
        <v>168546</v>
      </c>
      <c r="O585">
        <f>INDEX(AllCollegeBarrons,MATCH(N585,AllCollegeNCES,0))</f>
        <v>0</v>
      </c>
      <c r="P585">
        <f>INDEX(KidGPAs,MATCH(B585,KidIDs,0))</f>
        <v>0</v>
      </c>
      <c r="Q585">
        <f>INDEX(KidACTs,MATCH(B585,KidIDs,0))</f>
        <v>0</v>
      </c>
      <c r="R585">
        <f>INDEX(Strats,MATCH(B585,KidIDs,0))</f>
        <v>0</v>
      </c>
      <c r="S585">
        <f>INDEX(KidRace,MATCH(B585,KidIDs,0))</f>
        <v>0</v>
      </c>
      <c r="T585">
        <f>IF(OR(S585="M",S585="I"),"H",S585)</f>
        <v>0</v>
      </c>
      <c r="U585">
        <f>INDEX(StudentTargets,MATCH(B585,KidIDs,0))</f>
        <v>0</v>
      </c>
      <c r="V585">
        <f>INDEX(ReachStudentTargets,MATCH(B585,KidIDs,0))</f>
        <v>0</v>
      </c>
      <c r="W585">
        <f>IF(OR(M585="Posse"),1,0)</f>
        <v>0</v>
      </c>
      <c r="X585">
        <f>IF(ISNUMBER(INDEX(AllCollegeGR, MATCH(N585,AllCollegeNCES,0))),ROUND(INDEX(AllCollegeGR, MATCH(N585,AllCollegeNCES,0))+W585*IF(INDEX(AllCollegeGR, MATCH(N585,AllCollegeNCES,0))&gt;0.7,(1-INDEX(AllCollegeGR, MATCH(N585,AllCollegeNCES,0)))/2,0.15),2),INDEX(AllCollegeGR, MATCH(N585,AllCollegeNCES,0)))</f>
        <v>0</v>
      </c>
      <c r="Y585">
        <f>IF(ISNUMBER(INDEX(AllCollegeAAHGR, MATCH(N585,AllCollegeNCES,0))),ROUND(INDEX(AllCollegeAAHGR, MATCH(N585,AllCollegeNCES,0))+W585*IF(INDEX(AllCollegeAAHGR, MATCH(N585,AllCollegeNCES,0))&gt;0.7,(1-INDEX(AllCollegeAAHGR, MATCH(N585,AllCollegeNCES,0)))/2,0.15),2),INDEX(AllCollegeAAHGR, MATCH(N585,AllCollegeNCES,0)))</f>
        <v>0</v>
      </c>
      <c r="Z585">
        <f>IF(OR(T585="H",T585="B"),INDEX(AllCollegeACT25, MATCH(N585,AllCollegeNCES,0)),INDEX(AllCollegeACT50, MATCH(N585,AllCollegeNCES,0)))</f>
        <v>0</v>
      </c>
      <c r="AA585">
        <f>INDEX(CustomWeightsGPA,MATCH(T585&amp;":"&amp;N585,CustomWeightsIndex,0))</f>
        <v>0</v>
      </c>
      <c r="AB585">
        <f>INDEX(CustomWeightsACT,MATCH(T585&amp;":"&amp;N585,CustomWeightsIndex,0))</f>
        <v>0</v>
      </c>
      <c r="AC585">
        <f>INDEX(CustomWeightsIntercept,MATCH(T585&amp;":"&amp;N585,CustomWeightsIndex,0))</f>
        <v>0</v>
      </c>
      <c r="AD585">
        <f>AA585*P585+AB585*Q585+AC585</f>
        <v>0</v>
      </c>
      <c r="AE585">
        <f>INDEX(CoefficientsGPA,MATCH(T585&amp;":"&amp;O585,CoefficientsIndex,0))</f>
        <v>0</v>
      </c>
      <c r="AF585">
        <f>INDEX(CoefficientsACT,MATCH(T585&amp;":"&amp;O585,CoefficientsIndex,0))</f>
        <v>0</v>
      </c>
      <c r="AG585">
        <f>INDEX(CoefficientsIntercept,MATCH(T585&amp;":"&amp;O585,CoefficientsIndex,0))</f>
        <v>0</v>
      </c>
      <c r="AH585">
        <f>AE585*P585+(Q585-Z585)*AF585+AG585</f>
        <v>0</v>
      </c>
      <c r="AI585">
        <f>IF(ISNUMBER(AD585),AD585,AH585)</f>
        <v>0</v>
      </c>
      <c r="AJ585">
        <f>IF(ISNUMBER(AI585),IF(ISNUMBER(AE585),IF(AND(AE585=1,AF585=1,AG585=1),100,ROUND(100*EXP(AI585)/(1+EXP(AI585)),2)),ROUND(100*EXP(AI585)/(1+EXP(AI585)),2)),IF(ISTEXT(O585),IF(LEFT(O585,1)="2",100,"N/A"),"N/A"))</f>
        <v>0</v>
      </c>
      <c r="AK585">
        <f>IF(ISNUMBER(AJ585),IF(AJ585&gt;=99,IF(OR(R585=10,R585=11),MatchLabel,SureThingLabel),IF(AJ585&gt;=95,SecureLabel,IF(AJ585&gt;=80,SafetyLabel,IF(AJ585&gt;=50,MatchLabel,IF(AJ585&gt;=20,ReachLabel,IF(AJ585&gt;=10,LongshotLabel,HailMaryLabel)))))),"Other")</f>
        <v>0</v>
      </c>
      <c r="AL585">
        <f>IF(OR(I585="accepted",I585="cond. accept",I585="summer admit"),IF(J585="yes","CHOICE!","Accepted!"),IF(I585="denied","Denied",IF(K585=1,"Waitlist",IF(L585=1,"Deferred",IF(G585="pending","Pending",IF(OR(G585="initial materials submitted",G585="mid-year submitted",G585="final submitted"),"Submitted",IF(H585="interest","Interest","?")))))))</f>
        <v>0</v>
      </c>
      <c r="AM585">
        <f>IF(OR(AK585=ReachLabel,AK585=LongshotLabel,AK585=HailMaryLabel),1,0)</f>
        <v>0</v>
      </c>
      <c r="AN585">
        <f>IF(OR(AM585=1,AK585=MatchLabel),1,0)</f>
        <v>0</v>
      </c>
      <c r="AO585">
        <f>IF(OR(AK585=MatchLabel,AK585=SafetyLabel,AK585=SecureLabel,AK585=SureThingLabel),1,0)</f>
        <v>0</v>
      </c>
      <c r="AP585">
        <f>IF(OR(T585="H",T585="B"),IF(ISNUMBER(Y585),ROUND(Y585,2),0),IF(ISNUMBER(X585),ROUND(X585,2),0))</f>
        <v>0</v>
      </c>
      <c r="AQ585">
        <f>IF(AP585&gt;=U585,1,0)</f>
        <v>0</v>
      </c>
      <c r="AR585">
        <f>IF(AP585&gt;=V585,1,0)</f>
        <v>0</v>
      </c>
      <c r="AS585">
        <f>IF(AP585&lt;(U585-0.10),1,0)</f>
        <v>0</v>
      </c>
      <c r="AT585">
        <f>1-AJ585/100</f>
        <v>0</v>
      </c>
      <c r="AU585">
        <f>IF(AN585=1,AT585,1)</f>
        <v>0</v>
      </c>
      <c r="AV585">
        <f>IF(AM585=1,AT585,1)</f>
        <v>0</v>
      </c>
      <c r="AW585">
        <f>IF(AND(AQ585=1,ISNUMBER(AT585)),$AT585,1)</f>
        <v>0</v>
      </c>
      <c r="AX585">
        <f>IF(AND(AR585=1,ISNUMBER(AT585)),$AT585,1)</f>
        <v>0</v>
      </c>
      <c r="AY585">
        <f>IF(ISNUMBER(Y585),INDEX(AllCollegeMoney, MATCH(N585,AllCollegeNCES,0)),0)</f>
        <v>0</v>
      </c>
      <c r="AZ585">
        <f>IF(AND(AQ585=1,ISNUMBER(AT585),AY585=1),$AT585,1)</f>
        <v>0</v>
      </c>
      <c r="BA585">
        <f>IF(AND(AR585=1,ISNUMBER(AT585),AY585=1),$AT585,1)</f>
        <v>0</v>
      </c>
      <c r="BB585">
        <f>IF(ISNUMBER(Y585),INDEX(AllCollegeILPub, MATCH(N585,AllCollegeNCES,0)),0)</f>
        <v>0</v>
      </c>
      <c r="BC585">
        <f>IF(AK585=ReachLabel,AP585,0)</f>
        <v>0</v>
      </c>
      <c r="BD585">
        <f>IF(AK585=MatchLabel,AP585,0)</f>
        <v>0</v>
      </c>
      <c r="BE585">
        <f>IF(AK585=SafetyLabel,AP585,0)</f>
        <v>0</v>
      </c>
      <c r="BF585">
        <f>IF(AK585=SecureLabel,AP585,0)</f>
        <v>0</v>
      </c>
      <c r="BG585">
        <f>IF(AK585=SureThingLabel,AP585,0)</f>
        <v>0</v>
      </c>
      <c r="BH585">
        <f>MAX(BC585:BG585)</f>
        <v>0</v>
      </c>
      <c r="BI585">
        <f>MAX(BD585:BG585)</f>
        <v>0</v>
      </c>
      <c r="BJ585">
        <f>MAX(BE585:BG585)</f>
        <v>0</v>
      </c>
      <c r="BK585">
        <f>IF(AND(AK585=ReachLabel,AY585=1),AP585,0)</f>
        <v>0</v>
      </c>
      <c r="BL585">
        <f>IF(AND(AK585=MatchLabel,AY585=1),AP585,0)</f>
        <v>0</v>
      </c>
      <c r="BM585">
        <f>IF(AND(AK585=SafetyLabel,AY585=1),AP585,0)</f>
        <v>0</v>
      </c>
      <c r="BN585">
        <f>IF(AND(AK585=SecureLabel,AY585=1),AP585,0)</f>
        <v>0</v>
      </c>
      <c r="BO585">
        <f>IF(AND(AK585=SureThingLabel,AY585=1),AP585,0)</f>
        <v>0</v>
      </c>
      <c r="BP585">
        <f>MAX(BK585:BO585)</f>
        <v>0</v>
      </c>
      <c r="BQ585">
        <f>MAX(BL585:BO585)</f>
        <v>0</v>
      </c>
      <c r="BR585">
        <f>MAX(BM585:BO585)</f>
        <v>0</v>
      </c>
      <c r="BS585">
        <f>IF(ISNUMBER(Y585),INDEX(AllCollegeChicago, MATCH(N585,AllCollegeNCES,0))*AY585,0)</f>
        <v>0</v>
      </c>
      <c r="BT585">
        <f>IF(ISNUMBER(Y585),INDEX(AllCollegeMoneyCode, MATCH(N585,AllCollegeNCES,0)),"?")</f>
        <v>0</v>
      </c>
      <c r="BU585">
        <f>IF(OR(BT585="---",BT585="--",BT585="+/--",BT585="+/---"),1,0)</f>
        <v>0</v>
      </c>
      <c r="BV585">
        <f>AY585*AO585*AQ585</f>
        <v>0</v>
      </c>
    </row>
    <row r="586" spans="1:74">
      <c r="A586" t="s">
        <v>86</v>
      </c>
      <c r="B586">
        <v>23560568</v>
      </c>
      <c r="C586" t="s">
        <v>254</v>
      </c>
      <c r="D586" t="s">
        <v>255</v>
      </c>
      <c r="E586" t="s">
        <v>428</v>
      </c>
      <c r="F586" t="s">
        <v>433</v>
      </c>
      <c r="G586" t="s">
        <v>463</v>
      </c>
      <c r="H586" t="s">
        <v>431</v>
      </c>
      <c r="I586" t="s">
        <v>432</v>
      </c>
      <c r="J586" t="s">
        <v>432</v>
      </c>
      <c r="K586">
        <v>0</v>
      </c>
      <c r="L586" t="s">
        <v>428</v>
      </c>
      <c r="M586" t="s">
        <v>428</v>
      </c>
      <c r="N586">
        <v>148496</v>
      </c>
      <c r="O586">
        <f>INDEX(AllCollegeBarrons,MATCH(N586,AllCollegeNCES,0))</f>
        <v>0</v>
      </c>
      <c r="P586">
        <f>INDEX(KidGPAs,MATCH(B586,KidIDs,0))</f>
        <v>0</v>
      </c>
      <c r="Q586">
        <f>INDEX(KidACTs,MATCH(B586,KidIDs,0))</f>
        <v>0</v>
      </c>
      <c r="R586">
        <f>INDEX(Strats,MATCH(B586,KidIDs,0))</f>
        <v>0</v>
      </c>
      <c r="S586">
        <f>INDEX(KidRace,MATCH(B586,KidIDs,0))</f>
        <v>0</v>
      </c>
      <c r="T586">
        <f>IF(OR(S586="M",S586="I"),"H",S586)</f>
        <v>0</v>
      </c>
      <c r="U586">
        <f>INDEX(StudentTargets,MATCH(B586,KidIDs,0))</f>
        <v>0</v>
      </c>
      <c r="V586">
        <f>INDEX(ReachStudentTargets,MATCH(B586,KidIDs,0))</f>
        <v>0</v>
      </c>
      <c r="W586">
        <f>IF(OR(M586="Posse"),1,0)</f>
        <v>0</v>
      </c>
      <c r="X586">
        <f>IF(ISNUMBER(INDEX(AllCollegeGR, MATCH(N586,AllCollegeNCES,0))),ROUND(INDEX(AllCollegeGR, MATCH(N586,AllCollegeNCES,0))+W586*IF(INDEX(AllCollegeGR, MATCH(N586,AllCollegeNCES,0))&gt;0.7,(1-INDEX(AllCollegeGR, MATCH(N586,AllCollegeNCES,0)))/2,0.15),2),INDEX(AllCollegeGR, MATCH(N586,AllCollegeNCES,0)))</f>
        <v>0</v>
      </c>
      <c r="Y586">
        <f>IF(ISNUMBER(INDEX(AllCollegeAAHGR, MATCH(N586,AllCollegeNCES,0))),ROUND(INDEX(AllCollegeAAHGR, MATCH(N586,AllCollegeNCES,0))+W586*IF(INDEX(AllCollegeAAHGR, MATCH(N586,AllCollegeNCES,0))&gt;0.7,(1-INDEX(AllCollegeAAHGR, MATCH(N586,AllCollegeNCES,0)))/2,0.15),2),INDEX(AllCollegeAAHGR, MATCH(N586,AllCollegeNCES,0)))</f>
        <v>0</v>
      </c>
      <c r="Z586">
        <f>IF(OR(T586="H",T586="B"),INDEX(AllCollegeACT25, MATCH(N586,AllCollegeNCES,0)),INDEX(AllCollegeACT50, MATCH(N586,AllCollegeNCES,0)))</f>
        <v>0</v>
      </c>
      <c r="AA586">
        <f>INDEX(CustomWeightsGPA,MATCH(T586&amp;":"&amp;N586,CustomWeightsIndex,0))</f>
        <v>0</v>
      </c>
      <c r="AB586">
        <f>INDEX(CustomWeightsACT,MATCH(T586&amp;":"&amp;N586,CustomWeightsIndex,0))</f>
        <v>0</v>
      </c>
      <c r="AC586">
        <f>INDEX(CustomWeightsIntercept,MATCH(T586&amp;":"&amp;N586,CustomWeightsIndex,0))</f>
        <v>0</v>
      </c>
      <c r="AD586">
        <f>AA586*P586+AB586*Q586+AC586</f>
        <v>0</v>
      </c>
      <c r="AE586">
        <f>INDEX(CoefficientsGPA,MATCH(T586&amp;":"&amp;O586,CoefficientsIndex,0))</f>
        <v>0</v>
      </c>
      <c r="AF586">
        <f>INDEX(CoefficientsACT,MATCH(T586&amp;":"&amp;O586,CoefficientsIndex,0))</f>
        <v>0</v>
      </c>
      <c r="AG586">
        <f>INDEX(CoefficientsIntercept,MATCH(T586&amp;":"&amp;O586,CoefficientsIndex,0))</f>
        <v>0</v>
      </c>
      <c r="AH586">
        <f>AE586*P586+(Q586-Z586)*AF586+AG586</f>
        <v>0</v>
      </c>
      <c r="AI586">
        <f>IF(ISNUMBER(AD586),AD586,AH586)</f>
        <v>0</v>
      </c>
      <c r="AJ586">
        <f>IF(ISNUMBER(AI586),IF(ISNUMBER(AE586),IF(AND(AE586=1,AF586=1,AG586=1),100,ROUND(100*EXP(AI586)/(1+EXP(AI586)),2)),ROUND(100*EXP(AI586)/(1+EXP(AI586)),2)),IF(ISTEXT(O586),IF(LEFT(O586,1)="2",100,"N/A"),"N/A"))</f>
        <v>0</v>
      </c>
      <c r="AK586">
        <f>IF(ISNUMBER(AJ586),IF(AJ586&gt;=99,IF(OR(R586=10,R586=11),MatchLabel,SureThingLabel),IF(AJ586&gt;=95,SecureLabel,IF(AJ586&gt;=80,SafetyLabel,IF(AJ586&gt;=50,MatchLabel,IF(AJ586&gt;=20,ReachLabel,IF(AJ586&gt;=10,LongshotLabel,HailMaryLabel)))))),"Other")</f>
        <v>0</v>
      </c>
      <c r="AL586">
        <f>IF(OR(I586="accepted",I586="cond. accept",I586="summer admit"),IF(J586="yes","CHOICE!","Accepted!"),IF(I586="denied","Denied",IF(K586=1,"Waitlist",IF(L586=1,"Deferred",IF(G586="pending","Pending",IF(OR(G586="initial materials submitted",G586="mid-year submitted",G586="final submitted"),"Submitted",IF(H586="interest","Interest","?")))))))</f>
        <v>0</v>
      </c>
      <c r="AM586">
        <f>IF(OR(AK586=ReachLabel,AK586=LongshotLabel,AK586=HailMaryLabel),1,0)</f>
        <v>0</v>
      </c>
      <c r="AN586">
        <f>IF(OR(AM586=1,AK586=MatchLabel),1,0)</f>
        <v>0</v>
      </c>
      <c r="AO586">
        <f>IF(OR(AK586=MatchLabel,AK586=SafetyLabel,AK586=SecureLabel,AK586=SureThingLabel),1,0)</f>
        <v>0</v>
      </c>
      <c r="AP586">
        <f>IF(OR(T586="H",T586="B"),IF(ISNUMBER(Y586),ROUND(Y586,2),0),IF(ISNUMBER(X586),ROUND(X586,2),0))</f>
        <v>0</v>
      </c>
      <c r="AQ586">
        <f>IF(AP586&gt;=U586,1,0)</f>
        <v>0</v>
      </c>
      <c r="AR586">
        <f>IF(AP586&gt;=V586,1,0)</f>
        <v>0</v>
      </c>
      <c r="AS586">
        <f>IF(AP586&lt;(U586-0.10),1,0)</f>
        <v>0</v>
      </c>
      <c r="AT586">
        <f>1-AJ586/100</f>
        <v>0</v>
      </c>
      <c r="AU586">
        <f>IF(AN586=1,AT586,1)</f>
        <v>0</v>
      </c>
      <c r="AV586">
        <f>IF(AM586=1,AT586,1)</f>
        <v>0</v>
      </c>
      <c r="AW586">
        <f>IF(AND(AQ586=1,ISNUMBER(AT586)),$AT586,1)</f>
        <v>0</v>
      </c>
      <c r="AX586">
        <f>IF(AND(AR586=1,ISNUMBER(AT586)),$AT586,1)</f>
        <v>0</v>
      </c>
      <c r="AY586">
        <f>IF(ISNUMBER(Y586),INDEX(AllCollegeMoney, MATCH(N586,AllCollegeNCES,0)),0)</f>
        <v>0</v>
      </c>
      <c r="AZ586">
        <f>IF(AND(AQ586=1,ISNUMBER(AT586),AY586=1),$AT586,1)</f>
        <v>0</v>
      </c>
      <c r="BA586">
        <f>IF(AND(AR586=1,ISNUMBER(AT586),AY586=1),$AT586,1)</f>
        <v>0</v>
      </c>
      <c r="BB586">
        <f>IF(ISNUMBER(Y586),INDEX(AllCollegeILPub, MATCH(N586,AllCollegeNCES,0)),0)</f>
        <v>0</v>
      </c>
      <c r="BC586">
        <f>IF(AK586=ReachLabel,AP586,0)</f>
        <v>0</v>
      </c>
      <c r="BD586">
        <f>IF(AK586=MatchLabel,AP586,0)</f>
        <v>0</v>
      </c>
      <c r="BE586">
        <f>IF(AK586=SafetyLabel,AP586,0)</f>
        <v>0</v>
      </c>
      <c r="BF586">
        <f>IF(AK586=SecureLabel,AP586,0)</f>
        <v>0</v>
      </c>
      <c r="BG586">
        <f>IF(AK586=SureThingLabel,AP586,0)</f>
        <v>0</v>
      </c>
      <c r="BH586">
        <f>MAX(BC586:BG586)</f>
        <v>0</v>
      </c>
      <c r="BI586">
        <f>MAX(BD586:BG586)</f>
        <v>0</v>
      </c>
      <c r="BJ586">
        <f>MAX(BE586:BG586)</f>
        <v>0</v>
      </c>
      <c r="BK586">
        <f>IF(AND(AK586=ReachLabel,AY586=1),AP586,0)</f>
        <v>0</v>
      </c>
      <c r="BL586">
        <f>IF(AND(AK586=MatchLabel,AY586=1),AP586,0)</f>
        <v>0</v>
      </c>
      <c r="BM586">
        <f>IF(AND(AK586=SafetyLabel,AY586=1),AP586,0)</f>
        <v>0</v>
      </c>
      <c r="BN586">
        <f>IF(AND(AK586=SecureLabel,AY586=1),AP586,0)</f>
        <v>0</v>
      </c>
      <c r="BO586">
        <f>IF(AND(AK586=SureThingLabel,AY586=1),AP586,0)</f>
        <v>0</v>
      </c>
      <c r="BP586">
        <f>MAX(BK586:BO586)</f>
        <v>0</v>
      </c>
      <c r="BQ586">
        <f>MAX(BL586:BO586)</f>
        <v>0</v>
      </c>
      <c r="BR586">
        <f>MAX(BM586:BO586)</f>
        <v>0</v>
      </c>
      <c r="BS586">
        <f>IF(ISNUMBER(Y586),INDEX(AllCollegeChicago, MATCH(N586,AllCollegeNCES,0))*AY586,0)</f>
        <v>0</v>
      </c>
      <c r="BT586">
        <f>IF(ISNUMBER(Y586),INDEX(AllCollegeMoneyCode, MATCH(N586,AllCollegeNCES,0)),"?")</f>
        <v>0</v>
      </c>
      <c r="BU586">
        <f>IF(OR(BT586="---",BT586="--",BT586="+/--",BT586="+/---"),1,0)</f>
        <v>0</v>
      </c>
      <c r="BV586">
        <f>AY586*AO586*AQ586</f>
        <v>0</v>
      </c>
    </row>
    <row r="587" spans="1:74">
      <c r="A587" t="s">
        <v>86</v>
      </c>
      <c r="B587">
        <v>23560568</v>
      </c>
      <c r="C587" t="s">
        <v>254</v>
      </c>
      <c r="D587" t="s">
        <v>255</v>
      </c>
      <c r="E587" t="s">
        <v>428</v>
      </c>
      <c r="F587" t="s">
        <v>485</v>
      </c>
      <c r="G587" t="s">
        <v>430</v>
      </c>
      <c r="H587" t="s">
        <v>431</v>
      </c>
      <c r="I587" t="s">
        <v>432</v>
      </c>
      <c r="J587" t="s">
        <v>432</v>
      </c>
      <c r="K587">
        <v>0</v>
      </c>
      <c r="L587" t="s">
        <v>428</v>
      </c>
      <c r="M587" t="s">
        <v>428</v>
      </c>
      <c r="N587">
        <v>170082</v>
      </c>
      <c r="O587">
        <f>INDEX(AllCollegeBarrons,MATCH(N587,AllCollegeNCES,0))</f>
        <v>0</v>
      </c>
      <c r="P587">
        <f>INDEX(KidGPAs,MATCH(B587,KidIDs,0))</f>
        <v>0</v>
      </c>
      <c r="Q587">
        <f>INDEX(KidACTs,MATCH(B587,KidIDs,0))</f>
        <v>0</v>
      </c>
      <c r="R587">
        <f>INDEX(Strats,MATCH(B587,KidIDs,0))</f>
        <v>0</v>
      </c>
      <c r="S587">
        <f>INDEX(KidRace,MATCH(B587,KidIDs,0))</f>
        <v>0</v>
      </c>
      <c r="T587">
        <f>IF(OR(S587="M",S587="I"),"H",S587)</f>
        <v>0</v>
      </c>
      <c r="U587">
        <f>INDEX(StudentTargets,MATCH(B587,KidIDs,0))</f>
        <v>0</v>
      </c>
      <c r="V587">
        <f>INDEX(ReachStudentTargets,MATCH(B587,KidIDs,0))</f>
        <v>0</v>
      </c>
      <c r="W587">
        <f>IF(OR(M587="Posse"),1,0)</f>
        <v>0</v>
      </c>
      <c r="X587">
        <f>IF(ISNUMBER(INDEX(AllCollegeGR, MATCH(N587,AllCollegeNCES,0))),ROUND(INDEX(AllCollegeGR, MATCH(N587,AllCollegeNCES,0))+W587*IF(INDEX(AllCollegeGR, MATCH(N587,AllCollegeNCES,0))&gt;0.7,(1-INDEX(AllCollegeGR, MATCH(N587,AllCollegeNCES,0)))/2,0.15),2),INDEX(AllCollegeGR, MATCH(N587,AllCollegeNCES,0)))</f>
        <v>0</v>
      </c>
      <c r="Y587">
        <f>IF(ISNUMBER(INDEX(AllCollegeAAHGR, MATCH(N587,AllCollegeNCES,0))),ROUND(INDEX(AllCollegeAAHGR, MATCH(N587,AllCollegeNCES,0))+W587*IF(INDEX(AllCollegeAAHGR, MATCH(N587,AllCollegeNCES,0))&gt;0.7,(1-INDEX(AllCollegeAAHGR, MATCH(N587,AllCollegeNCES,0)))/2,0.15),2),INDEX(AllCollegeAAHGR, MATCH(N587,AllCollegeNCES,0)))</f>
        <v>0</v>
      </c>
      <c r="Z587">
        <f>IF(OR(T587="H",T587="B"),INDEX(AllCollegeACT25, MATCH(N587,AllCollegeNCES,0)),INDEX(AllCollegeACT50, MATCH(N587,AllCollegeNCES,0)))</f>
        <v>0</v>
      </c>
      <c r="AA587">
        <f>INDEX(CustomWeightsGPA,MATCH(T587&amp;":"&amp;N587,CustomWeightsIndex,0))</f>
        <v>0</v>
      </c>
      <c r="AB587">
        <f>INDEX(CustomWeightsACT,MATCH(T587&amp;":"&amp;N587,CustomWeightsIndex,0))</f>
        <v>0</v>
      </c>
      <c r="AC587">
        <f>INDEX(CustomWeightsIntercept,MATCH(T587&amp;":"&amp;N587,CustomWeightsIndex,0))</f>
        <v>0</v>
      </c>
      <c r="AD587">
        <f>AA587*P587+AB587*Q587+AC587</f>
        <v>0</v>
      </c>
      <c r="AE587">
        <f>INDEX(CoefficientsGPA,MATCH(T587&amp;":"&amp;O587,CoefficientsIndex,0))</f>
        <v>0</v>
      </c>
      <c r="AF587">
        <f>INDEX(CoefficientsACT,MATCH(T587&amp;":"&amp;O587,CoefficientsIndex,0))</f>
        <v>0</v>
      </c>
      <c r="AG587">
        <f>INDEX(CoefficientsIntercept,MATCH(T587&amp;":"&amp;O587,CoefficientsIndex,0))</f>
        <v>0</v>
      </c>
      <c r="AH587">
        <f>AE587*P587+(Q587-Z587)*AF587+AG587</f>
        <v>0</v>
      </c>
      <c r="AI587">
        <f>IF(ISNUMBER(AD587),AD587,AH587)</f>
        <v>0</v>
      </c>
      <c r="AJ587">
        <f>IF(ISNUMBER(AI587),IF(ISNUMBER(AE587),IF(AND(AE587=1,AF587=1,AG587=1),100,ROUND(100*EXP(AI587)/(1+EXP(AI587)),2)),ROUND(100*EXP(AI587)/(1+EXP(AI587)),2)),IF(ISTEXT(O587),IF(LEFT(O587,1)="2",100,"N/A"),"N/A"))</f>
        <v>0</v>
      </c>
      <c r="AK587">
        <f>IF(ISNUMBER(AJ587),IF(AJ587&gt;=99,IF(OR(R587=10,R587=11),MatchLabel,SureThingLabel),IF(AJ587&gt;=95,SecureLabel,IF(AJ587&gt;=80,SafetyLabel,IF(AJ587&gt;=50,MatchLabel,IF(AJ587&gt;=20,ReachLabel,IF(AJ587&gt;=10,LongshotLabel,HailMaryLabel)))))),"Other")</f>
        <v>0</v>
      </c>
      <c r="AL587">
        <f>IF(OR(I587="accepted",I587="cond. accept",I587="summer admit"),IF(J587="yes","CHOICE!","Accepted!"),IF(I587="denied","Denied",IF(K587=1,"Waitlist",IF(L587=1,"Deferred",IF(G587="pending","Pending",IF(OR(G587="initial materials submitted",G587="mid-year submitted",G587="final submitted"),"Submitted",IF(H587="interest","Interest","?")))))))</f>
        <v>0</v>
      </c>
      <c r="AM587">
        <f>IF(OR(AK587=ReachLabel,AK587=LongshotLabel,AK587=HailMaryLabel),1,0)</f>
        <v>0</v>
      </c>
      <c r="AN587">
        <f>IF(OR(AM587=1,AK587=MatchLabel),1,0)</f>
        <v>0</v>
      </c>
      <c r="AO587">
        <f>IF(OR(AK587=MatchLabel,AK587=SafetyLabel,AK587=SecureLabel,AK587=SureThingLabel),1,0)</f>
        <v>0</v>
      </c>
      <c r="AP587">
        <f>IF(OR(T587="H",T587="B"),IF(ISNUMBER(Y587),ROUND(Y587,2),0),IF(ISNUMBER(X587),ROUND(X587,2),0))</f>
        <v>0</v>
      </c>
      <c r="AQ587">
        <f>IF(AP587&gt;=U587,1,0)</f>
        <v>0</v>
      </c>
      <c r="AR587">
        <f>IF(AP587&gt;=V587,1,0)</f>
        <v>0</v>
      </c>
      <c r="AS587">
        <f>IF(AP587&lt;(U587-0.10),1,0)</f>
        <v>0</v>
      </c>
      <c r="AT587">
        <f>1-AJ587/100</f>
        <v>0</v>
      </c>
      <c r="AU587">
        <f>IF(AN587=1,AT587,1)</f>
        <v>0</v>
      </c>
      <c r="AV587">
        <f>IF(AM587=1,AT587,1)</f>
        <v>0</v>
      </c>
      <c r="AW587">
        <f>IF(AND(AQ587=1,ISNUMBER(AT587)),$AT587,1)</f>
        <v>0</v>
      </c>
      <c r="AX587">
        <f>IF(AND(AR587=1,ISNUMBER(AT587)),$AT587,1)</f>
        <v>0</v>
      </c>
      <c r="AY587">
        <f>IF(ISNUMBER(Y587),INDEX(AllCollegeMoney, MATCH(N587,AllCollegeNCES,0)),0)</f>
        <v>0</v>
      </c>
      <c r="AZ587">
        <f>IF(AND(AQ587=1,ISNUMBER(AT587),AY587=1),$AT587,1)</f>
        <v>0</v>
      </c>
      <c r="BA587">
        <f>IF(AND(AR587=1,ISNUMBER(AT587),AY587=1),$AT587,1)</f>
        <v>0</v>
      </c>
      <c r="BB587">
        <f>IF(ISNUMBER(Y587),INDEX(AllCollegeILPub, MATCH(N587,AllCollegeNCES,0)),0)</f>
        <v>0</v>
      </c>
      <c r="BC587">
        <f>IF(AK587=ReachLabel,AP587,0)</f>
        <v>0</v>
      </c>
      <c r="BD587">
        <f>IF(AK587=MatchLabel,AP587,0)</f>
        <v>0</v>
      </c>
      <c r="BE587">
        <f>IF(AK587=SafetyLabel,AP587,0)</f>
        <v>0</v>
      </c>
      <c r="BF587">
        <f>IF(AK587=SecureLabel,AP587,0)</f>
        <v>0</v>
      </c>
      <c r="BG587">
        <f>IF(AK587=SureThingLabel,AP587,0)</f>
        <v>0</v>
      </c>
      <c r="BH587">
        <f>MAX(BC587:BG587)</f>
        <v>0</v>
      </c>
      <c r="BI587">
        <f>MAX(BD587:BG587)</f>
        <v>0</v>
      </c>
      <c r="BJ587">
        <f>MAX(BE587:BG587)</f>
        <v>0</v>
      </c>
      <c r="BK587">
        <f>IF(AND(AK587=ReachLabel,AY587=1),AP587,0)</f>
        <v>0</v>
      </c>
      <c r="BL587">
        <f>IF(AND(AK587=MatchLabel,AY587=1),AP587,0)</f>
        <v>0</v>
      </c>
      <c r="BM587">
        <f>IF(AND(AK587=SafetyLabel,AY587=1),AP587,0)</f>
        <v>0</v>
      </c>
      <c r="BN587">
        <f>IF(AND(AK587=SecureLabel,AY587=1),AP587,0)</f>
        <v>0</v>
      </c>
      <c r="BO587">
        <f>IF(AND(AK587=SureThingLabel,AY587=1),AP587,0)</f>
        <v>0</v>
      </c>
      <c r="BP587">
        <f>MAX(BK587:BO587)</f>
        <v>0</v>
      </c>
      <c r="BQ587">
        <f>MAX(BL587:BO587)</f>
        <v>0</v>
      </c>
      <c r="BR587">
        <f>MAX(BM587:BO587)</f>
        <v>0</v>
      </c>
      <c r="BS587">
        <f>IF(ISNUMBER(Y587),INDEX(AllCollegeChicago, MATCH(N587,AllCollegeNCES,0))*AY587,0)</f>
        <v>0</v>
      </c>
      <c r="BT587">
        <f>IF(ISNUMBER(Y587),INDEX(AllCollegeMoneyCode, MATCH(N587,AllCollegeNCES,0)),"?")</f>
        <v>0</v>
      </c>
      <c r="BU587">
        <f>IF(OR(BT587="---",BT587="--",BT587="+/--",BT587="+/---"),1,0)</f>
        <v>0</v>
      </c>
      <c r="BV587">
        <f>AY587*AO587*AQ587</f>
        <v>0</v>
      </c>
    </row>
    <row r="588" spans="1:74">
      <c r="A588" t="s">
        <v>86</v>
      </c>
      <c r="B588">
        <v>23560568</v>
      </c>
      <c r="C588" t="s">
        <v>254</v>
      </c>
      <c r="D588" t="s">
        <v>255</v>
      </c>
      <c r="E588" t="s">
        <v>428</v>
      </c>
      <c r="F588" t="s">
        <v>447</v>
      </c>
      <c r="G588" t="s">
        <v>430</v>
      </c>
      <c r="H588" t="s">
        <v>431</v>
      </c>
      <c r="I588" t="s">
        <v>432</v>
      </c>
      <c r="J588" t="s">
        <v>432</v>
      </c>
      <c r="K588">
        <v>0</v>
      </c>
      <c r="L588" t="s">
        <v>428</v>
      </c>
      <c r="M588" t="s">
        <v>428</v>
      </c>
      <c r="N588">
        <v>145600</v>
      </c>
      <c r="O588">
        <f>INDEX(AllCollegeBarrons,MATCH(N588,AllCollegeNCES,0))</f>
        <v>0</v>
      </c>
      <c r="P588">
        <f>INDEX(KidGPAs,MATCH(B588,KidIDs,0))</f>
        <v>0</v>
      </c>
      <c r="Q588">
        <f>INDEX(KidACTs,MATCH(B588,KidIDs,0))</f>
        <v>0</v>
      </c>
      <c r="R588">
        <f>INDEX(Strats,MATCH(B588,KidIDs,0))</f>
        <v>0</v>
      </c>
      <c r="S588">
        <f>INDEX(KidRace,MATCH(B588,KidIDs,0))</f>
        <v>0</v>
      </c>
      <c r="T588">
        <f>IF(OR(S588="M",S588="I"),"H",S588)</f>
        <v>0</v>
      </c>
      <c r="U588">
        <f>INDEX(StudentTargets,MATCH(B588,KidIDs,0))</f>
        <v>0</v>
      </c>
      <c r="V588">
        <f>INDEX(ReachStudentTargets,MATCH(B588,KidIDs,0))</f>
        <v>0</v>
      </c>
      <c r="W588">
        <f>IF(OR(M588="Posse"),1,0)</f>
        <v>0</v>
      </c>
      <c r="X588">
        <f>IF(ISNUMBER(INDEX(AllCollegeGR, MATCH(N588,AllCollegeNCES,0))),ROUND(INDEX(AllCollegeGR, MATCH(N588,AllCollegeNCES,0))+W588*IF(INDEX(AllCollegeGR, MATCH(N588,AllCollegeNCES,0))&gt;0.7,(1-INDEX(AllCollegeGR, MATCH(N588,AllCollegeNCES,0)))/2,0.15),2),INDEX(AllCollegeGR, MATCH(N588,AllCollegeNCES,0)))</f>
        <v>0</v>
      </c>
      <c r="Y588">
        <f>IF(ISNUMBER(INDEX(AllCollegeAAHGR, MATCH(N588,AllCollegeNCES,0))),ROUND(INDEX(AllCollegeAAHGR, MATCH(N588,AllCollegeNCES,0))+W588*IF(INDEX(AllCollegeAAHGR, MATCH(N588,AllCollegeNCES,0))&gt;0.7,(1-INDEX(AllCollegeAAHGR, MATCH(N588,AllCollegeNCES,0)))/2,0.15),2),INDEX(AllCollegeAAHGR, MATCH(N588,AllCollegeNCES,0)))</f>
        <v>0</v>
      </c>
      <c r="Z588">
        <f>IF(OR(T588="H",T588="B"),INDEX(AllCollegeACT25, MATCH(N588,AllCollegeNCES,0)),INDEX(AllCollegeACT50, MATCH(N588,AllCollegeNCES,0)))</f>
        <v>0</v>
      </c>
      <c r="AA588">
        <f>INDEX(CustomWeightsGPA,MATCH(T588&amp;":"&amp;N588,CustomWeightsIndex,0))</f>
        <v>0</v>
      </c>
      <c r="AB588">
        <f>INDEX(CustomWeightsACT,MATCH(T588&amp;":"&amp;N588,CustomWeightsIndex,0))</f>
        <v>0</v>
      </c>
      <c r="AC588">
        <f>INDEX(CustomWeightsIntercept,MATCH(T588&amp;":"&amp;N588,CustomWeightsIndex,0))</f>
        <v>0</v>
      </c>
      <c r="AD588">
        <f>AA588*P588+AB588*Q588+AC588</f>
        <v>0</v>
      </c>
      <c r="AE588">
        <f>INDEX(CoefficientsGPA,MATCH(T588&amp;":"&amp;O588,CoefficientsIndex,0))</f>
        <v>0</v>
      </c>
      <c r="AF588">
        <f>INDEX(CoefficientsACT,MATCH(T588&amp;":"&amp;O588,CoefficientsIndex,0))</f>
        <v>0</v>
      </c>
      <c r="AG588">
        <f>INDEX(CoefficientsIntercept,MATCH(T588&amp;":"&amp;O588,CoefficientsIndex,0))</f>
        <v>0</v>
      </c>
      <c r="AH588">
        <f>AE588*P588+(Q588-Z588)*AF588+AG588</f>
        <v>0</v>
      </c>
      <c r="AI588">
        <f>IF(ISNUMBER(AD588),AD588,AH588)</f>
        <v>0</v>
      </c>
      <c r="AJ588">
        <f>IF(ISNUMBER(AI588),IF(ISNUMBER(AE588),IF(AND(AE588=1,AF588=1,AG588=1),100,ROUND(100*EXP(AI588)/(1+EXP(AI588)),2)),ROUND(100*EXP(AI588)/(1+EXP(AI588)),2)),IF(ISTEXT(O588),IF(LEFT(O588,1)="2",100,"N/A"),"N/A"))</f>
        <v>0</v>
      </c>
      <c r="AK588">
        <f>IF(ISNUMBER(AJ588),IF(AJ588&gt;=99,IF(OR(R588=10,R588=11),MatchLabel,SureThingLabel),IF(AJ588&gt;=95,SecureLabel,IF(AJ588&gt;=80,SafetyLabel,IF(AJ588&gt;=50,MatchLabel,IF(AJ588&gt;=20,ReachLabel,IF(AJ588&gt;=10,LongshotLabel,HailMaryLabel)))))),"Other")</f>
        <v>0</v>
      </c>
      <c r="AL588">
        <f>IF(OR(I588="accepted",I588="cond. accept",I588="summer admit"),IF(J588="yes","CHOICE!","Accepted!"),IF(I588="denied","Denied",IF(K588=1,"Waitlist",IF(L588=1,"Deferred",IF(G588="pending","Pending",IF(OR(G588="initial materials submitted",G588="mid-year submitted",G588="final submitted"),"Submitted",IF(H588="interest","Interest","?")))))))</f>
        <v>0</v>
      </c>
      <c r="AM588">
        <f>IF(OR(AK588=ReachLabel,AK588=LongshotLabel,AK588=HailMaryLabel),1,0)</f>
        <v>0</v>
      </c>
      <c r="AN588">
        <f>IF(OR(AM588=1,AK588=MatchLabel),1,0)</f>
        <v>0</v>
      </c>
      <c r="AO588">
        <f>IF(OR(AK588=MatchLabel,AK588=SafetyLabel,AK588=SecureLabel,AK588=SureThingLabel),1,0)</f>
        <v>0</v>
      </c>
      <c r="AP588">
        <f>IF(OR(T588="H",T588="B"),IF(ISNUMBER(Y588),ROUND(Y588,2),0),IF(ISNUMBER(X588),ROUND(X588,2),0))</f>
        <v>0</v>
      </c>
      <c r="AQ588">
        <f>IF(AP588&gt;=U588,1,0)</f>
        <v>0</v>
      </c>
      <c r="AR588">
        <f>IF(AP588&gt;=V588,1,0)</f>
        <v>0</v>
      </c>
      <c r="AS588">
        <f>IF(AP588&lt;(U588-0.10),1,0)</f>
        <v>0</v>
      </c>
      <c r="AT588">
        <f>1-AJ588/100</f>
        <v>0</v>
      </c>
      <c r="AU588">
        <f>IF(AN588=1,AT588,1)</f>
        <v>0</v>
      </c>
      <c r="AV588">
        <f>IF(AM588=1,AT588,1)</f>
        <v>0</v>
      </c>
      <c r="AW588">
        <f>IF(AND(AQ588=1,ISNUMBER(AT588)),$AT588,1)</f>
        <v>0</v>
      </c>
      <c r="AX588">
        <f>IF(AND(AR588=1,ISNUMBER(AT588)),$AT588,1)</f>
        <v>0</v>
      </c>
      <c r="AY588">
        <f>IF(ISNUMBER(Y588),INDEX(AllCollegeMoney, MATCH(N588,AllCollegeNCES,0)),0)</f>
        <v>0</v>
      </c>
      <c r="AZ588">
        <f>IF(AND(AQ588=1,ISNUMBER(AT588),AY588=1),$AT588,1)</f>
        <v>0</v>
      </c>
      <c r="BA588">
        <f>IF(AND(AR588=1,ISNUMBER(AT588),AY588=1),$AT588,1)</f>
        <v>0</v>
      </c>
      <c r="BB588">
        <f>IF(ISNUMBER(Y588),INDEX(AllCollegeILPub, MATCH(N588,AllCollegeNCES,0)),0)</f>
        <v>0</v>
      </c>
      <c r="BC588">
        <f>IF(AK588=ReachLabel,AP588,0)</f>
        <v>0</v>
      </c>
      <c r="BD588">
        <f>IF(AK588=MatchLabel,AP588,0)</f>
        <v>0</v>
      </c>
      <c r="BE588">
        <f>IF(AK588=SafetyLabel,AP588,0)</f>
        <v>0</v>
      </c>
      <c r="BF588">
        <f>IF(AK588=SecureLabel,AP588,0)</f>
        <v>0</v>
      </c>
      <c r="BG588">
        <f>IF(AK588=SureThingLabel,AP588,0)</f>
        <v>0</v>
      </c>
      <c r="BH588">
        <f>MAX(BC588:BG588)</f>
        <v>0</v>
      </c>
      <c r="BI588">
        <f>MAX(BD588:BG588)</f>
        <v>0</v>
      </c>
      <c r="BJ588">
        <f>MAX(BE588:BG588)</f>
        <v>0</v>
      </c>
      <c r="BK588">
        <f>IF(AND(AK588=ReachLabel,AY588=1),AP588,0)</f>
        <v>0</v>
      </c>
      <c r="BL588">
        <f>IF(AND(AK588=MatchLabel,AY588=1),AP588,0)</f>
        <v>0</v>
      </c>
      <c r="BM588">
        <f>IF(AND(AK588=SafetyLabel,AY588=1),AP588,0)</f>
        <v>0</v>
      </c>
      <c r="BN588">
        <f>IF(AND(AK588=SecureLabel,AY588=1),AP588,0)</f>
        <v>0</v>
      </c>
      <c r="BO588">
        <f>IF(AND(AK588=SureThingLabel,AY588=1),AP588,0)</f>
        <v>0</v>
      </c>
      <c r="BP588">
        <f>MAX(BK588:BO588)</f>
        <v>0</v>
      </c>
      <c r="BQ588">
        <f>MAX(BL588:BO588)</f>
        <v>0</v>
      </c>
      <c r="BR588">
        <f>MAX(BM588:BO588)</f>
        <v>0</v>
      </c>
      <c r="BS588">
        <f>IF(ISNUMBER(Y588),INDEX(AllCollegeChicago, MATCH(N588,AllCollegeNCES,0))*AY588,0)</f>
        <v>0</v>
      </c>
      <c r="BT588">
        <f>IF(ISNUMBER(Y588),INDEX(AllCollegeMoneyCode, MATCH(N588,AllCollegeNCES,0)),"?")</f>
        <v>0</v>
      </c>
      <c r="BU588">
        <f>IF(OR(BT588="---",BT588="--",BT588="+/--",BT588="+/---"),1,0)</f>
        <v>0</v>
      </c>
      <c r="BV588">
        <f>AY588*AO588*AQ588</f>
        <v>0</v>
      </c>
    </row>
    <row r="589" spans="1:74">
      <c r="A589" t="s">
        <v>86</v>
      </c>
      <c r="B589">
        <v>23560568</v>
      </c>
      <c r="C589" t="s">
        <v>254</v>
      </c>
      <c r="D589" t="s">
        <v>255</v>
      </c>
      <c r="E589" t="s">
        <v>428</v>
      </c>
      <c r="F589" t="s">
        <v>435</v>
      </c>
      <c r="G589" t="s">
        <v>430</v>
      </c>
      <c r="H589" t="s">
        <v>431</v>
      </c>
      <c r="I589" t="s">
        <v>432</v>
      </c>
      <c r="J589" t="s">
        <v>432</v>
      </c>
      <c r="K589">
        <v>0</v>
      </c>
      <c r="L589" t="s">
        <v>428</v>
      </c>
      <c r="M589" t="s">
        <v>428</v>
      </c>
      <c r="N589">
        <v>144892</v>
      </c>
      <c r="O589">
        <f>INDEX(AllCollegeBarrons,MATCH(N589,AllCollegeNCES,0))</f>
        <v>0</v>
      </c>
      <c r="P589">
        <f>INDEX(KidGPAs,MATCH(B589,KidIDs,0))</f>
        <v>0</v>
      </c>
      <c r="Q589">
        <f>INDEX(KidACTs,MATCH(B589,KidIDs,0))</f>
        <v>0</v>
      </c>
      <c r="R589">
        <f>INDEX(Strats,MATCH(B589,KidIDs,0))</f>
        <v>0</v>
      </c>
      <c r="S589">
        <f>INDEX(KidRace,MATCH(B589,KidIDs,0))</f>
        <v>0</v>
      </c>
      <c r="T589">
        <f>IF(OR(S589="M",S589="I"),"H",S589)</f>
        <v>0</v>
      </c>
      <c r="U589">
        <f>INDEX(StudentTargets,MATCH(B589,KidIDs,0))</f>
        <v>0</v>
      </c>
      <c r="V589">
        <f>INDEX(ReachStudentTargets,MATCH(B589,KidIDs,0))</f>
        <v>0</v>
      </c>
      <c r="W589">
        <f>IF(OR(M589="Posse"),1,0)</f>
        <v>0</v>
      </c>
      <c r="X589">
        <f>IF(ISNUMBER(INDEX(AllCollegeGR, MATCH(N589,AllCollegeNCES,0))),ROUND(INDEX(AllCollegeGR, MATCH(N589,AllCollegeNCES,0))+W589*IF(INDEX(AllCollegeGR, MATCH(N589,AllCollegeNCES,0))&gt;0.7,(1-INDEX(AllCollegeGR, MATCH(N589,AllCollegeNCES,0)))/2,0.15),2),INDEX(AllCollegeGR, MATCH(N589,AllCollegeNCES,0)))</f>
        <v>0</v>
      </c>
      <c r="Y589">
        <f>IF(ISNUMBER(INDEX(AllCollegeAAHGR, MATCH(N589,AllCollegeNCES,0))),ROUND(INDEX(AllCollegeAAHGR, MATCH(N589,AllCollegeNCES,0))+W589*IF(INDEX(AllCollegeAAHGR, MATCH(N589,AllCollegeNCES,0))&gt;0.7,(1-INDEX(AllCollegeAAHGR, MATCH(N589,AllCollegeNCES,0)))/2,0.15),2),INDEX(AllCollegeAAHGR, MATCH(N589,AllCollegeNCES,0)))</f>
        <v>0</v>
      </c>
      <c r="Z589">
        <f>IF(OR(T589="H",T589="B"),INDEX(AllCollegeACT25, MATCH(N589,AllCollegeNCES,0)),INDEX(AllCollegeACT50, MATCH(N589,AllCollegeNCES,0)))</f>
        <v>0</v>
      </c>
      <c r="AA589">
        <f>INDEX(CustomWeightsGPA,MATCH(T589&amp;":"&amp;N589,CustomWeightsIndex,0))</f>
        <v>0</v>
      </c>
      <c r="AB589">
        <f>INDEX(CustomWeightsACT,MATCH(T589&amp;":"&amp;N589,CustomWeightsIndex,0))</f>
        <v>0</v>
      </c>
      <c r="AC589">
        <f>INDEX(CustomWeightsIntercept,MATCH(T589&amp;":"&amp;N589,CustomWeightsIndex,0))</f>
        <v>0</v>
      </c>
      <c r="AD589">
        <f>AA589*P589+AB589*Q589+AC589</f>
        <v>0</v>
      </c>
      <c r="AE589">
        <f>INDEX(CoefficientsGPA,MATCH(T589&amp;":"&amp;O589,CoefficientsIndex,0))</f>
        <v>0</v>
      </c>
      <c r="AF589">
        <f>INDEX(CoefficientsACT,MATCH(T589&amp;":"&amp;O589,CoefficientsIndex,0))</f>
        <v>0</v>
      </c>
      <c r="AG589">
        <f>INDEX(CoefficientsIntercept,MATCH(T589&amp;":"&amp;O589,CoefficientsIndex,0))</f>
        <v>0</v>
      </c>
      <c r="AH589">
        <f>AE589*P589+(Q589-Z589)*AF589+AG589</f>
        <v>0</v>
      </c>
      <c r="AI589">
        <f>IF(ISNUMBER(AD589),AD589,AH589)</f>
        <v>0</v>
      </c>
      <c r="AJ589">
        <f>IF(ISNUMBER(AI589),IF(ISNUMBER(AE589),IF(AND(AE589=1,AF589=1,AG589=1),100,ROUND(100*EXP(AI589)/(1+EXP(AI589)),2)),ROUND(100*EXP(AI589)/(1+EXP(AI589)),2)),IF(ISTEXT(O589),IF(LEFT(O589,1)="2",100,"N/A"),"N/A"))</f>
        <v>0</v>
      </c>
      <c r="AK589">
        <f>IF(ISNUMBER(AJ589),IF(AJ589&gt;=99,IF(OR(R589=10,R589=11),MatchLabel,SureThingLabel),IF(AJ589&gt;=95,SecureLabel,IF(AJ589&gt;=80,SafetyLabel,IF(AJ589&gt;=50,MatchLabel,IF(AJ589&gt;=20,ReachLabel,IF(AJ589&gt;=10,LongshotLabel,HailMaryLabel)))))),"Other")</f>
        <v>0</v>
      </c>
      <c r="AL589">
        <f>IF(OR(I589="accepted",I589="cond. accept",I589="summer admit"),IF(J589="yes","CHOICE!","Accepted!"),IF(I589="denied","Denied",IF(K589=1,"Waitlist",IF(L589=1,"Deferred",IF(G589="pending","Pending",IF(OR(G589="initial materials submitted",G589="mid-year submitted",G589="final submitted"),"Submitted",IF(H589="interest","Interest","?")))))))</f>
        <v>0</v>
      </c>
      <c r="AM589">
        <f>IF(OR(AK589=ReachLabel,AK589=LongshotLabel,AK589=HailMaryLabel),1,0)</f>
        <v>0</v>
      </c>
      <c r="AN589">
        <f>IF(OR(AM589=1,AK589=MatchLabel),1,0)</f>
        <v>0</v>
      </c>
      <c r="AO589">
        <f>IF(OR(AK589=MatchLabel,AK589=SafetyLabel,AK589=SecureLabel,AK589=SureThingLabel),1,0)</f>
        <v>0</v>
      </c>
      <c r="AP589">
        <f>IF(OR(T589="H",T589="B"),IF(ISNUMBER(Y589),ROUND(Y589,2),0),IF(ISNUMBER(X589),ROUND(X589,2),0))</f>
        <v>0</v>
      </c>
      <c r="AQ589">
        <f>IF(AP589&gt;=U589,1,0)</f>
        <v>0</v>
      </c>
      <c r="AR589">
        <f>IF(AP589&gt;=V589,1,0)</f>
        <v>0</v>
      </c>
      <c r="AS589">
        <f>IF(AP589&lt;(U589-0.10),1,0)</f>
        <v>0</v>
      </c>
      <c r="AT589">
        <f>1-AJ589/100</f>
        <v>0</v>
      </c>
      <c r="AU589">
        <f>IF(AN589=1,AT589,1)</f>
        <v>0</v>
      </c>
      <c r="AV589">
        <f>IF(AM589=1,AT589,1)</f>
        <v>0</v>
      </c>
      <c r="AW589">
        <f>IF(AND(AQ589=1,ISNUMBER(AT589)),$AT589,1)</f>
        <v>0</v>
      </c>
      <c r="AX589">
        <f>IF(AND(AR589=1,ISNUMBER(AT589)),$AT589,1)</f>
        <v>0</v>
      </c>
      <c r="AY589">
        <f>IF(ISNUMBER(Y589),INDEX(AllCollegeMoney, MATCH(N589,AllCollegeNCES,0)),0)</f>
        <v>0</v>
      </c>
      <c r="AZ589">
        <f>IF(AND(AQ589=1,ISNUMBER(AT589),AY589=1),$AT589,1)</f>
        <v>0</v>
      </c>
      <c r="BA589">
        <f>IF(AND(AR589=1,ISNUMBER(AT589),AY589=1),$AT589,1)</f>
        <v>0</v>
      </c>
      <c r="BB589">
        <f>IF(ISNUMBER(Y589),INDEX(AllCollegeILPub, MATCH(N589,AllCollegeNCES,0)),0)</f>
        <v>0</v>
      </c>
      <c r="BC589">
        <f>IF(AK589=ReachLabel,AP589,0)</f>
        <v>0</v>
      </c>
      <c r="BD589">
        <f>IF(AK589=MatchLabel,AP589,0)</f>
        <v>0</v>
      </c>
      <c r="BE589">
        <f>IF(AK589=SafetyLabel,AP589,0)</f>
        <v>0</v>
      </c>
      <c r="BF589">
        <f>IF(AK589=SecureLabel,AP589,0)</f>
        <v>0</v>
      </c>
      <c r="BG589">
        <f>IF(AK589=SureThingLabel,AP589,0)</f>
        <v>0</v>
      </c>
      <c r="BH589">
        <f>MAX(BC589:BG589)</f>
        <v>0</v>
      </c>
      <c r="BI589">
        <f>MAX(BD589:BG589)</f>
        <v>0</v>
      </c>
      <c r="BJ589">
        <f>MAX(BE589:BG589)</f>
        <v>0</v>
      </c>
      <c r="BK589">
        <f>IF(AND(AK589=ReachLabel,AY589=1),AP589,0)</f>
        <v>0</v>
      </c>
      <c r="BL589">
        <f>IF(AND(AK589=MatchLabel,AY589=1),AP589,0)</f>
        <v>0</v>
      </c>
      <c r="BM589">
        <f>IF(AND(AK589=SafetyLabel,AY589=1),AP589,0)</f>
        <v>0</v>
      </c>
      <c r="BN589">
        <f>IF(AND(AK589=SecureLabel,AY589=1),AP589,0)</f>
        <v>0</v>
      </c>
      <c r="BO589">
        <f>IF(AND(AK589=SureThingLabel,AY589=1),AP589,0)</f>
        <v>0</v>
      </c>
      <c r="BP589">
        <f>MAX(BK589:BO589)</f>
        <v>0</v>
      </c>
      <c r="BQ589">
        <f>MAX(BL589:BO589)</f>
        <v>0</v>
      </c>
      <c r="BR589">
        <f>MAX(BM589:BO589)</f>
        <v>0</v>
      </c>
      <c r="BS589">
        <f>IF(ISNUMBER(Y589),INDEX(AllCollegeChicago, MATCH(N589,AllCollegeNCES,0))*AY589,0)</f>
        <v>0</v>
      </c>
      <c r="BT589">
        <f>IF(ISNUMBER(Y589),INDEX(AllCollegeMoneyCode, MATCH(N589,AllCollegeNCES,0)),"?")</f>
        <v>0</v>
      </c>
      <c r="BU589">
        <f>IF(OR(BT589="---",BT589="--",BT589="+/--",BT589="+/---"),1,0)</f>
        <v>0</v>
      </c>
      <c r="BV589">
        <f>AY589*AO589*AQ589</f>
        <v>0</v>
      </c>
    </row>
    <row r="590" spans="1:74">
      <c r="A590" t="s">
        <v>86</v>
      </c>
      <c r="B590">
        <v>23560568</v>
      </c>
      <c r="C590" t="s">
        <v>254</v>
      </c>
      <c r="D590" t="s">
        <v>255</v>
      </c>
      <c r="E590" t="s">
        <v>428</v>
      </c>
      <c r="F590" t="s">
        <v>437</v>
      </c>
      <c r="G590" t="s">
        <v>463</v>
      </c>
      <c r="H590" t="s">
        <v>431</v>
      </c>
      <c r="I590" t="s">
        <v>432</v>
      </c>
      <c r="J590" t="s">
        <v>432</v>
      </c>
      <c r="K590">
        <v>0</v>
      </c>
      <c r="L590" t="s">
        <v>428</v>
      </c>
      <c r="M590" t="s">
        <v>428</v>
      </c>
      <c r="N590">
        <v>149772</v>
      </c>
      <c r="O590">
        <f>INDEX(AllCollegeBarrons,MATCH(N590,AllCollegeNCES,0))</f>
        <v>0</v>
      </c>
      <c r="P590">
        <f>INDEX(KidGPAs,MATCH(B590,KidIDs,0))</f>
        <v>0</v>
      </c>
      <c r="Q590">
        <f>INDEX(KidACTs,MATCH(B590,KidIDs,0))</f>
        <v>0</v>
      </c>
      <c r="R590">
        <f>INDEX(Strats,MATCH(B590,KidIDs,0))</f>
        <v>0</v>
      </c>
      <c r="S590">
        <f>INDEX(KidRace,MATCH(B590,KidIDs,0))</f>
        <v>0</v>
      </c>
      <c r="T590">
        <f>IF(OR(S590="M",S590="I"),"H",S590)</f>
        <v>0</v>
      </c>
      <c r="U590">
        <f>INDEX(StudentTargets,MATCH(B590,KidIDs,0))</f>
        <v>0</v>
      </c>
      <c r="V590">
        <f>INDEX(ReachStudentTargets,MATCH(B590,KidIDs,0))</f>
        <v>0</v>
      </c>
      <c r="W590">
        <f>IF(OR(M590="Posse"),1,0)</f>
        <v>0</v>
      </c>
      <c r="X590">
        <f>IF(ISNUMBER(INDEX(AllCollegeGR, MATCH(N590,AllCollegeNCES,0))),ROUND(INDEX(AllCollegeGR, MATCH(N590,AllCollegeNCES,0))+W590*IF(INDEX(AllCollegeGR, MATCH(N590,AllCollegeNCES,0))&gt;0.7,(1-INDEX(AllCollegeGR, MATCH(N590,AllCollegeNCES,0)))/2,0.15),2),INDEX(AllCollegeGR, MATCH(N590,AllCollegeNCES,0)))</f>
        <v>0</v>
      </c>
      <c r="Y590">
        <f>IF(ISNUMBER(INDEX(AllCollegeAAHGR, MATCH(N590,AllCollegeNCES,0))),ROUND(INDEX(AllCollegeAAHGR, MATCH(N590,AllCollegeNCES,0))+W590*IF(INDEX(AllCollegeAAHGR, MATCH(N590,AllCollegeNCES,0))&gt;0.7,(1-INDEX(AllCollegeAAHGR, MATCH(N590,AllCollegeNCES,0)))/2,0.15),2),INDEX(AllCollegeAAHGR, MATCH(N590,AllCollegeNCES,0)))</f>
        <v>0</v>
      </c>
      <c r="Z590">
        <f>IF(OR(T590="H",T590="B"),INDEX(AllCollegeACT25, MATCH(N590,AllCollegeNCES,0)),INDEX(AllCollegeACT50, MATCH(N590,AllCollegeNCES,0)))</f>
        <v>0</v>
      </c>
      <c r="AA590">
        <f>INDEX(CustomWeightsGPA,MATCH(T590&amp;":"&amp;N590,CustomWeightsIndex,0))</f>
        <v>0</v>
      </c>
      <c r="AB590">
        <f>INDEX(CustomWeightsACT,MATCH(T590&amp;":"&amp;N590,CustomWeightsIndex,0))</f>
        <v>0</v>
      </c>
      <c r="AC590">
        <f>INDEX(CustomWeightsIntercept,MATCH(T590&amp;":"&amp;N590,CustomWeightsIndex,0))</f>
        <v>0</v>
      </c>
      <c r="AD590">
        <f>AA590*P590+AB590*Q590+AC590</f>
        <v>0</v>
      </c>
      <c r="AE590">
        <f>INDEX(CoefficientsGPA,MATCH(T590&amp;":"&amp;O590,CoefficientsIndex,0))</f>
        <v>0</v>
      </c>
      <c r="AF590">
        <f>INDEX(CoefficientsACT,MATCH(T590&amp;":"&amp;O590,CoefficientsIndex,0))</f>
        <v>0</v>
      </c>
      <c r="AG590">
        <f>INDEX(CoefficientsIntercept,MATCH(T590&amp;":"&amp;O590,CoefficientsIndex,0))</f>
        <v>0</v>
      </c>
      <c r="AH590">
        <f>AE590*P590+(Q590-Z590)*AF590+AG590</f>
        <v>0</v>
      </c>
      <c r="AI590">
        <f>IF(ISNUMBER(AD590),AD590,AH590)</f>
        <v>0</v>
      </c>
      <c r="AJ590">
        <f>IF(ISNUMBER(AI590),IF(ISNUMBER(AE590),IF(AND(AE590=1,AF590=1,AG590=1),100,ROUND(100*EXP(AI590)/(1+EXP(AI590)),2)),ROUND(100*EXP(AI590)/(1+EXP(AI590)),2)),IF(ISTEXT(O590),IF(LEFT(O590,1)="2",100,"N/A"),"N/A"))</f>
        <v>0</v>
      </c>
      <c r="AK590">
        <f>IF(ISNUMBER(AJ590),IF(AJ590&gt;=99,IF(OR(R590=10,R590=11),MatchLabel,SureThingLabel),IF(AJ590&gt;=95,SecureLabel,IF(AJ590&gt;=80,SafetyLabel,IF(AJ590&gt;=50,MatchLabel,IF(AJ590&gt;=20,ReachLabel,IF(AJ590&gt;=10,LongshotLabel,HailMaryLabel)))))),"Other")</f>
        <v>0</v>
      </c>
      <c r="AL590">
        <f>IF(OR(I590="accepted",I590="cond. accept",I590="summer admit"),IF(J590="yes","CHOICE!","Accepted!"),IF(I590="denied","Denied",IF(K590=1,"Waitlist",IF(L590=1,"Deferred",IF(G590="pending","Pending",IF(OR(G590="initial materials submitted",G590="mid-year submitted",G590="final submitted"),"Submitted",IF(H590="interest","Interest","?")))))))</f>
        <v>0</v>
      </c>
      <c r="AM590">
        <f>IF(OR(AK590=ReachLabel,AK590=LongshotLabel,AK590=HailMaryLabel),1,0)</f>
        <v>0</v>
      </c>
      <c r="AN590">
        <f>IF(OR(AM590=1,AK590=MatchLabel),1,0)</f>
        <v>0</v>
      </c>
      <c r="AO590">
        <f>IF(OR(AK590=MatchLabel,AK590=SafetyLabel,AK590=SecureLabel,AK590=SureThingLabel),1,0)</f>
        <v>0</v>
      </c>
      <c r="AP590">
        <f>IF(OR(T590="H",T590="B"),IF(ISNUMBER(Y590),ROUND(Y590,2),0),IF(ISNUMBER(X590),ROUND(X590,2),0))</f>
        <v>0</v>
      </c>
      <c r="AQ590">
        <f>IF(AP590&gt;=U590,1,0)</f>
        <v>0</v>
      </c>
      <c r="AR590">
        <f>IF(AP590&gt;=V590,1,0)</f>
        <v>0</v>
      </c>
      <c r="AS590">
        <f>IF(AP590&lt;(U590-0.10),1,0)</f>
        <v>0</v>
      </c>
      <c r="AT590">
        <f>1-AJ590/100</f>
        <v>0</v>
      </c>
      <c r="AU590">
        <f>IF(AN590=1,AT590,1)</f>
        <v>0</v>
      </c>
      <c r="AV590">
        <f>IF(AM590=1,AT590,1)</f>
        <v>0</v>
      </c>
      <c r="AW590">
        <f>IF(AND(AQ590=1,ISNUMBER(AT590)),$AT590,1)</f>
        <v>0</v>
      </c>
      <c r="AX590">
        <f>IF(AND(AR590=1,ISNUMBER(AT590)),$AT590,1)</f>
        <v>0</v>
      </c>
      <c r="AY590">
        <f>IF(ISNUMBER(Y590),INDEX(AllCollegeMoney, MATCH(N590,AllCollegeNCES,0)),0)</f>
        <v>0</v>
      </c>
      <c r="AZ590">
        <f>IF(AND(AQ590=1,ISNUMBER(AT590),AY590=1),$AT590,1)</f>
        <v>0</v>
      </c>
      <c r="BA590">
        <f>IF(AND(AR590=1,ISNUMBER(AT590),AY590=1),$AT590,1)</f>
        <v>0</v>
      </c>
      <c r="BB590">
        <f>IF(ISNUMBER(Y590),INDEX(AllCollegeILPub, MATCH(N590,AllCollegeNCES,0)),0)</f>
        <v>0</v>
      </c>
      <c r="BC590">
        <f>IF(AK590=ReachLabel,AP590,0)</f>
        <v>0</v>
      </c>
      <c r="BD590">
        <f>IF(AK590=MatchLabel,AP590,0)</f>
        <v>0</v>
      </c>
      <c r="BE590">
        <f>IF(AK590=SafetyLabel,AP590,0)</f>
        <v>0</v>
      </c>
      <c r="BF590">
        <f>IF(AK590=SecureLabel,AP590,0)</f>
        <v>0</v>
      </c>
      <c r="BG590">
        <f>IF(AK590=SureThingLabel,AP590,0)</f>
        <v>0</v>
      </c>
      <c r="BH590">
        <f>MAX(BC590:BG590)</f>
        <v>0</v>
      </c>
      <c r="BI590">
        <f>MAX(BD590:BG590)</f>
        <v>0</v>
      </c>
      <c r="BJ590">
        <f>MAX(BE590:BG590)</f>
        <v>0</v>
      </c>
      <c r="BK590">
        <f>IF(AND(AK590=ReachLabel,AY590=1),AP590,0)</f>
        <v>0</v>
      </c>
      <c r="BL590">
        <f>IF(AND(AK590=MatchLabel,AY590=1),AP590,0)</f>
        <v>0</v>
      </c>
      <c r="BM590">
        <f>IF(AND(AK590=SafetyLabel,AY590=1),AP590,0)</f>
        <v>0</v>
      </c>
      <c r="BN590">
        <f>IF(AND(AK590=SecureLabel,AY590=1),AP590,0)</f>
        <v>0</v>
      </c>
      <c r="BO590">
        <f>IF(AND(AK590=SureThingLabel,AY590=1),AP590,0)</f>
        <v>0</v>
      </c>
      <c r="BP590">
        <f>MAX(BK590:BO590)</f>
        <v>0</v>
      </c>
      <c r="BQ590">
        <f>MAX(BL590:BO590)</f>
        <v>0</v>
      </c>
      <c r="BR590">
        <f>MAX(BM590:BO590)</f>
        <v>0</v>
      </c>
      <c r="BS590">
        <f>IF(ISNUMBER(Y590),INDEX(AllCollegeChicago, MATCH(N590,AllCollegeNCES,0))*AY590,0)</f>
        <v>0</v>
      </c>
      <c r="BT590">
        <f>IF(ISNUMBER(Y590),INDEX(AllCollegeMoneyCode, MATCH(N590,AllCollegeNCES,0)),"?")</f>
        <v>0</v>
      </c>
      <c r="BU590">
        <f>IF(OR(BT590="---",BT590="--",BT590="+/--",BT590="+/---"),1,0)</f>
        <v>0</v>
      </c>
      <c r="BV590">
        <f>AY590*AO590*AQ590</f>
        <v>0</v>
      </c>
    </row>
    <row r="591" spans="1:74">
      <c r="A591" t="s">
        <v>86</v>
      </c>
      <c r="B591">
        <v>23560568</v>
      </c>
      <c r="C591" t="s">
        <v>254</v>
      </c>
      <c r="D591" t="s">
        <v>255</v>
      </c>
      <c r="E591" t="s">
        <v>428</v>
      </c>
      <c r="F591" t="s">
        <v>438</v>
      </c>
      <c r="G591" t="s">
        <v>430</v>
      </c>
      <c r="H591" t="s">
        <v>431</v>
      </c>
      <c r="I591" t="s">
        <v>432</v>
      </c>
      <c r="J591" t="s">
        <v>432</v>
      </c>
      <c r="K591">
        <v>0</v>
      </c>
      <c r="L591" t="s">
        <v>428</v>
      </c>
      <c r="M591" t="s">
        <v>439</v>
      </c>
      <c r="N591">
        <v>150774</v>
      </c>
      <c r="O591">
        <f>INDEX(AllCollegeBarrons,MATCH(N591,AllCollegeNCES,0))</f>
        <v>0</v>
      </c>
      <c r="P591">
        <f>INDEX(KidGPAs,MATCH(B591,KidIDs,0))</f>
        <v>0</v>
      </c>
      <c r="Q591">
        <f>INDEX(KidACTs,MATCH(B591,KidIDs,0))</f>
        <v>0</v>
      </c>
      <c r="R591">
        <f>INDEX(Strats,MATCH(B591,KidIDs,0))</f>
        <v>0</v>
      </c>
      <c r="S591">
        <f>INDEX(KidRace,MATCH(B591,KidIDs,0))</f>
        <v>0</v>
      </c>
      <c r="T591">
        <f>IF(OR(S591="M",S591="I"),"H",S591)</f>
        <v>0</v>
      </c>
      <c r="U591">
        <f>INDEX(StudentTargets,MATCH(B591,KidIDs,0))</f>
        <v>0</v>
      </c>
      <c r="V591">
        <f>INDEX(ReachStudentTargets,MATCH(B591,KidIDs,0))</f>
        <v>0</v>
      </c>
      <c r="W591">
        <f>IF(OR(M591="Posse"),1,0)</f>
        <v>0</v>
      </c>
      <c r="X591">
        <f>IF(ISNUMBER(INDEX(AllCollegeGR, MATCH(N591,AllCollegeNCES,0))),ROUND(INDEX(AllCollegeGR, MATCH(N591,AllCollegeNCES,0))+W591*IF(INDEX(AllCollegeGR, MATCH(N591,AllCollegeNCES,0))&gt;0.7,(1-INDEX(AllCollegeGR, MATCH(N591,AllCollegeNCES,0)))/2,0.15),2),INDEX(AllCollegeGR, MATCH(N591,AllCollegeNCES,0)))</f>
        <v>0</v>
      </c>
      <c r="Y591">
        <f>IF(ISNUMBER(INDEX(AllCollegeAAHGR, MATCH(N591,AllCollegeNCES,0))),ROUND(INDEX(AllCollegeAAHGR, MATCH(N591,AllCollegeNCES,0))+W591*IF(INDEX(AllCollegeAAHGR, MATCH(N591,AllCollegeNCES,0))&gt;0.7,(1-INDEX(AllCollegeAAHGR, MATCH(N591,AllCollegeNCES,0)))/2,0.15),2),INDEX(AllCollegeAAHGR, MATCH(N591,AllCollegeNCES,0)))</f>
        <v>0</v>
      </c>
      <c r="Z591">
        <f>IF(OR(T591="H",T591="B"),INDEX(AllCollegeACT25, MATCH(N591,AllCollegeNCES,0)),INDEX(AllCollegeACT50, MATCH(N591,AllCollegeNCES,0)))</f>
        <v>0</v>
      </c>
      <c r="AA591">
        <f>INDEX(CustomWeightsGPA,MATCH(T591&amp;":"&amp;N591,CustomWeightsIndex,0))</f>
        <v>0</v>
      </c>
      <c r="AB591">
        <f>INDEX(CustomWeightsACT,MATCH(T591&amp;":"&amp;N591,CustomWeightsIndex,0))</f>
        <v>0</v>
      </c>
      <c r="AC591">
        <f>INDEX(CustomWeightsIntercept,MATCH(T591&amp;":"&amp;N591,CustomWeightsIndex,0))</f>
        <v>0</v>
      </c>
      <c r="AD591">
        <f>AA591*P591+AB591*Q591+AC591</f>
        <v>0</v>
      </c>
      <c r="AE591">
        <f>INDEX(CoefficientsGPA,MATCH(T591&amp;":"&amp;O591,CoefficientsIndex,0))</f>
        <v>0</v>
      </c>
      <c r="AF591">
        <f>INDEX(CoefficientsACT,MATCH(T591&amp;":"&amp;O591,CoefficientsIndex,0))</f>
        <v>0</v>
      </c>
      <c r="AG591">
        <f>INDEX(CoefficientsIntercept,MATCH(T591&amp;":"&amp;O591,CoefficientsIndex,0))</f>
        <v>0</v>
      </c>
      <c r="AH591">
        <f>AE591*P591+(Q591-Z591)*AF591+AG591</f>
        <v>0</v>
      </c>
      <c r="AI591">
        <f>IF(ISNUMBER(AD591),AD591,AH591)</f>
        <v>0</v>
      </c>
      <c r="AJ591">
        <f>IF(ISNUMBER(AI591),IF(ISNUMBER(AE591),IF(AND(AE591=1,AF591=1,AG591=1),100,ROUND(100*EXP(AI591)/(1+EXP(AI591)),2)),ROUND(100*EXP(AI591)/(1+EXP(AI591)),2)),IF(ISTEXT(O591),IF(LEFT(O591,1)="2",100,"N/A"),"N/A"))</f>
        <v>0</v>
      </c>
      <c r="AK591">
        <f>IF(ISNUMBER(AJ591),IF(AJ591&gt;=99,IF(OR(R591=10,R591=11),MatchLabel,SureThingLabel),IF(AJ591&gt;=95,SecureLabel,IF(AJ591&gt;=80,SafetyLabel,IF(AJ591&gt;=50,MatchLabel,IF(AJ591&gt;=20,ReachLabel,IF(AJ591&gt;=10,LongshotLabel,HailMaryLabel)))))),"Other")</f>
        <v>0</v>
      </c>
      <c r="AL591">
        <f>IF(OR(I591="accepted",I591="cond. accept",I591="summer admit"),IF(J591="yes","CHOICE!","Accepted!"),IF(I591="denied","Denied",IF(K591=1,"Waitlist",IF(L591=1,"Deferred",IF(G591="pending","Pending",IF(OR(G591="initial materials submitted",G591="mid-year submitted",G591="final submitted"),"Submitted",IF(H591="interest","Interest","?")))))))</f>
        <v>0</v>
      </c>
      <c r="AM591">
        <f>IF(OR(AK591=ReachLabel,AK591=LongshotLabel,AK591=HailMaryLabel),1,0)</f>
        <v>0</v>
      </c>
      <c r="AN591">
        <f>IF(OR(AM591=1,AK591=MatchLabel),1,0)</f>
        <v>0</v>
      </c>
      <c r="AO591">
        <f>IF(OR(AK591=MatchLabel,AK591=SafetyLabel,AK591=SecureLabel,AK591=SureThingLabel),1,0)</f>
        <v>0</v>
      </c>
      <c r="AP591">
        <f>IF(OR(T591="H",T591="B"),IF(ISNUMBER(Y591),ROUND(Y591,2),0),IF(ISNUMBER(X591),ROUND(X591,2),0))</f>
        <v>0</v>
      </c>
      <c r="AQ591">
        <f>IF(AP591&gt;=U591,1,0)</f>
        <v>0</v>
      </c>
      <c r="AR591">
        <f>IF(AP591&gt;=V591,1,0)</f>
        <v>0</v>
      </c>
      <c r="AS591">
        <f>IF(AP591&lt;(U591-0.10),1,0)</f>
        <v>0</v>
      </c>
      <c r="AT591">
        <f>1-AJ591/100</f>
        <v>0</v>
      </c>
      <c r="AU591">
        <f>IF(AN591=1,AT591,1)</f>
        <v>0</v>
      </c>
      <c r="AV591">
        <f>IF(AM591=1,AT591,1)</f>
        <v>0</v>
      </c>
      <c r="AW591">
        <f>IF(AND(AQ591=1,ISNUMBER(AT591)),$AT591,1)</f>
        <v>0</v>
      </c>
      <c r="AX591">
        <f>IF(AND(AR591=1,ISNUMBER(AT591)),$AT591,1)</f>
        <v>0</v>
      </c>
      <c r="AY591">
        <f>IF(ISNUMBER(Y591),INDEX(AllCollegeMoney, MATCH(N591,AllCollegeNCES,0)),0)</f>
        <v>0</v>
      </c>
      <c r="AZ591">
        <f>IF(AND(AQ591=1,ISNUMBER(AT591),AY591=1),$AT591,1)</f>
        <v>0</v>
      </c>
      <c r="BA591">
        <f>IF(AND(AR591=1,ISNUMBER(AT591),AY591=1),$AT591,1)</f>
        <v>0</v>
      </c>
      <c r="BB591">
        <f>IF(ISNUMBER(Y591),INDEX(AllCollegeILPub, MATCH(N591,AllCollegeNCES,0)),0)</f>
        <v>0</v>
      </c>
      <c r="BC591">
        <f>IF(AK591=ReachLabel,AP591,0)</f>
        <v>0</v>
      </c>
      <c r="BD591">
        <f>IF(AK591=MatchLabel,AP591,0)</f>
        <v>0</v>
      </c>
      <c r="BE591">
        <f>IF(AK591=SafetyLabel,AP591,0)</f>
        <v>0</v>
      </c>
      <c r="BF591">
        <f>IF(AK591=SecureLabel,AP591,0)</f>
        <v>0</v>
      </c>
      <c r="BG591">
        <f>IF(AK591=SureThingLabel,AP591,0)</f>
        <v>0</v>
      </c>
      <c r="BH591">
        <f>MAX(BC591:BG591)</f>
        <v>0</v>
      </c>
      <c r="BI591">
        <f>MAX(BD591:BG591)</f>
        <v>0</v>
      </c>
      <c r="BJ591">
        <f>MAX(BE591:BG591)</f>
        <v>0</v>
      </c>
      <c r="BK591">
        <f>IF(AND(AK591=ReachLabel,AY591=1),AP591,0)</f>
        <v>0</v>
      </c>
      <c r="BL591">
        <f>IF(AND(AK591=MatchLabel,AY591=1),AP591,0)</f>
        <v>0</v>
      </c>
      <c r="BM591">
        <f>IF(AND(AK591=SafetyLabel,AY591=1),AP591,0)</f>
        <v>0</v>
      </c>
      <c r="BN591">
        <f>IF(AND(AK591=SecureLabel,AY591=1),AP591,0)</f>
        <v>0</v>
      </c>
      <c r="BO591">
        <f>IF(AND(AK591=SureThingLabel,AY591=1),AP591,0)</f>
        <v>0</v>
      </c>
      <c r="BP591">
        <f>MAX(BK591:BO591)</f>
        <v>0</v>
      </c>
      <c r="BQ591">
        <f>MAX(BL591:BO591)</f>
        <v>0</v>
      </c>
      <c r="BR591">
        <f>MAX(BM591:BO591)</f>
        <v>0</v>
      </c>
      <c r="BS591">
        <f>IF(ISNUMBER(Y591),INDEX(AllCollegeChicago, MATCH(N591,AllCollegeNCES,0))*AY591,0)</f>
        <v>0</v>
      </c>
      <c r="BT591">
        <f>IF(ISNUMBER(Y591),INDEX(AllCollegeMoneyCode, MATCH(N591,AllCollegeNCES,0)),"?")</f>
        <v>0</v>
      </c>
      <c r="BU591">
        <f>IF(OR(BT591="---",BT591="--",BT591="+/--",BT591="+/---"),1,0)</f>
        <v>0</v>
      </c>
      <c r="BV591">
        <f>AY591*AO591*AQ591</f>
        <v>0</v>
      </c>
    </row>
    <row r="592" spans="1:74">
      <c r="A592" t="s">
        <v>86</v>
      </c>
      <c r="B592">
        <v>23759127</v>
      </c>
      <c r="C592" t="s">
        <v>160</v>
      </c>
      <c r="D592" t="s">
        <v>161</v>
      </c>
      <c r="E592" t="s">
        <v>428</v>
      </c>
      <c r="F592" t="s">
        <v>457</v>
      </c>
      <c r="G592" t="s">
        <v>430</v>
      </c>
      <c r="H592" t="s">
        <v>431</v>
      </c>
      <c r="I592" t="s">
        <v>432</v>
      </c>
      <c r="J592" t="s">
        <v>432</v>
      </c>
      <c r="K592">
        <v>0</v>
      </c>
      <c r="L592" t="s">
        <v>428</v>
      </c>
      <c r="M592" t="s">
        <v>428</v>
      </c>
      <c r="N592">
        <v>145637</v>
      </c>
      <c r="O592">
        <f>INDEX(AllCollegeBarrons,MATCH(N592,AllCollegeNCES,0))</f>
        <v>0</v>
      </c>
      <c r="P592">
        <f>INDEX(KidGPAs,MATCH(B592,KidIDs,0))</f>
        <v>0</v>
      </c>
      <c r="Q592">
        <f>INDEX(KidACTs,MATCH(B592,KidIDs,0))</f>
        <v>0</v>
      </c>
      <c r="R592">
        <f>INDEX(Strats,MATCH(B592,KidIDs,0))</f>
        <v>0</v>
      </c>
      <c r="S592">
        <f>INDEX(KidRace,MATCH(B592,KidIDs,0))</f>
        <v>0</v>
      </c>
      <c r="T592">
        <f>IF(OR(S592="M",S592="I"),"H",S592)</f>
        <v>0</v>
      </c>
      <c r="U592">
        <f>INDEX(StudentTargets,MATCH(B592,KidIDs,0))</f>
        <v>0</v>
      </c>
      <c r="V592">
        <f>INDEX(ReachStudentTargets,MATCH(B592,KidIDs,0))</f>
        <v>0</v>
      </c>
      <c r="W592">
        <f>IF(OR(M592="Posse"),1,0)</f>
        <v>0</v>
      </c>
      <c r="X592">
        <f>IF(ISNUMBER(INDEX(AllCollegeGR, MATCH(N592,AllCollegeNCES,0))),ROUND(INDEX(AllCollegeGR, MATCH(N592,AllCollegeNCES,0))+W592*IF(INDEX(AllCollegeGR, MATCH(N592,AllCollegeNCES,0))&gt;0.7,(1-INDEX(AllCollegeGR, MATCH(N592,AllCollegeNCES,0)))/2,0.15),2),INDEX(AllCollegeGR, MATCH(N592,AllCollegeNCES,0)))</f>
        <v>0</v>
      </c>
      <c r="Y592">
        <f>IF(ISNUMBER(INDEX(AllCollegeAAHGR, MATCH(N592,AllCollegeNCES,0))),ROUND(INDEX(AllCollegeAAHGR, MATCH(N592,AllCollegeNCES,0))+W592*IF(INDEX(AllCollegeAAHGR, MATCH(N592,AllCollegeNCES,0))&gt;0.7,(1-INDEX(AllCollegeAAHGR, MATCH(N592,AllCollegeNCES,0)))/2,0.15),2),INDEX(AllCollegeAAHGR, MATCH(N592,AllCollegeNCES,0)))</f>
        <v>0</v>
      </c>
      <c r="Z592">
        <f>IF(OR(T592="H",T592="B"),INDEX(AllCollegeACT25, MATCH(N592,AllCollegeNCES,0)),INDEX(AllCollegeACT50, MATCH(N592,AllCollegeNCES,0)))</f>
        <v>0</v>
      </c>
      <c r="AA592">
        <f>INDEX(CustomWeightsGPA,MATCH(T592&amp;":"&amp;N592,CustomWeightsIndex,0))</f>
        <v>0</v>
      </c>
      <c r="AB592">
        <f>INDEX(CustomWeightsACT,MATCH(T592&amp;":"&amp;N592,CustomWeightsIndex,0))</f>
        <v>0</v>
      </c>
      <c r="AC592">
        <f>INDEX(CustomWeightsIntercept,MATCH(T592&amp;":"&amp;N592,CustomWeightsIndex,0))</f>
        <v>0</v>
      </c>
      <c r="AD592">
        <f>AA592*P592+AB592*Q592+AC592</f>
        <v>0</v>
      </c>
      <c r="AE592">
        <f>INDEX(CoefficientsGPA,MATCH(T592&amp;":"&amp;O592,CoefficientsIndex,0))</f>
        <v>0</v>
      </c>
      <c r="AF592">
        <f>INDEX(CoefficientsACT,MATCH(T592&amp;":"&amp;O592,CoefficientsIndex,0))</f>
        <v>0</v>
      </c>
      <c r="AG592">
        <f>INDEX(CoefficientsIntercept,MATCH(T592&amp;":"&amp;O592,CoefficientsIndex,0))</f>
        <v>0</v>
      </c>
      <c r="AH592">
        <f>AE592*P592+(Q592-Z592)*AF592+AG592</f>
        <v>0</v>
      </c>
      <c r="AI592">
        <f>IF(ISNUMBER(AD592),AD592,AH592)</f>
        <v>0</v>
      </c>
      <c r="AJ592">
        <f>IF(ISNUMBER(AI592),IF(ISNUMBER(AE592),IF(AND(AE592=1,AF592=1,AG592=1),100,ROUND(100*EXP(AI592)/(1+EXP(AI592)),2)),ROUND(100*EXP(AI592)/(1+EXP(AI592)),2)),IF(ISTEXT(O592),IF(LEFT(O592,1)="2",100,"N/A"),"N/A"))</f>
        <v>0</v>
      </c>
      <c r="AK592">
        <f>IF(ISNUMBER(AJ592),IF(AJ592&gt;=99,IF(OR(R592=10,R592=11),MatchLabel,SureThingLabel),IF(AJ592&gt;=95,SecureLabel,IF(AJ592&gt;=80,SafetyLabel,IF(AJ592&gt;=50,MatchLabel,IF(AJ592&gt;=20,ReachLabel,IF(AJ592&gt;=10,LongshotLabel,HailMaryLabel)))))),"Other")</f>
        <v>0</v>
      </c>
      <c r="AL592">
        <f>IF(OR(I592="accepted",I592="cond. accept",I592="summer admit"),IF(J592="yes","CHOICE!","Accepted!"),IF(I592="denied","Denied",IF(K592=1,"Waitlist",IF(L592=1,"Deferred",IF(G592="pending","Pending",IF(OR(G592="initial materials submitted",G592="mid-year submitted",G592="final submitted"),"Submitted",IF(H592="interest","Interest","?")))))))</f>
        <v>0</v>
      </c>
      <c r="AM592">
        <f>IF(OR(AK592=ReachLabel,AK592=LongshotLabel,AK592=HailMaryLabel),1,0)</f>
        <v>0</v>
      </c>
      <c r="AN592">
        <f>IF(OR(AM592=1,AK592=MatchLabel),1,0)</f>
        <v>0</v>
      </c>
      <c r="AO592">
        <f>IF(OR(AK592=MatchLabel,AK592=SafetyLabel,AK592=SecureLabel,AK592=SureThingLabel),1,0)</f>
        <v>0</v>
      </c>
      <c r="AP592">
        <f>IF(OR(T592="H",T592="B"),IF(ISNUMBER(Y592),ROUND(Y592,2),0),IF(ISNUMBER(X592),ROUND(X592,2),0))</f>
        <v>0</v>
      </c>
      <c r="AQ592">
        <f>IF(AP592&gt;=U592,1,0)</f>
        <v>0</v>
      </c>
      <c r="AR592">
        <f>IF(AP592&gt;=V592,1,0)</f>
        <v>0</v>
      </c>
      <c r="AS592">
        <f>IF(AP592&lt;(U592-0.10),1,0)</f>
        <v>0</v>
      </c>
      <c r="AT592">
        <f>1-AJ592/100</f>
        <v>0</v>
      </c>
      <c r="AU592">
        <f>IF(AN592=1,AT592,1)</f>
        <v>0</v>
      </c>
      <c r="AV592">
        <f>IF(AM592=1,AT592,1)</f>
        <v>0</v>
      </c>
      <c r="AW592">
        <f>IF(AND(AQ592=1,ISNUMBER(AT592)),$AT592,1)</f>
        <v>0</v>
      </c>
      <c r="AX592">
        <f>IF(AND(AR592=1,ISNUMBER(AT592)),$AT592,1)</f>
        <v>0</v>
      </c>
      <c r="AY592">
        <f>IF(ISNUMBER(Y592),INDEX(AllCollegeMoney, MATCH(N592,AllCollegeNCES,0)),0)</f>
        <v>0</v>
      </c>
      <c r="AZ592">
        <f>IF(AND(AQ592=1,ISNUMBER(AT592),AY592=1),$AT592,1)</f>
        <v>0</v>
      </c>
      <c r="BA592">
        <f>IF(AND(AR592=1,ISNUMBER(AT592),AY592=1),$AT592,1)</f>
        <v>0</v>
      </c>
      <c r="BB592">
        <f>IF(ISNUMBER(Y592),INDEX(AllCollegeILPub, MATCH(N592,AllCollegeNCES,0)),0)</f>
        <v>0</v>
      </c>
      <c r="BC592">
        <f>IF(AK592=ReachLabel,AP592,0)</f>
        <v>0</v>
      </c>
      <c r="BD592">
        <f>IF(AK592=MatchLabel,AP592,0)</f>
        <v>0</v>
      </c>
      <c r="BE592">
        <f>IF(AK592=SafetyLabel,AP592,0)</f>
        <v>0</v>
      </c>
      <c r="BF592">
        <f>IF(AK592=SecureLabel,AP592,0)</f>
        <v>0</v>
      </c>
      <c r="BG592">
        <f>IF(AK592=SureThingLabel,AP592,0)</f>
        <v>0</v>
      </c>
      <c r="BH592">
        <f>MAX(BC592:BG592)</f>
        <v>0</v>
      </c>
      <c r="BI592">
        <f>MAX(BD592:BG592)</f>
        <v>0</v>
      </c>
      <c r="BJ592">
        <f>MAX(BE592:BG592)</f>
        <v>0</v>
      </c>
      <c r="BK592">
        <f>IF(AND(AK592=ReachLabel,AY592=1),AP592,0)</f>
        <v>0</v>
      </c>
      <c r="BL592">
        <f>IF(AND(AK592=MatchLabel,AY592=1),AP592,0)</f>
        <v>0</v>
      </c>
      <c r="BM592">
        <f>IF(AND(AK592=SafetyLabel,AY592=1),AP592,0)</f>
        <v>0</v>
      </c>
      <c r="BN592">
        <f>IF(AND(AK592=SecureLabel,AY592=1),AP592,0)</f>
        <v>0</v>
      </c>
      <c r="BO592">
        <f>IF(AND(AK592=SureThingLabel,AY592=1),AP592,0)</f>
        <v>0</v>
      </c>
      <c r="BP592">
        <f>MAX(BK592:BO592)</f>
        <v>0</v>
      </c>
      <c r="BQ592">
        <f>MAX(BL592:BO592)</f>
        <v>0</v>
      </c>
      <c r="BR592">
        <f>MAX(BM592:BO592)</f>
        <v>0</v>
      </c>
      <c r="BS592">
        <f>IF(ISNUMBER(Y592),INDEX(AllCollegeChicago, MATCH(N592,AllCollegeNCES,0))*AY592,0)</f>
        <v>0</v>
      </c>
      <c r="BT592">
        <f>IF(ISNUMBER(Y592),INDEX(AllCollegeMoneyCode, MATCH(N592,AllCollegeNCES,0)),"?")</f>
        <v>0</v>
      </c>
      <c r="BU592">
        <f>IF(OR(BT592="---",BT592="--",BT592="+/--",BT592="+/---"),1,0)</f>
        <v>0</v>
      </c>
      <c r="BV592">
        <f>AY592*AO592*AQ592</f>
        <v>0</v>
      </c>
    </row>
    <row r="593" spans="1:74">
      <c r="A593" t="s">
        <v>86</v>
      </c>
      <c r="B593">
        <v>23759127</v>
      </c>
      <c r="C593" t="s">
        <v>160</v>
      </c>
      <c r="D593" t="s">
        <v>161</v>
      </c>
      <c r="E593" t="s">
        <v>428</v>
      </c>
      <c r="F593" t="s">
        <v>470</v>
      </c>
      <c r="G593" t="s">
        <v>430</v>
      </c>
      <c r="H593" t="s">
        <v>431</v>
      </c>
      <c r="I593" t="s">
        <v>432</v>
      </c>
      <c r="J593" t="s">
        <v>432</v>
      </c>
      <c r="K593">
        <v>0</v>
      </c>
      <c r="L593" t="s">
        <v>428</v>
      </c>
      <c r="M593" t="s">
        <v>428</v>
      </c>
      <c r="N593">
        <v>206589</v>
      </c>
      <c r="O593">
        <f>INDEX(AllCollegeBarrons,MATCH(N593,AllCollegeNCES,0))</f>
        <v>0</v>
      </c>
      <c r="P593">
        <f>INDEX(KidGPAs,MATCH(B593,KidIDs,0))</f>
        <v>0</v>
      </c>
      <c r="Q593">
        <f>INDEX(KidACTs,MATCH(B593,KidIDs,0))</f>
        <v>0</v>
      </c>
      <c r="R593">
        <f>INDEX(Strats,MATCH(B593,KidIDs,0))</f>
        <v>0</v>
      </c>
      <c r="S593">
        <f>INDEX(KidRace,MATCH(B593,KidIDs,0))</f>
        <v>0</v>
      </c>
      <c r="T593">
        <f>IF(OR(S593="M",S593="I"),"H",S593)</f>
        <v>0</v>
      </c>
      <c r="U593">
        <f>INDEX(StudentTargets,MATCH(B593,KidIDs,0))</f>
        <v>0</v>
      </c>
      <c r="V593">
        <f>INDEX(ReachStudentTargets,MATCH(B593,KidIDs,0))</f>
        <v>0</v>
      </c>
      <c r="W593">
        <f>IF(OR(M593="Posse"),1,0)</f>
        <v>0</v>
      </c>
      <c r="X593">
        <f>IF(ISNUMBER(INDEX(AllCollegeGR, MATCH(N593,AllCollegeNCES,0))),ROUND(INDEX(AllCollegeGR, MATCH(N593,AllCollegeNCES,0))+W593*IF(INDEX(AllCollegeGR, MATCH(N593,AllCollegeNCES,0))&gt;0.7,(1-INDEX(AllCollegeGR, MATCH(N593,AllCollegeNCES,0)))/2,0.15),2),INDEX(AllCollegeGR, MATCH(N593,AllCollegeNCES,0)))</f>
        <v>0</v>
      </c>
      <c r="Y593">
        <f>IF(ISNUMBER(INDEX(AllCollegeAAHGR, MATCH(N593,AllCollegeNCES,0))),ROUND(INDEX(AllCollegeAAHGR, MATCH(N593,AllCollegeNCES,0))+W593*IF(INDEX(AllCollegeAAHGR, MATCH(N593,AllCollegeNCES,0))&gt;0.7,(1-INDEX(AllCollegeAAHGR, MATCH(N593,AllCollegeNCES,0)))/2,0.15),2),INDEX(AllCollegeAAHGR, MATCH(N593,AllCollegeNCES,0)))</f>
        <v>0</v>
      </c>
      <c r="Z593">
        <f>IF(OR(T593="H",T593="B"),INDEX(AllCollegeACT25, MATCH(N593,AllCollegeNCES,0)),INDEX(AllCollegeACT50, MATCH(N593,AllCollegeNCES,0)))</f>
        <v>0</v>
      </c>
      <c r="AA593">
        <f>INDEX(CustomWeightsGPA,MATCH(T593&amp;":"&amp;N593,CustomWeightsIndex,0))</f>
        <v>0</v>
      </c>
      <c r="AB593">
        <f>INDEX(CustomWeightsACT,MATCH(T593&amp;":"&amp;N593,CustomWeightsIndex,0))</f>
        <v>0</v>
      </c>
      <c r="AC593">
        <f>INDEX(CustomWeightsIntercept,MATCH(T593&amp;":"&amp;N593,CustomWeightsIndex,0))</f>
        <v>0</v>
      </c>
      <c r="AD593">
        <f>AA593*P593+AB593*Q593+AC593</f>
        <v>0</v>
      </c>
      <c r="AE593">
        <f>INDEX(CoefficientsGPA,MATCH(T593&amp;":"&amp;O593,CoefficientsIndex,0))</f>
        <v>0</v>
      </c>
      <c r="AF593">
        <f>INDEX(CoefficientsACT,MATCH(T593&amp;":"&amp;O593,CoefficientsIndex,0))</f>
        <v>0</v>
      </c>
      <c r="AG593">
        <f>INDEX(CoefficientsIntercept,MATCH(T593&amp;":"&amp;O593,CoefficientsIndex,0))</f>
        <v>0</v>
      </c>
      <c r="AH593">
        <f>AE593*P593+(Q593-Z593)*AF593+AG593</f>
        <v>0</v>
      </c>
      <c r="AI593">
        <f>IF(ISNUMBER(AD593),AD593,AH593)</f>
        <v>0</v>
      </c>
      <c r="AJ593">
        <f>IF(ISNUMBER(AI593),IF(ISNUMBER(AE593),IF(AND(AE593=1,AF593=1,AG593=1),100,ROUND(100*EXP(AI593)/(1+EXP(AI593)),2)),ROUND(100*EXP(AI593)/(1+EXP(AI593)),2)),IF(ISTEXT(O593),IF(LEFT(O593,1)="2",100,"N/A"),"N/A"))</f>
        <v>0</v>
      </c>
      <c r="AK593">
        <f>IF(ISNUMBER(AJ593),IF(AJ593&gt;=99,IF(OR(R593=10,R593=11),MatchLabel,SureThingLabel),IF(AJ593&gt;=95,SecureLabel,IF(AJ593&gt;=80,SafetyLabel,IF(AJ593&gt;=50,MatchLabel,IF(AJ593&gt;=20,ReachLabel,IF(AJ593&gt;=10,LongshotLabel,HailMaryLabel)))))),"Other")</f>
        <v>0</v>
      </c>
      <c r="AL593">
        <f>IF(OR(I593="accepted",I593="cond. accept",I593="summer admit"),IF(J593="yes","CHOICE!","Accepted!"),IF(I593="denied","Denied",IF(K593=1,"Waitlist",IF(L593=1,"Deferred",IF(G593="pending","Pending",IF(OR(G593="initial materials submitted",G593="mid-year submitted",G593="final submitted"),"Submitted",IF(H593="interest","Interest","?")))))))</f>
        <v>0</v>
      </c>
      <c r="AM593">
        <f>IF(OR(AK593=ReachLabel,AK593=LongshotLabel,AK593=HailMaryLabel),1,0)</f>
        <v>0</v>
      </c>
      <c r="AN593">
        <f>IF(OR(AM593=1,AK593=MatchLabel),1,0)</f>
        <v>0</v>
      </c>
      <c r="AO593">
        <f>IF(OR(AK593=MatchLabel,AK593=SafetyLabel,AK593=SecureLabel,AK593=SureThingLabel),1,0)</f>
        <v>0</v>
      </c>
      <c r="AP593">
        <f>IF(OR(T593="H",T593="B"),IF(ISNUMBER(Y593),ROUND(Y593,2),0),IF(ISNUMBER(X593),ROUND(X593,2),0))</f>
        <v>0</v>
      </c>
      <c r="AQ593">
        <f>IF(AP593&gt;=U593,1,0)</f>
        <v>0</v>
      </c>
      <c r="AR593">
        <f>IF(AP593&gt;=V593,1,0)</f>
        <v>0</v>
      </c>
      <c r="AS593">
        <f>IF(AP593&lt;(U593-0.10),1,0)</f>
        <v>0</v>
      </c>
      <c r="AT593">
        <f>1-AJ593/100</f>
        <v>0</v>
      </c>
      <c r="AU593">
        <f>IF(AN593=1,AT593,1)</f>
        <v>0</v>
      </c>
      <c r="AV593">
        <f>IF(AM593=1,AT593,1)</f>
        <v>0</v>
      </c>
      <c r="AW593">
        <f>IF(AND(AQ593=1,ISNUMBER(AT593)),$AT593,1)</f>
        <v>0</v>
      </c>
      <c r="AX593">
        <f>IF(AND(AR593=1,ISNUMBER(AT593)),$AT593,1)</f>
        <v>0</v>
      </c>
      <c r="AY593">
        <f>IF(ISNUMBER(Y593),INDEX(AllCollegeMoney, MATCH(N593,AllCollegeNCES,0)),0)</f>
        <v>0</v>
      </c>
      <c r="AZ593">
        <f>IF(AND(AQ593=1,ISNUMBER(AT593),AY593=1),$AT593,1)</f>
        <v>0</v>
      </c>
      <c r="BA593">
        <f>IF(AND(AR593=1,ISNUMBER(AT593),AY593=1),$AT593,1)</f>
        <v>0</v>
      </c>
      <c r="BB593">
        <f>IF(ISNUMBER(Y593),INDEX(AllCollegeILPub, MATCH(N593,AllCollegeNCES,0)),0)</f>
        <v>0</v>
      </c>
      <c r="BC593">
        <f>IF(AK593=ReachLabel,AP593,0)</f>
        <v>0</v>
      </c>
      <c r="BD593">
        <f>IF(AK593=MatchLabel,AP593,0)</f>
        <v>0</v>
      </c>
      <c r="BE593">
        <f>IF(AK593=SafetyLabel,AP593,0)</f>
        <v>0</v>
      </c>
      <c r="BF593">
        <f>IF(AK593=SecureLabel,AP593,0)</f>
        <v>0</v>
      </c>
      <c r="BG593">
        <f>IF(AK593=SureThingLabel,AP593,0)</f>
        <v>0</v>
      </c>
      <c r="BH593">
        <f>MAX(BC593:BG593)</f>
        <v>0</v>
      </c>
      <c r="BI593">
        <f>MAX(BD593:BG593)</f>
        <v>0</v>
      </c>
      <c r="BJ593">
        <f>MAX(BE593:BG593)</f>
        <v>0</v>
      </c>
      <c r="BK593">
        <f>IF(AND(AK593=ReachLabel,AY593=1),AP593,0)</f>
        <v>0</v>
      </c>
      <c r="BL593">
        <f>IF(AND(AK593=MatchLabel,AY593=1),AP593,0)</f>
        <v>0</v>
      </c>
      <c r="BM593">
        <f>IF(AND(AK593=SafetyLabel,AY593=1),AP593,0)</f>
        <v>0</v>
      </c>
      <c r="BN593">
        <f>IF(AND(AK593=SecureLabel,AY593=1),AP593,0)</f>
        <v>0</v>
      </c>
      <c r="BO593">
        <f>IF(AND(AK593=SureThingLabel,AY593=1),AP593,0)</f>
        <v>0</v>
      </c>
      <c r="BP593">
        <f>MAX(BK593:BO593)</f>
        <v>0</v>
      </c>
      <c r="BQ593">
        <f>MAX(BL593:BO593)</f>
        <v>0</v>
      </c>
      <c r="BR593">
        <f>MAX(BM593:BO593)</f>
        <v>0</v>
      </c>
      <c r="BS593">
        <f>IF(ISNUMBER(Y593),INDEX(AllCollegeChicago, MATCH(N593,AllCollegeNCES,0))*AY593,0)</f>
        <v>0</v>
      </c>
      <c r="BT593">
        <f>IF(ISNUMBER(Y593),INDEX(AllCollegeMoneyCode, MATCH(N593,AllCollegeNCES,0)),"?")</f>
        <v>0</v>
      </c>
      <c r="BU593">
        <f>IF(OR(BT593="---",BT593="--",BT593="+/--",BT593="+/---"),1,0)</f>
        <v>0</v>
      </c>
      <c r="BV593">
        <f>AY593*AO593*AQ593</f>
        <v>0</v>
      </c>
    </row>
    <row r="594" spans="1:74">
      <c r="A594" t="s">
        <v>86</v>
      </c>
      <c r="B594">
        <v>23759127</v>
      </c>
      <c r="C594" t="s">
        <v>160</v>
      </c>
      <c r="D594" t="s">
        <v>161</v>
      </c>
      <c r="E594" t="s">
        <v>428</v>
      </c>
      <c r="F594" t="s">
        <v>484</v>
      </c>
      <c r="G594" t="s">
        <v>430</v>
      </c>
      <c r="H594" t="s">
        <v>431</v>
      </c>
      <c r="I594" t="s">
        <v>432</v>
      </c>
      <c r="J594" t="s">
        <v>432</v>
      </c>
      <c r="K594">
        <v>0</v>
      </c>
      <c r="L594" t="s">
        <v>428</v>
      </c>
      <c r="M594" t="s">
        <v>428</v>
      </c>
      <c r="N594">
        <v>144740</v>
      </c>
      <c r="O594">
        <f>INDEX(AllCollegeBarrons,MATCH(N594,AllCollegeNCES,0))</f>
        <v>0</v>
      </c>
      <c r="P594">
        <f>INDEX(KidGPAs,MATCH(B594,KidIDs,0))</f>
        <v>0</v>
      </c>
      <c r="Q594">
        <f>INDEX(KidACTs,MATCH(B594,KidIDs,0))</f>
        <v>0</v>
      </c>
      <c r="R594">
        <f>INDEX(Strats,MATCH(B594,KidIDs,0))</f>
        <v>0</v>
      </c>
      <c r="S594">
        <f>INDEX(KidRace,MATCH(B594,KidIDs,0))</f>
        <v>0</v>
      </c>
      <c r="T594">
        <f>IF(OR(S594="M",S594="I"),"H",S594)</f>
        <v>0</v>
      </c>
      <c r="U594">
        <f>INDEX(StudentTargets,MATCH(B594,KidIDs,0))</f>
        <v>0</v>
      </c>
      <c r="V594">
        <f>INDEX(ReachStudentTargets,MATCH(B594,KidIDs,0))</f>
        <v>0</v>
      </c>
      <c r="W594">
        <f>IF(OR(M594="Posse"),1,0)</f>
        <v>0</v>
      </c>
      <c r="X594">
        <f>IF(ISNUMBER(INDEX(AllCollegeGR, MATCH(N594,AllCollegeNCES,0))),ROUND(INDEX(AllCollegeGR, MATCH(N594,AllCollegeNCES,0))+W594*IF(INDEX(AllCollegeGR, MATCH(N594,AllCollegeNCES,0))&gt;0.7,(1-INDEX(AllCollegeGR, MATCH(N594,AllCollegeNCES,0)))/2,0.15),2),INDEX(AllCollegeGR, MATCH(N594,AllCollegeNCES,0)))</f>
        <v>0</v>
      </c>
      <c r="Y594">
        <f>IF(ISNUMBER(INDEX(AllCollegeAAHGR, MATCH(N594,AllCollegeNCES,0))),ROUND(INDEX(AllCollegeAAHGR, MATCH(N594,AllCollegeNCES,0))+W594*IF(INDEX(AllCollegeAAHGR, MATCH(N594,AllCollegeNCES,0))&gt;0.7,(1-INDEX(AllCollegeAAHGR, MATCH(N594,AllCollegeNCES,0)))/2,0.15),2),INDEX(AllCollegeAAHGR, MATCH(N594,AllCollegeNCES,0)))</f>
        <v>0</v>
      </c>
      <c r="Z594">
        <f>IF(OR(T594="H",T594="B"),INDEX(AllCollegeACT25, MATCH(N594,AllCollegeNCES,0)),INDEX(AllCollegeACT50, MATCH(N594,AllCollegeNCES,0)))</f>
        <v>0</v>
      </c>
      <c r="AA594">
        <f>INDEX(CustomWeightsGPA,MATCH(T594&amp;":"&amp;N594,CustomWeightsIndex,0))</f>
        <v>0</v>
      </c>
      <c r="AB594">
        <f>INDEX(CustomWeightsACT,MATCH(T594&amp;":"&amp;N594,CustomWeightsIndex,0))</f>
        <v>0</v>
      </c>
      <c r="AC594">
        <f>INDEX(CustomWeightsIntercept,MATCH(T594&amp;":"&amp;N594,CustomWeightsIndex,0))</f>
        <v>0</v>
      </c>
      <c r="AD594">
        <f>AA594*P594+AB594*Q594+AC594</f>
        <v>0</v>
      </c>
      <c r="AE594">
        <f>INDEX(CoefficientsGPA,MATCH(T594&amp;":"&amp;O594,CoefficientsIndex,0))</f>
        <v>0</v>
      </c>
      <c r="AF594">
        <f>INDEX(CoefficientsACT,MATCH(T594&amp;":"&amp;O594,CoefficientsIndex,0))</f>
        <v>0</v>
      </c>
      <c r="AG594">
        <f>INDEX(CoefficientsIntercept,MATCH(T594&amp;":"&amp;O594,CoefficientsIndex,0))</f>
        <v>0</v>
      </c>
      <c r="AH594">
        <f>AE594*P594+(Q594-Z594)*AF594+AG594</f>
        <v>0</v>
      </c>
      <c r="AI594">
        <f>IF(ISNUMBER(AD594),AD594,AH594)</f>
        <v>0</v>
      </c>
      <c r="AJ594">
        <f>IF(ISNUMBER(AI594),IF(ISNUMBER(AE594),IF(AND(AE594=1,AF594=1,AG594=1),100,ROUND(100*EXP(AI594)/(1+EXP(AI594)),2)),ROUND(100*EXP(AI594)/(1+EXP(AI594)),2)),IF(ISTEXT(O594),IF(LEFT(O594,1)="2",100,"N/A"),"N/A"))</f>
        <v>0</v>
      </c>
      <c r="AK594">
        <f>IF(ISNUMBER(AJ594),IF(AJ594&gt;=99,IF(OR(R594=10,R594=11),MatchLabel,SureThingLabel),IF(AJ594&gt;=95,SecureLabel,IF(AJ594&gt;=80,SafetyLabel,IF(AJ594&gt;=50,MatchLabel,IF(AJ594&gt;=20,ReachLabel,IF(AJ594&gt;=10,LongshotLabel,HailMaryLabel)))))),"Other")</f>
        <v>0</v>
      </c>
      <c r="AL594">
        <f>IF(OR(I594="accepted",I594="cond. accept",I594="summer admit"),IF(J594="yes","CHOICE!","Accepted!"),IF(I594="denied","Denied",IF(K594=1,"Waitlist",IF(L594=1,"Deferred",IF(G594="pending","Pending",IF(OR(G594="initial materials submitted",G594="mid-year submitted",G594="final submitted"),"Submitted",IF(H594="interest","Interest","?")))))))</f>
        <v>0</v>
      </c>
      <c r="AM594">
        <f>IF(OR(AK594=ReachLabel,AK594=LongshotLabel,AK594=HailMaryLabel),1,0)</f>
        <v>0</v>
      </c>
      <c r="AN594">
        <f>IF(OR(AM594=1,AK594=MatchLabel),1,0)</f>
        <v>0</v>
      </c>
      <c r="AO594">
        <f>IF(OR(AK594=MatchLabel,AK594=SafetyLabel,AK594=SecureLabel,AK594=SureThingLabel),1,0)</f>
        <v>0</v>
      </c>
      <c r="AP594">
        <f>IF(OR(T594="H",T594="B"),IF(ISNUMBER(Y594),ROUND(Y594,2),0),IF(ISNUMBER(X594),ROUND(X594,2),0))</f>
        <v>0</v>
      </c>
      <c r="AQ594">
        <f>IF(AP594&gt;=U594,1,0)</f>
        <v>0</v>
      </c>
      <c r="AR594">
        <f>IF(AP594&gt;=V594,1,0)</f>
        <v>0</v>
      </c>
      <c r="AS594">
        <f>IF(AP594&lt;(U594-0.10),1,0)</f>
        <v>0</v>
      </c>
      <c r="AT594">
        <f>1-AJ594/100</f>
        <v>0</v>
      </c>
      <c r="AU594">
        <f>IF(AN594=1,AT594,1)</f>
        <v>0</v>
      </c>
      <c r="AV594">
        <f>IF(AM594=1,AT594,1)</f>
        <v>0</v>
      </c>
      <c r="AW594">
        <f>IF(AND(AQ594=1,ISNUMBER(AT594)),$AT594,1)</f>
        <v>0</v>
      </c>
      <c r="AX594">
        <f>IF(AND(AR594=1,ISNUMBER(AT594)),$AT594,1)</f>
        <v>0</v>
      </c>
      <c r="AY594">
        <f>IF(ISNUMBER(Y594),INDEX(AllCollegeMoney, MATCH(N594,AllCollegeNCES,0)),0)</f>
        <v>0</v>
      </c>
      <c r="AZ594">
        <f>IF(AND(AQ594=1,ISNUMBER(AT594),AY594=1),$AT594,1)</f>
        <v>0</v>
      </c>
      <c r="BA594">
        <f>IF(AND(AR594=1,ISNUMBER(AT594),AY594=1),$AT594,1)</f>
        <v>0</v>
      </c>
      <c r="BB594">
        <f>IF(ISNUMBER(Y594),INDEX(AllCollegeILPub, MATCH(N594,AllCollegeNCES,0)),0)</f>
        <v>0</v>
      </c>
      <c r="BC594">
        <f>IF(AK594=ReachLabel,AP594,0)</f>
        <v>0</v>
      </c>
      <c r="BD594">
        <f>IF(AK594=MatchLabel,AP594,0)</f>
        <v>0</v>
      </c>
      <c r="BE594">
        <f>IF(AK594=SafetyLabel,AP594,0)</f>
        <v>0</v>
      </c>
      <c r="BF594">
        <f>IF(AK594=SecureLabel,AP594,0)</f>
        <v>0</v>
      </c>
      <c r="BG594">
        <f>IF(AK594=SureThingLabel,AP594,0)</f>
        <v>0</v>
      </c>
      <c r="BH594">
        <f>MAX(BC594:BG594)</f>
        <v>0</v>
      </c>
      <c r="BI594">
        <f>MAX(BD594:BG594)</f>
        <v>0</v>
      </c>
      <c r="BJ594">
        <f>MAX(BE594:BG594)</f>
        <v>0</v>
      </c>
      <c r="BK594">
        <f>IF(AND(AK594=ReachLabel,AY594=1),AP594,0)</f>
        <v>0</v>
      </c>
      <c r="BL594">
        <f>IF(AND(AK594=MatchLabel,AY594=1),AP594,0)</f>
        <v>0</v>
      </c>
      <c r="BM594">
        <f>IF(AND(AK594=SafetyLabel,AY594=1),AP594,0)</f>
        <v>0</v>
      </c>
      <c r="BN594">
        <f>IF(AND(AK594=SecureLabel,AY594=1),AP594,0)</f>
        <v>0</v>
      </c>
      <c r="BO594">
        <f>IF(AND(AK594=SureThingLabel,AY594=1),AP594,0)</f>
        <v>0</v>
      </c>
      <c r="BP594">
        <f>MAX(BK594:BO594)</f>
        <v>0</v>
      </c>
      <c r="BQ594">
        <f>MAX(BL594:BO594)</f>
        <v>0</v>
      </c>
      <c r="BR594">
        <f>MAX(BM594:BO594)</f>
        <v>0</v>
      </c>
      <c r="BS594">
        <f>IF(ISNUMBER(Y594),INDEX(AllCollegeChicago, MATCH(N594,AllCollegeNCES,0))*AY594,0)</f>
        <v>0</v>
      </c>
      <c r="BT594">
        <f>IF(ISNUMBER(Y594),INDEX(AllCollegeMoneyCode, MATCH(N594,AllCollegeNCES,0)),"?")</f>
        <v>0</v>
      </c>
      <c r="BU594">
        <f>IF(OR(BT594="---",BT594="--",BT594="+/--",BT594="+/---"),1,0)</f>
        <v>0</v>
      </c>
      <c r="BV594">
        <f>AY594*AO594*AQ594</f>
        <v>0</v>
      </c>
    </row>
    <row r="595" spans="1:74">
      <c r="A595" t="s">
        <v>86</v>
      </c>
      <c r="B595">
        <v>23759127</v>
      </c>
      <c r="C595" t="s">
        <v>160</v>
      </c>
      <c r="D595" t="s">
        <v>161</v>
      </c>
      <c r="E595" t="s">
        <v>428</v>
      </c>
      <c r="F595" t="s">
        <v>501</v>
      </c>
      <c r="G595" t="s">
        <v>430</v>
      </c>
      <c r="H595" t="s">
        <v>431</v>
      </c>
      <c r="I595" t="s">
        <v>432</v>
      </c>
      <c r="J595" t="s">
        <v>432</v>
      </c>
      <c r="K595">
        <v>0</v>
      </c>
      <c r="L595" t="s">
        <v>428</v>
      </c>
      <c r="M595" t="s">
        <v>428</v>
      </c>
      <c r="N595">
        <v>145725</v>
      </c>
      <c r="O595">
        <f>INDEX(AllCollegeBarrons,MATCH(N595,AllCollegeNCES,0))</f>
        <v>0</v>
      </c>
      <c r="P595">
        <f>INDEX(KidGPAs,MATCH(B595,KidIDs,0))</f>
        <v>0</v>
      </c>
      <c r="Q595">
        <f>INDEX(KidACTs,MATCH(B595,KidIDs,0))</f>
        <v>0</v>
      </c>
      <c r="R595">
        <f>INDEX(Strats,MATCH(B595,KidIDs,0))</f>
        <v>0</v>
      </c>
      <c r="S595">
        <f>INDEX(KidRace,MATCH(B595,KidIDs,0))</f>
        <v>0</v>
      </c>
      <c r="T595">
        <f>IF(OR(S595="M",S595="I"),"H",S595)</f>
        <v>0</v>
      </c>
      <c r="U595">
        <f>INDEX(StudentTargets,MATCH(B595,KidIDs,0))</f>
        <v>0</v>
      </c>
      <c r="V595">
        <f>INDEX(ReachStudentTargets,MATCH(B595,KidIDs,0))</f>
        <v>0</v>
      </c>
      <c r="W595">
        <f>IF(OR(M595="Posse"),1,0)</f>
        <v>0</v>
      </c>
      <c r="X595">
        <f>IF(ISNUMBER(INDEX(AllCollegeGR, MATCH(N595,AllCollegeNCES,0))),ROUND(INDEX(AllCollegeGR, MATCH(N595,AllCollegeNCES,0))+W595*IF(INDEX(AllCollegeGR, MATCH(N595,AllCollegeNCES,0))&gt;0.7,(1-INDEX(AllCollegeGR, MATCH(N595,AllCollegeNCES,0)))/2,0.15),2),INDEX(AllCollegeGR, MATCH(N595,AllCollegeNCES,0)))</f>
        <v>0</v>
      </c>
      <c r="Y595">
        <f>IF(ISNUMBER(INDEX(AllCollegeAAHGR, MATCH(N595,AllCollegeNCES,0))),ROUND(INDEX(AllCollegeAAHGR, MATCH(N595,AllCollegeNCES,0))+W595*IF(INDEX(AllCollegeAAHGR, MATCH(N595,AllCollegeNCES,0))&gt;0.7,(1-INDEX(AllCollegeAAHGR, MATCH(N595,AllCollegeNCES,0)))/2,0.15),2),INDEX(AllCollegeAAHGR, MATCH(N595,AllCollegeNCES,0)))</f>
        <v>0</v>
      </c>
      <c r="Z595">
        <f>IF(OR(T595="H",T595="B"),INDEX(AllCollegeACT25, MATCH(N595,AllCollegeNCES,0)),INDEX(AllCollegeACT50, MATCH(N595,AllCollegeNCES,0)))</f>
        <v>0</v>
      </c>
      <c r="AA595">
        <f>INDEX(CustomWeightsGPA,MATCH(T595&amp;":"&amp;N595,CustomWeightsIndex,0))</f>
        <v>0</v>
      </c>
      <c r="AB595">
        <f>INDEX(CustomWeightsACT,MATCH(T595&amp;":"&amp;N595,CustomWeightsIndex,0))</f>
        <v>0</v>
      </c>
      <c r="AC595">
        <f>INDEX(CustomWeightsIntercept,MATCH(T595&amp;":"&amp;N595,CustomWeightsIndex,0))</f>
        <v>0</v>
      </c>
      <c r="AD595">
        <f>AA595*P595+AB595*Q595+AC595</f>
        <v>0</v>
      </c>
      <c r="AE595">
        <f>INDEX(CoefficientsGPA,MATCH(T595&amp;":"&amp;O595,CoefficientsIndex,0))</f>
        <v>0</v>
      </c>
      <c r="AF595">
        <f>INDEX(CoefficientsACT,MATCH(T595&amp;":"&amp;O595,CoefficientsIndex,0))</f>
        <v>0</v>
      </c>
      <c r="AG595">
        <f>INDEX(CoefficientsIntercept,MATCH(T595&amp;":"&amp;O595,CoefficientsIndex,0))</f>
        <v>0</v>
      </c>
      <c r="AH595">
        <f>AE595*P595+(Q595-Z595)*AF595+AG595</f>
        <v>0</v>
      </c>
      <c r="AI595">
        <f>IF(ISNUMBER(AD595),AD595,AH595)</f>
        <v>0</v>
      </c>
      <c r="AJ595">
        <f>IF(ISNUMBER(AI595),IF(ISNUMBER(AE595),IF(AND(AE595=1,AF595=1,AG595=1),100,ROUND(100*EXP(AI595)/(1+EXP(AI595)),2)),ROUND(100*EXP(AI595)/(1+EXP(AI595)),2)),IF(ISTEXT(O595),IF(LEFT(O595,1)="2",100,"N/A"),"N/A"))</f>
        <v>0</v>
      </c>
      <c r="AK595">
        <f>IF(ISNUMBER(AJ595),IF(AJ595&gt;=99,IF(OR(R595=10,R595=11),MatchLabel,SureThingLabel),IF(AJ595&gt;=95,SecureLabel,IF(AJ595&gt;=80,SafetyLabel,IF(AJ595&gt;=50,MatchLabel,IF(AJ595&gt;=20,ReachLabel,IF(AJ595&gt;=10,LongshotLabel,HailMaryLabel)))))),"Other")</f>
        <v>0</v>
      </c>
      <c r="AL595">
        <f>IF(OR(I595="accepted",I595="cond. accept",I595="summer admit"),IF(J595="yes","CHOICE!","Accepted!"),IF(I595="denied","Denied",IF(K595=1,"Waitlist",IF(L595=1,"Deferred",IF(G595="pending","Pending",IF(OR(G595="initial materials submitted",G595="mid-year submitted",G595="final submitted"),"Submitted",IF(H595="interest","Interest","?")))))))</f>
        <v>0</v>
      </c>
      <c r="AM595">
        <f>IF(OR(AK595=ReachLabel,AK595=LongshotLabel,AK595=HailMaryLabel),1,0)</f>
        <v>0</v>
      </c>
      <c r="AN595">
        <f>IF(OR(AM595=1,AK595=MatchLabel),1,0)</f>
        <v>0</v>
      </c>
      <c r="AO595">
        <f>IF(OR(AK595=MatchLabel,AK595=SafetyLabel,AK595=SecureLabel,AK595=SureThingLabel),1,0)</f>
        <v>0</v>
      </c>
      <c r="AP595">
        <f>IF(OR(T595="H",T595="B"),IF(ISNUMBER(Y595),ROUND(Y595,2),0),IF(ISNUMBER(X595),ROUND(X595,2),0))</f>
        <v>0</v>
      </c>
      <c r="AQ595">
        <f>IF(AP595&gt;=U595,1,0)</f>
        <v>0</v>
      </c>
      <c r="AR595">
        <f>IF(AP595&gt;=V595,1,0)</f>
        <v>0</v>
      </c>
      <c r="AS595">
        <f>IF(AP595&lt;(U595-0.10),1,0)</f>
        <v>0</v>
      </c>
      <c r="AT595">
        <f>1-AJ595/100</f>
        <v>0</v>
      </c>
      <c r="AU595">
        <f>IF(AN595=1,AT595,1)</f>
        <v>0</v>
      </c>
      <c r="AV595">
        <f>IF(AM595=1,AT595,1)</f>
        <v>0</v>
      </c>
      <c r="AW595">
        <f>IF(AND(AQ595=1,ISNUMBER(AT595)),$AT595,1)</f>
        <v>0</v>
      </c>
      <c r="AX595">
        <f>IF(AND(AR595=1,ISNUMBER(AT595)),$AT595,1)</f>
        <v>0</v>
      </c>
      <c r="AY595">
        <f>IF(ISNUMBER(Y595),INDEX(AllCollegeMoney, MATCH(N595,AllCollegeNCES,0)),0)</f>
        <v>0</v>
      </c>
      <c r="AZ595">
        <f>IF(AND(AQ595=1,ISNUMBER(AT595),AY595=1),$AT595,1)</f>
        <v>0</v>
      </c>
      <c r="BA595">
        <f>IF(AND(AR595=1,ISNUMBER(AT595),AY595=1),$AT595,1)</f>
        <v>0</v>
      </c>
      <c r="BB595">
        <f>IF(ISNUMBER(Y595),INDEX(AllCollegeILPub, MATCH(N595,AllCollegeNCES,0)),0)</f>
        <v>0</v>
      </c>
      <c r="BC595">
        <f>IF(AK595=ReachLabel,AP595,0)</f>
        <v>0</v>
      </c>
      <c r="BD595">
        <f>IF(AK595=MatchLabel,AP595,0)</f>
        <v>0</v>
      </c>
      <c r="BE595">
        <f>IF(AK595=SafetyLabel,AP595,0)</f>
        <v>0</v>
      </c>
      <c r="BF595">
        <f>IF(AK595=SecureLabel,AP595,0)</f>
        <v>0</v>
      </c>
      <c r="BG595">
        <f>IF(AK595=SureThingLabel,AP595,0)</f>
        <v>0</v>
      </c>
      <c r="BH595">
        <f>MAX(BC595:BG595)</f>
        <v>0</v>
      </c>
      <c r="BI595">
        <f>MAX(BD595:BG595)</f>
        <v>0</v>
      </c>
      <c r="BJ595">
        <f>MAX(BE595:BG595)</f>
        <v>0</v>
      </c>
      <c r="BK595">
        <f>IF(AND(AK595=ReachLabel,AY595=1),AP595,0)</f>
        <v>0</v>
      </c>
      <c r="BL595">
        <f>IF(AND(AK595=MatchLabel,AY595=1),AP595,0)</f>
        <v>0</v>
      </c>
      <c r="BM595">
        <f>IF(AND(AK595=SafetyLabel,AY595=1),AP595,0)</f>
        <v>0</v>
      </c>
      <c r="BN595">
        <f>IF(AND(AK595=SecureLabel,AY595=1),AP595,0)</f>
        <v>0</v>
      </c>
      <c r="BO595">
        <f>IF(AND(AK595=SureThingLabel,AY595=1),AP595,0)</f>
        <v>0</v>
      </c>
      <c r="BP595">
        <f>MAX(BK595:BO595)</f>
        <v>0</v>
      </c>
      <c r="BQ595">
        <f>MAX(BL595:BO595)</f>
        <v>0</v>
      </c>
      <c r="BR595">
        <f>MAX(BM595:BO595)</f>
        <v>0</v>
      </c>
      <c r="BS595">
        <f>IF(ISNUMBER(Y595),INDEX(AllCollegeChicago, MATCH(N595,AllCollegeNCES,0))*AY595,0)</f>
        <v>0</v>
      </c>
      <c r="BT595">
        <f>IF(ISNUMBER(Y595),INDEX(AllCollegeMoneyCode, MATCH(N595,AllCollegeNCES,0)),"?")</f>
        <v>0</v>
      </c>
      <c r="BU595">
        <f>IF(OR(BT595="---",BT595="--",BT595="+/--",BT595="+/---"),1,0)</f>
        <v>0</v>
      </c>
      <c r="BV595">
        <f>AY595*AO595*AQ595</f>
        <v>0</v>
      </c>
    </row>
    <row r="596" spans="1:74">
      <c r="A596" t="s">
        <v>86</v>
      </c>
      <c r="B596">
        <v>23759127</v>
      </c>
      <c r="C596" t="s">
        <v>160</v>
      </c>
      <c r="D596" t="s">
        <v>161</v>
      </c>
      <c r="E596" t="s">
        <v>428</v>
      </c>
      <c r="F596" t="s">
        <v>462</v>
      </c>
      <c r="G596" t="s">
        <v>430</v>
      </c>
      <c r="H596" t="s">
        <v>431</v>
      </c>
      <c r="I596" t="s">
        <v>432</v>
      </c>
      <c r="J596" t="s">
        <v>432</v>
      </c>
      <c r="K596">
        <v>0</v>
      </c>
      <c r="L596" t="s">
        <v>428</v>
      </c>
      <c r="M596" t="s">
        <v>428</v>
      </c>
      <c r="N596">
        <v>168546</v>
      </c>
      <c r="O596">
        <f>INDEX(AllCollegeBarrons,MATCH(N596,AllCollegeNCES,0))</f>
        <v>0</v>
      </c>
      <c r="P596">
        <f>INDEX(KidGPAs,MATCH(B596,KidIDs,0))</f>
        <v>0</v>
      </c>
      <c r="Q596">
        <f>INDEX(KidACTs,MATCH(B596,KidIDs,0))</f>
        <v>0</v>
      </c>
      <c r="R596">
        <f>INDEX(Strats,MATCH(B596,KidIDs,0))</f>
        <v>0</v>
      </c>
      <c r="S596">
        <f>INDEX(KidRace,MATCH(B596,KidIDs,0))</f>
        <v>0</v>
      </c>
      <c r="T596">
        <f>IF(OR(S596="M",S596="I"),"H",S596)</f>
        <v>0</v>
      </c>
      <c r="U596">
        <f>INDEX(StudentTargets,MATCH(B596,KidIDs,0))</f>
        <v>0</v>
      </c>
      <c r="V596">
        <f>INDEX(ReachStudentTargets,MATCH(B596,KidIDs,0))</f>
        <v>0</v>
      </c>
      <c r="W596">
        <f>IF(OR(M596="Posse"),1,0)</f>
        <v>0</v>
      </c>
      <c r="X596">
        <f>IF(ISNUMBER(INDEX(AllCollegeGR, MATCH(N596,AllCollegeNCES,0))),ROUND(INDEX(AllCollegeGR, MATCH(N596,AllCollegeNCES,0))+W596*IF(INDEX(AllCollegeGR, MATCH(N596,AllCollegeNCES,0))&gt;0.7,(1-INDEX(AllCollegeGR, MATCH(N596,AllCollegeNCES,0)))/2,0.15),2),INDEX(AllCollegeGR, MATCH(N596,AllCollegeNCES,0)))</f>
        <v>0</v>
      </c>
      <c r="Y596">
        <f>IF(ISNUMBER(INDEX(AllCollegeAAHGR, MATCH(N596,AllCollegeNCES,0))),ROUND(INDEX(AllCollegeAAHGR, MATCH(N596,AllCollegeNCES,0))+W596*IF(INDEX(AllCollegeAAHGR, MATCH(N596,AllCollegeNCES,0))&gt;0.7,(1-INDEX(AllCollegeAAHGR, MATCH(N596,AllCollegeNCES,0)))/2,0.15),2),INDEX(AllCollegeAAHGR, MATCH(N596,AllCollegeNCES,0)))</f>
        <v>0</v>
      </c>
      <c r="Z596">
        <f>IF(OR(T596="H",T596="B"),INDEX(AllCollegeACT25, MATCH(N596,AllCollegeNCES,0)),INDEX(AllCollegeACT50, MATCH(N596,AllCollegeNCES,0)))</f>
        <v>0</v>
      </c>
      <c r="AA596">
        <f>INDEX(CustomWeightsGPA,MATCH(T596&amp;":"&amp;N596,CustomWeightsIndex,0))</f>
        <v>0</v>
      </c>
      <c r="AB596">
        <f>INDEX(CustomWeightsACT,MATCH(T596&amp;":"&amp;N596,CustomWeightsIndex,0))</f>
        <v>0</v>
      </c>
      <c r="AC596">
        <f>INDEX(CustomWeightsIntercept,MATCH(T596&amp;":"&amp;N596,CustomWeightsIndex,0))</f>
        <v>0</v>
      </c>
      <c r="AD596">
        <f>AA596*P596+AB596*Q596+AC596</f>
        <v>0</v>
      </c>
      <c r="AE596">
        <f>INDEX(CoefficientsGPA,MATCH(T596&amp;":"&amp;O596,CoefficientsIndex,0))</f>
        <v>0</v>
      </c>
      <c r="AF596">
        <f>INDEX(CoefficientsACT,MATCH(T596&amp;":"&amp;O596,CoefficientsIndex,0))</f>
        <v>0</v>
      </c>
      <c r="AG596">
        <f>INDEX(CoefficientsIntercept,MATCH(T596&amp;":"&amp;O596,CoefficientsIndex,0))</f>
        <v>0</v>
      </c>
      <c r="AH596">
        <f>AE596*P596+(Q596-Z596)*AF596+AG596</f>
        <v>0</v>
      </c>
      <c r="AI596">
        <f>IF(ISNUMBER(AD596),AD596,AH596)</f>
        <v>0</v>
      </c>
      <c r="AJ596">
        <f>IF(ISNUMBER(AI596),IF(ISNUMBER(AE596),IF(AND(AE596=1,AF596=1,AG596=1),100,ROUND(100*EXP(AI596)/(1+EXP(AI596)),2)),ROUND(100*EXP(AI596)/(1+EXP(AI596)),2)),IF(ISTEXT(O596),IF(LEFT(O596,1)="2",100,"N/A"),"N/A"))</f>
        <v>0</v>
      </c>
      <c r="AK596">
        <f>IF(ISNUMBER(AJ596),IF(AJ596&gt;=99,IF(OR(R596=10,R596=11),MatchLabel,SureThingLabel),IF(AJ596&gt;=95,SecureLabel,IF(AJ596&gt;=80,SafetyLabel,IF(AJ596&gt;=50,MatchLabel,IF(AJ596&gt;=20,ReachLabel,IF(AJ596&gt;=10,LongshotLabel,HailMaryLabel)))))),"Other")</f>
        <v>0</v>
      </c>
      <c r="AL596">
        <f>IF(OR(I596="accepted",I596="cond. accept",I596="summer admit"),IF(J596="yes","CHOICE!","Accepted!"),IF(I596="denied","Denied",IF(K596=1,"Waitlist",IF(L596=1,"Deferred",IF(G596="pending","Pending",IF(OR(G596="initial materials submitted",G596="mid-year submitted",G596="final submitted"),"Submitted",IF(H596="interest","Interest","?")))))))</f>
        <v>0</v>
      </c>
      <c r="AM596">
        <f>IF(OR(AK596=ReachLabel,AK596=LongshotLabel,AK596=HailMaryLabel),1,0)</f>
        <v>0</v>
      </c>
      <c r="AN596">
        <f>IF(OR(AM596=1,AK596=MatchLabel),1,0)</f>
        <v>0</v>
      </c>
      <c r="AO596">
        <f>IF(OR(AK596=MatchLabel,AK596=SafetyLabel,AK596=SecureLabel,AK596=SureThingLabel),1,0)</f>
        <v>0</v>
      </c>
      <c r="AP596">
        <f>IF(OR(T596="H",T596="B"),IF(ISNUMBER(Y596),ROUND(Y596,2),0),IF(ISNUMBER(X596),ROUND(X596,2),0))</f>
        <v>0</v>
      </c>
      <c r="AQ596">
        <f>IF(AP596&gt;=U596,1,0)</f>
        <v>0</v>
      </c>
      <c r="AR596">
        <f>IF(AP596&gt;=V596,1,0)</f>
        <v>0</v>
      </c>
      <c r="AS596">
        <f>IF(AP596&lt;(U596-0.10),1,0)</f>
        <v>0</v>
      </c>
      <c r="AT596">
        <f>1-AJ596/100</f>
        <v>0</v>
      </c>
      <c r="AU596">
        <f>IF(AN596=1,AT596,1)</f>
        <v>0</v>
      </c>
      <c r="AV596">
        <f>IF(AM596=1,AT596,1)</f>
        <v>0</v>
      </c>
      <c r="AW596">
        <f>IF(AND(AQ596=1,ISNUMBER(AT596)),$AT596,1)</f>
        <v>0</v>
      </c>
      <c r="AX596">
        <f>IF(AND(AR596=1,ISNUMBER(AT596)),$AT596,1)</f>
        <v>0</v>
      </c>
      <c r="AY596">
        <f>IF(ISNUMBER(Y596),INDEX(AllCollegeMoney, MATCH(N596,AllCollegeNCES,0)),0)</f>
        <v>0</v>
      </c>
      <c r="AZ596">
        <f>IF(AND(AQ596=1,ISNUMBER(AT596),AY596=1),$AT596,1)</f>
        <v>0</v>
      </c>
      <c r="BA596">
        <f>IF(AND(AR596=1,ISNUMBER(AT596),AY596=1),$AT596,1)</f>
        <v>0</v>
      </c>
      <c r="BB596">
        <f>IF(ISNUMBER(Y596),INDEX(AllCollegeILPub, MATCH(N596,AllCollegeNCES,0)),0)</f>
        <v>0</v>
      </c>
      <c r="BC596">
        <f>IF(AK596=ReachLabel,AP596,0)</f>
        <v>0</v>
      </c>
      <c r="BD596">
        <f>IF(AK596=MatchLabel,AP596,0)</f>
        <v>0</v>
      </c>
      <c r="BE596">
        <f>IF(AK596=SafetyLabel,AP596,0)</f>
        <v>0</v>
      </c>
      <c r="BF596">
        <f>IF(AK596=SecureLabel,AP596,0)</f>
        <v>0</v>
      </c>
      <c r="BG596">
        <f>IF(AK596=SureThingLabel,AP596,0)</f>
        <v>0</v>
      </c>
      <c r="BH596">
        <f>MAX(BC596:BG596)</f>
        <v>0</v>
      </c>
      <c r="BI596">
        <f>MAX(BD596:BG596)</f>
        <v>0</v>
      </c>
      <c r="BJ596">
        <f>MAX(BE596:BG596)</f>
        <v>0</v>
      </c>
      <c r="BK596">
        <f>IF(AND(AK596=ReachLabel,AY596=1),AP596,0)</f>
        <v>0</v>
      </c>
      <c r="BL596">
        <f>IF(AND(AK596=MatchLabel,AY596=1),AP596,0)</f>
        <v>0</v>
      </c>
      <c r="BM596">
        <f>IF(AND(AK596=SafetyLabel,AY596=1),AP596,0)</f>
        <v>0</v>
      </c>
      <c r="BN596">
        <f>IF(AND(AK596=SecureLabel,AY596=1),AP596,0)</f>
        <v>0</v>
      </c>
      <c r="BO596">
        <f>IF(AND(AK596=SureThingLabel,AY596=1),AP596,0)</f>
        <v>0</v>
      </c>
      <c r="BP596">
        <f>MAX(BK596:BO596)</f>
        <v>0</v>
      </c>
      <c r="BQ596">
        <f>MAX(BL596:BO596)</f>
        <v>0</v>
      </c>
      <c r="BR596">
        <f>MAX(BM596:BO596)</f>
        <v>0</v>
      </c>
      <c r="BS596">
        <f>IF(ISNUMBER(Y596),INDEX(AllCollegeChicago, MATCH(N596,AllCollegeNCES,0))*AY596,0)</f>
        <v>0</v>
      </c>
      <c r="BT596">
        <f>IF(ISNUMBER(Y596),INDEX(AllCollegeMoneyCode, MATCH(N596,AllCollegeNCES,0)),"?")</f>
        <v>0</v>
      </c>
      <c r="BU596">
        <f>IF(OR(BT596="---",BT596="--",BT596="+/--",BT596="+/---"),1,0)</f>
        <v>0</v>
      </c>
      <c r="BV596">
        <f>AY596*AO596*AQ596</f>
        <v>0</v>
      </c>
    </row>
    <row r="597" spans="1:74">
      <c r="A597" t="s">
        <v>86</v>
      </c>
      <c r="B597">
        <v>23759127</v>
      </c>
      <c r="C597" t="s">
        <v>160</v>
      </c>
      <c r="D597" t="s">
        <v>161</v>
      </c>
      <c r="E597" t="s">
        <v>428</v>
      </c>
      <c r="F597" t="s">
        <v>433</v>
      </c>
      <c r="G597" t="s">
        <v>430</v>
      </c>
      <c r="H597" t="s">
        <v>431</v>
      </c>
      <c r="I597" t="s">
        <v>432</v>
      </c>
      <c r="J597" t="s">
        <v>432</v>
      </c>
      <c r="K597">
        <v>0</v>
      </c>
      <c r="L597" t="s">
        <v>428</v>
      </c>
      <c r="M597" t="s">
        <v>428</v>
      </c>
      <c r="N597">
        <v>148496</v>
      </c>
      <c r="O597">
        <f>INDEX(AllCollegeBarrons,MATCH(N597,AllCollegeNCES,0))</f>
        <v>0</v>
      </c>
      <c r="P597">
        <f>INDEX(KidGPAs,MATCH(B597,KidIDs,0))</f>
        <v>0</v>
      </c>
      <c r="Q597">
        <f>INDEX(KidACTs,MATCH(B597,KidIDs,0))</f>
        <v>0</v>
      </c>
      <c r="R597">
        <f>INDEX(Strats,MATCH(B597,KidIDs,0))</f>
        <v>0</v>
      </c>
      <c r="S597">
        <f>INDEX(KidRace,MATCH(B597,KidIDs,0))</f>
        <v>0</v>
      </c>
      <c r="T597">
        <f>IF(OR(S597="M",S597="I"),"H",S597)</f>
        <v>0</v>
      </c>
      <c r="U597">
        <f>INDEX(StudentTargets,MATCH(B597,KidIDs,0))</f>
        <v>0</v>
      </c>
      <c r="V597">
        <f>INDEX(ReachStudentTargets,MATCH(B597,KidIDs,0))</f>
        <v>0</v>
      </c>
      <c r="W597">
        <f>IF(OR(M597="Posse"),1,0)</f>
        <v>0</v>
      </c>
      <c r="X597">
        <f>IF(ISNUMBER(INDEX(AllCollegeGR, MATCH(N597,AllCollegeNCES,0))),ROUND(INDEX(AllCollegeGR, MATCH(N597,AllCollegeNCES,0))+W597*IF(INDEX(AllCollegeGR, MATCH(N597,AllCollegeNCES,0))&gt;0.7,(1-INDEX(AllCollegeGR, MATCH(N597,AllCollegeNCES,0)))/2,0.15),2),INDEX(AllCollegeGR, MATCH(N597,AllCollegeNCES,0)))</f>
        <v>0</v>
      </c>
      <c r="Y597">
        <f>IF(ISNUMBER(INDEX(AllCollegeAAHGR, MATCH(N597,AllCollegeNCES,0))),ROUND(INDEX(AllCollegeAAHGR, MATCH(N597,AllCollegeNCES,0))+W597*IF(INDEX(AllCollegeAAHGR, MATCH(N597,AllCollegeNCES,0))&gt;0.7,(1-INDEX(AllCollegeAAHGR, MATCH(N597,AllCollegeNCES,0)))/2,0.15),2),INDEX(AllCollegeAAHGR, MATCH(N597,AllCollegeNCES,0)))</f>
        <v>0</v>
      </c>
      <c r="Z597">
        <f>IF(OR(T597="H",T597="B"),INDEX(AllCollegeACT25, MATCH(N597,AllCollegeNCES,0)),INDEX(AllCollegeACT50, MATCH(N597,AllCollegeNCES,0)))</f>
        <v>0</v>
      </c>
      <c r="AA597">
        <f>INDEX(CustomWeightsGPA,MATCH(T597&amp;":"&amp;N597,CustomWeightsIndex,0))</f>
        <v>0</v>
      </c>
      <c r="AB597">
        <f>INDEX(CustomWeightsACT,MATCH(T597&amp;":"&amp;N597,CustomWeightsIndex,0))</f>
        <v>0</v>
      </c>
      <c r="AC597">
        <f>INDEX(CustomWeightsIntercept,MATCH(T597&amp;":"&amp;N597,CustomWeightsIndex,0))</f>
        <v>0</v>
      </c>
      <c r="AD597">
        <f>AA597*P597+AB597*Q597+AC597</f>
        <v>0</v>
      </c>
      <c r="AE597">
        <f>INDEX(CoefficientsGPA,MATCH(T597&amp;":"&amp;O597,CoefficientsIndex,0))</f>
        <v>0</v>
      </c>
      <c r="AF597">
        <f>INDEX(CoefficientsACT,MATCH(T597&amp;":"&amp;O597,CoefficientsIndex,0))</f>
        <v>0</v>
      </c>
      <c r="AG597">
        <f>INDEX(CoefficientsIntercept,MATCH(T597&amp;":"&amp;O597,CoefficientsIndex,0))</f>
        <v>0</v>
      </c>
      <c r="AH597">
        <f>AE597*P597+(Q597-Z597)*AF597+AG597</f>
        <v>0</v>
      </c>
      <c r="AI597">
        <f>IF(ISNUMBER(AD597),AD597,AH597)</f>
        <v>0</v>
      </c>
      <c r="AJ597">
        <f>IF(ISNUMBER(AI597),IF(ISNUMBER(AE597),IF(AND(AE597=1,AF597=1,AG597=1),100,ROUND(100*EXP(AI597)/(1+EXP(AI597)),2)),ROUND(100*EXP(AI597)/(1+EXP(AI597)),2)),IF(ISTEXT(O597),IF(LEFT(O597,1)="2",100,"N/A"),"N/A"))</f>
        <v>0</v>
      </c>
      <c r="AK597">
        <f>IF(ISNUMBER(AJ597),IF(AJ597&gt;=99,IF(OR(R597=10,R597=11),MatchLabel,SureThingLabel),IF(AJ597&gt;=95,SecureLabel,IF(AJ597&gt;=80,SafetyLabel,IF(AJ597&gt;=50,MatchLabel,IF(AJ597&gt;=20,ReachLabel,IF(AJ597&gt;=10,LongshotLabel,HailMaryLabel)))))),"Other")</f>
        <v>0</v>
      </c>
      <c r="AL597">
        <f>IF(OR(I597="accepted",I597="cond. accept",I597="summer admit"),IF(J597="yes","CHOICE!","Accepted!"),IF(I597="denied","Denied",IF(K597=1,"Waitlist",IF(L597=1,"Deferred",IF(G597="pending","Pending",IF(OR(G597="initial materials submitted",G597="mid-year submitted",G597="final submitted"),"Submitted",IF(H597="interest","Interest","?")))))))</f>
        <v>0</v>
      </c>
      <c r="AM597">
        <f>IF(OR(AK597=ReachLabel,AK597=LongshotLabel,AK597=HailMaryLabel),1,0)</f>
        <v>0</v>
      </c>
      <c r="AN597">
        <f>IF(OR(AM597=1,AK597=MatchLabel),1,0)</f>
        <v>0</v>
      </c>
      <c r="AO597">
        <f>IF(OR(AK597=MatchLabel,AK597=SafetyLabel,AK597=SecureLabel,AK597=SureThingLabel),1,0)</f>
        <v>0</v>
      </c>
      <c r="AP597">
        <f>IF(OR(T597="H",T597="B"),IF(ISNUMBER(Y597),ROUND(Y597,2),0),IF(ISNUMBER(X597),ROUND(X597,2),0))</f>
        <v>0</v>
      </c>
      <c r="AQ597">
        <f>IF(AP597&gt;=U597,1,0)</f>
        <v>0</v>
      </c>
      <c r="AR597">
        <f>IF(AP597&gt;=V597,1,0)</f>
        <v>0</v>
      </c>
      <c r="AS597">
        <f>IF(AP597&lt;(U597-0.10),1,0)</f>
        <v>0</v>
      </c>
      <c r="AT597">
        <f>1-AJ597/100</f>
        <v>0</v>
      </c>
      <c r="AU597">
        <f>IF(AN597=1,AT597,1)</f>
        <v>0</v>
      </c>
      <c r="AV597">
        <f>IF(AM597=1,AT597,1)</f>
        <v>0</v>
      </c>
      <c r="AW597">
        <f>IF(AND(AQ597=1,ISNUMBER(AT597)),$AT597,1)</f>
        <v>0</v>
      </c>
      <c r="AX597">
        <f>IF(AND(AR597=1,ISNUMBER(AT597)),$AT597,1)</f>
        <v>0</v>
      </c>
      <c r="AY597">
        <f>IF(ISNUMBER(Y597),INDEX(AllCollegeMoney, MATCH(N597,AllCollegeNCES,0)),0)</f>
        <v>0</v>
      </c>
      <c r="AZ597">
        <f>IF(AND(AQ597=1,ISNUMBER(AT597),AY597=1),$AT597,1)</f>
        <v>0</v>
      </c>
      <c r="BA597">
        <f>IF(AND(AR597=1,ISNUMBER(AT597),AY597=1),$AT597,1)</f>
        <v>0</v>
      </c>
      <c r="BB597">
        <f>IF(ISNUMBER(Y597),INDEX(AllCollegeILPub, MATCH(N597,AllCollegeNCES,0)),0)</f>
        <v>0</v>
      </c>
      <c r="BC597">
        <f>IF(AK597=ReachLabel,AP597,0)</f>
        <v>0</v>
      </c>
      <c r="BD597">
        <f>IF(AK597=MatchLabel,AP597,0)</f>
        <v>0</v>
      </c>
      <c r="BE597">
        <f>IF(AK597=SafetyLabel,AP597,0)</f>
        <v>0</v>
      </c>
      <c r="BF597">
        <f>IF(AK597=SecureLabel,AP597,0)</f>
        <v>0</v>
      </c>
      <c r="BG597">
        <f>IF(AK597=SureThingLabel,AP597,0)</f>
        <v>0</v>
      </c>
      <c r="BH597">
        <f>MAX(BC597:BG597)</f>
        <v>0</v>
      </c>
      <c r="BI597">
        <f>MAX(BD597:BG597)</f>
        <v>0</v>
      </c>
      <c r="BJ597">
        <f>MAX(BE597:BG597)</f>
        <v>0</v>
      </c>
      <c r="BK597">
        <f>IF(AND(AK597=ReachLabel,AY597=1),AP597,0)</f>
        <v>0</v>
      </c>
      <c r="BL597">
        <f>IF(AND(AK597=MatchLabel,AY597=1),AP597,0)</f>
        <v>0</v>
      </c>
      <c r="BM597">
        <f>IF(AND(AK597=SafetyLabel,AY597=1),AP597,0)</f>
        <v>0</v>
      </c>
      <c r="BN597">
        <f>IF(AND(AK597=SecureLabel,AY597=1),AP597,0)</f>
        <v>0</v>
      </c>
      <c r="BO597">
        <f>IF(AND(AK597=SureThingLabel,AY597=1),AP597,0)</f>
        <v>0</v>
      </c>
      <c r="BP597">
        <f>MAX(BK597:BO597)</f>
        <v>0</v>
      </c>
      <c r="BQ597">
        <f>MAX(BL597:BO597)</f>
        <v>0</v>
      </c>
      <c r="BR597">
        <f>MAX(BM597:BO597)</f>
        <v>0</v>
      </c>
      <c r="BS597">
        <f>IF(ISNUMBER(Y597),INDEX(AllCollegeChicago, MATCH(N597,AllCollegeNCES,0))*AY597,0)</f>
        <v>0</v>
      </c>
      <c r="BT597">
        <f>IF(ISNUMBER(Y597),INDEX(AllCollegeMoneyCode, MATCH(N597,AllCollegeNCES,0)),"?")</f>
        <v>0</v>
      </c>
      <c r="BU597">
        <f>IF(OR(BT597="---",BT597="--",BT597="+/--",BT597="+/---"),1,0)</f>
        <v>0</v>
      </c>
      <c r="BV597">
        <f>AY597*AO597*AQ597</f>
        <v>0</v>
      </c>
    </row>
    <row r="598" spans="1:74">
      <c r="A598" t="s">
        <v>86</v>
      </c>
      <c r="B598">
        <v>23759127</v>
      </c>
      <c r="C598" t="s">
        <v>160</v>
      </c>
      <c r="D598" t="s">
        <v>161</v>
      </c>
      <c r="E598" t="s">
        <v>428</v>
      </c>
      <c r="F598" t="s">
        <v>447</v>
      </c>
      <c r="G598" t="s">
        <v>430</v>
      </c>
      <c r="H598" t="s">
        <v>431</v>
      </c>
      <c r="I598" t="s">
        <v>432</v>
      </c>
      <c r="J598" t="s">
        <v>432</v>
      </c>
      <c r="K598">
        <v>0</v>
      </c>
      <c r="L598" t="s">
        <v>428</v>
      </c>
      <c r="M598" t="s">
        <v>428</v>
      </c>
      <c r="N598">
        <v>145600</v>
      </c>
      <c r="O598">
        <f>INDEX(AllCollegeBarrons,MATCH(N598,AllCollegeNCES,0))</f>
        <v>0</v>
      </c>
      <c r="P598">
        <f>INDEX(KidGPAs,MATCH(B598,KidIDs,0))</f>
        <v>0</v>
      </c>
      <c r="Q598">
        <f>INDEX(KidACTs,MATCH(B598,KidIDs,0))</f>
        <v>0</v>
      </c>
      <c r="R598">
        <f>INDEX(Strats,MATCH(B598,KidIDs,0))</f>
        <v>0</v>
      </c>
      <c r="S598">
        <f>INDEX(KidRace,MATCH(B598,KidIDs,0))</f>
        <v>0</v>
      </c>
      <c r="T598">
        <f>IF(OR(S598="M",S598="I"),"H",S598)</f>
        <v>0</v>
      </c>
      <c r="U598">
        <f>INDEX(StudentTargets,MATCH(B598,KidIDs,0))</f>
        <v>0</v>
      </c>
      <c r="V598">
        <f>INDEX(ReachStudentTargets,MATCH(B598,KidIDs,0))</f>
        <v>0</v>
      </c>
      <c r="W598">
        <f>IF(OR(M598="Posse"),1,0)</f>
        <v>0</v>
      </c>
      <c r="X598">
        <f>IF(ISNUMBER(INDEX(AllCollegeGR, MATCH(N598,AllCollegeNCES,0))),ROUND(INDEX(AllCollegeGR, MATCH(N598,AllCollegeNCES,0))+W598*IF(INDEX(AllCollegeGR, MATCH(N598,AllCollegeNCES,0))&gt;0.7,(1-INDEX(AllCollegeGR, MATCH(N598,AllCollegeNCES,0)))/2,0.15),2),INDEX(AllCollegeGR, MATCH(N598,AllCollegeNCES,0)))</f>
        <v>0</v>
      </c>
      <c r="Y598">
        <f>IF(ISNUMBER(INDEX(AllCollegeAAHGR, MATCH(N598,AllCollegeNCES,0))),ROUND(INDEX(AllCollegeAAHGR, MATCH(N598,AllCollegeNCES,0))+W598*IF(INDEX(AllCollegeAAHGR, MATCH(N598,AllCollegeNCES,0))&gt;0.7,(1-INDEX(AllCollegeAAHGR, MATCH(N598,AllCollegeNCES,0)))/2,0.15),2),INDEX(AllCollegeAAHGR, MATCH(N598,AllCollegeNCES,0)))</f>
        <v>0</v>
      </c>
      <c r="Z598">
        <f>IF(OR(T598="H",T598="B"),INDEX(AllCollegeACT25, MATCH(N598,AllCollegeNCES,0)),INDEX(AllCollegeACT50, MATCH(N598,AllCollegeNCES,0)))</f>
        <v>0</v>
      </c>
      <c r="AA598">
        <f>INDEX(CustomWeightsGPA,MATCH(T598&amp;":"&amp;N598,CustomWeightsIndex,0))</f>
        <v>0</v>
      </c>
      <c r="AB598">
        <f>INDEX(CustomWeightsACT,MATCH(T598&amp;":"&amp;N598,CustomWeightsIndex,0))</f>
        <v>0</v>
      </c>
      <c r="AC598">
        <f>INDEX(CustomWeightsIntercept,MATCH(T598&amp;":"&amp;N598,CustomWeightsIndex,0))</f>
        <v>0</v>
      </c>
      <c r="AD598">
        <f>AA598*P598+AB598*Q598+AC598</f>
        <v>0</v>
      </c>
      <c r="AE598">
        <f>INDEX(CoefficientsGPA,MATCH(T598&amp;":"&amp;O598,CoefficientsIndex,0))</f>
        <v>0</v>
      </c>
      <c r="AF598">
        <f>INDEX(CoefficientsACT,MATCH(T598&amp;":"&amp;O598,CoefficientsIndex,0))</f>
        <v>0</v>
      </c>
      <c r="AG598">
        <f>INDEX(CoefficientsIntercept,MATCH(T598&amp;":"&amp;O598,CoefficientsIndex,0))</f>
        <v>0</v>
      </c>
      <c r="AH598">
        <f>AE598*P598+(Q598-Z598)*AF598+AG598</f>
        <v>0</v>
      </c>
      <c r="AI598">
        <f>IF(ISNUMBER(AD598),AD598,AH598)</f>
        <v>0</v>
      </c>
      <c r="AJ598">
        <f>IF(ISNUMBER(AI598),IF(ISNUMBER(AE598),IF(AND(AE598=1,AF598=1,AG598=1),100,ROUND(100*EXP(AI598)/(1+EXP(AI598)),2)),ROUND(100*EXP(AI598)/(1+EXP(AI598)),2)),IF(ISTEXT(O598),IF(LEFT(O598,1)="2",100,"N/A"),"N/A"))</f>
        <v>0</v>
      </c>
      <c r="AK598">
        <f>IF(ISNUMBER(AJ598),IF(AJ598&gt;=99,IF(OR(R598=10,R598=11),MatchLabel,SureThingLabel),IF(AJ598&gt;=95,SecureLabel,IF(AJ598&gt;=80,SafetyLabel,IF(AJ598&gt;=50,MatchLabel,IF(AJ598&gt;=20,ReachLabel,IF(AJ598&gt;=10,LongshotLabel,HailMaryLabel)))))),"Other")</f>
        <v>0</v>
      </c>
      <c r="AL598">
        <f>IF(OR(I598="accepted",I598="cond. accept",I598="summer admit"),IF(J598="yes","CHOICE!","Accepted!"),IF(I598="denied","Denied",IF(K598=1,"Waitlist",IF(L598=1,"Deferred",IF(G598="pending","Pending",IF(OR(G598="initial materials submitted",G598="mid-year submitted",G598="final submitted"),"Submitted",IF(H598="interest","Interest","?")))))))</f>
        <v>0</v>
      </c>
      <c r="AM598">
        <f>IF(OR(AK598=ReachLabel,AK598=LongshotLabel,AK598=HailMaryLabel),1,0)</f>
        <v>0</v>
      </c>
      <c r="AN598">
        <f>IF(OR(AM598=1,AK598=MatchLabel),1,0)</f>
        <v>0</v>
      </c>
      <c r="AO598">
        <f>IF(OR(AK598=MatchLabel,AK598=SafetyLabel,AK598=SecureLabel,AK598=SureThingLabel),1,0)</f>
        <v>0</v>
      </c>
      <c r="AP598">
        <f>IF(OR(T598="H",T598="B"),IF(ISNUMBER(Y598),ROUND(Y598,2),0),IF(ISNUMBER(X598),ROUND(X598,2),0))</f>
        <v>0</v>
      </c>
      <c r="AQ598">
        <f>IF(AP598&gt;=U598,1,0)</f>
        <v>0</v>
      </c>
      <c r="AR598">
        <f>IF(AP598&gt;=V598,1,0)</f>
        <v>0</v>
      </c>
      <c r="AS598">
        <f>IF(AP598&lt;(U598-0.10),1,0)</f>
        <v>0</v>
      </c>
      <c r="AT598">
        <f>1-AJ598/100</f>
        <v>0</v>
      </c>
      <c r="AU598">
        <f>IF(AN598=1,AT598,1)</f>
        <v>0</v>
      </c>
      <c r="AV598">
        <f>IF(AM598=1,AT598,1)</f>
        <v>0</v>
      </c>
      <c r="AW598">
        <f>IF(AND(AQ598=1,ISNUMBER(AT598)),$AT598,1)</f>
        <v>0</v>
      </c>
      <c r="AX598">
        <f>IF(AND(AR598=1,ISNUMBER(AT598)),$AT598,1)</f>
        <v>0</v>
      </c>
      <c r="AY598">
        <f>IF(ISNUMBER(Y598),INDEX(AllCollegeMoney, MATCH(N598,AllCollegeNCES,0)),0)</f>
        <v>0</v>
      </c>
      <c r="AZ598">
        <f>IF(AND(AQ598=1,ISNUMBER(AT598),AY598=1),$AT598,1)</f>
        <v>0</v>
      </c>
      <c r="BA598">
        <f>IF(AND(AR598=1,ISNUMBER(AT598),AY598=1),$AT598,1)</f>
        <v>0</v>
      </c>
      <c r="BB598">
        <f>IF(ISNUMBER(Y598),INDEX(AllCollegeILPub, MATCH(N598,AllCollegeNCES,0)),0)</f>
        <v>0</v>
      </c>
      <c r="BC598">
        <f>IF(AK598=ReachLabel,AP598,0)</f>
        <v>0</v>
      </c>
      <c r="BD598">
        <f>IF(AK598=MatchLabel,AP598,0)</f>
        <v>0</v>
      </c>
      <c r="BE598">
        <f>IF(AK598=SafetyLabel,AP598,0)</f>
        <v>0</v>
      </c>
      <c r="BF598">
        <f>IF(AK598=SecureLabel,AP598,0)</f>
        <v>0</v>
      </c>
      <c r="BG598">
        <f>IF(AK598=SureThingLabel,AP598,0)</f>
        <v>0</v>
      </c>
      <c r="BH598">
        <f>MAX(BC598:BG598)</f>
        <v>0</v>
      </c>
      <c r="BI598">
        <f>MAX(BD598:BG598)</f>
        <v>0</v>
      </c>
      <c r="BJ598">
        <f>MAX(BE598:BG598)</f>
        <v>0</v>
      </c>
      <c r="BK598">
        <f>IF(AND(AK598=ReachLabel,AY598=1),AP598,0)</f>
        <v>0</v>
      </c>
      <c r="BL598">
        <f>IF(AND(AK598=MatchLabel,AY598=1),AP598,0)</f>
        <v>0</v>
      </c>
      <c r="BM598">
        <f>IF(AND(AK598=SafetyLabel,AY598=1),AP598,0)</f>
        <v>0</v>
      </c>
      <c r="BN598">
        <f>IF(AND(AK598=SecureLabel,AY598=1),AP598,0)</f>
        <v>0</v>
      </c>
      <c r="BO598">
        <f>IF(AND(AK598=SureThingLabel,AY598=1),AP598,0)</f>
        <v>0</v>
      </c>
      <c r="BP598">
        <f>MAX(BK598:BO598)</f>
        <v>0</v>
      </c>
      <c r="BQ598">
        <f>MAX(BL598:BO598)</f>
        <v>0</v>
      </c>
      <c r="BR598">
        <f>MAX(BM598:BO598)</f>
        <v>0</v>
      </c>
      <c r="BS598">
        <f>IF(ISNUMBER(Y598),INDEX(AllCollegeChicago, MATCH(N598,AllCollegeNCES,0))*AY598,0)</f>
        <v>0</v>
      </c>
      <c r="BT598">
        <f>IF(ISNUMBER(Y598),INDEX(AllCollegeMoneyCode, MATCH(N598,AllCollegeNCES,0)),"?")</f>
        <v>0</v>
      </c>
      <c r="BU598">
        <f>IF(OR(BT598="---",BT598="--",BT598="+/--",BT598="+/---"),1,0)</f>
        <v>0</v>
      </c>
      <c r="BV598">
        <f>AY598*AO598*AQ598</f>
        <v>0</v>
      </c>
    </row>
    <row r="599" spans="1:74">
      <c r="A599" t="s">
        <v>86</v>
      </c>
      <c r="B599">
        <v>23759127</v>
      </c>
      <c r="C599" t="s">
        <v>160</v>
      </c>
      <c r="D599" t="s">
        <v>161</v>
      </c>
      <c r="E599" t="s">
        <v>428</v>
      </c>
      <c r="F599" t="s">
        <v>489</v>
      </c>
      <c r="G599" t="s">
        <v>430</v>
      </c>
      <c r="H599" t="s">
        <v>431</v>
      </c>
      <c r="I599" t="s">
        <v>432</v>
      </c>
      <c r="J599" t="s">
        <v>432</v>
      </c>
      <c r="K599">
        <v>0</v>
      </c>
      <c r="L599" t="s">
        <v>428</v>
      </c>
      <c r="M599" t="s">
        <v>428</v>
      </c>
      <c r="N599">
        <v>147679</v>
      </c>
      <c r="O599">
        <f>INDEX(AllCollegeBarrons,MATCH(N599,AllCollegeNCES,0))</f>
        <v>0</v>
      </c>
      <c r="P599">
        <f>INDEX(KidGPAs,MATCH(B599,KidIDs,0))</f>
        <v>0</v>
      </c>
      <c r="Q599">
        <f>INDEX(KidACTs,MATCH(B599,KidIDs,0))</f>
        <v>0</v>
      </c>
      <c r="R599">
        <f>INDEX(Strats,MATCH(B599,KidIDs,0))</f>
        <v>0</v>
      </c>
      <c r="S599">
        <f>INDEX(KidRace,MATCH(B599,KidIDs,0))</f>
        <v>0</v>
      </c>
      <c r="T599">
        <f>IF(OR(S599="M",S599="I"),"H",S599)</f>
        <v>0</v>
      </c>
      <c r="U599">
        <f>INDEX(StudentTargets,MATCH(B599,KidIDs,0))</f>
        <v>0</v>
      </c>
      <c r="V599">
        <f>INDEX(ReachStudentTargets,MATCH(B599,KidIDs,0))</f>
        <v>0</v>
      </c>
      <c r="W599">
        <f>IF(OR(M599="Posse"),1,0)</f>
        <v>0</v>
      </c>
      <c r="X599">
        <f>IF(ISNUMBER(INDEX(AllCollegeGR, MATCH(N599,AllCollegeNCES,0))),ROUND(INDEX(AllCollegeGR, MATCH(N599,AllCollegeNCES,0))+W599*IF(INDEX(AllCollegeGR, MATCH(N599,AllCollegeNCES,0))&gt;0.7,(1-INDEX(AllCollegeGR, MATCH(N599,AllCollegeNCES,0)))/2,0.15),2),INDEX(AllCollegeGR, MATCH(N599,AllCollegeNCES,0)))</f>
        <v>0</v>
      </c>
      <c r="Y599">
        <f>IF(ISNUMBER(INDEX(AllCollegeAAHGR, MATCH(N599,AllCollegeNCES,0))),ROUND(INDEX(AllCollegeAAHGR, MATCH(N599,AllCollegeNCES,0))+W599*IF(INDEX(AllCollegeAAHGR, MATCH(N599,AllCollegeNCES,0))&gt;0.7,(1-INDEX(AllCollegeAAHGR, MATCH(N599,AllCollegeNCES,0)))/2,0.15),2),INDEX(AllCollegeAAHGR, MATCH(N599,AllCollegeNCES,0)))</f>
        <v>0</v>
      </c>
      <c r="Z599">
        <f>IF(OR(T599="H",T599="B"),INDEX(AllCollegeACT25, MATCH(N599,AllCollegeNCES,0)),INDEX(AllCollegeACT50, MATCH(N599,AllCollegeNCES,0)))</f>
        <v>0</v>
      </c>
      <c r="AA599">
        <f>INDEX(CustomWeightsGPA,MATCH(T599&amp;":"&amp;N599,CustomWeightsIndex,0))</f>
        <v>0</v>
      </c>
      <c r="AB599">
        <f>INDEX(CustomWeightsACT,MATCH(T599&amp;":"&amp;N599,CustomWeightsIndex,0))</f>
        <v>0</v>
      </c>
      <c r="AC599">
        <f>INDEX(CustomWeightsIntercept,MATCH(T599&amp;":"&amp;N599,CustomWeightsIndex,0))</f>
        <v>0</v>
      </c>
      <c r="AD599">
        <f>AA599*P599+AB599*Q599+AC599</f>
        <v>0</v>
      </c>
      <c r="AE599">
        <f>INDEX(CoefficientsGPA,MATCH(T599&amp;":"&amp;O599,CoefficientsIndex,0))</f>
        <v>0</v>
      </c>
      <c r="AF599">
        <f>INDEX(CoefficientsACT,MATCH(T599&amp;":"&amp;O599,CoefficientsIndex,0))</f>
        <v>0</v>
      </c>
      <c r="AG599">
        <f>INDEX(CoefficientsIntercept,MATCH(T599&amp;":"&amp;O599,CoefficientsIndex,0))</f>
        <v>0</v>
      </c>
      <c r="AH599">
        <f>AE599*P599+(Q599-Z599)*AF599+AG599</f>
        <v>0</v>
      </c>
      <c r="AI599">
        <f>IF(ISNUMBER(AD599),AD599,AH599)</f>
        <v>0</v>
      </c>
      <c r="AJ599">
        <f>IF(ISNUMBER(AI599),IF(ISNUMBER(AE599),IF(AND(AE599=1,AF599=1,AG599=1),100,ROUND(100*EXP(AI599)/(1+EXP(AI599)),2)),ROUND(100*EXP(AI599)/(1+EXP(AI599)),2)),IF(ISTEXT(O599),IF(LEFT(O599,1)="2",100,"N/A"),"N/A"))</f>
        <v>0</v>
      </c>
      <c r="AK599">
        <f>IF(ISNUMBER(AJ599),IF(AJ599&gt;=99,IF(OR(R599=10,R599=11),MatchLabel,SureThingLabel),IF(AJ599&gt;=95,SecureLabel,IF(AJ599&gt;=80,SafetyLabel,IF(AJ599&gt;=50,MatchLabel,IF(AJ599&gt;=20,ReachLabel,IF(AJ599&gt;=10,LongshotLabel,HailMaryLabel)))))),"Other")</f>
        <v>0</v>
      </c>
      <c r="AL599">
        <f>IF(OR(I599="accepted",I599="cond. accept",I599="summer admit"),IF(J599="yes","CHOICE!","Accepted!"),IF(I599="denied","Denied",IF(K599=1,"Waitlist",IF(L599=1,"Deferred",IF(G599="pending","Pending",IF(OR(G599="initial materials submitted",G599="mid-year submitted",G599="final submitted"),"Submitted",IF(H599="interest","Interest","?")))))))</f>
        <v>0</v>
      </c>
      <c r="AM599">
        <f>IF(OR(AK599=ReachLabel,AK599=LongshotLabel,AK599=HailMaryLabel),1,0)</f>
        <v>0</v>
      </c>
      <c r="AN599">
        <f>IF(OR(AM599=1,AK599=MatchLabel),1,0)</f>
        <v>0</v>
      </c>
      <c r="AO599">
        <f>IF(OR(AK599=MatchLabel,AK599=SafetyLabel,AK599=SecureLabel,AK599=SureThingLabel),1,0)</f>
        <v>0</v>
      </c>
      <c r="AP599">
        <f>IF(OR(T599="H",T599="B"),IF(ISNUMBER(Y599),ROUND(Y599,2),0),IF(ISNUMBER(X599),ROUND(X599,2),0))</f>
        <v>0</v>
      </c>
      <c r="AQ599">
        <f>IF(AP599&gt;=U599,1,0)</f>
        <v>0</v>
      </c>
      <c r="AR599">
        <f>IF(AP599&gt;=V599,1,0)</f>
        <v>0</v>
      </c>
      <c r="AS599">
        <f>IF(AP599&lt;(U599-0.10),1,0)</f>
        <v>0</v>
      </c>
      <c r="AT599">
        <f>1-AJ599/100</f>
        <v>0</v>
      </c>
      <c r="AU599">
        <f>IF(AN599=1,AT599,1)</f>
        <v>0</v>
      </c>
      <c r="AV599">
        <f>IF(AM599=1,AT599,1)</f>
        <v>0</v>
      </c>
      <c r="AW599">
        <f>IF(AND(AQ599=1,ISNUMBER(AT599)),$AT599,1)</f>
        <v>0</v>
      </c>
      <c r="AX599">
        <f>IF(AND(AR599=1,ISNUMBER(AT599)),$AT599,1)</f>
        <v>0</v>
      </c>
      <c r="AY599">
        <f>IF(ISNUMBER(Y599),INDEX(AllCollegeMoney, MATCH(N599,AllCollegeNCES,0)),0)</f>
        <v>0</v>
      </c>
      <c r="AZ599">
        <f>IF(AND(AQ599=1,ISNUMBER(AT599),AY599=1),$AT599,1)</f>
        <v>0</v>
      </c>
      <c r="BA599">
        <f>IF(AND(AR599=1,ISNUMBER(AT599),AY599=1),$AT599,1)</f>
        <v>0</v>
      </c>
      <c r="BB599">
        <f>IF(ISNUMBER(Y599),INDEX(AllCollegeILPub, MATCH(N599,AllCollegeNCES,0)),0)</f>
        <v>0</v>
      </c>
      <c r="BC599">
        <f>IF(AK599=ReachLabel,AP599,0)</f>
        <v>0</v>
      </c>
      <c r="BD599">
        <f>IF(AK599=MatchLabel,AP599,0)</f>
        <v>0</v>
      </c>
      <c r="BE599">
        <f>IF(AK599=SafetyLabel,AP599,0)</f>
        <v>0</v>
      </c>
      <c r="BF599">
        <f>IF(AK599=SecureLabel,AP599,0)</f>
        <v>0</v>
      </c>
      <c r="BG599">
        <f>IF(AK599=SureThingLabel,AP599,0)</f>
        <v>0</v>
      </c>
      <c r="BH599">
        <f>MAX(BC599:BG599)</f>
        <v>0</v>
      </c>
      <c r="BI599">
        <f>MAX(BD599:BG599)</f>
        <v>0</v>
      </c>
      <c r="BJ599">
        <f>MAX(BE599:BG599)</f>
        <v>0</v>
      </c>
      <c r="BK599">
        <f>IF(AND(AK599=ReachLabel,AY599=1),AP599,0)</f>
        <v>0</v>
      </c>
      <c r="BL599">
        <f>IF(AND(AK599=MatchLabel,AY599=1),AP599,0)</f>
        <v>0</v>
      </c>
      <c r="BM599">
        <f>IF(AND(AK599=SafetyLabel,AY599=1),AP599,0)</f>
        <v>0</v>
      </c>
      <c r="BN599">
        <f>IF(AND(AK599=SecureLabel,AY599=1),AP599,0)</f>
        <v>0</v>
      </c>
      <c r="BO599">
        <f>IF(AND(AK599=SureThingLabel,AY599=1),AP599,0)</f>
        <v>0</v>
      </c>
      <c r="BP599">
        <f>MAX(BK599:BO599)</f>
        <v>0</v>
      </c>
      <c r="BQ599">
        <f>MAX(BL599:BO599)</f>
        <v>0</v>
      </c>
      <c r="BR599">
        <f>MAX(BM599:BO599)</f>
        <v>0</v>
      </c>
      <c r="BS599">
        <f>IF(ISNUMBER(Y599),INDEX(AllCollegeChicago, MATCH(N599,AllCollegeNCES,0))*AY599,0)</f>
        <v>0</v>
      </c>
      <c r="BT599">
        <f>IF(ISNUMBER(Y599),INDEX(AllCollegeMoneyCode, MATCH(N599,AllCollegeNCES,0)),"?")</f>
        <v>0</v>
      </c>
      <c r="BU599">
        <f>IF(OR(BT599="---",BT599="--",BT599="+/--",BT599="+/---"),1,0)</f>
        <v>0</v>
      </c>
      <c r="BV599">
        <f>AY599*AO599*AQ599</f>
        <v>0</v>
      </c>
    </row>
    <row r="600" spans="1:74">
      <c r="A600" t="s">
        <v>86</v>
      </c>
      <c r="B600">
        <v>24090662</v>
      </c>
      <c r="C600" t="s">
        <v>182</v>
      </c>
      <c r="D600" t="s">
        <v>183</v>
      </c>
      <c r="E600" t="s">
        <v>428</v>
      </c>
      <c r="F600" t="s">
        <v>532</v>
      </c>
      <c r="G600" t="s">
        <v>526</v>
      </c>
      <c r="H600" t="s">
        <v>526</v>
      </c>
      <c r="I600" t="s">
        <v>527</v>
      </c>
      <c r="J600" t="s">
        <v>428</v>
      </c>
      <c r="K600" t="s">
        <v>428</v>
      </c>
      <c r="L600" t="s">
        <v>428</v>
      </c>
      <c r="M600" t="s">
        <v>428</v>
      </c>
      <c r="N600">
        <v>168546</v>
      </c>
      <c r="O600">
        <f>INDEX(AllCollegeBarrons,MATCH(N600,AllCollegeNCES,0))</f>
        <v>0</v>
      </c>
      <c r="P600">
        <f>INDEX(KidGPAs,MATCH(B600,KidIDs,0))</f>
        <v>0</v>
      </c>
      <c r="Q600">
        <f>INDEX(KidACTs,MATCH(B600,KidIDs,0))</f>
        <v>0</v>
      </c>
      <c r="R600">
        <f>INDEX(Strats,MATCH(B600,KidIDs,0))</f>
        <v>0</v>
      </c>
      <c r="S600">
        <f>INDEX(KidRace,MATCH(B600,KidIDs,0))</f>
        <v>0</v>
      </c>
      <c r="T600">
        <f>IF(OR(S600="M",S600="I"),"H",S600)</f>
        <v>0</v>
      </c>
      <c r="U600">
        <f>INDEX(StudentTargets,MATCH(B600,KidIDs,0))</f>
        <v>0</v>
      </c>
      <c r="V600">
        <f>INDEX(ReachStudentTargets,MATCH(B600,KidIDs,0))</f>
        <v>0</v>
      </c>
      <c r="W600">
        <f>IF(OR(M600="Posse"),1,0)</f>
        <v>0</v>
      </c>
      <c r="X600">
        <f>IF(ISNUMBER(INDEX(AllCollegeGR, MATCH(N600,AllCollegeNCES,0))),ROUND(INDEX(AllCollegeGR, MATCH(N600,AllCollegeNCES,0))+W600*IF(INDEX(AllCollegeGR, MATCH(N600,AllCollegeNCES,0))&gt;0.7,(1-INDEX(AllCollegeGR, MATCH(N600,AllCollegeNCES,0)))/2,0.15),2),INDEX(AllCollegeGR, MATCH(N600,AllCollegeNCES,0)))</f>
        <v>0</v>
      </c>
      <c r="Y600">
        <f>IF(ISNUMBER(INDEX(AllCollegeAAHGR, MATCH(N600,AllCollegeNCES,0))),ROUND(INDEX(AllCollegeAAHGR, MATCH(N600,AllCollegeNCES,0))+W600*IF(INDEX(AllCollegeAAHGR, MATCH(N600,AllCollegeNCES,0))&gt;0.7,(1-INDEX(AllCollegeAAHGR, MATCH(N600,AllCollegeNCES,0)))/2,0.15),2),INDEX(AllCollegeAAHGR, MATCH(N600,AllCollegeNCES,0)))</f>
        <v>0</v>
      </c>
      <c r="Z600">
        <f>IF(OR(T600="H",T600="B"),INDEX(AllCollegeACT25, MATCH(N600,AllCollegeNCES,0)),INDEX(AllCollegeACT50, MATCH(N600,AllCollegeNCES,0)))</f>
        <v>0</v>
      </c>
      <c r="AA600">
        <f>INDEX(CustomWeightsGPA,MATCH(T600&amp;":"&amp;N600,CustomWeightsIndex,0))</f>
        <v>0</v>
      </c>
      <c r="AB600">
        <f>INDEX(CustomWeightsACT,MATCH(T600&amp;":"&amp;N600,CustomWeightsIndex,0))</f>
        <v>0</v>
      </c>
      <c r="AC600">
        <f>INDEX(CustomWeightsIntercept,MATCH(T600&amp;":"&amp;N600,CustomWeightsIndex,0))</f>
        <v>0</v>
      </c>
      <c r="AD600">
        <f>AA600*P600+AB600*Q600+AC600</f>
        <v>0</v>
      </c>
      <c r="AE600">
        <f>INDEX(CoefficientsGPA,MATCH(T600&amp;":"&amp;O600,CoefficientsIndex,0))</f>
        <v>0</v>
      </c>
      <c r="AF600">
        <f>INDEX(CoefficientsACT,MATCH(T600&amp;":"&amp;O600,CoefficientsIndex,0))</f>
        <v>0</v>
      </c>
      <c r="AG600">
        <f>INDEX(CoefficientsIntercept,MATCH(T600&amp;":"&amp;O600,CoefficientsIndex,0))</f>
        <v>0</v>
      </c>
      <c r="AH600">
        <f>AE600*P600+(Q600-Z600)*AF600+AG600</f>
        <v>0</v>
      </c>
      <c r="AI600">
        <f>IF(ISNUMBER(AD600),AD600,AH600)</f>
        <v>0</v>
      </c>
      <c r="AJ600">
        <f>IF(ISNUMBER(AI600),IF(ISNUMBER(AE600),IF(AND(AE600=1,AF600=1,AG600=1),100,ROUND(100*EXP(AI600)/(1+EXP(AI600)),2)),ROUND(100*EXP(AI600)/(1+EXP(AI600)),2)),IF(ISTEXT(O600),IF(LEFT(O600,1)="2",100,"N/A"),"N/A"))</f>
        <v>0</v>
      </c>
      <c r="AK600">
        <f>IF(ISNUMBER(AJ600),IF(AJ600&gt;=99,IF(OR(R600=10,R600=11),MatchLabel,SureThingLabel),IF(AJ600&gt;=95,SecureLabel,IF(AJ600&gt;=80,SafetyLabel,IF(AJ600&gt;=50,MatchLabel,IF(AJ600&gt;=20,ReachLabel,IF(AJ600&gt;=10,LongshotLabel,HailMaryLabel)))))),"Other")</f>
        <v>0</v>
      </c>
      <c r="AL600">
        <f>IF(OR(I600="accepted",I600="cond. accept",I600="summer admit"),IF(J600="yes","CHOICE!","Accepted!"),IF(I600="denied","Denied",IF(K600=1,"Waitlist",IF(L600=1,"Deferred",IF(G600="pending","Pending",IF(OR(G600="initial materials submitted",G600="mid-year submitted",G600="final submitted"),"Submitted",IF(H600="interest","Interest","?")))))))</f>
        <v>0</v>
      </c>
      <c r="AM600">
        <f>IF(OR(AK600=ReachLabel,AK600=LongshotLabel,AK600=HailMaryLabel),1,0)</f>
        <v>0</v>
      </c>
      <c r="AN600">
        <f>IF(OR(AM600=1,AK600=MatchLabel),1,0)</f>
        <v>0</v>
      </c>
      <c r="AO600">
        <f>IF(OR(AK600=MatchLabel,AK600=SafetyLabel,AK600=SecureLabel,AK600=SureThingLabel),1,0)</f>
        <v>0</v>
      </c>
      <c r="AP600">
        <f>IF(OR(T600="H",T600="B"),IF(ISNUMBER(Y600),ROUND(Y600,2),0),IF(ISNUMBER(X600),ROUND(X600,2),0))</f>
        <v>0</v>
      </c>
      <c r="AQ600">
        <f>IF(AP600&gt;=U600,1,0)</f>
        <v>0</v>
      </c>
      <c r="AR600">
        <f>IF(AP600&gt;=V600,1,0)</f>
        <v>0</v>
      </c>
      <c r="AS600">
        <f>IF(AP600&lt;(U600-0.10),1,0)</f>
        <v>0</v>
      </c>
      <c r="AT600">
        <f>1-AJ600/100</f>
        <v>0</v>
      </c>
      <c r="AU600">
        <f>IF(AN600=1,AT600,1)</f>
        <v>0</v>
      </c>
      <c r="AV600">
        <f>IF(AM600=1,AT600,1)</f>
        <v>0</v>
      </c>
      <c r="AW600">
        <f>IF(AND(AQ600=1,ISNUMBER(AT600)),$AT600,1)</f>
        <v>0</v>
      </c>
      <c r="AX600">
        <f>IF(AND(AR600=1,ISNUMBER(AT600)),$AT600,1)</f>
        <v>0</v>
      </c>
      <c r="AY600">
        <f>IF(ISNUMBER(Y600),INDEX(AllCollegeMoney, MATCH(N600,AllCollegeNCES,0)),0)</f>
        <v>0</v>
      </c>
      <c r="AZ600">
        <f>IF(AND(AQ600=1,ISNUMBER(AT600),AY600=1),$AT600,1)</f>
        <v>0</v>
      </c>
      <c r="BA600">
        <f>IF(AND(AR600=1,ISNUMBER(AT600),AY600=1),$AT600,1)</f>
        <v>0</v>
      </c>
      <c r="BB600">
        <f>IF(ISNUMBER(Y600),INDEX(AllCollegeILPub, MATCH(N600,AllCollegeNCES,0)),0)</f>
        <v>0</v>
      </c>
      <c r="BC600">
        <f>IF(AK600=ReachLabel,AP600,0)</f>
        <v>0</v>
      </c>
      <c r="BD600">
        <f>IF(AK600=MatchLabel,AP600,0)</f>
        <v>0</v>
      </c>
      <c r="BE600">
        <f>IF(AK600=SafetyLabel,AP600,0)</f>
        <v>0</v>
      </c>
      <c r="BF600">
        <f>IF(AK600=SecureLabel,AP600,0)</f>
        <v>0</v>
      </c>
      <c r="BG600">
        <f>IF(AK600=SureThingLabel,AP600,0)</f>
        <v>0</v>
      </c>
      <c r="BH600">
        <f>MAX(BC600:BG600)</f>
        <v>0</v>
      </c>
      <c r="BI600">
        <f>MAX(BD600:BG600)</f>
        <v>0</v>
      </c>
      <c r="BJ600">
        <f>MAX(BE600:BG600)</f>
        <v>0</v>
      </c>
      <c r="BK600">
        <f>IF(AND(AK600=ReachLabel,AY600=1),AP600,0)</f>
        <v>0</v>
      </c>
      <c r="BL600">
        <f>IF(AND(AK600=MatchLabel,AY600=1),AP600,0)</f>
        <v>0</v>
      </c>
      <c r="BM600">
        <f>IF(AND(AK600=SafetyLabel,AY600=1),AP600,0)</f>
        <v>0</v>
      </c>
      <c r="BN600">
        <f>IF(AND(AK600=SecureLabel,AY600=1),AP600,0)</f>
        <v>0</v>
      </c>
      <c r="BO600">
        <f>IF(AND(AK600=SureThingLabel,AY600=1),AP600,0)</f>
        <v>0</v>
      </c>
      <c r="BP600">
        <f>MAX(BK600:BO600)</f>
        <v>0</v>
      </c>
      <c r="BQ600">
        <f>MAX(BL600:BO600)</f>
        <v>0</v>
      </c>
      <c r="BR600">
        <f>MAX(BM600:BO600)</f>
        <v>0</v>
      </c>
      <c r="BS600">
        <f>IF(ISNUMBER(Y600),INDEX(AllCollegeChicago, MATCH(N600,AllCollegeNCES,0))*AY600,0)</f>
        <v>0</v>
      </c>
      <c r="BT600">
        <f>IF(ISNUMBER(Y600),INDEX(AllCollegeMoneyCode, MATCH(N600,AllCollegeNCES,0)),"?")</f>
        <v>0</v>
      </c>
      <c r="BU600">
        <f>IF(OR(BT600="---",BT600="--",BT600="+/--",BT600="+/---"),1,0)</f>
        <v>0</v>
      </c>
      <c r="BV600">
        <f>AY600*AO600*AQ600</f>
        <v>0</v>
      </c>
    </row>
    <row r="601" spans="1:74">
      <c r="A601" t="s">
        <v>86</v>
      </c>
      <c r="B601">
        <v>24090662</v>
      </c>
      <c r="C601" t="s">
        <v>182</v>
      </c>
      <c r="D601" t="s">
        <v>183</v>
      </c>
      <c r="E601" t="s">
        <v>428</v>
      </c>
      <c r="F601" t="s">
        <v>569</v>
      </c>
      <c r="G601" t="s">
        <v>526</v>
      </c>
      <c r="H601" t="s">
        <v>526</v>
      </c>
      <c r="I601" t="s">
        <v>527</v>
      </c>
      <c r="J601" t="s">
        <v>428</v>
      </c>
      <c r="K601" t="s">
        <v>428</v>
      </c>
      <c r="L601" t="s">
        <v>428</v>
      </c>
      <c r="M601" t="s">
        <v>428</v>
      </c>
      <c r="N601">
        <v>148496</v>
      </c>
      <c r="O601">
        <f>INDEX(AllCollegeBarrons,MATCH(N601,AllCollegeNCES,0))</f>
        <v>0</v>
      </c>
      <c r="P601">
        <f>INDEX(KidGPAs,MATCH(B601,KidIDs,0))</f>
        <v>0</v>
      </c>
      <c r="Q601">
        <f>INDEX(KidACTs,MATCH(B601,KidIDs,0))</f>
        <v>0</v>
      </c>
      <c r="R601">
        <f>INDEX(Strats,MATCH(B601,KidIDs,0))</f>
        <v>0</v>
      </c>
      <c r="S601">
        <f>INDEX(KidRace,MATCH(B601,KidIDs,0))</f>
        <v>0</v>
      </c>
      <c r="T601">
        <f>IF(OR(S601="M",S601="I"),"H",S601)</f>
        <v>0</v>
      </c>
      <c r="U601">
        <f>INDEX(StudentTargets,MATCH(B601,KidIDs,0))</f>
        <v>0</v>
      </c>
      <c r="V601">
        <f>INDEX(ReachStudentTargets,MATCH(B601,KidIDs,0))</f>
        <v>0</v>
      </c>
      <c r="W601">
        <f>IF(OR(M601="Posse"),1,0)</f>
        <v>0</v>
      </c>
      <c r="X601">
        <f>IF(ISNUMBER(INDEX(AllCollegeGR, MATCH(N601,AllCollegeNCES,0))),ROUND(INDEX(AllCollegeGR, MATCH(N601,AllCollegeNCES,0))+W601*IF(INDEX(AllCollegeGR, MATCH(N601,AllCollegeNCES,0))&gt;0.7,(1-INDEX(AllCollegeGR, MATCH(N601,AllCollegeNCES,0)))/2,0.15),2),INDEX(AllCollegeGR, MATCH(N601,AllCollegeNCES,0)))</f>
        <v>0</v>
      </c>
      <c r="Y601">
        <f>IF(ISNUMBER(INDEX(AllCollegeAAHGR, MATCH(N601,AllCollegeNCES,0))),ROUND(INDEX(AllCollegeAAHGR, MATCH(N601,AllCollegeNCES,0))+W601*IF(INDEX(AllCollegeAAHGR, MATCH(N601,AllCollegeNCES,0))&gt;0.7,(1-INDEX(AllCollegeAAHGR, MATCH(N601,AllCollegeNCES,0)))/2,0.15),2),INDEX(AllCollegeAAHGR, MATCH(N601,AllCollegeNCES,0)))</f>
        <v>0</v>
      </c>
      <c r="Z601">
        <f>IF(OR(T601="H",T601="B"),INDEX(AllCollegeACT25, MATCH(N601,AllCollegeNCES,0)),INDEX(AllCollegeACT50, MATCH(N601,AllCollegeNCES,0)))</f>
        <v>0</v>
      </c>
      <c r="AA601">
        <f>INDEX(CustomWeightsGPA,MATCH(T601&amp;":"&amp;N601,CustomWeightsIndex,0))</f>
        <v>0</v>
      </c>
      <c r="AB601">
        <f>INDEX(CustomWeightsACT,MATCH(T601&amp;":"&amp;N601,CustomWeightsIndex,0))</f>
        <v>0</v>
      </c>
      <c r="AC601">
        <f>INDEX(CustomWeightsIntercept,MATCH(T601&amp;":"&amp;N601,CustomWeightsIndex,0))</f>
        <v>0</v>
      </c>
      <c r="AD601">
        <f>AA601*P601+AB601*Q601+AC601</f>
        <v>0</v>
      </c>
      <c r="AE601">
        <f>INDEX(CoefficientsGPA,MATCH(T601&amp;":"&amp;O601,CoefficientsIndex,0))</f>
        <v>0</v>
      </c>
      <c r="AF601">
        <f>INDEX(CoefficientsACT,MATCH(T601&amp;":"&amp;O601,CoefficientsIndex,0))</f>
        <v>0</v>
      </c>
      <c r="AG601">
        <f>INDEX(CoefficientsIntercept,MATCH(T601&amp;":"&amp;O601,CoefficientsIndex,0))</f>
        <v>0</v>
      </c>
      <c r="AH601">
        <f>AE601*P601+(Q601-Z601)*AF601+AG601</f>
        <v>0</v>
      </c>
      <c r="AI601">
        <f>IF(ISNUMBER(AD601),AD601,AH601)</f>
        <v>0</v>
      </c>
      <c r="AJ601">
        <f>IF(ISNUMBER(AI601),IF(ISNUMBER(AE601),IF(AND(AE601=1,AF601=1,AG601=1),100,ROUND(100*EXP(AI601)/(1+EXP(AI601)),2)),ROUND(100*EXP(AI601)/(1+EXP(AI601)),2)),IF(ISTEXT(O601),IF(LEFT(O601,1)="2",100,"N/A"),"N/A"))</f>
        <v>0</v>
      </c>
      <c r="AK601">
        <f>IF(ISNUMBER(AJ601),IF(AJ601&gt;=99,IF(OR(R601=10,R601=11),MatchLabel,SureThingLabel),IF(AJ601&gt;=95,SecureLabel,IF(AJ601&gt;=80,SafetyLabel,IF(AJ601&gt;=50,MatchLabel,IF(AJ601&gt;=20,ReachLabel,IF(AJ601&gt;=10,LongshotLabel,HailMaryLabel)))))),"Other")</f>
        <v>0</v>
      </c>
      <c r="AL601">
        <f>IF(OR(I601="accepted",I601="cond. accept",I601="summer admit"),IF(J601="yes","CHOICE!","Accepted!"),IF(I601="denied","Denied",IF(K601=1,"Waitlist",IF(L601=1,"Deferred",IF(G601="pending","Pending",IF(OR(G601="initial materials submitted",G601="mid-year submitted",G601="final submitted"),"Submitted",IF(H601="interest","Interest","?")))))))</f>
        <v>0</v>
      </c>
      <c r="AM601">
        <f>IF(OR(AK601=ReachLabel,AK601=LongshotLabel,AK601=HailMaryLabel),1,0)</f>
        <v>0</v>
      </c>
      <c r="AN601">
        <f>IF(OR(AM601=1,AK601=MatchLabel),1,0)</f>
        <v>0</v>
      </c>
      <c r="AO601">
        <f>IF(OR(AK601=MatchLabel,AK601=SafetyLabel,AK601=SecureLabel,AK601=SureThingLabel),1,0)</f>
        <v>0</v>
      </c>
      <c r="AP601">
        <f>IF(OR(T601="H",T601="B"),IF(ISNUMBER(Y601),ROUND(Y601,2),0),IF(ISNUMBER(X601),ROUND(X601,2),0))</f>
        <v>0</v>
      </c>
      <c r="AQ601">
        <f>IF(AP601&gt;=U601,1,0)</f>
        <v>0</v>
      </c>
      <c r="AR601">
        <f>IF(AP601&gt;=V601,1,0)</f>
        <v>0</v>
      </c>
      <c r="AS601">
        <f>IF(AP601&lt;(U601-0.10),1,0)</f>
        <v>0</v>
      </c>
      <c r="AT601">
        <f>1-AJ601/100</f>
        <v>0</v>
      </c>
      <c r="AU601">
        <f>IF(AN601=1,AT601,1)</f>
        <v>0</v>
      </c>
      <c r="AV601">
        <f>IF(AM601=1,AT601,1)</f>
        <v>0</v>
      </c>
      <c r="AW601">
        <f>IF(AND(AQ601=1,ISNUMBER(AT601)),$AT601,1)</f>
        <v>0</v>
      </c>
      <c r="AX601">
        <f>IF(AND(AR601=1,ISNUMBER(AT601)),$AT601,1)</f>
        <v>0</v>
      </c>
      <c r="AY601">
        <f>IF(ISNUMBER(Y601),INDEX(AllCollegeMoney, MATCH(N601,AllCollegeNCES,0)),0)</f>
        <v>0</v>
      </c>
      <c r="AZ601">
        <f>IF(AND(AQ601=1,ISNUMBER(AT601),AY601=1),$AT601,1)</f>
        <v>0</v>
      </c>
      <c r="BA601">
        <f>IF(AND(AR601=1,ISNUMBER(AT601),AY601=1),$AT601,1)</f>
        <v>0</v>
      </c>
      <c r="BB601">
        <f>IF(ISNUMBER(Y601),INDEX(AllCollegeILPub, MATCH(N601,AllCollegeNCES,0)),0)</f>
        <v>0</v>
      </c>
      <c r="BC601">
        <f>IF(AK601=ReachLabel,AP601,0)</f>
        <v>0</v>
      </c>
      <c r="BD601">
        <f>IF(AK601=MatchLabel,AP601,0)</f>
        <v>0</v>
      </c>
      <c r="BE601">
        <f>IF(AK601=SafetyLabel,AP601,0)</f>
        <v>0</v>
      </c>
      <c r="BF601">
        <f>IF(AK601=SecureLabel,AP601,0)</f>
        <v>0</v>
      </c>
      <c r="BG601">
        <f>IF(AK601=SureThingLabel,AP601,0)</f>
        <v>0</v>
      </c>
      <c r="BH601">
        <f>MAX(BC601:BG601)</f>
        <v>0</v>
      </c>
      <c r="BI601">
        <f>MAX(BD601:BG601)</f>
        <v>0</v>
      </c>
      <c r="BJ601">
        <f>MAX(BE601:BG601)</f>
        <v>0</v>
      </c>
      <c r="BK601">
        <f>IF(AND(AK601=ReachLabel,AY601=1),AP601,0)</f>
        <v>0</v>
      </c>
      <c r="BL601">
        <f>IF(AND(AK601=MatchLabel,AY601=1),AP601,0)</f>
        <v>0</v>
      </c>
      <c r="BM601">
        <f>IF(AND(AK601=SafetyLabel,AY601=1),AP601,0)</f>
        <v>0</v>
      </c>
      <c r="BN601">
        <f>IF(AND(AK601=SecureLabel,AY601=1),AP601,0)</f>
        <v>0</v>
      </c>
      <c r="BO601">
        <f>IF(AND(AK601=SureThingLabel,AY601=1),AP601,0)</f>
        <v>0</v>
      </c>
      <c r="BP601">
        <f>MAX(BK601:BO601)</f>
        <v>0</v>
      </c>
      <c r="BQ601">
        <f>MAX(BL601:BO601)</f>
        <v>0</v>
      </c>
      <c r="BR601">
        <f>MAX(BM601:BO601)</f>
        <v>0</v>
      </c>
      <c r="BS601">
        <f>IF(ISNUMBER(Y601),INDEX(AllCollegeChicago, MATCH(N601,AllCollegeNCES,0))*AY601,0)</f>
        <v>0</v>
      </c>
      <c r="BT601">
        <f>IF(ISNUMBER(Y601),INDEX(AllCollegeMoneyCode, MATCH(N601,AllCollegeNCES,0)),"?")</f>
        <v>0</v>
      </c>
      <c r="BU601">
        <f>IF(OR(BT601="---",BT601="--",BT601="+/--",BT601="+/---"),1,0)</f>
        <v>0</v>
      </c>
      <c r="BV601">
        <f>AY601*AO601*AQ601</f>
        <v>0</v>
      </c>
    </row>
    <row r="602" spans="1:74">
      <c r="A602" t="s">
        <v>86</v>
      </c>
      <c r="B602">
        <v>24090662</v>
      </c>
      <c r="C602" t="s">
        <v>182</v>
      </c>
      <c r="D602" t="s">
        <v>183</v>
      </c>
      <c r="E602" t="s">
        <v>428</v>
      </c>
      <c r="F602" t="s">
        <v>570</v>
      </c>
      <c r="G602" t="s">
        <v>526</v>
      </c>
      <c r="H602" t="s">
        <v>526</v>
      </c>
      <c r="I602" t="s">
        <v>527</v>
      </c>
      <c r="J602" t="s">
        <v>428</v>
      </c>
      <c r="K602" t="s">
        <v>428</v>
      </c>
      <c r="L602" t="s">
        <v>428</v>
      </c>
      <c r="M602" t="s">
        <v>428</v>
      </c>
      <c r="N602">
        <v>143118</v>
      </c>
      <c r="O602">
        <f>INDEX(AllCollegeBarrons,MATCH(N602,AllCollegeNCES,0))</f>
        <v>0</v>
      </c>
      <c r="P602">
        <f>INDEX(KidGPAs,MATCH(B602,KidIDs,0))</f>
        <v>0</v>
      </c>
      <c r="Q602">
        <f>INDEX(KidACTs,MATCH(B602,KidIDs,0))</f>
        <v>0</v>
      </c>
      <c r="R602">
        <f>INDEX(Strats,MATCH(B602,KidIDs,0))</f>
        <v>0</v>
      </c>
      <c r="S602">
        <f>INDEX(KidRace,MATCH(B602,KidIDs,0))</f>
        <v>0</v>
      </c>
      <c r="T602">
        <f>IF(OR(S602="M",S602="I"),"H",S602)</f>
        <v>0</v>
      </c>
      <c r="U602">
        <f>INDEX(StudentTargets,MATCH(B602,KidIDs,0))</f>
        <v>0</v>
      </c>
      <c r="V602">
        <f>INDEX(ReachStudentTargets,MATCH(B602,KidIDs,0))</f>
        <v>0</v>
      </c>
      <c r="W602">
        <f>IF(OR(M602="Posse"),1,0)</f>
        <v>0</v>
      </c>
      <c r="X602">
        <f>IF(ISNUMBER(INDEX(AllCollegeGR, MATCH(N602,AllCollegeNCES,0))),ROUND(INDEX(AllCollegeGR, MATCH(N602,AllCollegeNCES,0))+W602*IF(INDEX(AllCollegeGR, MATCH(N602,AllCollegeNCES,0))&gt;0.7,(1-INDEX(AllCollegeGR, MATCH(N602,AllCollegeNCES,0)))/2,0.15),2),INDEX(AllCollegeGR, MATCH(N602,AllCollegeNCES,0)))</f>
        <v>0</v>
      </c>
      <c r="Y602">
        <f>IF(ISNUMBER(INDEX(AllCollegeAAHGR, MATCH(N602,AllCollegeNCES,0))),ROUND(INDEX(AllCollegeAAHGR, MATCH(N602,AllCollegeNCES,0))+W602*IF(INDEX(AllCollegeAAHGR, MATCH(N602,AllCollegeNCES,0))&gt;0.7,(1-INDEX(AllCollegeAAHGR, MATCH(N602,AllCollegeNCES,0)))/2,0.15),2),INDEX(AllCollegeAAHGR, MATCH(N602,AllCollegeNCES,0)))</f>
        <v>0</v>
      </c>
      <c r="Z602">
        <f>IF(OR(T602="H",T602="B"),INDEX(AllCollegeACT25, MATCH(N602,AllCollegeNCES,0)),INDEX(AllCollegeACT50, MATCH(N602,AllCollegeNCES,0)))</f>
        <v>0</v>
      </c>
      <c r="AA602">
        <f>INDEX(CustomWeightsGPA,MATCH(T602&amp;":"&amp;N602,CustomWeightsIndex,0))</f>
        <v>0</v>
      </c>
      <c r="AB602">
        <f>INDEX(CustomWeightsACT,MATCH(T602&amp;":"&amp;N602,CustomWeightsIndex,0))</f>
        <v>0</v>
      </c>
      <c r="AC602">
        <f>INDEX(CustomWeightsIntercept,MATCH(T602&amp;":"&amp;N602,CustomWeightsIndex,0))</f>
        <v>0</v>
      </c>
      <c r="AD602">
        <f>AA602*P602+AB602*Q602+AC602</f>
        <v>0</v>
      </c>
      <c r="AE602">
        <f>INDEX(CoefficientsGPA,MATCH(T602&amp;":"&amp;O602,CoefficientsIndex,0))</f>
        <v>0</v>
      </c>
      <c r="AF602">
        <f>INDEX(CoefficientsACT,MATCH(T602&amp;":"&amp;O602,CoefficientsIndex,0))</f>
        <v>0</v>
      </c>
      <c r="AG602">
        <f>INDEX(CoefficientsIntercept,MATCH(T602&amp;":"&amp;O602,CoefficientsIndex,0))</f>
        <v>0</v>
      </c>
      <c r="AH602">
        <f>AE602*P602+(Q602-Z602)*AF602+AG602</f>
        <v>0</v>
      </c>
      <c r="AI602">
        <f>IF(ISNUMBER(AD602),AD602,AH602)</f>
        <v>0</v>
      </c>
      <c r="AJ602">
        <f>IF(ISNUMBER(AI602),IF(ISNUMBER(AE602),IF(AND(AE602=1,AF602=1,AG602=1),100,ROUND(100*EXP(AI602)/(1+EXP(AI602)),2)),ROUND(100*EXP(AI602)/(1+EXP(AI602)),2)),IF(ISTEXT(O602),IF(LEFT(O602,1)="2",100,"N/A"),"N/A"))</f>
        <v>0</v>
      </c>
      <c r="AK602">
        <f>IF(ISNUMBER(AJ602),IF(AJ602&gt;=99,IF(OR(R602=10,R602=11),MatchLabel,SureThingLabel),IF(AJ602&gt;=95,SecureLabel,IF(AJ602&gt;=80,SafetyLabel,IF(AJ602&gt;=50,MatchLabel,IF(AJ602&gt;=20,ReachLabel,IF(AJ602&gt;=10,LongshotLabel,HailMaryLabel)))))),"Other")</f>
        <v>0</v>
      </c>
      <c r="AL602">
        <f>IF(OR(I602="accepted",I602="cond. accept",I602="summer admit"),IF(J602="yes","CHOICE!","Accepted!"),IF(I602="denied","Denied",IF(K602=1,"Waitlist",IF(L602=1,"Deferred",IF(G602="pending","Pending",IF(OR(G602="initial materials submitted",G602="mid-year submitted",G602="final submitted"),"Submitted",IF(H602="interest","Interest","?")))))))</f>
        <v>0</v>
      </c>
      <c r="AM602">
        <f>IF(OR(AK602=ReachLabel,AK602=LongshotLabel,AK602=HailMaryLabel),1,0)</f>
        <v>0</v>
      </c>
      <c r="AN602">
        <f>IF(OR(AM602=1,AK602=MatchLabel),1,0)</f>
        <v>0</v>
      </c>
      <c r="AO602">
        <f>IF(OR(AK602=MatchLabel,AK602=SafetyLabel,AK602=SecureLabel,AK602=SureThingLabel),1,0)</f>
        <v>0</v>
      </c>
      <c r="AP602">
        <f>IF(OR(T602="H",T602="B"),IF(ISNUMBER(Y602),ROUND(Y602,2),0),IF(ISNUMBER(X602),ROUND(X602,2),0))</f>
        <v>0</v>
      </c>
      <c r="AQ602">
        <f>IF(AP602&gt;=U602,1,0)</f>
        <v>0</v>
      </c>
      <c r="AR602">
        <f>IF(AP602&gt;=V602,1,0)</f>
        <v>0</v>
      </c>
      <c r="AS602">
        <f>IF(AP602&lt;(U602-0.10),1,0)</f>
        <v>0</v>
      </c>
      <c r="AT602">
        <f>1-AJ602/100</f>
        <v>0</v>
      </c>
      <c r="AU602">
        <f>IF(AN602=1,AT602,1)</f>
        <v>0</v>
      </c>
      <c r="AV602">
        <f>IF(AM602=1,AT602,1)</f>
        <v>0</v>
      </c>
      <c r="AW602">
        <f>IF(AND(AQ602=1,ISNUMBER(AT602)),$AT602,1)</f>
        <v>0</v>
      </c>
      <c r="AX602">
        <f>IF(AND(AR602=1,ISNUMBER(AT602)),$AT602,1)</f>
        <v>0</v>
      </c>
      <c r="AY602">
        <f>IF(ISNUMBER(Y602),INDEX(AllCollegeMoney, MATCH(N602,AllCollegeNCES,0)),0)</f>
        <v>0</v>
      </c>
      <c r="AZ602">
        <f>IF(AND(AQ602=1,ISNUMBER(AT602),AY602=1),$AT602,1)</f>
        <v>0</v>
      </c>
      <c r="BA602">
        <f>IF(AND(AR602=1,ISNUMBER(AT602),AY602=1),$AT602,1)</f>
        <v>0</v>
      </c>
      <c r="BB602">
        <f>IF(ISNUMBER(Y602),INDEX(AllCollegeILPub, MATCH(N602,AllCollegeNCES,0)),0)</f>
        <v>0</v>
      </c>
      <c r="BC602">
        <f>IF(AK602=ReachLabel,AP602,0)</f>
        <v>0</v>
      </c>
      <c r="BD602">
        <f>IF(AK602=MatchLabel,AP602,0)</f>
        <v>0</v>
      </c>
      <c r="BE602">
        <f>IF(AK602=SafetyLabel,AP602,0)</f>
        <v>0</v>
      </c>
      <c r="BF602">
        <f>IF(AK602=SecureLabel,AP602,0)</f>
        <v>0</v>
      </c>
      <c r="BG602">
        <f>IF(AK602=SureThingLabel,AP602,0)</f>
        <v>0</v>
      </c>
      <c r="BH602">
        <f>MAX(BC602:BG602)</f>
        <v>0</v>
      </c>
      <c r="BI602">
        <f>MAX(BD602:BG602)</f>
        <v>0</v>
      </c>
      <c r="BJ602">
        <f>MAX(BE602:BG602)</f>
        <v>0</v>
      </c>
      <c r="BK602">
        <f>IF(AND(AK602=ReachLabel,AY602=1),AP602,0)</f>
        <v>0</v>
      </c>
      <c r="BL602">
        <f>IF(AND(AK602=MatchLabel,AY602=1),AP602,0)</f>
        <v>0</v>
      </c>
      <c r="BM602">
        <f>IF(AND(AK602=SafetyLabel,AY602=1),AP602,0)</f>
        <v>0</v>
      </c>
      <c r="BN602">
        <f>IF(AND(AK602=SecureLabel,AY602=1),AP602,0)</f>
        <v>0</v>
      </c>
      <c r="BO602">
        <f>IF(AND(AK602=SureThingLabel,AY602=1),AP602,0)</f>
        <v>0</v>
      </c>
      <c r="BP602">
        <f>MAX(BK602:BO602)</f>
        <v>0</v>
      </c>
      <c r="BQ602">
        <f>MAX(BL602:BO602)</f>
        <v>0</v>
      </c>
      <c r="BR602">
        <f>MAX(BM602:BO602)</f>
        <v>0</v>
      </c>
      <c r="BS602">
        <f>IF(ISNUMBER(Y602),INDEX(AllCollegeChicago, MATCH(N602,AllCollegeNCES,0))*AY602,0)</f>
        <v>0</v>
      </c>
      <c r="BT602">
        <f>IF(ISNUMBER(Y602),INDEX(AllCollegeMoneyCode, MATCH(N602,AllCollegeNCES,0)),"?")</f>
        <v>0</v>
      </c>
      <c r="BU602">
        <f>IF(OR(BT602="---",BT602="--",BT602="+/--",BT602="+/---"),1,0)</f>
        <v>0</v>
      </c>
      <c r="BV602">
        <f>AY602*AO602*AQ602</f>
        <v>0</v>
      </c>
    </row>
    <row r="603" spans="1:74">
      <c r="A603" t="s">
        <v>86</v>
      </c>
      <c r="B603">
        <v>24090662</v>
      </c>
      <c r="C603" t="s">
        <v>182</v>
      </c>
      <c r="D603" t="s">
        <v>183</v>
      </c>
      <c r="E603" t="s">
        <v>428</v>
      </c>
      <c r="F603" t="s">
        <v>571</v>
      </c>
      <c r="G603" t="s">
        <v>526</v>
      </c>
      <c r="H603" t="s">
        <v>526</v>
      </c>
      <c r="I603" t="s">
        <v>527</v>
      </c>
      <c r="J603" t="s">
        <v>428</v>
      </c>
      <c r="K603" t="s">
        <v>428</v>
      </c>
      <c r="L603" t="s">
        <v>428</v>
      </c>
      <c r="M603" t="s">
        <v>428</v>
      </c>
      <c r="N603">
        <v>232937</v>
      </c>
      <c r="O603">
        <f>INDEX(AllCollegeBarrons,MATCH(N603,AllCollegeNCES,0))</f>
        <v>0</v>
      </c>
      <c r="P603">
        <f>INDEX(KidGPAs,MATCH(B603,KidIDs,0))</f>
        <v>0</v>
      </c>
      <c r="Q603">
        <f>INDEX(KidACTs,MATCH(B603,KidIDs,0))</f>
        <v>0</v>
      </c>
      <c r="R603">
        <f>INDEX(Strats,MATCH(B603,KidIDs,0))</f>
        <v>0</v>
      </c>
      <c r="S603">
        <f>INDEX(KidRace,MATCH(B603,KidIDs,0))</f>
        <v>0</v>
      </c>
      <c r="T603">
        <f>IF(OR(S603="M",S603="I"),"H",S603)</f>
        <v>0</v>
      </c>
      <c r="U603">
        <f>INDEX(StudentTargets,MATCH(B603,KidIDs,0))</f>
        <v>0</v>
      </c>
      <c r="V603">
        <f>INDEX(ReachStudentTargets,MATCH(B603,KidIDs,0))</f>
        <v>0</v>
      </c>
      <c r="W603">
        <f>IF(OR(M603="Posse"),1,0)</f>
        <v>0</v>
      </c>
      <c r="X603">
        <f>IF(ISNUMBER(INDEX(AllCollegeGR, MATCH(N603,AllCollegeNCES,0))),ROUND(INDEX(AllCollegeGR, MATCH(N603,AllCollegeNCES,0))+W603*IF(INDEX(AllCollegeGR, MATCH(N603,AllCollegeNCES,0))&gt;0.7,(1-INDEX(AllCollegeGR, MATCH(N603,AllCollegeNCES,0)))/2,0.15),2),INDEX(AllCollegeGR, MATCH(N603,AllCollegeNCES,0)))</f>
        <v>0</v>
      </c>
      <c r="Y603">
        <f>IF(ISNUMBER(INDEX(AllCollegeAAHGR, MATCH(N603,AllCollegeNCES,0))),ROUND(INDEX(AllCollegeAAHGR, MATCH(N603,AllCollegeNCES,0))+W603*IF(INDEX(AllCollegeAAHGR, MATCH(N603,AllCollegeNCES,0))&gt;0.7,(1-INDEX(AllCollegeAAHGR, MATCH(N603,AllCollegeNCES,0)))/2,0.15),2),INDEX(AllCollegeAAHGR, MATCH(N603,AllCollegeNCES,0)))</f>
        <v>0</v>
      </c>
      <c r="Z603">
        <f>IF(OR(T603="H",T603="B"),INDEX(AllCollegeACT25, MATCH(N603,AllCollegeNCES,0)),INDEX(AllCollegeACT50, MATCH(N603,AllCollegeNCES,0)))</f>
        <v>0</v>
      </c>
      <c r="AA603">
        <f>INDEX(CustomWeightsGPA,MATCH(T603&amp;":"&amp;N603,CustomWeightsIndex,0))</f>
        <v>0</v>
      </c>
      <c r="AB603">
        <f>INDEX(CustomWeightsACT,MATCH(T603&amp;":"&amp;N603,CustomWeightsIndex,0))</f>
        <v>0</v>
      </c>
      <c r="AC603">
        <f>INDEX(CustomWeightsIntercept,MATCH(T603&amp;":"&amp;N603,CustomWeightsIndex,0))</f>
        <v>0</v>
      </c>
      <c r="AD603">
        <f>AA603*P603+AB603*Q603+AC603</f>
        <v>0</v>
      </c>
      <c r="AE603">
        <f>INDEX(CoefficientsGPA,MATCH(T603&amp;":"&amp;O603,CoefficientsIndex,0))</f>
        <v>0</v>
      </c>
      <c r="AF603">
        <f>INDEX(CoefficientsACT,MATCH(T603&amp;":"&amp;O603,CoefficientsIndex,0))</f>
        <v>0</v>
      </c>
      <c r="AG603">
        <f>INDEX(CoefficientsIntercept,MATCH(T603&amp;":"&amp;O603,CoefficientsIndex,0))</f>
        <v>0</v>
      </c>
      <c r="AH603">
        <f>AE603*P603+(Q603-Z603)*AF603+AG603</f>
        <v>0</v>
      </c>
      <c r="AI603">
        <f>IF(ISNUMBER(AD603),AD603,AH603)</f>
        <v>0</v>
      </c>
      <c r="AJ603">
        <f>IF(ISNUMBER(AI603),IF(ISNUMBER(AE603),IF(AND(AE603=1,AF603=1,AG603=1),100,ROUND(100*EXP(AI603)/(1+EXP(AI603)),2)),ROUND(100*EXP(AI603)/(1+EXP(AI603)),2)),IF(ISTEXT(O603),IF(LEFT(O603,1)="2",100,"N/A"),"N/A"))</f>
        <v>0</v>
      </c>
      <c r="AK603">
        <f>IF(ISNUMBER(AJ603),IF(AJ603&gt;=99,IF(OR(R603=10,R603=11),MatchLabel,SureThingLabel),IF(AJ603&gt;=95,SecureLabel,IF(AJ603&gt;=80,SafetyLabel,IF(AJ603&gt;=50,MatchLabel,IF(AJ603&gt;=20,ReachLabel,IF(AJ603&gt;=10,LongshotLabel,HailMaryLabel)))))),"Other")</f>
        <v>0</v>
      </c>
      <c r="AL603">
        <f>IF(OR(I603="accepted",I603="cond. accept",I603="summer admit"),IF(J603="yes","CHOICE!","Accepted!"),IF(I603="denied","Denied",IF(K603=1,"Waitlist",IF(L603=1,"Deferred",IF(G603="pending","Pending",IF(OR(G603="initial materials submitted",G603="mid-year submitted",G603="final submitted"),"Submitted",IF(H603="interest","Interest","?")))))))</f>
        <v>0</v>
      </c>
      <c r="AM603">
        <f>IF(OR(AK603=ReachLabel,AK603=LongshotLabel,AK603=HailMaryLabel),1,0)</f>
        <v>0</v>
      </c>
      <c r="AN603">
        <f>IF(OR(AM603=1,AK603=MatchLabel),1,0)</f>
        <v>0</v>
      </c>
      <c r="AO603">
        <f>IF(OR(AK603=MatchLabel,AK603=SafetyLabel,AK603=SecureLabel,AK603=SureThingLabel),1,0)</f>
        <v>0</v>
      </c>
      <c r="AP603">
        <f>IF(OR(T603="H",T603="B"),IF(ISNUMBER(Y603),ROUND(Y603,2),0),IF(ISNUMBER(X603),ROUND(X603,2),0))</f>
        <v>0</v>
      </c>
      <c r="AQ603">
        <f>IF(AP603&gt;=U603,1,0)</f>
        <v>0</v>
      </c>
      <c r="AR603">
        <f>IF(AP603&gt;=V603,1,0)</f>
        <v>0</v>
      </c>
      <c r="AS603">
        <f>IF(AP603&lt;(U603-0.10),1,0)</f>
        <v>0</v>
      </c>
      <c r="AT603">
        <f>1-AJ603/100</f>
        <v>0</v>
      </c>
      <c r="AU603">
        <f>IF(AN603=1,AT603,1)</f>
        <v>0</v>
      </c>
      <c r="AV603">
        <f>IF(AM603=1,AT603,1)</f>
        <v>0</v>
      </c>
      <c r="AW603">
        <f>IF(AND(AQ603=1,ISNUMBER(AT603)),$AT603,1)</f>
        <v>0</v>
      </c>
      <c r="AX603">
        <f>IF(AND(AR603=1,ISNUMBER(AT603)),$AT603,1)</f>
        <v>0</v>
      </c>
      <c r="AY603">
        <f>IF(ISNUMBER(Y603),INDEX(AllCollegeMoney, MATCH(N603,AllCollegeNCES,0)),0)</f>
        <v>0</v>
      </c>
      <c r="AZ603">
        <f>IF(AND(AQ603=1,ISNUMBER(AT603),AY603=1),$AT603,1)</f>
        <v>0</v>
      </c>
      <c r="BA603">
        <f>IF(AND(AR603=1,ISNUMBER(AT603),AY603=1),$AT603,1)</f>
        <v>0</v>
      </c>
      <c r="BB603">
        <f>IF(ISNUMBER(Y603),INDEX(AllCollegeILPub, MATCH(N603,AllCollegeNCES,0)),0)</f>
        <v>0</v>
      </c>
      <c r="BC603">
        <f>IF(AK603=ReachLabel,AP603,0)</f>
        <v>0</v>
      </c>
      <c r="BD603">
        <f>IF(AK603=MatchLabel,AP603,0)</f>
        <v>0</v>
      </c>
      <c r="BE603">
        <f>IF(AK603=SafetyLabel,AP603,0)</f>
        <v>0</v>
      </c>
      <c r="BF603">
        <f>IF(AK603=SecureLabel,AP603,0)</f>
        <v>0</v>
      </c>
      <c r="BG603">
        <f>IF(AK603=SureThingLabel,AP603,0)</f>
        <v>0</v>
      </c>
      <c r="BH603">
        <f>MAX(BC603:BG603)</f>
        <v>0</v>
      </c>
      <c r="BI603">
        <f>MAX(BD603:BG603)</f>
        <v>0</v>
      </c>
      <c r="BJ603">
        <f>MAX(BE603:BG603)</f>
        <v>0</v>
      </c>
      <c r="BK603">
        <f>IF(AND(AK603=ReachLabel,AY603=1),AP603,0)</f>
        <v>0</v>
      </c>
      <c r="BL603">
        <f>IF(AND(AK603=MatchLabel,AY603=1),AP603,0)</f>
        <v>0</v>
      </c>
      <c r="BM603">
        <f>IF(AND(AK603=SafetyLabel,AY603=1),AP603,0)</f>
        <v>0</v>
      </c>
      <c r="BN603">
        <f>IF(AND(AK603=SecureLabel,AY603=1),AP603,0)</f>
        <v>0</v>
      </c>
      <c r="BO603">
        <f>IF(AND(AK603=SureThingLabel,AY603=1),AP603,0)</f>
        <v>0</v>
      </c>
      <c r="BP603">
        <f>MAX(BK603:BO603)</f>
        <v>0</v>
      </c>
      <c r="BQ603">
        <f>MAX(BL603:BO603)</f>
        <v>0</v>
      </c>
      <c r="BR603">
        <f>MAX(BM603:BO603)</f>
        <v>0</v>
      </c>
      <c r="BS603">
        <f>IF(ISNUMBER(Y603),INDEX(AllCollegeChicago, MATCH(N603,AllCollegeNCES,0))*AY603,0)</f>
        <v>0</v>
      </c>
      <c r="BT603">
        <f>IF(ISNUMBER(Y603),INDEX(AllCollegeMoneyCode, MATCH(N603,AllCollegeNCES,0)),"?")</f>
        <v>0</v>
      </c>
      <c r="BU603">
        <f>IF(OR(BT603="---",BT603="--",BT603="+/--",BT603="+/---"),1,0)</f>
        <v>0</v>
      </c>
      <c r="BV603">
        <f>AY603*AO603*AQ603</f>
        <v>0</v>
      </c>
    </row>
    <row r="604" spans="1:74">
      <c r="A604" t="s">
        <v>86</v>
      </c>
      <c r="B604">
        <v>24090662</v>
      </c>
      <c r="C604" t="s">
        <v>182</v>
      </c>
      <c r="D604" t="s">
        <v>183</v>
      </c>
      <c r="E604" t="s">
        <v>428</v>
      </c>
      <c r="F604" t="s">
        <v>543</v>
      </c>
      <c r="G604" t="s">
        <v>526</v>
      </c>
      <c r="H604" t="s">
        <v>526</v>
      </c>
      <c r="I604" t="s">
        <v>527</v>
      </c>
      <c r="J604" t="s">
        <v>428</v>
      </c>
      <c r="K604" t="s">
        <v>428</v>
      </c>
      <c r="L604" t="s">
        <v>428</v>
      </c>
      <c r="M604" t="s">
        <v>428</v>
      </c>
      <c r="N604">
        <v>145813</v>
      </c>
      <c r="O604">
        <f>INDEX(AllCollegeBarrons,MATCH(N604,AllCollegeNCES,0))</f>
        <v>0</v>
      </c>
      <c r="P604">
        <f>INDEX(KidGPAs,MATCH(B604,KidIDs,0))</f>
        <v>0</v>
      </c>
      <c r="Q604">
        <f>INDEX(KidACTs,MATCH(B604,KidIDs,0))</f>
        <v>0</v>
      </c>
      <c r="R604">
        <f>INDEX(Strats,MATCH(B604,KidIDs,0))</f>
        <v>0</v>
      </c>
      <c r="S604">
        <f>INDEX(KidRace,MATCH(B604,KidIDs,0))</f>
        <v>0</v>
      </c>
      <c r="T604">
        <f>IF(OR(S604="M",S604="I"),"H",S604)</f>
        <v>0</v>
      </c>
      <c r="U604">
        <f>INDEX(StudentTargets,MATCH(B604,KidIDs,0))</f>
        <v>0</v>
      </c>
      <c r="V604">
        <f>INDEX(ReachStudentTargets,MATCH(B604,KidIDs,0))</f>
        <v>0</v>
      </c>
      <c r="W604">
        <f>IF(OR(M604="Posse"),1,0)</f>
        <v>0</v>
      </c>
      <c r="X604">
        <f>IF(ISNUMBER(INDEX(AllCollegeGR, MATCH(N604,AllCollegeNCES,0))),ROUND(INDEX(AllCollegeGR, MATCH(N604,AllCollegeNCES,0))+W604*IF(INDEX(AllCollegeGR, MATCH(N604,AllCollegeNCES,0))&gt;0.7,(1-INDEX(AllCollegeGR, MATCH(N604,AllCollegeNCES,0)))/2,0.15),2),INDEX(AllCollegeGR, MATCH(N604,AllCollegeNCES,0)))</f>
        <v>0</v>
      </c>
      <c r="Y604">
        <f>IF(ISNUMBER(INDEX(AllCollegeAAHGR, MATCH(N604,AllCollegeNCES,0))),ROUND(INDEX(AllCollegeAAHGR, MATCH(N604,AllCollegeNCES,0))+W604*IF(INDEX(AllCollegeAAHGR, MATCH(N604,AllCollegeNCES,0))&gt;0.7,(1-INDEX(AllCollegeAAHGR, MATCH(N604,AllCollegeNCES,0)))/2,0.15),2),INDEX(AllCollegeAAHGR, MATCH(N604,AllCollegeNCES,0)))</f>
        <v>0</v>
      </c>
      <c r="Z604">
        <f>IF(OR(T604="H",T604="B"),INDEX(AllCollegeACT25, MATCH(N604,AllCollegeNCES,0)),INDEX(AllCollegeACT50, MATCH(N604,AllCollegeNCES,0)))</f>
        <v>0</v>
      </c>
      <c r="AA604">
        <f>INDEX(CustomWeightsGPA,MATCH(T604&amp;":"&amp;N604,CustomWeightsIndex,0))</f>
        <v>0</v>
      </c>
      <c r="AB604">
        <f>INDEX(CustomWeightsACT,MATCH(T604&amp;":"&amp;N604,CustomWeightsIndex,0))</f>
        <v>0</v>
      </c>
      <c r="AC604">
        <f>INDEX(CustomWeightsIntercept,MATCH(T604&amp;":"&amp;N604,CustomWeightsIndex,0))</f>
        <v>0</v>
      </c>
      <c r="AD604">
        <f>AA604*P604+AB604*Q604+AC604</f>
        <v>0</v>
      </c>
      <c r="AE604">
        <f>INDEX(CoefficientsGPA,MATCH(T604&amp;":"&amp;O604,CoefficientsIndex,0))</f>
        <v>0</v>
      </c>
      <c r="AF604">
        <f>INDEX(CoefficientsACT,MATCH(T604&amp;":"&amp;O604,CoefficientsIndex,0))</f>
        <v>0</v>
      </c>
      <c r="AG604">
        <f>INDEX(CoefficientsIntercept,MATCH(T604&amp;":"&amp;O604,CoefficientsIndex,0))</f>
        <v>0</v>
      </c>
      <c r="AH604">
        <f>AE604*P604+(Q604-Z604)*AF604+AG604</f>
        <v>0</v>
      </c>
      <c r="AI604">
        <f>IF(ISNUMBER(AD604),AD604,AH604)</f>
        <v>0</v>
      </c>
      <c r="AJ604">
        <f>IF(ISNUMBER(AI604),IF(ISNUMBER(AE604),IF(AND(AE604=1,AF604=1,AG604=1),100,ROUND(100*EXP(AI604)/(1+EXP(AI604)),2)),ROUND(100*EXP(AI604)/(1+EXP(AI604)),2)),IF(ISTEXT(O604),IF(LEFT(O604,1)="2",100,"N/A"),"N/A"))</f>
        <v>0</v>
      </c>
      <c r="AK604">
        <f>IF(ISNUMBER(AJ604),IF(AJ604&gt;=99,IF(OR(R604=10,R604=11),MatchLabel,SureThingLabel),IF(AJ604&gt;=95,SecureLabel,IF(AJ604&gt;=80,SafetyLabel,IF(AJ604&gt;=50,MatchLabel,IF(AJ604&gt;=20,ReachLabel,IF(AJ604&gt;=10,LongshotLabel,HailMaryLabel)))))),"Other")</f>
        <v>0</v>
      </c>
      <c r="AL604">
        <f>IF(OR(I604="accepted",I604="cond. accept",I604="summer admit"),IF(J604="yes","CHOICE!","Accepted!"),IF(I604="denied","Denied",IF(K604=1,"Waitlist",IF(L604=1,"Deferred",IF(G604="pending","Pending",IF(OR(G604="initial materials submitted",G604="mid-year submitted",G604="final submitted"),"Submitted",IF(H604="interest","Interest","?")))))))</f>
        <v>0</v>
      </c>
      <c r="AM604">
        <f>IF(OR(AK604=ReachLabel,AK604=LongshotLabel,AK604=HailMaryLabel),1,0)</f>
        <v>0</v>
      </c>
      <c r="AN604">
        <f>IF(OR(AM604=1,AK604=MatchLabel),1,0)</f>
        <v>0</v>
      </c>
      <c r="AO604">
        <f>IF(OR(AK604=MatchLabel,AK604=SafetyLabel,AK604=SecureLabel,AK604=SureThingLabel),1,0)</f>
        <v>0</v>
      </c>
      <c r="AP604">
        <f>IF(OR(T604="H",T604="B"),IF(ISNUMBER(Y604),ROUND(Y604,2),0),IF(ISNUMBER(X604),ROUND(X604,2),0))</f>
        <v>0</v>
      </c>
      <c r="AQ604">
        <f>IF(AP604&gt;=U604,1,0)</f>
        <v>0</v>
      </c>
      <c r="AR604">
        <f>IF(AP604&gt;=V604,1,0)</f>
        <v>0</v>
      </c>
      <c r="AS604">
        <f>IF(AP604&lt;(U604-0.10),1,0)</f>
        <v>0</v>
      </c>
      <c r="AT604">
        <f>1-AJ604/100</f>
        <v>0</v>
      </c>
      <c r="AU604">
        <f>IF(AN604=1,AT604,1)</f>
        <v>0</v>
      </c>
      <c r="AV604">
        <f>IF(AM604=1,AT604,1)</f>
        <v>0</v>
      </c>
      <c r="AW604">
        <f>IF(AND(AQ604=1,ISNUMBER(AT604)),$AT604,1)</f>
        <v>0</v>
      </c>
      <c r="AX604">
        <f>IF(AND(AR604=1,ISNUMBER(AT604)),$AT604,1)</f>
        <v>0</v>
      </c>
      <c r="AY604">
        <f>IF(ISNUMBER(Y604),INDEX(AllCollegeMoney, MATCH(N604,AllCollegeNCES,0)),0)</f>
        <v>0</v>
      </c>
      <c r="AZ604">
        <f>IF(AND(AQ604=1,ISNUMBER(AT604),AY604=1),$AT604,1)</f>
        <v>0</v>
      </c>
      <c r="BA604">
        <f>IF(AND(AR604=1,ISNUMBER(AT604),AY604=1),$AT604,1)</f>
        <v>0</v>
      </c>
      <c r="BB604">
        <f>IF(ISNUMBER(Y604),INDEX(AllCollegeILPub, MATCH(N604,AllCollegeNCES,0)),0)</f>
        <v>0</v>
      </c>
      <c r="BC604">
        <f>IF(AK604=ReachLabel,AP604,0)</f>
        <v>0</v>
      </c>
      <c r="BD604">
        <f>IF(AK604=MatchLabel,AP604,0)</f>
        <v>0</v>
      </c>
      <c r="BE604">
        <f>IF(AK604=SafetyLabel,AP604,0)</f>
        <v>0</v>
      </c>
      <c r="BF604">
        <f>IF(AK604=SecureLabel,AP604,0)</f>
        <v>0</v>
      </c>
      <c r="BG604">
        <f>IF(AK604=SureThingLabel,AP604,0)</f>
        <v>0</v>
      </c>
      <c r="BH604">
        <f>MAX(BC604:BG604)</f>
        <v>0</v>
      </c>
      <c r="BI604">
        <f>MAX(BD604:BG604)</f>
        <v>0</v>
      </c>
      <c r="BJ604">
        <f>MAX(BE604:BG604)</f>
        <v>0</v>
      </c>
      <c r="BK604">
        <f>IF(AND(AK604=ReachLabel,AY604=1),AP604,0)</f>
        <v>0</v>
      </c>
      <c r="BL604">
        <f>IF(AND(AK604=MatchLabel,AY604=1),AP604,0)</f>
        <v>0</v>
      </c>
      <c r="BM604">
        <f>IF(AND(AK604=SafetyLabel,AY604=1),AP604,0)</f>
        <v>0</v>
      </c>
      <c r="BN604">
        <f>IF(AND(AK604=SecureLabel,AY604=1),AP604,0)</f>
        <v>0</v>
      </c>
      <c r="BO604">
        <f>IF(AND(AK604=SureThingLabel,AY604=1),AP604,0)</f>
        <v>0</v>
      </c>
      <c r="BP604">
        <f>MAX(BK604:BO604)</f>
        <v>0</v>
      </c>
      <c r="BQ604">
        <f>MAX(BL604:BO604)</f>
        <v>0</v>
      </c>
      <c r="BR604">
        <f>MAX(BM604:BO604)</f>
        <v>0</v>
      </c>
      <c r="BS604">
        <f>IF(ISNUMBER(Y604),INDEX(AllCollegeChicago, MATCH(N604,AllCollegeNCES,0))*AY604,0)</f>
        <v>0</v>
      </c>
      <c r="BT604">
        <f>IF(ISNUMBER(Y604),INDEX(AllCollegeMoneyCode, MATCH(N604,AllCollegeNCES,0)),"?")</f>
        <v>0</v>
      </c>
      <c r="BU604">
        <f>IF(OR(BT604="---",BT604="--",BT604="+/--",BT604="+/---"),1,0)</f>
        <v>0</v>
      </c>
      <c r="BV604">
        <f>AY604*AO604*AQ604</f>
        <v>0</v>
      </c>
    </row>
    <row r="605" spans="1:74">
      <c r="A605" t="s">
        <v>86</v>
      </c>
      <c r="B605">
        <v>24090662</v>
      </c>
      <c r="C605" t="s">
        <v>182</v>
      </c>
      <c r="D605" t="s">
        <v>183</v>
      </c>
      <c r="E605" t="s">
        <v>428</v>
      </c>
      <c r="F605" t="s">
        <v>572</v>
      </c>
      <c r="G605" t="s">
        <v>526</v>
      </c>
      <c r="H605" t="s">
        <v>526</v>
      </c>
      <c r="I605" t="s">
        <v>527</v>
      </c>
      <c r="J605" t="s">
        <v>428</v>
      </c>
      <c r="K605" t="s">
        <v>428</v>
      </c>
      <c r="L605" t="s">
        <v>428</v>
      </c>
      <c r="M605" t="s">
        <v>428</v>
      </c>
      <c r="N605">
        <v>169248</v>
      </c>
      <c r="O605">
        <f>INDEX(AllCollegeBarrons,MATCH(N605,AllCollegeNCES,0))</f>
        <v>0</v>
      </c>
      <c r="P605">
        <f>INDEX(KidGPAs,MATCH(B605,KidIDs,0))</f>
        <v>0</v>
      </c>
      <c r="Q605">
        <f>INDEX(KidACTs,MATCH(B605,KidIDs,0))</f>
        <v>0</v>
      </c>
      <c r="R605">
        <f>INDEX(Strats,MATCH(B605,KidIDs,0))</f>
        <v>0</v>
      </c>
      <c r="S605">
        <f>INDEX(KidRace,MATCH(B605,KidIDs,0))</f>
        <v>0</v>
      </c>
      <c r="T605">
        <f>IF(OR(S605="M",S605="I"),"H",S605)</f>
        <v>0</v>
      </c>
      <c r="U605">
        <f>INDEX(StudentTargets,MATCH(B605,KidIDs,0))</f>
        <v>0</v>
      </c>
      <c r="V605">
        <f>INDEX(ReachStudentTargets,MATCH(B605,KidIDs,0))</f>
        <v>0</v>
      </c>
      <c r="W605">
        <f>IF(OR(M605="Posse"),1,0)</f>
        <v>0</v>
      </c>
      <c r="X605">
        <f>IF(ISNUMBER(INDEX(AllCollegeGR, MATCH(N605,AllCollegeNCES,0))),ROUND(INDEX(AllCollegeGR, MATCH(N605,AllCollegeNCES,0))+W605*IF(INDEX(AllCollegeGR, MATCH(N605,AllCollegeNCES,0))&gt;0.7,(1-INDEX(AllCollegeGR, MATCH(N605,AllCollegeNCES,0)))/2,0.15),2),INDEX(AllCollegeGR, MATCH(N605,AllCollegeNCES,0)))</f>
        <v>0</v>
      </c>
      <c r="Y605">
        <f>IF(ISNUMBER(INDEX(AllCollegeAAHGR, MATCH(N605,AllCollegeNCES,0))),ROUND(INDEX(AllCollegeAAHGR, MATCH(N605,AllCollegeNCES,0))+W605*IF(INDEX(AllCollegeAAHGR, MATCH(N605,AllCollegeNCES,0))&gt;0.7,(1-INDEX(AllCollegeAAHGR, MATCH(N605,AllCollegeNCES,0)))/2,0.15),2),INDEX(AllCollegeAAHGR, MATCH(N605,AllCollegeNCES,0)))</f>
        <v>0</v>
      </c>
      <c r="Z605">
        <f>IF(OR(T605="H",T605="B"),INDEX(AllCollegeACT25, MATCH(N605,AllCollegeNCES,0)),INDEX(AllCollegeACT50, MATCH(N605,AllCollegeNCES,0)))</f>
        <v>0</v>
      </c>
      <c r="AA605">
        <f>INDEX(CustomWeightsGPA,MATCH(T605&amp;":"&amp;N605,CustomWeightsIndex,0))</f>
        <v>0</v>
      </c>
      <c r="AB605">
        <f>INDEX(CustomWeightsACT,MATCH(T605&amp;":"&amp;N605,CustomWeightsIndex,0))</f>
        <v>0</v>
      </c>
      <c r="AC605">
        <f>INDEX(CustomWeightsIntercept,MATCH(T605&amp;":"&amp;N605,CustomWeightsIndex,0))</f>
        <v>0</v>
      </c>
      <c r="AD605">
        <f>AA605*P605+AB605*Q605+AC605</f>
        <v>0</v>
      </c>
      <c r="AE605">
        <f>INDEX(CoefficientsGPA,MATCH(T605&amp;":"&amp;O605,CoefficientsIndex,0))</f>
        <v>0</v>
      </c>
      <c r="AF605">
        <f>INDEX(CoefficientsACT,MATCH(T605&amp;":"&amp;O605,CoefficientsIndex,0))</f>
        <v>0</v>
      </c>
      <c r="AG605">
        <f>INDEX(CoefficientsIntercept,MATCH(T605&amp;":"&amp;O605,CoefficientsIndex,0))</f>
        <v>0</v>
      </c>
      <c r="AH605">
        <f>AE605*P605+(Q605-Z605)*AF605+AG605</f>
        <v>0</v>
      </c>
      <c r="AI605">
        <f>IF(ISNUMBER(AD605),AD605,AH605)</f>
        <v>0</v>
      </c>
      <c r="AJ605">
        <f>IF(ISNUMBER(AI605),IF(ISNUMBER(AE605),IF(AND(AE605=1,AF605=1,AG605=1),100,ROUND(100*EXP(AI605)/(1+EXP(AI605)),2)),ROUND(100*EXP(AI605)/(1+EXP(AI605)),2)),IF(ISTEXT(O605),IF(LEFT(O605,1)="2",100,"N/A"),"N/A"))</f>
        <v>0</v>
      </c>
      <c r="AK605">
        <f>IF(ISNUMBER(AJ605),IF(AJ605&gt;=99,IF(OR(R605=10,R605=11),MatchLabel,SureThingLabel),IF(AJ605&gt;=95,SecureLabel,IF(AJ605&gt;=80,SafetyLabel,IF(AJ605&gt;=50,MatchLabel,IF(AJ605&gt;=20,ReachLabel,IF(AJ605&gt;=10,LongshotLabel,HailMaryLabel)))))),"Other")</f>
        <v>0</v>
      </c>
      <c r="AL605">
        <f>IF(OR(I605="accepted",I605="cond. accept",I605="summer admit"),IF(J605="yes","CHOICE!","Accepted!"),IF(I605="denied","Denied",IF(K605=1,"Waitlist",IF(L605=1,"Deferred",IF(G605="pending","Pending",IF(OR(G605="initial materials submitted",G605="mid-year submitted",G605="final submitted"),"Submitted",IF(H605="interest","Interest","?")))))))</f>
        <v>0</v>
      </c>
      <c r="AM605">
        <f>IF(OR(AK605=ReachLabel,AK605=LongshotLabel,AK605=HailMaryLabel),1,0)</f>
        <v>0</v>
      </c>
      <c r="AN605">
        <f>IF(OR(AM605=1,AK605=MatchLabel),1,0)</f>
        <v>0</v>
      </c>
      <c r="AO605">
        <f>IF(OR(AK605=MatchLabel,AK605=SafetyLabel,AK605=SecureLabel,AK605=SureThingLabel),1,0)</f>
        <v>0</v>
      </c>
      <c r="AP605">
        <f>IF(OR(T605="H",T605="B"),IF(ISNUMBER(Y605),ROUND(Y605,2),0),IF(ISNUMBER(X605),ROUND(X605,2),0))</f>
        <v>0</v>
      </c>
      <c r="AQ605">
        <f>IF(AP605&gt;=U605,1,0)</f>
        <v>0</v>
      </c>
      <c r="AR605">
        <f>IF(AP605&gt;=V605,1,0)</f>
        <v>0</v>
      </c>
      <c r="AS605">
        <f>IF(AP605&lt;(U605-0.10),1,0)</f>
        <v>0</v>
      </c>
      <c r="AT605">
        <f>1-AJ605/100</f>
        <v>0</v>
      </c>
      <c r="AU605">
        <f>IF(AN605=1,AT605,1)</f>
        <v>0</v>
      </c>
      <c r="AV605">
        <f>IF(AM605=1,AT605,1)</f>
        <v>0</v>
      </c>
      <c r="AW605">
        <f>IF(AND(AQ605=1,ISNUMBER(AT605)),$AT605,1)</f>
        <v>0</v>
      </c>
      <c r="AX605">
        <f>IF(AND(AR605=1,ISNUMBER(AT605)),$AT605,1)</f>
        <v>0</v>
      </c>
      <c r="AY605">
        <f>IF(ISNUMBER(Y605),INDEX(AllCollegeMoney, MATCH(N605,AllCollegeNCES,0)),0)</f>
        <v>0</v>
      </c>
      <c r="AZ605">
        <f>IF(AND(AQ605=1,ISNUMBER(AT605),AY605=1),$AT605,1)</f>
        <v>0</v>
      </c>
      <c r="BA605">
        <f>IF(AND(AR605=1,ISNUMBER(AT605),AY605=1),$AT605,1)</f>
        <v>0</v>
      </c>
      <c r="BB605">
        <f>IF(ISNUMBER(Y605),INDEX(AllCollegeILPub, MATCH(N605,AllCollegeNCES,0)),0)</f>
        <v>0</v>
      </c>
      <c r="BC605">
        <f>IF(AK605=ReachLabel,AP605,0)</f>
        <v>0</v>
      </c>
      <c r="BD605">
        <f>IF(AK605=MatchLabel,AP605,0)</f>
        <v>0</v>
      </c>
      <c r="BE605">
        <f>IF(AK605=SafetyLabel,AP605,0)</f>
        <v>0</v>
      </c>
      <c r="BF605">
        <f>IF(AK605=SecureLabel,AP605,0)</f>
        <v>0</v>
      </c>
      <c r="BG605">
        <f>IF(AK605=SureThingLabel,AP605,0)</f>
        <v>0</v>
      </c>
      <c r="BH605">
        <f>MAX(BC605:BG605)</f>
        <v>0</v>
      </c>
      <c r="BI605">
        <f>MAX(BD605:BG605)</f>
        <v>0</v>
      </c>
      <c r="BJ605">
        <f>MAX(BE605:BG605)</f>
        <v>0</v>
      </c>
      <c r="BK605">
        <f>IF(AND(AK605=ReachLabel,AY605=1),AP605,0)</f>
        <v>0</v>
      </c>
      <c r="BL605">
        <f>IF(AND(AK605=MatchLabel,AY605=1),AP605,0)</f>
        <v>0</v>
      </c>
      <c r="BM605">
        <f>IF(AND(AK605=SafetyLabel,AY605=1),AP605,0)</f>
        <v>0</v>
      </c>
      <c r="BN605">
        <f>IF(AND(AK605=SecureLabel,AY605=1),AP605,0)</f>
        <v>0</v>
      </c>
      <c r="BO605">
        <f>IF(AND(AK605=SureThingLabel,AY605=1),AP605,0)</f>
        <v>0</v>
      </c>
      <c r="BP605">
        <f>MAX(BK605:BO605)</f>
        <v>0</v>
      </c>
      <c r="BQ605">
        <f>MAX(BL605:BO605)</f>
        <v>0</v>
      </c>
      <c r="BR605">
        <f>MAX(BM605:BO605)</f>
        <v>0</v>
      </c>
      <c r="BS605">
        <f>IF(ISNUMBER(Y605),INDEX(AllCollegeChicago, MATCH(N605,AllCollegeNCES,0))*AY605,0)</f>
        <v>0</v>
      </c>
      <c r="BT605">
        <f>IF(ISNUMBER(Y605),INDEX(AllCollegeMoneyCode, MATCH(N605,AllCollegeNCES,0)),"?")</f>
        <v>0</v>
      </c>
      <c r="BU605">
        <f>IF(OR(BT605="---",BT605="--",BT605="+/--",BT605="+/---"),1,0)</f>
        <v>0</v>
      </c>
      <c r="BV605">
        <f>AY605*AO605*AQ605</f>
        <v>0</v>
      </c>
    </row>
    <row r="606" spans="1:74">
      <c r="A606" t="s">
        <v>86</v>
      </c>
      <c r="B606">
        <v>24090662</v>
      </c>
      <c r="C606" t="s">
        <v>182</v>
      </c>
      <c r="D606" t="s">
        <v>183</v>
      </c>
      <c r="E606" t="s">
        <v>428</v>
      </c>
      <c r="F606" t="s">
        <v>573</v>
      </c>
      <c r="G606" t="s">
        <v>526</v>
      </c>
      <c r="H606" t="s">
        <v>526</v>
      </c>
      <c r="I606" t="s">
        <v>527</v>
      </c>
      <c r="J606" t="s">
        <v>428</v>
      </c>
      <c r="K606" t="s">
        <v>428</v>
      </c>
      <c r="L606" t="s">
        <v>428</v>
      </c>
      <c r="M606" t="s">
        <v>428</v>
      </c>
      <c r="N606">
        <v>144892</v>
      </c>
      <c r="O606">
        <f>INDEX(AllCollegeBarrons,MATCH(N606,AllCollegeNCES,0))</f>
        <v>0</v>
      </c>
      <c r="P606">
        <f>INDEX(KidGPAs,MATCH(B606,KidIDs,0))</f>
        <v>0</v>
      </c>
      <c r="Q606">
        <f>INDEX(KidACTs,MATCH(B606,KidIDs,0))</f>
        <v>0</v>
      </c>
      <c r="R606">
        <f>INDEX(Strats,MATCH(B606,KidIDs,0))</f>
        <v>0</v>
      </c>
      <c r="S606">
        <f>INDEX(KidRace,MATCH(B606,KidIDs,0))</f>
        <v>0</v>
      </c>
      <c r="T606">
        <f>IF(OR(S606="M",S606="I"),"H",S606)</f>
        <v>0</v>
      </c>
      <c r="U606">
        <f>INDEX(StudentTargets,MATCH(B606,KidIDs,0))</f>
        <v>0</v>
      </c>
      <c r="V606">
        <f>INDEX(ReachStudentTargets,MATCH(B606,KidIDs,0))</f>
        <v>0</v>
      </c>
      <c r="W606">
        <f>IF(OR(M606="Posse"),1,0)</f>
        <v>0</v>
      </c>
      <c r="X606">
        <f>IF(ISNUMBER(INDEX(AllCollegeGR, MATCH(N606,AllCollegeNCES,0))),ROUND(INDEX(AllCollegeGR, MATCH(N606,AllCollegeNCES,0))+W606*IF(INDEX(AllCollegeGR, MATCH(N606,AllCollegeNCES,0))&gt;0.7,(1-INDEX(AllCollegeGR, MATCH(N606,AllCollegeNCES,0)))/2,0.15),2),INDEX(AllCollegeGR, MATCH(N606,AllCollegeNCES,0)))</f>
        <v>0</v>
      </c>
      <c r="Y606">
        <f>IF(ISNUMBER(INDEX(AllCollegeAAHGR, MATCH(N606,AllCollegeNCES,0))),ROUND(INDEX(AllCollegeAAHGR, MATCH(N606,AllCollegeNCES,0))+W606*IF(INDEX(AllCollegeAAHGR, MATCH(N606,AllCollegeNCES,0))&gt;0.7,(1-INDEX(AllCollegeAAHGR, MATCH(N606,AllCollegeNCES,0)))/2,0.15),2),INDEX(AllCollegeAAHGR, MATCH(N606,AllCollegeNCES,0)))</f>
        <v>0</v>
      </c>
      <c r="Z606">
        <f>IF(OR(T606="H",T606="B"),INDEX(AllCollegeACT25, MATCH(N606,AllCollegeNCES,0)),INDEX(AllCollegeACT50, MATCH(N606,AllCollegeNCES,0)))</f>
        <v>0</v>
      </c>
      <c r="AA606">
        <f>INDEX(CustomWeightsGPA,MATCH(T606&amp;":"&amp;N606,CustomWeightsIndex,0))</f>
        <v>0</v>
      </c>
      <c r="AB606">
        <f>INDEX(CustomWeightsACT,MATCH(T606&amp;":"&amp;N606,CustomWeightsIndex,0))</f>
        <v>0</v>
      </c>
      <c r="AC606">
        <f>INDEX(CustomWeightsIntercept,MATCH(T606&amp;":"&amp;N606,CustomWeightsIndex,0))</f>
        <v>0</v>
      </c>
      <c r="AD606">
        <f>AA606*P606+AB606*Q606+AC606</f>
        <v>0</v>
      </c>
      <c r="AE606">
        <f>INDEX(CoefficientsGPA,MATCH(T606&amp;":"&amp;O606,CoefficientsIndex,0))</f>
        <v>0</v>
      </c>
      <c r="AF606">
        <f>INDEX(CoefficientsACT,MATCH(T606&amp;":"&amp;O606,CoefficientsIndex,0))</f>
        <v>0</v>
      </c>
      <c r="AG606">
        <f>INDEX(CoefficientsIntercept,MATCH(T606&amp;":"&amp;O606,CoefficientsIndex,0))</f>
        <v>0</v>
      </c>
      <c r="AH606">
        <f>AE606*P606+(Q606-Z606)*AF606+AG606</f>
        <v>0</v>
      </c>
      <c r="AI606">
        <f>IF(ISNUMBER(AD606),AD606,AH606)</f>
        <v>0</v>
      </c>
      <c r="AJ606">
        <f>IF(ISNUMBER(AI606),IF(ISNUMBER(AE606),IF(AND(AE606=1,AF606=1,AG606=1),100,ROUND(100*EXP(AI606)/(1+EXP(AI606)),2)),ROUND(100*EXP(AI606)/(1+EXP(AI606)),2)),IF(ISTEXT(O606),IF(LEFT(O606,1)="2",100,"N/A"),"N/A"))</f>
        <v>0</v>
      </c>
      <c r="AK606">
        <f>IF(ISNUMBER(AJ606),IF(AJ606&gt;=99,IF(OR(R606=10,R606=11),MatchLabel,SureThingLabel),IF(AJ606&gt;=95,SecureLabel,IF(AJ606&gt;=80,SafetyLabel,IF(AJ606&gt;=50,MatchLabel,IF(AJ606&gt;=20,ReachLabel,IF(AJ606&gt;=10,LongshotLabel,HailMaryLabel)))))),"Other")</f>
        <v>0</v>
      </c>
      <c r="AL606">
        <f>IF(OR(I606="accepted",I606="cond. accept",I606="summer admit"),IF(J606="yes","CHOICE!","Accepted!"),IF(I606="denied","Denied",IF(K606=1,"Waitlist",IF(L606=1,"Deferred",IF(G606="pending","Pending",IF(OR(G606="initial materials submitted",G606="mid-year submitted",G606="final submitted"),"Submitted",IF(H606="interest","Interest","?")))))))</f>
        <v>0</v>
      </c>
      <c r="AM606">
        <f>IF(OR(AK606=ReachLabel,AK606=LongshotLabel,AK606=HailMaryLabel),1,0)</f>
        <v>0</v>
      </c>
      <c r="AN606">
        <f>IF(OR(AM606=1,AK606=MatchLabel),1,0)</f>
        <v>0</v>
      </c>
      <c r="AO606">
        <f>IF(OR(AK606=MatchLabel,AK606=SafetyLabel,AK606=SecureLabel,AK606=SureThingLabel),1,0)</f>
        <v>0</v>
      </c>
      <c r="AP606">
        <f>IF(OR(T606="H",T606="B"),IF(ISNUMBER(Y606),ROUND(Y606,2),0),IF(ISNUMBER(X606),ROUND(X606,2),0))</f>
        <v>0</v>
      </c>
      <c r="AQ606">
        <f>IF(AP606&gt;=U606,1,0)</f>
        <v>0</v>
      </c>
      <c r="AR606">
        <f>IF(AP606&gt;=V606,1,0)</f>
        <v>0</v>
      </c>
      <c r="AS606">
        <f>IF(AP606&lt;(U606-0.10),1,0)</f>
        <v>0</v>
      </c>
      <c r="AT606">
        <f>1-AJ606/100</f>
        <v>0</v>
      </c>
      <c r="AU606">
        <f>IF(AN606=1,AT606,1)</f>
        <v>0</v>
      </c>
      <c r="AV606">
        <f>IF(AM606=1,AT606,1)</f>
        <v>0</v>
      </c>
      <c r="AW606">
        <f>IF(AND(AQ606=1,ISNUMBER(AT606)),$AT606,1)</f>
        <v>0</v>
      </c>
      <c r="AX606">
        <f>IF(AND(AR606=1,ISNUMBER(AT606)),$AT606,1)</f>
        <v>0</v>
      </c>
      <c r="AY606">
        <f>IF(ISNUMBER(Y606),INDEX(AllCollegeMoney, MATCH(N606,AllCollegeNCES,0)),0)</f>
        <v>0</v>
      </c>
      <c r="AZ606">
        <f>IF(AND(AQ606=1,ISNUMBER(AT606),AY606=1),$AT606,1)</f>
        <v>0</v>
      </c>
      <c r="BA606">
        <f>IF(AND(AR606=1,ISNUMBER(AT606),AY606=1),$AT606,1)</f>
        <v>0</v>
      </c>
      <c r="BB606">
        <f>IF(ISNUMBER(Y606),INDEX(AllCollegeILPub, MATCH(N606,AllCollegeNCES,0)),0)</f>
        <v>0</v>
      </c>
      <c r="BC606">
        <f>IF(AK606=ReachLabel,AP606,0)</f>
        <v>0</v>
      </c>
      <c r="BD606">
        <f>IF(AK606=MatchLabel,AP606,0)</f>
        <v>0</v>
      </c>
      <c r="BE606">
        <f>IF(AK606=SafetyLabel,AP606,0)</f>
        <v>0</v>
      </c>
      <c r="BF606">
        <f>IF(AK606=SecureLabel,AP606,0)</f>
        <v>0</v>
      </c>
      <c r="BG606">
        <f>IF(AK606=SureThingLabel,AP606,0)</f>
        <v>0</v>
      </c>
      <c r="BH606">
        <f>MAX(BC606:BG606)</f>
        <v>0</v>
      </c>
      <c r="BI606">
        <f>MAX(BD606:BG606)</f>
        <v>0</v>
      </c>
      <c r="BJ606">
        <f>MAX(BE606:BG606)</f>
        <v>0</v>
      </c>
      <c r="BK606">
        <f>IF(AND(AK606=ReachLabel,AY606=1),AP606,0)</f>
        <v>0</v>
      </c>
      <c r="BL606">
        <f>IF(AND(AK606=MatchLabel,AY606=1),AP606,0)</f>
        <v>0</v>
      </c>
      <c r="BM606">
        <f>IF(AND(AK606=SafetyLabel,AY606=1),AP606,0)</f>
        <v>0</v>
      </c>
      <c r="BN606">
        <f>IF(AND(AK606=SecureLabel,AY606=1),AP606,0)</f>
        <v>0</v>
      </c>
      <c r="BO606">
        <f>IF(AND(AK606=SureThingLabel,AY606=1),AP606,0)</f>
        <v>0</v>
      </c>
      <c r="BP606">
        <f>MAX(BK606:BO606)</f>
        <v>0</v>
      </c>
      <c r="BQ606">
        <f>MAX(BL606:BO606)</f>
        <v>0</v>
      </c>
      <c r="BR606">
        <f>MAX(BM606:BO606)</f>
        <v>0</v>
      </c>
      <c r="BS606">
        <f>IF(ISNUMBER(Y606),INDEX(AllCollegeChicago, MATCH(N606,AllCollegeNCES,0))*AY606,0)</f>
        <v>0</v>
      </c>
      <c r="BT606">
        <f>IF(ISNUMBER(Y606),INDEX(AllCollegeMoneyCode, MATCH(N606,AllCollegeNCES,0)),"?")</f>
        <v>0</v>
      </c>
      <c r="BU606">
        <f>IF(OR(BT606="---",BT606="--",BT606="+/--",BT606="+/---"),1,0)</f>
        <v>0</v>
      </c>
      <c r="BV606">
        <f>AY606*AO606*AQ606</f>
        <v>0</v>
      </c>
    </row>
    <row r="607" spans="1:74">
      <c r="A607" t="s">
        <v>86</v>
      </c>
      <c r="B607">
        <v>24090662</v>
      </c>
      <c r="C607" t="s">
        <v>182</v>
      </c>
      <c r="D607" t="s">
        <v>183</v>
      </c>
      <c r="E607" t="s">
        <v>428</v>
      </c>
      <c r="F607" t="s">
        <v>574</v>
      </c>
      <c r="G607" t="s">
        <v>526</v>
      </c>
      <c r="H607" t="s">
        <v>526</v>
      </c>
      <c r="I607" t="s">
        <v>527</v>
      </c>
      <c r="J607" t="s">
        <v>428</v>
      </c>
      <c r="K607" t="s">
        <v>428</v>
      </c>
      <c r="L607" t="s">
        <v>428</v>
      </c>
      <c r="M607" t="s">
        <v>428</v>
      </c>
      <c r="N607">
        <v>174817</v>
      </c>
      <c r="O607">
        <f>INDEX(AllCollegeBarrons,MATCH(N607,AllCollegeNCES,0))</f>
        <v>0</v>
      </c>
      <c r="P607">
        <f>INDEX(KidGPAs,MATCH(B607,KidIDs,0))</f>
        <v>0</v>
      </c>
      <c r="Q607">
        <f>INDEX(KidACTs,MATCH(B607,KidIDs,0))</f>
        <v>0</v>
      </c>
      <c r="R607">
        <f>INDEX(Strats,MATCH(B607,KidIDs,0))</f>
        <v>0</v>
      </c>
      <c r="S607">
        <f>INDEX(KidRace,MATCH(B607,KidIDs,0))</f>
        <v>0</v>
      </c>
      <c r="T607">
        <f>IF(OR(S607="M",S607="I"),"H",S607)</f>
        <v>0</v>
      </c>
      <c r="U607">
        <f>INDEX(StudentTargets,MATCH(B607,KidIDs,0))</f>
        <v>0</v>
      </c>
      <c r="V607">
        <f>INDEX(ReachStudentTargets,MATCH(B607,KidIDs,0))</f>
        <v>0</v>
      </c>
      <c r="W607">
        <f>IF(OR(M607="Posse"),1,0)</f>
        <v>0</v>
      </c>
      <c r="X607">
        <f>IF(ISNUMBER(INDEX(AllCollegeGR, MATCH(N607,AllCollegeNCES,0))),ROUND(INDEX(AllCollegeGR, MATCH(N607,AllCollegeNCES,0))+W607*IF(INDEX(AllCollegeGR, MATCH(N607,AllCollegeNCES,0))&gt;0.7,(1-INDEX(AllCollegeGR, MATCH(N607,AllCollegeNCES,0)))/2,0.15),2),INDEX(AllCollegeGR, MATCH(N607,AllCollegeNCES,0)))</f>
        <v>0</v>
      </c>
      <c r="Y607">
        <f>IF(ISNUMBER(INDEX(AllCollegeAAHGR, MATCH(N607,AllCollegeNCES,0))),ROUND(INDEX(AllCollegeAAHGR, MATCH(N607,AllCollegeNCES,0))+W607*IF(INDEX(AllCollegeAAHGR, MATCH(N607,AllCollegeNCES,0))&gt;0.7,(1-INDEX(AllCollegeAAHGR, MATCH(N607,AllCollegeNCES,0)))/2,0.15),2),INDEX(AllCollegeAAHGR, MATCH(N607,AllCollegeNCES,0)))</f>
        <v>0</v>
      </c>
      <c r="Z607">
        <f>IF(OR(T607="H",T607="B"),INDEX(AllCollegeACT25, MATCH(N607,AllCollegeNCES,0)),INDEX(AllCollegeACT50, MATCH(N607,AllCollegeNCES,0)))</f>
        <v>0</v>
      </c>
      <c r="AA607">
        <f>INDEX(CustomWeightsGPA,MATCH(T607&amp;":"&amp;N607,CustomWeightsIndex,0))</f>
        <v>0</v>
      </c>
      <c r="AB607">
        <f>INDEX(CustomWeightsACT,MATCH(T607&amp;":"&amp;N607,CustomWeightsIndex,0))</f>
        <v>0</v>
      </c>
      <c r="AC607">
        <f>INDEX(CustomWeightsIntercept,MATCH(T607&amp;":"&amp;N607,CustomWeightsIndex,0))</f>
        <v>0</v>
      </c>
      <c r="AD607">
        <f>AA607*P607+AB607*Q607+AC607</f>
        <v>0</v>
      </c>
      <c r="AE607">
        <f>INDEX(CoefficientsGPA,MATCH(T607&amp;":"&amp;O607,CoefficientsIndex,0))</f>
        <v>0</v>
      </c>
      <c r="AF607">
        <f>INDEX(CoefficientsACT,MATCH(T607&amp;":"&amp;O607,CoefficientsIndex,0))</f>
        <v>0</v>
      </c>
      <c r="AG607">
        <f>INDEX(CoefficientsIntercept,MATCH(T607&amp;":"&amp;O607,CoefficientsIndex,0))</f>
        <v>0</v>
      </c>
      <c r="AH607">
        <f>AE607*P607+(Q607-Z607)*AF607+AG607</f>
        <v>0</v>
      </c>
      <c r="AI607">
        <f>IF(ISNUMBER(AD607),AD607,AH607)</f>
        <v>0</v>
      </c>
      <c r="AJ607">
        <f>IF(ISNUMBER(AI607),IF(ISNUMBER(AE607),IF(AND(AE607=1,AF607=1,AG607=1),100,ROUND(100*EXP(AI607)/(1+EXP(AI607)),2)),ROUND(100*EXP(AI607)/(1+EXP(AI607)),2)),IF(ISTEXT(O607),IF(LEFT(O607,1)="2",100,"N/A"),"N/A"))</f>
        <v>0</v>
      </c>
      <c r="AK607">
        <f>IF(ISNUMBER(AJ607),IF(AJ607&gt;=99,IF(OR(R607=10,R607=11),MatchLabel,SureThingLabel),IF(AJ607&gt;=95,SecureLabel,IF(AJ607&gt;=80,SafetyLabel,IF(AJ607&gt;=50,MatchLabel,IF(AJ607&gt;=20,ReachLabel,IF(AJ607&gt;=10,LongshotLabel,HailMaryLabel)))))),"Other")</f>
        <v>0</v>
      </c>
      <c r="AL607">
        <f>IF(OR(I607="accepted",I607="cond. accept",I607="summer admit"),IF(J607="yes","CHOICE!","Accepted!"),IF(I607="denied","Denied",IF(K607=1,"Waitlist",IF(L607=1,"Deferred",IF(G607="pending","Pending",IF(OR(G607="initial materials submitted",G607="mid-year submitted",G607="final submitted"),"Submitted",IF(H607="interest","Interest","?")))))))</f>
        <v>0</v>
      </c>
      <c r="AM607">
        <f>IF(OR(AK607=ReachLabel,AK607=LongshotLabel,AK607=HailMaryLabel),1,0)</f>
        <v>0</v>
      </c>
      <c r="AN607">
        <f>IF(OR(AM607=1,AK607=MatchLabel),1,0)</f>
        <v>0</v>
      </c>
      <c r="AO607">
        <f>IF(OR(AK607=MatchLabel,AK607=SafetyLabel,AK607=SecureLabel,AK607=SureThingLabel),1,0)</f>
        <v>0</v>
      </c>
      <c r="AP607">
        <f>IF(OR(T607="H",T607="B"),IF(ISNUMBER(Y607),ROUND(Y607,2),0),IF(ISNUMBER(X607),ROUND(X607,2),0))</f>
        <v>0</v>
      </c>
      <c r="AQ607">
        <f>IF(AP607&gt;=U607,1,0)</f>
        <v>0</v>
      </c>
      <c r="AR607">
        <f>IF(AP607&gt;=V607,1,0)</f>
        <v>0</v>
      </c>
      <c r="AS607">
        <f>IF(AP607&lt;(U607-0.10),1,0)</f>
        <v>0</v>
      </c>
      <c r="AT607">
        <f>1-AJ607/100</f>
        <v>0</v>
      </c>
      <c r="AU607">
        <f>IF(AN607=1,AT607,1)</f>
        <v>0</v>
      </c>
      <c r="AV607">
        <f>IF(AM607=1,AT607,1)</f>
        <v>0</v>
      </c>
      <c r="AW607">
        <f>IF(AND(AQ607=1,ISNUMBER(AT607)),$AT607,1)</f>
        <v>0</v>
      </c>
      <c r="AX607">
        <f>IF(AND(AR607=1,ISNUMBER(AT607)),$AT607,1)</f>
        <v>0</v>
      </c>
      <c r="AY607">
        <f>IF(ISNUMBER(Y607),INDEX(AllCollegeMoney, MATCH(N607,AllCollegeNCES,0)),0)</f>
        <v>0</v>
      </c>
      <c r="AZ607">
        <f>IF(AND(AQ607=1,ISNUMBER(AT607),AY607=1),$AT607,1)</f>
        <v>0</v>
      </c>
      <c r="BA607">
        <f>IF(AND(AR607=1,ISNUMBER(AT607),AY607=1),$AT607,1)</f>
        <v>0</v>
      </c>
      <c r="BB607">
        <f>IF(ISNUMBER(Y607),INDEX(AllCollegeILPub, MATCH(N607,AllCollegeNCES,0)),0)</f>
        <v>0</v>
      </c>
      <c r="BC607">
        <f>IF(AK607=ReachLabel,AP607,0)</f>
        <v>0</v>
      </c>
      <c r="BD607">
        <f>IF(AK607=MatchLabel,AP607,0)</f>
        <v>0</v>
      </c>
      <c r="BE607">
        <f>IF(AK607=SafetyLabel,AP607,0)</f>
        <v>0</v>
      </c>
      <c r="BF607">
        <f>IF(AK607=SecureLabel,AP607,0)</f>
        <v>0</v>
      </c>
      <c r="BG607">
        <f>IF(AK607=SureThingLabel,AP607,0)</f>
        <v>0</v>
      </c>
      <c r="BH607">
        <f>MAX(BC607:BG607)</f>
        <v>0</v>
      </c>
      <c r="BI607">
        <f>MAX(BD607:BG607)</f>
        <v>0</v>
      </c>
      <c r="BJ607">
        <f>MAX(BE607:BG607)</f>
        <v>0</v>
      </c>
      <c r="BK607">
        <f>IF(AND(AK607=ReachLabel,AY607=1),AP607,0)</f>
        <v>0</v>
      </c>
      <c r="BL607">
        <f>IF(AND(AK607=MatchLabel,AY607=1),AP607,0)</f>
        <v>0</v>
      </c>
      <c r="BM607">
        <f>IF(AND(AK607=SafetyLabel,AY607=1),AP607,0)</f>
        <v>0</v>
      </c>
      <c r="BN607">
        <f>IF(AND(AK607=SecureLabel,AY607=1),AP607,0)</f>
        <v>0</v>
      </c>
      <c r="BO607">
        <f>IF(AND(AK607=SureThingLabel,AY607=1),AP607,0)</f>
        <v>0</v>
      </c>
      <c r="BP607">
        <f>MAX(BK607:BO607)</f>
        <v>0</v>
      </c>
      <c r="BQ607">
        <f>MAX(BL607:BO607)</f>
        <v>0</v>
      </c>
      <c r="BR607">
        <f>MAX(BM607:BO607)</f>
        <v>0</v>
      </c>
      <c r="BS607">
        <f>IF(ISNUMBER(Y607),INDEX(AllCollegeChicago, MATCH(N607,AllCollegeNCES,0))*AY607,0)</f>
        <v>0</v>
      </c>
      <c r="BT607">
        <f>IF(ISNUMBER(Y607),INDEX(AllCollegeMoneyCode, MATCH(N607,AllCollegeNCES,0)),"?")</f>
        <v>0</v>
      </c>
      <c r="BU607">
        <f>IF(OR(BT607="---",BT607="--",BT607="+/--",BT607="+/---"),1,0)</f>
        <v>0</v>
      </c>
      <c r="BV607">
        <f>AY607*AO607*AQ607</f>
        <v>0</v>
      </c>
    </row>
    <row r="608" spans="1:74">
      <c r="A608" t="s">
        <v>86</v>
      </c>
      <c r="B608">
        <v>24090662</v>
      </c>
      <c r="C608" t="s">
        <v>182</v>
      </c>
      <c r="D608" t="s">
        <v>183</v>
      </c>
      <c r="E608" t="s">
        <v>428</v>
      </c>
      <c r="F608" t="s">
        <v>556</v>
      </c>
      <c r="G608" t="s">
        <v>526</v>
      </c>
      <c r="H608" t="s">
        <v>526</v>
      </c>
      <c r="I608" t="s">
        <v>527</v>
      </c>
      <c r="J608" t="s">
        <v>428</v>
      </c>
      <c r="K608" t="s">
        <v>428</v>
      </c>
      <c r="L608" t="s">
        <v>428</v>
      </c>
      <c r="M608" t="s">
        <v>428</v>
      </c>
      <c r="N608">
        <v>147536</v>
      </c>
      <c r="O608">
        <f>INDEX(AllCollegeBarrons,MATCH(N608,AllCollegeNCES,0))</f>
        <v>0</v>
      </c>
      <c r="P608">
        <f>INDEX(KidGPAs,MATCH(B608,KidIDs,0))</f>
        <v>0</v>
      </c>
      <c r="Q608">
        <f>INDEX(KidACTs,MATCH(B608,KidIDs,0))</f>
        <v>0</v>
      </c>
      <c r="R608">
        <f>INDEX(Strats,MATCH(B608,KidIDs,0))</f>
        <v>0</v>
      </c>
      <c r="S608">
        <f>INDEX(KidRace,MATCH(B608,KidIDs,0))</f>
        <v>0</v>
      </c>
      <c r="T608">
        <f>IF(OR(S608="M",S608="I"),"H",S608)</f>
        <v>0</v>
      </c>
      <c r="U608">
        <f>INDEX(StudentTargets,MATCH(B608,KidIDs,0))</f>
        <v>0</v>
      </c>
      <c r="V608">
        <f>INDEX(ReachStudentTargets,MATCH(B608,KidIDs,0))</f>
        <v>0</v>
      </c>
      <c r="W608">
        <f>IF(OR(M608="Posse"),1,0)</f>
        <v>0</v>
      </c>
      <c r="X608">
        <f>IF(ISNUMBER(INDEX(AllCollegeGR, MATCH(N608,AllCollegeNCES,0))),ROUND(INDEX(AllCollegeGR, MATCH(N608,AllCollegeNCES,0))+W608*IF(INDEX(AllCollegeGR, MATCH(N608,AllCollegeNCES,0))&gt;0.7,(1-INDEX(AllCollegeGR, MATCH(N608,AllCollegeNCES,0)))/2,0.15),2),INDEX(AllCollegeGR, MATCH(N608,AllCollegeNCES,0)))</f>
        <v>0</v>
      </c>
      <c r="Y608">
        <f>IF(ISNUMBER(INDEX(AllCollegeAAHGR, MATCH(N608,AllCollegeNCES,0))),ROUND(INDEX(AllCollegeAAHGR, MATCH(N608,AllCollegeNCES,0))+W608*IF(INDEX(AllCollegeAAHGR, MATCH(N608,AllCollegeNCES,0))&gt;0.7,(1-INDEX(AllCollegeAAHGR, MATCH(N608,AllCollegeNCES,0)))/2,0.15),2),INDEX(AllCollegeAAHGR, MATCH(N608,AllCollegeNCES,0)))</f>
        <v>0</v>
      </c>
      <c r="Z608">
        <f>IF(OR(T608="H",T608="B"),INDEX(AllCollegeACT25, MATCH(N608,AllCollegeNCES,0)),INDEX(AllCollegeACT50, MATCH(N608,AllCollegeNCES,0)))</f>
        <v>0</v>
      </c>
      <c r="AA608">
        <f>INDEX(CustomWeightsGPA,MATCH(T608&amp;":"&amp;N608,CustomWeightsIndex,0))</f>
        <v>0</v>
      </c>
      <c r="AB608">
        <f>INDEX(CustomWeightsACT,MATCH(T608&amp;":"&amp;N608,CustomWeightsIndex,0))</f>
        <v>0</v>
      </c>
      <c r="AC608">
        <f>INDEX(CustomWeightsIntercept,MATCH(T608&amp;":"&amp;N608,CustomWeightsIndex,0))</f>
        <v>0</v>
      </c>
      <c r="AD608">
        <f>AA608*P608+AB608*Q608+AC608</f>
        <v>0</v>
      </c>
      <c r="AE608">
        <f>INDEX(CoefficientsGPA,MATCH(T608&amp;":"&amp;O608,CoefficientsIndex,0))</f>
        <v>0</v>
      </c>
      <c r="AF608">
        <f>INDEX(CoefficientsACT,MATCH(T608&amp;":"&amp;O608,CoefficientsIndex,0))</f>
        <v>0</v>
      </c>
      <c r="AG608">
        <f>INDEX(CoefficientsIntercept,MATCH(T608&amp;":"&amp;O608,CoefficientsIndex,0))</f>
        <v>0</v>
      </c>
      <c r="AH608">
        <f>AE608*P608+(Q608-Z608)*AF608+AG608</f>
        <v>0</v>
      </c>
      <c r="AI608">
        <f>IF(ISNUMBER(AD608),AD608,AH608)</f>
        <v>0</v>
      </c>
      <c r="AJ608">
        <f>IF(ISNUMBER(AI608),IF(ISNUMBER(AE608),IF(AND(AE608=1,AF608=1,AG608=1),100,ROUND(100*EXP(AI608)/(1+EXP(AI608)),2)),ROUND(100*EXP(AI608)/(1+EXP(AI608)),2)),IF(ISTEXT(O608),IF(LEFT(O608,1)="2",100,"N/A"),"N/A"))</f>
        <v>0</v>
      </c>
      <c r="AK608">
        <f>IF(ISNUMBER(AJ608),IF(AJ608&gt;=99,IF(OR(R608=10,R608=11),MatchLabel,SureThingLabel),IF(AJ608&gt;=95,SecureLabel,IF(AJ608&gt;=80,SafetyLabel,IF(AJ608&gt;=50,MatchLabel,IF(AJ608&gt;=20,ReachLabel,IF(AJ608&gt;=10,LongshotLabel,HailMaryLabel)))))),"Other")</f>
        <v>0</v>
      </c>
      <c r="AL608">
        <f>IF(OR(I608="accepted",I608="cond. accept",I608="summer admit"),IF(J608="yes","CHOICE!","Accepted!"),IF(I608="denied","Denied",IF(K608=1,"Waitlist",IF(L608=1,"Deferred",IF(G608="pending","Pending",IF(OR(G608="initial materials submitted",G608="mid-year submitted",G608="final submitted"),"Submitted",IF(H608="interest","Interest","?")))))))</f>
        <v>0</v>
      </c>
      <c r="AM608">
        <f>IF(OR(AK608=ReachLabel,AK608=LongshotLabel,AK608=HailMaryLabel),1,0)</f>
        <v>0</v>
      </c>
      <c r="AN608">
        <f>IF(OR(AM608=1,AK608=MatchLabel),1,0)</f>
        <v>0</v>
      </c>
      <c r="AO608">
        <f>IF(OR(AK608=MatchLabel,AK608=SafetyLabel,AK608=SecureLabel,AK608=SureThingLabel),1,0)</f>
        <v>0</v>
      </c>
      <c r="AP608">
        <f>IF(OR(T608="H",T608="B"),IF(ISNUMBER(Y608),ROUND(Y608,2),0),IF(ISNUMBER(X608),ROUND(X608,2),0))</f>
        <v>0</v>
      </c>
      <c r="AQ608">
        <f>IF(AP608&gt;=U608,1,0)</f>
        <v>0</v>
      </c>
      <c r="AR608">
        <f>IF(AP608&gt;=V608,1,0)</f>
        <v>0</v>
      </c>
      <c r="AS608">
        <f>IF(AP608&lt;(U608-0.10),1,0)</f>
        <v>0</v>
      </c>
      <c r="AT608">
        <f>1-AJ608/100</f>
        <v>0</v>
      </c>
      <c r="AU608">
        <f>IF(AN608=1,AT608,1)</f>
        <v>0</v>
      </c>
      <c r="AV608">
        <f>IF(AM608=1,AT608,1)</f>
        <v>0</v>
      </c>
      <c r="AW608">
        <f>IF(AND(AQ608=1,ISNUMBER(AT608)),$AT608,1)</f>
        <v>0</v>
      </c>
      <c r="AX608">
        <f>IF(AND(AR608=1,ISNUMBER(AT608)),$AT608,1)</f>
        <v>0</v>
      </c>
      <c r="AY608">
        <f>IF(ISNUMBER(Y608),INDEX(AllCollegeMoney, MATCH(N608,AllCollegeNCES,0)),0)</f>
        <v>0</v>
      </c>
      <c r="AZ608">
        <f>IF(AND(AQ608=1,ISNUMBER(AT608),AY608=1),$AT608,1)</f>
        <v>0</v>
      </c>
      <c r="BA608">
        <f>IF(AND(AR608=1,ISNUMBER(AT608),AY608=1),$AT608,1)</f>
        <v>0</v>
      </c>
      <c r="BB608">
        <f>IF(ISNUMBER(Y608),INDEX(AllCollegeILPub, MATCH(N608,AllCollegeNCES,0)),0)</f>
        <v>0</v>
      </c>
      <c r="BC608">
        <f>IF(AK608=ReachLabel,AP608,0)</f>
        <v>0</v>
      </c>
      <c r="BD608">
        <f>IF(AK608=MatchLabel,AP608,0)</f>
        <v>0</v>
      </c>
      <c r="BE608">
        <f>IF(AK608=SafetyLabel,AP608,0)</f>
        <v>0</v>
      </c>
      <c r="BF608">
        <f>IF(AK608=SecureLabel,AP608,0)</f>
        <v>0</v>
      </c>
      <c r="BG608">
        <f>IF(AK608=SureThingLabel,AP608,0)</f>
        <v>0</v>
      </c>
      <c r="BH608">
        <f>MAX(BC608:BG608)</f>
        <v>0</v>
      </c>
      <c r="BI608">
        <f>MAX(BD608:BG608)</f>
        <v>0</v>
      </c>
      <c r="BJ608">
        <f>MAX(BE608:BG608)</f>
        <v>0</v>
      </c>
      <c r="BK608">
        <f>IF(AND(AK608=ReachLabel,AY608=1),AP608,0)</f>
        <v>0</v>
      </c>
      <c r="BL608">
        <f>IF(AND(AK608=MatchLabel,AY608=1),AP608,0)</f>
        <v>0</v>
      </c>
      <c r="BM608">
        <f>IF(AND(AK608=SafetyLabel,AY608=1),AP608,0)</f>
        <v>0</v>
      </c>
      <c r="BN608">
        <f>IF(AND(AK608=SecureLabel,AY608=1),AP608,0)</f>
        <v>0</v>
      </c>
      <c r="BO608">
        <f>IF(AND(AK608=SureThingLabel,AY608=1),AP608,0)</f>
        <v>0</v>
      </c>
      <c r="BP608">
        <f>MAX(BK608:BO608)</f>
        <v>0</v>
      </c>
      <c r="BQ608">
        <f>MAX(BL608:BO608)</f>
        <v>0</v>
      </c>
      <c r="BR608">
        <f>MAX(BM608:BO608)</f>
        <v>0</v>
      </c>
      <c r="BS608">
        <f>IF(ISNUMBER(Y608),INDEX(AllCollegeChicago, MATCH(N608,AllCollegeNCES,0))*AY608,0)</f>
        <v>0</v>
      </c>
      <c r="BT608">
        <f>IF(ISNUMBER(Y608),INDEX(AllCollegeMoneyCode, MATCH(N608,AllCollegeNCES,0)),"?")</f>
        <v>0</v>
      </c>
      <c r="BU608">
        <f>IF(OR(BT608="---",BT608="--",BT608="+/--",BT608="+/---"),1,0)</f>
        <v>0</v>
      </c>
      <c r="BV608">
        <f>AY608*AO608*AQ608</f>
        <v>0</v>
      </c>
    </row>
    <row r="609" spans="1:74">
      <c r="A609" t="s">
        <v>86</v>
      </c>
      <c r="B609">
        <v>24090662</v>
      </c>
      <c r="C609" t="s">
        <v>182</v>
      </c>
      <c r="D609" t="s">
        <v>183</v>
      </c>
      <c r="E609" t="s">
        <v>428</v>
      </c>
      <c r="F609" t="s">
        <v>437</v>
      </c>
      <c r="G609" t="s">
        <v>430</v>
      </c>
      <c r="H609" t="s">
        <v>431</v>
      </c>
      <c r="I609" t="s">
        <v>432</v>
      </c>
      <c r="J609" t="s">
        <v>432</v>
      </c>
      <c r="K609">
        <v>0</v>
      </c>
      <c r="L609" t="s">
        <v>428</v>
      </c>
      <c r="M609" t="s">
        <v>428</v>
      </c>
      <c r="N609">
        <v>149772</v>
      </c>
      <c r="O609">
        <f>INDEX(AllCollegeBarrons,MATCH(N609,AllCollegeNCES,0))</f>
        <v>0</v>
      </c>
      <c r="P609">
        <f>INDEX(KidGPAs,MATCH(B609,KidIDs,0))</f>
        <v>0</v>
      </c>
      <c r="Q609">
        <f>INDEX(KidACTs,MATCH(B609,KidIDs,0))</f>
        <v>0</v>
      </c>
      <c r="R609">
        <f>INDEX(Strats,MATCH(B609,KidIDs,0))</f>
        <v>0</v>
      </c>
      <c r="S609">
        <f>INDEX(KidRace,MATCH(B609,KidIDs,0))</f>
        <v>0</v>
      </c>
      <c r="T609">
        <f>IF(OR(S609="M",S609="I"),"H",S609)</f>
        <v>0</v>
      </c>
      <c r="U609">
        <f>INDEX(StudentTargets,MATCH(B609,KidIDs,0))</f>
        <v>0</v>
      </c>
      <c r="V609">
        <f>INDEX(ReachStudentTargets,MATCH(B609,KidIDs,0))</f>
        <v>0</v>
      </c>
      <c r="W609">
        <f>IF(OR(M609="Posse"),1,0)</f>
        <v>0</v>
      </c>
      <c r="X609">
        <f>IF(ISNUMBER(INDEX(AllCollegeGR, MATCH(N609,AllCollegeNCES,0))),ROUND(INDEX(AllCollegeGR, MATCH(N609,AllCollegeNCES,0))+W609*IF(INDEX(AllCollegeGR, MATCH(N609,AllCollegeNCES,0))&gt;0.7,(1-INDEX(AllCollegeGR, MATCH(N609,AllCollegeNCES,0)))/2,0.15),2),INDEX(AllCollegeGR, MATCH(N609,AllCollegeNCES,0)))</f>
        <v>0</v>
      </c>
      <c r="Y609">
        <f>IF(ISNUMBER(INDEX(AllCollegeAAHGR, MATCH(N609,AllCollegeNCES,0))),ROUND(INDEX(AllCollegeAAHGR, MATCH(N609,AllCollegeNCES,0))+W609*IF(INDEX(AllCollegeAAHGR, MATCH(N609,AllCollegeNCES,0))&gt;0.7,(1-INDEX(AllCollegeAAHGR, MATCH(N609,AllCollegeNCES,0)))/2,0.15),2),INDEX(AllCollegeAAHGR, MATCH(N609,AllCollegeNCES,0)))</f>
        <v>0</v>
      </c>
      <c r="Z609">
        <f>IF(OR(T609="H",T609="B"),INDEX(AllCollegeACT25, MATCH(N609,AllCollegeNCES,0)),INDEX(AllCollegeACT50, MATCH(N609,AllCollegeNCES,0)))</f>
        <v>0</v>
      </c>
      <c r="AA609">
        <f>INDEX(CustomWeightsGPA,MATCH(T609&amp;":"&amp;N609,CustomWeightsIndex,0))</f>
        <v>0</v>
      </c>
      <c r="AB609">
        <f>INDEX(CustomWeightsACT,MATCH(T609&amp;":"&amp;N609,CustomWeightsIndex,0))</f>
        <v>0</v>
      </c>
      <c r="AC609">
        <f>INDEX(CustomWeightsIntercept,MATCH(T609&amp;":"&amp;N609,CustomWeightsIndex,0))</f>
        <v>0</v>
      </c>
      <c r="AD609">
        <f>AA609*P609+AB609*Q609+AC609</f>
        <v>0</v>
      </c>
      <c r="AE609">
        <f>INDEX(CoefficientsGPA,MATCH(T609&amp;":"&amp;O609,CoefficientsIndex,0))</f>
        <v>0</v>
      </c>
      <c r="AF609">
        <f>INDEX(CoefficientsACT,MATCH(T609&amp;":"&amp;O609,CoefficientsIndex,0))</f>
        <v>0</v>
      </c>
      <c r="AG609">
        <f>INDEX(CoefficientsIntercept,MATCH(T609&amp;":"&amp;O609,CoefficientsIndex,0))</f>
        <v>0</v>
      </c>
      <c r="AH609">
        <f>AE609*P609+(Q609-Z609)*AF609+AG609</f>
        <v>0</v>
      </c>
      <c r="AI609">
        <f>IF(ISNUMBER(AD609),AD609,AH609)</f>
        <v>0</v>
      </c>
      <c r="AJ609">
        <f>IF(ISNUMBER(AI609),IF(ISNUMBER(AE609),IF(AND(AE609=1,AF609=1,AG609=1),100,ROUND(100*EXP(AI609)/(1+EXP(AI609)),2)),ROUND(100*EXP(AI609)/(1+EXP(AI609)),2)),IF(ISTEXT(O609),IF(LEFT(O609,1)="2",100,"N/A"),"N/A"))</f>
        <v>0</v>
      </c>
      <c r="AK609">
        <f>IF(ISNUMBER(AJ609),IF(AJ609&gt;=99,IF(OR(R609=10,R609=11),MatchLabel,SureThingLabel),IF(AJ609&gt;=95,SecureLabel,IF(AJ609&gt;=80,SafetyLabel,IF(AJ609&gt;=50,MatchLabel,IF(AJ609&gt;=20,ReachLabel,IF(AJ609&gt;=10,LongshotLabel,HailMaryLabel)))))),"Other")</f>
        <v>0</v>
      </c>
      <c r="AL609">
        <f>IF(OR(I609="accepted",I609="cond. accept",I609="summer admit"),IF(J609="yes","CHOICE!","Accepted!"),IF(I609="denied","Denied",IF(K609=1,"Waitlist",IF(L609=1,"Deferred",IF(G609="pending","Pending",IF(OR(G609="initial materials submitted",G609="mid-year submitted",G609="final submitted"),"Submitted",IF(H609="interest","Interest","?")))))))</f>
        <v>0</v>
      </c>
      <c r="AM609">
        <f>IF(OR(AK609=ReachLabel,AK609=LongshotLabel,AK609=HailMaryLabel),1,0)</f>
        <v>0</v>
      </c>
      <c r="AN609">
        <f>IF(OR(AM609=1,AK609=MatchLabel),1,0)</f>
        <v>0</v>
      </c>
      <c r="AO609">
        <f>IF(OR(AK609=MatchLabel,AK609=SafetyLabel,AK609=SecureLabel,AK609=SureThingLabel),1,0)</f>
        <v>0</v>
      </c>
      <c r="AP609">
        <f>IF(OR(T609="H",T609="B"),IF(ISNUMBER(Y609),ROUND(Y609,2),0),IF(ISNUMBER(X609),ROUND(X609,2),0))</f>
        <v>0</v>
      </c>
      <c r="AQ609">
        <f>IF(AP609&gt;=U609,1,0)</f>
        <v>0</v>
      </c>
      <c r="AR609">
        <f>IF(AP609&gt;=V609,1,0)</f>
        <v>0</v>
      </c>
      <c r="AS609">
        <f>IF(AP609&lt;(U609-0.10),1,0)</f>
        <v>0</v>
      </c>
      <c r="AT609">
        <f>1-AJ609/100</f>
        <v>0</v>
      </c>
      <c r="AU609">
        <f>IF(AN609=1,AT609,1)</f>
        <v>0</v>
      </c>
      <c r="AV609">
        <f>IF(AM609=1,AT609,1)</f>
        <v>0</v>
      </c>
      <c r="AW609">
        <f>IF(AND(AQ609=1,ISNUMBER(AT609)),$AT609,1)</f>
        <v>0</v>
      </c>
      <c r="AX609">
        <f>IF(AND(AR609=1,ISNUMBER(AT609)),$AT609,1)</f>
        <v>0</v>
      </c>
      <c r="AY609">
        <f>IF(ISNUMBER(Y609),INDEX(AllCollegeMoney, MATCH(N609,AllCollegeNCES,0)),0)</f>
        <v>0</v>
      </c>
      <c r="AZ609">
        <f>IF(AND(AQ609=1,ISNUMBER(AT609),AY609=1),$AT609,1)</f>
        <v>0</v>
      </c>
      <c r="BA609">
        <f>IF(AND(AR609=1,ISNUMBER(AT609),AY609=1),$AT609,1)</f>
        <v>0</v>
      </c>
      <c r="BB609">
        <f>IF(ISNUMBER(Y609),INDEX(AllCollegeILPub, MATCH(N609,AllCollegeNCES,0)),0)</f>
        <v>0</v>
      </c>
      <c r="BC609">
        <f>IF(AK609=ReachLabel,AP609,0)</f>
        <v>0</v>
      </c>
      <c r="BD609">
        <f>IF(AK609=MatchLabel,AP609,0)</f>
        <v>0</v>
      </c>
      <c r="BE609">
        <f>IF(AK609=SafetyLabel,AP609,0)</f>
        <v>0</v>
      </c>
      <c r="BF609">
        <f>IF(AK609=SecureLabel,AP609,0)</f>
        <v>0</v>
      </c>
      <c r="BG609">
        <f>IF(AK609=SureThingLabel,AP609,0)</f>
        <v>0</v>
      </c>
      <c r="BH609">
        <f>MAX(BC609:BG609)</f>
        <v>0</v>
      </c>
      <c r="BI609">
        <f>MAX(BD609:BG609)</f>
        <v>0</v>
      </c>
      <c r="BJ609">
        <f>MAX(BE609:BG609)</f>
        <v>0</v>
      </c>
      <c r="BK609">
        <f>IF(AND(AK609=ReachLabel,AY609=1),AP609,0)</f>
        <v>0</v>
      </c>
      <c r="BL609">
        <f>IF(AND(AK609=MatchLabel,AY609=1),AP609,0)</f>
        <v>0</v>
      </c>
      <c r="BM609">
        <f>IF(AND(AK609=SafetyLabel,AY609=1),AP609,0)</f>
        <v>0</v>
      </c>
      <c r="BN609">
        <f>IF(AND(AK609=SecureLabel,AY609=1),AP609,0)</f>
        <v>0</v>
      </c>
      <c r="BO609">
        <f>IF(AND(AK609=SureThingLabel,AY609=1),AP609,0)</f>
        <v>0</v>
      </c>
      <c r="BP609">
        <f>MAX(BK609:BO609)</f>
        <v>0</v>
      </c>
      <c r="BQ609">
        <f>MAX(BL609:BO609)</f>
        <v>0</v>
      </c>
      <c r="BR609">
        <f>MAX(BM609:BO609)</f>
        <v>0</v>
      </c>
      <c r="BS609">
        <f>IF(ISNUMBER(Y609),INDEX(AllCollegeChicago, MATCH(N609,AllCollegeNCES,0))*AY609,0)</f>
        <v>0</v>
      </c>
      <c r="BT609">
        <f>IF(ISNUMBER(Y609),INDEX(AllCollegeMoneyCode, MATCH(N609,AllCollegeNCES,0)),"?")</f>
        <v>0</v>
      </c>
      <c r="BU609">
        <f>IF(OR(BT609="---",BT609="--",BT609="+/--",BT609="+/---"),1,0)</f>
        <v>0</v>
      </c>
      <c r="BV609">
        <f>AY609*AO609*AQ609</f>
        <v>0</v>
      </c>
    </row>
    <row r="610" spans="1:74">
      <c r="A610" t="s">
        <v>86</v>
      </c>
      <c r="B610">
        <v>24090662</v>
      </c>
      <c r="C610" t="s">
        <v>182</v>
      </c>
      <c r="D610" t="s">
        <v>183</v>
      </c>
      <c r="E610" t="s">
        <v>428</v>
      </c>
      <c r="F610" t="s">
        <v>534</v>
      </c>
      <c r="G610" t="s">
        <v>526</v>
      </c>
      <c r="H610" t="s">
        <v>526</v>
      </c>
      <c r="I610" t="s">
        <v>527</v>
      </c>
      <c r="J610" t="s">
        <v>428</v>
      </c>
      <c r="K610" t="s">
        <v>428</v>
      </c>
      <c r="L610" t="s">
        <v>428</v>
      </c>
      <c r="M610" t="s">
        <v>428</v>
      </c>
      <c r="N610">
        <v>150774</v>
      </c>
      <c r="O610">
        <f>INDEX(AllCollegeBarrons,MATCH(N610,AllCollegeNCES,0))</f>
        <v>0</v>
      </c>
      <c r="P610">
        <f>INDEX(KidGPAs,MATCH(B610,KidIDs,0))</f>
        <v>0</v>
      </c>
      <c r="Q610">
        <f>INDEX(KidACTs,MATCH(B610,KidIDs,0))</f>
        <v>0</v>
      </c>
      <c r="R610">
        <f>INDEX(Strats,MATCH(B610,KidIDs,0))</f>
        <v>0</v>
      </c>
      <c r="S610">
        <f>INDEX(KidRace,MATCH(B610,KidIDs,0))</f>
        <v>0</v>
      </c>
      <c r="T610">
        <f>IF(OR(S610="M",S610="I"),"H",S610)</f>
        <v>0</v>
      </c>
      <c r="U610">
        <f>INDEX(StudentTargets,MATCH(B610,KidIDs,0))</f>
        <v>0</v>
      </c>
      <c r="V610">
        <f>INDEX(ReachStudentTargets,MATCH(B610,KidIDs,0))</f>
        <v>0</v>
      </c>
      <c r="W610">
        <f>IF(OR(M610="Posse"),1,0)</f>
        <v>0</v>
      </c>
      <c r="X610">
        <f>IF(ISNUMBER(INDEX(AllCollegeGR, MATCH(N610,AllCollegeNCES,0))),ROUND(INDEX(AllCollegeGR, MATCH(N610,AllCollegeNCES,0))+W610*IF(INDEX(AllCollegeGR, MATCH(N610,AllCollegeNCES,0))&gt;0.7,(1-INDEX(AllCollegeGR, MATCH(N610,AllCollegeNCES,0)))/2,0.15),2),INDEX(AllCollegeGR, MATCH(N610,AllCollegeNCES,0)))</f>
        <v>0</v>
      </c>
      <c r="Y610">
        <f>IF(ISNUMBER(INDEX(AllCollegeAAHGR, MATCH(N610,AllCollegeNCES,0))),ROUND(INDEX(AllCollegeAAHGR, MATCH(N610,AllCollegeNCES,0))+W610*IF(INDEX(AllCollegeAAHGR, MATCH(N610,AllCollegeNCES,0))&gt;0.7,(1-INDEX(AllCollegeAAHGR, MATCH(N610,AllCollegeNCES,0)))/2,0.15),2),INDEX(AllCollegeAAHGR, MATCH(N610,AllCollegeNCES,0)))</f>
        <v>0</v>
      </c>
      <c r="Z610">
        <f>IF(OR(T610="H",T610="B"),INDEX(AllCollegeACT25, MATCH(N610,AllCollegeNCES,0)),INDEX(AllCollegeACT50, MATCH(N610,AllCollegeNCES,0)))</f>
        <v>0</v>
      </c>
      <c r="AA610">
        <f>INDEX(CustomWeightsGPA,MATCH(T610&amp;":"&amp;N610,CustomWeightsIndex,0))</f>
        <v>0</v>
      </c>
      <c r="AB610">
        <f>INDEX(CustomWeightsACT,MATCH(T610&amp;":"&amp;N610,CustomWeightsIndex,0))</f>
        <v>0</v>
      </c>
      <c r="AC610">
        <f>INDEX(CustomWeightsIntercept,MATCH(T610&amp;":"&amp;N610,CustomWeightsIndex,0))</f>
        <v>0</v>
      </c>
      <c r="AD610">
        <f>AA610*P610+AB610*Q610+AC610</f>
        <v>0</v>
      </c>
      <c r="AE610">
        <f>INDEX(CoefficientsGPA,MATCH(T610&amp;":"&amp;O610,CoefficientsIndex,0))</f>
        <v>0</v>
      </c>
      <c r="AF610">
        <f>INDEX(CoefficientsACT,MATCH(T610&amp;":"&amp;O610,CoefficientsIndex,0))</f>
        <v>0</v>
      </c>
      <c r="AG610">
        <f>INDEX(CoefficientsIntercept,MATCH(T610&amp;":"&amp;O610,CoefficientsIndex,0))</f>
        <v>0</v>
      </c>
      <c r="AH610">
        <f>AE610*P610+(Q610-Z610)*AF610+AG610</f>
        <v>0</v>
      </c>
      <c r="AI610">
        <f>IF(ISNUMBER(AD610),AD610,AH610)</f>
        <v>0</v>
      </c>
      <c r="AJ610">
        <f>IF(ISNUMBER(AI610),IF(ISNUMBER(AE610),IF(AND(AE610=1,AF610=1,AG610=1),100,ROUND(100*EXP(AI610)/(1+EXP(AI610)),2)),ROUND(100*EXP(AI610)/(1+EXP(AI610)),2)),IF(ISTEXT(O610),IF(LEFT(O610,1)="2",100,"N/A"),"N/A"))</f>
        <v>0</v>
      </c>
      <c r="AK610">
        <f>IF(ISNUMBER(AJ610),IF(AJ610&gt;=99,IF(OR(R610=10,R610=11),MatchLabel,SureThingLabel),IF(AJ610&gt;=95,SecureLabel,IF(AJ610&gt;=80,SafetyLabel,IF(AJ610&gt;=50,MatchLabel,IF(AJ610&gt;=20,ReachLabel,IF(AJ610&gt;=10,LongshotLabel,HailMaryLabel)))))),"Other")</f>
        <v>0</v>
      </c>
      <c r="AL610">
        <f>IF(OR(I610="accepted",I610="cond. accept",I610="summer admit"),IF(J610="yes","CHOICE!","Accepted!"),IF(I610="denied","Denied",IF(K610=1,"Waitlist",IF(L610=1,"Deferred",IF(G610="pending","Pending",IF(OR(G610="initial materials submitted",G610="mid-year submitted",G610="final submitted"),"Submitted",IF(H610="interest","Interest","?")))))))</f>
        <v>0</v>
      </c>
      <c r="AM610">
        <f>IF(OR(AK610=ReachLabel,AK610=LongshotLabel,AK610=HailMaryLabel),1,0)</f>
        <v>0</v>
      </c>
      <c r="AN610">
        <f>IF(OR(AM610=1,AK610=MatchLabel),1,0)</f>
        <v>0</v>
      </c>
      <c r="AO610">
        <f>IF(OR(AK610=MatchLabel,AK610=SafetyLabel,AK610=SecureLabel,AK610=SureThingLabel),1,0)</f>
        <v>0</v>
      </c>
      <c r="AP610">
        <f>IF(OR(T610="H",T610="B"),IF(ISNUMBER(Y610),ROUND(Y610,2),0),IF(ISNUMBER(X610),ROUND(X610,2),0))</f>
        <v>0</v>
      </c>
      <c r="AQ610">
        <f>IF(AP610&gt;=U610,1,0)</f>
        <v>0</v>
      </c>
      <c r="AR610">
        <f>IF(AP610&gt;=V610,1,0)</f>
        <v>0</v>
      </c>
      <c r="AS610">
        <f>IF(AP610&lt;(U610-0.10),1,0)</f>
        <v>0</v>
      </c>
      <c r="AT610">
        <f>1-AJ610/100</f>
        <v>0</v>
      </c>
      <c r="AU610">
        <f>IF(AN610=1,AT610,1)</f>
        <v>0</v>
      </c>
      <c r="AV610">
        <f>IF(AM610=1,AT610,1)</f>
        <v>0</v>
      </c>
      <c r="AW610">
        <f>IF(AND(AQ610=1,ISNUMBER(AT610)),$AT610,1)</f>
        <v>0</v>
      </c>
      <c r="AX610">
        <f>IF(AND(AR610=1,ISNUMBER(AT610)),$AT610,1)</f>
        <v>0</v>
      </c>
      <c r="AY610">
        <f>IF(ISNUMBER(Y610),INDEX(AllCollegeMoney, MATCH(N610,AllCollegeNCES,0)),0)</f>
        <v>0</v>
      </c>
      <c r="AZ610">
        <f>IF(AND(AQ610=1,ISNUMBER(AT610),AY610=1),$AT610,1)</f>
        <v>0</v>
      </c>
      <c r="BA610">
        <f>IF(AND(AR610=1,ISNUMBER(AT610),AY610=1),$AT610,1)</f>
        <v>0</v>
      </c>
      <c r="BB610">
        <f>IF(ISNUMBER(Y610),INDEX(AllCollegeILPub, MATCH(N610,AllCollegeNCES,0)),0)</f>
        <v>0</v>
      </c>
      <c r="BC610">
        <f>IF(AK610=ReachLabel,AP610,0)</f>
        <v>0</v>
      </c>
      <c r="BD610">
        <f>IF(AK610=MatchLabel,AP610,0)</f>
        <v>0</v>
      </c>
      <c r="BE610">
        <f>IF(AK610=SafetyLabel,AP610,0)</f>
        <v>0</v>
      </c>
      <c r="BF610">
        <f>IF(AK610=SecureLabel,AP610,0)</f>
        <v>0</v>
      </c>
      <c r="BG610">
        <f>IF(AK610=SureThingLabel,AP610,0)</f>
        <v>0</v>
      </c>
      <c r="BH610">
        <f>MAX(BC610:BG610)</f>
        <v>0</v>
      </c>
      <c r="BI610">
        <f>MAX(BD610:BG610)</f>
        <v>0</v>
      </c>
      <c r="BJ610">
        <f>MAX(BE610:BG610)</f>
        <v>0</v>
      </c>
      <c r="BK610">
        <f>IF(AND(AK610=ReachLabel,AY610=1),AP610,0)</f>
        <v>0</v>
      </c>
      <c r="BL610">
        <f>IF(AND(AK610=MatchLabel,AY610=1),AP610,0)</f>
        <v>0</v>
      </c>
      <c r="BM610">
        <f>IF(AND(AK610=SafetyLabel,AY610=1),AP610,0)</f>
        <v>0</v>
      </c>
      <c r="BN610">
        <f>IF(AND(AK610=SecureLabel,AY610=1),AP610,0)</f>
        <v>0</v>
      </c>
      <c r="BO610">
        <f>IF(AND(AK610=SureThingLabel,AY610=1),AP610,0)</f>
        <v>0</v>
      </c>
      <c r="BP610">
        <f>MAX(BK610:BO610)</f>
        <v>0</v>
      </c>
      <c r="BQ610">
        <f>MAX(BL610:BO610)</f>
        <v>0</v>
      </c>
      <c r="BR610">
        <f>MAX(BM610:BO610)</f>
        <v>0</v>
      </c>
      <c r="BS610">
        <f>IF(ISNUMBER(Y610),INDEX(AllCollegeChicago, MATCH(N610,AllCollegeNCES,0))*AY610,0)</f>
        <v>0</v>
      </c>
      <c r="BT610">
        <f>IF(ISNUMBER(Y610),INDEX(AllCollegeMoneyCode, MATCH(N610,AllCollegeNCES,0)),"?")</f>
        <v>0</v>
      </c>
      <c r="BU610">
        <f>IF(OR(BT610="---",BT610="--",BT610="+/--",BT610="+/---"),1,0)</f>
        <v>0</v>
      </c>
      <c r="BV610">
        <f>AY610*AO610*AQ610</f>
        <v>0</v>
      </c>
    </row>
    <row r="611" spans="1:74">
      <c r="A611" t="s">
        <v>86</v>
      </c>
      <c r="B611">
        <v>24090662</v>
      </c>
      <c r="C611" t="s">
        <v>182</v>
      </c>
      <c r="D611" t="s">
        <v>183</v>
      </c>
      <c r="E611" t="s">
        <v>428</v>
      </c>
      <c r="F611" t="s">
        <v>452</v>
      </c>
      <c r="G611" t="s">
        <v>430</v>
      </c>
      <c r="H611" t="s">
        <v>431</v>
      </c>
      <c r="I611" t="s">
        <v>432</v>
      </c>
      <c r="J611" t="s">
        <v>432</v>
      </c>
      <c r="K611">
        <v>0</v>
      </c>
      <c r="L611" t="s">
        <v>428</v>
      </c>
      <c r="M611" t="s">
        <v>439</v>
      </c>
      <c r="N611">
        <v>154493</v>
      </c>
      <c r="O611">
        <f>INDEX(AllCollegeBarrons,MATCH(N611,AllCollegeNCES,0))</f>
        <v>0</v>
      </c>
      <c r="P611">
        <f>INDEX(KidGPAs,MATCH(B611,KidIDs,0))</f>
        <v>0</v>
      </c>
      <c r="Q611">
        <f>INDEX(KidACTs,MATCH(B611,KidIDs,0))</f>
        <v>0</v>
      </c>
      <c r="R611">
        <f>INDEX(Strats,MATCH(B611,KidIDs,0))</f>
        <v>0</v>
      </c>
      <c r="S611">
        <f>INDEX(KidRace,MATCH(B611,KidIDs,0))</f>
        <v>0</v>
      </c>
      <c r="T611">
        <f>IF(OR(S611="M",S611="I"),"H",S611)</f>
        <v>0</v>
      </c>
      <c r="U611">
        <f>INDEX(StudentTargets,MATCH(B611,KidIDs,0))</f>
        <v>0</v>
      </c>
      <c r="V611">
        <f>INDEX(ReachStudentTargets,MATCH(B611,KidIDs,0))</f>
        <v>0</v>
      </c>
      <c r="W611">
        <f>IF(OR(M611="Posse"),1,0)</f>
        <v>0</v>
      </c>
      <c r="X611">
        <f>IF(ISNUMBER(INDEX(AllCollegeGR, MATCH(N611,AllCollegeNCES,0))),ROUND(INDEX(AllCollegeGR, MATCH(N611,AllCollegeNCES,0))+W611*IF(INDEX(AllCollegeGR, MATCH(N611,AllCollegeNCES,0))&gt;0.7,(1-INDEX(AllCollegeGR, MATCH(N611,AllCollegeNCES,0)))/2,0.15),2),INDEX(AllCollegeGR, MATCH(N611,AllCollegeNCES,0)))</f>
        <v>0</v>
      </c>
      <c r="Y611">
        <f>IF(ISNUMBER(INDEX(AllCollegeAAHGR, MATCH(N611,AllCollegeNCES,0))),ROUND(INDEX(AllCollegeAAHGR, MATCH(N611,AllCollegeNCES,0))+W611*IF(INDEX(AllCollegeAAHGR, MATCH(N611,AllCollegeNCES,0))&gt;0.7,(1-INDEX(AllCollegeAAHGR, MATCH(N611,AllCollegeNCES,0)))/2,0.15),2),INDEX(AllCollegeAAHGR, MATCH(N611,AllCollegeNCES,0)))</f>
        <v>0</v>
      </c>
      <c r="Z611">
        <f>IF(OR(T611="H",T611="B"),INDEX(AllCollegeACT25, MATCH(N611,AllCollegeNCES,0)),INDEX(AllCollegeACT50, MATCH(N611,AllCollegeNCES,0)))</f>
        <v>0</v>
      </c>
      <c r="AA611">
        <f>INDEX(CustomWeightsGPA,MATCH(T611&amp;":"&amp;N611,CustomWeightsIndex,0))</f>
        <v>0</v>
      </c>
      <c r="AB611">
        <f>INDEX(CustomWeightsACT,MATCH(T611&amp;":"&amp;N611,CustomWeightsIndex,0))</f>
        <v>0</v>
      </c>
      <c r="AC611">
        <f>INDEX(CustomWeightsIntercept,MATCH(T611&amp;":"&amp;N611,CustomWeightsIndex,0))</f>
        <v>0</v>
      </c>
      <c r="AD611">
        <f>AA611*P611+AB611*Q611+AC611</f>
        <v>0</v>
      </c>
      <c r="AE611">
        <f>INDEX(CoefficientsGPA,MATCH(T611&amp;":"&amp;O611,CoefficientsIndex,0))</f>
        <v>0</v>
      </c>
      <c r="AF611">
        <f>INDEX(CoefficientsACT,MATCH(T611&amp;":"&amp;O611,CoefficientsIndex,0))</f>
        <v>0</v>
      </c>
      <c r="AG611">
        <f>INDEX(CoefficientsIntercept,MATCH(T611&amp;":"&amp;O611,CoefficientsIndex,0))</f>
        <v>0</v>
      </c>
      <c r="AH611">
        <f>AE611*P611+(Q611-Z611)*AF611+AG611</f>
        <v>0</v>
      </c>
      <c r="AI611">
        <f>IF(ISNUMBER(AD611),AD611,AH611)</f>
        <v>0</v>
      </c>
      <c r="AJ611">
        <f>IF(ISNUMBER(AI611),IF(ISNUMBER(AE611),IF(AND(AE611=1,AF611=1,AG611=1),100,ROUND(100*EXP(AI611)/(1+EXP(AI611)),2)),ROUND(100*EXP(AI611)/(1+EXP(AI611)),2)),IF(ISTEXT(O611),IF(LEFT(O611,1)="2",100,"N/A"),"N/A"))</f>
        <v>0</v>
      </c>
      <c r="AK611">
        <f>IF(ISNUMBER(AJ611),IF(AJ611&gt;=99,IF(OR(R611=10,R611=11),MatchLabel,SureThingLabel),IF(AJ611&gt;=95,SecureLabel,IF(AJ611&gt;=80,SafetyLabel,IF(AJ611&gt;=50,MatchLabel,IF(AJ611&gt;=20,ReachLabel,IF(AJ611&gt;=10,LongshotLabel,HailMaryLabel)))))),"Other")</f>
        <v>0</v>
      </c>
      <c r="AL611">
        <f>IF(OR(I611="accepted",I611="cond. accept",I611="summer admit"),IF(J611="yes","CHOICE!","Accepted!"),IF(I611="denied","Denied",IF(K611=1,"Waitlist",IF(L611=1,"Deferred",IF(G611="pending","Pending",IF(OR(G611="initial materials submitted",G611="mid-year submitted",G611="final submitted"),"Submitted",IF(H611="interest","Interest","?")))))))</f>
        <v>0</v>
      </c>
      <c r="AM611">
        <f>IF(OR(AK611=ReachLabel,AK611=LongshotLabel,AK611=HailMaryLabel),1,0)</f>
        <v>0</v>
      </c>
      <c r="AN611">
        <f>IF(OR(AM611=1,AK611=MatchLabel),1,0)</f>
        <v>0</v>
      </c>
      <c r="AO611">
        <f>IF(OR(AK611=MatchLabel,AK611=SafetyLabel,AK611=SecureLabel,AK611=SureThingLabel),1,0)</f>
        <v>0</v>
      </c>
      <c r="AP611">
        <f>IF(OR(T611="H",T611="B"),IF(ISNUMBER(Y611),ROUND(Y611,2),0),IF(ISNUMBER(X611),ROUND(X611,2),0))</f>
        <v>0</v>
      </c>
      <c r="AQ611">
        <f>IF(AP611&gt;=U611,1,0)</f>
        <v>0</v>
      </c>
      <c r="AR611">
        <f>IF(AP611&gt;=V611,1,0)</f>
        <v>0</v>
      </c>
      <c r="AS611">
        <f>IF(AP611&lt;(U611-0.10),1,0)</f>
        <v>0</v>
      </c>
      <c r="AT611">
        <f>1-AJ611/100</f>
        <v>0</v>
      </c>
      <c r="AU611">
        <f>IF(AN611=1,AT611,1)</f>
        <v>0</v>
      </c>
      <c r="AV611">
        <f>IF(AM611=1,AT611,1)</f>
        <v>0</v>
      </c>
      <c r="AW611">
        <f>IF(AND(AQ611=1,ISNUMBER(AT611)),$AT611,1)</f>
        <v>0</v>
      </c>
      <c r="AX611">
        <f>IF(AND(AR611=1,ISNUMBER(AT611)),$AT611,1)</f>
        <v>0</v>
      </c>
      <c r="AY611">
        <f>IF(ISNUMBER(Y611),INDEX(AllCollegeMoney, MATCH(N611,AllCollegeNCES,0)),0)</f>
        <v>0</v>
      </c>
      <c r="AZ611">
        <f>IF(AND(AQ611=1,ISNUMBER(AT611),AY611=1),$AT611,1)</f>
        <v>0</v>
      </c>
      <c r="BA611">
        <f>IF(AND(AR611=1,ISNUMBER(AT611),AY611=1),$AT611,1)</f>
        <v>0</v>
      </c>
      <c r="BB611">
        <f>IF(ISNUMBER(Y611),INDEX(AllCollegeILPub, MATCH(N611,AllCollegeNCES,0)),0)</f>
        <v>0</v>
      </c>
      <c r="BC611">
        <f>IF(AK611=ReachLabel,AP611,0)</f>
        <v>0</v>
      </c>
      <c r="BD611">
        <f>IF(AK611=MatchLabel,AP611,0)</f>
        <v>0</v>
      </c>
      <c r="BE611">
        <f>IF(AK611=SafetyLabel,AP611,0)</f>
        <v>0</v>
      </c>
      <c r="BF611">
        <f>IF(AK611=SecureLabel,AP611,0)</f>
        <v>0</v>
      </c>
      <c r="BG611">
        <f>IF(AK611=SureThingLabel,AP611,0)</f>
        <v>0</v>
      </c>
      <c r="BH611">
        <f>MAX(BC611:BG611)</f>
        <v>0</v>
      </c>
      <c r="BI611">
        <f>MAX(BD611:BG611)</f>
        <v>0</v>
      </c>
      <c r="BJ611">
        <f>MAX(BE611:BG611)</f>
        <v>0</v>
      </c>
      <c r="BK611">
        <f>IF(AND(AK611=ReachLabel,AY611=1),AP611,0)</f>
        <v>0</v>
      </c>
      <c r="BL611">
        <f>IF(AND(AK611=MatchLabel,AY611=1),AP611,0)</f>
        <v>0</v>
      </c>
      <c r="BM611">
        <f>IF(AND(AK611=SafetyLabel,AY611=1),AP611,0)</f>
        <v>0</v>
      </c>
      <c r="BN611">
        <f>IF(AND(AK611=SecureLabel,AY611=1),AP611,0)</f>
        <v>0</v>
      </c>
      <c r="BO611">
        <f>IF(AND(AK611=SureThingLabel,AY611=1),AP611,0)</f>
        <v>0</v>
      </c>
      <c r="BP611">
        <f>MAX(BK611:BO611)</f>
        <v>0</v>
      </c>
      <c r="BQ611">
        <f>MAX(BL611:BO611)</f>
        <v>0</v>
      </c>
      <c r="BR611">
        <f>MAX(BM611:BO611)</f>
        <v>0</v>
      </c>
      <c r="BS611">
        <f>IF(ISNUMBER(Y611),INDEX(AllCollegeChicago, MATCH(N611,AllCollegeNCES,0))*AY611,0)</f>
        <v>0</v>
      </c>
      <c r="BT611">
        <f>IF(ISNUMBER(Y611),INDEX(AllCollegeMoneyCode, MATCH(N611,AllCollegeNCES,0)),"?")</f>
        <v>0</v>
      </c>
      <c r="BU611">
        <f>IF(OR(BT611="---",BT611="--",BT611="+/--",BT611="+/---"),1,0)</f>
        <v>0</v>
      </c>
      <c r="BV611">
        <f>AY611*AO611*AQ611</f>
        <v>0</v>
      </c>
    </row>
    <row r="612" spans="1:74">
      <c r="A612" t="s">
        <v>86</v>
      </c>
      <c r="B612">
        <v>24090662</v>
      </c>
      <c r="C612" t="s">
        <v>182</v>
      </c>
      <c r="D612" t="s">
        <v>183</v>
      </c>
      <c r="E612" t="s">
        <v>428</v>
      </c>
      <c r="F612" t="s">
        <v>575</v>
      </c>
      <c r="G612" t="s">
        <v>526</v>
      </c>
      <c r="H612" t="s">
        <v>526</v>
      </c>
      <c r="I612" t="s">
        <v>527</v>
      </c>
      <c r="J612" t="s">
        <v>428</v>
      </c>
      <c r="K612" t="s">
        <v>428</v>
      </c>
      <c r="L612" t="s">
        <v>428</v>
      </c>
      <c r="M612" t="s">
        <v>428</v>
      </c>
      <c r="N612">
        <v>149231</v>
      </c>
      <c r="O612">
        <f>INDEX(AllCollegeBarrons,MATCH(N612,AllCollegeNCES,0))</f>
        <v>0</v>
      </c>
      <c r="P612">
        <f>INDEX(KidGPAs,MATCH(B612,KidIDs,0))</f>
        <v>0</v>
      </c>
      <c r="Q612">
        <f>INDEX(KidACTs,MATCH(B612,KidIDs,0))</f>
        <v>0</v>
      </c>
      <c r="R612">
        <f>INDEX(Strats,MATCH(B612,KidIDs,0))</f>
        <v>0</v>
      </c>
      <c r="S612">
        <f>INDEX(KidRace,MATCH(B612,KidIDs,0))</f>
        <v>0</v>
      </c>
      <c r="T612">
        <f>IF(OR(S612="M",S612="I"),"H",S612)</f>
        <v>0</v>
      </c>
      <c r="U612">
        <f>INDEX(StudentTargets,MATCH(B612,KidIDs,0))</f>
        <v>0</v>
      </c>
      <c r="V612">
        <f>INDEX(ReachStudentTargets,MATCH(B612,KidIDs,0))</f>
        <v>0</v>
      </c>
      <c r="W612">
        <f>IF(OR(M612="Posse"),1,0)</f>
        <v>0</v>
      </c>
      <c r="X612">
        <f>IF(ISNUMBER(INDEX(AllCollegeGR, MATCH(N612,AllCollegeNCES,0))),ROUND(INDEX(AllCollegeGR, MATCH(N612,AllCollegeNCES,0))+W612*IF(INDEX(AllCollegeGR, MATCH(N612,AllCollegeNCES,0))&gt;0.7,(1-INDEX(AllCollegeGR, MATCH(N612,AllCollegeNCES,0)))/2,0.15),2),INDEX(AllCollegeGR, MATCH(N612,AllCollegeNCES,0)))</f>
        <v>0</v>
      </c>
      <c r="Y612">
        <f>IF(ISNUMBER(INDEX(AllCollegeAAHGR, MATCH(N612,AllCollegeNCES,0))),ROUND(INDEX(AllCollegeAAHGR, MATCH(N612,AllCollegeNCES,0))+W612*IF(INDEX(AllCollegeAAHGR, MATCH(N612,AllCollegeNCES,0))&gt;0.7,(1-INDEX(AllCollegeAAHGR, MATCH(N612,AllCollegeNCES,0)))/2,0.15),2),INDEX(AllCollegeAAHGR, MATCH(N612,AllCollegeNCES,0)))</f>
        <v>0</v>
      </c>
      <c r="Z612">
        <f>IF(OR(T612="H",T612="B"),INDEX(AllCollegeACT25, MATCH(N612,AllCollegeNCES,0)),INDEX(AllCollegeACT50, MATCH(N612,AllCollegeNCES,0)))</f>
        <v>0</v>
      </c>
      <c r="AA612">
        <f>INDEX(CustomWeightsGPA,MATCH(T612&amp;":"&amp;N612,CustomWeightsIndex,0))</f>
        <v>0</v>
      </c>
      <c r="AB612">
        <f>INDEX(CustomWeightsACT,MATCH(T612&amp;":"&amp;N612,CustomWeightsIndex,0))</f>
        <v>0</v>
      </c>
      <c r="AC612">
        <f>INDEX(CustomWeightsIntercept,MATCH(T612&amp;":"&amp;N612,CustomWeightsIndex,0))</f>
        <v>0</v>
      </c>
      <c r="AD612">
        <f>AA612*P612+AB612*Q612+AC612</f>
        <v>0</v>
      </c>
      <c r="AE612">
        <f>INDEX(CoefficientsGPA,MATCH(T612&amp;":"&amp;O612,CoefficientsIndex,0))</f>
        <v>0</v>
      </c>
      <c r="AF612">
        <f>INDEX(CoefficientsACT,MATCH(T612&amp;":"&amp;O612,CoefficientsIndex,0))</f>
        <v>0</v>
      </c>
      <c r="AG612">
        <f>INDEX(CoefficientsIntercept,MATCH(T612&amp;":"&amp;O612,CoefficientsIndex,0))</f>
        <v>0</v>
      </c>
      <c r="AH612">
        <f>AE612*P612+(Q612-Z612)*AF612+AG612</f>
        <v>0</v>
      </c>
      <c r="AI612">
        <f>IF(ISNUMBER(AD612),AD612,AH612)</f>
        <v>0</v>
      </c>
      <c r="AJ612">
        <f>IF(ISNUMBER(AI612),IF(ISNUMBER(AE612),IF(AND(AE612=1,AF612=1,AG612=1),100,ROUND(100*EXP(AI612)/(1+EXP(AI612)),2)),ROUND(100*EXP(AI612)/(1+EXP(AI612)),2)),IF(ISTEXT(O612),IF(LEFT(O612,1)="2",100,"N/A"),"N/A"))</f>
        <v>0</v>
      </c>
      <c r="AK612">
        <f>IF(ISNUMBER(AJ612),IF(AJ612&gt;=99,IF(OR(R612=10,R612=11),MatchLabel,SureThingLabel),IF(AJ612&gt;=95,SecureLabel,IF(AJ612&gt;=80,SafetyLabel,IF(AJ612&gt;=50,MatchLabel,IF(AJ612&gt;=20,ReachLabel,IF(AJ612&gt;=10,LongshotLabel,HailMaryLabel)))))),"Other")</f>
        <v>0</v>
      </c>
      <c r="AL612">
        <f>IF(OR(I612="accepted",I612="cond. accept",I612="summer admit"),IF(J612="yes","CHOICE!","Accepted!"),IF(I612="denied","Denied",IF(K612=1,"Waitlist",IF(L612=1,"Deferred",IF(G612="pending","Pending",IF(OR(G612="initial materials submitted",G612="mid-year submitted",G612="final submitted"),"Submitted",IF(H612="interest","Interest","?")))))))</f>
        <v>0</v>
      </c>
      <c r="AM612">
        <f>IF(OR(AK612=ReachLabel,AK612=LongshotLabel,AK612=HailMaryLabel),1,0)</f>
        <v>0</v>
      </c>
      <c r="AN612">
        <f>IF(OR(AM612=1,AK612=MatchLabel),1,0)</f>
        <v>0</v>
      </c>
      <c r="AO612">
        <f>IF(OR(AK612=MatchLabel,AK612=SafetyLabel,AK612=SecureLabel,AK612=SureThingLabel),1,0)</f>
        <v>0</v>
      </c>
      <c r="AP612">
        <f>IF(OR(T612="H",T612="B"),IF(ISNUMBER(Y612),ROUND(Y612,2),0),IF(ISNUMBER(X612),ROUND(X612,2),0))</f>
        <v>0</v>
      </c>
      <c r="AQ612">
        <f>IF(AP612&gt;=U612,1,0)</f>
        <v>0</v>
      </c>
      <c r="AR612">
        <f>IF(AP612&gt;=V612,1,0)</f>
        <v>0</v>
      </c>
      <c r="AS612">
        <f>IF(AP612&lt;(U612-0.10),1,0)</f>
        <v>0</v>
      </c>
      <c r="AT612">
        <f>1-AJ612/100</f>
        <v>0</v>
      </c>
      <c r="AU612">
        <f>IF(AN612=1,AT612,1)</f>
        <v>0</v>
      </c>
      <c r="AV612">
        <f>IF(AM612=1,AT612,1)</f>
        <v>0</v>
      </c>
      <c r="AW612">
        <f>IF(AND(AQ612=1,ISNUMBER(AT612)),$AT612,1)</f>
        <v>0</v>
      </c>
      <c r="AX612">
        <f>IF(AND(AR612=1,ISNUMBER(AT612)),$AT612,1)</f>
        <v>0</v>
      </c>
      <c r="AY612">
        <f>IF(ISNUMBER(Y612),INDEX(AllCollegeMoney, MATCH(N612,AllCollegeNCES,0)),0)</f>
        <v>0</v>
      </c>
      <c r="AZ612">
        <f>IF(AND(AQ612=1,ISNUMBER(AT612),AY612=1),$AT612,1)</f>
        <v>0</v>
      </c>
      <c r="BA612">
        <f>IF(AND(AR612=1,ISNUMBER(AT612),AY612=1),$AT612,1)</f>
        <v>0</v>
      </c>
      <c r="BB612">
        <f>IF(ISNUMBER(Y612),INDEX(AllCollegeILPub, MATCH(N612,AllCollegeNCES,0)),0)</f>
        <v>0</v>
      </c>
      <c r="BC612">
        <f>IF(AK612=ReachLabel,AP612,0)</f>
        <v>0</v>
      </c>
      <c r="BD612">
        <f>IF(AK612=MatchLabel,AP612,0)</f>
        <v>0</v>
      </c>
      <c r="BE612">
        <f>IF(AK612=SafetyLabel,AP612,0)</f>
        <v>0</v>
      </c>
      <c r="BF612">
        <f>IF(AK612=SecureLabel,AP612,0)</f>
        <v>0</v>
      </c>
      <c r="BG612">
        <f>IF(AK612=SureThingLabel,AP612,0)</f>
        <v>0</v>
      </c>
      <c r="BH612">
        <f>MAX(BC612:BG612)</f>
        <v>0</v>
      </c>
      <c r="BI612">
        <f>MAX(BD612:BG612)</f>
        <v>0</v>
      </c>
      <c r="BJ612">
        <f>MAX(BE612:BG612)</f>
        <v>0</v>
      </c>
      <c r="BK612">
        <f>IF(AND(AK612=ReachLabel,AY612=1),AP612,0)</f>
        <v>0</v>
      </c>
      <c r="BL612">
        <f>IF(AND(AK612=MatchLabel,AY612=1),AP612,0)</f>
        <v>0</v>
      </c>
      <c r="BM612">
        <f>IF(AND(AK612=SafetyLabel,AY612=1),AP612,0)</f>
        <v>0</v>
      </c>
      <c r="BN612">
        <f>IF(AND(AK612=SecureLabel,AY612=1),AP612,0)</f>
        <v>0</v>
      </c>
      <c r="BO612">
        <f>IF(AND(AK612=SureThingLabel,AY612=1),AP612,0)</f>
        <v>0</v>
      </c>
      <c r="BP612">
        <f>MAX(BK612:BO612)</f>
        <v>0</v>
      </c>
      <c r="BQ612">
        <f>MAX(BL612:BO612)</f>
        <v>0</v>
      </c>
      <c r="BR612">
        <f>MAX(BM612:BO612)</f>
        <v>0</v>
      </c>
      <c r="BS612">
        <f>IF(ISNUMBER(Y612),INDEX(AllCollegeChicago, MATCH(N612,AllCollegeNCES,0))*AY612,0)</f>
        <v>0</v>
      </c>
      <c r="BT612">
        <f>IF(ISNUMBER(Y612),INDEX(AllCollegeMoneyCode, MATCH(N612,AllCollegeNCES,0)),"?")</f>
        <v>0</v>
      </c>
      <c r="BU612">
        <f>IF(OR(BT612="---",BT612="--",BT612="+/--",BT612="+/---"),1,0)</f>
        <v>0</v>
      </c>
      <c r="BV612">
        <f>AY612*AO612*AQ612</f>
        <v>0</v>
      </c>
    </row>
    <row r="613" spans="1:74">
      <c r="A613" t="s">
        <v>86</v>
      </c>
      <c r="B613">
        <v>24090662</v>
      </c>
      <c r="C613" t="s">
        <v>182</v>
      </c>
      <c r="D613" t="s">
        <v>183</v>
      </c>
      <c r="E613" t="s">
        <v>428</v>
      </c>
      <c r="F613" t="s">
        <v>548</v>
      </c>
      <c r="G613" t="s">
        <v>526</v>
      </c>
      <c r="H613" t="s">
        <v>526</v>
      </c>
      <c r="I613" t="s">
        <v>527</v>
      </c>
      <c r="J613" t="s">
        <v>428</v>
      </c>
      <c r="K613" t="s">
        <v>428</v>
      </c>
      <c r="L613" t="s">
        <v>428</v>
      </c>
      <c r="M613" t="s">
        <v>428</v>
      </c>
      <c r="N613">
        <v>147776</v>
      </c>
      <c r="O613">
        <f>INDEX(AllCollegeBarrons,MATCH(N613,AllCollegeNCES,0))</f>
        <v>0</v>
      </c>
      <c r="P613">
        <f>INDEX(KidGPAs,MATCH(B613,KidIDs,0))</f>
        <v>0</v>
      </c>
      <c r="Q613">
        <f>INDEX(KidACTs,MATCH(B613,KidIDs,0))</f>
        <v>0</v>
      </c>
      <c r="R613">
        <f>INDEX(Strats,MATCH(B613,KidIDs,0))</f>
        <v>0</v>
      </c>
      <c r="S613">
        <f>INDEX(KidRace,MATCH(B613,KidIDs,0))</f>
        <v>0</v>
      </c>
      <c r="T613">
        <f>IF(OR(S613="M",S613="I"),"H",S613)</f>
        <v>0</v>
      </c>
      <c r="U613">
        <f>INDEX(StudentTargets,MATCH(B613,KidIDs,0))</f>
        <v>0</v>
      </c>
      <c r="V613">
        <f>INDEX(ReachStudentTargets,MATCH(B613,KidIDs,0))</f>
        <v>0</v>
      </c>
      <c r="W613">
        <f>IF(OR(M613="Posse"),1,0)</f>
        <v>0</v>
      </c>
      <c r="X613">
        <f>IF(ISNUMBER(INDEX(AllCollegeGR, MATCH(N613,AllCollegeNCES,0))),ROUND(INDEX(AllCollegeGR, MATCH(N613,AllCollegeNCES,0))+W613*IF(INDEX(AllCollegeGR, MATCH(N613,AllCollegeNCES,0))&gt;0.7,(1-INDEX(AllCollegeGR, MATCH(N613,AllCollegeNCES,0)))/2,0.15),2),INDEX(AllCollegeGR, MATCH(N613,AllCollegeNCES,0)))</f>
        <v>0</v>
      </c>
      <c r="Y613">
        <f>IF(ISNUMBER(INDEX(AllCollegeAAHGR, MATCH(N613,AllCollegeNCES,0))),ROUND(INDEX(AllCollegeAAHGR, MATCH(N613,AllCollegeNCES,0))+W613*IF(INDEX(AllCollegeAAHGR, MATCH(N613,AllCollegeNCES,0))&gt;0.7,(1-INDEX(AllCollegeAAHGR, MATCH(N613,AllCollegeNCES,0)))/2,0.15),2),INDEX(AllCollegeAAHGR, MATCH(N613,AllCollegeNCES,0)))</f>
        <v>0</v>
      </c>
      <c r="Z613">
        <f>IF(OR(T613="H",T613="B"),INDEX(AllCollegeACT25, MATCH(N613,AllCollegeNCES,0)),INDEX(AllCollegeACT50, MATCH(N613,AllCollegeNCES,0)))</f>
        <v>0</v>
      </c>
      <c r="AA613">
        <f>INDEX(CustomWeightsGPA,MATCH(T613&amp;":"&amp;N613,CustomWeightsIndex,0))</f>
        <v>0</v>
      </c>
      <c r="AB613">
        <f>INDEX(CustomWeightsACT,MATCH(T613&amp;":"&amp;N613,CustomWeightsIndex,0))</f>
        <v>0</v>
      </c>
      <c r="AC613">
        <f>INDEX(CustomWeightsIntercept,MATCH(T613&amp;":"&amp;N613,CustomWeightsIndex,0))</f>
        <v>0</v>
      </c>
      <c r="AD613">
        <f>AA613*P613+AB613*Q613+AC613</f>
        <v>0</v>
      </c>
      <c r="AE613">
        <f>INDEX(CoefficientsGPA,MATCH(T613&amp;":"&amp;O613,CoefficientsIndex,0))</f>
        <v>0</v>
      </c>
      <c r="AF613">
        <f>INDEX(CoefficientsACT,MATCH(T613&amp;":"&amp;O613,CoefficientsIndex,0))</f>
        <v>0</v>
      </c>
      <c r="AG613">
        <f>INDEX(CoefficientsIntercept,MATCH(T613&amp;":"&amp;O613,CoefficientsIndex,0))</f>
        <v>0</v>
      </c>
      <c r="AH613">
        <f>AE613*P613+(Q613-Z613)*AF613+AG613</f>
        <v>0</v>
      </c>
      <c r="AI613">
        <f>IF(ISNUMBER(AD613),AD613,AH613)</f>
        <v>0</v>
      </c>
      <c r="AJ613">
        <f>IF(ISNUMBER(AI613),IF(ISNUMBER(AE613),IF(AND(AE613=1,AF613=1,AG613=1),100,ROUND(100*EXP(AI613)/(1+EXP(AI613)),2)),ROUND(100*EXP(AI613)/(1+EXP(AI613)),2)),IF(ISTEXT(O613),IF(LEFT(O613,1)="2",100,"N/A"),"N/A"))</f>
        <v>0</v>
      </c>
      <c r="AK613">
        <f>IF(ISNUMBER(AJ613),IF(AJ613&gt;=99,IF(OR(R613=10,R613=11),MatchLabel,SureThingLabel),IF(AJ613&gt;=95,SecureLabel,IF(AJ613&gt;=80,SafetyLabel,IF(AJ613&gt;=50,MatchLabel,IF(AJ613&gt;=20,ReachLabel,IF(AJ613&gt;=10,LongshotLabel,HailMaryLabel)))))),"Other")</f>
        <v>0</v>
      </c>
      <c r="AL613">
        <f>IF(OR(I613="accepted",I613="cond. accept",I613="summer admit"),IF(J613="yes","CHOICE!","Accepted!"),IF(I613="denied","Denied",IF(K613=1,"Waitlist",IF(L613=1,"Deferred",IF(G613="pending","Pending",IF(OR(G613="initial materials submitted",G613="mid-year submitted",G613="final submitted"),"Submitted",IF(H613="interest","Interest","?")))))))</f>
        <v>0</v>
      </c>
      <c r="AM613">
        <f>IF(OR(AK613=ReachLabel,AK613=LongshotLabel,AK613=HailMaryLabel),1,0)</f>
        <v>0</v>
      </c>
      <c r="AN613">
        <f>IF(OR(AM613=1,AK613=MatchLabel),1,0)</f>
        <v>0</v>
      </c>
      <c r="AO613">
        <f>IF(OR(AK613=MatchLabel,AK613=SafetyLabel,AK613=SecureLabel,AK613=SureThingLabel),1,0)</f>
        <v>0</v>
      </c>
      <c r="AP613">
        <f>IF(OR(T613="H",T613="B"),IF(ISNUMBER(Y613),ROUND(Y613,2),0),IF(ISNUMBER(X613),ROUND(X613,2),0))</f>
        <v>0</v>
      </c>
      <c r="AQ613">
        <f>IF(AP613&gt;=U613,1,0)</f>
        <v>0</v>
      </c>
      <c r="AR613">
        <f>IF(AP613&gt;=V613,1,0)</f>
        <v>0</v>
      </c>
      <c r="AS613">
        <f>IF(AP613&lt;(U613-0.10),1,0)</f>
        <v>0</v>
      </c>
      <c r="AT613">
        <f>1-AJ613/100</f>
        <v>0</v>
      </c>
      <c r="AU613">
        <f>IF(AN613=1,AT613,1)</f>
        <v>0</v>
      </c>
      <c r="AV613">
        <f>IF(AM613=1,AT613,1)</f>
        <v>0</v>
      </c>
      <c r="AW613">
        <f>IF(AND(AQ613=1,ISNUMBER(AT613)),$AT613,1)</f>
        <v>0</v>
      </c>
      <c r="AX613">
        <f>IF(AND(AR613=1,ISNUMBER(AT613)),$AT613,1)</f>
        <v>0</v>
      </c>
      <c r="AY613">
        <f>IF(ISNUMBER(Y613),INDEX(AllCollegeMoney, MATCH(N613,AllCollegeNCES,0)),0)</f>
        <v>0</v>
      </c>
      <c r="AZ613">
        <f>IF(AND(AQ613=1,ISNUMBER(AT613),AY613=1),$AT613,1)</f>
        <v>0</v>
      </c>
      <c r="BA613">
        <f>IF(AND(AR613=1,ISNUMBER(AT613),AY613=1),$AT613,1)</f>
        <v>0</v>
      </c>
      <c r="BB613">
        <f>IF(ISNUMBER(Y613),INDEX(AllCollegeILPub, MATCH(N613,AllCollegeNCES,0)),0)</f>
        <v>0</v>
      </c>
      <c r="BC613">
        <f>IF(AK613=ReachLabel,AP613,0)</f>
        <v>0</v>
      </c>
      <c r="BD613">
        <f>IF(AK613=MatchLabel,AP613,0)</f>
        <v>0</v>
      </c>
      <c r="BE613">
        <f>IF(AK613=SafetyLabel,AP613,0)</f>
        <v>0</v>
      </c>
      <c r="BF613">
        <f>IF(AK613=SecureLabel,AP613,0)</f>
        <v>0</v>
      </c>
      <c r="BG613">
        <f>IF(AK613=SureThingLabel,AP613,0)</f>
        <v>0</v>
      </c>
      <c r="BH613">
        <f>MAX(BC613:BG613)</f>
        <v>0</v>
      </c>
      <c r="BI613">
        <f>MAX(BD613:BG613)</f>
        <v>0</v>
      </c>
      <c r="BJ613">
        <f>MAX(BE613:BG613)</f>
        <v>0</v>
      </c>
      <c r="BK613">
        <f>IF(AND(AK613=ReachLabel,AY613=1),AP613,0)</f>
        <v>0</v>
      </c>
      <c r="BL613">
        <f>IF(AND(AK613=MatchLabel,AY613=1),AP613,0)</f>
        <v>0</v>
      </c>
      <c r="BM613">
        <f>IF(AND(AK613=SafetyLabel,AY613=1),AP613,0)</f>
        <v>0</v>
      </c>
      <c r="BN613">
        <f>IF(AND(AK613=SecureLabel,AY613=1),AP613,0)</f>
        <v>0</v>
      </c>
      <c r="BO613">
        <f>IF(AND(AK613=SureThingLabel,AY613=1),AP613,0)</f>
        <v>0</v>
      </c>
      <c r="BP613">
        <f>MAX(BK613:BO613)</f>
        <v>0</v>
      </c>
      <c r="BQ613">
        <f>MAX(BL613:BO613)</f>
        <v>0</v>
      </c>
      <c r="BR613">
        <f>MAX(BM613:BO613)</f>
        <v>0</v>
      </c>
      <c r="BS613">
        <f>IF(ISNUMBER(Y613),INDEX(AllCollegeChicago, MATCH(N613,AllCollegeNCES,0))*AY613,0)</f>
        <v>0</v>
      </c>
      <c r="BT613">
        <f>IF(ISNUMBER(Y613),INDEX(AllCollegeMoneyCode, MATCH(N613,AllCollegeNCES,0)),"?")</f>
        <v>0</v>
      </c>
      <c r="BU613">
        <f>IF(OR(BT613="---",BT613="--",BT613="+/--",BT613="+/---"),1,0)</f>
        <v>0</v>
      </c>
      <c r="BV613">
        <f>AY613*AO613*AQ613</f>
        <v>0</v>
      </c>
    </row>
    <row r="614" spans="1:74">
      <c r="A614" t="s">
        <v>86</v>
      </c>
      <c r="B614">
        <v>24126470</v>
      </c>
      <c r="C614" t="s">
        <v>101</v>
      </c>
      <c r="D614" t="s">
        <v>102</v>
      </c>
      <c r="E614" t="s">
        <v>428</v>
      </c>
      <c r="F614" t="s">
        <v>467</v>
      </c>
      <c r="G614" t="s">
        <v>430</v>
      </c>
      <c r="H614" t="s">
        <v>431</v>
      </c>
      <c r="I614" t="s">
        <v>432</v>
      </c>
      <c r="J614" t="s">
        <v>432</v>
      </c>
      <c r="K614">
        <v>0</v>
      </c>
      <c r="L614" t="s">
        <v>428</v>
      </c>
      <c r="M614" t="s">
        <v>428</v>
      </c>
      <c r="N614">
        <v>170976</v>
      </c>
      <c r="O614">
        <f>INDEX(AllCollegeBarrons,MATCH(N614,AllCollegeNCES,0))</f>
        <v>0</v>
      </c>
      <c r="P614">
        <f>INDEX(KidGPAs,MATCH(B614,KidIDs,0))</f>
        <v>0</v>
      </c>
      <c r="Q614">
        <f>INDEX(KidACTs,MATCH(B614,KidIDs,0))</f>
        <v>0</v>
      </c>
      <c r="R614">
        <f>INDEX(Strats,MATCH(B614,KidIDs,0))</f>
        <v>0</v>
      </c>
      <c r="S614">
        <f>INDEX(KidRace,MATCH(B614,KidIDs,0))</f>
        <v>0</v>
      </c>
      <c r="T614">
        <f>IF(OR(S614="M",S614="I"),"H",S614)</f>
        <v>0</v>
      </c>
      <c r="U614">
        <f>INDEX(StudentTargets,MATCH(B614,KidIDs,0))</f>
        <v>0</v>
      </c>
      <c r="V614">
        <f>INDEX(ReachStudentTargets,MATCH(B614,KidIDs,0))</f>
        <v>0</v>
      </c>
      <c r="W614">
        <f>IF(OR(M614="Posse"),1,0)</f>
        <v>0</v>
      </c>
      <c r="X614">
        <f>IF(ISNUMBER(INDEX(AllCollegeGR, MATCH(N614,AllCollegeNCES,0))),ROUND(INDEX(AllCollegeGR, MATCH(N614,AllCollegeNCES,0))+W614*IF(INDEX(AllCollegeGR, MATCH(N614,AllCollegeNCES,0))&gt;0.7,(1-INDEX(AllCollegeGR, MATCH(N614,AllCollegeNCES,0)))/2,0.15),2),INDEX(AllCollegeGR, MATCH(N614,AllCollegeNCES,0)))</f>
        <v>0</v>
      </c>
      <c r="Y614">
        <f>IF(ISNUMBER(INDEX(AllCollegeAAHGR, MATCH(N614,AllCollegeNCES,0))),ROUND(INDEX(AllCollegeAAHGR, MATCH(N614,AllCollegeNCES,0))+W614*IF(INDEX(AllCollegeAAHGR, MATCH(N614,AllCollegeNCES,0))&gt;0.7,(1-INDEX(AllCollegeAAHGR, MATCH(N614,AllCollegeNCES,0)))/2,0.15),2),INDEX(AllCollegeAAHGR, MATCH(N614,AllCollegeNCES,0)))</f>
        <v>0</v>
      </c>
      <c r="Z614">
        <f>IF(OR(T614="H",T614="B"),INDEX(AllCollegeACT25, MATCH(N614,AllCollegeNCES,0)),INDEX(AllCollegeACT50, MATCH(N614,AllCollegeNCES,0)))</f>
        <v>0</v>
      </c>
      <c r="AA614">
        <f>INDEX(CustomWeightsGPA,MATCH(T614&amp;":"&amp;N614,CustomWeightsIndex,0))</f>
        <v>0</v>
      </c>
      <c r="AB614">
        <f>INDEX(CustomWeightsACT,MATCH(T614&amp;":"&amp;N614,CustomWeightsIndex,0))</f>
        <v>0</v>
      </c>
      <c r="AC614">
        <f>INDEX(CustomWeightsIntercept,MATCH(T614&amp;":"&amp;N614,CustomWeightsIndex,0))</f>
        <v>0</v>
      </c>
      <c r="AD614">
        <f>AA614*P614+AB614*Q614+AC614</f>
        <v>0</v>
      </c>
      <c r="AE614">
        <f>INDEX(CoefficientsGPA,MATCH(T614&amp;":"&amp;O614,CoefficientsIndex,0))</f>
        <v>0</v>
      </c>
      <c r="AF614">
        <f>INDEX(CoefficientsACT,MATCH(T614&amp;":"&amp;O614,CoefficientsIndex,0))</f>
        <v>0</v>
      </c>
      <c r="AG614">
        <f>INDEX(CoefficientsIntercept,MATCH(T614&amp;":"&amp;O614,CoefficientsIndex,0))</f>
        <v>0</v>
      </c>
      <c r="AH614">
        <f>AE614*P614+(Q614-Z614)*AF614+AG614</f>
        <v>0</v>
      </c>
      <c r="AI614">
        <f>IF(ISNUMBER(AD614),AD614,AH614)</f>
        <v>0</v>
      </c>
      <c r="AJ614">
        <f>IF(ISNUMBER(AI614),IF(ISNUMBER(AE614),IF(AND(AE614=1,AF614=1,AG614=1),100,ROUND(100*EXP(AI614)/(1+EXP(AI614)),2)),ROUND(100*EXP(AI614)/(1+EXP(AI614)),2)),IF(ISTEXT(O614),IF(LEFT(O614,1)="2",100,"N/A"),"N/A"))</f>
        <v>0</v>
      </c>
      <c r="AK614">
        <f>IF(ISNUMBER(AJ614),IF(AJ614&gt;=99,IF(OR(R614=10,R614=11),MatchLabel,SureThingLabel),IF(AJ614&gt;=95,SecureLabel,IF(AJ614&gt;=80,SafetyLabel,IF(AJ614&gt;=50,MatchLabel,IF(AJ614&gt;=20,ReachLabel,IF(AJ614&gt;=10,LongshotLabel,HailMaryLabel)))))),"Other")</f>
        <v>0</v>
      </c>
      <c r="AL614">
        <f>IF(OR(I614="accepted",I614="cond. accept",I614="summer admit"),IF(J614="yes","CHOICE!","Accepted!"),IF(I614="denied","Denied",IF(K614=1,"Waitlist",IF(L614=1,"Deferred",IF(G614="pending","Pending",IF(OR(G614="initial materials submitted",G614="mid-year submitted",G614="final submitted"),"Submitted",IF(H614="interest","Interest","?")))))))</f>
        <v>0</v>
      </c>
      <c r="AM614">
        <f>IF(OR(AK614=ReachLabel,AK614=LongshotLabel,AK614=HailMaryLabel),1,0)</f>
        <v>0</v>
      </c>
      <c r="AN614">
        <f>IF(OR(AM614=1,AK614=MatchLabel),1,0)</f>
        <v>0</v>
      </c>
      <c r="AO614">
        <f>IF(OR(AK614=MatchLabel,AK614=SafetyLabel,AK614=SecureLabel,AK614=SureThingLabel),1,0)</f>
        <v>0</v>
      </c>
      <c r="AP614">
        <f>IF(OR(T614="H",T614="B"),IF(ISNUMBER(Y614),ROUND(Y614,2),0),IF(ISNUMBER(X614),ROUND(X614,2),0))</f>
        <v>0</v>
      </c>
      <c r="AQ614">
        <f>IF(AP614&gt;=U614,1,0)</f>
        <v>0</v>
      </c>
      <c r="AR614">
        <f>IF(AP614&gt;=V614,1,0)</f>
        <v>0</v>
      </c>
      <c r="AS614">
        <f>IF(AP614&lt;(U614-0.10),1,0)</f>
        <v>0</v>
      </c>
      <c r="AT614">
        <f>1-AJ614/100</f>
        <v>0</v>
      </c>
      <c r="AU614">
        <f>IF(AN614=1,AT614,1)</f>
        <v>0</v>
      </c>
      <c r="AV614">
        <f>IF(AM614=1,AT614,1)</f>
        <v>0</v>
      </c>
      <c r="AW614">
        <f>IF(AND(AQ614=1,ISNUMBER(AT614)),$AT614,1)</f>
        <v>0</v>
      </c>
      <c r="AX614">
        <f>IF(AND(AR614=1,ISNUMBER(AT614)),$AT614,1)</f>
        <v>0</v>
      </c>
      <c r="AY614">
        <f>IF(ISNUMBER(Y614),INDEX(AllCollegeMoney, MATCH(N614,AllCollegeNCES,0)),0)</f>
        <v>0</v>
      </c>
      <c r="AZ614">
        <f>IF(AND(AQ614=1,ISNUMBER(AT614),AY614=1),$AT614,1)</f>
        <v>0</v>
      </c>
      <c r="BA614">
        <f>IF(AND(AR614=1,ISNUMBER(AT614),AY614=1),$AT614,1)</f>
        <v>0</v>
      </c>
      <c r="BB614">
        <f>IF(ISNUMBER(Y614),INDEX(AllCollegeILPub, MATCH(N614,AllCollegeNCES,0)),0)</f>
        <v>0</v>
      </c>
      <c r="BC614">
        <f>IF(AK614=ReachLabel,AP614,0)</f>
        <v>0</v>
      </c>
      <c r="BD614">
        <f>IF(AK614=MatchLabel,AP614,0)</f>
        <v>0</v>
      </c>
      <c r="BE614">
        <f>IF(AK614=SafetyLabel,AP614,0)</f>
        <v>0</v>
      </c>
      <c r="BF614">
        <f>IF(AK614=SecureLabel,AP614,0)</f>
        <v>0</v>
      </c>
      <c r="BG614">
        <f>IF(AK614=SureThingLabel,AP614,0)</f>
        <v>0</v>
      </c>
      <c r="BH614">
        <f>MAX(BC614:BG614)</f>
        <v>0</v>
      </c>
      <c r="BI614">
        <f>MAX(BD614:BG614)</f>
        <v>0</v>
      </c>
      <c r="BJ614">
        <f>MAX(BE614:BG614)</f>
        <v>0</v>
      </c>
      <c r="BK614">
        <f>IF(AND(AK614=ReachLabel,AY614=1),AP614,0)</f>
        <v>0</v>
      </c>
      <c r="BL614">
        <f>IF(AND(AK614=MatchLabel,AY614=1),AP614,0)</f>
        <v>0</v>
      </c>
      <c r="BM614">
        <f>IF(AND(AK614=SafetyLabel,AY614=1),AP614,0)</f>
        <v>0</v>
      </c>
      <c r="BN614">
        <f>IF(AND(AK614=SecureLabel,AY614=1),AP614,0)</f>
        <v>0</v>
      </c>
      <c r="BO614">
        <f>IF(AND(AK614=SureThingLabel,AY614=1),AP614,0)</f>
        <v>0</v>
      </c>
      <c r="BP614">
        <f>MAX(BK614:BO614)</f>
        <v>0</v>
      </c>
      <c r="BQ614">
        <f>MAX(BL614:BO614)</f>
        <v>0</v>
      </c>
      <c r="BR614">
        <f>MAX(BM614:BO614)</f>
        <v>0</v>
      </c>
      <c r="BS614">
        <f>IF(ISNUMBER(Y614),INDEX(AllCollegeChicago, MATCH(N614,AllCollegeNCES,0))*AY614,0)</f>
        <v>0</v>
      </c>
      <c r="BT614">
        <f>IF(ISNUMBER(Y614),INDEX(AllCollegeMoneyCode, MATCH(N614,AllCollegeNCES,0)),"?")</f>
        <v>0</v>
      </c>
      <c r="BU614">
        <f>IF(OR(BT614="---",BT614="--",BT614="+/--",BT614="+/---"),1,0)</f>
        <v>0</v>
      </c>
      <c r="BV614">
        <f>AY614*AO614*AQ614</f>
        <v>0</v>
      </c>
    </row>
    <row r="615" spans="1:74">
      <c r="A615" t="s">
        <v>86</v>
      </c>
      <c r="B615">
        <v>24126470</v>
      </c>
      <c r="C615" t="s">
        <v>101</v>
      </c>
      <c r="D615" t="s">
        <v>102</v>
      </c>
      <c r="E615" t="s">
        <v>428</v>
      </c>
      <c r="F615" t="s">
        <v>496</v>
      </c>
      <c r="G615" t="s">
        <v>430</v>
      </c>
      <c r="H615" t="s">
        <v>431</v>
      </c>
      <c r="I615" t="s">
        <v>432</v>
      </c>
      <c r="J615" t="s">
        <v>432</v>
      </c>
      <c r="K615">
        <v>0</v>
      </c>
      <c r="L615" t="s">
        <v>428</v>
      </c>
      <c r="M615" t="s">
        <v>428</v>
      </c>
      <c r="N615">
        <v>150400</v>
      </c>
      <c r="O615">
        <f>INDEX(AllCollegeBarrons,MATCH(N615,AllCollegeNCES,0))</f>
        <v>0</v>
      </c>
      <c r="P615">
        <f>INDEX(KidGPAs,MATCH(B615,KidIDs,0))</f>
        <v>0</v>
      </c>
      <c r="Q615">
        <f>INDEX(KidACTs,MATCH(B615,KidIDs,0))</f>
        <v>0</v>
      </c>
      <c r="R615">
        <f>INDEX(Strats,MATCH(B615,KidIDs,0))</f>
        <v>0</v>
      </c>
      <c r="S615">
        <f>INDEX(KidRace,MATCH(B615,KidIDs,0))</f>
        <v>0</v>
      </c>
      <c r="T615">
        <f>IF(OR(S615="M",S615="I"),"H",S615)</f>
        <v>0</v>
      </c>
      <c r="U615">
        <f>INDEX(StudentTargets,MATCH(B615,KidIDs,0))</f>
        <v>0</v>
      </c>
      <c r="V615">
        <f>INDEX(ReachStudentTargets,MATCH(B615,KidIDs,0))</f>
        <v>0</v>
      </c>
      <c r="W615">
        <f>IF(OR(M615="Posse"),1,0)</f>
        <v>0</v>
      </c>
      <c r="X615">
        <f>IF(ISNUMBER(INDEX(AllCollegeGR, MATCH(N615,AllCollegeNCES,0))),ROUND(INDEX(AllCollegeGR, MATCH(N615,AllCollegeNCES,0))+W615*IF(INDEX(AllCollegeGR, MATCH(N615,AllCollegeNCES,0))&gt;0.7,(1-INDEX(AllCollegeGR, MATCH(N615,AllCollegeNCES,0)))/2,0.15),2),INDEX(AllCollegeGR, MATCH(N615,AllCollegeNCES,0)))</f>
        <v>0</v>
      </c>
      <c r="Y615">
        <f>IF(ISNUMBER(INDEX(AllCollegeAAHGR, MATCH(N615,AllCollegeNCES,0))),ROUND(INDEX(AllCollegeAAHGR, MATCH(N615,AllCollegeNCES,0))+W615*IF(INDEX(AllCollegeAAHGR, MATCH(N615,AllCollegeNCES,0))&gt;0.7,(1-INDEX(AllCollegeAAHGR, MATCH(N615,AllCollegeNCES,0)))/2,0.15),2),INDEX(AllCollegeAAHGR, MATCH(N615,AllCollegeNCES,0)))</f>
        <v>0</v>
      </c>
      <c r="Z615">
        <f>IF(OR(T615="H",T615="B"),INDEX(AllCollegeACT25, MATCH(N615,AllCollegeNCES,0)),INDEX(AllCollegeACT50, MATCH(N615,AllCollegeNCES,0)))</f>
        <v>0</v>
      </c>
      <c r="AA615">
        <f>INDEX(CustomWeightsGPA,MATCH(T615&amp;":"&amp;N615,CustomWeightsIndex,0))</f>
        <v>0</v>
      </c>
      <c r="AB615">
        <f>INDEX(CustomWeightsACT,MATCH(T615&amp;":"&amp;N615,CustomWeightsIndex,0))</f>
        <v>0</v>
      </c>
      <c r="AC615">
        <f>INDEX(CustomWeightsIntercept,MATCH(T615&amp;":"&amp;N615,CustomWeightsIndex,0))</f>
        <v>0</v>
      </c>
      <c r="AD615">
        <f>AA615*P615+AB615*Q615+AC615</f>
        <v>0</v>
      </c>
      <c r="AE615">
        <f>INDEX(CoefficientsGPA,MATCH(T615&amp;":"&amp;O615,CoefficientsIndex,0))</f>
        <v>0</v>
      </c>
      <c r="AF615">
        <f>INDEX(CoefficientsACT,MATCH(T615&amp;":"&amp;O615,CoefficientsIndex,0))</f>
        <v>0</v>
      </c>
      <c r="AG615">
        <f>INDEX(CoefficientsIntercept,MATCH(T615&amp;":"&amp;O615,CoefficientsIndex,0))</f>
        <v>0</v>
      </c>
      <c r="AH615">
        <f>AE615*P615+(Q615-Z615)*AF615+AG615</f>
        <v>0</v>
      </c>
      <c r="AI615">
        <f>IF(ISNUMBER(AD615),AD615,AH615)</f>
        <v>0</v>
      </c>
      <c r="AJ615">
        <f>IF(ISNUMBER(AI615),IF(ISNUMBER(AE615),IF(AND(AE615=1,AF615=1,AG615=1),100,ROUND(100*EXP(AI615)/(1+EXP(AI615)),2)),ROUND(100*EXP(AI615)/(1+EXP(AI615)),2)),IF(ISTEXT(O615),IF(LEFT(O615,1)="2",100,"N/A"),"N/A"))</f>
        <v>0</v>
      </c>
      <c r="AK615">
        <f>IF(ISNUMBER(AJ615),IF(AJ615&gt;=99,IF(OR(R615=10,R615=11),MatchLabel,SureThingLabel),IF(AJ615&gt;=95,SecureLabel,IF(AJ615&gt;=80,SafetyLabel,IF(AJ615&gt;=50,MatchLabel,IF(AJ615&gt;=20,ReachLabel,IF(AJ615&gt;=10,LongshotLabel,HailMaryLabel)))))),"Other")</f>
        <v>0</v>
      </c>
      <c r="AL615">
        <f>IF(OR(I615="accepted",I615="cond. accept",I615="summer admit"),IF(J615="yes","CHOICE!","Accepted!"),IF(I615="denied","Denied",IF(K615=1,"Waitlist",IF(L615=1,"Deferred",IF(G615="pending","Pending",IF(OR(G615="initial materials submitted",G615="mid-year submitted",G615="final submitted"),"Submitted",IF(H615="interest","Interest","?")))))))</f>
        <v>0</v>
      </c>
      <c r="AM615">
        <f>IF(OR(AK615=ReachLabel,AK615=LongshotLabel,AK615=HailMaryLabel),1,0)</f>
        <v>0</v>
      </c>
      <c r="AN615">
        <f>IF(OR(AM615=1,AK615=MatchLabel),1,0)</f>
        <v>0</v>
      </c>
      <c r="AO615">
        <f>IF(OR(AK615=MatchLabel,AK615=SafetyLabel,AK615=SecureLabel,AK615=SureThingLabel),1,0)</f>
        <v>0</v>
      </c>
      <c r="AP615">
        <f>IF(OR(T615="H",T615="B"),IF(ISNUMBER(Y615),ROUND(Y615,2),0),IF(ISNUMBER(X615),ROUND(X615,2),0))</f>
        <v>0</v>
      </c>
      <c r="AQ615">
        <f>IF(AP615&gt;=U615,1,0)</f>
        <v>0</v>
      </c>
      <c r="AR615">
        <f>IF(AP615&gt;=V615,1,0)</f>
        <v>0</v>
      </c>
      <c r="AS615">
        <f>IF(AP615&lt;(U615-0.10),1,0)</f>
        <v>0</v>
      </c>
      <c r="AT615">
        <f>1-AJ615/100</f>
        <v>0</v>
      </c>
      <c r="AU615">
        <f>IF(AN615=1,AT615,1)</f>
        <v>0</v>
      </c>
      <c r="AV615">
        <f>IF(AM615=1,AT615,1)</f>
        <v>0</v>
      </c>
      <c r="AW615">
        <f>IF(AND(AQ615=1,ISNUMBER(AT615)),$AT615,1)</f>
        <v>0</v>
      </c>
      <c r="AX615">
        <f>IF(AND(AR615=1,ISNUMBER(AT615)),$AT615,1)</f>
        <v>0</v>
      </c>
      <c r="AY615">
        <f>IF(ISNUMBER(Y615),INDEX(AllCollegeMoney, MATCH(N615,AllCollegeNCES,0)),0)</f>
        <v>0</v>
      </c>
      <c r="AZ615">
        <f>IF(AND(AQ615=1,ISNUMBER(AT615),AY615=1),$AT615,1)</f>
        <v>0</v>
      </c>
      <c r="BA615">
        <f>IF(AND(AR615=1,ISNUMBER(AT615),AY615=1),$AT615,1)</f>
        <v>0</v>
      </c>
      <c r="BB615">
        <f>IF(ISNUMBER(Y615),INDEX(AllCollegeILPub, MATCH(N615,AllCollegeNCES,0)),0)</f>
        <v>0</v>
      </c>
      <c r="BC615">
        <f>IF(AK615=ReachLabel,AP615,0)</f>
        <v>0</v>
      </c>
      <c r="BD615">
        <f>IF(AK615=MatchLabel,AP615,0)</f>
        <v>0</v>
      </c>
      <c r="BE615">
        <f>IF(AK615=SafetyLabel,AP615,0)</f>
        <v>0</v>
      </c>
      <c r="BF615">
        <f>IF(AK615=SecureLabel,AP615,0)</f>
        <v>0</v>
      </c>
      <c r="BG615">
        <f>IF(AK615=SureThingLabel,AP615,0)</f>
        <v>0</v>
      </c>
      <c r="BH615">
        <f>MAX(BC615:BG615)</f>
        <v>0</v>
      </c>
      <c r="BI615">
        <f>MAX(BD615:BG615)</f>
        <v>0</v>
      </c>
      <c r="BJ615">
        <f>MAX(BE615:BG615)</f>
        <v>0</v>
      </c>
      <c r="BK615">
        <f>IF(AND(AK615=ReachLabel,AY615=1),AP615,0)</f>
        <v>0</v>
      </c>
      <c r="BL615">
        <f>IF(AND(AK615=MatchLabel,AY615=1),AP615,0)</f>
        <v>0</v>
      </c>
      <c r="BM615">
        <f>IF(AND(AK615=SafetyLabel,AY615=1),AP615,0)</f>
        <v>0</v>
      </c>
      <c r="BN615">
        <f>IF(AND(AK615=SecureLabel,AY615=1),AP615,0)</f>
        <v>0</v>
      </c>
      <c r="BO615">
        <f>IF(AND(AK615=SureThingLabel,AY615=1),AP615,0)</f>
        <v>0</v>
      </c>
      <c r="BP615">
        <f>MAX(BK615:BO615)</f>
        <v>0</v>
      </c>
      <c r="BQ615">
        <f>MAX(BL615:BO615)</f>
        <v>0</v>
      </c>
      <c r="BR615">
        <f>MAX(BM615:BO615)</f>
        <v>0</v>
      </c>
      <c r="BS615">
        <f>IF(ISNUMBER(Y615),INDEX(AllCollegeChicago, MATCH(N615,AllCollegeNCES,0))*AY615,0)</f>
        <v>0</v>
      </c>
      <c r="BT615">
        <f>IF(ISNUMBER(Y615),INDEX(AllCollegeMoneyCode, MATCH(N615,AllCollegeNCES,0)),"?")</f>
        <v>0</v>
      </c>
      <c r="BU615">
        <f>IF(OR(BT615="---",BT615="--",BT615="+/--",BT615="+/---"),1,0)</f>
        <v>0</v>
      </c>
      <c r="BV615">
        <f>AY615*AO615*AQ615</f>
        <v>0</v>
      </c>
    </row>
    <row r="616" spans="1:74">
      <c r="A616" t="s">
        <v>86</v>
      </c>
      <c r="B616">
        <v>24126470</v>
      </c>
      <c r="C616" t="s">
        <v>101</v>
      </c>
      <c r="D616" t="s">
        <v>102</v>
      </c>
      <c r="E616" t="s">
        <v>428</v>
      </c>
      <c r="F616" t="s">
        <v>454</v>
      </c>
      <c r="G616" t="s">
        <v>430</v>
      </c>
      <c r="H616" t="s">
        <v>431</v>
      </c>
      <c r="I616" t="s">
        <v>432</v>
      </c>
      <c r="J616" t="s">
        <v>432</v>
      </c>
      <c r="K616">
        <v>0</v>
      </c>
      <c r="L616" t="s">
        <v>428</v>
      </c>
      <c r="M616" t="s">
        <v>428</v>
      </c>
      <c r="N616">
        <v>170532</v>
      </c>
      <c r="O616">
        <f>INDEX(AllCollegeBarrons,MATCH(N616,AllCollegeNCES,0))</f>
        <v>0</v>
      </c>
      <c r="P616">
        <f>INDEX(KidGPAs,MATCH(B616,KidIDs,0))</f>
        <v>0</v>
      </c>
      <c r="Q616">
        <f>INDEX(KidACTs,MATCH(B616,KidIDs,0))</f>
        <v>0</v>
      </c>
      <c r="R616">
        <f>INDEX(Strats,MATCH(B616,KidIDs,0))</f>
        <v>0</v>
      </c>
      <c r="S616">
        <f>INDEX(KidRace,MATCH(B616,KidIDs,0))</f>
        <v>0</v>
      </c>
      <c r="T616">
        <f>IF(OR(S616="M",S616="I"),"H",S616)</f>
        <v>0</v>
      </c>
      <c r="U616">
        <f>INDEX(StudentTargets,MATCH(B616,KidIDs,0))</f>
        <v>0</v>
      </c>
      <c r="V616">
        <f>INDEX(ReachStudentTargets,MATCH(B616,KidIDs,0))</f>
        <v>0</v>
      </c>
      <c r="W616">
        <f>IF(OR(M616="Posse"),1,0)</f>
        <v>0</v>
      </c>
      <c r="X616">
        <f>IF(ISNUMBER(INDEX(AllCollegeGR, MATCH(N616,AllCollegeNCES,0))),ROUND(INDEX(AllCollegeGR, MATCH(N616,AllCollegeNCES,0))+W616*IF(INDEX(AllCollegeGR, MATCH(N616,AllCollegeNCES,0))&gt;0.7,(1-INDEX(AllCollegeGR, MATCH(N616,AllCollegeNCES,0)))/2,0.15),2),INDEX(AllCollegeGR, MATCH(N616,AllCollegeNCES,0)))</f>
        <v>0</v>
      </c>
      <c r="Y616">
        <f>IF(ISNUMBER(INDEX(AllCollegeAAHGR, MATCH(N616,AllCollegeNCES,0))),ROUND(INDEX(AllCollegeAAHGR, MATCH(N616,AllCollegeNCES,0))+W616*IF(INDEX(AllCollegeAAHGR, MATCH(N616,AllCollegeNCES,0))&gt;0.7,(1-INDEX(AllCollegeAAHGR, MATCH(N616,AllCollegeNCES,0)))/2,0.15),2),INDEX(AllCollegeAAHGR, MATCH(N616,AllCollegeNCES,0)))</f>
        <v>0</v>
      </c>
      <c r="Z616">
        <f>IF(OR(T616="H",T616="B"),INDEX(AllCollegeACT25, MATCH(N616,AllCollegeNCES,0)),INDEX(AllCollegeACT50, MATCH(N616,AllCollegeNCES,0)))</f>
        <v>0</v>
      </c>
      <c r="AA616">
        <f>INDEX(CustomWeightsGPA,MATCH(T616&amp;":"&amp;N616,CustomWeightsIndex,0))</f>
        <v>0</v>
      </c>
      <c r="AB616">
        <f>INDEX(CustomWeightsACT,MATCH(T616&amp;":"&amp;N616,CustomWeightsIndex,0))</f>
        <v>0</v>
      </c>
      <c r="AC616">
        <f>INDEX(CustomWeightsIntercept,MATCH(T616&amp;":"&amp;N616,CustomWeightsIndex,0))</f>
        <v>0</v>
      </c>
      <c r="AD616">
        <f>AA616*P616+AB616*Q616+AC616</f>
        <v>0</v>
      </c>
      <c r="AE616">
        <f>INDEX(CoefficientsGPA,MATCH(T616&amp;":"&amp;O616,CoefficientsIndex,0))</f>
        <v>0</v>
      </c>
      <c r="AF616">
        <f>INDEX(CoefficientsACT,MATCH(T616&amp;":"&amp;O616,CoefficientsIndex,0))</f>
        <v>0</v>
      </c>
      <c r="AG616">
        <f>INDEX(CoefficientsIntercept,MATCH(T616&amp;":"&amp;O616,CoefficientsIndex,0))</f>
        <v>0</v>
      </c>
      <c r="AH616">
        <f>AE616*P616+(Q616-Z616)*AF616+AG616</f>
        <v>0</v>
      </c>
      <c r="AI616">
        <f>IF(ISNUMBER(AD616),AD616,AH616)</f>
        <v>0</v>
      </c>
      <c r="AJ616">
        <f>IF(ISNUMBER(AI616),IF(ISNUMBER(AE616),IF(AND(AE616=1,AF616=1,AG616=1),100,ROUND(100*EXP(AI616)/(1+EXP(AI616)),2)),ROUND(100*EXP(AI616)/(1+EXP(AI616)),2)),IF(ISTEXT(O616),IF(LEFT(O616,1)="2",100,"N/A"),"N/A"))</f>
        <v>0</v>
      </c>
      <c r="AK616">
        <f>IF(ISNUMBER(AJ616),IF(AJ616&gt;=99,IF(OR(R616=10,R616=11),MatchLabel,SureThingLabel),IF(AJ616&gt;=95,SecureLabel,IF(AJ616&gt;=80,SafetyLabel,IF(AJ616&gt;=50,MatchLabel,IF(AJ616&gt;=20,ReachLabel,IF(AJ616&gt;=10,LongshotLabel,HailMaryLabel)))))),"Other")</f>
        <v>0</v>
      </c>
      <c r="AL616">
        <f>IF(OR(I616="accepted",I616="cond. accept",I616="summer admit"),IF(J616="yes","CHOICE!","Accepted!"),IF(I616="denied","Denied",IF(K616=1,"Waitlist",IF(L616=1,"Deferred",IF(G616="pending","Pending",IF(OR(G616="initial materials submitted",G616="mid-year submitted",G616="final submitted"),"Submitted",IF(H616="interest","Interest","?")))))))</f>
        <v>0</v>
      </c>
      <c r="AM616">
        <f>IF(OR(AK616=ReachLabel,AK616=LongshotLabel,AK616=HailMaryLabel),1,0)</f>
        <v>0</v>
      </c>
      <c r="AN616">
        <f>IF(OR(AM616=1,AK616=MatchLabel),1,0)</f>
        <v>0</v>
      </c>
      <c r="AO616">
        <f>IF(OR(AK616=MatchLabel,AK616=SafetyLabel,AK616=SecureLabel,AK616=SureThingLabel),1,0)</f>
        <v>0</v>
      </c>
      <c r="AP616">
        <f>IF(OR(T616="H",T616="B"),IF(ISNUMBER(Y616),ROUND(Y616,2),0),IF(ISNUMBER(X616),ROUND(X616,2),0))</f>
        <v>0</v>
      </c>
      <c r="AQ616">
        <f>IF(AP616&gt;=U616,1,0)</f>
        <v>0</v>
      </c>
      <c r="AR616">
        <f>IF(AP616&gt;=V616,1,0)</f>
        <v>0</v>
      </c>
      <c r="AS616">
        <f>IF(AP616&lt;(U616-0.10),1,0)</f>
        <v>0</v>
      </c>
      <c r="AT616">
        <f>1-AJ616/100</f>
        <v>0</v>
      </c>
      <c r="AU616">
        <f>IF(AN616=1,AT616,1)</f>
        <v>0</v>
      </c>
      <c r="AV616">
        <f>IF(AM616=1,AT616,1)</f>
        <v>0</v>
      </c>
      <c r="AW616">
        <f>IF(AND(AQ616=1,ISNUMBER(AT616)),$AT616,1)</f>
        <v>0</v>
      </c>
      <c r="AX616">
        <f>IF(AND(AR616=1,ISNUMBER(AT616)),$AT616,1)</f>
        <v>0</v>
      </c>
      <c r="AY616">
        <f>IF(ISNUMBER(Y616),INDEX(AllCollegeMoney, MATCH(N616,AllCollegeNCES,0)),0)</f>
        <v>0</v>
      </c>
      <c r="AZ616">
        <f>IF(AND(AQ616=1,ISNUMBER(AT616),AY616=1),$AT616,1)</f>
        <v>0</v>
      </c>
      <c r="BA616">
        <f>IF(AND(AR616=1,ISNUMBER(AT616),AY616=1),$AT616,1)</f>
        <v>0</v>
      </c>
      <c r="BB616">
        <f>IF(ISNUMBER(Y616),INDEX(AllCollegeILPub, MATCH(N616,AllCollegeNCES,0)),0)</f>
        <v>0</v>
      </c>
      <c r="BC616">
        <f>IF(AK616=ReachLabel,AP616,0)</f>
        <v>0</v>
      </c>
      <c r="BD616">
        <f>IF(AK616=MatchLabel,AP616,0)</f>
        <v>0</v>
      </c>
      <c r="BE616">
        <f>IF(AK616=SafetyLabel,AP616,0)</f>
        <v>0</v>
      </c>
      <c r="BF616">
        <f>IF(AK616=SecureLabel,AP616,0)</f>
        <v>0</v>
      </c>
      <c r="BG616">
        <f>IF(AK616=SureThingLabel,AP616,0)</f>
        <v>0</v>
      </c>
      <c r="BH616">
        <f>MAX(BC616:BG616)</f>
        <v>0</v>
      </c>
      <c r="BI616">
        <f>MAX(BD616:BG616)</f>
        <v>0</v>
      </c>
      <c r="BJ616">
        <f>MAX(BE616:BG616)</f>
        <v>0</v>
      </c>
      <c r="BK616">
        <f>IF(AND(AK616=ReachLabel,AY616=1),AP616,0)</f>
        <v>0</v>
      </c>
      <c r="BL616">
        <f>IF(AND(AK616=MatchLabel,AY616=1),AP616,0)</f>
        <v>0</v>
      </c>
      <c r="BM616">
        <f>IF(AND(AK616=SafetyLabel,AY616=1),AP616,0)</f>
        <v>0</v>
      </c>
      <c r="BN616">
        <f>IF(AND(AK616=SecureLabel,AY616=1),AP616,0)</f>
        <v>0</v>
      </c>
      <c r="BO616">
        <f>IF(AND(AK616=SureThingLabel,AY616=1),AP616,0)</f>
        <v>0</v>
      </c>
      <c r="BP616">
        <f>MAX(BK616:BO616)</f>
        <v>0</v>
      </c>
      <c r="BQ616">
        <f>MAX(BL616:BO616)</f>
        <v>0</v>
      </c>
      <c r="BR616">
        <f>MAX(BM616:BO616)</f>
        <v>0</v>
      </c>
      <c r="BS616">
        <f>IF(ISNUMBER(Y616),INDEX(AllCollegeChicago, MATCH(N616,AllCollegeNCES,0))*AY616,0)</f>
        <v>0</v>
      </c>
      <c r="BT616">
        <f>IF(ISNUMBER(Y616),INDEX(AllCollegeMoneyCode, MATCH(N616,AllCollegeNCES,0)),"?")</f>
        <v>0</v>
      </c>
      <c r="BU616">
        <f>IF(OR(BT616="---",BT616="--",BT616="+/--",BT616="+/---"),1,0)</f>
        <v>0</v>
      </c>
      <c r="BV616">
        <f>AY616*AO616*AQ616</f>
        <v>0</v>
      </c>
    </row>
    <row r="617" spans="1:74">
      <c r="A617" t="s">
        <v>86</v>
      </c>
      <c r="B617">
        <v>24126470</v>
      </c>
      <c r="C617" t="s">
        <v>101</v>
      </c>
      <c r="D617" t="s">
        <v>102</v>
      </c>
      <c r="E617" t="s">
        <v>428</v>
      </c>
      <c r="F617" t="s">
        <v>455</v>
      </c>
      <c r="G617" t="s">
        <v>430</v>
      </c>
      <c r="H617" t="s">
        <v>431</v>
      </c>
      <c r="I617" t="s">
        <v>432</v>
      </c>
      <c r="J617" t="s">
        <v>432</v>
      </c>
      <c r="K617">
        <v>0</v>
      </c>
      <c r="L617" t="s">
        <v>428</v>
      </c>
      <c r="M617" t="s">
        <v>428</v>
      </c>
      <c r="N617">
        <v>240444</v>
      </c>
      <c r="O617">
        <f>INDEX(AllCollegeBarrons,MATCH(N617,AllCollegeNCES,0))</f>
        <v>0</v>
      </c>
      <c r="P617">
        <f>INDEX(KidGPAs,MATCH(B617,KidIDs,0))</f>
        <v>0</v>
      </c>
      <c r="Q617">
        <f>INDEX(KidACTs,MATCH(B617,KidIDs,0))</f>
        <v>0</v>
      </c>
      <c r="R617">
        <f>INDEX(Strats,MATCH(B617,KidIDs,0))</f>
        <v>0</v>
      </c>
      <c r="S617">
        <f>INDEX(KidRace,MATCH(B617,KidIDs,0))</f>
        <v>0</v>
      </c>
      <c r="T617">
        <f>IF(OR(S617="M",S617="I"),"H",S617)</f>
        <v>0</v>
      </c>
      <c r="U617">
        <f>INDEX(StudentTargets,MATCH(B617,KidIDs,0))</f>
        <v>0</v>
      </c>
      <c r="V617">
        <f>INDEX(ReachStudentTargets,MATCH(B617,KidIDs,0))</f>
        <v>0</v>
      </c>
      <c r="W617">
        <f>IF(OR(M617="Posse"),1,0)</f>
        <v>0</v>
      </c>
      <c r="X617">
        <f>IF(ISNUMBER(INDEX(AllCollegeGR, MATCH(N617,AllCollegeNCES,0))),ROUND(INDEX(AllCollegeGR, MATCH(N617,AllCollegeNCES,0))+W617*IF(INDEX(AllCollegeGR, MATCH(N617,AllCollegeNCES,0))&gt;0.7,(1-INDEX(AllCollegeGR, MATCH(N617,AllCollegeNCES,0)))/2,0.15),2),INDEX(AllCollegeGR, MATCH(N617,AllCollegeNCES,0)))</f>
        <v>0</v>
      </c>
      <c r="Y617">
        <f>IF(ISNUMBER(INDEX(AllCollegeAAHGR, MATCH(N617,AllCollegeNCES,0))),ROUND(INDEX(AllCollegeAAHGR, MATCH(N617,AllCollegeNCES,0))+W617*IF(INDEX(AllCollegeAAHGR, MATCH(N617,AllCollegeNCES,0))&gt;0.7,(1-INDEX(AllCollegeAAHGR, MATCH(N617,AllCollegeNCES,0)))/2,0.15),2),INDEX(AllCollegeAAHGR, MATCH(N617,AllCollegeNCES,0)))</f>
        <v>0</v>
      </c>
      <c r="Z617">
        <f>IF(OR(T617="H",T617="B"),INDEX(AllCollegeACT25, MATCH(N617,AllCollegeNCES,0)),INDEX(AllCollegeACT50, MATCH(N617,AllCollegeNCES,0)))</f>
        <v>0</v>
      </c>
      <c r="AA617">
        <f>INDEX(CustomWeightsGPA,MATCH(T617&amp;":"&amp;N617,CustomWeightsIndex,0))</f>
        <v>0</v>
      </c>
      <c r="AB617">
        <f>INDEX(CustomWeightsACT,MATCH(T617&amp;":"&amp;N617,CustomWeightsIndex,0))</f>
        <v>0</v>
      </c>
      <c r="AC617">
        <f>INDEX(CustomWeightsIntercept,MATCH(T617&amp;":"&amp;N617,CustomWeightsIndex,0))</f>
        <v>0</v>
      </c>
      <c r="AD617">
        <f>AA617*P617+AB617*Q617+AC617</f>
        <v>0</v>
      </c>
      <c r="AE617">
        <f>INDEX(CoefficientsGPA,MATCH(T617&amp;":"&amp;O617,CoefficientsIndex,0))</f>
        <v>0</v>
      </c>
      <c r="AF617">
        <f>INDEX(CoefficientsACT,MATCH(T617&amp;":"&amp;O617,CoefficientsIndex,0))</f>
        <v>0</v>
      </c>
      <c r="AG617">
        <f>INDEX(CoefficientsIntercept,MATCH(T617&amp;":"&amp;O617,CoefficientsIndex,0))</f>
        <v>0</v>
      </c>
      <c r="AH617">
        <f>AE617*P617+(Q617-Z617)*AF617+AG617</f>
        <v>0</v>
      </c>
      <c r="AI617">
        <f>IF(ISNUMBER(AD617),AD617,AH617)</f>
        <v>0</v>
      </c>
      <c r="AJ617">
        <f>IF(ISNUMBER(AI617),IF(ISNUMBER(AE617),IF(AND(AE617=1,AF617=1,AG617=1),100,ROUND(100*EXP(AI617)/(1+EXP(AI617)),2)),ROUND(100*EXP(AI617)/(1+EXP(AI617)),2)),IF(ISTEXT(O617),IF(LEFT(O617,1)="2",100,"N/A"),"N/A"))</f>
        <v>0</v>
      </c>
      <c r="AK617">
        <f>IF(ISNUMBER(AJ617),IF(AJ617&gt;=99,IF(OR(R617=10,R617=11),MatchLabel,SureThingLabel),IF(AJ617&gt;=95,SecureLabel,IF(AJ617&gt;=80,SafetyLabel,IF(AJ617&gt;=50,MatchLabel,IF(AJ617&gt;=20,ReachLabel,IF(AJ617&gt;=10,LongshotLabel,HailMaryLabel)))))),"Other")</f>
        <v>0</v>
      </c>
      <c r="AL617">
        <f>IF(OR(I617="accepted",I617="cond. accept",I617="summer admit"),IF(J617="yes","CHOICE!","Accepted!"),IF(I617="denied","Denied",IF(K617=1,"Waitlist",IF(L617=1,"Deferred",IF(G617="pending","Pending",IF(OR(G617="initial materials submitted",G617="mid-year submitted",G617="final submitted"),"Submitted",IF(H617="interest","Interest","?")))))))</f>
        <v>0</v>
      </c>
      <c r="AM617">
        <f>IF(OR(AK617=ReachLabel,AK617=LongshotLabel,AK617=HailMaryLabel),1,0)</f>
        <v>0</v>
      </c>
      <c r="AN617">
        <f>IF(OR(AM617=1,AK617=MatchLabel),1,0)</f>
        <v>0</v>
      </c>
      <c r="AO617">
        <f>IF(OR(AK617=MatchLabel,AK617=SafetyLabel,AK617=SecureLabel,AK617=SureThingLabel),1,0)</f>
        <v>0</v>
      </c>
      <c r="AP617">
        <f>IF(OR(T617="H",T617="B"),IF(ISNUMBER(Y617),ROUND(Y617,2),0),IF(ISNUMBER(X617),ROUND(X617,2),0))</f>
        <v>0</v>
      </c>
      <c r="AQ617">
        <f>IF(AP617&gt;=U617,1,0)</f>
        <v>0</v>
      </c>
      <c r="AR617">
        <f>IF(AP617&gt;=V617,1,0)</f>
        <v>0</v>
      </c>
      <c r="AS617">
        <f>IF(AP617&lt;(U617-0.10),1,0)</f>
        <v>0</v>
      </c>
      <c r="AT617">
        <f>1-AJ617/100</f>
        <v>0</v>
      </c>
      <c r="AU617">
        <f>IF(AN617=1,AT617,1)</f>
        <v>0</v>
      </c>
      <c r="AV617">
        <f>IF(AM617=1,AT617,1)</f>
        <v>0</v>
      </c>
      <c r="AW617">
        <f>IF(AND(AQ617=1,ISNUMBER(AT617)),$AT617,1)</f>
        <v>0</v>
      </c>
      <c r="AX617">
        <f>IF(AND(AR617=1,ISNUMBER(AT617)),$AT617,1)</f>
        <v>0</v>
      </c>
      <c r="AY617">
        <f>IF(ISNUMBER(Y617),INDEX(AllCollegeMoney, MATCH(N617,AllCollegeNCES,0)),0)</f>
        <v>0</v>
      </c>
      <c r="AZ617">
        <f>IF(AND(AQ617=1,ISNUMBER(AT617),AY617=1),$AT617,1)</f>
        <v>0</v>
      </c>
      <c r="BA617">
        <f>IF(AND(AR617=1,ISNUMBER(AT617),AY617=1),$AT617,1)</f>
        <v>0</v>
      </c>
      <c r="BB617">
        <f>IF(ISNUMBER(Y617),INDEX(AllCollegeILPub, MATCH(N617,AllCollegeNCES,0)),0)</f>
        <v>0</v>
      </c>
      <c r="BC617">
        <f>IF(AK617=ReachLabel,AP617,0)</f>
        <v>0</v>
      </c>
      <c r="BD617">
        <f>IF(AK617=MatchLabel,AP617,0)</f>
        <v>0</v>
      </c>
      <c r="BE617">
        <f>IF(AK617=SafetyLabel,AP617,0)</f>
        <v>0</v>
      </c>
      <c r="BF617">
        <f>IF(AK617=SecureLabel,AP617,0)</f>
        <v>0</v>
      </c>
      <c r="BG617">
        <f>IF(AK617=SureThingLabel,AP617,0)</f>
        <v>0</v>
      </c>
      <c r="BH617">
        <f>MAX(BC617:BG617)</f>
        <v>0</v>
      </c>
      <c r="BI617">
        <f>MAX(BD617:BG617)</f>
        <v>0</v>
      </c>
      <c r="BJ617">
        <f>MAX(BE617:BG617)</f>
        <v>0</v>
      </c>
      <c r="BK617">
        <f>IF(AND(AK617=ReachLabel,AY617=1),AP617,0)</f>
        <v>0</v>
      </c>
      <c r="BL617">
        <f>IF(AND(AK617=MatchLabel,AY617=1),AP617,0)</f>
        <v>0</v>
      </c>
      <c r="BM617">
        <f>IF(AND(AK617=SafetyLabel,AY617=1),AP617,0)</f>
        <v>0</v>
      </c>
      <c r="BN617">
        <f>IF(AND(AK617=SecureLabel,AY617=1),AP617,0)</f>
        <v>0</v>
      </c>
      <c r="BO617">
        <f>IF(AND(AK617=SureThingLabel,AY617=1),AP617,0)</f>
        <v>0</v>
      </c>
      <c r="BP617">
        <f>MAX(BK617:BO617)</f>
        <v>0</v>
      </c>
      <c r="BQ617">
        <f>MAX(BL617:BO617)</f>
        <v>0</v>
      </c>
      <c r="BR617">
        <f>MAX(BM617:BO617)</f>
        <v>0</v>
      </c>
      <c r="BS617">
        <f>IF(ISNUMBER(Y617),INDEX(AllCollegeChicago, MATCH(N617,AllCollegeNCES,0))*AY617,0)</f>
        <v>0</v>
      </c>
      <c r="BT617">
        <f>IF(ISNUMBER(Y617),INDEX(AllCollegeMoneyCode, MATCH(N617,AllCollegeNCES,0)),"?")</f>
        <v>0</v>
      </c>
      <c r="BU617">
        <f>IF(OR(BT617="---",BT617="--",BT617="+/--",BT617="+/---"),1,0)</f>
        <v>0</v>
      </c>
      <c r="BV617">
        <f>AY617*AO617*AQ617</f>
        <v>0</v>
      </c>
    </row>
    <row r="618" spans="1:74">
      <c r="A618" t="s">
        <v>86</v>
      </c>
      <c r="B618">
        <v>24126470</v>
      </c>
      <c r="C618" t="s">
        <v>101</v>
      </c>
      <c r="D618" t="s">
        <v>102</v>
      </c>
      <c r="E618" t="s">
        <v>428</v>
      </c>
      <c r="F618" t="s">
        <v>456</v>
      </c>
      <c r="G618" t="s">
        <v>430</v>
      </c>
      <c r="H618" t="s">
        <v>431</v>
      </c>
      <c r="I618" t="s">
        <v>432</v>
      </c>
      <c r="J618" t="s">
        <v>432</v>
      </c>
      <c r="K618">
        <v>0</v>
      </c>
      <c r="L618" t="s">
        <v>428</v>
      </c>
      <c r="M618" t="s">
        <v>428</v>
      </c>
      <c r="N618">
        <v>213668</v>
      </c>
      <c r="O618">
        <f>INDEX(AllCollegeBarrons,MATCH(N618,AllCollegeNCES,0))</f>
        <v>0</v>
      </c>
      <c r="P618">
        <f>INDEX(KidGPAs,MATCH(B618,KidIDs,0))</f>
        <v>0</v>
      </c>
      <c r="Q618">
        <f>INDEX(KidACTs,MATCH(B618,KidIDs,0))</f>
        <v>0</v>
      </c>
      <c r="R618">
        <f>INDEX(Strats,MATCH(B618,KidIDs,0))</f>
        <v>0</v>
      </c>
      <c r="S618">
        <f>INDEX(KidRace,MATCH(B618,KidIDs,0))</f>
        <v>0</v>
      </c>
      <c r="T618">
        <f>IF(OR(S618="M",S618="I"),"H",S618)</f>
        <v>0</v>
      </c>
      <c r="U618">
        <f>INDEX(StudentTargets,MATCH(B618,KidIDs,0))</f>
        <v>0</v>
      </c>
      <c r="V618">
        <f>INDEX(ReachStudentTargets,MATCH(B618,KidIDs,0))</f>
        <v>0</v>
      </c>
      <c r="W618">
        <f>IF(OR(M618="Posse"),1,0)</f>
        <v>0</v>
      </c>
      <c r="X618">
        <f>IF(ISNUMBER(INDEX(AllCollegeGR, MATCH(N618,AllCollegeNCES,0))),ROUND(INDEX(AllCollegeGR, MATCH(N618,AllCollegeNCES,0))+W618*IF(INDEX(AllCollegeGR, MATCH(N618,AllCollegeNCES,0))&gt;0.7,(1-INDEX(AllCollegeGR, MATCH(N618,AllCollegeNCES,0)))/2,0.15),2),INDEX(AllCollegeGR, MATCH(N618,AllCollegeNCES,0)))</f>
        <v>0</v>
      </c>
      <c r="Y618">
        <f>IF(ISNUMBER(INDEX(AllCollegeAAHGR, MATCH(N618,AllCollegeNCES,0))),ROUND(INDEX(AllCollegeAAHGR, MATCH(N618,AllCollegeNCES,0))+W618*IF(INDEX(AllCollegeAAHGR, MATCH(N618,AllCollegeNCES,0))&gt;0.7,(1-INDEX(AllCollegeAAHGR, MATCH(N618,AllCollegeNCES,0)))/2,0.15),2),INDEX(AllCollegeAAHGR, MATCH(N618,AllCollegeNCES,0)))</f>
        <v>0</v>
      </c>
      <c r="Z618">
        <f>IF(OR(T618="H",T618="B"),INDEX(AllCollegeACT25, MATCH(N618,AllCollegeNCES,0)),INDEX(AllCollegeACT50, MATCH(N618,AllCollegeNCES,0)))</f>
        <v>0</v>
      </c>
      <c r="AA618">
        <f>INDEX(CustomWeightsGPA,MATCH(T618&amp;":"&amp;N618,CustomWeightsIndex,0))</f>
        <v>0</v>
      </c>
      <c r="AB618">
        <f>INDEX(CustomWeightsACT,MATCH(T618&amp;":"&amp;N618,CustomWeightsIndex,0))</f>
        <v>0</v>
      </c>
      <c r="AC618">
        <f>INDEX(CustomWeightsIntercept,MATCH(T618&amp;":"&amp;N618,CustomWeightsIndex,0))</f>
        <v>0</v>
      </c>
      <c r="AD618">
        <f>AA618*P618+AB618*Q618+AC618</f>
        <v>0</v>
      </c>
      <c r="AE618">
        <f>INDEX(CoefficientsGPA,MATCH(T618&amp;":"&amp;O618,CoefficientsIndex,0))</f>
        <v>0</v>
      </c>
      <c r="AF618">
        <f>INDEX(CoefficientsACT,MATCH(T618&amp;":"&amp;O618,CoefficientsIndex,0))</f>
        <v>0</v>
      </c>
      <c r="AG618">
        <f>INDEX(CoefficientsIntercept,MATCH(T618&amp;":"&amp;O618,CoefficientsIndex,0))</f>
        <v>0</v>
      </c>
      <c r="AH618">
        <f>AE618*P618+(Q618-Z618)*AF618+AG618</f>
        <v>0</v>
      </c>
      <c r="AI618">
        <f>IF(ISNUMBER(AD618),AD618,AH618)</f>
        <v>0</v>
      </c>
      <c r="AJ618">
        <f>IF(ISNUMBER(AI618),IF(ISNUMBER(AE618),IF(AND(AE618=1,AF618=1,AG618=1),100,ROUND(100*EXP(AI618)/(1+EXP(AI618)),2)),ROUND(100*EXP(AI618)/(1+EXP(AI618)),2)),IF(ISTEXT(O618),IF(LEFT(O618,1)="2",100,"N/A"),"N/A"))</f>
        <v>0</v>
      </c>
      <c r="AK618">
        <f>IF(ISNUMBER(AJ618),IF(AJ618&gt;=99,IF(OR(R618=10,R618=11),MatchLabel,SureThingLabel),IF(AJ618&gt;=95,SecureLabel,IF(AJ618&gt;=80,SafetyLabel,IF(AJ618&gt;=50,MatchLabel,IF(AJ618&gt;=20,ReachLabel,IF(AJ618&gt;=10,LongshotLabel,HailMaryLabel)))))),"Other")</f>
        <v>0</v>
      </c>
      <c r="AL618">
        <f>IF(OR(I618="accepted",I618="cond. accept",I618="summer admit"),IF(J618="yes","CHOICE!","Accepted!"),IF(I618="denied","Denied",IF(K618=1,"Waitlist",IF(L618=1,"Deferred",IF(G618="pending","Pending",IF(OR(G618="initial materials submitted",G618="mid-year submitted",G618="final submitted"),"Submitted",IF(H618="interest","Interest","?")))))))</f>
        <v>0</v>
      </c>
      <c r="AM618">
        <f>IF(OR(AK618=ReachLabel,AK618=LongshotLabel,AK618=HailMaryLabel),1,0)</f>
        <v>0</v>
      </c>
      <c r="AN618">
        <f>IF(OR(AM618=1,AK618=MatchLabel),1,0)</f>
        <v>0</v>
      </c>
      <c r="AO618">
        <f>IF(OR(AK618=MatchLabel,AK618=SafetyLabel,AK618=SecureLabel,AK618=SureThingLabel),1,0)</f>
        <v>0</v>
      </c>
      <c r="AP618">
        <f>IF(OR(T618="H",T618="B"),IF(ISNUMBER(Y618),ROUND(Y618,2),0),IF(ISNUMBER(X618),ROUND(X618,2),0))</f>
        <v>0</v>
      </c>
      <c r="AQ618">
        <f>IF(AP618&gt;=U618,1,0)</f>
        <v>0</v>
      </c>
      <c r="AR618">
        <f>IF(AP618&gt;=V618,1,0)</f>
        <v>0</v>
      </c>
      <c r="AS618">
        <f>IF(AP618&lt;(U618-0.10),1,0)</f>
        <v>0</v>
      </c>
      <c r="AT618">
        <f>1-AJ618/100</f>
        <v>0</v>
      </c>
      <c r="AU618">
        <f>IF(AN618=1,AT618,1)</f>
        <v>0</v>
      </c>
      <c r="AV618">
        <f>IF(AM618=1,AT618,1)</f>
        <v>0</v>
      </c>
      <c r="AW618">
        <f>IF(AND(AQ618=1,ISNUMBER(AT618)),$AT618,1)</f>
        <v>0</v>
      </c>
      <c r="AX618">
        <f>IF(AND(AR618=1,ISNUMBER(AT618)),$AT618,1)</f>
        <v>0</v>
      </c>
      <c r="AY618">
        <f>IF(ISNUMBER(Y618),INDEX(AllCollegeMoney, MATCH(N618,AllCollegeNCES,0)),0)</f>
        <v>0</v>
      </c>
      <c r="AZ618">
        <f>IF(AND(AQ618=1,ISNUMBER(AT618),AY618=1),$AT618,1)</f>
        <v>0</v>
      </c>
      <c r="BA618">
        <f>IF(AND(AR618=1,ISNUMBER(AT618),AY618=1),$AT618,1)</f>
        <v>0</v>
      </c>
      <c r="BB618">
        <f>IF(ISNUMBER(Y618),INDEX(AllCollegeILPub, MATCH(N618,AllCollegeNCES,0)),0)</f>
        <v>0</v>
      </c>
      <c r="BC618">
        <f>IF(AK618=ReachLabel,AP618,0)</f>
        <v>0</v>
      </c>
      <c r="BD618">
        <f>IF(AK618=MatchLabel,AP618,0)</f>
        <v>0</v>
      </c>
      <c r="BE618">
        <f>IF(AK618=SafetyLabel,AP618,0)</f>
        <v>0</v>
      </c>
      <c r="BF618">
        <f>IF(AK618=SecureLabel,AP618,0)</f>
        <v>0</v>
      </c>
      <c r="BG618">
        <f>IF(AK618=SureThingLabel,AP618,0)</f>
        <v>0</v>
      </c>
      <c r="BH618">
        <f>MAX(BC618:BG618)</f>
        <v>0</v>
      </c>
      <c r="BI618">
        <f>MAX(BD618:BG618)</f>
        <v>0</v>
      </c>
      <c r="BJ618">
        <f>MAX(BE618:BG618)</f>
        <v>0</v>
      </c>
      <c r="BK618">
        <f>IF(AND(AK618=ReachLabel,AY618=1),AP618,0)</f>
        <v>0</v>
      </c>
      <c r="BL618">
        <f>IF(AND(AK618=MatchLabel,AY618=1),AP618,0)</f>
        <v>0</v>
      </c>
      <c r="BM618">
        <f>IF(AND(AK618=SafetyLabel,AY618=1),AP618,0)</f>
        <v>0</v>
      </c>
      <c r="BN618">
        <f>IF(AND(AK618=SecureLabel,AY618=1),AP618,0)</f>
        <v>0</v>
      </c>
      <c r="BO618">
        <f>IF(AND(AK618=SureThingLabel,AY618=1),AP618,0)</f>
        <v>0</v>
      </c>
      <c r="BP618">
        <f>MAX(BK618:BO618)</f>
        <v>0</v>
      </c>
      <c r="BQ618">
        <f>MAX(BL618:BO618)</f>
        <v>0</v>
      </c>
      <c r="BR618">
        <f>MAX(BM618:BO618)</f>
        <v>0</v>
      </c>
      <c r="BS618">
        <f>IF(ISNUMBER(Y618),INDEX(AllCollegeChicago, MATCH(N618,AllCollegeNCES,0))*AY618,0)</f>
        <v>0</v>
      </c>
      <c r="BT618">
        <f>IF(ISNUMBER(Y618),INDEX(AllCollegeMoneyCode, MATCH(N618,AllCollegeNCES,0)),"?")</f>
        <v>0</v>
      </c>
      <c r="BU618">
        <f>IF(OR(BT618="---",BT618="--",BT618="+/--",BT618="+/---"),1,0)</f>
        <v>0</v>
      </c>
      <c r="BV618">
        <f>AY618*AO618*AQ618</f>
        <v>0</v>
      </c>
    </row>
    <row r="619" spans="1:74">
      <c r="A619" t="s">
        <v>86</v>
      </c>
      <c r="B619">
        <v>24126470</v>
      </c>
      <c r="C619" t="s">
        <v>101</v>
      </c>
      <c r="D619" t="s">
        <v>102</v>
      </c>
      <c r="E619" t="s">
        <v>428</v>
      </c>
      <c r="F619" t="s">
        <v>469</v>
      </c>
      <c r="G619" t="s">
        <v>430</v>
      </c>
      <c r="H619" t="s">
        <v>431</v>
      </c>
      <c r="I619" t="s">
        <v>432</v>
      </c>
      <c r="J619" t="s">
        <v>432</v>
      </c>
      <c r="K619">
        <v>0</v>
      </c>
      <c r="L619" t="s">
        <v>428</v>
      </c>
      <c r="M619" t="s">
        <v>428</v>
      </c>
      <c r="N619">
        <v>174844</v>
      </c>
      <c r="O619">
        <f>INDEX(AllCollegeBarrons,MATCH(N619,AllCollegeNCES,0))</f>
        <v>0</v>
      </c>
      <c r="P619">
        <f>INDEX(KidGPAs,MATCH(B619,KidIDs,0))</f>
        <v>0</v>
      </c>
      <c r="Q619">
        <f>INDEX(KidACTs,MATCH(B619,KidIDs,0))</f>
        <v>0</v>
      </c>
      <c r="R619">
        <f>INDEX(Strats,MATCH(B619,KidIDs,0))</f>
        <v>0</v>
      </c>
      <c r="S619">
        <f>INDEX(KidRace,MATCH(B619,KidIDs,0))</f>
        <v>0</v>
      </c>
      <c r="T619">
        <f>IF(OR(S619="M",S619="I"),"H",S619)</f>
        <v>0</v>
      </c>
      <c r="U619">
        <f>INDEX(StudentTargets,MATCH(B619,KidIDs,0))</f>
        <v>0</v>
      </c>
      <c r="V619">
        <f>INDEX(ReachStudentTargets,MATCH(B619,KidIDs,0))</f>
        <v>0</v>
      </c>
      <c r="W619">
        <f>IF(OR(M619="Posse"),1,0)</f>
        <v>0</v>
      </c>
      <c r="X619">
        <f>IF(ISNUMBER(INDEX(AllCollegeGR, MATCH(N619,AllCollegeNCES,0))),ROUND(INDEX(AllCollegeGR, MATCH(N619,AllCollegeNCES,0))+W619*IF(INDEX(AllCollegeGR, MATCH(N619,AllCollegeNCES,0))&gt;0.7,(1-INDEX(AllCollegeGR, MATCH(N619,AllCollegeNCES,0)))/2,0.15),2),INDEX(AllCollegeGR, MATCH(N619,AllCollegeNCES,0)))</f>
        <v>0</v>
      </c>
      <c r="Y619">
        <f>IF(ISNUMBER(INDEX(AllCollegeAAHGR, MATCH(N619,AllCollegeNCES,0))),ROUND(INDEX(AllCollegeAAHGR, MATCH(N619,AllCollegeNCES,0))+W619*IF(INDEX(AllCollegeAAHGR, MATCH(N619,AllCollegeNCES,0))&gt;0.7,(1-INDEX(AllCollegeAAHGR, MATCH(N619,AllCollegeNCES,0)))/2,0.15),2),INDEX(AllCollegeAAHGR, MATCH(N619,AllCollegeNCES,0)))</f>
        <v>0</v>
      </c>
      <c r="Z619">
        <f>IF(OR(T619="H",T619="B"),INDEX(AllCollegeACT25, MATCH(N619,AllCollegeNCES,0)),INDEX(AllCollegeACT50, MATCH(N619,AllCollegeNCES,0)))</f>
        <v>0</v>
      </c>
      <c r="AA619">
        <f>INDEX(CustomWeightsGPA,MATCH(T619&amp;":"&amp;N619,CustomWeightsIndex,0))</f>
        <v>0</v>
      </c>
      <c r="AB619">
        <f>INDEX(CustomWeightsACT,MATCH(T619&amp;":"&amp;N619,CustomWeightsIndex,0))</f>
        <v>0</v>
      </c>
      <c r="AC619">
        <f>INDEX(CustomWeightsIntercept,MATCH(T619&amp;":"&amp;N619,CustomWeightsIndex,0))</f>
        <v>0</v>
      </c>
      <c r="AD619">
        <f>AA619*P619+AB619*Q619+AC619</f>
        <v>0</v>
      </c>
      <c r="AE619">
        <f>INDEX(CoefficientsGPA,MATCH(T619&amp;":"&amp;O619,CoefficientsIndex,0))</f>
        <v>0</v>
      </c>
      <c r="AF619">
        <f>INDEX(CoefficientsACT,MATCH(T619&amp;":"&amp;O619,CoefficientsIndex,0))</f>
        <v>0</v>
      </c>
      <c r="AG619">
        <f>INDEX(CoefficientsIntercept,MATCH(T619&amp;":"&amp;O619,CoefficientsIndex,0))</f>
        <v>0</v>
      </c>
      <c r="AH619">
        <f>AE619*P619+(Q619-Z619)*AF619+AG619</f>
        <v>0</v>
      </c>
      <c r="AI619">
        <f>IF(ISNUMBER(AD619),AD619,AH619)</f>
        <v>0</v>
      </c>
      <c r="AJ619">
        <f>IF(ISNUMBER(AI619),IF(ISNUMBER(AE619),IF(AND(AE619=1,AF619=1,AG619=1),100,ROUND(100*EXP(AI619)/(1+EXP(AI619)),2)),ROUND(100*EXP(AI619)/(1+EXP(AI619)),2)),IF(ISTEXT(O619),IF(LEFT(O619,1)="2",100,"N/A"),"N/A"))</f>
        <v>0</v>
      </c>
      <c r="AK619">
        <f>IF(ISNUMBER(AJ619),IF(AJ619&gt;=99,IF(OR(R619=10,R619=11),MatchLabel,SureThingLabel),IF(AJ619&gt;=95,SecureLabel,IF(AJ619&gt;=80,SafetyLabel,IF(AJ619&gt;=50,MatchLabel,IF(AJ619&gt;=20,ReachLabel,IF(AJ619&gt;=10,LongshotLabel,HailMaryLabel)))))),"Other")</f>
        <v>0</v>
      </c>
      <c r="AL619">
        <f>IF(OR(I619="accepted",I619="cond. accept",I619="summer admit"),IF(J619="yes","CHOICE!","Accepted!"),IF(I619="denied","Denied",IF(K619=1,"Waitlist",IF(L619=1,"Deferred",IF(G619="pending","Pending",IF(OR(G619="initial materials submitted",G619="mid-year submitted",G619="final submitted"),"Submitted",IF(H619="interest","Interest","?")))))))</f>
        <v>0</v>
      </c>
      <c r="AM619">
        <f>IF(OR(AK619=ReachLabel,AK619=LongshotLabel,AK619=HailMaryLabel),1,0)</f>
        <v>0</v>
      </c>
      <c r="AN619">
        <f>IF(OR(AM619=1,AK619=MatchLabel),1,0)</f>
        <v>0</v>
      </c>
      <c r="AO619">
        <f>IF(OR(AK619=MatchLabel,AK619=SafetyLabel,AK619=SecureLabel,AK619=SureThingLabel),1,0)</f>
        <v>0</v>
      </c>
      <c r="AP619">
        <f>IF(OR(T619="H",T619="B"),IF(ISNUMBER(Y619),ROUND(Y619,2),0),IF(ISNUMBER(X619),ROUND(X619,2),0))</f>
        <v>0</v>
      </c>
      <c r="AQ619">
        <f>IF(AP619&gt;=U619,1,0)</f>
        <v>0</v>
      </c>
      <c r="AR619">
        <f>IF(AP619&gt;=V619,1,0)</f>
        <v>0</v>
      </c>
      <c r="AS619">
        <f>IF(AP619&lt;(U619-0.10),1,0)</f>
        <v>0</v>
      </c>
      <c r="AT619">
        <f>1-AJ619/100</f>
        <v>0</v>
      </c>
      <c r="AU619">
        <f>IF(AN619=1,AT619,1)</f>
        <v>0</v>
      </c>
      <c r="AV619">
        <f>IF(AM619=1,AT619,1)</f>
        <v>0</v>
      </c>
      <c r="AW619">
        <f>IF(AND(AQ619=1,ISNUMBER(AT619)),$AT619,1)</f>
        <v>0</v>
      </c>
      <c r="AX619">
        <f>IF(AND(AR619=1,ISNUMBER(AT619)),$AT619,1)</f>
        <v>0</v>
      </c>
      <c r="AY619">
        <f>IF(ISNUMBER(Y619),INDEX(AllCollegeMoney, MATCH(N619,AllCollegeNCES,0)),0)</f>
        <v>0</v>
      </c>
      <c r="AZ619">
        <f>IF(AND(AQ619=1,ISNUMBER(AT619),AY619=1),$AT619,1)</f>
        <v>0</v>
      </c>
      <c r="BA619">
        <f>IF(AND(AR619=1,ISNUMBER(AT619),AY619=1),$AT619,1)</f>
        <v>0</v>
      </c>
      <c r="BB619">
        <f>IF(ISNUMBER(Y619),INDEX(AllCollegeILPub, MATCH(N619,AllCollegeNCES,0)),0)</f>
        <v>0</v>
      </c>
      <c r="BC619">
        <f>IF(AK619=ReachLabel,AP619,0)</f>
        <v>0</v>
      </c>
      <c r="BD619">
        <f>IF(AK619=MatchLabel,AP619,0)</f>
        <v>0</v>
      </c>
      <c r="BE619">
        <f>IF(AK619=SafetyLabel,AP619,0)</f>
        <v>0</v>
      </c>
      <c r="BF619">
        <f>IF(AK619=SecureLabel,AP619,0)</f>
        <v>0</v>
      </c>
      <c r="BG619">
        <f>IF(AK619=SureThingLabel,AP619,0)</f>
        <v>0</v>
      </c>
      <c r="BH619">
        <f>MAX(BC619:BG619)</f>
        <v>0</v>
      </c>
      <c r="BI619">
        <f>MAX(BD619:BG619)</f>
        <v>0</v>
      </c>
      <c r="BJ619">
        <f>MAX(BE619:BG619)</f>
        <v>0</v>
      </c>
      <c r="BK619">
        <f>IF(AND(AK619=ReachLabel,AY619=1),AP619,0)</f>
        <v>0</v>
      </c>
      <c r="BL619">
        <f>IF(AND(AK619=MatchLabel,AY619=1),AP619,0)</f>
        <v>0</v>
      </c>
      <c r="BM619">
        <f>IF(AND(AK619=SafetyLabel,AY619=1),AP619,0)</f>
        <v>0</v>
      </c>
      <c r="BN619">
        <f>IF(AND(AK619=SecureLabel,AY619=1),AP619,0)</f>
        <v>0</v>
      </c>
      <c r="BO619">
        <f>IF(AND(AK619=SureThingLabel,AY619=1),AP619,0)</f>
        <v>0</v>
      </c>
      <c r="BP619">
        <f>MAX(BK619:BO619)</f>
        <v>0</v>
      </c>
      <c r="BQ619">
        <f>MAX(BL619:BO619)</f>
        <v>0</v>
      </c>
      <c r="BR619">
        <f>MAX(BM619:BO619)</f>
        <v>0</v>
      </c>
      <c r="BS619">
        <f>IF(ISNUMBER(Y619),INDEX(AllCollegeChicago, MATCH(N619,AllCollegeNCES,0))*AY619,0)</f>
        <v>0</v>
      </c>
      <c r="BT619">
        <f>IF(ISNUMBER(Y619),INDEX(AllCollegeMoneyCode, MATCH(N619,AllCollegeNCES,0)),"?")</f>
        <v>0</v>
      </c>
      <c r="BU619">
        <f>IF(OR(BT619="---",BT619="--",BT619="+/--",BT619="+/---"),1,0)</f>
        <v>0</v>
      </c>
      <c r="BV619">
        <f>AY619*AO619*AQ619</f>
        <v>0</v>
      </c>
    </row>
    <row r="620" spans="1:74">
      <c r="A620" t="s">
        <v>86</v>
      </c>
      <c r="B620">
        <v>24126470</v>
      </c>
      <c r="C620" t="s">
        <v>101</v>
      </c>
      <c r="D620" t="s">
        <v>102</v>
      </c>
      <c r="E620" t="s">
        <v>428</v>
      </c>
      <c r="F620" t="s">
        <v>457</v>
      </c>
      <c r="G620" t="s">
        <v>430</v>
      </c>
      <c r="H620" t="s">
        <v>431</v>
      </c>
      <c r="I620" t="s">
        <v>432</v>
      </c>
      <c r="J620" t="s">
        <v>432</v>
      </c>
      <c r="K620">
        <v>0</v>
      </c>
      <c r="L620" t="s">
        <v>428</v>
      </c>
      <c r="M620" t="s">
        <v>428</v>
      </c>
      <c r="N620">
        <v>145637</v>
      </c>
      <c r="O620">
        <f>INDEX(AllCollegeBarrons,MATCH(N620,AllCollegeNCES,0))</f>
        <v>0</v>
      </c>
      <c r="P620">
        <f>INDEX(KidGPAs,MATCH(B620,KidIDs,0))</f>
        <v>0</v>
      </c>
      <c r="Q620">
        <f>INDEX(KidACTs,MATCH(B620,KidIDs,0))</f>
        <v>0</v>
      </c>
      <c r="R620">
        <f>INDEX(Strats,MATCH(B620,KidIDs,0))</f>
        <v>0</v>
      </c>
      <c r="S620">
        <f>INDEX(KidRace,MATCH(B620,KidIDs,0))</f>
        <v>0</v>
      </c>
      <c r="T620">
        <f>IF(OR(S620="M",S620="I"),"H",S620)</f>
        <v>0</v>
      </c>
      <c r="U620">
        <f>INDEX(StudentTargets,MATCH(B620,KidIDs,0))</f>
        <v>0</v>
      </c>
      <c r="V620">
        <f>INDEX(ReachStudentTargets,MATCH(B620,KidIDs,0))</f>
        <v>0</v>
      </c>
      <c r="W620">
        <f>IF(OR(M620="Posse"),1,0)</f>
        <v>0</v>
      </c>
      <c r="X620">
        <f>IF(ISNUMBER(INDEX(AllCollegeGR, MATCH(N620,AllCollegeNCES,0))),ROUND(INDEX(AllCollegeGR, MATCH(N620,AllCollegeNCES,0))+W620*IF(INDEX(AllCollegeGR, MATCH(N620,AllCollegeNCES,0))&gt;0.7,(1-INDEX(AllCollegeGR, MATCH(N620,AllCollegeNCES,0)))/2,0.15),2),INDEX(AllCollegeGR, MATCH(N620,AllCollegeNCES,0)))</f>
        <v>0</v>
      </c>
      <c r="Y620">
        <f>IF(ISNUMBER(INDEX(AllCollegeAAHGR, MATCH(N620,AllCollegeNCES,0))),ROUND(INDEX(AllCollegeAAHGR, MATCH(N620,AllCollegeNCES,0))+W620*IF(INDEX(AllCollegeAAHGR, MATCH(N620,AllCollegeNCES,0))&gt;0.7,(1-INDEX(AllCollegeAAHGR, MATCH(N620,AllCollegeNCES,0)))/2,0.15),2),INDEX(AllCollegeAAHGR, MATCH(N620,AllCollegeNCES,0)))</f>
        <v>0</v>
      </c>
      <c r="Z620">
        <f>IF(OR(T620="H",T620="B"),INDEX(AllCollegeACT25, MATCH(N620,AllCollegeNCES,0)),INDEX(AllCollegeACT50, MATCH(N620,AllCollegeNCES,0)))</f>
        <v>0</v>
      </c>
      <c r="AA620">
        <f>INDEX(CustomWeightsGPA,MATCH(T620&amp;":"&amp;N620,CustomWeightsIndex,0))</f>
        <v>0</v>
      </c>
      <c r="AB620">
        <f>INDEX(CustomWeightsACT,MATCH(T620&amp;":"&amp;N620,CustomWeightsIndex,0))</f>
        <v>0</v>
      </c>
      <c r="AC620">
        <f>INDEX(CustomWeightsIntercept,MATCH(T620&amp;":"&amp;N620,CustomWeightsIndex,0))</f>
        <v>0</v>
      </c>
      <c r="AD620">
        <f>AA620*P620+AB620*Q620+AC620</f>
        <v>0</v>
      </c>
      <c r="AE620">
        <f>INDEX(CoefficientsGPA,MATCH(T620&amp;":"&amp;O620,CoefficientsIndex,0))</f>
        <v>0</v>
      </c>
      <c r="AF620">
        <f>INDEX(CoefficientsACT,MATCH(T620&amp;":"&amp;O620,CoefficientsIndex,0))</f>
        <v>0</v>
      </c>
      <c r="AG620">
        <f>INDEX(CoefficientsIntercept,MATCH(T620&amp;":"&amp;O620,CoefficientsIndex,0))</f>
        <v>0</v>
      </c>
      <c r="AH620">
        <f>AE620*P620+(Q620-Z620)*AF620+AG620</f>
        <v>0</v>
      </c>
      <c r="AI620">
        <f>IF(ISNUMBER(AD620),AD620,AH620)</f>
        <v>0</v>
      </c>
      <c r="AJ620">
        <f>IF(ISNUMBER(AI620),IF(ISNUMBER(AE620),IF(AND(AE620=1,AF620=1,AG620=1),100,ROUND(100*EXP(AI620)/(1+EXP(AI620)),2)),ROUND(100*EXP(AI620)/(1+EXP(AI620)),2)),IF(ISTEXT(O620),IF(LEFT(O620,1)="2",100,"N/A"),"N/A"))</f>
        <v>0</v>
      </c>
      <c r="AK620">
        <f>IF(ISNUMBER(AJ620),IF(AJ620&gt;=99,IF(OR(R620=10,R620=11),MatchLabel,SureThingLabel),IF(AJ620&gt;=95,SecureLabel,IF(AJ620&gt;=80,SafetyLabel,IF(AJ620&gt;=50,MatchLabel,IF(AJ620&gt;=20,ReachLabel,IF(AJ620&gt;=10,LongshotLabel,HailMaryLabel)))))),"Other")</f>
        <v>0</v>
      </c>
      <c r="AL620">
        <f>IF(OR(I620="accepted",I620="cond. accept",I620="summer admit"),IF(J620="yes","CHOICE!","Accepted!"),IF(I620="denied","Denied",IF(K620=1,"Waitlist",IF(L620=1,"Deferred",IF(G620="pending","Pending",IF(OR(G620="initial materials submitted",G620="mid-year submitted",G620="final submitted"),"Submitted",IF(H620="interest","Interest","?")))))))</f>
        <v>0</v>
      </c>
      <c r="AM620">
        <f>IF(OR(AK620=ReachLabel,AK620=LongshotLabel,AK620=HailMaryLabel),1,0)</f>
        <v>0</v>
      </c>
      <c r="AN620">
        <f>IF(OR(AM620=1,AK620=MatchLabel),1,0)</f>
        <v>0</v>
      </c>
      <c r="AO620">
        <f>IF(OR(AK620=MatchLabel,AK620=SafetyLabel,AK620=SecureLabel,AK620=SureThingLabel),1,0)</f>
        <v>0</v>
      </c>
      <c r="AP620">
        <f>IF(OR(T620="H",T620="B"),IF(ISNUMBER(Y620),ROUND(Y620,2),0),IF(ISNUMBER(X620),ROUND(X620,2),0))</f>
        <v>0</v>
      </c>
      <c r="AQ620">
        <f>IF(AP620&gt;=U620,1,0)</f>
        <v>0</v>
      </c>
      <c r="AR620">
        <f>IF(AP620&gt;=V620,1,0)</f>
        <v>0</v>
      </c>
      <c r="AS620">
        <f>IF(AP620&lt;(U620-0.10),1,0)</f>
        <v>0</v>
      </c>
      <c r="AT620">
        <f>1-AJ620/100</f>
        <v>0</v>
      </c>
      <c r="AU620">
        <f>IF(AN620=1,AT620,1)</f>
        <v>0</v>
      </c>
      <c r="AV620">
        <f>IF(AM620=1,AT620,1)</f>
        <v>0</v>
      </c>
      <c r="AW620">
        <f>IF(AND(AQ620=1,ISNUMBER(AT620)),$AT620,1)</f>
        <v>0</v>
      </c>
      <c r="AX620">
        <f>IF(AND(AR620=1,ISNUMBER(AT620)),$AT620,1)</f>
        <v>0</v>
      </c>
      <c r="AY620">
        <f>IF(ISNUMBER(Y620),INDEX(AllCollegeMoney, MATCH(N620,AllCollegeNCES,0)),0)</f>
        <v>0</v>
      </c>
      <c r="AZ620">
        <f>IF(AND(AQ620=1,ISNUMBER(AT620),AY620=1),$AT620,1)</f>
        <v>0</v>
      </c>
      <c r="BA620">
        <f>IF(AND(AR620=1,ISNUMBER(AT620),AY620=1),$AT620,1)</f>
        <v>0</v>
      </c>
      <c r="BB620">
        <f>IF(ISNUMBER(Y620),INDEX(AllCollegeILPub, MATCH(N620,AllCollegeNCES,0)),0)</f>
        <v>0</v>
      </c>
      <c r="BC620">
        <f>IF(AK620=ReachLabel,AP620,0)</f>
        <v>0</v>
      </c>
      <c r="BD620">
        <f>IF(AK620=MatchLabel,AP620,0)</f>
        <v>0</v>
      </c>
      <c r="BE620">
        <f>IF(AK620=SafetyLabel,AP620,0)</f>
        <v>0</v>
      </c>
      <c r="BF620">
        <f>IF(AK620=SecureLabel,AP620,0)</f>
        <v>0</v>
      </c>
      <c r="BG620">
        <f>IF(AK620=SureThingLabel,AP620,0)</f>
        <v>0</v>
      </c>
      <c r="BH620">
        <f>MAX(BC620:BG620)</f>
        <v>0</v>
      </c>
      <c r="BI620">
        <f>MAX(BD620:BG620)</f>
        <v>0</v>
      </c>
      <c r="BJ620">
        <f>MAX(BE620:BG620)</f>
        <v>0</v>
      </c>
      <c r="BK620">
        <f>IF(AND(AK620=ReachLabel,AY620=1),AP620,0)</f>
        <v>0</v>
      </c>
      <c r="BL620">
        <f>IF(AND(AK620=MatchLabel,AY620=1),AP620,0)</f>
        <v>0</v>
      </c>
      <c r="BM620">
        <f>IF(AND(AK620=SafetyLabel,AY620=1),AP620,0)</f>
        <v>0</v>
      </c>
      <c r="BN620">
        <f>IF(AND(AK620=SecureLabel,AY620=1),AP620,0)</f>
        <v>0</v>
      </c>
      <c r="BO620">
        <f>IF(AND(AK620=SureThingLabel,AY620=1),AP620,0)</f>
        <v>0</v>
      </c>
      <c r="BP620">
        <f>MAX(BK620:BO620)</f>
        <v>0</v>
      </c>
      <c r="BQ620">
        <f>MAX(BL620:BO620)</f>
        <v>0</v>
      </c>
      <c r="BR620">
        <f>MAX(BM620:BO620)</f>
        <v>0</v>
      </c>
      <c r="BS620">
        <f>IF(ISNUMBER(Y620),INDEX(AllCollegeChicago, MATCH(N620,AllCollegeNCES,0))*AY620,0)</f>
        <v>0</v>
      </c>
      <c r="BT620">
        <f>IF(ISNUMBER(Y620),INDEX(AllCollegeMoneyCode, MATCH(N620,AllCollegeNCES,0)),"?")</f>
        <v>0</v>
      </c>
      <c r="BU620">
        <f>IF(OR(BT620="---",BT620="--",BT620="+/--",BT620="+/---"),1,0)</f>
        <v>0</v>
      </c>
      <c r="BV620">
        <f>AY620*AO620*AQ620</f>
        <v>0</v>
      </c>
    </row>
    <row r="621" spans="1:74">
      <c r="A621" t="s">
        <v>86</v>
      </c>
      <c r="B621">
        <v>24126470</v>
      </c>
      <c r="C621" t="s">
        <v>101</v>
      </c>
      <c r="D621" t="s">
        <v>102</v>
      </c>
      <c r="E621" t="s">
        <v>428</v>
      </c>
      <c r="F621" t="s">
        <v>458</v>
      </c>
      <c r="G621" t="s">
        <v>430</v>
      </c>
      <c r="H621" t="s">
        <v>431</v>
      </c>
      <c r="I621" t="s">
        <v>432</v>
      </c>
      <c r="J621" t="s">
        <v>432</v>
      </c>
      <c r="K621">
        <v>0</v>
      </c>
      <c r="L621" t="s">
        <v>428</v>
      </c>
      <c r="M621" t="s">
        <v>428</v>
      </c>
      <c r="N621">
        <v>202523</v>
      </c>
      <c r="O621">
        <f>INDEX(AllCollegeBarrons,MATCH(N621,AllCollegeNCES,0))</f>
        <v>0</v>
      </c>
      <c r="P621">
        <f>INDEX(KidGPAs,MATCH(B621,KidIDs,0))</f>
        <v>0</v>
      </c>
      <c r="Q621">
        <f>INDEX(KidACTs,MATCH(B621,KidIDs,0))</f>
        <v>0</v>
      </c>
      <c r="R621">
        <f>INDEX(Strats,MATCH(B621,KidIDs,0))</f>
        <v>0</v>
      </c>
      <c r="S621">
        <f>INDEX(KidRace,MATCH(B621,KidIDs,0))</f>
        <v>0</v>
      </c>
      <c r="T621">
        <f>IF(OR(S621="M",S621="I"),"H",S621)</f>
        <v>0</v>
      </c>
      <c r="U621">
        <f>INDEX(StudentTargets,MATCH(B621,KidIDs,0))</f>
        <v>0</v>
      </c>
      <c r="V621">
        <f>INDEX(ReachStudentTargets,MATCH(B621,KidIDs,0))</f>
        <v>0</v>
      </c>
      <c r="W621">
        <f>IF(OR(M621="Posse"),1,0)</f>
        <v>0</v>
      </c>
      <c r="X621">
        <f>IF(ISNUMBER(INDEX(AllCollegeGR, MATCH(N621,AllCollegeNCES,0))),ROUND(INDEX(AllCollegeGR, MATCH(N621,AllCollegeNCES,0))+W621*IF(INDEX(AllCollegeGR, MATCH(N621,AllCollegeNCES,0))&gt;0.7,(1-INDEX(AllCollegeGR, MATCH(N621,AllCollegeNCES,0)))/2,0.15),2),INDEX(AllCollegeGR, MATCH(N621,AllCollegeNCES,0)))</f>
        <v>0</v>
      </c>
      <c r="Y621">
        <f>IF(ISNUMBER(INDEX(AllCollegeAAHGR, MATCH(N621,AllCollegeNCES,0))),ROUND(INDEX(AllCollegeAAHGR, MATCH(N621,AllCollegeNCES,0))+W621*IF(INDEX(AllCollegeAAHGR, MATCH(N621,AllCollegeNCES,0))&gt;0.7,(1-INDEX(AllCollegeAAHGR, MATCH(N621,AllCollegeNCES,0)))/2,0.15),2),INDEX(AllCollegeAAHGR, MATCH(N621,AllCollegeNCES,0)))</f>
        <v>0</v>
      </c>
      <c r="Z621">
        <f>IF(OR(T621="H",T621="B"),INDEX(AllCollegeACT25, MATCH(N621,AllCollegeNCES,0)),INDEX(AllCollegeACT50, MATCH(N621,AllCollegeNCES,0)))</f>
        <v>0</v>
      </c>
      <c r="AA621">
        <f>INDEX(CustomWeightsGPA,MATCH(T621&amp;":"&amp;N621,CustomWeightsIndex,0))</f>
        <v>0</v>
      </c>
      <c r="AB621">
        <f>INDEX(CustomWeightsACT,MATCH(T621&amp;":"&amp;N621,CustomWeightsIndex,0))</f>
        <v>0</v>
      </c>
      <c r="AC621">
        <f>INDEX(CustomWeightsIntercept,MATCH(T621&amp;":"&amp;N621,CustomWeightsIndex,0))</f>
        <v>0</v>
      </c>
      <c r="AD621">
        <f>AA621*P621+AB621*Q621+AC621</f>
        <v>0</v>
      </c>
      <c r="AE621">
        <f>INDEX(CoefficientsGPA,MATCH(T621&amp;":"&amp;O621,CoefficientsIndex,0))</f>
        <v>0</v>
      </c>
      <c r="AF621">
        <f>INDEX(CoefficientsACT,MATCH(T621&amp;":"&amp;O621,CoefficientsIndex,0))</f>
        <v>0</v>
      </c>
      <c r="AG621">
        <f>INDEX(CoefficientsIntercept,MATCH(T621&amp;":"&amp;O621,CoefficientsIndex,0))</f>
        <v>0</v>
      </c>
      <c r="AH621">
        <f>AE621*P621+(Q621-Z621)*AF621+AG621</f>
        <v>0</v>
      </c>
      <c r="AI621">
        <f>IF(ISNUMBER(AD621),AD621,AH621)</f>
        <v>0</v>
      </c>
      <c r="AJ621">
        <f>IF(ISNUMBER(AI621),IF(ISNUMBER(AE621),IF(AND(AE621=1,AF621=1,AG621=1),100,ROUND(100*EXP(AI621)/(1+EXP(AI621)),2)),ROUND(100*EXP(AI621)/(1+EXP(AI621)),2)),IF(ISTEXT(O621),IF(LEFT(O621,1)="2",100,"N/A"),"N/A"))</f>
        <v>0</v>
      </c>
      <c r="AK621">
        <f>IF(ISNUMBER(AJ621),IF(AJ621&gt;=99,IF(OR(R621=10,R621=11),MatchLabel,SureThingLabel),IF(AJ621&gt;=95,SecureLabel,IF(AJ621&gt;=80,SafetyLabel,IF(AJ621&gt;=50,MatchLabel,IF(AJ621&gt;=20,ReachLabel,IF(AJ621&gt;=10,LongshotLabel,HailMaryLabel)))))),"Other")</f>
        <v>0</v>
      </c>
      <c r="AL621">
        <f>IF(OR(I621="accepted",I621="cond. accept",I621="summer admit"),IF(J621="yes","CHOICE!","Accepted!"),IF(I621="denied","Denied",IF(K621=1,"Waitlist",IF(L621=1,"Deferred",IF(G621="pending","Pending",IF(OR(G621="initial materials submitted",G621="mid-year submitted",G621="final submitted"),"Submitted",IF(H621="interest","Interest","?")))))))</f>
        <v>0</v>
      </c>
      <c r="AM621">
        <f>IF(OR(AK621=ReachLabel,AK621=LongshotLabel,AK621=HailMaryLabel),1,0)</f>
        <v>0</v>
      </c>
      <c r="AN621">
        <f>IF(OR(AM621=1,AK621=MatchLabel),1,0)</f>
        <v>0</v>
      </c>
      <c r="AO621">
        <f>IF(OR(AK621=MatchLabel,AK621=SafetyLabel,AK621=SecureLabel,AK621=SureThingLabel),1,0)</f>
        <v>0</v>
      </c>
      <c r="AP621">
        <f>IF(OR(T621="H",T621="B"),IF(ISNUMBER(Y621),ROUND(Y621,2),0),IF(ISNUMBER(X621),ROUND(X621,2),0))</f>
        <v>0</v>
      </c>
      <c r="AQ621">
        <f>IF(AP621&gt;=U621,1,0)</f>
        <v>0</v>
      </c>
      <c r="AR621">
        <f>IF(AP621&gt;=V621,1,0)</f>
        <v>0</v>
      </c>
      <c r="AS621">
        <f>IF(AP621&lt;(U621-0.10),1,0)</f>
        <v>0</v>
      </c>
      <c r="AT621">
        <f>1-AJ621/100</f>
        <v>0</v>
      </c>
      <c r="AU621">
        <f>IF(AN621=1,AT621,1)</f>
        <v>0</v>
      </c>
      <c r="AV621">
        <f>IF(AM621=1,AT621,1)</f>
        <v>0</v>
      </c>
      <c r="AW621">
        <f>IF(AND(AQ621=1,ISNUMBER(AT621)),$AT621,1)</f>
        <v>0</v>
      </c>
      <c r="AX621">
        <f>IF(AND(AR621=1,ISNUMBER(AT621)),$AT621,1)</f>
        <v>0</v>
      </c>
      <c r="AY621">
        <f>IF(ISNUMBER(Y621),INDEX(AllCollegeMoney, MATCH(N621,AllCollegeNCES,0)),0)</f>
        <v>0</v>
      </c>
      <c r="AZ621">
        <f>IF(AND(AQ621=1,ISNUMBER(AT621),AY621=1),$AT621,1)</f>
        <v>0</v>
      </c>
      <c r="BA621">
        <f>IF(AND(AR621=1,ISNUMBER(AT621),AY621=1),$AT621,1)</f>
        <v>0</v>
      </c>
      <c r="BB621">
        <f>IF(ISNUMBER(Y621),INDEX(AllCollegeILPub, MATCH(N621,AllCollegeNCES,0)),0)</f>
        <v>0</v>
      </c>
      <c r="BC621">
        <f>IF(AK621=ReachLabel,AP621,0)</f>
        <v>0</v>
      </c>
      <c r="BD621">
        <f>IF(AK621=MatchLabel,AP621,0)</f>
        <v>0</v>
      </c>
      <c r="BE621">
        <f>IF(AK621=SafetyLabel,AP621,0)</f>
        <v>0</v>
      </c>
      <c r="BF621">
        <f>IF(AK621=SecureLabel,AP621,0)</f>
        <v>0</v>
      </c>
      <c r="BG621">
        <f>IF(AK621=SureThingLabel,AP621,0)</f>
        <v>0</v>
      </c>
      <c r="BH621">
        <f>MAX(BC621:BG621)</f>
        <v>0</v>
      </c>
      <c r="BI621">
        <f>MAX(BD621:BG621)</f>
        <v>0</v>
      </c>
      <c r="BJ621">
        <f>MAX(BE621:BG621)</f>
        <v>0</v>
      </c>
      <c r="BK621">
        <f>IF(AND(AK621=ReachLabel,AY621=1),AP621,0)</f>
        <v>0</v>
      </c>
      <c r="BL621">
        <f>IF(AND(AK621=MatchLabel,AY621=1),AP621,0)</f>
        <v>0</v>
      </c>
      <c r="BM621">
        <f>IF(AND(AK621=SafetyLabel,AY621=1),AP621,0)</f>
        <v>0</v>
      </c>
      <c r="BN621">
        <f>IF(AND(AK621=SecureLabel,AY621=1),AP621,0)</f>
        <v>0</v>
      </c>
      <c r="BO621">
        <f>IF(AND(AK621=SureThingLabel,AY621=1),AP621,0)</f>
        <v>0</v>
      </c>
      <c r="BP621">
        <f>MAX(BK621:BO621)</f>
        <v>0</v>
      </c>
      <c r="BQ621">
        <f>MAX(BL621:BO621)</f>
        <v>0</v>
      </c>
      <c r="BR621">
        <f>MAX(BM621:BO621)</f>
        <v>0</v>
      </c>
      <c r="BS621">
        <f>IF(ISNUMBER(Y621),INDEX(AllCollegeChicago, MATCH(N621,AllCollegeNCES,0))*AY621,0)</f>
        <v>0</v>
      </c>
      <c r="BT621">
        <f>IF(ISNUMBER(Y621),INDEX(AllCollegeMoneyCode, MATCH(N621,AllCollegeNCES,0)),"?")</f>
        <v>0</v>
      </c>
      <c r="BU621">
        <f>IF(OR(BT621="---",BT621="--",BT621="+/--",BT621="+/---"),1,0)</f>
        <v>0</v>
      </c>
      <c r="BV621">
        <f>AY621*AO621*AQ621</f>
        <v>0</v>
      </c>
    </row>
    <row r="622" spans="1:74">
      <c r="A622" t="s">
        <v>86</v>
      </c>
      <c r="B622">
        <v>24126470</v>
      </c>
      <c r="C622" t="s">
        <v>101</v>
      </c>
      <c r="D622" t="s">
        <v>102</v>
      </c>
      <c r="E622" t="s">
        <v>428</v>
      </c>
      <c r="F622" t="s">
        <v>459</v>
      </c>
      <c r="G622" t="s">
        <v>430</v>
      </c>
      <c r="H622" t="s">
        <v>431</v>
      </c>
      <c r="I622" t="s">
        <v>432</v>
      </c>
      <c r="J622" t="s">
        <v>432</v>
      </c>
      <c r="K622">
        <v>0</v>
      </c>
      <c r="L622" t="s">
        <v>428</v>
      </c>
      <c r="M622" t="s">
        <v>428</v>
      </c>
      <c r="N622">
        <v>146427</v>
      </c>
      <c r="O622">
        <f>INDEX(AllCollegeBarrons,MATCH(N622,AllCollegeNCES,0))</f>
        <v>0</v>
      </c>
      <c r="P622">
        <f>INDEX(KidGPAs,MATCH(B622,KidIDs,0))</f>
        <v>0</v>
      </c>
      <c r="Q622">
        <f>INDEX(KidACTs,MATCH(B622,KidIDs,0))</f>
        <v>0</v>
      </c>
      <c r="R622">
        <f>INDEX(Strats,MATCH(B622,KidIDs,0))</f>
        <v>0</v>
      </c>
      <c r="S622">
        <f>INDEX(KidRace,MATCH(B622,KidIDs,0))</f>
        <v>0</v>
      </c>
      <c r="T622">
        <f>IF(OR(S622="M",S622="I"),"H",S622)</f>
        <v>0</v>
      </c>
      <c r="U622">
        <f>INDEX(StudentTargets,MATCH(B622,KidIDs,0))</f>
        <v>0</v>
      </c>
      <c r="V622">
        <f>INDEX(ReachStudentTargets,MATCH(B622,KidIDs,0))</f>
        <v>0</v>
      </c>
      <c r="W622">
        <f>IF(OR(M622="Posse"),1,0)</f>
        <v>0</v>
      </c>
      <c r="X622">
        <f>IF(ISNUMBER(INDEX(AllCollegeGR, MATCH(N622,AllCollegeNCES,0))),ROUND(INDEX(AllCollegeGR, MATCH(N622,AllCollegeNCES,0))+W622*IF(INDEX(AllCollegeGR, MATCH(N622,AllCollegeNCES,0))&gt;0.7,(1-INDEX(AllCollegeGR, MATCH(N622,AllCollegeNCES,0)))/2,0.15),2),INDEX(AllCollegeGR, MATCH(N622,AllCollegeNCES,0)))</f>
        <v>0</v>
      </c>
      <c r="Y622">
        <f>IF(ISNUMBER(INDEX(AllCollegeAAHGR, MATCH(N622,AllCollegeNCES,0))),ROUND(INDEX(AllCollegeAAHGR, MATCH(N622,AllCollegeNCES,0))+W622*IF(INDEX(AllCollegeAAHGR, MATCH(N622,AllCollegeNCES,0))&gt;0.7,(1-INDEX(AllCollegeAAHGR, MATCH(N622,AllCollegeNCES,0)))/2,0.15),2),INDEX(AllCollegeAAHGR, MATCH(N622,AllCollegeNCES,0)))</f>
        <v>0</v>
      </c>
      <c r="Z622">
        <f>IF(OR(T622="H",T622="B"),INDEX(AllCollegeACT25, MATCH(N622,AllCollegeNCES,0)),INDEX(AllCollegeACT50, MATCH(N622,AllCollegeNCES,0)))</f>
        <v>0</v>
      </c>
      <c r="AA622">
        <f>INDEX(CustomWeightsGPA,MATCH(T622&amp;":"&amp;N622,CustomWeightsIndex,0))</f>
        <v>0</v>
      </c>
      <c r="AB622">
        <f>INDEX(CustomWeightsACT,MATCH(T622&amp;":"&amp;N622,CustomWeightsIndex,0))</f>
        <v>0</v>
      </c>
      <c r="AC622">
        <f>INDEX(CustomWeightsIntercept,MATCH(T622&amp;":"&amp;N622,CustomWeightsIndex,0))</f>
        <v>0</v>
      </c>
      <c r="AD622">
        <f>AA622*P622+AB622*Q622+AC622</f>
        <v>0</v>
      </c>
      <c r="AE622">
        <f>INDEX(CoefficientsGPA,MATCH(T622&amp;":"&amp;O622,CoefficientsIndex,0))</f>
        <v>0</v>
      </c>
      <c r="AF622">
        <f>INDEX(CoefficientsACT,MATCH(T622&amp;":"&amp;O622,CoefficientsIndex,0))</f>
        <v>0</v>
      </c>
      <c r="AG622">
        <f>INDEX(CoefficientsIntercept,MATCH(T622&amp;":"&amp;O622,CoefficientsIndex,0))</f>
        <v>0</v>
      </c>
      <c r="AH622">
        <f>AE622*P622+(Q622-Z622)*AF622+AG622</f>
        <v>0</v>
      </c>
      <c r="AI622">
        <f>IF(ISNUMBER(AD622),AD622,AH622)</f>
        <v>0</v>
      </c>
      <c r="AJ622">
        <f>IF(ISNUMBER(AI622),IF(ISNUMBER(AE622),IF(AND(AE622=1,AF622=1,AG622=1),100,ROUND(100*EXP(AI622)/(1+EXP(AI622)),2)),ROUND(100*EXP(AI622)/(1+EXP(AI622)),2)),IF(ISTEXT(O622),IF(LEFT(O622,1)="2",100,"N/A"),"N/A"))</f>
        <v>0</v>
      </c>
      <c r="AK622">
        <f>IF(ISNUMBER(AJ622),IF(AJ622&gt;=99,IF(OR(R622=10,R622=11),MatchLabel,SureThingLabel),IF(AJ622&gt;=95,SecureLabel,IF(AJ622&gt;=80,SafetyLabel,IF(AJ622&gt;=50,MatchLabel,IF(AJ622&gt;=20,ReachLabel,IF(AJ622&gt;=10,LongshotLabel,HailMaryLabel)))))),"Other")</f>
        <v>0</v>
      </c>
      <c r="AL622">
        <f>IF(OR(I622="accepted",I622="cond. accept",I622="summer admit"),IF(J622="yes","CHOICE!","Accepted!"),IF(I622="denied","Denied",IF(K622=1,"Waitlist",IF(L622=1,"Deferred",IF(G622="pending","Pending",IF(OR(G622="initial materials submitted",G622="mid-year submitted",G622="final submitted"),"Submitted",IF(H622="interest","Interest","?")))))))</f>
        <v>0</v>
      </c>
      <c r="AM622">
        <f>IF(OR(AK622=ReachLabel,AK622=LongshotLabel,AK622=HailMaryLabel),1,0)</f>
        <v>0</v>
      </c>
      <c r="AN622">
        <f>IF(OR(AM622=1,AK622=MatchLabel),1,0)</f>
        <v>0</v>
      </c>
      <c r="AO622">
        <f>IF(OR(AK622=MatchLabel,AK622=SafetyLabel,AK622=SecureLabel,AK622=SureThingLabel),1,0)</f>
        <v>0</v>
      </c>
      <c r="AP622">
        <f>IF(OR(T622="H",T622="B"),IF(ISNUMBER(Y622),ROUND(Y622,2),0),IF(ISNUMBER(X622),ROUND(X622,2),0))</f>
        <v>0</v>
      </c>
      <c r="AQ622">
        <f>IF(AP622&gt;=U622,1,0)</f>
        <v>0</v>
      </c>
      <c r="AR622">
        <f>IF(AP622&gt;=V622,1,0)</f>
        <v>0</v>
      </c>
      <c r="AS622">
        <f>IF(AP622&lt;(U622-0.10),1,0)</f>
        <v>0</v>
      </c>
      <c r="AT622">
        <f>1-AJ622/100</f>
        <v>0</v>
      </c>
      <c r="AU622">
        <f>IF(AN622=1,AT622,1)</f>
        <v>0</v>
      </c>
      <c r="AV622">
        <f>IF(AM622=1,AT622,1)</f>
        <v>0</v>
      </c>
      <c r="AW622">
        <f>IF(AND(AQ622=1,ISNUMBER(AT622)),$AT622,1)</f>
        <v>0</v>
      </c>
      <c r="AX622">
        <f>IF(AND(AR622=1,ISNUMBER(AT622)),$AT622,1)</f>
        <v>0</v>
      </c>
      <c r="AY622">
        <f>IF(ISNUMBER(Y622),INDEX(AllCollegeMoney, MATCH(N622,AllCollegeNCES,0)),0)</f>
        <v>0</v>
      </c>
      <c r="AZ622">
        <f>IF(AND(AQ622=1,ISNUMBER(AT622),AY622=1),$AT622,1)</f>
        <v>0</v>
      </c>
      <c r="BA622">
        <f>IF(AND(AR622=1,ISNUMBER(AT622),AY622=1),$AT622,1)</f>
        <v>0</v>
      </c>
      <c r="BB622">
        <f>IF(ISNUMBER(Y622),INDEX(AllCollegeILPub, MATCH(N622,AllCollegeNCES,0)),0)</f>
        <v>0</v>
      </c>
      <c r="BC622">
        <f>IF(AK622=ReachLabel,AP622,0)</f>
        <v>0</v>
      </c>
      <c r="BD622">
        <f>IF(AK622=MatchLabel,AP622,0)</f>
        <v>0</v>
      </c>
      <c r="BE622">
        <f>IF(AK622=SafetyLabel,AP622,0)</f>
        <v>0</v>
      </c>
      <c r="BF622">
        <f>IF(AK622=SecureLabel,AP622,0)</f>
        <v>0</v>
      </c>
      <c r="BG622">
        <f>IF(AK622=SureThingLabel,AP622,0)</f>
        <v>0</v>
      </c>
      <c r="BH622">
        <f>MAX(BC622:BG622)</f>
        <v>0</v>
      </c>
      <c r="BI622">
        <f>MAX(BD622:BG622)</f>
        <v>0</v>
      </c>
      <c r="BJ622">
        <f>MAX(BE622:BG622)</f>
        <v>0</v>
      </c>
      <c r="BK622">
        <f>IF(AND(AK622=ReachLabel,AY622=1),AP622,0)</f>
        <v>0</v>
      </c>
      <c r="BL622">
        <f>IF(AND(AK622=MatchLabel,AY622=1),AP622,0)</f>
        <v>0</v>
      </c>
      <c r="BM622">
        <f>IF(AND(AK622=SafetyLabel,AY622=1),AP622,0)</f>
        <v>0</v>
      </c>
      <c r="BN622">
        <f>IF(AND(AK622=SecureLabel,AY622=1),AP622,0)</f>
        <v>0</v>
      </c>
      <c r="BO622">
        <f>IF(AND(AK622=SureThingLabel,AY622=1),AP622,0)</f>
        <v>0</v>
      </c>
      <c r="BP622">
        <f>MAX(BK622:BO622)</f>
        <v>0</v>
      </c>
      <c r="BQ622">
        <f>MAX(BL622:BO622)</f>
        <v>0</v>
      </c>
      <c r="BR622">
        <f>MAX(BM622:BO622)</f>
        <v>0</v>
      </c>
      <c r="BS622">
        <f>IF(ISNUMBER(Y622),INDEX(AllCollegeChicago, MATCH(N622,AllCollegeNCES,0))*AY622,0)</f>
        <v>0</v>
      </c>
      <c r="BT622">
        <f>IF(ISNUMBER(Y622),INDEX(AllCollegeMoneyCode, MATCH(N622,AllCollegeNCES,0)),"?")</f>
        <v>0</v>
      </c>
      <c r="BU622">
        <f>IF(OR(BT622="---",BT622="--",BT622="+/--",BT622="+/---"),1,0)</f>
        <v>0</v>
      </c>
      <c r="BV622">
        <f>AY622*AO622*AQ622</f>
        <v>0</v>
      </c>
    </row>
    <row r="623" spans="1:74">
      <c r="A623" t="s">
        <v>86</v>
      </c>
      <c r="B623">
        <v>24126470</v>
      </c>
      <c r="C623" t="s">
        <v>101</v>
      </c>
      <c r="D623" t="s">
        <v>102</v>
      </c>
      <c r="E623" t="s">
        <v>428</v>
      </c>
      <c r="F623" t="s">
        <v>470</v>
      </c>
      <c r="G623" t="s">
        <v>430</v>
      </c>
      <c r="H623" t="s">
        <v>431</v>
      </c>
      <c r="I623" t="s">
        <v>432</v>
      </c>
      <c r="J623" t="s">
        <v>432</v>
      </c>
      <c r="K623">
        <v>0</v>
      </c>
      <c r="L623" t="s">
        <v>428</v>
      </c>
      <c r="M623" t="s">
        <v>428</v>
      </c>
      <c r="N623">
        <v>206589</v>
      </c>
      <c r="O623">
        <f>INDEX(AllCollegeBarrons,MATCH(N623,AllCollegeNCES,0))</f>
        <v>0</v>
      </c>
      <c r="P623">
        <f>INDEX(KidGPAs,MATCH(B623,KidIDs,0))</f>
        <v>0</v>
      </c>
      <c r="Q623">
        <f>INDEX(KidACTs,MATCH(B623,KidIDs,0))</f>
        <v>0</v>
      </c>
      <c r="R623">
        <f>INDEX(Strats,MATCH(B623,KidIDs,0))</f>
        <v>0</v>
      </c>
      <c r="S623">
        <f>INDEX(KidRace,MATCH(B623,KidIDs,0))</f>
        <v>0</v>
      </c>
      <c r="T623">
        <f>IF(OR(S623="M",S623="I"),"H",S623)</f>
        <v>0</v>
      </c>
      <c r="U623">
        <f>INDEX(StudentTargets,MATCH(B623,KidIDs,0))</f>
        <v>0</v>
      </c>
      <c r="V623">
        <f>INDEX(ReachStudentTargets,MATCH(B623,KidIDs,0))</f>
        <v>0</v>
      </c>
      <c r="W623">
        <f>IF(OR(M623="Posse"),1,0)</f>
        <v>0</v>
      </c>
      <c r="X623">
        <f>IF(ISNUMBER(INDEX(AllCollegeGR, MATCH(N623,AllCollegeNCES,0))),ROUND(INDEX(AllCollegeGR, MATCH(N623,AllCollegeNCES,0))+W623*IF(INDEX(AllCollegeGR, MATCH(N623,AllCollegeNCES,0))&gt;0.7,(1-INDEX(AllCollegeGR, MATCH(N623,AllCollegeNCES,0)))/2,0.15),2),INDEX(AllCollegeGR, MATCH(N623,AllCollegeNCES,0)))</f>
        <v>0</v>
      </c>
      <c r="Y623">
        <f>IF(ISNUMBER(INDEX(AllCollegeAAHGR, MATCH(N623,AllCollegeNCES,0))),ROUND(INDEX(AllCollegeAAHGR, MATCH(N623,AllCollegeNCES,0))+W623*IF(INDEX(AllCollegeAAHGR, MATCH(N623,AllCollegeNCES,0))&gt;0.7,(1-INDEX(AllCollegeAAHGR, MATCH(N623,AllCollegeNCES,0)))/2,0.15),2),INDEX(AllCollegeAAHGR, MATCH(N623,AllCollegeNCES,0)))</f>
        <v>0</v>
      </c>
      <c r="Z623">
        <f>IF(OR(T623="H",T623="B"),INDEX(AllCollegeACT25, MATCH(N623,AllCollegeNCES,0)),INDEX(AllCollegeACT50, MATCH(N623,AllCollegeNCES,0)))</f>
        <v>0</v>
      </c>
      <c r="AA623">
        <f>INDEX(CustomWeightsGPA,MATCH(T623&amp;":"&amp;N623,CustomWeightsIndex,0))</f>
        <v>0</v>
      </c>
      <c r="AB623">
        <f>INDEX(CustomWeightsACT,MATCH(T623&amp;":"&amp;N623,CustomWeightsIndex,0))</f>
        <v>0</v>
      </c>
      <c r="AC623">
        <f>INDEX(CustomWeightsIntercept,MATCH(T623&amp;":"&amp;N623,CustomWeightsIndex,0))</f>
        <v>0</v>
      </c>
      <c r="AD623">
        <f>AA623*P623+AB623*Q623+AC623</f>
        <v>0</v>
      </c>
      <c r="AE623">
        <f>INDEX(CoefficientsGPA,MATCH(T623&amp;":"&amp;O623,CoefficientsIndex,0))</f>
        <v>0</v>
      </c>
      <c r="AF623">
        <f>INDEX(CoefficientsACT,MATCH(T623&amp;":"&amp;O623,CoefficientsIndex,0))</f>
        <v>0</v>
      </c>
      <c r="AG623">
        <f>INDEX(CoefficientsIntercept,MATCH(T623&amp;":"&amp;O623,CoefficientsIndex,0))</f>
        <v>0</v>
      </c>
      <c r="AH623">
        <f>AE623*P623+(Q623-Z623)*AF623+AG623</f>
        <v>0</v>
      </c>
      <c r="AI623">
        <f>IF(ISNUMBER(AD623),AD623,AH623)</f>
        <v>0</v>
      </c>
      <c r="AJ623">
        <f>IF(ISNUMBER(AI623),IF(ISNUMBER(AE623),IF(AND(AE623=1,AF623=1,AG623=1),100,ROUND(100*EXP(AI623)/(1+EXP(AI623)),2)),ROUND(100*EXP(AI623)/(1+EXP(AI623)),2)),IF(ISTEXT(O623),IF(LEFT(O623,1)="2",100,"N/A"),"N/A"))</f>
        <v>0</v>
      </c>
      <c r="AK623">
        <f>IF(ISNUMBER(AJ623),IF(AJ623&gt;=99,IF(OR(R623=10,R623=11),MatchLabel,SureThingLabel),IF(AJ623&gt;=95,SecureLabel,IF(AJ623&gt;=80,SafetyLabel,IF(AJ623&gt;=50,MatchLabel,IF(AJ623&gt;=20,ReachLabel,IF(AJ623&gt;=10,LongshotLabel,HailMaryLabel)))))),"Other")</f>
        <v>0</v>
      </c>
      <c r="AL623">
        <f>IF(OR(I623="accepted",I623="cond. accept",I623="summer admit"),IF(J623="yes","CHOICE!","Accepted!"),IF(I623="denied","Denied",IF(K623=1,"Waitlist",IF(L623=1,"Deferred",IF(G623="pending","Pending",IF(OR(G623="initial materials submitted",G623="mid-year submitted",G623="final submitted"),"Submitted",IF(H623="interest","Interest","?")))))))</f>
        <v>0</v>
      </c>
      <c r="AM623">
        <f>IF(OR(AK623=ReachLabel,AK623=LongshotLabel,AK623=HailMaryLabel),1,0)</f>
        <v>0</v>
      </c>
      <c r="AN623">
        <f>IF(OR(AM623=1,AK623=MatchLabel),1,0)</f>
        <v>0</v>
      </c>
      <c r="AO623">
        <f>IF(OR(AK623=MatchLabel,AK623=SafetyLabel,AK623=SecureLabel,AK623=SureThingLabel),1,0)</f>
        <v>0</v>
      </c>
      <c r="AP623">
        <f>IF(OR(T623="H",T623="B"),IF(ISNUMBER(Y623),ROUND(Y623,2),0),IF(ISNUMBER(X623),ROUND(X623,2),0))</f>
        <v>0</v>
      </c>
      <c r="AQ623">
        <f>IF(AP623&gt;=U623,1,0)</f>
        <v>0</v>
      </c>
      <c r="AR623">
        <f>IF(AP623&gt;=V623,1,0)</f>
        <v>0</v>
      </c>
      <c r="AS623">
        <f>IF(AP623&lt;(U623-0.10),1,0)</f>
        <v>0</v>
      </c>
      <c r="AT623">
        <f>1-AJ623/100</f>
        <v>0</v>
      </c>
      <c r="AU623">
        <f>IF(AN623=1,AT623,1)</f>
        <v>0</v>
      </c>
      <c r="AV623">
        <f>IF(AM623=1,AT623,1)</f>
        <v>0</v>
      </c>
      <c r="AW623">
        <f>IF(AND(AQ623=1,ISNUMBER(AT623)),$AT623,1)</f>
        <v>0</v>
      </c>
      <c r="AX623">
        <f>IF(AND(AR623=1,ISNUMBER(AT623)),$AT623,1)</f>
        <v>0</v>
      </c>
      <c r="AY623">
        <f>IF(ISNUMBER(Y623),INDEX(AllCollegeMoney, MATCH(N623,AllCollegeNCES,0)),0)</f>
        <v>0</v>
      </c>
      <c r="AZ623">
        <f>IF(AND(AQ623=1,ISNUMBER(AT623),AY623=1),$AT623,1)</f>
        <v>0</v>
      </c>
      <c r="BA623">
        <f>IF(AND(AR623=1,ISNUMBER(AT623),AY623=1),$AT623,1)</f>
        <v>0</v>
      </c>
      <c r="BB623">
        <f>IF(ISNUMBER(Y623),INDEX(AllCollegeILPub, MATCH(N623,AllCollegeNCES,0)),0)</f>
        <v>0</v>
      </c>
      <c r="BC623">
        <f>IF(AK623=ReachLabel,AP623,0)</f>
        <v>0</v>
      </c>
      <c r="BD623">
        <f>IF(AK623=MatchLabel,AP623,0)</f>
        <v>0</v>
      </c>
      <c r="BE623">
        <f>IF(AK623=SafetyLabel,AP623,0)</f>
        <v>0</v>
      </c>
      <c r="BF623">
        <f>IF(AK623=SecureLabel,AP623,0)</f>
        <v>0</v>
      </c>
      <c r="BG623">
        <f>IF(AK623=SureThingLabel,AP623,0)</f>
        <v>0</v>
      </c>
      <c r="BH623">
        <f>MAX(BC623:BG623)</f>
        <v>0</v>
      </c>
      <c r="BI623">
        <f>MAX(BD623:BG623)</f>
        <v>0</v>
      </c>
      <c r="BJ623">
        <f>MAX(BE623:BG623)</f>
        <v>0</v>
      </c>
      <c r="BK623">
        <f>IF(AND(AK623=ReachLabel,AY623=1),AP623,0)</f>
        <v>0</v>
      </c>
      <c r="BL623">
        <f>IF(AND(AK623=MatchLabel,AY623=1),AP623,0)</f>
        <v>0</v>
      </c>
      <c r="BM623">
        <f>IF(AND(AK623=SafetyLabel,AY623=1),AP623,0)</f>
        <v>0</v>
      </c>
      <c r="BN623">
        <f>IF(AND(AK623=SecureLabel,AY623=1),AP623,0)</f>
        <v>0</v>
      </c>
      <c r="BO623">
        <f>IF(AND(AK623=SureThingLabel,AY623=1),AP623,0)</f>
        <v>0</v>
      </c>
      <c r="BP623">
        <f>MAX(BK623:BO623)</f>
        <v>0</v>
      </c>
      <c r="BQ623">
        <f>MAX(BL623:BO623)</f>
        <v>0</v>
      </c>
      <c r="BR623">
        <f>MAX(BM623:BO623)</f>
        <v>0</v>
      </c>
      <c r="BS623">
        <f>IF(ISNUMBER(Y623),INDEX(AllCollegeChicago, MATCH(N623,AllCollegeNCES,0))*AY623,0)</f>
        <v>0</v>
      </c>
      <c r="BT623">
        <f>IF(ISNUMBER(Y623),INDEX(AllCollegeMoneyCode, MATCH(N623,AllCollegeNCES,0)),"?")</f>
        <v>0</v>
      </c>
      <c r="BU623">
        <f>IF(OR(BT623="---",BT623="--",BT623="+/--",BT623="+/---"),1,0)</f>
        <v>0</v>
      </c>
      <c r="BV623">
        <f>AY623*AO623*AQ623</f>
        <v>0</v>
      </c>
    </row>
    <row r="624" spans="1:74">
      <c r="A624" t="s">
        <v>86</v>
      </c>
      <c r="B624">
        <v>24126470</v>
      </c>
      <c r="C624" t="s">
        <v>101</v>
      </c>
      <c r="D624" t="s">
        <v>102</v>
      </c>
      <c r="E624" t="s">
        <v>428</v>
      </c>
      <c r="F624" t="s">
        <v>471</v>
      </c>
      <c r="G624" t="s">
        <v>430</v>
      </c>
      <c r="H624" t="s">
        <v>431</v>
      </c>
      <c r="I624" t="s">
        <v>432</v>
      </c>
      <c r="J624" t="s">
        <v>432</v>
      </c>
      <c r="K624">
        <v>0</v>
      </c>
      <c r="L624" t="s">
        <v>428</v>
      </c>
      <c r="M624" t="s">
        <v>428</v>
      </c>
      <c r="N624">
        <v>170301</v>
      </c>
      <c r="O624">
        <f>INDEX(AllCollegeBarrons,MATCH(N624,AllCollegeNCES,0))</f>
        <v>0</v>
      </c>
      <c r="P624">
        <f>INDEX(KidGPAs,MATCH(B624,KidIDs,0))</f>
        <v>0</v>
      </c>
      <c r="Q624">
        <f>INDEX(KidACTs,MATCH(B624,KidIDs,0))</f>
        <v>0</v>
      </c>
      <c r="R624">
        <f>INDEX(Strats,MATCH(B624,KidIDs,0))</f>
        <v>0</v>
      </c>
      <c r="S624">
        <f>INDEX(KidRace,MATCH(B624,KidIDs,0))</f>
        <v>0</v>
      </c>
      <c r="T624">
        <f>IF(OR(S624="M",S624="I"),"H",S624)</f>
        <v>0</v>
      </c>
      <c r="U624">
        <f>INDEX(StudentTargets,MATCH(B624,KidIDs,0))</f>
        <v>0</v>
      </c>
      <c r="V624">
        <f>INDEX(ReachStudentTargets,MATCH(B624,KidIDs,0))</f>
        <v>0</v>
      </c>
      <c r="W624">
        <f>IF(OR(M624="Posse"),1,0)</f>
        <v>0</v>
      </c>
      <c r="X624">
        <f>IF(ISNUMBER(INDEX(AllCollegeGR, MATCH(N624,AllCollegeNCES,0))),ROUND(INDEX(AllCollegeGR, MATCH(N624,AllCollegeNCES,0))+W624*IF(INDEX(AllCollegeGR, MATCH(N624,AllCollegeNCES,0))&gt;0.7,(1-INDEX(AllCollegeGR, MATCH(N624,AllCollegeNCES,0)))/2,0.15),2),INDEX(AllCollegeGR, MATCH(N624,AllCollegeNCES,0)))</f>
        <v>0</v>
      </c>
      <c r="Y624">
        <f>IF(ISNUMBER(INDEX(AllCollegeAAHGR, MATCH(N624,AllCollegeNCES,0))),ROUND(INDEX(AllCollegeAAHGR, MATCH(N624,AllCollegeNCES,0))+W624*IF(INDEX(AllCollegeAAHGR, MATCH(N624,AllCollegeNCES,0))&gt;0.7,(1-INDEX(AllCollegeAAHGR, MATCH(N624,AllCollegeNCES,0)))/2,0.15),2),INDEX(AllCollegeAAHGR, MATCH(N624,AllCollegeNCES,0)))</f>
        <v>0</v>
      </c>
      <c r="Z624">
        <f>IF(OR(T624="H",T624="B"),INDEX(AllCollegeACT25, MATCH(N624,AllCollegeNCES,0)),INDEX(AllCollegeACT50, MATCH(N624,AllCollegeNCES,0)))</f>
        <v>0</v>
      </c>
      <c r="AA624">
        <f>INDEX(CustomWeightsGPA,MATCH(T624&amp;":"&amp;N624,CustomWeightsIndex,0))</f>
        <v>0</v>
      </c>
      <c r="AB624">
        <f>INDEX(CustomWeightsACT,MATCH(T624&amp;":"&amp;N624,CustomWeightsIndex,0))</f>
        <v>0</v>
      </c>
      <c r="AC624">
        <f>INDEX(CustomWeightsIntercept,MATCH(T624&amp;":"&amp;N624,CustomWeightsIndex,0))</f>
        <v>0</v>
      </c>
      <c r="AD624">
        <f>AA624*P624+AB624*Q624+AC624</f>
        <v>0</v>
      </c>
      <c r="AE624">
        <f>INDEX(CoefficientsGPA,MATCH(T624&amp;":"&amp;O624,CoefficientsIndex,0))</f>
        <v>0</v>
      </c>
      <c r="AF624">
        <f>INDEX(CoefficientsACT,MATCH(T624&amp;":"&amp;O624,CoefficientsIndex,0))</f>
        <v>0</v>
      </c>
      <c r="AG624">
        <f>INDEX(CoefficientsIntercept,MATCH(T624&amp;":"&amp;O624,CoefficientsIndex,0))</f>
        <v>0</v>
      </c>
      <c r="AH624">
        <f>AE624*P624+(Q624-Z624)*AF624+AG624</f>
        <v>0</v>
      </c>
      <c r="AI624">
        <f>IF(ISNUMBER(AD624),AD624,AH624)</f>
        <v>0</v>
      </c>
      <c r="AJ624">
        <f>IF(ISNUMBER(AI624),IF(ISNUMBER(AE624),IF(AND(AE624=1,AF624=1,AG624=1),100,ROUND(100*EXP(AI624)/(1+EXP(AI624)),2)),ROUND(100*EXP(AI624)/(1+EXP(AI624)),2)),IF(ISTEXT(O624),IF(LEFT(O624,1)="2",100,"N/A"),"N/A"))</f>
        <v>0</v>
      </c>
      <c r="AK624">
        <f>IF(ISNUMBER(AJ624),IF(AJ624&gt;=99,IF(OR(R624=10,R624=11),MatchLabel,SureThingLabel),IF(AJ624&gt;=95,SecureLabel,IF(AJ624&gt;=80,SafetyLabel,IF(AJ624&gt;=50,MatchLabel,IF(AJ624&gt;=20,ReachLabel,IF(AJ624&gt;=10,LongshotLabel,HailMaryLabel)))))),"Other")</f>
        <v>0</v>
      </c>
      <c r="AL624">
        <f>IF(OR(I624="accepted",I624="cond. accept",I624="summer admit"),IF(J624="yes","CHOICE!","Accepted!"),IF(I624="denied","Denied",IF(K624=1,"Waitlist",IF(L624=1,"Deferred",IF(G624="pending","Pending",IF(OR(G624="initial materials submitted",G624="mid-year submitted",G624="final submitted"),"Submitted",IF(H624="interest","Interest","?")))))))</f>
        <v>0</v>
      </c>
      <c r="AM624">
        <f>IF(OR(AK624=ReachLabel,AK624=LongshotLabel,AK624=HailMaryLabel),1,0)</f>
        <v>0</v>
      </c>
      <c r="AN624">
        <f>IF(OR(AM624=1,AK624=MatchLabel),1,0)</f>
        <v>0</v>
      </c>
      <c r="AO624">
        <f>IF(OR(AK624=MatchLabel,AK624=SafetyLabel,AK624=SecureLabel,AK624=SureThingLabel),1,0)</f>
        <v>0</v>
      </c>
      <c r="AP624">
        <f>IF(OR(T624="H",T624="B"),IF(ISNUMBER(Y624),ROUND(Y624,2),0),IF(ISNUMBER(X624),ROUND(X624,2),0))</f>
        <v>0</v>
      </c>
      <c r="AQ624">
        <f>IF(AP624&gt;=U624,1,0)</f>
        <v>0</v>
      </c>
      <c r="AR624">
        <f>IF(AP624&gt;=V624,1,0)</f>
        <v>0</v>
      </c>
      <c r="AS624">
        <f>IF(AP624&lt;(U624-0.10),1,0)</f>
        <v>0</v>
      </c>
      <c r="AT624">
        <f>1-AJ624/100</f>
        <v>0</v>
      </c>
      <c r="AU624">
        <f>IF(AN624=1,AT624,1)</f>
        <v>0</v>
      </c>
      <c r="AV624">
        <f>IF(AM624=1,AT624,1)</f>
        <v>0</v>
      </c>
      <c r="AW624">
        <f>IF(AND(AQ624=1,ISNUMBER(AT624)),$AT624,1)</f>
        <v>0</v>
      </c>
      <c r="AX624">
        <f>IF(AND(AR624=1,ISNUMBER(AT624)),$AT624,1)</f>
        <v>0</v>
      </c>
      <c r="AY624">
        <f>IF(ISNUMBER(Y624),INDEX(AllCollegeMoney, MATCH(N624,AllCollegeNCES,0)),0)</f>
        <v>0</v>
      </c>
      <c r="AZ624">
        <f>IF(AND(AQ624=1,ISNUMBER(AT624),AY624=1),$AT624,1)</f>
        <v>0</v>
      </c>
      <c r="BA624">
        <f>IF(AND(AR624=1,ISNUMBER(AT624),AY624=1),$AT624,1)</f>
        <v>0</v>
      </c>
      <c r="BB624">
        <f>IF(ISNUMBER(Y624),INDEX(AllCollegeILPub, MATCH(N624,AllCollegeNCES,0)),0)</f>
        <v>0</v>
      </c>
      <c r="BC624">
        <f>IF(AK624=ReachLabel,AP624,0)</f>
        <v>0</v>
      </c>
      <c r="BD624">
        <f>IF(AK624=MatchLabel,AP624,0)</f>
        <v>0</v>
      </c>
      <c r="BE624">
        <f>IF(AK624=SafetyLabel,AP624,0)</f>
        <v>0</v>
      </c>
      <c r="BF624">
        <f>IF(AK624=SecureLabel,AP624,0)</f>
        <v>0</v>
      </c>
      <c r="BG624">
        <f>IF(AK624=SureThingLabel,AP624,0)</f>
        <v>0</v>
      </c>
      <c r="BH624">
        <f>MAX(BC624:BG624)</f>
        <v>0</v>
      </c>
      <c r="BI624">
        <f>MAX(BD624:BG624)</f>
        <v>0</v>
      </c>
      <c r="BJ624">
        <f>MAX(BE624:BG624)</f>
        <v>0</v>
      </c>
      <c r="BK624">
        <f>IF(AND(AK624=ReachLabel,AY624=1),AP624,0)</f>
        <v>0</v>
      </c>
      <c r="BL624">
        <f>IF(AND(AK624=MatchLabel,AY624=1),AP624,0)</f>
        <v>0</v>
      </c>
      <c r="BM624">
        <f>IF(AND(AK624=SafetyLabel,AY624=1),AP624,0)</f>
        <v>0</v>
      </c>
      <c r="BN624">
        <f>IF(AND(AK624=SecureLabel,AY624=1),AP624,0)</f>
        <v>0</v>
      </c>
      <c r="BO624">
        <f>IF(AND(AK624=SureThingLabel,AY624=1),AP624,0)</f>
        <v>0</v>
      </c>
      <c r="BP624">
        <f>MAX(BK624:BO624)</f>
        <v>0</v>
      </c>
      <c r="BQ624">
        <f>MAX(BL624:BO624)</f>
        <v>0</v>
      </c>
      <c r="BR624">
        <f>MAX(BM624:BO624)</f>
        <v>0</v>
      </c>
      <c r="BS624">
        <f>IF(ISNUMBER(Y624),INDEX(AllCollegeChicago, MATCH(N624,AllCollegeNCES,0))*AY624,0)</f>
        <v>0</v>
      </c>
      <c r="BT624">
        <f>IF(ISNUMBER(Y624),INDEX(AllCollegeMoneyCode, MATCH(N624,AllCollegeNCES,0)),"?")</f>
        <v>0</v>
      </c>
      <c r="BU624">
        <f>IF(OR(BT624="---",BT624="--",BT624="+/--",BT624="+/---"),1,0)</f>
        <v>0</v>
      </c>
      <c r="BV624">
        <f>AY624*AO624*AQ624</f>
        <v>0</v>
      </c>
    </row>
    <row r="625" spans="1:74">
      <c r="A625" t="s">
        <v>86</v>
      </c>
      <c r="B625">
        <v>24126470</v>
      </c>
      <c r="C625" t="s">
        <v>101</v>
      </c>
      <c r="D625" t="s">
        <v>102</v>
      </c>
      <c r="E625" t="s">
        <v>428</v>
      </c>
      <c r="F625" t="s">
        <v>461</v>
      </c>
      <c r="G625" t="s">
        <v>430</v>
      </c>
      <c r="H625" t="s">
        <v>431</v>
      </c>
      <c r="I625" t="s">
        <v>432</v>
      </c>
      <c r="J625" t="s">
        <v>432</v>
      </c>
      <c r="K625">
        <v>0</v>
      </c>
      <c r="L625" t="s">
        <v>428</v>
      </c>
      <c r="M625" t="s">
        <v>428</v>
      </c>
      <c r="N625">
        <v>153834</v>
      </c>
      <c r="O625">
        <f>INDEX(AllCollegeBarrons,MATCH(N625,AllCollegeNCES,0))</f>
        <v>0</v>
      </c>
      <c r="P625">
        <f>INDEX(KidGPAs,MATCH(B625,KidIDs,0))</f>
        <v>0</v>
      </c>
      <c r="Q625">
        <f>INDEX(KidACTs,MATCH(B625,KidIDs,0))</f>
        <v>0</v>
      </c>
      <c r="R625">
        <f>INDEX(Strats,MATCH(B625,KidIDs,0))</f>
        <v>0</v>
      </c>
      <c r="S625">
        <f>INDEX(KidRace,MATCH(B625,KidIDs,0))</f>
        <v>0</v>
      </c>
      <c r="T625">
        <f>IF(OR(S625="M",S625="I"),"H",S625)</f>
        <v>0</v>
      </c>
      <c r="U625">
        <f>INDEX(StudentTargets,MATCH(B625,KidIDs,0))</f>
        <v>0</v>
      </c>
      <c r="V625">
        <f>INDEX(ReachStudentTargets,MATCH(B625,KidIDs,0))</f>
        <v>0</v>
      </c>
      <c r="W625">
        <f>IF(OR(M625="Posse"),1,0)</f>
        <v>0</v>
      </c>
      <c r="X625">
        <f>IF(ISNUMBER(INDEX(AllCollegeGR, MATCH(N625,AllCollegeNCES,0))),ROUND(INDEX(AllCollegeGR, MATCH(N625,AllCollegeNCES,0))+W625*IF(INDEX(AllCollegeGR, MATCH(N625,AllCollegeNCES,0))&gt;0.7,(1-INDEX(AllCollegeGR, MATCH(N625,AllCollegeNCES,0)))/2,0.15),2),INDEX(AllCollegeGR, MATCH(N625,AllCollegeNCES,0)))</f>
        <v>0</v>
      </c>
      <c r="Y625">
        <f>IF(ISNUMBER(INDEX(AllCollegeAAHGR, MATCH(N625,AllCollegeNCES,0))),ROUND(INDEX(AllCollegeAAHGR, MATCH(N625,AllCollegeNCES,0))+W625*IF(INDEX(AllCollegeAAHGR, MATCH(N625,AllCollegeNCES,0))&gt;0.7,(1-INDEX(AllCollegeAAHGR, MATCH(N625,AllCollegeNCES,0)))/2,0.15),2),INDEX(AllCollegeAAHGR, MATCH(N625,AllCollegeNCES,0)))</f>
        <v>0</v>
      </c>
      <c r="Z625">
        <f>IF(OR(T625="H",T625="B"),INDEX(AllCollegeACT25, MATCH(N625,AllCollegeNCES,0)),INDEX(AllCollegeACT50, MATCH(N625,AllCollegeNCES,0)))</f>
        <v>0</v>
      </c>
      <c r="AA625">
        <f>INDEX(CustomWeightsGPA,MATCH(T625&amp;":"&amp;N625,CustomWeightsIndex,0))</f>
        <v>0</v>
      </c>
      <c r="AB625">
        <f>INDEX(CustomWeightsACT,MATCH(T625&amp;":"&amp;N625,CustomWeightsIndex,0))</f>
        <v>0</v>
      </c>
      <c r="AC625">
        <f>INDEX(CustomWeightsIntercept,MATCH(T625&amp;":"&amp;N625,CustomWeightsIndex,0))</f>
        <v>0</v>
      </c>
      <c r="AD625">
        <f>AA625*P625+AB625*Q625+AC625</f>
        <v>0</v>
      </c>
      <c r="AE625">
        <f>INDEX(CoefficientsGPA,MATCH(T625&amp;":"&amp;O625,CoefficientsIndex,0))</f>
        <v>0</v>
      </c>
      <c r="AF625">
        <f>INDEX(CoefficientsACT,MATCH(T625&amp;":"&amp;O625,CoefficientsIndex,0))</f>
        <v>0</v>
      </c>
      <c r="AG625">
        <f>INDEX(CoefficientsIntercept,MATCH(T625&amp;":"&amp;O625,CoefficientsIndex,0))</f>
        <v>0</v>
      </c>
      <c r="AH625">
        <f>AE625*P625+(Q625-Z625)*AF625+AG625</f>
        <v>0</v>
      </c>
      <c r="AI625">
        <f>IF(ISNUMBER(AD625),AD625,AH625)</f>
        <v>0</v>
      </c>
      <c r="AJ625">
        <f>IF(ISNUMBER(AI625),IF(ISNUMBER(AE625),IF(AND(AE625=1,AF625=1,AG625=1),100,ROUND(100*EXP(AI625)/(1+EXP(AI625)),2)),ROUND(100*EXP(AI625)/(1+EXP(AI625)),2)),IF(ISTEXT(O625),IF(LEFT(O625,1)="2",100,"N/A"),"N/A"))</f>
        <v>0</v>
      </c>
      <c r="AK625">
        <f>IF(ISNUMBER(AJ625),IF(AJ625&gt;=99,IF(OR(R625=10,R625=11),MatchLabel,SureThingLabel),IF(AJ625&gt;=95,SecureLabel,IF(AJ625&gt;=80,SafetyLabel,IF(AJ625&gt;=50,MatchLabel,IF(AJ625&gt;=20,ReachLabel,IF(AJ625&gt;=10,LongshotLabel,HailMaryLabel)))))),"Other")</f>
        <v>0</v>
      </c>
      <c r="AL625">
        <f>IF(OR(I625="accepted",I625="cond. accept",I625="summer admit"),IF(J625="yes","CHOICE!","Accepted!"),IF(I625="denied","Denied",IF(K625=1,"Waitlist",IF(L625=1,"Deferred",IF(G625="pending","Pending",IF(OR(G625="initial materials submitted",G625="mid-year submitted",G625="final submitted"),"Submitted",IF(H625="interest","Interest","?")))))))</f>
        <v>0</v>
      </c>
      <c r="AM625">
        <f>IF(OR(AK625=ReachLabel,AK625=LongshotLabel,AK625=HailMaryLabel),1,0)</f>
        <v>0</v>
      </c>
      <c r="AN625">
        <f>IF(OR(AM625=1,AK625=MatchLabel),1,0)</f>
        <v>0</v>
      </c>
      <c r="AO625">
        <f>IF(OR(AK625=MatchLabel,AK625=SafetyLabel,AK625=SecureLabel,AK625=SureThingLabel),1,0)</f>
        <v>0</v>
      </c>
      <c r="AP625">
        <f>IF(OR(T625="H",T625="B"),IF(ISNUMBER(Y625),ROUND(Y625,2),0),IF(ISNUMBER(X625),ROUND(X625,2),0))</f>
        <v>0</v>
      </c>
      <c r="AQ625">
        <f>IF(AP625&gt;=U625,1,0)</f>
        <v>0</v>
      </c>
      <c r="AR625">
        <f>IF(AP625&gt;=V625,1,0)</f>
        <v>0</v>
      </c>
      <c r="AS625">
        <f>IF(AP625&lt;(U625-0.10),1,0)</f>
        <v>0</v>
      </c>
      <c r="AT625">
        <f>1-AJ625/100</f>
        <v>0</v>
      </c>
      <c r="AU625">
        <f>IF(AN625=1,AT625,1)</f>
        <v>0</v>
      </c>
      <c r="AV625">
        <f>IF(AM625=1,AT625,1)</f>
        <v>0</v>
      </c>
      <c r="AW625">
        <f>IF(AND(AQ625=1,ISNUMBER(AT625)),$AT625,1)</f>
        <v>0</v>
      </c>
      <c r="AX625">
        <f>IF(AND(AR625=1,ISNUMBER(AT625)),$AT625,1)</f>
        <v>0</v>
      </c>
      <c r="AY625">
        <f>IF(ISNUMBER(Y625),INDEX(AllCollegeMoney, MATCH(N625,AllCollegeNCES,0)),0)</f>
        <v>0</v>
      </c>
      <c r="AZ625">
        <f>IF(AND(AQ625=1,ISNUMBER(AT625),AY625=1),$AT625,1)</f>
        <v>0</v>
      </c>
      <c r="BA625">
        <f>IF(AND(AR625=1,ISNUMBER(AT625),AY625=1),$AT625,1)</f>
        <v>0</v>
      </c>
      <c r="BB625">
        <f>IF(ISNUMBER(Y625),INDEX(AllCollegeILPub, MATCH(N625,AllCollegeNCES,0)),0)</f>
        <v>0</v>
      </c>
      <c r="BC625">
        <f>IF(AK625=ReachLabel,AP625,0)</f>
        <v>0</v>
      </c>
      <c r="BD625">
        <f>IF(AK625=MatchLabel,AP625,0)</f>
        <v>0</v>
      </c>
      <c r="BE625">
        <f>IF(AK625=SafetyLabel,AP625,0)</f>
        <v>0</v>
      </c>
      <c r="BF625">
        <f>IF(AK625=SecureLabel,AP625,0)</f>
        <v>0</v>
      </c>
      <c r="BG625">
        <f>IF(AK625=SureThingLabel,AP625,0)</f>
        <v>0</v>
      </c>
      <c r="BH625">
        <f>MAX(BC625:BG625)</f>
        <v>0</v>
      </c>
      <c r="BI625">
        <f>MAX(BD625:BG625)</f>
        <v>0</v>
      </c>
      <c r="BJ625">
        <f>MAX(BE625:BG625)</f>
        <v>0</v>
      </c>
      <c r="BK625">
        <f>IF(AND(AK625=ReachLabel,AY625=1),AP625,0)</f>
        <v>0</v>
      </c>
      <c r="BL625">
        <f>IF(AND(AK625=MatchLabel,AY625=1),AP625,0)</f>
        <v>0</v>
      </c>
      <c r="BM625">
        <f>IF(AND(AK625=SafetyLabel,AY625=1),AP625,0)</f>
        <v>0</v>
      </c>
      <c r="BN625">
        <f>IF(AND(AK625=SecureLabel,AY625=1),AP625,0)</f>
        <v>0</v>
      </c>
      <c r="BO625">
        <f>IF(AND(AK625=SureThingLabel,AY625=1),AP625,0)</f>
        <v>0</v>
      </c>
      <c r="BP625">
        <f>MAX(BK625:BO625)</f>
        <v>0</v>
      </c>
      <c r="BQ625">
        <f>MAX(BL625:BO625)</f>
        <v>0</v>
      </c>
      <c r="BR625">
        <f>MAX(BM625:BO625)</f>
        <v>0</v>
      </c>
      <c r="BS625">
        <f>IF(ISNUMBER(Y625),INDEX(AllCollegeChicago, MATCH(N625,AllCollegeNCES,0))*AY625,0)</f>
        <v>0</v>
      </c>
      <c r="BT625">
        <f>IF(ISNUMBER(Y625),INDEX(AllCollegeMoneyCode, MATCH(N625,AllCollegeNCES,0)),"?")</f>
        <v>0</v>
      </c>
      <c r="BU625">
        <f>IF(OR(BT625="---",BT625="--",BT625="+/--",BT625="+/---"),1,0)</f>
        <v>0</v>
      </c>
      <c r="BV625">
        <f>AY625*AO625*AQ625</f>
        <v>0</v>
      </c>
    </row>
    <row r="626" spans="1:74">
      <c r="A626" t="s">
        <v>86</v>
      </c>
      <c r="B626">
        <v>24126470</v>
      </c>
      <c r="C626" t="s">
        <v>101</v>
      </c>
      <c r="D626" t="s">
        <v>102</v>
      </c>
      <c r="E626" t="s">
        <v>428</v>
      </c>
      <c r="F626" t="s">
        <v>462</v>
      </c>
      <c r="G626" t="s">
        <v>430</v>
      </c>
      <c r="H626" t="s">
        <v>431</v>
      </c>
      <c r="I626" t="s">
        <v>432</v>
      </c>
      <c r="J626" t="s">
        <v>432</v>
      </c>
      <c r="K626">
        <v>0</v>
      </c>
      <c r="L626" t="s">
        <v>428</v>
      </c>
      <c r="M626" t="s">
        <v>428</v>
      </c>
      <c r="N626">
        <v>168546</v>
      </c>
      <c r="O626">
        <f>INDEX(AllCollegeBarrons,MATCH(N626,AllCollegeNCES,0))</f>
        <v>0</v>
      </c>
      <c r="P626">
        <f>INDEX(KidGPAs,MATCH(B626,KidIDs,0))</f>
        <v>0</v>
      </c>
      <c r="Q626">
        <f>INDEX(KidACTs,MATCH(B626,KidIDs,0))</f>
        <v>0</v>
      </c>
      <c r="R626">
        <f>INDEX(Strats,MATCH(B626,KidIDs,0))</f>
        <v>0</v>
      </c>
      <c r="S626">
        <f>INDEX(KidRace,MATCH(B626,KidIDs,0))</f>
        <v>0</v>
      </c>
      <c r="T626">
        <f>IF(OR(S626="M",S626="I"),"H",S626)</f>
        <v>0</v>
      </c>
      <c r="U626">
        <f>INDEX(StudentTargets,MATCH(B626,KidIDs,0))</f>
        <v>0</v>
      </c>
      <c r="V626">
        <f>INDEX(ReachStudentTargets,MATCH(B626,KidIDs,0))</f>
        <v>0</v>
      </c>
      <c r="W626">
        <f>IF(OR(M626="Posse"),1,0)</f>
        <v>0</v>
      </c>
      <c r="X626">
        <f>IF(ISNUMBER(INDEX(AllCollegeGR, MATCH(N626,AllCollegeNCES,0))),ROUND(INDEX(AllCollegeGR, MATCH(N626,AllCollegeNCES,0))+W626*IF(INDEX(AllCollegeGR, MATCH(N626,AllCollegeNCES,0))&gt;0.7,(1-INDEX(AllCollegeGR, MATCH(N626,AllCollegeNCES,0)))/2,0.15),2),INDEX(AllCollegeGR, MATCH(N626,AllCollegeNCES,0)))</f>
        <v>0</v>
      </c>
      <c r="Y626">
        <f>IF(ISNUMBER(INDEX(AllCollegeAAHGR, MATCH(N626,AllCollegeNCES,0))),ROUND(INDEX(AllCollegeAAHGR, MATCH(N626,AllCollegeNCES,0))+W626*IF(INDEX(AllCollegeAAHGR, MATCH(N626,AllCollegeNCES,0))&gt;0.7,(1-INDEX(AllCollegeAAHGR, MATCH(N626,AllCollegeNCES,0)))/2,0.15),2),INDEX(AllCollegeAAHGR, MATCH(N626,AllCollegeNCES,0)))</f>
        <v>0</v>
      </c>
      <c r="Z626">
        <f>IF(OR(T626="H",T626="B"),INDEX(AllCollegeACT25, MATCH(N626,AllCollegeNCES,0)),INDEX(AllCollegeACT50, MATCH(N626,AllCollegeNCES,0)))</f>
        <v>0</v>
      </c>
      <c r="AA626">
        <f>INDEX(CustomWeightsGPA,MATCH(T626&amp;":"&amp;N626,CustomWeightsIndex,0))</f>
        <v>0</v>
      </c>
      <c r="AB626">
        <f>INDEX(CustomWeightsACT,MATCH(T626&amp;":"&amp;N626,CustomWeightsIndex,0))</f>
        <v>0</v>
      </c>
      <c r="AC626">
        <f>INDEX(CustomWeightsIntercept,MATCH(T626&amp;":"&amp;N626,CustomWeightsIndex,0))</f>
        <v>0</v>
      </c>
      <c r="AD626">
        <f>AA626*P626+AB626*Q626+AC626</f>
        <v>0</v>
      </c>
      <c r="AE626">
        <f>INDEX(CoefficientsGPA,MATCH(T626&amp;":"&amp;O626,CoefficientsIndex,0))</f>
        <v>0</v>
      </c>
      <c r="AF626">
        <f>INDEX(CoefficientsACT,MATCH(T626&amp;":"&amp;O626,CoefficientsIndex,0))</f>
        <v>0</v>
      </c>
      <c r="AG626">
        <f>INDEX(CoefficientsIntercept,MATCH(T626&amp;":"&amp;O626,CoefficientsIndex,0))</f>
        <v>0</v>
      </c>
      <c r="AH626">
        <f>AE626*P626+(Q626-Z626)*AF626+AG626</f>
        <v>0</v>
      </c>
      <c r="AI626">
        <f>IF(ISNUMBER(AD626),AD626,AH626)</f>
        <v>0</v>
      </c>
      <c r="AJ626">
        <f>IF(ISNUMBER(AI626),IF(ISNUMBER(AE626),IF(AND(AE626=1,AF626=1,AG626=1),100,ROUND(100*EXP(AI626)/(1+EXP(AI626)),2)),ROUND(100*EXP(AI626)/(1+EXP(AI626)),2)),IF(ISTEXT(O626),IF(LEFT(O626,1)="2",100,"N/A"),"N/A"))</f>
        <v>0</v>
      </c>
      <c r="AK626">
        <f>IF(ISNUMBER(AJ626),IF(AJ626&gt;=99,IF(OR(R626=10,R626=11),MatchLabel,SureThingLabel),IF(AJ626&gt;=95,SecureLabel,IF(AJ626&gt;=80,SafetyLabel,IF(AJ626&gt;=50,MatchLabel,IF(AJ626&gt;=20,ReachLabel,IF(AJ626&gt;=10,LongshotLabel,HailMaryLabel)))))),"Other")</f>
        <v>0</v>
      </c>
      <c r="AL626">
        <f>IF(OR(I626="accepted",I626="cond. accept",I626="summer admit"),IF(J626="yes","CHOICE!","Accepted!"),IF(I626="denied","Denied",IF(K626=1,"Waitlist",IF(L626=1,"Deferred",IF(G626="pending","Pending",IF(OR(G626="initial materials submitted",G626="mid-year submitted",G626="final submitted"),"Submitted",IF(H626="interest","Interest","?")))))))</f>
        <v>0</v>
      </c>
      <c r="AM626">
        <f>IF(OR(AK626=ReachLabel,AK626=LongshotLabel,AK626=HailMaryLabel),1,0)</f>
        <v>0</v>
      </c>
      <c r="AN626">
        <f>IF(OR(AM626=1,AK626=MatchLabel),1,0)</f>
        <v>0</v>
      </c>
      <c r="AO626">
        <f>IF(OR(AK626=MatchLabel,AK626=SafetyLabel,AK626=SecureLabel,AK626=SureThingLabel),1,0)</f>
        <v>0</v>
      </c>
      <c r="AP626">
        <f>IF(OR(T626="H",T626="B"),IF(ISNUMBER(Y626),ROUND(Y626,2),0),IF(ISNUMBER(X626),ROUND(X626,2),0))</f>
        <v>0</v>
      </c>
      <c r="AQ626">
        <f>IF(AP626&gt;=U626,1,0)</f>
        <v>0</v>
      </c>
      <c r="AR626">
        <f>IF(AP626&gt;=V626,1,0)</f>
        <v>0</v>
      </c>
      <c r="AS626">
        <f>IF(AP626&lt;(U626-0.10),1,0)</f>
        <v>0</v>
      </c>
      <c r="AT626">
        <f>1-AJ626/100</f>
        <v>0</v>
      </c>
      <c r="AU626">
        <f>IF(AN626=1,AT626,1)</f>
        <v>0</v>
      </c>
      <c r="AV626">
        <f>IF(AM626=1,AT626,1)</f>
        <v>0</v>
      </c>
      <c r="AW626">
        <f>IF(AND(AQ626=1,ISNUMBER(AT626)),$AT626,1)</f>
        <v>0</v>
      </c>
      <c r="AX626">
        <f>IF(AND(AR626=1,ISNUMBER(AT626)),$AT626,1)</f>
        <v>0</v>
      </c>
      <c r="AY626">
        <f>IF(ISNUMBER(Y626),INDEX(AllCollegeMoney, MATCH(N626,AllCollegeNCES,0)),0)</f>
        <v>0</v>
      </c>
      <c r="AZ626">
        <f>IF(AND(AQ626=1,ISNUMBER(AT626),AY626=1),$AT626,1)</f>
        <v>0</v>
      </c>
      <c r="BA626">
        <f>IF(AND(AR626=1,ISNUMBER(AT626),AY626=1),$AT626,1)</f>
        <v>0</v>
      </c>
      <c r="BB626">
        <f>IF(ISNUMBER(Y626),INDEX(AllCollegeILPub, MATCH(N626,AllCollegeNCES,0)),0)</f>
        <v>0</v>
      </c>
      <c r="BC626">
        <f>IF(AK626=ReachLabel,AP626,0)</f>
        <v>0</v>
      </c>
      <c r="BD626">
        <f>IF(AK626=MatchLabel,AP626,0)</f>
        <v>0</v>
      </c>
      <c r="BE626">
        <f>IF(AK626=SafetyLabel,AP626,0)</f>
        <v>0</v>
      </c>
      <c r="BF626">
        <f>IF(AK626=SecureLabel,AP626,0)</f>
        <v>0</v>
      </c>
      <c r="BG626">
        <f>IF(AK626=SureThingLabel,AP626,0)</f>
        <v>0</v>
      </c>
      <c r="BH626">
        <f>MAX(BC626:BG626)</f>
        <v>0</v>
      </c>
      <c r="BI626">
        <f>MAX(BD626:BG626)</f>
        <v>0</v>
      </c>
      <c r="BJ626">
        <f>MAX(BE626:BG626)</f>
        <v>0</v>
      </c>
      <c r="BK626">
        <f>IF(AND(AK626=ReachLabel,AY626=1),AP626,0)</f>
        <v>0</v>
      </c>
      <c r="BL626">
        <f>IF(AND(AK626=MatchLabel,AY626=1),AP626,0)</f>
        <v>0</v>
      </c>
      <c r="BM626">
        <f>IF(AND(AK626=SafetyLabel,AY626=1),AP626,0)</f>
        <v>0</v>
      </c>
      <c r="BN626">
        <f>IF(AND(AK626=SecureLabel,AY626=1),AP626,0)</f>
        <v>0</v>
      </c>
      <c r="BO626">
        <f>IF(AND(AK626=SureThingLabel,AY626=1),AP626,0)</f>
        <v>0</v>
      </c>
      <c r="BP626">
        <f>MAX(BK626:BO626)</f>
        <v>0</v>
      </c>
      <c r="BQ626">
        <f>MAX(BL626:BO626)</f>
        <v>0</v>
      </c>
      <c r="BR626">
        <f>MAX(BM626:BO626)</f>
        <v>0</v>
      </c>
      <c r="BS626">
        <f>IF(ISNUMBER(Y626),INDEX(AllCollegeChicago, MATCH(N626,AllCollegeNCES,0))*AY626,0)</f>
        <v>0</v>
      </c>
      <c r="BT626">
        <f>IF(ISNUMBER(Y626),INDEX(AllCollegeMoneyCode, MATCH(N626,AllCollegeNCES,0)),"?")</f>
        <v>0</v>
      </c>
      <c r="BU626">
        <f>IF(OR(BT626="---",BT626="--",BT626="+/--",BT626="+/---"),1,0)</f>
        <v>0</v>
      </c>
      <c r="BV626">
        <f>AY626*AO626*AQ626</f>
        <v>0</v>
      </c>
    </row>
    <row r="627" spans="1:74">
      <c r="A627" t="s">
        <v>86</v>
      </c>
      <c r="B627">
        <v>24126470</v>
      </c>
      <c r="C627" t="s">
        <v>101</v>
      </c>
      <c r="D627" t="s">
        <v>102</v>
      </c>
      <c r="E627" t="s">
        <v>428</v>
      </c>
      <c r="F627" t="s">
        <v>502</v>
      </c>
      <c r="G627" t="s">
        <v>430</v>
      </c>
      <c r="H627" t="s">
        <v>431</v>
      </c>
      <c r="I627" t="s">
        <v>432</v>
      </c>
      <c r="J627" t="s">
        <v>432</v>
      </c>
      <c r="K627">
        <v>0</v>
      </c>
      <c r="L627" t="s">
        <v>428</v>
      </c>
      <c r="M627" t="s">
        <v>428</v>
      </c>
      <c r="N627">
        <v>145813</v>
      </c>
      <c r="O627">
        <f>INDEX(AllCollegeBarrons,MATCH(N627,AllCollegeNCES,0))</f>
        <v>0</v>
      </c>
      <c r="P627">
        <f>INDEX(KidGPAs,MATCH(B627,KidIDs,0))</f>
        <v>0</v>
      </c>
      <c r="Q627">
        <f>INDEX(KidACTs,MATCH(B627,KidIDs,0))</f>
        <v>0</v>
      </c>
      <c r="R627">
        <f>INDEX(Strats,MATCH(B627,KidIDs,0))</f>
        <v>0</v>
      </c>
      <c r="S627">
        <f>INDEX(KidRace,MATCH(B627,KidIDs,0))</f>
        <v>0</v>
      </c>
      <c r="T627">
        <f>IF(OR(S627="M",S627="I"),"H",S627)</f>
        <v>0</v>
      </c>
      <c r="U627">
        <f>INDEX(StudentTargets,MATCH(B627,KidIDs,0))</f>
        <v>0</v>
      </c>
      <c r="V627">
        <f>INDEX(ReachStudentTargets,MATCH(B627,KidIDs,0))</f>
        <v>0</v>
      </c>
      <c r="W627">
        <f>IF(OR(M627="Posse"),1,0)</f>
        <v>0</v>
      </c>
      <c r="X627">
        <f>IF(ISNUMBER(INDEX(AllCollegeGR, MATCH(N627,AllCollegeNCES,0))),ROUND(INDEX(AllCollegeGR, MATCH(N627,AllCollegeNCES,0))+W627*IF(INDEX(AllCollegeGR, MATCH(N627,AllCollegeNCES,0))&gt;0.7,(1-INDEX(AllCollegeGR, MATCH(N627,AllCollegeNCES,0)))/2,0.15),2),INDEX(AllCollegeGR, MATCH(N627,AllCollegeNCES,0)))</f>
        <v>0</v>
      </c>
      <c r="Y627">
        <f>IF(ISNUMBER(INDEX(AllCollegeAAHGR, MATCH(N627,AllCollegeNCES,0))),ROUND(INDEX(AllCollegeAAHGR, MATCH(N627,AllCollegeNCES,0))+W627*IF(INDEX(AllCollegeAAHGR, MATCH(N627,AllCollegeNCES,0))&gt;0.7,(1-INDEX(AllCollegeAAHGR, MATCH(N627,AllCollegeNCES,0)))/2,0.15),2),INDEX(AllCollegeAAHGR, MATCH(N627,AllCollegeNCES,0)))</f>
        <v>0</v>
      </c>
      <c r="Z627">
        <f>IF(OR(T627="H",T627="B"),INDEX(AllCollegeACT25, MATCH(N627,AllCollegeNCES,0)),INDEX(AllCollegeACT50, MATCH(N627,AllCollegeNCES,0)))</f>
        <v>0</v>
      </c>
      <c r="AA627">
        <f>INDEX(CustomWeightsGPA,MATCH(T627&amp;":"&amp;N627,CustomWeightsIndex,0))</f>
        <v>0</v>
      </c>
      <c r="AB627">
        <f>INDEX(CustomWeightsACT,MATCH(T627&amp;":"&amp;N627,CustomWeightsIndex,0))</f>
        <v>0</v>
      </c>
      <c r="AC627">
        <f>INDEX(CustomWeightsIntercept,MATCH(T627&amp;":"&amp;N627,CustomWeightsIndex,0))</f>
        <v>0</v>
      </c>
      <c r="AD627">
        <f>AA627*P627+AB627*Q627+AC627</f>
        <v>0</v>
      </c>
      <c r="AE627">
        <f>INDEX(CoefficientsGPA,MATCH(T627&amp;":"&amp;O627,CoefficientsIndex,0))</f>
        <v>0</v>
      </c>
      <c r="AF627">
        <f>INDEX(CoefficientsACT,MATCH(T627&amp;":"&amp;O627,CoefficientsIndex,0))</f>
        <v>0</v>
      </c>
      <c r="AG627">
        <f>INDEX(CoefficientsIntercept,MATCH(T627&amp;":"&amp;O627,CoefficientsIndex,0))</f>
        <v>0</v>
      </c>
      <c r="AH627">
        <f>AE627*P627+(Q627-Z627)*AF627+AG627</f>
        <v>0</v>
      </c>
      <c r="AI627">
        <f>IF(ISNUMBER(AD627),AD627,AH627)</f>
        <v>0</v>
      </c>
      <c r="AJ627">
        <f>IF(ISNUMBER(AI627),IF(ISNUMBER(AE627),IF(AND(AE627=1,AF627=1,AG627=1),100,ROUND(100*EXP(AI627)/(1+EXP(AI627)),2)),ROUND(100*EXP(AI627)/(1+EXP(AI627)),2)),IF(ISTEXT(O627),IF(LEFT(O627,1)="2",100,"N/A"),"N/A"))</f>
        <v>0</v>
      </c>
      <c r="AK627">
        <f>IF(ISNUMBER(AJ627),IF(AJ627&gt;=99,IF(OR(R627=10,R627=11),MatchLabel,SureThingLabel),IF(AJ627&gt;=95,SecureLabel,IF(AJ627&gt;=80,SafetyLabel,IF(AJ627&gt;=50,MatchLabel,IF(AJ627&gt;=20,ReachLabel,IF(AJ627&gt;=10,LongshotLabel,HailMaryLabel)))))),"Other")</f>
        <v>0</v>
      </c>
      <c r="AL627">
        <f>IF(OR(I627="accepted",I627="cond. accept",I627="summer admit"),IF(J627="yes","CHOICE!","Accepted!"),IF(I627="denied","Denied",IF(K627=1,"Waitlist",IF(L627=1,"Deferred",IF(G627="pending","Pending",IF(OR(G627="initial materials submitted",G627="mid-year submitted",G627="final submitted"),"Submitted",IF(H627="interest","Interest","?")))))))</f>
        <v>0</v>
      </c>
      <c r="AM627">
        <f>IF(OR(AK627=ReachLabel,AK627=LongshotLabel,AK627=HailMaryLabel),1,0)</f>
        <v>0</v>
      </c>
      <c r="AN627">
        <f>IF(OR(AM627=1,AK627=MatchLabel),1,0)</f>
        <v>0</v>
      </c>
      <c r="AO627">
        <f>IF(OR(AK627=MatchLabel,AK627=SafetyLabel,AK627=SecureLabel,AK627=SureThingLabel),1,0)</f>
        <v>0</v>
      </c>
      <c r="AP627">
        <f>IF(OR(T627="H",T627="B"),IF(ISNUMBER(Y627),ROUND(Y627,2),0),IF(ISNUMBER(X627),ROUND(X627,2),0))</f>
        <v>0</v>
      </c>
      <c r="AQ627">
        <f>IF(AP627&gt;=U627,1,0)</f>
        <v>0</v>
      </c>
      <c r="AR627">
        <f>IF(AP627&gt;=V627,1,0)</f>
        <v>0</v>
      </c>
      <c r="AS627">
        <f>IF(AP627&lt;(U627-0.10),1,0)</f>
        <v>0</v>
      </c>
      <c r="AT627">
        <f>1-AJ627/100</f>
        <v>0</v>
      </c>
      <c r="AU627">
        <f>IF(AN627=1,AT627,1)</f>
        <v>0</v>
      </c>
      <c r="AV627">
        <f>IF(AM627=1,AT627,1)</f>
        <v>0</v>
      </c>
      <c r="AW627">
        <f>IF(AND(AQ627=1,ISNUMBER(AT627)),$AT627,1)</f>
        <v>0</v>
      </c>
      <c r="AX627">
        <f>IF(AND(AR627=1,ISNUMBER(AT627)),$AT627,1)</f>
        <v>0</v>
      </c>
      <c r="AY627">
        <f>IF(ISNUMBER(Y627),INDEX(AllCollegeMoney, MATCH(N627,AllCollegeNCES,0)),0)</f>
        <v>0</v>
      </c>
      <c r="AZ627">
        <f>IF(AND(AQ627=1,ISNUMBER(AT627),AY627=1),$AT627,1)</f>
        <v>0</v>
      </c>
      <c r="BA627">
        <f>IF(AND(AR627=1,ISNUMBER(AT627),AY627=1),$AT627,1)</f>
        <v>0</v>
      </c>
      <c r="BB627">
        <f>IF(ISNUMBER(Y627),INDEX(AllCollegeILPub, MATCH(N627,AllCollegeNCES,0)),0)</f>
        <v>0</v>
      </c>
      <c r="BC627">
        <f>IF(AK627=ReachLabel,AP627,0)</f>
        <v>0</v>
      </c>
      <c r="BD627">
        <f>IF(AK627=MatchLabel,AP627,0)</f>
        <v>0</v>
      </c>
      <c r="BE627">
        <f>IF(AK627=SafetyLabel,AP627,0)</f>
        <v>0</v>
      </c>
      <c r="BF627">
        <f>IF(AK627=SecureLabel,AP627,0)</f>
        <v>0</v>
      </c>
      <c r="BG627">
        <f>IF(AK627=SureThingLabel,AP627,0)</f>
        <v>0</v>
      </c>
      <c r="BH627">
        <f>MAX(BC627:BG627)</f>
        <v>0</v>
      </c>
      <c r="BI627">
        <f>MAX(BD627:BG627)</f>
        <v>0</v>
      </c>
      <c r="BJ627">
        <f>MAX(BE627:BG627)</f>
        <v>0</v>
      </c>
      <c r="BK627">
        <f>IF(AND(AK627=ReachLabel,AY627=1),AP627,0)</f>
        <v>0</v>
      </c>
      <c r="BL627">
        <f>IF(AND(AK627=MatchLabel,AY627=1),AP627,0)</f>
        <v>0</v>
      </c>
      <c r="BM627">
        <f>IF(AND(AK627=SafetyLabel,AY627=1),AP627,0)</f>
        <v>0</v>
      </c>
      <c r="BN627">
        <f>IF(AND(AK627=SecureLabel,AY627=1),AP627,0)</f>
        <v>0</v>
      </c>
      <c r="BO627">
        <f>IF(AND(AK627=SureThingLabel,AY627=1),AP627,0)</f>
        <v>0</v>
      </c>
      <c r="BP627">
        <f>MAX(BK627:BO627)</f>
        <v>0</v>
      </c>
      <c r="BQ627">
        <f>MAX(BL627:BO627)</f>
        <v>0</v>
      </c>
      <c r="BR627">
        <f>MAX(BM627:BO627)</f>
        <v>0</v>
      </c>
      <c r="BS627">
        <f>IF(ISNUMBER(Y627),INDEX(AllCollegeChicago, MATCH(N627,AllCollegeNCES,0))*AY627,0)</f>
        <v>0</v>
      </c>
      <c r="BT627">
        <f>IF(ISNUMBER(Y627),INDEX(AllCollegeMoneyCode, MATCH(N627,AllCollegeNCES,0)),"?")</f>
        <v>0</v>
      </c>
      <c r="BU627">
        <f>IF(OR(BT627="---",BT627="--",BT627="+/--",BT627="+/---"),1,0)</f>
        <v>0</v>
      </c>
      <c r="BV627">
        <f>AY627*AO627*AQ627</f>
        <v>0</v>
      </c>
    </row>
    <row r="628" spans="1:74">
      <c r="A628" t="s">
        <v>86</v>
      </c>
      <c r="B628">
        <v>24136022</v>
      </c>
      <c r="C628" t="s">
        <v>209</v>
      </c>
      <c r="D628" t="s">
        <v>210</v>
      </c>
      <c r="E628" t="s">
        <v>428</v>
      </c>
      <c r="F628" t="s">
        <v>576</v>
      </c>
      <c r="G628" t="s">
        <v>463</v>
      </c>
      <c r="H628" t="s">
        <v>431</v>
      </c>
      <c r="I628" t="s">
        <v>432</v>
      </c>
      <c r="J628" t="s">
        <v>432</v>
      </c>
      <c r="K628">
        <v>0</v>
      </c>
      <c r="L628" t="s">
        <v>428</v>
      </c>
      <c r="M628" t="s">
        <v>428</v>
      </c>
      <c r="N628">
        <v>110583</v>
      </c>
      <c r="O628">
        <f>INDEX(AllCollegeBarrons,MATCH(N628,AllCollegeNCES,0))</f>
        <v>0</v>
      </c>
      <c r="P628">
        <f>INDEX(KidGPAs,MATCH(B628,KidIDs,0))</f>
        <v>0</v>
      </c>
      <c r="Q628">
        <f>INDEX(KidACTs,MATCH(B628,KidIDs,0))</f>
        <v>0</v>
      </c>
      <c r="R628">
        <f>INDEX(Strats,MATCH(B628,KidIDs,0))</f>
        <v>0</v>
      </c>
      <c r="S628">
        <f>INDEX(KidRace,MATCH(B628,KidIDs,0))</f>
        <v>0</v>
      </c>
      <c r="T628">
        <f>IF(OR(S628="M",S628="I"),"H",S628)</f>
        <v>0</v>
      </c>
      <c r="U628">
        <f>INDEX(StudentTargets,MATCH(B628,KidIDs,0))</f>
        <v>0</v>
      </c>
      <c r="V628">
        <f>INDEX(ReachStudentTargets,MATCH(B628,KidIDs,0))</f>
        <v>0</v>
      </c>
      <c r="W628">
        <f>IF(OR(M628="Posse"),1,0)</f>
        <v>0</v>
      </c>
      <c r="X628">
        <f>IF(ISNUMBER(INDEX(AllCollegeGR, MATCH(N628,AllCollegeNCES,0))),ROUND(INDEX(AllCollegeGR, MATCH(N628,AllCollegeNCES,0))+W628*IF(INDEX(AllCollegeGR, MATCH(N628,AllCollegeNCES,0))&gt;0.7,(1-INDEX(AllCollegeGR, MATCH(N628,AllCollegeNCES,0)))/2,0.15),2),INDEX(AllCollegeGR, MATCH(N628,AllCollegeNCES,0)))</f>
        <v>0</v>
      </c>
      <c r="Y628">
        <f>IF(ISNUMBER(INDEX(AllCollegeAAHGR, MATCH(N628,AllCollegeNCES,0))),ROUND(INDEX(AllCollegeAAHGR, MATCH(N628,AllCollegeNCES,0))+W628*IF(INDEX(AllCollegeAAHGR, MATCH(N628,AllCollegeNCES,0))&gt;0.7,(1-INDEX(AllCollegeAAHGR, MATCH(N628,AllCollegeNCES,0)))/2,0.15),2),INDEX(AllCollegeAAHGR, MATCH(N628,AllCollegeNCES,0)))</f>
        <v>0</v>
      </c>
      <c r="Z628">
        <f>IF(OR(T628="H",T628="B"),INDEX(AllCollegeACT25, MATCH(N628,AllCollegeNCES,0)),INDEX(AllCollegeACT50, MATCH(N628,AllCollegeNCES,0)))</f>
        <v>0</v>
      </c>
      <c r="AA628">
        <f>INDEX(CustomWeightsGPA,MATCH(T628&amp;":"&amp;N628,CustomWeightsIndex,0))</f>
        <v>0</v>
      </c>
      <c r="AB628">
        <f>INDEX(CustomWeightsACT,MATCH(T628&amp;":"&amp;N628,CustomWeightsIndex,0))</f>
        <v>0</v>
      </c>
      <c r="AC628">
        <f>INDEX(CustomWeightsIntercept,MATCH(T628&amp;":"&amp;N628,CustomWeightsIndex,0))</f>
        <v>0</v>
      </c>
      <c r="AD628">
        <f>AA628*P628+AB628*Q628+AC628</f>
        <v>0</v>
      </c>
      <c r="AE628">
        <f>INDEX(CoefficientsGPA,MATCH(T628&amp;":"&amp;O628,CoefficientsIndex,0))</f>
        <v>0</v>
      </c>
      <c r="AF628">
        <f>INDEX(CoefficientsACT,MATCH(T628&amp;":"&amp;O628,CoefficientsIndex,0))</f>
        <v>0</v>
      </c>
      <c r="AG628">
        <f>INDEX(CoefficientsIntercept,MATCH(T628&amp;":"&amp;O628,CoefficientsIndex,0))</f>
        <v>0</v>
      </c>
      <c r="AH628">
        <f>AE628*P628+(Q628-Z628)*AF628+AG628</f>
        <v>0</v>
      </c>
      <c r="AI628">
        <f>IF(ISNUMBER(AD628),AD628,AH628)</f>
        <v>0</v>
      </c>
      <c r="AJ628">
        <f>IF(ISNUMBER(AI628),IF(ISNUMBER(AE628),IF(AND(AE628=1,AF628=1,AG628=1),100,ROUND(100*EXP(AI628)/(1+EXP(AI628)),2)),ROUND(100*EXP(AI628)/(1+EXP(AI628)),2)),IF(ISTEXT(O628),IF(LEFT(O628,1)="2",100,"N/A"),"N/A"))</f>
        <v>0</v>
      </c>
      <c r="AK628">
        <f>IF(ISNUMBER(AJ628),IF(AJ628&gt;=99,IF(OR(R628=10,R628=11),MatchLabel,SureThingLabel),IF(AJ628&gt;=95,SecureLabel,IF(AJ628&gt;=80,SafetyLabel,IF(AJ628&gt;=50,MatchLabel,IF(AJ628&gt;=20,ReachLabel,IF(AJ628&gt;=10,LongshotLabel,HailMaryLabel)))))),"Other")</f>
        <v>0</v>
      </c>
      <c r="AL628">
        <f>IF(OR(I628="accepted",I628="cond. accept",I628="summer admit"),IF(J628="yes","CHOICE!","Accepted!"),IF(I628="denied","Denied",IF(K628=1,"Waitlist",IF(L628=1,"Deferred",IF(G628="pending","Pending",IF(OR(G628="initial materials submitted",G628="mid-year submitted",G628="final submitted"),"Submitted",IF(H628="interest","Interest","?")))))))</f>
        <v>0</v>
      </c>
      <c r="AM628">
        <f>IF(OR(AK628=ReachLabel,AK628=LongshotLabel,AK628=HailMaryLabel),1,0)</f>
        <v>0</v>
      </c>
      <c r="AN628">
        <f>IF(OR(AM628=1,AK628=MatchLabel),1,0)</f>
        <v>0</v>
      </c>
      <c r="AO628">
        <f>IF(OR(AK628=MatchLabel,AK628=SafetyLabel,AK628=SecureLabel,AK628=SureThingLabel),1,0)</f>
        <v>0</v>
      </c>
      <c r="AP628">
        <f>IF(OR(T628="H",T628="B"),IF(ISNUMBER(Y628),ROUND(Y628,2),0),IF(ISNUMBER(X628),ROUND(X628,2),0))</f>
        <v>0</v>
      </c>
      <c r="AQ628">
        <f>IF(AP628&gt;=U628,1,0)</f>
        <v>0</v>
      </c>
      <c r="AR628">
        <f>IF(AP628&gt;=V628,1,0)</f>
        <v>0</v>
      </c>
      <c r="AS628">
        <f>IF(AP628&lt;(U628-0.10),1,0)</f>
        <v>0</v>
      </c>
      <c r="AT628">
        <f>1-AJ628/100</f>
        <v>0</v>
      </c>
      <c r="AU628">
        <f>IF(AN628=1,AT628,1)</f>
        <v>0</v>
      </c>
      <c r="AV628">
        <f>IF(AM628=1,AT628,1)</f>
        <v>0</v>
      </c>
      <c r="AW628">
        <f>IF(AND(AQ628=1,ISNUMBER(AT628)),$AT628,1)</f>
        <v>0</v>
      </c>
      <c r="AX628">
        <f>IF(AND(AR628=1,ISNUMBER(AT628)),$AT628,1)</f>
        <v>0</v>
      </c>
      <c r="AY628">
        <f>IF(ISNUMBER(Y628),INDEX(AllCollegeMoney, MATCH(N628,AllCollegeNCES,0)),0)</f>
        <v>0</v>
      </c>
      <c r="AZ628">
        <f>IF(AND(AQ628=1,ISNUMBER(AT628),AY628=1),$AT628,1)</f>
        <v>0</v>
      </c>
      <c r="BA628">
        <f>IF(AND(AR628=1,ISNUMBER(AT628),AY628=1),$AT628,1)</f>
        <v>0</v>
      </c>
      <c r="BB628">
        <f>IF(ISNUMBER(Y628),INDEX(AllCollegeILPub, MATCH(N628,AllCollegeNCES,0)),0)</f>
        <v>0</v>
      </c>
      <c r="BC628">
        <f>IF(AK628=ReachLabel,AP628,0)</f>
        <v>0</v>
      </c>
      <c r="BD628">
        <f>IF(AK628=MatchLabel,AP628,0)</f>
        <v>0</v>
      </c>
      <c r="BE628">
        <f>IF(AK628=SafetyLabel,AP628,0)</f>
        <v>0</v>
      </c>
      <c r="BF628">
        <f>IF(AK628=SecureLabel,AP628,0)</f>
        <v>0</v>
      </c>
      <c r="BG628">
        <f>IF(AK628=SureThingLabel,AP628,0)</f>
        <v>0</v>
      </c>
      <c r="BH628">
        <f>MAX(BC628:BG628)</f>
        <v>0</v>
      </c>
      <c r="BI628">
        <f>MAX(BD628:BG628)</f>
        <v>0</v>
      </c>
      <c r="BJ628">
        <f>MAX(BE628:BG628)</f>
        <v>0</v>
      </c>
      <c r="BK628">
        <f>IF(AND(AK628=ReachLabel,AY628=1),AP628,0)</f>
        <v>0</v>
      </c>
      <c r="BL628">
        <f>IF(AND(AK628=MatchLabel,AY628=1),AP628,0)</f>
        <v>0</v>
      </c>
      <c r="BM628">
        <f>IF(AND(AK628=SafetyLabel,AY628=1),AP628,0)</f>
        <v>0</v>
      </c>
      <c r="BN628">
        <f>IF(AND(AK628=SecureLabel,AY628=1),AP628,0)</f>
        <v>0</v>
      </c>
      <c r="BO628">
        <f>IF(AND(AK628=SureThingLabel,AY628=1),AP628,0)</f>
        <v>0</v>
      </c>
      <c r="BP628">
        <f>MAX(BK628:BO628)</f>
        <v>0</v>
      </c>
      <c r="BQ628">
        <f>MAX(BL628:BO628)</f>
        <v>0</v>
      </c>
      <c r="BR628">
        <f>MAX(BM628:BO628)</f>
        <v>0</v>
      </c>
      <c r="BS628">
        <f>IF(ISNUMBER(Y628),INDEX(AllCollegeChicago, MATCH(N628,AllCollegeNCES,0))*AY628,0)</f>
        <v>0</v>
      </c>
      <c r="BT628">
        <f>IF(ISNUMBER(Y628),INDEX(AllCollegeMoneyCode, MATCH(N628,AllCollegeNCES,0)),"?")</f>
        <v>0</v>
      </c>
      <c r="BU628">
        <f>IF(OR(BT628="---",BT628="--",BT628="+/--",BT628="+/---"),1,0)</f>
        <v>0</v>
      </c>
      <c r="BV628">
        <f>AY628*AO628*AQ628</f>
        <v>0</v>
      </c>
    </row>
    <row r="629" spans="1:74">
      <c r="A629" t="s">
        <v>86</v>
      </c>
      <c r="B629">
        <v>24136022</v>
      </c>
      <c r="C629" t="s">
        <v>209</v>
      </c>
      <c r="D629" t="s">
        <v>210</v>
      </c>
      <c r="E629" t="s">
        <v>428</v>
      </c>
      <c r="F629" t="s">
        <v>447</v>
      </c>
      <c r="G629" t="s">
        <v>430</v>
      </c>
      <c r="H629" t="s">
        <v>431</v>
      </c>
      <c r="I629" t="s">
        <v>432</v>
      </c>
      <c r="J629" t="s">
        <v>432</v>
      </c>
      <c r="K629">
        <v>0</v>
      </c>
      <c r="L629" t="s">
        <v>428</v>
      </c>
      <c r="M629" t="s">
        <v>428</v>
      </c>
      <c r="N629">
        <v>145600</v>
      </c>
      <c r="O629">
        <f>INDEX(AllCollegeBarrons,MATCH(N629,AllCollegeNCES,0))</f>
        <v>0</v>
      </c>
      <c r="P629">
        <f>INDEX(KidGPAs,MATCH(B629,KidIDs,0))</f>
        <v>0</v>
      </c>
      <c r="Q629">
        <f>INDEX(KidACTs,MATCH(B629,KidIDs,0))</f>
        <v>0</v>
      </c>
      <c r="R629">
        <f>INDEX(Strats,MATCH(B629,KidIDs,0))</f>
        <v>0</v>
      </c>
      <c r="S629">
        <f>INDEX(KidRace,MATCH(B629,KidIDs,0))</f>
        <v>0</v>
      </c>
      <c r="T629">
        <f>IF(OR(S629="M",S629="I"),"H",S629)</f>
        <v>0</v>
      </c>
      <c r="U629">
        <f>INDEX(StudentTargets,MATCH(B629,KidIDs,0))</f>
        <v>0</v>
      </c>
      <c r="V629">
        <f>INDEX(ReachStudentTargets,MATCH(B629,KidIDs,0))</f>
        <v>0</v>
      </c>
      <c r="W629">
        <f>IF(OR(M629="Posse"),1,0)</f>
        <v>0</v>
      </c>
      <c r="X629">
        <f>IF(ISNUMBER(INDEX(AllCollegeGR, MATCH(N629,AllCollegeNCES,0))),ROUND(INDEX(AllCollegeGR, MATCH(N629,AllCollegeNCES,0))+W629*IF(INDEX(AllCollegeGR, MATCH(N629,AllCollegeNCES,0))&gt;0.7,(1-INDEX(AllCollegeGR, MATCH(N629,AllCollegeNCES,0)))/2,0.15),2),INDEX(AllCollegeGR, MATCH(N629,AllCollegeNCES,0)))</f>
        <v>0</v>
      </c>
      <c r="Y629">
        <f>IF(ISNUMBER(INDEX(AllCollegeAAHGR, MATCH(N629,AllCollegeNCES,0))),ROUND(INDEX(AllCollegeAAHGR, MATCH(N629,AllCollegeNCES,0))+W629*IF(INDEX(AllCollegeAAHGR, MATCH(N629,AllCollegeNCES,0))&gt;0.7,(1-INDEX(AllCollegeAAHGR, MATCH(N629,AllCollegeNCES,0)))/2,0.15),2),INDEX(AllCollegeAAHGR, MATCH(N629,AllCollegeNCES,0)))</f>
        <v>0</v>
      </c>
      <c r="Z629">
        <f>IF(OR(T629="H",T629="B"),INDEX(AllCollegeACT25, MATCH(N629,AllCollegeNCES,0)),INDEX(AllCollegeACT50, MATCH(N629,AllCollegeNCES,0)))</f>
        <v>0</v>
      </c>
      <c r="AA629">
        <f>INDEX(CustomWeightsGPA,MATCH(T629&amp;":"&amp;N629,CustomWeightsIndex,0))</f>
        <v>0</v>
      </c>
      <c r="AB629">
        <f>INDEX(CustomWeightsACT,MATCH(T629&amp;":"&amp;N629,CustomWeightsIndex,0))</f>
        <v>0</v>
      </c>
      <c r="AC629">
        <f>INDEX(CustomWeightsIntercept,MATCH(T629&amp;":"&amp;N629,CustomWeightsIndex,0))</f>
        <v>0</v>
      </c>
      <c r="AD629">
        <f>AA629*P629+AB629*Q629+AC629</f>
        <v>0</v>
      </c>
      <c r="AE629">
        <f>INDEX(CoefficientsGPA,MATCH(T629&amp;":"&amp;O629,CoefficientsIndex,0))</f>
        <v>0</v>
      </c>
      <c r="AF629">
        <f>INDEX(CoefficientsACT,MATCH(T629&amp;":"&amp;O629,CoefficientsIndex,0))</f>
        <v>0</v>
      </c>
      <c r="AG629">
        <f>INDEX(CoefficientsIntercept,MATCH(T629&amp;":"&amp;O629,CoefficientsIndex,0))</f>
        <v>0</v>
      </c>
      <c r="AH629">
        <f>AE629*P629+(Q629-Z629)*AF629+AG629</f>
        <v>0</v>
      </c>
      <c r="AI629">
        <f>IF(ISNUMBER(AD629),AD629,AH629)</f>
        <v>0</v>
      </c>
      <c r="AJ629">
        <f>IF(ISNUMBER(AI629),IF(ISNUMBER(AE629),IF(AND(AE629=1,AF629=1,AG629=1),100,ROUND(100*EXP(AI629)/(1+EXP(AI629)),2)),ROUND(100*EXP(AI629)/(1+EXP(AI629)),2)),IF(ISTEXT(O629),IF(LEFT(O629,1)="2",100,"N/A"),"N/A"))</f>
        <v>0</v>
      </c>
      <c r="AK629">
        <f>IF(ISNUMBER(AJ629),IF(AJ629&gt;=99,IF(OR(R629=10,R629=11),MatchLabel,SureThingLabel),IF(AJ629&gt;=95,SecureLabel,IF(AJ629&gt;=80,SafetyLabel,IF(AJ629&gt;=50,MatchLabel,IF(AJ629&gt;=20,ReachLabel,IF(AJ629&gt;=10,LongshotLabel,HailMaryLabel)))))),"Other")</f>
        <v>0</v>
      </c>
      <c r="AL629">
        <f>IF(OR(I629="accepted",I629="cond. accept",I629="summer admit"),IF(J629="yes","CHOICE!","Accepted!"),IF(I629="denied","Denied",IF(K629=1,"Waitlist",IF(L629=1,"Deferred",IF(G629="pending","Pending",IF(OR(G629="initial materials submitted",G629="mid-year submitted",G629="final submitted"),"Submitted",IF(H629="interest","Interest","?")))))))</f>
        <v>0</v>
      </c>
      <c r="AM629">
        <f>IF(OR(AK629=ReachLabel,AK629=LongshotLabel,AK629=HailMaryLabel),1,0)</f>
        <v>0</v>
      </c>
      <c r="AN629">
        <f>IF(OR(AM629=1,AK629=MatchLabel),1,0)</f>
        <v>0</v>
      </c>
      <c r="AO629">
        <f>IF(OR(AK629=MatchLabel,AK629=SafetyLabel,AK629=SecureLabel,AK629=SureThingLabel),1,0)</f>
        <v>0</v>
      </c>
      <c r="AP629">
        <f>IF(OR(T629="H",T629="B"),IF(ISNUMBER(Y629),ROUND(Y629,2),0),IF(ISNUMBER(X629),ROUND(X629,2),0))</f>
        <v>0</v>
      </c>
      <c r="AQ629">
        <f>IF(AP629&gt;=U629,1,0)</f>
        <v>0</v>
      </c>
      <c r="AR629">
        <f>IF(AP629&gt;=V629,1,0)</f>
        <v>0</v>
      </c>
      <c r="AS629">
        <f>IF(AP629&lt;(U629-0.10),1,0)</f>
        <v>0</v>
      </c>
      <c r="AT629">
        <f>1-AJ629/100</f>
        <v>0</v>
      </c>
      <c r="AU629">
        <f>IF(AN629=1,AT629,1)</f>
        <v>0</v>
      </c>
      <c r="AV629">
        <f>IF(AM629=1,AT629,1)</f>
        <v>0</v>
      </c>
      <c r="AW629">
        <f>IF(AND(AQ629=1,ISNUMBER(AT629)),$AT629,1)</f>
        <v>0</v>
      </c>
      <c r="AX629">
        <f>IF(AND(AR629=1,ISNUMBER(AT629)),$AT629,1)</f>
        <v>0</v>
      </c>
      <c r="AY629">
        <f>IF(ISNUMBER(Y629),INDEX(AllCollegeMoney, MATCH(N629,AllCollegeNCES,0)),0)</f>
        <v>0</v>
      </c>
      <c r="AZ629">
        <f>IF(AND(AQ629=1,ISNUMBER(AT629),AY629=1),$AT629,1)</f>
        <v>0</v>
      </c>
      <c r="BA629">
        <f>IF(AND(AR629=1,ISNUMBER(AT629),AY629=1),$AT629,1)</f>
        <v>0</v>
      </c>
      <c r="BB629">
        <f>IF(ISNUMBER(Y629),INDEX(AllCollegeILPub, MATCH(N629,AllCollegeNCES,0)),0)</f>
        <v>0</v>
      </c>
      <c r="BC629">
        <f>IF(AK629=ReachLabel,AP629,0)</f>
        <v>0</v>
      </c>
      <c r="BD629">
        <f>IF(AK629=MatchLabel,AP629,0)</f>
        <v>0</v>
      </c>
      <c r="BE629">
        <f>IF(AK629=SafetyLabel,AP629,0)</f>
        <v>0</v>
      </c>
      <c r="BF629">
        <f>IF(AK629=SecureLabel,AP629,0)</f>
        <v>0</v>
      </c>
      <c r="BG629">
        <f>IF(AK629=SureThingLabel,AP629,0)</f>
        <v>0</v>
      </c>
      <c r="BH629">
        <f>MAX(BC629:BG629)</f>
        <v>0</v>
      </c>
      <c r="BI629">
        <f>MAX(BD629:BG629)</f>
        <v>0</v>
      </c>
      <c r="BJ629">
        <f>MAX(BE629:BG629)</f>
        <v>0</v>
      </c>
      <c r="BK629">
        <f>IF(AND(AK629=ReachLabel,AY629=1),AP629,0)</f>
        <v>0</v>
      </c>
      <c r="BL629">
        <f>IF(AND(AK629=MatchLabel,AY629=1),AP629,0)</f>
        <v>0</v>
      </c>
      <c r="BM629">
        <f>IF(AND(AK629=SafetyLabel,AY629=1),AP629,0)</f>
        <v>0</v>
      </c>
      <c r="BN629">
        <f>IF(AND(AK629=SecureLabel,AY629=1),AP629,0)</f>
        <v>0</v>
      </c>
      <c r="BO629">
        <f>IF(AND(AK629=SureThingLabel,AY629=1),AP629,0)</f>
        <v>0</v>
      </c>
      <c r="BP629">
        <f>MAX(BK629:BO629)</f>
        <v>0</v>
      </c>
      <c r="BQ629">
        <f>MAX(BL629:BO629)</f>
        <v>0</v>
      </c>
      <c r="BR629">
        <f>MAX(BM629:BO629)</f>
        <v>0</v>
      </c>
      <c r="BS629">
        <f>IF(ISNUMBER(Y629),INDEX(AllCollegeChicago, MATCH(N629,AllCollegeNCES,0))*AY629,0)</f>
        <v>0</v>
      </c>
      <c r="BT629">
        <f>IF(ISNUMBER(Y629),INDEX(AllCollegeMoneyCode, MATCH(N629,AllCollegeNCES,0)),"?")</f>
        <v>0</v>
      </c>
      <c r="BU629">
        <f>IF(OR(BT629="---",BT629="--",BT629="+/--",BT629="+/---"),1,0)</f>
        <v>0</v>
      </c>
      <c r="BV629">
        <f>AY629*AO629*AQ629</f>
        <v>0</v>
      </c>
    </row>
    <row r="630" spans="1:74">
      <c r="A630" t="s">
        <v>86</v>
      </c>
      <c r="B630">
        <v>24136022</v>
      </c>
      <c r="C630" t="s">
        <v>209</v>
      </c>
      <c r="D630" t="s">
        <v>210</v>
      </c>
      <c r="E630" t="s">
        <v>428</v>
      </c>
      <c r="F630" t="s">
        <v>435</v>
      </c>
      <c r="G630" t="s">
        <v>430</v>
      </c>
      <c r="H630" t="s">
        <v>431</v>
      </c>
      <c r="I630" t="s">
        <v>432</v>
      </c>
      <c r="J630" t="s">
        <v>432</v>
      </c>
      <c r="K630">
        <v>0</v>
      </c>
      <c r="L630" t="s">
        <v>428</v>
      </c>
      <c r="M630" t="s">
        <v>428</v>
      </c>
      <c r="N630">
        <v>144892</v>
      </c>
      <c r="O630">
        <f>INDEX(AllCollegeBarrons,MATCH(N630,AllCollegeNCES,0))</f>
        <v>0</v>
      </c>
      <c r="P630">
        <f>INDEX(KidGPAs,MATCH(B630,KidIDs,0))</f>
        <v>0</v>
      </c>
      <c r="Q630">
        <f>INDEX(KidACTs,MATCH(B630,KidIDs,0))</f>
        <v>0</v>
      </c>
      <c r="R630">
        <f>INDEX(Strats,MATCH(B630,KidIDs,0))</f>
        <v>0</v>
      </c>
      <c r="S630">
        <f>INDEX(KidRace,MATCH(B630,KidIDs,0))</f>
        <v>0</v>
      </c>
      <c r="T630">
        <f>IF(OR(S630="M",S630="I"),"H",S630)</f>
        <v>0</v>
      </c>
      <c r="U630">
        <f>INDEX(StudentTargets,MATCH(B630,KidIDs,0))</f>
        <v>0</v>
      </c>
      <c r="V630">
        <f>INDEX(ReachStudentTargets,MATCH(B630,KidIDs,0))</f>
        <v>0</v>
      </c>
      <c r="W630">
        <f>IF(OR(M630="Posse"),1,0)</f>
        <v>0</v>
      </c>
      <c r="X630">
        <f>IF(ISNUMBER(INDEX(AllCollegeGR, MATCH(N630,AllCollegeNCES,0))),ROUND(INDEX(AllCollegeGR, MATCH(N630,AllCollegeNCES,0))+W630*IF(INDEX(AllCollegeGR, MATCH(N630,AllCollegeNCES,0))&gt;0.7,(1-INDEX(AllCollegeGR, MATCH(N630,AllCollegeNCES,0)))/2,0.15),2),INDEX(AllCollegeGR, MATCH(N630,AllCollegeNCES,0)))</f>
        <v>0</v>
      </c>
      <c r="Y630">
        <f>IF(ISNUMBER(INDEX(AllCollegeAAHGR, MATCH(N630,AllCollegeNCES,0))),ROUND(INDEX(AllCollegeAAHGR, MATCH(N630,AllCollegeNCES,0))+W630*IF(INDEX(AllCollegeAAHGR, MATCH(N630,AllCollegeNCES,0))&gt;0.7,(1-INDEX(AllCollegeAAHGR, MATCH(N630,AllCollegeNCES,0)))/2,0.15),2),INDEX(AllCollegeAAHGR, MATCH(N630,AllCollegeNCES,0)))</f>
        <v>0</v>
      </c>
      <c r="Z630">
        <f>IF(OR(T630="H",T630="B"),INDEX(AllCollegeACT25, MATCH(N630,AllCollegeNCES,0)),INDEX(AllCollegeACT50, MATCH(N630,AllCollegeNCES,0)))</f>
        <v>0</v>
      </c>
      <c r="AA630">
        <f>INDEX(CustomWeightsGPA,MATCH(T630&amp;":"&amp;N630,CustomWeightsIndex,0))</f>
        <v>0</v>
      </c>
      <c r="AB630">
        <f>INDEX(CustomWeightsACT,MATCH(T630&amp;":"&amp;N630,CustomWeightsIndex,0))</f>
        <v>0</v>
      </c>
      <c r="AC630">
        <f>INDEX(CustomWeightsIntercept,MATCH(T630&amp;":"&amp;N630,CustomWeightsIndex,0))</f>
        <v>0</v>
      </c>
      <c r="AD630">
        <f>AA630*P630+AB630*Q630+AC630</f>
        <v>0</v>
      </c>
      <c r="AE630">
        <f>INDEX(CoefficientsGPA,MATCH(T630&amp;":"&amp;O630,CoefficientsIndex,0))</f>
        <v>0</v>
      </c>
      <c r="AF630">
        <f>INDEX(CoefficientsACT,MATCH(T630&amp;":"&amp;O630,CoefficientsIndex,0))</f>
        <v>0</v>
      </c>
      <c r="AG630">
        <f>INDEX(CoefficientsIntercept,MATCH(T630&amp;":"&amp;O630,CoefficientsIndex,0))</f>
        <v>0</v>
      </c>
      <c r="AH630">
        <f>AE630*P630+(Q630-Z630)*AF630+AG630</f>
        <v>0</v>
      </c>
      <c r="AI630">
        <f>IF(ISNUMBER(AD630),AD630,AH630)</f>
        <v>0</v>
      </c>
      <c r="AJ630">
        <f>IF(ISNUMBER(AI630),IF(ISNUMBER(AE630),IF(AND(AE630=1,AF630=1,AG630=1),100,ROUND(100*EXP(AI630)/(1+EXP(AI630)),2)),ROUND(100*EXP(AI630)/(1+EXP(AI630)),2)),IF(ISTEXT(O630),IF(LEFT(O630,1)="2",100,"N/A"),"N/A"))</f>
        <v>0</v>
      </c>
      <c r="AK630">
        <f>IF(ISNUMBER(AJ630),IF(AJ630&gt;=99,IF(OR(R630=10,R630=11),MatchLabel,SureThingLabel),IF(AJ630&gt;=95,SecureLabel,IF(AJ630&gt;=80,SafetyLabel,IF(AJ630&gt;=50,MatchLabel,IF(AJ630&gt;=20,ReachLabel,IF(AJ630&gt;=10,LongshotLabel,HailMaryLabel)))))),"Other")</f>
        <v>0</v>
      </c>
      <c r="AL630">
        <f>IF(OR(I630="accepted",I630="cond. accept",I630="summer admit"),IF(J630="yes","CHOICE!","Accepted!"),IF(I630="denied","Denied",IF(K630=1,"Waitlist",IF(L630=1,"Deferred",IF(G630="pending","Pending",IF(OR(G630="initial materials submitted",G630="mid-year submitted",G630="final submitted"),"Submitted",IF(H630="interest","Interest","?")))))))</f>
        <v>0</v>
      </c>
      <c r="AM630">
        <f>IF(OR(AK630=ReachLabel,AK630=LongshotLabel,AK630=HailMaryLabel),1,0)</f>
        <v>0</v>
      </c>
      <c r="AN630">
        <f>IF(OR(AM630=1,AK630=MatchLabel),1,0)</f>
        <v>0</v>
      </c>
      <c r="AO630">
        <f>IF(OR(AK630=MatchLabel,AK630=SafetyLabel,AK630=SecureLabel,AK630=SureThingLabel),1,0)</f>
        <v>0</v>
      </c>
      <c r="AP630">
        <f>IF(OR(T630="H",T630="B"),IF(ISNUMBER(Y630),ROUND(Y630,2),0),IF(ISNUMBER(X630),ROUND(X630,2),0))</f>
        <v>0</v>
      </c>
      <c r="AQ630">
        <f>IF(AP630&gt;=U630,1,0)</f>
        <v>0</v>
      </c>
      <c r="AR630">
        <f>IF(AP630&gt;=V630,1,0)</f>
        <v>0</v>
      </c>
      <c r="AS630">
        <f>IF(AP630&lt;(U630-0.10),1,0)</f>
        <v>0</v>
      </c>
      <c r="AT630">
        <f>1-AJ630/100</f>
        <v>0</v>
      </c>
      <c r="AU630">
        <f>IF(AN630=1,AT630,1)</f>
        <v>0</v>
      </c>
      <c r="AV630">
        <f>IF(AM630=1,AT630,1)</f>
        <v>0</v>
      </c>
      <c r="AW630">
        <f>IF(AND(AQ630=1,ISNUMBER(AT630)),$AT630,1)</f>
        <v>0</v>
      </c>
      <c r="AX630">
        <f>IF(AND(AR630=1,ISNUMBER(AT630)),$AT630,1)</f>
        <v>0</v>
      </c>
      <c r="AY630">
        <f>IF(ISNUMBER(Y630),INDEX(AllCollegeMoney, MATCH(N630,AllCollegeNCES,0)),0)</f>
        <v>0</v>
      </c>
      <c r="AZ630">
        <f>IF(AND(AQ630=1,ISNUMBER(AT630),AY630=1),$AT630,1)</f>
        <v>0</v>
      </c>
      <c r="BA630">
        <f>IF(AND(AR630=1,ISNUMBER(AT630),AY630=1),$AT630,1)</f>
        <v>0</v>
      </c>
      <c r="BB630">
        <f>IF(ISNUMBER(Y630),INDEX(AllCollegeILPub, MATCH(N630,AllCollegeNCES,0)),0)</f>
        <v>0</v>
      </c>
      <c r="BC630">
        <f>IF(AK630=ReachLabel,AP630,0)</f>
        <v>0</v>
      </c>
      <c r="BD630">
        <f>IF(AK630=MatchLabel,AP630,0)</f>
        <v>0</v>
      </c>
      <c r="BE630">
        <f>IF(AK630=SafetyLabel,AP630,0)</f>
        <v>0</v>
      </c>
      <c r="BF630">
        <f>IF(AK630=SecureLabel,AP630,0)</f>
        <v>0</v>
      </c>
      <c r="BG630">
        <f>IF(AK630=SureThingLabel,AP630,0)</f>
        <v>0</v>
      </c>
      <c r="BH630">
        <f>MAX(BC630:BG630)</f>
        <v>0</v>
      </c>
      <c r="BI630">
        <f>MAX(BD630:BG630)</f>
        <v>0</v>
      </c>
      <c r="BJ630">
        <f>MAX(BE630:BG630)</f>
        <v>0</v>
      </c>
      <c r="BK630">
        <f>IF(AND(AK630=ReachLabel,AY630=1),AP630,0)</f>
        <v>0</v>
      </c>
      <c r="BL630">
        <f>IF(AND(AK630=MatchLabel,AY630=1),AP630,0)</f>
        <v>0</v>
      </c>
      <c r="BM630">
        <f>IF(AND(AK630=SafetyLabel,AY630=1),AP630,0)</f>
        <v>0</v>
      </c>
      <c r="BN630">
        <f>IF(AND(AK630=SecureLabel,AY630=1),AP630,0)</f>
        <v>0</v>
      </c>
      <c r="BO630">
        <f>IF(AND(AK630=SureThingLabel,AY630=1),AP630,0)</f>
        <v>0</v>
      </c>
      <c r="BP630">
        <f>MAX(BK630:BO630)</f>
        <v>0</v>
      </c>
      <c r="BQ630">
        <f>MAX(BL630:BO630)</f>
        <v>0</v>
      </c>
      <c r="BR630">
        <f>MAX(BM630:BO630)</f>
        <v>0</v>
      </c>
      <c r="BS630">
        <f>IF(ISNUMBER(Y630),INDEX(AllCollegeChicago, MATCH(N630,AllCollegeNCES,0))*AY630,0)</f>
        <v>0</v>
      </c>
      <c r="BT630">
        <f>IF(ISNUMBER(Y630),INDEX(AllCollegeMoneyCode, MATCH(N630,AllCollegeNCES,0)),"?")</f>
        <v>0</v>
      </c>
      <c r="BU630">
        <f>IF(OR(BT630="---",BT630="--",BT630="+/--",BT630="+/---"),1,0)</f>
        <v>0</v>
      </c>
      <c r="BV630">
        <f>AY630*AO630*AQ630</f>
        <v>0</v>
      </c>
    </row>
    <row r="631" spans="1:74">
      <c r="A631" t="s">
        <v>86</v>
      </c>
      <c r="B631">
        <v>24136022</v>
      </c>
      <c r="C631" t="s">
        <v>209</v>
      </c>
      <c r="D631" t="s">
        <v>210</v>
      </c>
      <c r="E631" t="s">
        <v>428</v>
      </c>
      <c r="F631" t="s">
        <v>448</v>
      </c>
      <c r="G631" t="s">
        <v>430</v>
      </c>
      <c r="H631" t="s">
        <v>431</v>
      </c>
      <c r="I631" t="s">
        <v>432</v>
      </c>
      <c r="J631" t="s">
        <v>432</v>
      </c>
      <c r="K631">
        <v>0</v>
      </c>
      <c r="L631" t="s">
        <v>428</v>
      </c>
      <c r="M631" t="s">
        <v>428</v>
      </c>
      <c r="N631" t="s">
        <v>449</v>
      </c>
      <c r="O631">
        <f>INDEX(AllCollegeBarrons,MATCH(N631,AllCollegeNCES,0))</f>
        <v>0</v>
      </c>
      <c r="P631">
        <f>INDEX(KidGPAs,MATCH(B631,KidIDs,0))</f>
        <v>0</v>
      </c>
      <c r="Q631">
        <f>INDEX(KidACTs,MATCH(B631,KidIDs,0))</f>
        <v>0</v>
      </c>
      <c r="R631">
        <f>INDEX(Strats,MATCH(B631,KidIDs,0))</f>
        <v>0</v>
      </c>
      <c r="S631">
        <f>INDEX(KidRace,MATCH(B631,KidIDs,0))</f>
        <v>0</v>
      </c>
      <c r="T631">
        <f>IF(OR(S631="M",S631="I"),"H",S631)</f>
        <v>0</v>
      </c>
      <c r="U631">
        <f>INDEX(StudentTargets,MATCH(B631,KidIDs,0))</f>
        <v>0</v>
      </c>
      <c r="V631">
        <f>INDEX(ReachStudentTargets,MATCH(B631,KidIDs,0))</f>
        <v>0</v>
      </c>
      <c r="W631">
        <f>IF(OR(M631="Posse"),1,0)</f>
        <v>0</v>
      </c>
      <c r="X631">
        <f>IF(ISNUMBER(INDEX(AllCollegeGR, MATCH(N631,AllCollegeNCES,0))),ROUND(INDEX(AllCollegeGR, MATCH(N631,AllCollegeNCES,0))+W631*IF(INDEX(AllCollegeGR, MATCH(N631,AllCollegeNCES,0))&gt;0.7,(1-INDEX(AllCollegeGR, MATCH(N631,AllCollegeNCES,0)))/2,0.15),2),INDEX(AllCollegeGR, MATCH(N631,AllCollegeNCES,0)))</f>
        <v>0</v>
      </c>
      <c r="Y631">
        <f>IF(ISNUMBER(INDEX(AllCollegeAAHGR, MATCH(N631,AllCollegeNCES,0))),ROUND(INDEX(AllCollegeAAHGR, MATCH(N631,AllCollegeNCES,0))+W631*IF(INDEX(AllCollegeAAHGR, MATCH(N631,AllCollegeNCES,0))&gt;0.7,(1-INDEX(AllCollegeAAHGR, MATCH(N631,AllCollegeNCES,0)))/2,0.15),2),INDEX(AllCollegeAAHGR, MATCH(N631,AllCollegeNCES,0)))</f>
        <v>0</v>
      </c>
      <c r="Z631">
        <f>IF(OR(T631="H",T631="B"),INDEX(AllCollegeACT25, MATCH(N631,AllCollegeNCES,0)),INDEX(AllCollegeACT50, MATCH(N631,AllCollegeNCES,0)))</f>
        <v>0</v>
      </c>
      <c r="AA631">
        <f>INDEX(CustomWeightsGPA,MATCH(T631&amp;":"&amp;N631,CustomWeightsIndex,0))</f>
        <v>0</v>
      </c>
      <c r="AB631">
        <f>INDEX(CustomWeightsACT,MATCH(T631&amp;":"&amp;N631,CustomWeightsIndex,0))</f>
        <v>0</v>
      </c>
      <c r="AC631">
        <f>INDEX(CustomWeightsIntercept,MATCH(T631&amp;":"&amp;N631,CustomWeightsIndex,0))</f>
        <v>0</v>
      </c>
      <c r="AD631">
        <f>AA631*P631+AB631*Q631+AC631</f>
        <v>0</v>
      </c>
      <c r="AE631">
        <f>INDEX(CoefficientsGPA,MATCH(T631&amp;":"&amp;O631,CoefficientsIndex,0))</f>
        <v>0</v>
      </c>
      <c r="AF631">
        <f>INDEX(CoefficientsACT,MATCH(T631&amp;":"&amp;O631,CoefficientsIndex,0))</f>
        <v>0</v>
      </c>
      <c r="AG631">
        <f>INDEX(CoefficientsIntercept,MATCH(T631&amp;":"&amp;O631,CoefficientsIndex,0))</f>
        <v>0</v>
      </c>
      <c r="AH631">
        <f>AE631*P631+(Q631-Z631)*AF631+AG631</f>
        <v>0</v>
      </c>
      <c r="AI631">
        <f>IF(ISNUMBER(AD631),AD631,AH631)</f>
        <v>0</v>
      </c>
      <c r="AJ631">
        <f>IF(ISNUMBER(AI631),IF(ISNUMBER(AE631),IF(AND(AE631=1,AF631=1,AG631=1),100,ROUND(100*EXP(AI631)/(1+EXP(AI631)),2)),ROUND(100*EXP(AI631)/(1+EXP(AI631)),2)),IF(ISTEXT(O631),IF(LEFT(O631,1)="2",100,"N/A"),"N/A"))</f>
        <v>0</v>
      </c>
      <c r="AK631">
        <f>IF(ISNUMBER(AJ631),IF(AJ631&gt;=99,IF(OR(R631=10,R631=11),MatchLabel,SureThingLabel),IF(AJ631&gt;=95,SecureLabel,IF(AJ631&gt;=80,SafetyLabel,IF(AJ631&gt;=50,MatchLabel,IF(AJ631&gt;=20,ReachLabel,IF(AJ631&gt;=10,LongshotLabel,HailMaryLabel)))))),"Other")</f>
        <v>0</v>
      </c>
      <c r="AL631">
        <f>IF(OR(I631="accepted",I631="cond. accept",I631="summer admit"),IF(J631="yes","CHOICE!","Accepted!"),IF(I631="denied","Denied",IF(K631=1,"Waitlist",IF(L631=1,"Deferred",IF(G631="pending","Pending",IF(OR(G631="initial materials submitted",G631="mid-year submitted",G631="final submitted"),"Submitted",IF(H631="interest","Interest","?")))))))</f>
        <v>0</v>
      </c>
      <c r="AM631">
        <f>IF(OR(AK631=ReachLabel,AK631=LongshotLabel,AK631=HailMaryLabel),1,0)</f>
        <v>0</v>
      </c>
      <c r="AN631">
        <f>IF(OR(AM631=1,AK631=MatchLabel),1,0)</f>
        <v>0</v>
      </c>
      <c r="AO631">
        <f>IF(OR(AK631=MatchLabel,AK631=SafetyLabel,AK631=SecureLabel,AK631=SureThingLabel),1,0)</f>
        <v>0</v>
      </c>
      <c r="AP631">
        <f>IF(OR(T631="H",T631="B"),IF(ISNUMBER(Y631),ROUND(Y631,2),0),IF(ISNUMBER(X631),ROUND(X631,2),0))</f>
        <v>0</v>
      </c>
      <c r="AQ631">
        <f>IF(AP631&gt;=U631,1,0)</f>
        <v>0</v>
      </c>
      <c r="AR631">
        <f>IF(AP631&gt;=V631,1,0)</f>
        <v>0</v>
      </c>
      <c r="AS631">
        <f>IF(AP631&lt;(U631-0.10),1,0)</f>
        <v>0</v>
      </c>
      <c r="AT631">
        <f>1-AJ631/100</f>
        <v>0</v>
      </c>
      <c r="AU631">
        <f>IF(AN631=1,AT631,1)</f>
        <v>0</v>
      </c>
      <c r="AV631">
        <f>IF(AM631=1,AT631,1)</f>
        <v>0</v>
      </c>
      <c r="AW631">
        <f>IF(AND(AQ631=1,ISNUMBER(AT631)),$AT631,1)</f>
        <v>0</v>
      </c>
      <c r="AX631">
        <f>IF(AND(AR631=1,ISNUMBER(AT631)),$AT631,1)</f>
        <v>0</v>
      </c>
      <c r="AY631">
        <f>IF(ISNUMBER(Y631),INDEX(AllCollegeMoney, MATCH(N631,AllCollegeNCES,0)),0)</f>
        <v>0</v>
      </c>
      <c r="AZ631">
        <f>IF(AND(AQ631=1,ISNUMBER(AT631),AY631=1),$AT631,1)</f>
        <v>0</v>
      </c>
      <c r="BA631">
        <f>IF(AND(AR631=1,ISNUMBER(AT631),AY631=1),$AT631,1)</f>
        <v>0</v>
      </c>
      <c r="BB631">
        <f>IF(ISNUMBER(Y631),INDEX(AllCollegeILPub, MATCH(N631,AllCollegeNCES,0)),0)</f>
        <v>0</v>
      </c>
      <c r="BC631">
        <f>IF(AK631=ReachLabel,AP631,0)</f>
        <v>0</v>
      </c>
      <c r="BD631">
        <f>IF(AK631=MatchLabel,AP631,0)</f>
        <v>0</v>
      </c>
      <c r="BE631">
        <f>IF(AK631=SafetyLabel,AP631,0)</f>
        <v>0</v>
      </c>
      <c r="BF631">
        <f>IF(AK631=SecureLabel,AP631,0)</f>
        <v>0</v>
      </c>
      <c r="BG631">
        <f>IF(AK631=SureThingLabel,AP631,0)</f>
        <v>0</v>
      </c>
      <c r="BH631">
        <f>MAX(BC631:BG631)</f>
        <v>0</v>
      </c>
      <c r="BI631">
        <f>MAX(BD631:BG631)</f>
        <v>0</v>
      </c>
      <c r="BJ631">
        <f>MAX(BE631:BG631)</f>
        <v>0</v>
      </c>
      <c r="BK631">
        <f>IF(AND(AK631=ReachLabel,AY631=1),AP631,0)</f>
        <v>0</v>
      </c>
      <c r="BL631">
        <f>IF(AND(AK631=MatchLabel,AY631=1),AP631,0)</f>
        <v>0</v>
      </c>
      <c r="BM631">
        <f>IF(AND(AK631=SafetyLabel,AY631=1),AP631,0)</f>
        <v>0</v>
      </c>
      <c r="BN631">
        <f>IF(AND(AK631=SecureLabel,AY631=1),AP631,0)</f>
        <v>0</v>
      </c>
      <c r="BO631">
        <f>IF(AND(AK631=SureThingLabel,AY631=1),AP631,0)</f>
        <v>0</v>
      </c>
      <c r="BP631">
        <f>MAX(BK631:BO631)</f>
        <v>0</v>
      </c>
      <c r="BQ631">
        <f>MAX(BL631:BO631)</f>
        <v>0</v>
      </c>
      <c r="BR631">
        <f>MAX(BM631:BO631)</f>
        <v>0</v>
      </c>
      <c r="BS631">
        <f>IF(ISNUMBER(Y631),INDEX(AllCollegeChicago, MATCH(N631,AllCollegeNCES,0))*AY631,0)</f>
        <v>0</v>
      </c>
      <c r="BT631">
        <f>IF(ISNUMBER(Y631),INDEX(AllCollegeMoneyCode, MATCH(N631,AllCollegeNCES,0)),"?")</f>
        <v>0</v>
      </c>
      <c r="BU631">
        <f>IF(OR(BT631="---",BT631="--",BT631="+/--",BT631="+/---"),1,0)</f>
        <v>0</v>
      </c>
      <c r="BV631">
        <f>AY631*AO631*AQ631</f>
        <v>0</v>
      </c>
    </row>
    <row r="632" spans="1:74">
      <c r="A632" t="s">
        <v>86</v>
      </c>
      <c r="B632">
        <v>24136022</v>
      </c>
      <c r="C632" t="s">
        <v>209</v>
      </c>
      <c r="D632" t="s">
        <v>210</v>
      </c>
      <c r="E632" t="s">
        <v>428</v>
      </c>
      <c r="F632" t="s">
        <v>436</v>
      </c>
      <c r="G632" t="s">
        <v>430</v>
      </c>
      <c r="H632" t="s">
        <v>431</v>
      </c>
      <c r="I632" t="s">
        <v>432</v>
      </c>
      <c r="J632" t="s">
        <v>432</v>
      </c>
      <c r="K632">
        <v>0</v>
      </c>
      <c r="L632" t="s">
        <v>428</v>
      </c>
      <c r="M632" t="s">
        <v>428</v>
      </c>
      <c r="N632">
        <v>147536</v>
      </c>
      <c r="O632">
        <f>INDEX(AllCollegeBarrons,MATCH(N632,AllCollegeNCES,0))</f>
        <v>0</v>
      </c>
      <c r="P632">
        <f>INDEX(KidGPAs,MATCH(B632,KidIDs,0))</f>
        <v>0</v>
      </c>
      <c r="Q632">
        <f>INDEX(KidACTs,MATCH(B632,KidIDs,0))</f>
        <v>0</v>
      </c>
      <c r="R632">
        <f>INDEX(Strats,MATCH(B632,KidIDs,0))</f>
        <v>0</v>
      </c>
      <c r="S632">
        <f>INDEX(KidRace,MATCH(B632,KidIDs,0))</f>
        <v>0</v>
      </c>
      <c r="T632">
        <f>IF(OR(S632="M",S632="I"),"H",S632)</f>
        <v>0</v>
      </c>
      <c r="U632">
        <f>INDEX(StudentTargets,MATCH(B632,KidIDs,0))</f>
        <v>0</v>
      </c>
      <c r="V632">
        <f>INDEX(ReachStudentTargets,MATCH(B632,KidIDs,0))</f>
        <v>0</v>
      </c>
      <c r="W632">
        <f>IF(OR(M632="Posse"),1,0)</f>
        <v>0</v>
      </c>
      <c r="X632">
        <f>IF(ISNUMBER(INDEX(AllCollegeGR, MATCH(N632,AllCollegeNCES,0))),ROUND(INDEX(AllCollegeGR, MATCH(N632,AllCollegeNCES,0))+W632*IF(INDEX(AllCollegeGR, MATCH(N632,AllCollegeNCES,0))&gt;0.7,(1-INDEX(AllCollegeGR, MATCH(N632,AllCollegeNCES,0)))/2,0.15),2),INDEX(AllCollegeGR, MATCH(N632,AllCollegeNCES,0)))</f>
        <v>0</v>
      </c>
      <c r="Y632">
        <f>IF(ISNUMBER(INDEX(AllCollegeAAHGR, MATCH(N632,AllCollegeNCES,0))),ROUND(INDEX(AllCollegeAAHGR, MATCH(N632,AllCollegeNCES,0))+W632*IF(INDEX(AllCollegeAAHGR, MATCH(N632,AllCollegeNCES,0))&gt;0.7,(1-INDEX(AllCollegeAAHGR, MATCH(N632,AllCollegeNCES,0)))/2,0.15),2),INDEX(AllCollegeAAHGR, MATCH(N632,AllCollegeNCES,0)))</f>
        <v>0</v>
      </c>
      <c r="Z632">
        <f>IF(OR(T632="H",T632="B"),INDEX(AllCollegeACT25, MATCH(N632,AllCollegeNCES,0)),INDEX(AllCollegeACT50, MATCH(N632,AllCollegeNCES,0)))</f>
        <v>0</v>
      </c>
      <c r="AA632">
        <f>INDEX(CustomWeightsGPA,MATCH(T632&amp;":"&amp;N632,CustomWeightsIndex,0))</f>
        <v>0</v>
      </c>
      <c r="AB632">
        <f>INDEX(CustomWeightsACT,MATCH(T632&amp;":"&amp;N632,CustomWeightsIndex,0))</f>
        <v>0</v>
      </c>
      <c r="AC632">
        <f>INDEX(CustomWeightsIntercept,MATCH(T632&amp;":"&amp;N632,CustomWeightsIndex,0))</f>
        <v>0</v>
      </c>
      <c r="AD632">
        <f>AA632*P632+AB632*Q632+AC632</f>
        <v>0</v>
      </c>
      <c r="AE632">
        <f>INDEX(CoefficientsGPA,MATCH(T632&amp;":"&amp;O632,CoefficientsIndex,0))</f>
        <v>0</v>
      </c>
      <c r="AF632">
        <f>INDEX(CoefficientsACT,MATCH(T632&amp;":"&amp;O632,CoefficientsIndex,0))</f>
        <v>0</v>
      </c>
      <c r="AG632">
        <f>INDEX(CoefficientsIntercept,MATCH(T632&amp;":"&amp;O632,CoefficientsIndex,0))</f>
        <v>0</v>
      </c>
      <c r="AH632">
        <f>AE632*P632+(Q632-Z632)*AF632+AG632</f>
        <v>0</v>
      </c>
      <c r="AI632">
        <f>IF(ISNUMBER(AD632),AD632,AH632)</f>
        <v>0</v>
      </c>
      <c r="AJ632">
        <f>IF(ISNUMBER(AI632),IF(ISNUMBER(AE632),IF(AND(AE632=1,AF632=1,AG632=1),100,ROUND(100*EXP(AI632)/(1+EXP(AI632)),2)),ROUND(100*EXP(AI632)/(1+EXP(AI632)),2)),IF(ISTEXT(O632),IF(LEFT(O632,1)="2",100,"N/A"),"N/A"))</f>
        <v>0</v>
      </c>
      <c r="AK632">
        <f>IF(ISNUMBER(AJ632),IF(AJ632&gt;=99,IF(OR(R632=10,R632=11),MatchLabel,SureThingLabel),IF(AJ632&gt;=95,SecureLabel,IF(AJ632&gt;=80,SafetyLabel,IF(AJ632&gt;=50,MatchLabel,IF(AJ632&gt;=20,ReachLabel,IF(AJ632&gt;=10,LongshotLabel,HailMaryLabel)))))),"Other")</f>
        <v>0</v>
      </c>
      <c r="AL632">
        <f>IF(OR(I632="accepted",I632="cond. accept",I632="summer admit"),IF(J632="yes","CHOICE!","Accepted!"),IF(I632="denied","Denied",IF(K632=1,"Waitlist",IF(L632=1,"Deferred",IF(G632="pending","Pending",IF(OR(G632="initial materials submitted",G632="mid-year submitted",G632="final submitted"),"Submitted",IF(H632="interest","Interest","?")))))))</f>
        <v>0</v>
      </c>
      <c r="AM632">
        <f>IF(OR(AK632=ReachLabel,AK632=LongshotLabel,AK632=HailMaryLabel),1,0)</f>
        <v>0</v>
      </c>
      <c r="AN632">
        <f>IF(OR(AM632=1,AK632=MatchLabel),1,0)</f>
        <v>0</v>
      </c>
      <c r="AO632">
        <f>IF(OR(AK632=MatchLabel,AK632=SafetyLabel,AK632=SecureLabel,AK632=SureThingLabel),1,0)</f>
        <v>0</v>
      </c>
      <c r="AP632">
        <f>IF(OR(T632="H",T632="B"),IF(ISNUMBER(Y632),ROUND(Y632,2),0),IF(ISNUMBER(X632),ROUND(X632,2),0))</f>
        <v>0</v>
      </c>
      <c r="AQ632">
        <f>IF(AP632&gt;=U632,1,0)</f>
        <v>0</v>
      </c>
      <c r="AR632">
        <f>IF(AP632&gt;=V632,1,0)</f>
        <v>0</v>
      </c>
      <c r="AS632">
        <f>IF(AP632&lt;(U632-0.10),1,0)</f>
        <v>0</v>
      </c>
      <c r="AT632">
        <f>1-AJ632/100</f>
        <v>0</v>
      </c>
      <c r="AU632">
        <f>IF(AN632=1,AT632,1)</f>
        <v>0</v>
      </c>
      <c r="AV632">
        <f>IF(AM632=1,AT632,1)</f>
        <v>0</v>
      </c>
      <c r="AW632">
        <f>IF(AND(AQ632=1,ISNUMBER(AT632)),$AT632,1)</f>
        <v>0</v>
      </c>
      <c r="AX632">
        <f>IF(AND(AR632=1,ISNUMBER(AT632)),$AT632,1)</f>
        <v>0</v>
      </c>
      <c r="AY632">
        <f>IF(ISNUMBER(Y632),INDEX(AllCollegeMoney, MATCH(N632,AllCollegeNCES,0)),0)</f>
        <v>0</v>
      </c>
      <c r="AZ632">
        <f>IF(AND(AQ632=1,ISNUMBER(AT632),AY632=1),$AT632,1)</f>
        <v>0</v>
      </c>
      <c r="BA632">
        <f>IF(AND(AR632=1,ISNUMBER(AT632),AY632=1),$AT632,1)</f>
        <v>0</v>
      </c>
      <c r="BB632">
        <f>IF(ISNUMBER(Y632),INDEX(AllCollegeILPub, MATCH(N632,AllCollegeNCES,0)),0)</f>
        <v>0</v>
      </c>
      <c r="BC632">
        <f>IF(AK632=ReachLabel,AP632,0)</f>
        <v>0</v>
      </c>
      <c r="BD632">
        <f>IF(AK632=MatchLabel,AP632,0)</f>
        <v>0</v>
      </c>
      <c r="BE632">
        <f>IF(AK632=SafetyLabel,AP632,0)</f>
        <v>0</v>
      </c>
      <c r="BF632">
        <f>IF(AK632=SecureLabel,AP632,0)</f>
        <v>0</v>
      </c>
      <c r="BG632">
        <f>IF(AK632=SureThingLabel,AP632,0)</f>
        <v>0</v>
      </c>
      <c r="BH632">
        <f>MAX(BC632:BG632)</f>
        <v>0</v>
      </c>
      <c r="BI632">
        <f>MAX(BD632:BG632)</f>
        <v>0</v>
      </c>
      <c r="BJ632">
        <f>MAX(BE632:BG632)</f>
        <v>0</v>
      </c>
      <c r="BK632">
        <f>IF(AND(AK632=ReachLabel,AY632=1),AP632,0)</f>
        <v>0</v>
      </c>
      <c r="BL632">
        <f>IF(AND(AK632=MatchLabel,AY632=1),AP632,0)</f>
        <v>0</v>
      </c>
      <c r="BM632">
        <f>IF(AND(AK632=SafetyLabel,AY632=1),AP632,0)</f>
        <v>0</v>
      </c>
      <c r="BN632">
        <f>IF(AND(AK632=SecureLabel,AY632=1),AP632,0)</f>
        <v>0</v>
      </c>
      <c r="BO632">
        <f>IF(AND(AK632=SureThingLabel,AY632=1),AP632,0)</f>
        <v>0</v>
      </c>
      <c r="BP632">
        <f>MAX(BK632:BO632)</f>
        <v>0</v>
      </c>
      <c r="BQ632">
        <f>MAX(BL632:BO632)</f>
        <v>0</v>
      </c>
      <c r="BR632">
        <f>MAX(BM632:BO632)</f>
        <v>0</v>
      </c>
      <c r="BS632">
        <f>IF(ISNUMBER(Y632),INDEX(AllCollegeChicago, MATCH(N632,AllCollegeNCES,0))*AY632,0)</f>
        <v>0</v>
      </c>
      <c r="BT632">
        <f>IF(ISNUMBER(Y632),INDEX(AllCollegeMoneyCode, MATCH(N632,AllCollegeNCES,0)),"?")</f>
        <v>0</v>
      </c>
      <c r="BU632">
        <f>IF(OR(BT632="---",BT632="--",BT632="+/--",BT632="+/---"),1,0)</f>
        <v>0</v>
      </c>
      <c r="BV632">
        <f>AY632*AO632*AQ632</f>
        <v>0</v>
      </c>
    </row>
    <row r="633" spans="1:74">
      <c r="A633" t="s">
        <v>86</v>
      </c>
      <c r="B633">
        <v>24136022</v>
      </c>
      <c r="C633" t="s">
        <v>209</v>
      </c>
      <c r="D633" t="s">
        <v>210</v>
      </c>
      <c r="E633" t="s">
        <v>428</v>
      </c>
      <c r="F633" t="s">
        <v>437</v>
      </c>
      <c r="G633" t="s">
        <v>430</v>
      </c>
      <c r="H633" t="s">
        <v>431</v>
      </c>
      <c r="I633" t="s">
        <v>432</v>
      </c>
      <c r="J633" t="s">
        <v>432</v>
      </c>
      <c r="K633">
        <v>0</v>
      </c>
      <c r="L633" t="s">
        <v>428</v>
      </c>
      <c r="M633" t="s">
        <v>428</v>
      </c>
      <c r="N633">
        <v>149772</v>
      </c>
      <c r="O633">
        <f>INDEX(AllCollegeBarrons,MATCH(N633,AllCollegeNCES,0))</f>
        <v>0</v>
      </c>
      <c r="P633">
        <f>INDEX(KidGPAs,MATCH(B633,KidIDs,0))</f>
        <v>0</v>
      </c>
      <c r="Q633">
        <f>INDEX(KidACTs,MATCH(B633,KidIDs,0))</f>
        <v>0</v>
      </c>
      <c r="R633">
        <f>INDEX(Strats,MATCH(B633,KidIDs,0))</f>
        <v>0</v>
      </c>
      <c r="S633">
        <f>INDEX(KidRace,MATCH(B633,KidIDs,0))</f>
        <v>0</v>
      </c>
      <c r="T633">
        <f>IF(OR(S633="M",S633="I"),"H",S633)</f>
        <v>0</v>
      </c>
      <c r="U633">
        <f>INDEX(StudentTargets,MATCH(B633,KidIDs,0))</f>
        <v>0</v>
      </c>
      <c r="V633">
        <f>INDEX(ReachStudentTargets,MATCH(B633,KidIDs,0))</f>
        <v>0</v>
      </c>
      <c r="W633">
        <f>IF(OR(M633="Posse"),1,0)</f>
        <v>0</v>
      </c>
      <c r="X633">
        <f>IF(ISNUMBER(INDEX(AllCollegeGR, MATCH(N633,AllCollegeNCES,0))),ROUND(INDEX(AllCollegeGR, MATCH(N633,AllCollegeNCES,0))+W633*IF(INDEX(AllCollegeGR, MATCH(N633,AllCollegeNCES,0))&gt;0.7,(1-INDEX(AllCollegeGR, MATCH(N633,AllCollegeNCES,0)))/2,0.15),2),INDEX(AllCollegeGR, MATCH(N633,AllCollegeNCES,0)))</f>
        <v>0</v>
      </c>
      <c r="Y633">
        <f>IF(ISNUMBER(INDEX(AllCollegeAAHGR, MATCH(N633,AllCollegeNCES,0))),ROUND(INDEX(AllCollegeAAHGR, MATCH(N633,AllCollegeNCES,0))+W633*IF(INDEX(AllCollegeAAHGR, MATCH(N633,AllCollegeNCES,0))&gt;0.7,(1-INDEX(AllCollegeAAHGR, MATCH(N633,AllCollegeNCES,0)))/2,0.15),2),INDEX(AllCollegeAAHGR, MATCH(N633,AllCollegeNCES,0)))</f>
        <v>0</v>
      </c>
      <c r="Z633">
        <f>IF(OR(T633="H",T633="B"),INDEX(AllCollegeACT25, MATCH(N633,AllCollegeNCES,0)),INDEX(AllCollegeACT50, MATCH(N633,AllCollegeNCES,0)))</f>
        <v>0</v>
      </c>
      <c r="AA633">
        <f>INDEX(CustomWeightsGPA,MATCH(T633&amp;":"&amp;N633,CustomWeightsIndex,0))</f>
        <v>0</v>
      </c>
      <c r="AB633">
        <f>INDEX(CustomWeightsACT,MATCH(T633&amp;":"&amp;N633,CustomWeightsIndex,0))</f>
        <v>0</v>
      </c>
      <c r="AC633">
        <f>INDEX(CustomWeightsIntercept,MATCH(T633&amp;":"&amp;N633,CustomWeightsIndex,0))</f>
        <v>0</v>
      </c>
      <c r="AD633">
        <f>AA633*P633+AB633*Q633+AC633</f>
        <v>0</v>
      </c>
      <c r="AE633">
        <f>INDEX(CoefficientsGPA,MATCH(T633&amp;":"&amp;O633,CoefficientsIndex,0))</f>
        <v>0</v>
      </c>
      <c r="AF633">
        <f>INDEX(CoefficientsACT,MATCH(T633&amp;":"&amp;O633,CoefficientsIndex,0))</f>
        <v>0</v>
      </c>
      <c r="AG633">
        <f>INDEX(CoefficientsIntercept,MATCH(T633&amp;":"&amp;O633,CoefficientsIndex,0))</f>
        <v>0</v>
      </c>
      <c r="AH633">
        <f>AE633*P633+(Q633-Z633)*AF633+AG633</f>
        <v>0</v>
      </c>
      <c r="AI633">
        <f>IF(ISNUMBER(AD633),AD633,AH633)</f>
        <v>0</v>
      </c>
      <c r="AJ633">
        <f>IF(ISNUMBER(AI633),IF(ISNUMBER(AE633),IF(AND(AE633=1,AF633=1,AG633=1),100,ROUND(100*EXP(AI633)/(1+EXP(AI633)),2)),ROUND(100*EXP(AI633)/(1+EXP(AI633)),2)),IF(ISTEXT(O633),IF(LEFT(O633,1)="2",100,"N/A"),"N/A"))</f>
        <v>0</v>
      </c>
      <c r="AK633">
        <f>IF(ISNUMBER(AJ633),IF(AJ633&gt;=99,IF(OR(R633=10,R633=11),MatchLabel,SureThingLabel),IF(AJ633&gt;=95,SecureLabel,IF(AJ633&gt;=80,SafetyLabel,IF(AJ633&gt;=50,MatchLabel,IF(AJ633&gt;=20,ReachLabel,IF(AJ633&gt;=10,LongshotLabel,HailMaryLabel)))))),"Other")</f>
        <v>0</v>
      </c>
      <c r="AL633">
        <f>IF(OR(I633="accepted",I633="cond. accept",I633="summer admit"),IF(J633="yes","CHOICE!","Accepted!"),IF(I633="denied","Denied",IF(K633=1,"Waitlist",IF(L633=1,"Deferred",IF(G633="pending","Pending",IF(OR(G633="initial materials submitted",G633="mid-year submitted",G633="final submitted"),"Submitted",IF(H633="interest","Interest","?")))))))</f>
        <v>0</v>
      </c>
      <c r="AM633">
        <f>IF(OR(AK633=ReachLabel,AK633=LongshotLabel,AK633=HailMaryLabel),1,0)</f>
        <v>0</v>
      </c>
      <c r="AN633">
        <f>IF(OR(AM633=1,AK633=MatchLabel),1,0)</f>
        <v>0</v>
      </c>
      <c r="AO633">
        <f>IF(OR(AK633=MatchLabel,AK633=SafetyLabel,AK633=SecureLabel,AK633=SureThingLabel),1,0)</f>
        <v>0</v>
      </c>
      <c r="AP633">
        <f>IF(OR(T633="H",T633="B"),IF(ISNUMBER(Y633),ROUND(Y633,2),0),IF(ISNUMBER(X633),ROUND(X633,2),0))</f>
        <v>0</v>
      </c>
      <c r="AQ633">
        <f>IF(AP633&gt;=U633,1,0)</f>
        <v>0</v>
      </c>
      <c r="AR633">
        <f>IF(AP633&gt;=V633,1,0)</f>
        <v>0</v>
      </c>
      <c r="AS633">
        <f>IF(AP633&lt;(U633-0.10),1,0)</f>
        <v>0</v>
      </c>
      <c r="AT633">
        <f>1-AJ633/100</f>
        <v>0</v>
      </c>
      <c r="AU633">
        <f>IF(AN633=1,AT633,1)</f>
        <v>0</v>
      </c>
      <c r="AV633">
        <f>IF(AM633=1,AT633,1)</f>
        <v>0</v>
      </c>
      <c r="AW633">
        <f>IF(AND(AQ633=1,ISNUMBER(AT633)),$AT633,1)</f>
        <v>0</v>
      </c>
      <c r="AX633">
        <f>IF(AND(AR633=1,ISNUMBER(AT633)),$AT633,1)</f>
        <v>0</v>
      </c>
      <c r="AY633">
        <f>IF(ISNUMBER(Y633),INDEX(AllCollegeMoney, MATCH(N633,AllCollegeNCES,0)),0)</f>
        <v>0</v>
      </c>
      <c r="AZ633">
        <f>IF(AND(AQ633=1,ISNUMBER(AT633),AY633=1),$AT633,1)</f>
        <v>0</v>
      </c>
      <c r="BA633">
        <f>IF(AND(AR633=1,ISNUMBER(AT633),AY633=1),$AT633,1)</f>
        <v>0</v>
      </c>
      <c r="BB633">
        <f>IF(ISNUMBER(Y633),INDEX(AllCollegeILPub, MATCH(N633,AllCollegeNCES,0)),0)</f>
        <v>0</v>
      </c>
      <c r="BC633">
        <f>IF(AK633=ReachLabel,AP633,0)</f>
        <v>0</v>
      </c>
      <c r="BD633">
        <f>IF(AK633=MatchLabel,AP633,0)</f>
        <v>0</v>
      </c>
      <c r="BE633">
        <f>IF(AK633=SafetyLabel,AP633,0)</f>
        <v>0</v>
      </c>
      <c r="BF633">
        <f>IF(AK633=SecureLabel,AP633,0)</f>
        <v>0</v>
      </c>
      <c r="BG633">
        <f>IF(AK633=SureThingLabel,AP633,0)</f>
        <v>0</v>
      </c>
      <c r="BH633">
        <f>MAX(BC633:BG633)</f>
        <v>0</v>
      </c>
      <c r="BI633">
        <f>MAX(BD633:BG633)</f>
        <v>0</v>
      </c>
      <c r="BJ633">
        <f>MAX(BE633:BG633)</f>
        <v>0</v>
      </c>
      <c r="BK633">
        <f>IF(AND(AK633=ReachLabel,AY633=1),AP633,0)</f>
        <v>0</v>
      </c>
      <c r="BL633">
        <f>IF(AND(AK633=MatchLabel,AY633=1),AP633,0)</f>
        <v>0</v>
      </c>
      <c r="BM633">
        <f>IF(AND(AK633=SafetyLabel,AY633=1),AP633,0)</f>
        <v>0</v>
      </c>
      <c r="BN633">
        <f>IF(AND(AK633=SecureLabel,AY633=1),AP633,0)</f>
        <v>0</v>
      </c>
      <c r="BO633">
        <f>IF(AND(AK633=SureThingLabel,AY633=1),AP633,0)</f>
        <v>0</v>
      </c>
      <c r="BP633">
        <f>MAX(BK633:BO633)</f>
        <v>0</v>
      </c>
      <c r="BQ633">
        <f>MAX(BL633:BO633)</f>
        <v>0</v>
      </c>
      <c r="BR633">
        <f>MAX(BM633:BO633)</f>
        <v>0</v>
      </c>
      <c r="BS633">
        <f>IF(ISNUMBER(Y633),INDEX(AllCollegeChicago, MATCH(N633,AllCollegeNCES,0))*AY633,0)</f>
        <v>0</v>
      </c>
      <c r="BT633">
        <f>IF(ISNUMBER(Y633),INDEX(AllCollegeMoneyCode, MATCH(N633,AllCollegeNCES,0)),"?")</f>
        <v>0</v>
      </c>
      <c r="BU633">
        <f>IF(OR(BT633="---",BT633="--",BT633="+/--",BT633="+/---"),1,0)</f>
        <v>0</v>
      </c>
      <c r="BV633">
        <f>AY633*AO633*AQ633</f>
        <v>0</v>
      </c>
    </row>
    <row r="634" spans="1:74">
      <c r="A634" t="s">
        <v>86</v>
      </c>
      <c r="B634">
        <v>24136022</v>
      </c>
      <c r="C634" t="s">
        <v>209</v>
      </c>
      <c r="D634" t="s">
        <v>210</v>
      </c>
      <c r="E634" t="s">
        <v>428</v>
      </c>
      <c r="F634" t="s">
        <v>443</v>
      </c>
      <c r="G634" t="s">
        <v>430</v>
      </c>
      <c r="H634" t="s">
        <v>431</v>
      </c>
      <c r="I634" t="s">
        <v>432</v>
      </c>
      <c r="J634" t="s">
        <v>432</v>
      </c>
      <c r="K634">
        <v>0</v>
      </c>
      <c r="L634" t="s">
        <v>428</v>
      </c>
      <c r="M634" t="s">
        <v>428</v>
      </c>
      <c r="N634">
        <v>144209</v>
      </c>
      <c r="O634">
        <f>INDEX(AllCollegeBarrons,MATCH(N634,AllCollegeNCES,0))</f>
        <v>0</v>
      </c>
      <c r="P634">
        <f>INDEX(KidGPAs,MATCH(B634,KidIDs,0))</f>
        <v>0</v>
      </c>
      <c r="Q634">
        <f>INDEX(KidACTs,MATCH(B634,KidIDs,0))</f>
        <v>0</v>
      </c>
      <c r="R634">
        <f>INDEX(Strats,MATCH(B634,KidIDs,0))</f>
        <v>0</v>
      </c>
      <c r="S634">
        <f>INDEX(KidRace,MATCH(B634,KidIDs,0))</f>
        <v>0</v>
      </c>
      <c r="T634">
        <f>IF(OR(S634="M",S634="I"),"H",S634)</f>
        <v>0</v>
      </c>
      <c r="U634">
        <f>INDEX(StudentTargets,MATCH(B634,KidIDs,0))</f>
        <v>0</v>
      </c>
      <c r="V634">
        <f>INDEX(ReachStudentTargets,MATCH(B634,KidIDs,0))</f>
        <v>0</v>
      </c>
      <c r="W634">
        <f>IF(OR(M634="Posse"),1,0)</f>
        <v>0</v>
      </c>
      <c r="X634">
        <f>IF(ISNUMBER(INDEX(AllCollegeGR, MATCH(N634,AllCollegeNCES,0))),ROUND(INDEX(AllCollegeGR, MATCH(N634,AllCollegeNCES,0))+W634*IF(INDEX(AllCollegeGR, MATCH(N634,AllCollegeNCES,0))&gt;0.7,(1-INDEX(AllCollegeGR, MATCH(N634,AllCollegeNCES,0)))/2,0.15),2),INDEX(AllCollegeGR, MATCH(N634,AllCollegeNCES,0)))</f>
        <v>0</v>
      </c>
      <c r="Y634">
        <f>IF(ISNUMBER(INDEX(AllCollegeAAHGR, MATCH(N634,AllCollegeNCES,0))),ROUND(INDEX(AllCollegeAAHGR, MATCH(N634,AllCollegeNCES,0))+W634*IF(INDEX(AllCollegeAAHGR, MATCH(N634,AllCollegeNCES,0))&gt;0.7,(1-INDEX(AllCollegeAAHGR, MATCH(N634,AllCollegeNCES,0)))/2,0.15),2),INDEX(AllCollegeAAHGR, MATCH(N634,AllCollegeNCES,0)))</f>
        <v>0</v>
      </c>
      <c r="Z634">
        <f>IF(OR(T634="H",T634="B"),INDEX(AllCollegeACT25, MATCH(N634,AllCollegeNCES,0)),INDEX(AllCollegeACT50, MATCH(N634,AllCollegeNCES,0)))</f>
        <v>0</v>
      </c>
      <c r="AA634">
        <f>INDEX(CustomWeightsGPA,MATCH(T634&amp;":"&amp;N634,CustomWeightsIndex,0))</f>
        <v>0</v>
      </c>
      <c r="AB634">
        <f>INDEX(CustomWeightsACT,MATCH(T634&amp;":"&amp;N634,CustomWeightsIndex,0))</f>
        <v>0</v>
      </c>
      <c r="AC634">
        <f>INDEX(CustomWeightsIntercept,MATCH(T634&amp;":"&amp;N634,CustomWeightsIndex,0))</f>
        <v>0</v>
      </c>
      <c r="AD634">
        <f>AA634*P634+AB634*Q634+AC634</f>
        <v>0</v>
      </c>
      <c r="AE634">
        <f>INDEX(CoefficientsGPA,MATCH(T634&amp;":"&amp;O634,CoefficientsIndex,0))</f>
        <v>0</v>
      </c>
      <c r="AF634">
        <f>INDEX(CoefficientsACT,MATCH(T634&amp;":"&amp;O634,CoefficientsIndex,0))</f>
        <v>0</v>
      </c>
      <c r="AG634">
        <f>INDEX(CoefficientsIntercept,MATCH(T634&amp;":"&amp;O634,CoefficientsIndex,0))</f>
        <v>0</v>
      </c>
      <c r="AH634">
        <f>AE634*P634+(Q634-Z634)*AF634+AG634</f>
        <v>0</v>
      </c>
      <c r="AI634">
        <f>IF(ISNUMBER(AD634),AD634,AH634)</f>
        <v>0</v>
      </c>
      <c r="AJ634">
        <f>IF(ISNUMBER(AI634),IF(ISNUMBER(AE634),IF(AND(AE634=1,AF634=1,AG634=1),100,ROUND(100*EXP(AI634)/(1+EXP(AI634)),2)),ROUND(100*EXP(AI634)/(1+EXP(AI634)),2)),IF(ISTEXT(O634),IF(LEFT(O634,1)="2",100,"N/A"),"N/A"))</f>
        <v>0</v>
      </c>
      <c r="AK634">
        <f>IF(ISNUMBER(AJ634),IF(AJ634&gt;=99,IF(OR(R634=10,R634=11),MatchLabel,SureThingLabel),IF(AJ634&gt;=95,SecureLabel,IF(AJ634&gt;=80,SafetyLabel,IF(AJ634&gt;=50,MatchLabel,IF(AJ634&gt;=20,ReachLabel,IF(AJ634&gt;=10,LongshotLabel,HailMaryLabel)))))),"Other")</f>
        <v>0</v>
      </c>
      <c r="AL634">
        <f>IF(OR(I634="accepted",I634="cond. accept",I634="summer admit"),IF(J634="yes","CHOICE!","Accepted!"),IF(I634="denied","Denied",IF(K634=1,"Waitlist",IF(L634=1,"Deferred",IF(G634="pending","Pending",IF(OR(G634="initial materials submitted",G634="mid-year submitted",G634="final submitted"),"Submitted",IF(H634="interest","Interest","?")))))))</f>
        <v>0</v>
      </c>
      <c r="AM634">
        <f>IF(OR(AK634=ReachLabel,AK634=LongshotLabel,AK634=HailMaryLabel),1,0)</f>
        <v>0</v>
      </c>
      <c r="AN634">
        <f>IF(OR(AM634=1,AK634=MatchLabel),1,0)</f>
        <v>0</v>
      </c>
      <c r="AO634">
        <f>IF(OR(AK634=MatchLabel,AK634=SafetyLabel,AK634=SecureLabel,AK634=SureThingLabel),1,0)</f>
        <v>0</v>
      </c>
      <c r="AP634">
        <f>IF(OR(T634="H",T634="B"),IF(ISNUMBER(Y634),ROUND(Y634,2),0),IF(ISNUMBER(X634),ROUND(X634,2),0))</f>
        <v>0</v>
      </c>
      <c r="AQ634">
        <f>IF(AP634&gt;=U634,1,0)</f>
        <v>0</v>
      </c>
      <c r="AR634">
        <f>IF(AP634&gt;=V634,1,0)</f>
        <v>0</v>
      </c>
      <c r="AS634">
        <f>IF(AP634&lt;(U634-0.10),1,0)</f>
        <v>0</v>
      </c>
      <c r="AT634">
        <f>1-AJ634/100</f>
        <v>0</v>
      </c>
      <c r="AU634">
        <f>IF(AN634=1,AT634,1)</f>
        <v>0</v>
      </c>
      <c r="AV634">
        <f>IF(AM634=1,AT634,1)</f>
        <v>0</v>
      </c>
      <c r="AW634">
        <f>IF(AND(AQ634=1,ISNUMBER(AT634)),$AT634,1)</f>
        <v>0</v>
      </c>
      <c r="AX634">
        <f>IF(AND(AR634=1,ISNUMBER(AT634)),$AT634,1)</f>
        <v>0</v>
      </c>
      <c r="AY634">
        <f>IF(ISNUMBER(Y634),INDEX(AllCollegeMoney, MATCH(N634,AllCollegeNCES,0)),0)</f>
        <v>0</v>
      </c>
      <c r="AZ634">
        <f>IF(AND(AQ634=1,ISNUMBER(AT634),AY634=1),$AT634,1)</f>
        <v>0</v>
      </c>
      <c r="BA634">
        <f>IF(AND(AR634=1,ISNUMBER(AT634),AY634=1),$AT634,1)</f>
        <v>0</v>
      </c>
      <c r="BB634">
        <f>IF(ISNUMBER(Y634),INDEX(AllCollegeILPub, MATCH(N634,AllCollegeNCES,0)),0)</f>
        <v>0</v>
      </c>
      <c r="BC634">
        <f>IF(AK634=ReachLabel,AP634,0)</f>
        <v>0</v>
      </c>
      <c r="BD634">
        <f>IF(AK634=MatchLabel,AP634,0)</f>
        <v>0</v>
      </c>
      <c r="BE634">
        <f>IF(AK634=SafetyLabel,AP634,0)</f>
        <v>0</v>
      </c>
      <c r="BF634">
        <f>IF(AK634=SecureLabel,AP634,0)</f>
        <v>0</v>
      </c>
      <c r="BG634">
        <f>IF(AK634=SureThingLabel,AP634,0)</f>
        <v>0</v>
      </c>
      <c r="BH634">
        <f>MAX(BC634:BG634)</f>
        <v>0</v>
      </c>
      <c r="BI634">
        <f>MAX(BD634:BG634)</f>
        <v>0</v>
      </c>
      <c r="BJ634">
        <f>MAX(BE634:BG634)</f>
        <v>0</v>
      </c>
      <c r="BK634">
        <f>IF(AND(AK634=ReachLabel,AY634=1),AP634,0)</f>
        <v>0</v>
      </c>
      <c r="BL634">
        <f>IF(AND(AK634=MatchLabel,AY634=1),AP634,0)</f>
        <v>0</v>
      </c>
      <c r="BM634">
        <f>IF(AND(AK634=SafetyLabel,AY634=1),AP634,0)</f>
        <v>0</v>
      </c>
      <c r="BN634">
        <f>IF(AND(AK634=SecureLabel,AY634=1),AP634,0)</f>
        <v>0</v>
      </c>
      <c r="BO634">
        <f>IF(AND(AK634=SureThingLabel,AY634=1),AP634,0)</f>
        <v>0</v>
      </c>
      <c r="BP634">
        <f>MAX(BK634:BO634)</f>
        <v>0</v>
      </c>
      <c r="BQ634">
        <f>MAX(BL634:BO634)</f>
        <v>0</v>
      </c>
      <c r="BR634">
        <f>MAX(BM634:BO634)</f>
        <v>0</v>
      </c>
      <c r="BS634">
        <f>IF(ISNUMBER(Y634),INDEX(AllCollegeChicago, MATCH(N634,AllCollegeNCES,0))*AY634,0)</f>
        <v>0</v>
      </c>
      <c r="BT634">
        <f>IF(ISNUMBER(Y634),INDEX(AllCollegeMoneyCode, MATCH(N634,AllCollegeNCES,0)),"?")</f>
        <v>0</v>
      </c>
      <c r="BU634">
        <f>IF(OR(BT634="---",BT634="--",BT634="+/--",BT634="+/---"),1,0)</f>
        <v>0</v>
      </c>
      <c r="BV634">
        <f>AY634*AO634*AQ634</f>
        <v>0</v>
      </c>
    </row>
    <row r="635" spans="1:74">
      <c r="A635" t="s">
        <v>86</v>
      </c>
      <c r="B635">
        <v>24136022</v>
      </c>
      <c r="C635" t="s">
        <v>209</v>
      </c>
      <c r="D635" t="s">
        <v>210</v>
      </c>
      <c r="E635" t="s">
        <v>428</v>
      </c>
      <c r="F635" t="s">
        <v>445</v>
      </c>
      <c r="G635" t="s">
        <v>430</v>
      </c>
      <c r="H635" t="s">
        <v>431</v>
      </c>
      <c r="I635" t="s">
        <v>432</v>
      </c>
      <c r="J635" t="s">
        <v>432</v>
      </c>
      <c r="K635">
        <v>0</v>
      </c>
      <c r="L635" t="s">
        <v>428</v>
      </c>
      <c r="M635" t="s">
        <v>428</v>
      </c>
      <c r="N635">
        <v>147776</v>
      </c>
      <c r="O635">
        <f>INDEX(AllCollegeBarrons,MATCH(N635,AllCollegeNCES,0))</f>
        <v>0</v>
      </c>
      <c r="P635">
        <f>INDEX(KidGPAs,MATCH(B635,KidIDs,0))</f>
        <v>0</v>
      </c>
      <c r="Q635">
        <f>INDEX(KidACTs,MATCH(B635,KidIDs,0))</f>
        <v>0</v>
      </c>
      <c r="R635">
        <f>INDEX(Strats,MATCH(B635,KidIDs,0))</f>
        <v>0</v>
      </c>
      <c r="S635">
        <f>INDEX(KidRace,MATCH(B635,KidIDs,0))</f>
        <v>0</v>
      </c>
      <c r="T635">
        <f>IF(OR(S635="M",S635="I"),"H",S635)</f>
        <v>0</v>
      </c>
      <c r="U635">
        <f>INDEX(StudentTargets,MATCH(B635,KidIDs,0))</f>
        <v>0</v>
      </c>
      <c r="V635">
        <f>INDEX(ReachStudentTargets,MATCH(B635,KidIDs,0))</f>
        <v>0</v>
      </c>
      <c r="W635">
        <f>IF(OR(M635="Posse"),1,0)</f>
        <v>0</v>
      </c>
      <c r="X635">
        <f>IF(ISNUMBER(INDEX(AllCollegeGR, MATCH(N635,AllCollegeNCES,0))),ROUND(INDEX(AllCollegeGR, MATCH(N635,AllCollegeNCES,0))+W635*IF(INDEX(AllCollegeGR, MATCH(N635,AllCollegeNCES,0))&gt;0.7,(1-INDEX(AllCollegeGR, MATCH(N635,AllCollegeNCES,0)))/2,0.15),2),INDEX(AllCollegeGR, MATCH(N635,AllCollegeNCES,0)))</f>
        <v>0</v>
      </c>
      <c r="Y635">
        <f>IF(ISNUMBER(INDEX(AllCollegeAAHGR, MATCH(N635,AllCollegeNCES,0))),ROUND(INDEX(AllCollegeAAHGR, MATCH(N635,AllCollegeNCES,0))+W635*IF(INDEX(AllCollegeAAHGR, MATCH(N635,AllCollegeNCES,0))&gt;0.7,(1-INDEX(AllCollegeAAHGR, MATCH(N635,AllCollegeNCES,0)))/2,0.15),2),INDEX(AllCollegeAAHGR, MATCH(N635,AllCollegeNCES,0)))</f>
        <v>0</v>
      </c>
      <c r="Z635">
        <f>IF(OR(T635="H",T635="B"),INDEX(AllCollegeACT25, MATCH(N635,AllCollegeNCES,0)),INDEX(AllCollegeACT50, MATCH(N635,AllCollegeNCES,0)))</f>
        <v>0</v>
      </c>
      <c r="AA635">
        <f>INDEX(CustomWeightsGPA,MATCH(T635&amp;":"&amp;N635,CustomWeightsIndex,0))</f>
        <v>0</v>
      </c>
      <c r="AB635">
        <f>INDEX(CustomWeightsACT,MATCH(T635&amp;":"&amp;N635,CustomWeightsIndex,0))</f>
        <v>0</v>
      </c>
      <c r="AC635">
        <f>INDEX(CustomWeightsIntercept,MATCH(T635&amp;":"&amp;N635,CustomWeightsIndex,0))</f>
        <v>0</v>
      </c>
      <c r="AD635">
        <f>AA635*P635+AB635*Q635+AC635</f>
        <v>0</v>
      </c>
      <c r="AE635">
        <f>INDEX(CoefficientsGPA,MATCH(T635&amp;":"&amp;O635,CoefficientsIndex,0))</f>
        <v>0</v>
      </c>
      <c r="AF635">
        <f>INDEX(CoefficientsACT,MATCH(T635&amp;":"&amp;O635,CoefficientsIndex,0))</f>
        <v>0</v>
      </c>
      <c r="AG635">
        <f>INDEX(CoefficientsIntercept,MATCH(T635&amp;":"&amp;O635,CoefficientsIndex,0))</f>
        <v>0</v>
      </c>
      <c r="AH635">
        <f>AE635*P635+(Q635-Z635)*AF635+AG635</f>
        <v>0</v>
      </c>
      <c r="AI635">
        <f>IF(ISNUMBER(AD635),AD635,AH635)</f>
        <v>0</v>
      </c>
      <c r="AJ635">
        <f>IF(ISNUMBER(AI635),IF(ISNUMBER(AE635),IF(AND(AE635=1,AF635=1,AG635=1),100,ROUND(100*EXP(AI635)/(1+EXP(AI635)),2)),ROUND(100*EXP(AI635)/(1+EXP(AI635)),2)),IF(ISTEXT(O635),IF(LEFT(O635,1)="2",100,"N/A"),"N/A"))</f>
        <v>0</v>
      </c>
      <c r="AK635">
        <f>IF(ISNUMBER(AJ635),IF(AJ635&gt;=99,IF(OR(R635=10,R635=11),MatchLabel,SureThingLabel),IF(AJ635&gt;=95,SecureLabel,IF(AJ635&gt;=80,SafetyLabel,IF(AJ635&gt;=50,MatchLabel,IF(AJ635&gt;=20,ReachLabel,IF(AJ635&gt;=10,LongshotLabel,HailMaryLabel)))))),"Other")</f>
        <v>0</v>
      </c>
      <c r="AL635">
        <f>IF(OR(I635="accepted",I635="cond. accept",I635="summer admit"),IF(J635="yes","CHOICE!","Accepted!"),IF(I635="denied","Denied",IF(K635=1,"Waitlist",IF(L635=1,"Deferred",IF(G635="pending","Pending",IF(OR(G635="initial materials submitted",G635="mid-year submitted",G635="final submitted"),"Submitted",IF(H635="interest","Interest","?")))))))</f>
        <v>0</v>
      </c>
      <c r="AM635">
        <f>IF(OR(AK635=ReachLabel,AK635=LongshotLabel,AK635=HailMaryLabel),1,0)</f>
        <v>0</v>
      </c>
      <c r="AN635">
        <f>IF(OR(AM635=1,AK635=MatchLabel),1,0)</f>
        <v>0</v>
      </c>
      <c r="AO635">
        <f>IF(OR(AK635=MatchLabel,AK635=SafetyLabel,AK635=SecureLabel,AK635=SureThingLabel),1,0)</f>
        <v>0</v>
      </c>
      <c r="AP635">
        <f>IF(OR(T635="H",T635="B"),IF(ISNUMBER(Y635),ROUND(Y635,2),0),IF(ISNUMBER(X635),ROUND(X635,2),0))</f>
        <v>0</v>
      </c>
      <c r="AQ635">
        <f>IF(AP635&gt;=U635,1,0)</f>
        <v>0</v>
      </c>
      <c r="AR635">
        <f>IF(AP635&gt;=V635,1,0)</f>
        <v>0</v>
      </c>
      <c r="AS635">
        <f>IF(AP635&lt;(U635-0.10),1,0)</f>
        <v>0</v>
      </c>
      <c r="AT635">
        <f>1-AJ635/100</f>
        <v>0</v>
      </c>
      <c r="AU635">
        <f>IF(AN635=1,AT635,1)</f>
        <v>0</v>
      </c>
      <c r="AV635">
        <f>IF(AM635=1,AT635,1)</f>
        <v>0</v>
      </c>
      <c r="AW635">
        <f>IF(AND(AQ635=1,ISNUMBER(AT635)),$AT635,1)</f>
        <v>0</v>
      </c>
      <c r="AX635">
        <f>IF(AND(AR635=1,ISNUMBER(AT635)),$AT635,1)</f>
        <v>0</v>
      </c>
      <c r="AY635">
        <f>IF(ISNUMBER(Y635),INDEX(AllCollegeMoney, MATCH(N635,AllCollegeNCES,0)),0)</f>
        <v>0</v>
      </c>
      <c r="AZ635">
        <f>IF(AND(AQ635=1,ISNUMBER(AT635),AY635=1),$AT635,1)</f>
        <v>0</v>
      </c>
      <c r="BA635">
        <f>IF(AND(AR635=1,ISNUMBER(AT635),AY635=1),$AT635,1)</f>
        <v>0</v>
      </c>
      <c r="BB635">
        <f>IF(ISNUMBER(Y635),INDEX(AllCollegeILPub, MATCH(N635,AllCollegeNCES,0)),0)</f>
        <v>0</v>
      </c>
      <c r="BC635">
        <f>IF(AK635=ReachLabel,AP635,0)</f>
        <v>0</v>
      </c>
      <c r="BD635">
        <f>IF(AK635=MatchLabel,AP635,0)</f>
        <v>0</v>
      </c>
      <c r="BE635">
        <f>IF(AK635=SafetyLabel,AP635,0)</f>
        <v>0</v>
      </c>
      <c r="BF635">
        <f>IF(AK635=SecureLabel,AP635,0)</f>
        <v>0</v>
      </c>
      <c r="BG635">
        <f>IF(AK635=SureThingLabel,AP635,0)</f>
        <v>0</v>
      </c>
      <c r="BH635">
        <f>MAX(BC635:BG635)</f>
        <v>0</v>
      </c>
      <c r="BI635">
        <f>MAX(BD635:BG635)</f>
        <v>0</v>
      </c>
      <c r="BJ635">
        <f>MAX(BE635:BG635)</f>
        <v>0</v>
      </c>
      <c r="BK635">
        <f>IF(AND(AK635=ReachLabel,AY635=1),AP635,0)</f>
        <v>0</v>
      </c>
      <c r="BL635">
        <f>IF(AND(AK635=MatchLabel,AY635=1),AP635,0)</f>
        <v>0</v>
      </c>
      <c r="BM635">
        <f>IF(AND(AK635=SafetyLabel,AY635=1),AP635,0)</f>
        <v>0</v>
      </c>
      <c r="BN635">
        <f>IF(AND(AK635=SecureLabel,AY635=1),AP635,0)</f>
        <v>0</v>
      </c>
      <c r="BO635">
        <f>IF(AND(AK635=SureThingLabel,AY635=1),AP635,0)</f>
        <v>0</v>
      </c>
      <c r="BP635">
        <f>MAX(BK635:BO635)</f>
        <v>0</v>
      </c>
      <c r="BQ635">
        <f>MAX(BL635:BO635)</f>
        <v>0</v>
      </c>
      <c r="BR635">
        <f>MAX(BM635:BO635)</f>
        <v>0</v>
      </c>
      <c r="BS635">
        <f>IF(ISNUMBER(Y635),INDEX(AllCollegeChicago, MATCH(N635,AllCollegeNCES,0))*AY635,0)</f>
        <v>0</v>
      </c>
      <c r="BT635">
        <f>IF(ISNUMBER(Y635),INDEX(AllCollegeMoneyCode, MATCH(N635,AllCollegeNCES,0)),"?")</f>
        <v>0</v>
      </c>
      <c r="BU635">
        <f>IF(OR(BT635="---",BT635="--",BT635="+/--",BT635="+/---"),1,0)</f>
        <v>0</v>
      </c>
      <c r="BV635">
        <f>AY635*AO635*AQ635</f>
        <v>0</v>
      </c>
    </row>
    <row r="636" spans="1:74">
      <c r="A636" t="s">
        <v>86</v>
      </c>
      <c r="B636">
        <v>24155152</v>
      </c>
      <c r="C636" t="s">
        <v>215</v>
      </c>
      <c r="D636" t="s">
        <v>216</v>
      </c>
      <c r="E636" t="s">
        <v>428</v>
      </c>
      <c r="F636" t="s">
        <v>497</v>
      </c>
      <c r="G636" t="s">
        <v>430</v>
      </c>
      <c r="H636" t="s">
        <v>431</v>
      </c>
      <c r="I636" t="s">
        <v>432</v>
      </c>
      <c r="J636" t="s">
        <v>432</v>
      </c>
      <c r="K636">
        <v>0</v>
      </c>
      <c r="L636" t="s">
        <v>428</v>
      </c>
      <c r="M636" t="s">
        <v>428</v>
      </c>
      <c r="N636">
        <v>131520</v>
      </c>
      <c r="O636">
        <f>INDEX(AllCollegeBarrons,MATCH(N636,AllCollegeNCES,0))</f>
        <v>0</v>
      </c>
      <c r="P636">
        <f>INDEX(KidGPAs,MATCH(B636,KidIDs,0))</f>
        <v>0</v>
      </c>
      <c r="Q636">
        <f>INDEX(KidACTs,MATCH(B636,KidIDs,0))</f>
        <v>0</v>
      </c>
      <c r="R636">
        <f>INDEX(Strats,MATCH(B636,KidIDs,0))</f>
        <v>0</v>
      </c>
      <c r="S636">
        <f>INDEX(KidRace,MATCH(B636,KidIDs,0))</f>
        <v>0</v>
      </c>
      <c r="T636">
        <f>IF(OR(S636="M",S636="I"),"H",S636)</f>
        <v>0</v>
      </c>
      <c r="U636">
        <f>INDEX(StudentTargets,MATCH(B636,KidIDs,0))</f>
        <v>0</v>
      </c>
      <c r="V636">
        <f>INDEX(ReachStudentTargets,MATCH(B636,KidIDs,0))</f>
        <v>0</v>
      </c>
      <c r="W636">
        <f>IF(OR(M636="Posse"),1,0)</f>
        <v>0</v>
      </c>
      <c r="X636">
        <f>IF(ISNUMBER(INDEX(AllCollegeGR, MATCH(N636,AllCollegeNCES,0))),ROUND(INDEX(AllCollegeGR, MATCH(N636,AllCollegeNCES,0))+W636*IF(INDEX(AllCollegeGR, MATCH(N636,AllCollegeNCES,0))&gt;0.7,(1-INDEX(AllCollegeGR, MATCH(N636,AllCollegeNCES,0)))/2,0.15),2),INDEX(AllCollegeGR, MATCH(N636,AllCollegeNCES,0)))</f>
        <v>0</v>
      </c>
      <c r="Y636">
        <f>IF(ISNUMBER(INDEX(AllCollegeAAHGR, MATCH(N636,AllCollegeNCES,0))),ROUND(INDEX(AllCollegeAAHGR, MATCH(N636,AllCollegeNCES,0))+W636*IF(INDEX(AllCollegeAAHGR, MATCH(N636,AllCollegeNCES,0))&gt;0.7,(1-INDEX(AllCollegeAAHGR, MATCH(N636,AllCollegeNCES,0)))/2,0.15),2),INDEX(AllCollegeAAHGR, MATCH(N636,AllCollegeNCES,0)))</f>
        <v>0</v>
      </c>
      <c r="Z636">
        <f>IF(OR(T636="H",T636="B"),INDEX(AllCollegeACT25, MATCH(N636,AllCollegeNCES,0)),INDEX(AllCollegeACT50, MATCH(N636,AllCollegeNCES,0)))</f>
        <v>0</v>
      </c>
      <c r="AA636">
        <f>INDEX(CustomWeightsGPA,MATCH(T636&amp;":"&amp;N636,CustomWeightsIndex,0))</f>
        <v>0</v>
      </c>
      <c r="AB636">
        <f>INDEX(CustomWeightsACT,MATCH(T636&amp;":"&amp;N636,CustomWeightsIndex,0))</f>
        <v>0</v>
      </c>
      <c r="AC636">
        <f>INDEX(CustomWeightsIntercept,MATCH(T636&amp;":"&amp;N636,CustomWeightsIndex,0))</f>
        <v>0</v>
      </c>
      <c r="AD636">
        <f>AA636*P636+AB636*Q636+AC636</f>
        <v>0</v>
      </c>
      <c r="AE636">
        <f>INDEX(CoefficientsGPA,MATCH(T636&amp;":"&amp;O636,CoefficientsIndex,0))</f>
        <v>0</v>
      </c>
      <c r="AF636">
        <f>INDEX(CoefficientsACT,MATCH(T636&amp;":"&amp;O636,CoefficientsIndex,0))</f>
        <v>0</v>
      </c>
      <c r="AG636">
        <f>INDEX(CoefficientsIntercept,MATCH(T636&amp;":"&amp;O636,CoefficientsIndex,0))</f>
        <v>0</v>
      </c>
      <c r="AH636">
        <f>AE636*P636+(Q636-Z636)*AF636+AG636</f>
        <v>0</v>
      </c>
      <c r="AI636">
        <f>IF(ISNUMBER(AD636),AD636,AH636)</f>
        <v>0</v>
      </c>
      <c r="AJ636">
        <f>IF(ISNUMBER(AI636),IF(ISNUMBER(AE636),IF(AND(AE636=1,AF636=1,AG636=1),100,ROUND(100*EXP(AI636)/(1+EXP(AI636)),2)),ROUND(100*EXP(AI636)/(1+EXP(AI636)),2)),IF(ISTEXT(O636),IF(LEFT(O636,1)="2",100,"N/A"),"N/A"))</f>
        <v>0</v>
      </c>
      <c r="AK636">
        <f>IF(ISNUMBER(AJ636),IF(AJ636&gt;=99,IF(OR(R636=10,R636=11),MatchLabel,SureThingLabel),IF(AJ636&gt;=95,SecureLabel,IF(AJ636&gt;=80,SafetyLabel,IF(AJ636&gt;=50,MatchLabel,IF(AJ636&gt;=20,ReachLabel,IF(AJ636&gt;=10,LongshotLabel,HailMaryLabel)))))),"Other")</f>
        <v>0</v>
      </c>
      <c r="AL636">
        <f>IF(OR(I636="accepted",I636="cond. accept",I636="summer admit"),IF(J636="yes","CHOICE!","Accepted!"),IF(I636="denied","Denied",IF(K636=1,"Waitlist",IF(L636=1,"Deferred",IF(G636="pending","Pending",IF(OR(G636="initial materials submitted",G636="mid-year submitted",G636="final submitted"),"Submitted",IF(H636="interest","Interest","?")))))))</f>
        <v>0</v>
      </c>
      <c r="AM636">
        <f>IF(OR(AK636=ReachLabel,AK636=LongshotLabel,AK636=HailMaryLabel),1,0)</f>
        <v>0</v>
      </c>
      <c r="AN636">
        <f>IF(OR(AM636=1,AK636=MatchLabel),1,0)</f>
        <v>0</v>
      </c>
      <c r="AO636">
        <f>IF(OR(AK636=MatchLabel,AK636=SafetyLabel,AK636=SecureLabel,AK636=SureThingLabel),1,0)</f>
        <v>0</v>
      </c>
      <c r="AP636">
        <f>IF(OR(T636="H",T636="B"),IF(ISNUMBER(Y636),ROUND(Y636,2),0),IF(ISNUMBER(X636),ROUND(X636,2),0))</f>
        <v>0</v>
      </c>
      <c r="AQ636">
        <f>IF(AP636&gt;=U636,1,0)</f>
        <v>0</v>
      </c>
      <c r="AR636">
        <f>IF(AP636&gt;=V636,1,0)</f>
        <v>0</v>
      </c>
      <c r="AS636">
        <f>IF(AP636&lt;(U636-0.10),1,0)</f>
        <v>0</v>
      </c>
      <c r="AT636">
        <f>1-AJ636/100</f>
        <v>0</v>
      </c>
      <c r="AU636">
        <f>IF(AN636=1,AT636,1)</f>
        <v>0</v>
      </c>
      <c r="AV636">
        <f>IF(AM636=1,AT636,1)</f>
        <v>0</v>
      </c>
      <c r="AW636">
        <f>IF(AND(AQ636=1,ISNUMBER(AT636)),$AT636,1)</f>
        <v>0</v>
      </c>
      <c r="AX636">
        <f>IF(AND(AR636=1,ISNUMBER(AT636)),$AT636,1)</f>
        <v>0</v>
      </c>
      <c r="AY636">
        <f>IF(ISNUMBER(Y636),INDEX(AllCollegeMoney, MATCH(N636,AllCollegeNCES,0)),0)</f>
        <v>0</v>
      </c>
      <c r="AZ636">
        <f>IF(AND(AQ636=1,ISNUMBER(AT636),AY636=1),$AT636,1)</f>
        <v>0</v>
      </c>
      <c r="BA636">
        <f>IF(AND(AR636=1,ISNUMBER(AT636),AY636=1),$AT636,1)</f>
        <v>0</v>
      </c>
      <c r="BB636">
        <f>IF(ISNUMBER(Y636),INDEX(AllCollegeILPub, MATCH(N636,AllCollegeNCES,0)),0)</f>
        <v>0</v>
      </c>
      <c r="BC636">
        <f>IF(AK636=ReachLabel,AP636,0)</f>
        <v>0</v>
      </c>
      <c r="BD636">
        <f>IF(AK636=MatchLabel,AP636,0)</f>
        <v>0</v>
      </c>
      <c r="BE636">
        <f>IF(AK636=SafetyLabel,AP636,0)</f>
        <v>0</v>
      </c>
      <c r="BF636">
        <f>IF(AK636=SecureLabel,AP636,0)</f>
        <v>0</v>
      </c>
      <c r="BG636">
        <f>IF(AK636=SureThingLabel,AP636,0)</f>
        <v>0</v>
      </c>
      <c r="BH636">
        <f>MAX(BC636:BG636)</f>
        <v>0</v>
      </c>
      <c r="BI636">
        <f>MAX(BD636:BG636)</f>
        <v>0</v>
      </c>
      <c r="BJ636">
        <f>MAX(BE636:BG636)</f>
        <v>0</v>
      </c>
      <c r="BK636">
        <f>IF(AND(AK636=ReachLabel,AY636=1),AP636,0)</f>
        <v>0</v>
      </c>
      <c r="BL636">
        <f>IF(AND(AK636=MatchLabel,AY636=1),AP636,0)</f>
        <v>0</v>
      </c>
      <c r="BM636">
        <f>IF(AND(AK636=SafetyLabel,AY636=1),AP636,0)</f>
        <v>0</v>
      </c>
      <c r="BN636">
        <f>IF(AND(AK636=SecureLabel,AY636=1),AP636,0)</f>
        <v>0</v>
      </c>
      <c r="BO636">
        <f>IF(AND(AK636=SureThingLabel,AY636=1),AP636,0)</f>
        <v>0</v>
      </c>
      <c r="BP636">
        <f>MAX(BK636:BO636)</f>
        <v>0</v>
      </c>
      <c r="BQ636">
        <f>MAX(BL636:BO636)</f>
        <v>0</v>
      </c>
      <c r="BR636">
        <f>MAX(BM636:BO636)</f>
        <v>0</v>
      </c>
      <c r="BS636">
        <f>IF(ISNUMBER(Y636),INDEX(AllCollegeChicago, MATCH(N636,AllCollegeNCES,0))*AY636,0)</f>
        <v>0</v>
      </c>
      <c r="BT636">
        <f>IF(ISNUMBER(Y636),INDEX(AllCollegeMoneyCode, MATCH(N636,AllCollegeNCES,0)),"?")</f>
        <v>0</v>
      </c>
      <c r="BU636">
        <f>IF(OR(BT636="---",BT636="--",BT636="+/--",BT636="+/---"),1,0)</f>
        <v>0</v>
      </c>
      <c r="BV636">
        <f>AY636*AO636*AQ636</f>
        <v>0</v>
      </c>
    </row>
    <row r="637" spans="1:74">
      <c r="A637" t="s">
        <v>86</v>
      </c>
      <c r="B637">
        <v>24155152</v>
      </c>
      <c r="C637" t="s">
        <v>215</v>
      </c>
      <c r="D637" t="s">
        <v>216</v>
      </c>
      <c r="E637" t="s">
        <v>428</v>
      </c>
      <c r="F637" t="s">
        <v>469</v>
      </c>
      <c r="G637" t="s">
        <v>430</v>
      </c>
      <c r="H637" t="s">
        <v>431</v>
      </c>
      <c r="I637" t="s">
        <v>432</v>
      </c>
      <c r="J637" t="s">
        <v>432</v>
      </c>
      <c r="K637">
        <v>0</v>
      </c>
      <c r="L637" t="s">
        <v>428</v>
      </c>
      <c r="M637" t="s">
        <v>428</v>
      </c>
      <c r="N637">
        <v>174844</v>
      </c>
      <c r="O637">
        <f>INDEX(AllCollegeBarrons,MATCH(N637,AllCollegeNCES,0))</f>
        <v>0</v>
      </c>
      <c r="P637">
        <f>INDEX(KidGPAs,MATCH(B637,KidIDs,0))</f>
        <v>0</v>
      </c>
      <c r="Q637">
        <f>INDEX(KidACTs,MATCH(B637,KidIDs,0))</f>
        <v>0</v>
      </c>
      <c r="R637">
        <f>INDEX(Strats,MATCH(B637,KidIDs,0))</f>
        <v>0</v>
      </c>
      <c r="S637">
        <f>INDEX(KidRace,MATCH(B637,KidIDs,0))</f>
        <v>0</v>
      </c>
      <c r="T637">
        <f>IF(OR(S637="M",S637="I"),"H",S637)</f>
        <v>0</v>
      </c>
      <c r="U637">
        <f>INDEX(StudentTargets,MATCH(B637,KidIDs,0))</f>
        <v>0</v>
      </c>
      <c r="V637">
        <f>INDEX(ReachStudentTargets,MATCH(B637,KidIDs,0))</f>
        <v>0</v>
      </c>
      <c r="W637">
        <f>IF(OR(M637="Posse"),1,0)</f>
        <v>0</v>
      </c>
      <c r="X637">
        <f>IF(ISNUMBER(INDEX(AllCollegeGR, MATCH(N637,AllCollegeNCES,0))),ROUND(INDEX(AllCollegeGR, MATCH(N637,AllCollegeNCES,0))+W637*IF(INDEX(AllCollegeGR, MATCH(N637,AllCollegeNCES,0))&gt;0.7,(1-INDEX(AllCollegeGR, MATCH(N637,AllCollegeNCES,0)))/2,0.15),2),INDEX(AllCollegeGR, MATCH(N637,AllCollegeNCES,0)))</f>
        <v>0</v>
      </c>
      <c r="Y637">
        <f>IF(ISNUMBER(INDEX(AllCollegeAAHGR, MATCH(N637,AllCollegeNCES,0))),ROUND(INDEX(AllCollegeAAHGR, MATCH(N637,AllCollegeNCES,0))+W637*IF(INDEX(AllCollegeAAHGR, MATCH(N637,AllCollegeNCES,0))&gt;0.7,(1-INDEX(AllCollegeAAHGR, MATCH(N637,AllCollegeNCES,0)))/2,0.15),2),INDEX(AllCollegeAAHGR, MATCH(N637,AllCollegeNCES,0)))</f>
        <v>0</v>
      </c>
      <c r="Z637">
        <f>IF(OR(T637="H",T637="B"),INDEX(AllCollegeACT25, MATCH(N637,AllCollegeNCES,0)),INDEX(AllCollegeACT50, MATCH(N637,AllCollegeNCES,0)))</f>
        <v>0</v>
      </c>
      <c r="AA637">
        <f>INDEX(CustomWeightsGPA,MATCH(T637&amp;":"&amp;N637,CustomWeightsIndex,0))</f>
        <v>0</v>
      </c>
      <c r="AB637">
        <f>INDEX(CustomWeightsACT,MATCH(T637&amp;":"&amp;N637,CustomWeightsIndex,0))</f>
        <v>0</v>
      </c>
      <c r="AC637">
        <f>INDEX(CustomWeightsIntercept,MATCH(T637&amp;":"&amp;N637,CustomWeightsIndex,0))</f>
        <v>0</v>
      </c>
      <c r="AD637">
        <f>AA637*P637+AB637*Q637+AC637</f>
        <v>0</v>
      </c>
      <c r="AE637">
        <f>INDEX(CoefficientsGPA,MATCH(T637&amp;":"&amp;O637,CoefficientsIndex,0))</f>
        <v>0</v>
      </c>
      <c r="AF637">
        <f>INDEX(CoefficientsACT,MATCH(T637&amp;":"&amp;O637,CoefficientsIndex,0))</f>
        <v>0</v>
      </c>
      <c r="AG637">
        <f>INDEX(CoefficientsIntercept,MATCH(T637&amp;":"&amp;O637,CoefficientsIndex,0))</f>
        <v>0</v>
      </c>
      <c r="AH637">
        <f>AE637*P637+(Q637-Z637)*AF637+AG637</f>
        <v>0</v>
      </c>
      <c r="AI637">
        <f>IF(ISNUMBER(AD637),AD637,AH637)</f>
        <v>0</v>
      </c>
      <c r="AJ637">
        <f>IF(ISNUMBER(AI637),IF(ISNUMBER(AE637),IF(AND(AE637=1,AF637=1,AG637=1),100,ROUND(100*EXP(AI637)/(1+EXP(AI637)),2)),ROUND(100*EXP(AI637)/(1+EXP(AI637)),2)),IF(ISTEXT(O637),IF(LEFT(O637,1)="2",100,"N/A"),"N/A"))</f>
        <v>0</v>
      </c>
      <c r="AK637">
        <f>IF(ISNUMBER(AJ637),IF(AJ637&gt;=99,IF(OR(R637=10,R637=11),MatchLabel,SureThingLabel),IF(AJ637&gt;=95,SecureLabel,IF(AJ637&gt;=80,SafetyLabel,IF(AJ637&gt;=50,MatchLabel,IF(AJ637&gt;=20,ReachLabel,IF(AJ637&gt;=10,LongshotLabel,HailMaryLabel)))))),"Other")</f>
        <v>0</v>
      </c>
      <c r="AL637">
        <f>IF(OR(I637="accepted",I637="cond. accept",I637="summer admit"),IF(J637="yes","CHOICE!","Accepted!"),IF(I637="denied","Denied",IF(K637=1,"Waitlist",IF(L637=1,"Deferred",IF(G637="pending","Pending",IF(OR(G637="initial materials submitted",G637="mid-year submitted",G637="final submitted"),"Submitted",IF(H637="interest","Interest","?")))))))</f>
        <v>0</v>
      </c>
      <c r="AM637">
        <f>IF(OR(AK637=ReachLabel,AK637=LongshotLabel,AK637=HailMaryLabel),1,0)</f>
        <v>0</v>
      </c>
      <c r="AN637">
        <f>IF(OR(AM637=1,AK637=MatchLabel),1,0)</f>
        <v>0</v>
      </c>
      <c r="AO637">
        <f>IF(OR(AK637=MatchLabel,AK637=SafetyLabel,AK637=SecureLabel,AK637=SureThingLabel),1,0)</f>
        <v>0</v>
      </c>
      <c r="AP637">
        <f>IF(OR(T637="H",T637="B"),IF(ISNUMBER(Y637),ROUND(Y637,2),0),IF(ISNUMBER(X637),ROUND(X637,2),0))</f>
        <v>0</v>
      </c>
      <c r="AQ637">
        <f>IF(AP637&gt;=U637,1,0)</f>
        <v>0</v>
      </c>
      <c r="AR637">
        <f>IF(AP637&gt;=V637,1,0)</f>
        <v>0</v>
      </c>
      <c r="AS637">
        <f>IF(AP637&lt;(U637-0.10),1,0)</f>
        <v>0</v>
      </c>
      <c r="AT637">
        <f>1-AJ637/100</f>
        <v>0</v>
      </c>
      <c r="AU637">
        <f>IF(AN637=1,AT637,1)</f>
        <v>0</v>
      </c>
      <c r="AV637">
        <f>IF(AM637=1,AT637,1)</f>
        <v>0</v>
      </c>
      <c r="AW637">
        <f>IF(AND(AQ637=1,ISNUMBER(AT637)),$AT637,1)</f>
        <v>0</v>
      </c>
      <c r="AX637">
        <f>IF(AND(AR637=1,ISNUMBER(AT637)),$AT637,1)</f>
        <v>0</v>
      </c>
      <c r="AY637">
        <f>IF(ISNUMBER(Y637),INDEX(AllCollegeMoney, MATCH(N637,AllCollegeNCES,0)),0)</f>
        <v>0</v>
      </c>
      <c r="AZ637">
        <f>IF(AND(AQ637=1,ISNUMBER(AT637),AY637=1),$AT637,1)</f>
        <v>0</v>
      </c>
      <c r="BA637">
        <f>IF(AND(AR637=1,ISNUMBER(AT637),AY637=1),$AT637,1)</f>
        <v>0</v>
      </c>
      <c r="BB637">
        <f>IF(ISNUMBER(Y637),INDEX(AllCollegeILPub, MATCH(N637,AllCollegeNCES,0)),0)</f>
        <v>0</v>
      </c>
      <c r="BC637">
        <f>IF(AK637=ReachLabel,AP637,0)</f>
        <v>0</v>
      </c>
      <c r="BD637">
        <f>IF(AK637=MatchLabel,AP637,0)</f>
        <v>0</v>
      </c>
      <c r="BE637">
        <f>IF(AK637=SafetyLabel,AP637,0)</f>
        <v>0</v>
      </c>
      <c r="BF637">
        <f>IF(AK637=SecureLabel,AP637,0)</f>
        <v>0</v>
      </c>
      <c r="BG637">
        <f>IF(AK637=SureThingLabel,AP637,0)</f>
        <v>0</v>
      </c>
      <c r="BH637">
        <f>MAX(BC637:BG637)</f>
        <v>0</v>
      </c>
      <c r="BI637">
        <f>MAX(BD637:BG637)</f>
        <v>0</v>
      </c>
      <c r="BJ637">
        <f>MAX(BE637:BG637)</f>
        <v>0</v>
      </c>
      <c r="BK637">
        <f>IF(AND(AK637=ReachLabel,AY637=1),AP637,0)</f>
        <v>0</v>
      </c>
      <c r="BL637">
        <f>IF(AND(AK637=MatchLabel,AY637=1),AP637,0)</f>
        <v>0</v>
      </c>
      <c r="BM637">
        <f>IF(AND(AK637=SafetyLabel,AY637=1),AP637,0)</f>
        <v>0</v>
      </c>
      <c r="BN637">
        <f>IF(AND(AK637=SecureLabel,AY637=1),AP637,0)</f>
        <v>0</v>
      </c>
      <c r="BO637">
        <f>IF(AND(AK637=SureThingLabel,AY637=1),AP637,0)</f>
        <v>0</v>
      </c>
      <c r="BP637">
        <f>MAX(BK637:BO637)</f>
        <v>0</v>
      </c>
      <c r="BQ637">
        <f>MAX(BL637:BO637)</f>
        <v>0</v>
      </c>
      <c r="BR637">
        <f>MAX(BM637:BO637)</f>
        <v>0</v>
      </c>
      <c r="BS637">
        <f>IF(ISNUMBER(Y637),INDEX(AllCollegeChicago, MATCH(N637,AllCollegeNCES,0))*AY637,0)</f>
        <v>0</v>
      </c>
      <c r="BT637">
        <f>IF(ISNUMBER(Y637),INDEX(AllCollegeMoneyCode, MATCH(N637,AllCollegeNCES,0)),"?")</f>
        <v>0</v>
      </c>
      <c r="BU637">
        <f>IF(OR(BT637="---",BT637="--",BT637="+/--",BT637="+/---"),1,0)</f>
        <v>0</v>
      </c>
      <c r="BV637">
        <f>AY637*AO637*AQ637</f>
        <v>0</v>
      </c>
    </row>
    <row r="638" spans="1:74">
      <c r="A638" t="s">
        <v>86</v>
      </c>
      <c r="B638">
        <v>24155152</v>
      </c>
      <c r="C638" t="s">
        <v>215</v>
      </c>
      <c r="D638" t="s">
        <v>216</v>
      </c>
      <c r="E638" t="s">
        <v>428</v>
      </c>
      <c r="F638" t="s">
        <v>457</v>
      </c>
      <c r="G638" t="s">
        <v>463</v>
      </c>
      <c r="H638" t="s">
        <v>431</v>
      </c>
      <c r="I638" t="s">
        <v>432</v>
      </c>
      <c r="J638" t="s">
        <v>432</v>
      </c>
      <c r="K638">
        <v>0</v>
      </c>
      <c r="L638" t="s">
        <v>428</v>
      </c>
      <c r="M638" t="s">
        <v>428</v>
      </c>
      <c r="N638">
        <v>145637</v>
      </c>
      <c r="O638">
        <f>INDEX(AllCollegeBarrons,MATCH(N638,AllCollegeNCES,0))</f>
        <v>0</v>
      </c>
      <c r="P638">
        <f>INDEX(KidGPAs,MATCH(B638,KidIDs,0))</f>
        <v>0</v>
      </c>
      <c r="Q638">
        <f>INDEX(KidACTs,MATCH(B638,KidIDs,0))</f>
        <v>0</v>
      </c>
      <c r="R638">
        <f>INDEX(Strats,MATCH(B638,KidIDs,0))</f>
        <v>0</v>
      </c>
      <c r="S638">
        <f>INDEX(KidRace,MATCH(B638,KidIDs,0))</f>
        <v>0</v>
      </c>
      <c r="T638">
        <f>IF(OR(S638="M",S638="I"),"H",S638)</f>
        <v>0</v>
      </c>
      <c r="U638">
        <f>INDEX(StudentTargets,MATCH(B638,KidIDs,0))</f>
        <v>0</v>
      </c>
      <c r="V638">
        <f>INDEX(ReachStudentTargets,MATCH(B638,KidIDs,0))</f>
        <v>0</v>
      </c>
      <c r="W638">
        <f>IF(OR(M638="Posse"),1,0)</f>
        <v>0</v>
      </c>
      <c r="X638">
        <f>IF(ISNUMBER(INDEX(AllCollegeGR, MATCH(N638,AllCollegeNCES,0))),ROUND(INDEX(AllCollegeGR, MATCH(N638,AllCollegeNCES,0))+W638*IF(INDEX(AllCollegeGR, MATCH(N638,AllCollegeNCES,0))&gt;0.7,(1-INDEX(AllCollegeGR, MATCH(N638,AllCollegeNCES,0)))/2,0.15),2),INDEX(AllCollegeGR, MATCH(N638,AllCollegeNCES,0)))</f>
        <v>0</v>
      </c>
      <c r="Y638">
        <f>IF(ISNUMBER(INDEX(AllCollegeAAHGR, MATCH(N638,AllCollegeNCES,0))),ROUND(INDEX(AllCollegeAAHGR, MATCH(N638,AllCollegeNCES,0))+W638*IF(INDEX(AllCollegeAAHGR, MATCH(N638,AllCollegeNCES,0))&gt;0.7,(1-INDEX(AllCollegeAAHGR, MATCH(N638,AllCollegeNCES,0)))/2,0.15),2),INDEX(AllCollegeAAHGR, MATCH(N638,AllCollegeNCES,0)))</f>
        <v>0</v>
      </c>
      <c r="Z638">
        <f>IF(OR(T638="H",T638="B"),INDEX(AllCollegeACT25, MATCH(N638,AllCollegeNCES,0)),INDEX(AllCollegeACT50, MATCH(N638,AllCollegeNCES,0)))</f>
        <v>0</v>
      </c>
      <c r="AA638">
        <f>INDEX(CustomWeightsGPA,MATCH(T638&amp;":"&amp;N638,CustomWeightsIndex,0))</f>
        <v>0</v>
      </c>
      <c r="AB638">
        <f>INDEX(CustomWeightsACT,MATCH(T638&amp;":"&amp;N638,CustomWeightsIndex,0))</f>
        <v>0</v>
      </c>
      <c r="AC638">
        <f>INDEX(CustomWeightsIntercept,MATCH(T638&amp;":"&amp;N638,CustomWeightsIndex,0))</f>
        <v>0</v>
      </c>
      <c r="AD638">
        <f>AA638*P638+AB638*Q638+AC638</f>
        <v>0</v>
      </c>
      <c r="AE638">
        <f>INDEX(CoefficientsGPA,MATCH(T638&amp;":"&amp;O638,CoefficientsIndex,0))</f>
        <v>0</v>
      </c>
      <c r="AF638">
        <f>INDEX(CoefficientsACT,MATCH(T638&amp;":"&amp;O638,CoefficientsIndex,0))</f>
        <v>0</v>
      </c>
      <c r="AG638">
        <f>INDEX(CoefficientsIntercept,MATCH(T638&amp;":"&amp;O638,CoefficientsIndex,0))</f>
        <v>0</v>
      </c>
      <c r="AH638">
        <f>AE638*P638+(Q638-Z638)*AF638+AG638</f>
        <v>0</v>
      </c>
      <c r="AI638">
        <f>IF(ISNUMBER(AD638),AD638,AH638)</f>
        <v>0</v>
      </c>
      <c r="AJ638">
        <f>IF(ISNUMBER(AI638),IF(ISNUMBER(AE638),IF(AND(AE638=1,AF638=1,AG638=1),100,ROUND(100*EXP(AI638)/(1+EXP(AI638)),2)),ROUND(100*EXP(AI638)/(1+EXP(AI638)),2)),IF(ISTEXT(O638),IF(LEFT(O638,1)="2",100,"N/A"),"N/A"))</f>
        <v>0</v>
      </c>
      <c r="AK638">
        <f>IF(ISNUMBER(AJ638),IF(AJ638&gt;=99,IF(OR(R638=10,R638=11),MatchLabel,SureThingLabel),IF(AJ638&gt;=95,SecureLabel,IF(AJ638&gt;=80,SafetyLabel,IF(AJ638&gt;=50,MatchLabel,IF(AJ638&gt;=20,ReachLabel,IF(AJ638&gt;=10,LongshotLabel,HailMaryLabel)))))),"Other")</f>
        <v>0</v>
      </c>
      <c r="AL638">
        <f>IF(OR(I638="accepted",I638="cond. accept",I638="summer admit"),IF(J638="yes","CHOICE!","Accepted!"),IF(I638="denied","Denied",IF(K638=1,"Waitlist",IF(L638=1,"Deferred",IF(G638="pending","Pending",IF(OR(G638="initial materials submitted",G638="mid-year submitted",G638="final submitted"),"Submitted",IF(H638="interest","Interest","?")))))))</f>
        <v>0</v>
      </c>
      <c r="AM638">
        <f>IF(OR(AK638=ReachLabel,AK638=LongshotLabel,AK638=HailMaryLabel),1,0)</f>
        <v>0</v>
      </c>
      <c r="AN638">
        <f>IF(OR(AM638=1,AK638=MatchLabel),1,0)</f>
        <v>0</v>
      </c>
      <c r="AO638">
        <f>IF(OR(AK638=MatchLabel,AK638=SafetyLabel,AK638=SecureLabel,AK638=SureThingLabel),1,0)</f>
        <v>0</v>
      </c>
      <c r="AP638">
        <f>IF(OR(T638="H",T638="B"),IF(ISNUMBER(Y638),ROUND(Y638,2),0),IF(ISNUMBER(X638),ROUND(X638,2),0))</f>
        <v>0</v>
      </c>
      <c r="AQ638">
        <f>IF(AP638&gt;=U638,1,0)</f>
        <v>0</v>
      </c>
      <c r="AR638">
        <f>IF(AP638&gt;=V638,1,0)</f>
        <v>0</v>
      </c>
      <c r="AS638">
        <f>IF(AP638&lt;(U638-0.10),1,0)</f>
        <v>0</v>
      </c>
      <c r="AT638">
        <f>1-AJ638/100</f>
        <v>0</v>
      </c>
      <c r="AU638">
        <f>IF(AN638=1,AT638,1)</f>
        <v>0</v>
      </c>
      <c r="AV638">
        <f>IF(AM638=1,AT638,1)</f>
        <v>0</v>
      </c>
      <c r="AW638">
        <f>IF(AND(AQ638=1,ISNUMBER(AT638)),$AT638,1)</f>
        <v>0</v>
      </c>
      <c r="AX638">
        <f>IF(AND(AR638=1,ISNUMBER(AT638)),$AT638,1)</f>
        <v>0</v>
      </c>
      <c r="AY638">
        <f>IF(ISNUMBER(Y638),INDEX(AllCollegeMoney, MATCH(N638,AllCollegeNCES,0)),0)</f>
        <v>0</v>
      </c>
      <c r="AZ638">
        <f>IF(AND(AQ638=1,ISNUMBER(AT638),AY638=1),$AT638,1)</f>
        <v>0</v>
      </c>
      <c r="BA638">
        <f>IF(AND(AR638=1,ISNUMBER(AT638),AY638=1),$AT638,1)</f>
        <v>0</v>
      </c>
      <c r="BB638">
        <f>IF(ISNUMBER(Y638),INDEX(AllCollegeILPub, MATCH(N638,AllCollegeNCES,0)),0)</f>
        <v>0</v>
      </c>
      <c r="BC638">
        <f>IF(AK638=ReachLabel,AP638,0)</f>
        <v>0</v>
      </c>
      <c r="BD638">
        <f>IF(AK638=MatchLabel,AP638,0)</f>
        <v>0</v>
      </c>
      <c r="BE638">
        <f>IF(AK638=SafetyLabel,AP638,0)</f>
        <v>0</v>
      </c>
      <c r="BF638">
        <f>IF(AK638=SecureLabel,AP638,0)</f>
        <v>0</v>
      </c>
      <c r="BG638">
        <f>IF(AK638=SureThingLabel,AP638,0)</f>
        <v>0</v>
      </c>
      <c r="BH638">
        <f>MAX(BC638:BG638)</f>
        <v>0</v>
      </c>
      <c r="BI638">
        <f>MAX(BD638:BG638)</f>
        <v>0</v>
      </c>
      <c r="BJ638">
        <f>MAX(BE638:BG638)</f>
        <v>0</v>
      </c>
      <c r="BK638">
        <f>IF(AND(AK638=ReachLabel,AY638=1),AP638,0)</f>
        <v>0</v>
      </c>
      <c r="BL638">
        <f>IF(AND(AK638=MatchLabel,AY638=1),AP638,0)</f>
        <v>0</v>
      </c>
      <c r="BM638">
        <f>IF(AND(AK638=SafetyLabel,AY638=1),AP638,0)</f>
        <v>0</v>
      </c>
      <c r="BN638">
        <f>IF(AND(AK638=SecureLabel,AY638=1),AP638,0)</f>
        <v>0</v>
      </c>
      <c r="BO638">
        <f>IF(AND(AK638=SureThingLabel,AY638=1),AP638,0)</f>
        <v>0</v>
      </c>
      <c r="BP638">
        <f>MAX(BK638:BO638)</f>
        <v>0</v>
      </c>
      <c r="BQ638">
        <f>MAX(BL638:BO638)</f>
        <v>0</v>
      </c>
      <c r="BR638">
        <f>MAX(BM638:BO638)</f>
        <v>0</v>
      </c>
      <c r="BS638">
        <f>IF(ISNUMBER(Y638),INDEX(AllCollegeChicago, MATCH(N638,AllCollegeNCES,0))*AY638,0)</f>
        <v>0</v>
      </c>
      <c r="BT638">
        <f>IF(ISNUMBER(Y638),INDEX(AllCollegeMoneyCode, MATCH(N638,AllCollegeNCES,0)),"?")</f>
        <v>0</v>
      </c>
      <c r="BU638">
        <f>IF(OR(BT638="---",BT638="--",BT638="+/--",BT638="+/---"),1,0)</f>
        <v>0</v>
      </c>
      <c r="BV638">
        <f>AY638*AO638*AQ638</f>
        <v>0</v>
      </c>
    </row>
    <row r="639" spans="1:74">
      <c r="A639" t="s">
        <v>86</v>
      </c>
      <c r="B639">
        <v>24155152</v>
      </c>
      <c r="C639" t="s">
        <v>215</v>
      </c>
      <c r="D639" t="s">
        <v>216</v>
      </c>
      <c r="E639" t="s">
        <v>428</v>
      </c>
      <c r="F639" t="s">
        <v>458</v>
      </c>
      <c r="G639" t="s">
        <v>430</v>
      </c>
      <c r="H639" t="s">
        <v>431</v>
      </c>
      <c r="I639" t="s">
        <v>432</v>
      </c>
      <c r="J639" t="s">
        <v>432</v>
      </c>
      <c r="K639">
        <v>0</v>
      </c>
      <c r="L639" t="s">
        <v>428</v>
      </c>
      <c r="M639" t="s">
        <v>428</v>
      </c>
      <c r="N639">
        <v>202523</v>
      </c>
      <c r="O639">
        <f>INDEX(AllCollegeBarrons,MATCH(N639,AllCollegeNCES,0))</f>
        <v>0</v>
      </c>
      <c r="P639">
        <f>INDEX(KidGPAs,MATCH(B639,KidIDs,0))</f>
        <v>0</v>
      </c>
      <c r="Q639">
        <f>INDEX(KidACTs,MATCH(B639,KidIDs,0))</f>
        <v>0</v>
      </c>
      <c r="R639">
        <f>INDEX(Strats,MATCH(B639,KidIDs,0))</f>
        <v>0</v>
      </c>
      <c r="S639">
        <f>INDEX(KidRace,MATCH(B639,KidIDs,0))</f>
        <v>0</v>
      </c>
      <c r="T639">
        <f>IF(OR(S639="M",S639="I"),"H",S639)</f>
        <v>0</v>
      </c>
      <c r="U639">
        <f>INDEX(StudentTargets,MATCH(B639,KidIDs,0))</f>
        <v>0</v>
      </c>
      <c r="V639">
        <f>INDEX(ReachStudentTargets,MATCH(B639,KidIDs,0))</f>
        <v>0</v>
      </c>
      <c r="W639">
        <f>IF(OR(M639="Posse"),1,0)</f>
        <v>0</v>
      </c>
      <c r="X639">
        <f>IF(ISNUMBER(INDEX(AllCollegeGR, MATCH(N639,AllCollegeNCES,0))),ROUND(INDEX(AllCollegeGR, MATCH(N639,AllCollegeNCES,0))+W639*IF(INDEX(AllCollegeGR, MATCH(N639,AllCollegeNCES,0))&gt;0.7,(1-INDEX(AllCollegeGR, MATCH(N639,AllCollegeNCES,0)))/2,0.15),2),INDEX(AllCollegeGR, MATCH(N639,AllCollegeNCES,0)))</f>
        <v>0</v>
      </c>
      <c r="Y639">
        <f>IF(ISNUMBER(INDEX(AllCollegeAAHGR, MATCH(N639,AllCollegeNCES,0))),ROUND(INDEX(AllCollegeAAHGR, MATCH(N639,AllCollegeNCES,0))+W639*IF(INDEX(AllCollegeAAHGR, MATCH(N639,AllCollegeNCES,0))&gt;0.7,(1-INDEX(AllCollegeAAHGR, MATCH(N639,AllCollegeNCES,0)))/2,0.15),2),INDEX(AllCollegeAAHGR, MATCH(N639,AllCollegeNCES,0)))</f>
        <v>0</v>
      </c>
      <c r="Z639">
        <f>IF(OR(T639="H",T639="B"),INDEX(AllCollegeACT25, MATCH(N639,AllCollegeNCES,0)),INDEX(AllCollegeACT50, MATCH(N639,AllCollegeNCES,0)))</f>
        <v>0</v>
      </c>
      <c r="AA639">
        <f>INDEX(CustomWeightsGPA,MATCH(T639&amp;":"&amp;N639,CustomWeightsIndex,0))</f>
        <v>0</v>
      </c>
      <c r="AB639">
        <f>INDEX(CustomWeightsACT,MATCH(T639&amp;":"&amp;N639,CustomWeightsIndex,0))</f>
        <v>0</v>
      </c>
      <c r="AC639">
        <f>INDEX(CustomWeightsIntercept,MATCH(T639&amp;":"&amp;N639,CustomWeightsIndex,0))</f>
        <v>0</v>
      </c>
      <c r="AD639">
        <f>AA639*P639+AB639*Q639+AC639</f>
        <v>0</v>
      </c>
      <c r="AE639">
        <f>INDEX(CoefficientsGPA,MATCH(T639&amp;":"&amp;O639,CoefficientsIndex,0))</f>
        <v>0</v>
      </c>
      <c r="AF639">
        <f>INDEX(CoefficientsACT,MATCH(T639&amp;":"&amp;O639,CoefficientsIndex,0))</f>
        <v>0</v>
      </c>
      <c r="AG639">
        <f>INDEX(CoefficientsIntercept,MATCH(T639&amp;":"&amp;O639,CoefficientsIndex,0))</f>
        <v>0</v>
      </c>
      <c r="AH639">
        <f>AE639*P639+(Q639-Z639)*AF639+AG639</f>
        <v>0</v>
      </c>
      <c r="AI639">
        <f>IF(ISNUMBER(AD639),AD639,AH639)</f>
        <v>0</v>
      </c>
      <c r="AJ639">
        <f>IF(ISNUMBER(AI639),IF(ISNUMBER(AE639),IF(AND(AE639=1,AF639=1,AG639=1),100,ROUND(100*EXP(AI639)/(1+EXP(AI639)),2)),ROUND(100*EXP(AI639)/(1+EXP(AI639)),2)),IF(ISTEXT(O639),IF(LEFT(O639,1)="2",100,"N/A"),"N/A"))</f>
        <v>0</v>
      </c>
      <c r="AK639">
        <f>IF(ISNUMBER(AJ639),IF(AJ639&gt;=99,IF(OR(R639=10,R639=11),MatchLabel,SureThingLabel),IF(AJ639&gt;=95,SecureLabel,IF(AJ639&gt;=80,SafetyLabel,IF(AJ639&gt;=50,MatchLabel,IF(AJ639&gt;=20,ReachLabel,IF(AJ639&gt;=10,LongshotLabel,HailMaryLabel)))))),"Other")</f>
        <v>0</v>
      </c>
      <c r="AL639">
        <f>IF(OR(I639="accepted",I639="cond. accept",I639="summer admit"),IF(J639="yes","CHOICE!","Accepted!"),IF(I639="denied","Denied",IF(K639=1,"Waitlist",IF(L639=1,"Deferred",IF(G639="pending","Pending",IF(OR(G639="initial materials submitted",G639="mid-year submitted",G639="final submitted"),"Submitted",IF(H639="interest","Interest","?")))))))</f>
        <v>0</v>
      </c>
      <c r="AM639">
        <f>IF(OR(AK639=ReachLabel,AK639=LongshotLabel,AK639=HailMaryLabel),1,0)</f>
        <v>0</v>
      </c>
      <c r="AN639">
        <f>IF(OR(AM639=1,AK639=MatchLabel),1,0)</f>
        <v>0</v>
      </c>
      <c r="AO639">
        <f>IF(OR(AK639=MatchLabel,AK639=SafetyLabel,AK639=SecureLabel,AK639=SureThingLabel),1,0)</f>
        <v>0</v>
      </c>
      <c r="AP639">
        <f>IF(OR(T639="H",T639="B"),IF(ISNUMBER(Y639),ROUND(Y639,2),0),IF(ISNUMBER(X639),ROUND(X639,2),0))</f>
        <v>0</v>
      </c>
      <c r="AQ639">
        <f>IF(AP639&gt;=U639,1,0)</f>
        <v>0</v>
      </c>
      <c r="AR639">
        <f>IF(AP639&gt;=V639,1,0)</f>
        <v>0</v>
      </c>
      <c r="AS639">
        <f>IF(AP639&lt;(U639-0.10),1,0)</f>
        <v>0</v>
      </c>
      <c r="AT639">
        <f>1-AJ639/100</f>
        <v>0</v>
      </c>
      <c r="AU639">
        <f>IF(AN639=1,AT639,1)</f>
        <v>0</v>
      </c>
      <c r="AV639">
        <f>IF(AM639=1,AT639,1)</f>
        <v>0</v>
      </c>
      <c r="AW639">
        <f>IF(AND(AQ639=1,ISNUMBER(AT639)),$AT639,1)</f>
        <v>0</v>
      </c>
      <c r="AX639">
        <f>IF(AND(AR639=1,ISNUMBER(AT639)),$AT639,1)</f>
        <v>0</v>
      </c>
      <c r="AY639">
        <f>IF(ISNUMBER(Y639),INDEX(AllCollegeMoney, MATCH(N639,AllCollegeNCES,0)),0)</f>
        <v>0</v>
      </c>
      <c r="AZ639">
        <f>IF(AND(AQ639=1,ISNUMBER(AT639),AY639=1),$AT639,1)</f>
        <v>0</v>
      </c>
      <c r="BA639">
        <f>IF(AND(AR639=1,ISNUMBER(AT639),AY639=1),$AT639,1)</f>
        <v>0</v>
      </c>
      <c r="BB639">
        <f>IF(ISNUMBER(Y639),INDEX(AllCollegeILPub, MATCH(N639,AllCollegeNCES,0)),0)</f>
        <v>0</v>
      </c>
      <c r="BC639">
        <f>IF(AK639=ReachLabel,AP639,0)</f>
        <v>0</v>
      </c>
      <c r="BD639">
        <f>IF(AK639=MatchLabel,AP639,0)</f>
        <v>0</v>
      </c>
      <c r="BE639">
        <f>IF(AK639=SafetyLabel,AP639,0)</f>
        <v>0</v>
      </c>
      <c r="BF639">
        <f>IF(AK639=SecureLabel,AP639,0)</f>
        <v>0</v>
      </c>
      <c r="BG639">
        <f>IF(AK639=SureThingLabel,AP639,0)</f>
        <v>0</v>
      </c>
      <c r="BH639">
        <f>MAX(BC639:BG639)</f>
        <v>0</v>
      </c>
      <c r="BI639">
        <f>MAX(BD639:BG639)</f>
        <v>0</v>
      </c>
      <c r="BJ639">
        <f>MAX(BE639:BG639)</f>
        <v>0</v>
      </c>
      <c r="BK639">
        <f>IF(AND(AK639=ReachLabel,AY639=1),AP639,0)</f>
        <v>0</v>
      </c>
      <c r="BL639">
        <f>IF(AND(AK639=MatchLabel,AY639=1),AP639,0)</f>
        <v>0</v>
      </c>
      <c r="BM639">
        <f>IF(AND(AK639=SafetyLabel,AY639=1),AP639,0)</f>
        <v>0</v>
      </c>
      <c r="BN639">
        <f>IF(AND(AK639=SecureLabel,AY639=1),AP639,0)</f>
        <v>0</v>
      </c>
      <c r="BO639">
        <f>IF(AND(AK639=SureThingLabel,AY639=1),AP639,0)</f>
        <v>0</v>
      </c>
      <c r="BP639">
        <f>MAX(BK639:BO639)</f>
        <v>0</v>
      </c>
      <c r="BQ639">
        <f>MAX(BL639:BO639)</f>
        <v>0</v>
      </c>
      <c r="BR639">
        <f>MAX(BM639:BO639)</f>
        <v>0</v>
      </c>
      <c r="BS639">
        <f>IF(ISNUMBER(Y639),INDEX(AllCollegeChicago, MATCH(N639,AllCollegeNCES,0))*AY639,0)</f>
        <v>0</v>
      </c>
      <c r="BT639">
        <f>IF(ISNUMBER(Y639),INDEX(AllCollegeMoneyCode, MATCH(N639,AllCollegeNCES,0)),"?")</f>
        <v>0</v>
      </c>
      <c r="BU639">
        <f>IF(OR(BT639="---",BT639="--",BT639="+/--",BT639="+/---"),1,0)</f>
        <v>0</v>
      </c>
      <c r="BV639">
        <f>AY639*AO639*AQ639</f>
        <v>0</v>
      </c>
    </row>
    <row r="640" spans="1:74">
      <c r="A640" t="s">
        <v>86</v>
      </c>
      <c r="B640">
        <v>24155152</v>
      </c>
      <c r="C640" t="s">
        <v>215</v>
      </c>
      <c r="D640" t="s">
        <v>216</v>
      </c>
      <c r="E640" t="s">
        <v>428</v>
      </c>
      <c r="F640" t="s">
        <v>459</v>
      </c>
      <c r="G640" t="s">
        <v>430</v>
      </c>
      <c r="H640" t="s">
        <v>431</v>
      </c>
      <c r="I640" t="s">
        <v>432</v>
      </c>
      <c r="J640" t="s">
        <v>432</v>
      </c>
      <c r="K640">
        <v>0</v>
      </c>
      <c r="L640" t="s">
        <v>428</v>
      </c>
      <c r="M640" t="s">
        <v>428</v>
      </c>
      <c r="N640">
        <v>146427</v>
      </c>
      <c r="O640">
        <f>INDEX(AllCollegeBarrons,MATCH(N640,AllCollegeNCES,0))</f>
        <v>0</v>
      </c>
      <c r="P640">
        <f>INDEX(KidGPAs,MATCH(B640,KidIDs,0))</f>
        <v>0</v>
      </c>
      <c r="Q640">
        <f>INDEX(KidACTs,MATCH(B640,KidIDs,0))</f>
        <v>0</v>
      </c>
      <c r="R640">
        <f>INDEX(Strats,MATCH(B640,KidIDs,0))</f>
        <v>0</v>
      </c>
      <c r="S640">
        <f>INDEX(KidRace,MATCH(B640,KidIDs,0))</f>
        <v>0</v>
      </c>
      <c r="T640">
        <f>IF(OR(S640="M",S640="I"),"H",S640)</f>
        <v>0</v>
      </c>
      <c r="U640">
        <f>INDEX(StudentTargets,MATCH(B640,KidIDs,0))</f>
        <v>0</v>
      </c>
      <c r="V640">
        <f>INDEX(ReachStudentTargets,MATCH(B640,KidIDs,0))</f>
        <v>0</v>
      </c>
      <c r="W640">
        <f>IF(OR(M640="Posse"),1,0)</f>
        <v>0</v>
      </c>
      <c r="X640">
        <f>IF(ISNUMBER(INDEX(AllCollegeGR, MATCH(N640,AllCollegeNCES,0))),ROUND(INDEX(AllCollegeGR, MATCH(N640,AllCollegeNCES,0))+W640*IF(INDEX(AllCollegeGR, MATCH(N640,AllCollegeNCES,0))&gt;0.7,(1-INDEX(AllCollegeGR, MATCH(N640,AllCollegeNCES,0)))/2,0.15),2),INDEX(AllCollegeGR, MATCH(N640,AllCollegeNCES,0)))</f>
        <v>0</v>
      </c>
      <c r="Y640">
        <f>IF(ISNUMBER(INDEX(AllCollegeAAHGR, MATCH(N640,AllCollegeNCES,0))),ROUND(INDEX(AllCollegeAAHGR, MATCH(N640,AllCollegeNCES,0))+W640*IF(INDEX(AllCollegeAAHGR, MATCH(N640,AllCollegeNCES,0))&gt;0.7,(1-INDEX(AllCollegeAAHGR, MATCH(N640,AllCollegeNCES,0)))/2,0.15),2),INDEX(AllCollegeAAHGR, MATCH(N640,AllCollegeNCES,0)))</f>
        <v>0</v>
      </c>
      <c r="Z640">
        <f>IF(OR(T640="H",T640="B"),INDEX(AllCollegeACT25, MATCH(N640,AllCollegeNCES,0)),INDEX(AllCollegeACT50, MATCH(N640,AllCollegeNCES,0)))</f>
        <v>0</v>
      </c>
      <c r="AA640">
        <f>INDEX(CustomWeightsGPA,MATCH(T640&amp;":"&amp;N640,CustomWeightsIndex,0))</f>
        <v>0</v>
      </c>
      <c r="AB640">
        <f>INDEX(CustomWeightsACT,MATCH(T640&amp;":"&amp;N640,CustomWeightsIndex,0))</f>
        <v>0</v>
      </c>
      <c r="AC640">
        <f>INDEX(CustomWeightsIntercept,MATCH(T640&amp;":"&amp;N640,CustomWeightsIndex,0))</f>
        <v>0</v>
      </c>
      <c r="AD640">
        <f>AA640*P640+AB640*Q640+AC640</f>
        <v>0</v>
      </c>
      <c r="AE640">
        <f>INDEX(CoefficientsGPA,MATCH(T640&amp;":"&amp;O640,CoefficientsIndex,0))</f>
        <v>0</v>
      </c>
      <c r="AF640">
        <f>INDEX(CoefficientsACT,MATCH(T640&amp;":"&amp;O640,CoefficientsIndex,0))</f>
        <v>0</v>
      </c>
      <c r="AG640">
        <f>INDEX(CoefficientsIntercept,MATCH(T640&amp;":"&amp;O640,CoefficientsIndex,0))</f>
        <v>0</v>
      </c>
      <c r="AH640">
        <f>AE640*P640+(Q640-Z640)*AF640+AG640</f>
        <v>0</v>
      </c>
      <c r="AI640">
        <f>IF(ISNUMBER(AD640),AD640,AH640)</f>
        <v>0</v>
      </c>
      <c r="AJ640">
        <f>IF(ISNUMBER(AI640),IF(ISNUMBER(AE640),IF(AND(AE640=1,AF640=1,AG640=1),100,ROUND(100*EXP(AI640)/(1+EXP(AI640)),2)),ROUND(100*EXP(AI640)/(1+EXP(AI640)),2)),IF(ISTEXT(O640),IF(LEFT(O640,1)="2",100,"N/A"),"N/A"))</f>
        <v>0</v>
      </c>
      <c r="AK640">
        <f>IF(ISNUMBER(AJ640),IF(AJ640&gt;=99,IF(OR(R640=10,R640=11),MatchLabel,SureThingLabel),IF(AJ640&gt;=95,SecureLabel,IF(AJ640&gt;=80,SafetyLabel,IF(AJ640&gt;=50,MatchLabel,IF(AJ640&gt;=20,ReachLabel,IF(AJ640&gt;=10,LongshotLabel,HailMaryLabel)))))),"Other")</f>
        <v>0</v>
      </c>
      <c r="AL640">
        <f>IF(OR(I640="accepted",I640="cond. accept",I640="summer admit"),IF(J640="yes","CHOICE!","Accepted!"),IF(I640="denied","Denied",IF(K640=1,"Waitlist",IF(L640=1,"Deferred",IF(G640="pending","Pending",IF(OR(G640="initial materials submitted",G640="mid-year submitted",G640="final submitted"),"Submitted",IF(H640="interest","Interest","?")))))))</f>
        <v>0</v>
      </c>
      <c r="AM640">
        <f>IF(OR(AK640=ReachLabel,AK640=LongshotLabel,AK640=HailMaryLabel),1,0)</f>
        <v>0</v>
      </c>
      <c r="AN640">
        <f>IF(OR(AM640=1,AK640=MatchLabel),1,0)</f>
        <v>0</v>
      </c>
      <c r="AO640">
        <f>IF(OR(AK640=MatchLabel,AK640=SafetyLabel,AK640=SecureLabel,AK640=SureThingLabel),1,0)</f>
        <v>0</v>
      </c>
      <c r="AP640">
        <f>IF(OR(T640="H",T640="B"),IF(ISNUMBER(Y640),ROUND(Y640,2),0),IF(ISNUMBER(X640),ROUND(X640,2),0))</f>
        <v>0</v>
      </c>
      <c r="AQ640">
        <f>IF(AP640&gt;=U640,1,0)</f>
        <v>0</v>
      </c>
      <c r="AR640">
        <f>IF(AP640&gt;=V640,1,0)</f>
        <v>0</v>
      </c>
      <c r="AS640">
        <f>IF(AP640&lt;(U640-0.10),1,0)</f>
        <v>0</v>
      </c>
      <c r="AT640">
        <f>1-AJ640/100</f>
        <v>0</v>
      </c>
      <c r="AU640">
        <f>IF(AN640=1,AT640,1)</f>
        <v>0</v>
      </c>
      <c r="AV640">
        <f>IF(AM640=1,AT640,1)</f>
        <v>0</v>
      </c>
      <c r="AW640">
        <f>IF(AND(AQ640=1,ISNUMBER(AT640)),$AT640,1)</f>
        <v>0</v>
      </c>
      <c r="AX640">
        <f>IF(AND(AR640=1,ISNUMBER(AT640)),$AT640,1)</f>
        <v>0</v>
      </c>
      <c r="AY640">
        <f>IF(ISNUMBER(Y640),INDEX(AllCollegeMoney, MATCH(N640,AllCollegeNCES,0)),0)</f>
        <v>0</v>
      </c>
      <c r="AZ640">
        <f>IF(AND(AQ640=1,ISNUMBER(AT640),AY640=1),$AT640,1)</f>
        <v>0</v>
      </c>
      <c r="BA640">
        <f>IF(AND(AR640=1,ISNUMBER(AT640),AY640=1),$AT640,1)</f>
        <v>0</v>
      </c>
      <c r="BB640">
        <f>IF(ISNUMBER(Y640),INDEX(AllCollegeILPub, MATCH(N640,AllCollegeNCES,0)),0)</f>
        <v>0</v>
      </c>
      <c r="BC640">
        <f>IF(AK640=ReachLabel,AP640,0)</f>
        <v>0</v>
      </c>
      <c r="BD640">
        <f>IF(AK640=MatchLabel,AP640,0)</f>
        <v>0</v>
      </c>
      <c r="BE640">
        <f>IF(AK640=SafetyLabel,AP640,0)</f>
        <v>0</v>
      </c>
      <c r="BF640">
        <f>IF(AK640=SecureLabel,AP640,0)</f>
        <v>0</v>
      </c>
      <c r="BG640">
        <f>IF(AK640=SureThingLabel,AP640,0)</f>
        <v>0</v>
      </c>
      <c r="BH640">
        <f>MAX(BC640:BG640)</f>
        <v>0</v>
      </c>
      <c r="BI640">
        <f>MAX(BD640:BG640)</f>
        <v>0</v>
      </c>
      <c r="BJ640">
        <f>MAX(BE640:BG640)</f>
        <v>0</v>
      </c>
      <c r="BK640">
        <f>IF(AND(AK640=ReachLabel,AY640=1),AP640,0)</f>
        <v>0</v>
      </c>
      <c r="BL640">
        <f>IF(AND(AK640=MatchLabel,AY640=1),AP640,0)</f>
        <v>0</v>
      </c>
      <c r="BM640">
        <f>IF(AND(AK640=SafetyLabel,AY640=1),AP640,0)</f>
        <v>0</v>
      </c>
      <c r="BN640">
        <f>IF(AND(AK640=SecureLabel,AY640=1),AP640,0)</f>
        <v>0</v>
      </c>
      <c r="BO640">
        <f>IF(AND(AK640=SureThingLabel,AY640=1),AP640,0)</f>
        <v>0</v>
      </c>
      <c r="BP640">
        <f>MAX(BK640:BO640)</f>
        <v>0</v>
      </c>
      <c r="BQ640">
        <f>MAX(BL640:BO640)</f>
        <v>0</v>
      </c>
      <c r="BR640">
        <f>MAX(BM640:BO640)</f>
        <v>0</v>
      </c>
      <c r="BS640">
        <f>IF(ISNUMBER(Y640),INDEX(AllCollegeChicago, MATCH(N640,AllCollegeNCES,0))*AY640,0)</f>
        <v>0</v>
      </c>
      <c r="BT640">
        <f>IF(ISNUMBER(Y640),INDEX(AllCollegeMoneyCode, MATCH(N640,AllCollegeNCES,0)),"?")</f>
        <v>0</v>
      </c>
      <c r="BU640">
        <f>IF(OR(BT640="---",BT640="--",BT640="+/--",BT640="+/---"),1,0)</f>
        <v>0</v>
      </c>
      <c r="BV640">
        <f>AY640*AO640*AQ640</f>
        <v>0</v>
      </c>
    </row>
    <row r="641" spans="1:74">
      <c r="A641" t="s">
        <v>86</v>
      </c>
      <c r="B641">
        <v>24155152</v>
      </c>
      <c r="C641" t="s">
        <v>215</v>
      </c>
      <c r="D641" t="s">
        <v>216</v>
      </c>
      <c r="E641" t="s">
        <v>428</v>
      </c>
      <c r="F641" t="s">
        <v>471</v>
      </c>
      <c r="G641" t="s">
        <v>463</v>
      </c>
      <c r="H641" t="s">
        <v>431</v>
      </c>
      <c r="I641" t="s">
        <v>432</v>
      </c>
      <c r="J641" t="s">
        <v>432</v>
      </c>
      <c r="K641">
        <v>0</v>
      </c>
      <c r="L641" t="s">
        <v>428</v>
      </c>
      <c r="M641" t="s">
        <v>428</v>
      </c>
      <c r="N641">
        <v>170301</v>
      </c>
      <c r="O641">
        <f>INDEX(AllCollegeBarrons,MATCH(N641,AllCollegeNCES,0))</f>
        <v>0</v>
      </c>
      <c r="P641">
        <f>INDEX(KidGPAs,MATCH(B641,KidIDs,0))</f>
        <v>0</v>
      </c>
      <c r="Q641">
        <f>INDEX(KidACTs,MATCH(B641,KidIDs,0))</f>
        <v>0</v>
      </c>
      <c r="R641">
        <f>INDEX(Strats,MATCH(B641,KidIDs,0))</f>
        <v>0</v>
      </c>
      <c r="S641">
        <f>INDEX(KidRace,MATCH(B641,KidIDs,0))</f>
        <v>0</v>
      </c>
      <c r="T641">
        <f>IF(OR(S641="M",S641="I"),"H",S641)</f>
        <v>0</v>
      </c>
      <c r="U641">
        <f>INDEX(StudentTargets,MATCH(B641,KidIDs,0))</f>
        <v>0</v>
      </c>
      <c r="V641">
        <f>INDEX(ReachStudentTargets,MATCH(B641,KidIDs,0))</f>
        <v>0</v>
      </c>
      <c r="W641">
        <f>IF(OR(M641="Posse"),1,0)</f>
        <v>0</v>
      </c>
      <c r="X641">
        <f>IF(ISNUMBER(INDEX(AllCollegeGR, MATCH(N641,AllCollegeNCES,0))),ROUND(INDEX(AllCollegeGR, MATCH(N641,AllCollegeNCES,0))+W641*IF(INDEX(AllCollegeGR, MATCH(N641,AllCollegeNCES,0))&gt;0.7,(1-INDEX(AllCollegeGR, MATCH(N641,AllCollegeNCES,0)))/2,0.15),2),INDEX(AllCollegeGR, MATCH(N641,AllCollegeNCES,0)))</f>
        <v>0</v>
      </c>
      <c r="Y641">
        <f>IF(ISNUMBER(INDEX(AllCollegeAAHGR, MATCH(N641,AllCollegeNCES,0))),ROUND(INDEX(AllCollegeAAHGR, MATCH(N641,AllCollegeNCES,0))+W641*IF(INDEX(AllCollegeAAHGR, MATCH(N641,AllCollegeNCES,0))&gt;0.7,(1-INDEX(AllCollegeAAHGR, MATCH(N641,AllCollegeNCES,0)))/2,0.15),2),INDEX(AllCollegeAAHGR, MATCH(N641,AllCollegeNCES,0)))</f>
        <v>0</v>
      </c>
      <c r="Z641">
        <f>IF(OR(T641="H",T641="B"),INDEX(AllCollegeACT25, MATCH(N641,AllCollegeNCES,0)),INDEX(AllCollegeACT50, MATCH(N641,AllCollegeNCES,0)))</f>
        <v>0</v>
      </c>
      <c r="AA641">
        <f>INDEX(CustomWeightsGPA,MATCH(T641&amp;":"&amp;N641,CustomWeightsIndex,0))</f>
        <v>0</v>
      </c>
      <c r="AB641">
        <f>INDEX(CustomWeightsACT,MATCH(T641&amp;":"&amp;N641,CustomWeightsIndex,0))</f>
        <v>0</v>
      </c>
      <c r="AC641">
        <f>INDEX(CustomWeightsIntercept,MATCH(T641&amp;":"&amp;N641,CustomWeightsIndex,0))</f>
        <v>0</v>
      </c>
      <c r="AD641">
        <f>AA641*P641+AB641*Q641+AC641</f>
        <v>0</v>
      </c>
      <c r="AE641">
        <f>INDEX(CoefficientsGPA,MATCH(T641&amp;":"&amp;O641,CoefficientsIndex,0))</f>
        <v>0</v>
      </c>
      <c r="AF641">
        <f>INDEX(CoefficientsACT,MATCH(T641&amp;":"&amp;O641,CoefficientsIndex,0))</f>
        <v>0</v>
      </c>
      <c r="AG641">
        <f>INDEX(CoefficientsIntercept,MATCH(T641&amp;":"&amp;O641,CoefficientsIndex,0))</f>
        <v>0</v>
      </c>
      <c r="AH641">
        <f>AE641*P641+(Q641-Z641)*AF641+AG641</f>
        <v>0</v>
      </c>
      <c r="AI641">
        <f>IF(ISNUMBER(AD641),AD641,AH641)</f>
        <v>0</v>
      </c>
      <c r="AJ641">
        <f>IF(ISNUMBER(AI641),IF(ISNUMBER(AE641),IF(AND(AE641=1,AF641=1,AG641=1),100,ROUND(100*EXP(AI641)/(1+EXP(AI641)),2)),ROUND(100*EXP(AI641)/(1+EXP(AI641)),2)),IF(ISTEXT(O641),IF(LEFT(O641,1)="2",100,"N/A"),"N/A"))</f>
        <v>0</v>
      </c>
      <c r="AK641">
        <f>IF(ISNUMBER(AJ641),IF(AJ641&gt;=99,IF(OR(R641=10,R641=11),MatchLabel,SureThingLabel),IF(AJ641&gt;=95,SecureLabel,IF(AJ641&gt;=80,SafetyLabel,IF(AJ641&gt;=50,MatchLabel,IF(AJ641&gt;=20,ReachLabel,IF(AJ641&gt;=10,LongshotLabel,HailMaryLabel)))))),"Other")</f>
        <v>0</v>
      </c>
      <c r="AL641">
        <f>IF(OR(I641="accepted",I641="cond. accept",I641="summer admit"),IF(J641="yes","CHOICE!","Accepted!"),IF(I641="denied","Denied",IF(K641=1,"Waitlist",IF(L641=1,"Deferred",IF(G641="pending","Pending",IF(OR(G641="initial materials submitted",G641="mid-year submitted",G641="final submitted"),"Submitted",IF(H641="interest","Interest","?")))))))</f>
        <v>0</v>
      </c>
      <c r="AM641">
        <f>IF(OR(AK641=ReachLabel,AK641=LongshotLabel,AK641=HailMaryLabel),1,0)</f>
        <v>0</v>
      </c>
      <c r="AN641">
        <f>IF(OR(AM641=1,AK641=MatchLabel),1,0)</f>
        <v>0</v>
      </c>
      <c r="AO641">
        <f>IF(OR(AK641=MatchLabel,AK641=SafetyLabel,AK641=SecureLabel,AK641=SureThingLabel),1,0)</f>
        <v>0</v>
      </c>
      <c r="AP641">
        <f>IF(OR(T641="H",T641="B"),IF(ISNUMBER(Y641),ROUND(Y641,2),0),IF(ISNUMBER(X641),ROUND(X641,2),0))</f>
        <v>0</v>
      </c>
      <c r="AQ641">
        <f>IF(AP641&gt;=U641,1,0)</f>
        <v>0</v>
      </c>
      <c r="AR641">
        <f>IF(AP641&gt;=V641,1,0)</f>
        <v>0</v>
      </c>
      <c r="AS641">
        <f>IF(AP641&lt;(U641-0.10),1,0)</f>
        <v>0</v>
      </c>
      <c r="AT641">
        <f>1-AJ641/100</f>
        <v>0</v>
      </c>
      <c r="AU641">
        <f>IF(AN641=1,AT641,1)</f>
        <v>0</v>
      </c>
      <c r="AV641">
        <f>IF(AM641=1,AT641,1)</f>
        <v>0</v>
      </c>
      <c r="AW641">
        <f>IF(AND(AQ641=1,ISNUMBER(AT641)),$AT641,1)</f>
        <v>0</v>
      </c>
      <c r="AX641">
        <f>IF(AND(AR641=1,ISNUMBER(AT641)),$AT641,1)</f>
        <v>0</v>
      </c>
      <c r="AY641">
        <f>IF(ISNUMBER(Y641),INDEX(AllCollegeMoney, MATCH(N641,AllCollegeNCES,0)),0)</f>
        <v>0</v>
      </c>
      <c r="AZ641">
        <f>IF(AND(AQ641=1,ISNUMBER(AT641),AY641=1),$AT641,1)</f>
        <v>0</v>
      </c>
      <c r="BA641">
        <f>IF(AND(AR641=1,ISNUMBER(AT641),AY641=1),$AT641,1)</f>
        <v>0</v>
      </c>
      <c r="BB641">
        <f>IF(ISNUMBER(Y641),INDEX(AllCollegeILPub, MATCH(N641,AllCollegeNCES,0)),0)</f>
        <v>0</v>
      </c>
      <c r="BC641">
        <f>IF(AK641=ReachLabel,AP641,0)</f>
        <v>0</v>
      </c>
      <c r="BD641">
        <f>IF(AK641=MatchLabel,AP641,0)</f>
        <v>0</v>
      </c>
      <c r="BE641">
        <f>IF(AK641=SafetyLabel,AP641,0)</f>
        <v>0</v>
      </c>
      <c r="BF641">
        <f>IF(AK641=SecureLabel,AP641,0)</f>
        <v>0</v>
      </c>
      <c r="BG641">
        <f>IF(AK641=SureThingLabel,AP641,0)</f>
        <v>0</v>
      </c>
      <c r="BH641">
        <f>MAX(BC641:BG641)</f>
        <v>0</v>
      </c>
      <c r="BI641">
        <f>MAX(BD641:BG641)</f>
        <v>0</v>
      </c>
      <c r="BJ641">
        <f>MAX(BE641:BG641)</f>
        <v>0</v>
      </c>
      <c r="BK641">
        <f>IF(AND(AK641=ReachLabel,AY641=1),AP641,0)</f>
        <v>0</v>
      </c>
      <c r="BL641">
        <f>IF(AND(AK641=MatchLabel,AY641=1),AP641,0)</f>
        <v>0</v>
      </c>
      <c r="BM641">
        <f>IF(AND(AK641=SafetyLabel,AY641=1),AP641,0)</f>
        <v>0</v>
      </c>
      <c r="BN641">
        <f>IF(AND(AK641=SecureLabel,AY641=1),AP641,0)</f>
        <v>0</v>
      </c>
      <c r="BO641">
        <f>IF(AND(AK641=SureThingLabel,AY641=1),AP641,0)</f>
        <v>0</v>
      </c>
      <c r="BP641">
        <f>MAX(BK641:BO641)</f>
        <v>0</v>
      </c>
      <c r="BQ641">
        <f>MAX(BL641:BO641)</f>
        <v>0</v>
      </c>
      <c r="BR641">
        <f>MAX(BM641:BO641)</f>
        <v>0</v>
      </c>
      <c r="BS641">
        <f>IF(ISNUMBER(Y641),INDEX(AllCollegeChicago, MATCH(N641,AllCollegeNCES,0))*AY641,0)</f>
        <v>0</v>
      </c>
      <c r="BT641">
        <f>IF(ISNUMBER(Y641),INDEX(AllCollegeMoneyCode, MATCH(N641,AllCollegeNCES,0)),"?")</f>
        <v>0</v>
      </c>
      <c r="BU641">
        <f>IF(OR(BT641="---",BT641="--",BT641="+/--",BT641="+/---"),1,0)</f>
        <v>0</v>
      </c>
      <c r="BV641">
        <f>AY641*AO641*AQ641</f>
        <v>0</v>
      </c>
    </row>
    <row r="642" spans="1:74">
      <c r="A642" t="s">
        <v>86</v>
      </c>
      <c r="B642">
        <v>24155152</v>
      </c>
      <c r="C642" t="s">
        <v>215</v>
      </c>
      <c r="D642" t="s">
        <v>216</v>
      </c>
      <c r="E642" t="s">
        <v>428</v>
      </c>
      <c r="F642" t="s">
        <v>462</v>
      </c>
      <c r="G642" t="s">
        <v>463</v>
      </c>
      <c r="H642" t="s">
        <v>431</v>
      </c>
      <c r="I642" t="s">
        <v>432</v>
      </c>
      <c r="J642" t="s">
        <v>432</v>
      </c>
      <c r="K642">
        <v>0</v>
      </c>
      <c r="L642" t="s">
        <v>428</v>
      </c>
      <c r="M642" t="s">
        <v>428</v>
      </c>
      <c r="N642">
        <v>168546</v>
      </c>
      <c r="O642">
        <f>INDEX(AllCollegeBarrons,MATCH(N642,AllCollegeNCES,0))</f>
        <v>0</v>
      </c>
      <c r="P642">
        <f>INDEX(KidGPAs,MATCH(B642,KidIDs,0))</f>
        <v>0</v>
      </c>
      <c r="Q642">
        <f>INDEX(KidACTs,MATCH(B642,KidIDs,0))</f>
        <v>0</v>
      </c>
      <c r="R642">
        <f>INDEX(Strats,MATCH(B642,KidIDs,0))</f>
        <v>0</v>
      </c>
      <c r="S642">
        <f>INDEX(KidRace,MATCH(B642,KidIDs,0))</f>
        <v>0</v>
      </c>
      <c r="T642">
        <f>IF(OR(S642="M",S642="I"),"H",S642)</f>
        <v>0</v>
      </c>
      <c r="U642">
        <f>INDEX(StudentTargets,MATCH(B642,KidIDs,0))</f>
        <v>0</v>
      </c>
      <c r="V642">
        <f>INDEX(ReachStudentTargets,MATCH(B642,KidIDs,0))</f>
        <v>0</v>
      </c>
      <c r="W642">
        <f>IF(OR(M642="Posse"),1,0)</f>
        <v>0</v>
      </c>
      <c r="X642">
        <f>IF(ISNUMBER(INDEX(AllCollegeGR, MATCH(N642,AllCollegeNCES,0))),ROUND(INDEX(AllCollegeGR, MATCH(N642,AllCollegeNCES,0))+W642*IF(INDEX(AllCollegeGR, MATCH(N642,AllCollegeNCES,0))&gt;0.7,(1-INDEX(AllCollegeGR, MATCH(N642,AllCollegeNCES,0)))/2,0.15),2),INDEX(AllCollegeGR, MATCH(N642,AllCollegeNCES,0)))</f>
        <v>0</v>
      </c>
      <c r="Y642">
        <f>IF(ISNUMBER(INDEX(AllCollegeAAHGR, MATCH(N642,AllCollegeNCES,0))),ROUND(INDEX(AllCollegeAAHGR, MATCH(N642,AllCollegeNCES,0))+W642*IF(INDEX(AllCollegeAAHGR, MATCH(N642,AllCollegeNCES,0))&gt;0.7,(1-INDEX(AllCollegeAAHGR, MATCH(N642,AllCollegeNCES,0)))/2,0.15),2),INDEX(AllCollegeAAHGR, MATCH(N642,AllCollegeNCES,0)))</f>
        <v>0</v>
      </c>
      <c r="Z642">
        <f>IF(OR(T642="H",T642="B"),INDEX(AllCollegeACT25, MATCH(N642,AllCollegeNCES,0)),INDEX(AllCollegeACT50, MATCH(N642,AllCollegeNCES,0)))</f>
        <v>0</v>
      </c>
      <c r="AA642">
        <f>INDEX(CustomWeightsGPA,MATCH(T642&amp;":"&amp;N642,CustomWeightsIndex,0))</f>
        <v>0</v>
      </c>
      <c r="AB642">
        <f>INDEX(CustomWeightsACT,MATCH(T642&amp;":"&amp;N642,CustomWeightsIndex,0))</f>
        <v>0</v>
      </c>
      <c r="AC642">
        <f>INDEX(CustomWeightsIntercept,MATCH(T642&amp;":"&amp;N642,CustomWeightsIndex,0))</f>
        <v>0</v>
      </c>
      <c r="AD642">
        <f>AA642*P642+AB642*Q642+AC642</f>
        <v>0</v>
      </c>
      <c r="AE642">
        <f>INDEX(CoefficientsGPA,MATCH(T642&amp;":"&amp;O642,CoefficientsIndex,0))</f>
        <v>0</v>
      </c>
      <c r="AF642">
        <f>INDEX(CoefficientsACT,MATCH(T642&amp;":"&amp;O642,CoefficientsIndex,0))</f>
        <v>0</v>
      </c>
      <c r="AG642">
        <f>INDEX(CoefficientsIntercept,MATCH(T642&amp;":"&amp;O642,CoefficientsIndex,0))</f>
        <v>0</v>
      </c>
      <c r="AH642">
        <f>AE642*P642+(Q642-Z642)*AF642+AG642</f>
        <v>0</v>
      </c>
      <c r="AI642">
        <f>IF(ISNUMBER(AD642),AD642,AH642)</f>
        <v>0</v>
      </c>
      <c r="AJ642">
        <f>IF(ISNUMBER(AI642),IF(ISNUMBER(AE642),IF(AND(AE642=1,AF642=1,AG642=1),100,ROUND(100*EXP(AI642)/(1+EXP(AI642)),2)),ROUND(100*EXP(AI642)/(1+EXP(AI642)),2)),IF(ISTEXT(O642),IF(LEFT(O642,1)="2",100,"N/A"),"N/A"))</f>
        <v>0</v>
      </c>
      <c r="AK642">
        <f>IF(ISNUMBER(AJ642),IF(AJ642&gt;=99,IF(OR(R642=10,R642=11),MatchLabel,SureThingLabel),IF(AJ642&gt;=95,SecureLabel,IF(AJ642&gt;=80,SafetyLabel,IF(AJ642&gt;=50,MatchLabel,IF(AJ642&gt;=20,ReachLabel,IF(AJ642&gt;=10,LongshotLabel,HailMaryLabel)))))),"Other")</f>
        <v>0</v>
      </c>
      <c r="AL642">
        <f>IF(OR(I642="accepted",I642="cond. accept",I642="summer admit"),IF(J642="yes","CHOICE!","Accepted!"),IF(I642="denied","Denied",IF(K642=1,"Waitlist",IF(L642=1,"Deferred",IF(G642="pending","Pending",IF(OR(G642="initial materials submitted",G642="mid-year submitted",G642="final submitted"),"Submitted",IF(H642="interest","Interest","?")))))))</f>
        <v>0</v>
      </c>
      <c r="AM642">
        <f>IF(OR(AK642=ReachLabel,AK642=LongshotLabel,AK642=HailMaryLabel),1,0)</f>
        <v>0</v>
      </c>
      <c r="AN642">
        <f>IF(OR(AM642=1,AK642=MatchLabel),1,0)</f>
        <v>0</v>
      </c>
      <c r="AO642">
        <f>IF(OR(AK642=MatchLabel,AK642=SafetyLabel,AK642=SecureLabel,AK642=SureThingLabel),1,0)</f>
        <v>0</v>
      </c>
      <c r="AP642">
        <f>IF(OR(T642="H",T642="B"),IF(ISNUMBER(Y642),ROUND(Y642,2),0),IF(ISNUMBER(X642),ROUND(X642,2),0))</f>
        <v>0</v>
      </c>
      <c r="AQ642">
        <f>IF(AP642&gt;=U642,1,0)</f>
        <v>0</v>
      </c>
      <c r="AR642">
        <f>IF(AP642&gt;=V642,1,0)</f>
        <v>0</v>
      </c>
      <c r="AS642">
        <f>IF(AP642&lt;(U642-0.10),1,0)</f>
        <v>0</v>
      </c>
      <c r="AT642">
        <f>1-AJ642/100</f>
        <v>0</v>
      </c>
      <c r="AU642">
        <f>IF(AN642=1,AT642,1)</f>
        <v>0</v>
      </c>
      <c r="AV642">
        <f>IF(AM642=1,AT642,1)</f>
        <v>0</v>
      </c>
      <c r="AW642">
        <f>IF(AND(AQ642=1,ISNUMBER(AT642)),$AT642,1)</f>
        <v>0</v>
      </c>
      <c r="AX642">
        <f>IF(AND(AR642=1,ISNUMBER(AT642)),$AT642,1)</f>
        <v>0</v>
      </c>
      <c r="AY642">
        <f>IF(ISNUMBER(Y642),INDEX(AllCollegeMoney, MATCH(N642,AllCollegeNCES,0)),0)</f>
        <v>0</v>
      </c>
      <c r="AZ642">
        <f>IF(AND(AQ642=1,ISNUMBER(AT642),AY642=1),$AT642,1)</f>
        <v>0</v>
      </c>
      <c r="BA642">
        <f>IF(AND(AR642=1,ISNUMBER(AT642),AY642=1),$AT642,1)</f>
        <v>0</v>
      </c>
      <c r="BB642">
        <f>IF(ISNUMBER(Y642),INDEX(AllCollegeILPub, MATCH(N642,AllCollegeNCES,0)),0)</f>
        <v>0</v>
      </c>
      <c r="BC642">
        <f>IF(AK642=ReachLabel,AP642,0)</f>
        <v>0</v>
      </c>
      <c r="BD642">
        <f>IF(AK642=MatchLabel,AP642,0)</f>
        <v>0</v>
      </c>
      <c r="BE642">
        <f>IF(AK642=SafetyLabel,AP642,0)</f>
        <v>0</v>
      </c>
      <c r="BF642">
        <f>IF(AK642=SecureLabel,AP642,0)</f>
        <v>0</v>
      </c>
      <c r="BG642">
        <f>IF(AK642=SureThingLabel,AP642,0)</f>
        <v>0</v>
      </c>
      <c r="BH642">
        <f>MAX(BC642:BG642)</f>
        <v>0</v>
      </c>
      <c r="BI642">
        <f>MAX(BD642:BG642)</f>
        <v>0</v>
      </c>
      <c r="BJ642">
        <f>MAX(BE642:BG642)</f>
        <v>0</v>
      </c>
      <c r="BK642">
        <f>IF(AND(AK642=ReachLabel,AY642=1),AP642,0)</f>
        <v>0</v>
      </c>
      <c r="BL642">
        <f>IF(AND(AK642=MatchLabel,AY642=1),AP642,0)</f>
        <v>0</v>
      </c>
      <c r="BM642">
        <f>IF(AND(AK642=SafetyLabel,AY642=1),AP642,0)</f>
        <v>0</v>
      </c>
      <c r="BN642">
        <f>IF(AND(AK642=SecureLabel,AY642=1),AP642,0)</f>
        <v>0</v>
      </c>
      <c r="BO642">
        <f>IF(AND(AK642=SureThingLabel,AY642=1),AP642,0)</f>
        <v>0</v>
      </c>
      <c r="BP642">
        <f>MAX(BK642:BO642)</f>
        <v>0</v>
      </c>
      <c r="BQ642">
        <f>MAX(BL642:BO642)</f>
        <v>0</v>
      </c>
      <c r="BR642">
        <f>MAX(BM642:BO642)</f>
        <v>0</v>
      </c>
      <c r="BS642">
        <f>IF(ISNUMBER(Y642),INDEX(AllCollegeChicago, MATCH(N642,AllCollegeNCES,0))*AY642,0)</f>
        <v>0</v>
      </c>
      <c r="BT642">
        <f>IF(ISNUMBER(Y642),INDEX(AllCollegeMoneyCode, MATCH(N642,AllCollegeNCES,0)),"?")</f>
        <v>0</v>
      </c>
      <c r="BU642">
        <f>IF(OR(BT642="---",BT642="--",BT642="+/--",BT642="+/---"),1,0)</f>
        <v>0</v>
      </c>
      <c r="BV642">
        <f>AY642*AO642*AQ642</f>
        <v>0</v>
      </c>
    </row>
    <row r="643" spans="1:74">
      <c r="A643" t="s">
        <v>86</v>
      </c>
      <c r="B643">
        <v>24155152</v>
      </c>
      <c r="C643" t="s">
        <v>215</v>
      </c>
      <c r="D643" t="s">
        <v>216</v>
      </c>
      <c r="E643" t="s">
        <v>428</v>
      </c>
      <c r="F643" t="s">
        <v>577</v>
      </c>
      <c r="G643" t="s">
        <v>430</v>
      </c>
      <c r="H643" t="s">
        <v>431</v>
      </c>
      <c r="I643" t="s">
        <v>432</v>
      </c>
      <c r="J643" t="s">
        <v>432</v>
      </c>
      <c r="K643">
        <v>0</v>
      </c>
      <c r="L643" t="s">
        <v>428</v>
      </c>
      <c r="M643" t="s">
        <v>428</v>
      </c>
      <c r="N643">
        <v>138947</v>
      </c>
      <c r="O643">
        <f>INDEX(AllCollegeBarrons,MATCH(N643,AllCollegeNCES,0))</f>
        <v>0</v>
      </c>
      <c r="P643">
        <f>INDEX(KidGPAs,MATCH(B643,KidIDs,0))</f>
        <v>0</v>
      </c>
      <c r="Q643">
        <f>INDEX(KidACTs,MATCH(B643,KidIDs,0))</f>
        <v>0</v>
      </c>
      <c r="R643">
        <f>INDEX(Strats,MATCH(B643,KidIDs,0))</f>
        <v>0</v>
      </c>
      <c r="S643">
        <f>INDEX(KidRace,MATCH(B643,KidIDs,0))</f>
        <v>0</v>
      </c>
      <c r="T643">
        <f>IF(OR(S643="M",S643="I"),"H",S643)</f>
        <v>0</v>
      </c>
      <c r="U643">
        <f>INDEX(StudentTargets,MATCH(B643,KidIDs,0))</f>
        <v>0</v>
      </c>
      <c r="V643">
        <f>INDEX(ReachStudentTargets,MATCH(B643,KidIDs,0))</f>
        <v>0</v>
      </c>
      <c r="W643">
        <f>IF(OR(M643="Posse"),1,0)</f>
        <v>0</v>
      </c>
      <c r="X643">
        <f>IF(ISNUMBER(INDEX(AllCollegeGR, MATCH(N643,AllCollegeNCES,0))),ROUND(INDEX(AllCollegeGR, MATCH(N643,AllCollegeNCES,0))+W643*IF(INDEX(AllCollegeGR, MATCH(N643,AllCollegeNCES,0))&gt;0.7,(1-INDEX(AllCollegeGR, MATCH(N643,AllCollegeNCES,0)))/2,0.15),2),INDEX(AllCollegeGR, MATCH(N643,AllCollegeNCES,0)))</f>
        <v>0</v>
      </c>
      <c r="Y643">
        <f>IF(ISNUMBER(INDEX(AllCollegeAAHGR, MATCH(N643,AllCollegeNCES,0))),ROUND(INDEX(AllCollegeAAHGR, MATCH(N643,AllCollegeNCES,0))+W643*IF(INDEX(AllCollegeAAHGR, MATCH(N643,AllCollegeNCES,0))&gt;0.7,(1-INDEX(AllCollegeAAHGR, MATCH(N643,AllCollegeNCES,0)))/2,0.15),2),INDEX(AllCollegeAAHGR, MATCH(N643,AllCollegeNCES,0)))</f>
        <v>0</v>
      </c>
      <c r="Z643">
        <f>IF(OR(T643="H",T643="B"),INDEX(AllCollegeACT25, MATCH(N643,AllCollegeNCES,0)),INDEX(AllCollegeACT50, MATCH(N643,AllCollegeNCES,0)))</f>
        <v>0</v>
      </c>
      <c r="AA643">
        <f>INDEX(CustomWeightsGPA,MATCH(T643&amp;":"&amp;N643,CustomWeightsIndex,0))</f>
        <v>0</v>
      </c>
      <c r="AB643">
        <f>INDEX(CustomWeightsACT,MATCH(T643&amp;":"&amp;N643,CustomWeightsIndex,0))</f>
        <v>0</v>
      </c>
      <c r="AC643">
        <f>INDEX(CustomWeightsIntercept,MATCH(T643&amp;":"&amp;N643,CustomWeightsIndex,0))</f>
        <v>0</v>
      </c>
      <c r="AD643">
        <f>AA643*P643+AB643*Q643+AC643</f>
        <v>0</v>
      </c>
      <c r="AE643">
        <f>INDEX(CoefficientsGPA,MATCH(T643&amp;":"&amp;O643,CoefficientsIndex,0))</f>
        <v>0</v>
      </c>
      <c r="AF643">
        <f>INDEX(CoefficientsACT,MATCH(T643&amp;":"&amp;O643,CoefficientsIndex,0))</f>
        <v>0</v>
      </c>
      <c r="AG643">
        <f>INDEX(CoefficientsIntercept,MATCH(T643&amp;":"&amp;O643,CoefficientsIndex,0))</f>
        <v>0</v>
      </c>
      <c r="AH643">
        <f>AE643*P643+(Q643-Z643)*AF643+AG643</f>
        <v>0</v>
      </c>
      <c r="AI643">
        <f>IF(ISNUMBER(AD643),AD643,AH643)</f>
        <v>0</v>
      </c>
      <c r="AJ643">
        <f>IF(ISNUMBER(AI643),IF(ISNUMBER(AE643),IF(AND(AE643=1,AF643=1,AG643=1),100,ROUND(100*EXP(AI643)/(1+EXP(AI643)),2)),ROUND(100*EXP(AI643)/(1+EXP(AI643)),2)),IF(ISTEXT(O643),IF(LEFT(O643,1)="2",100,"N/A"),"N/A"))</f>
        <v>0</v>
      </c>
      <c r="AK643">
        <f>IF(ISNUMBER(AJ643),IF(AJ643&gt;=99,IF(OR(R643=10,R643=11),MatchLabel,SureThingLabel),IF(AJ643&gt;=95,SecureLabel,IF(AJ643&gt;=80,SafetyLabel,IF(AJ643&gt;=50,MatchLabel,IF(AJ643&gt;=20,ReachLabel,IF(AJ643&gt;=10,LongshotLabel,HailMaryLabel)))))),"Other")</f>
        <v>0</v>
      </c>
      <c r="AL643">
        <f>IF(OR(I643="accepted",I643="cond. accept",I643="summer admit"),IF(J643="yes","CHOICE!","Accepted!"),IF(I643="denied","Denied",IF(K643=1,"Waitlist",IF(L643=1,"Deferred",IF(G643="pending","Pending",IF(OR(G643="initial materials submitted",G643="mid-year submitted",G643="final submitted"),"Submitted",IF(H643="interest","Interest","?")))))))</f>
        <v>0</v>
      </c>
      <c r="AM643">
        <f>IF(OR(AK643=ReachLabel,AK643=LongshotLabel,AK643=HailMaryLabel),1,0)</f>
        <v>0</v>
      </c>
      <c r="AN643">
        <f>IF(OR(AM643=1,AK643=MatchLabel),1,0)</f>
        <v>0</v>
      </c>
      <c r="AO643">
        <f>IF(OR(AK643=MatchLabel,AK643=SafetyLabel,AK643=SecureLabel,AK643=SureThingLabel),1,0)</f>
        <v>0</v>
      </c>
      <c r="AP643">
        <f>IF(OR(T643="H",T643="B"),IF(ISNUMBER(Y643),ROUND(Y643,2),0),IF(ISNUMBER(X643),ROUND(X643,2),0))</f>
        <v>0</v>
      </c>
      <c r="AQ643">
        <f>IF(AP643&gt;=U643,1,0)</f>
        <v>0</v>
      </c>
      <c r="AR643">
        <f>IF(AP643&gt;=V643,1,0)</f>
        <v>0</v>
      </c>
      <c r="AS643">
        <f>IF(AP643&lt;(U643-0.10),1,0)</f>
        <v>0</v>
      </c>
      <c r="AT643">
        <f>1-AJ643/100</f>
        <v>0</v>
      </c>
      <c r="AU643">
        <f>IF(AN643=1,AT643,1)</f>
        <v>0</v>
      </c>
      <c r="AV643">
        <f>IF(AM643=1,AT643,1)</f>
        <v>0</v>
      </c>
      <c r="AW643">
        <f>IF(AND(AQ643=1,ISNUMBER(AT643)),$AT643,1)</f>
        <v>0</v>
      </c>
      <c r="AX643">
        <f>IF(AND(AR643=1,ISNUMBER(AT643)),$AT643,1)</f>
        <v>0</v>
      </c>
      <c r="AY643">
        <f>IF(ISNUMBER(Y643),INDEX(AllCollegeMoney, MATCH(N643,AllCollegeNCES,0)),0)</f>
        <v>0</v>
      </c>
      <c r="AZ643">
        <f>IF(AND(AQ643=1,ISNUMBER(AT643),AY643=1),$AT643,1)</f>
        <v>0</v>
      </c>
      <c r="BA643">
        <f>IF(AND(AR643=1,ISNUMBER(AT643),AY643=1),$AT643,1)</f>
        <v>0</v>
      </c>
      <c r="BB643">
        <f>IF(ISNUMBER(Y643),INDEX(AllCollegeILPub, MATCH(N643,AllCollegeNCES,0)),0)</f>
        <v>0</v>
      </c>
      <c r="BC643">
        <f>IF(AK643=ReachLabel,AP643,0)</f>
        <v>0</v>
      </c>
      <c r="BD643">
        <f>IF(AK643=MatchLabel,AP643,0)</f>
        <v>0</v>
      </c>
      <c r="BE643">
        <f>IF(AK643=SafetyLabel,AP643,0)</f>
        <v>0</v>
      </c>
      <c r="BF643">
        <f>IF(AK643=SecureLabel,AP643,0)</f>
        <v>0</v>
      </c>
      <c r="BG643">
        <f>IF(AK643=SureThingLabel,AP643,0)</f>
        <v>0</v>
      </c>
      <c r="BH643">
        <f>MAX(BC643:BG643)</f>
        <v>0</v>
      </c>
      <c r="BI643">
        <f>MAX(BD643:BG643)</f>
        <v>0</v>
      </c>
      <c r="BJ643">
        <f>MAX(BE643:BG643)</f>
        <v>0</v>
      </c>
      <c r="BK643">
        <f>IF(AND(AK643=ReachLabel,AY643=1),AP643,0)</f>
        <v>0</v>
      </c>
      <c r="BL643">
        <f>IF(AND(AK643=MatchLabel,AY643=1),AP643,0)</f>
        <v>0</v>
      </c>
      <c r="BM643">
        <f>IF(AND(AK643=SafetyLabel,AY643=1),AP643,0)</f>
        <v>0</v>
      </c>
      <c r="BN643">
        <f>IF(AND(AK643=SecureLabel,AY643=1),AP643,0)</f>
        <v>0</v>
      </c>
      <c r="BO643">
        <f>IF(AND(AK643=SureThingLabel,AY643=1),AP643,0)</f>
        <v>0</v>
      </c>
      <c r="BP643">
        <f>MAX(BK643:BO643)</f>
        <v>0</v>
      </c>
      <c r="BQ643">
        <f>MAX(BL643:BO643)</f>
        <v>0</v>
      </c>
      <c r="BR643">
        <f>MAX(BM643:BO643)</f>
        <v>0</v>
      </c>
      <c r="BS643">
        <f>IF(ISNUMBER(Y643),INDEX(AllCollegeChicago, MATCH(N643,AllCollegeNCES,0))*AY643,0)</f>
        <v>0</v>
      </c>
      <c r="BT643">
        <f>IF(ISNUMBER(Y643),INDEX(AllCollegeMoneyCode, MATCH(N643,AllCollegeNCES,0)),"?")</f>
        <v>0</v>
      </c>
      <c r="BU643">
        <f>IF(OR(BT643="---",BT643="--",BT643="+/--",BT643="+/---"),1,0)</f>
        <v>0</v>
      </c>
      <c r="BV643">
        <f>AY643*AO643*AQ643</f>
        <v>0</v>
      </c>
    </row>
    <row r="644" spans="1:74">
      <c r="A644" t="s">
        <v>86</v>
      </c>
      <c r="B644">
        <v>24155152</v>
      </c>
      <c r="C644" t="s">
        <v>215</v>
      </c>
      <c r="D644" t="s">
        <v>216</v>
      </c>
      <c r="E644" t="s">
        <v>428</v>
      </c>
      <c r="F644" t="s">
        <v>578</v>
      </c>
      <c r="G644" t="s">
        <v>526</v>
      </c>
      <c r="H644" t="s">
        <v>526</v>
      </c>
      <c r="I644" t="s">
        <v>527</v>
      </c>
      <c r="J644" t="s">
        <v>428</v>
      </c>
      <c r="K644" t="s">
        <v>428</v>
      </c>
      <c r="L644" t="s">
        <v>428</v>
      </c>
      <c r="M644" t="s">
        <v>428</v>
      </c>
      <c r="N644">
        <v>138947</v>
      </c>
      <c r="O644">
        <f>INDEX(AllCollegeBarrons,MATCH(N644,AllCollegeNCES,0))</f>
        <v>0</v>
      </c>
      <c r="P644">
        <f>INDEX(KidGPAs,MATCH(B644,KidIDs,0))</f>
        <v>0</v>
      </c>
      <c r="Q644">
        <f>INDEX(KidACTs,MATCH(B644,KidIDs,0))</f>
        <v>0</v>
      </c>
      <c r="R644">
        <f>INDEX(Strats,MATCH(B644,KidIDs,0))</f>
        <v>0</v>
      </c>
      <c r="S644">
        <f>INDEX(KidRace,MATCH(B644,KidIDs,0))</f>
        <v>0</v>
      </c>
      <c r="T644">
        <f>IF(OR(S644="M",S644="I"),"H",S644)</f>
        <v>0</v>
      </c>
      <c r="U644">
        <f>INDEX(StudentTargets,MATCH(B644,KidIDs,0))</f>
        <v>0</v>
      </c>
      <c r="V644">
        <f>INDEX(ReachStudentTargets,MATCH(B644,KidIDs,0))</f>
        <v>0</v>
      </c>
      <c r="W644">
        <f>IF(OR(M644="Posse"),1,0)</f>
        <v>0</v>
      </c>
      <c r="X644">
        <f>IF(ISNUMBER(INDEX(AllCollegeGR, MATCH(N644,AllCollegeNCES,0))),ROUND(INDEX(AllCollegeGR, MATCH(N644,AllCollegeNCES,0))+W644*IF(INDEX(AllCollegeGR, MATCH(N644,AllCollegeNCES,0))&gt;0.7,(1-INDEX(AllCollegeGR, MATCH(N644,AllCollegeNCES,0)))/2,0.15),2),INDEX(AllCollegeGR, MATCH(N644,AllCollegeNCES,0)))</f>
        <v>0</v>
      </c>
      <c r="Y644">
        <f>IF(ISNUMBER(INDEX(AllCollegeAAHGR, MATCH(N644,AllCollegeNCES,0))),ROUND(INDEX(AllCollegeAAHGR, MATCH(N644,AllCollegeNCES,0))+W644*IF(INDEX(AllCollegeAAHGR, MATCH(N644,AllCollegeNCES,0))&gt;0.7,(1-INDEX(AllCollegeAAHGR, MATCH(N644,AllCollegeNCES,0)))/2,0.15),2),INDEX(AllCollegeAAHGR, MATCH(N644,AllCollegeNCES,0)))</f>
        <v>0</v>
      </c>
      <c r="Z644">
        <f>IF(OR(T644="H",T644="B"),INDEX(AllCollegeACT25, MATCH(N644,AllCollegeNCES,0)),INDEX(AllCollegeACT50, MATCH(N644,AllCollegeNCES,0)))</f>
        <v>0</v>
      </c>
      <c r="AA644">
        <f>INDEX(CustomWeightsGPA,MATCH(T644&amp;":"&amp;N644,CustomWeightsIndex,0))</f>
        <v>0</v>
      </c>
      <c r="AB644">
        <f>INDEX(CustomWeightsACT,MATCH(T644&amp;":"&amp;N644,CustomWeightsIndex,0))</f>
        <v>0</v>
      </c>
      <c r="AC644">
        <f>INDEX(CustomWeightsIntercept,MATCH(T644&amp;":"&amp;N644,CustomWeightsIndex,0))</f>
        <v>0</v>
      </c>
      <c r="AD644">
        <f>AA644*P644+AB644*Q644+AC644</f>
        <v>0</v>
      </c>
      <c r="AE644">
        <f>INDEX(CoefficientsGPA,MATCH(T644&amp;":"&amp;O644,CoefficientsIndex,0))</f>
        <v>0</v>
      </c>
      <c r="AF644">
        <f>INDEX(CoefficientsACT,MATCH(T644&amp;":"&amp;O644,CoefficientsIndex,0))</f>
        <v>0</v>
      </c>
      <c r="AG644">
        <f>INDEX(CoefficientsIntercept,MATCH(T644&amp;":"&amp;O644,CoefficientsIndex,0))</f>
        <v>0</v>
      </c>
      <c r="AH644">
        <f>AE644*P644+(Q644-Z644)*AF644+AG644</f>
        <v>0</v>
      </c>
      <c r="AI644">
        <f>IF(ISNUMBER(AD644),AD644,AH644)</f>
        <v>0</v>
      </c>
      <c r="AJ644">
        <f>IF(ISNUMBER(AI644),IF(ISNUMBER(AE644),IF(AND(AE644=1,AF644=1,AG644=1),100,ROUND(100*EXP(AI644)/(1+EXP(AI644)),2)),ROUND(100*EXP(AI644)/(1+EXP(AI644)),2)),IF(ISTEXT(O644),IF(LEFT(O644,1)="2",100,"N/A"),"N/A"))</f>
        <v>0</v>
      </c>
      <c r="AK644">
        <f>IF(ISNUMBER(AJ644),IF(AJ644&gt;=99,IF(OR(R644=10,R644=11),MatchLabel,SureThingLabel),IF(AJ644&gt;=95,SecureLabel,IF(AJ644&gt;=80,SafetyLabel,IF(AJ644&gt;=50,MatchLabel,IF(AJ644&gt;=20,ReachLabel,IF(AJ644&gt;=10,LongshotLabel,HailMaryLabel)))))),"Other")</f>
        <v>0</v>
      </c>
      <c r="AL644">
        <f>IF(OR(I644="accepted",I644="cond. accept",I644="summer admit"),IF(J644="yes","CHOICE!","Accepted!"),IF(I644="denied","Denied",IF(K644=1,"Waitlist",IF(L644=1,"Deferred",IF(G644="pending","Pending",IF(OR(G644="initial materials submitted",G644="mid-year submitted",G644="final submitted"),"Submitted",IF(H644="interest","Interest","?")))))))</f>
        <v>0</v>
      </c>
      <c r="AM644">
        <f>IF(OR(AK644=ReachLabel,AK644=LongshotLabel,AK644=HailMaryLabel),1,0)</f>
        <v>0</v>
      </c>
      <c r="AN644">
        <f>IF(OR(AM644=1,AK644=MatchLabel),1,0)</f>
        <v>0</v>
      </c>
      <c r="AO644">
        <f>IF(OR(AK644=MatchLabel,AK644=SafetyLabel,AK644=SecureLabel,AK644=SureThingLabel),1,0)</f>
        <v>0</v>
      </c>
      <c r="AP644">
        <f>IF(OR(T644="H",T644="B"),IF(ISNUMBER(Y644),ROUND(Y644,2),0),IF(ISNUMBER(X644),ROUND(X644,2),0))</f>
        <v>0</v>
      </c>
      <c r="AQ644">
        <f>IF(AP644&gt;=U644,1,0)</f>
        <v>0</v>
      </c>
      <c r="AR644">
        <f>IF(AP644&gt;=V644,1,0)</f>
        <v>0</v>
      </c>
      <c r="AS644">
        <f>IF(AP644&lt;(U644-0.10),1,0)</f>
        <v>0</v>
      </c>
      <c r="AT644">
        <f>1-AJ644/100</f>
        <v>0</v>
      </c>
      <c r="AU644">
        <f>IF(AN644=1,AT644,1)</f>
        <v>0</v>
      </c>
      <c r="AV644">
        <f>IF(AM644=1,AT644,1)</f>
        <v>0</v>
      </c>
      <c r="AW644">
        <f>IF(AND(AQ644=1,ISNUMBER(AT644)),$AT644,1)</f>
        <v>0</v>
      </c>
      <c r="AX644">
        <f>IF(AND(AR644=1,ISNUMBER(AT644)),$AT644,1)</f>
        <v>0</v>
      </c>
      <c r="AY644">
        <f>IF(ISNUMBER(Y644),INDEX(AllCollegeMoney, MATCH(N644,AllCollegeNCES,0)),0)</f>
        <v>0</v>
      </c>
      <c r="AZ644">
        <f>IF(AND(AQ644=1,ISNUMBER(AT644),AY644=1),$AT644,1)</f>
        <v>0</v>
      </c>
      <c r="BA644">
        <f>IF(AND(AR644=1,ISNUMBER(AT644),AY644=1),$AT644,1)</f>
        <v>0</v>
      </c>
      <c r="BB644">
        <f>IF(ISNUMBER(Y644),INDEX(AllCollegeILPub, MATCH(N644,AllCollegeNCES,0)),0)</f>
        <v>0</v>
      </c>
      <c r="BC644">
        <f>IF(AK644=ReachLabel,AP644,0)</f>
        <v>0</v>
      </c>
      <c r="BD644">
        <f>IF(AK644=MatchLabel,AP644,0)</f>
        <v>0</v>
      </c>
      <c r="BE644">
        <f>IF(AK644=SafetyLabel,AP644,0)</f>
        <v>0</v>
      </c>
      <c r="BF644">
        <f>IF(AK644=SecureLabel,AP644,0)</f>
        <v>0</v>
      </c>
      <c r="BG644">
        <f>IF(AK644=SureThingLabel,AP644,0)</f>
        <v>0</v>
      </c>
      <c r="BH644">
        <f>MAX(BC644:BG644)</f>
        <v>0</v>
      </c>
      <c r="BI644">
        <f>MAX(BD644:BG644)</f>
        <v>0</v>
      </c>
      <c r="BJ644">
        <f>MAX(BE644:BG644)</f>
        <v>0</v>
      </c>
      <c r="BK644">
        <f>IF(AND(AK644=ReachLabel,AY644=1),AP644,0)</f>
        <v>0</v>
      </c>
      <c r="BL644">
        <f>IF(AND(AK644=MatchLabel,AY644=1),AP644,0)</f>
        <v>0</v>
      </c>
      <c r="BM644">
        <f>IF(AND(AK644=SafetyLabel,AY644=1),AP644,0)</f>
        <v>0</v>
      </c>
      <c r="BN644">
        <f>IF(AND(AK644=SecureLabel,AY644=1),AP644,0)</f>
        <v>0</v>
      </c>
      <c r="BO644">
        <f>IF(AND(AK644=SureThingLabel,AY644=1),AP644,0)</f>
        <v>0</v>
      </c>
      <c r="BP644">
        <f>MAX(BK644:BO644)</f>
        <v>0</v>
      </c>
      <c r="BQ644">
        <f>MAX(BL644:BO644)</f>
        <v>0</v>
      </c>
      <c r="BR644">
        <f>MAX(BM644:BO644)</f>
        <v>0</v>
      </c>
      <c r="BS644">
        <f>IF(ISNUMBER(Y644),INDEX(AllCollegeChicago, MATCH(N644,AllCollegeNCES,0))*AY644,0)</f>
        <v>0</v>
      </c>
      <c r="BT644">
        <f>IF(ISNUMBER(Y644),INDEX(AllCollegeMoneyCode, MATCH(N644,AllCollegeNCES,0)),"?")</f>
        <v>0</v>
      </c>
      <c r="BU644">
        <f>IF(OR(BT644="---",BT644="--",BT644="+/--",BT644="+/---"),1,0)</f>
        <v>0</v>
      </c>
      <c r="BV644">
        <f>AY644*AO644*AQ644</f>
        <v>0</v>
      </c>
    </row>
    <row r="645" spans="1:74">
      <c r="A645" t="s">
        <v>86</v>
      </c>
      <c r="B645">
        <v>24155152</v>
      </c>
      <c r="C645" t="s">
        <v>215</v>
      </c>
      <c r="D645" t="s">
        <v>216</v>
      </c>
      <c r="E645" t="s">
        <v>428</v>
      </c>
      <c r="F645" t="s">
        <v>502</v>
      </c>
      <c r="G645" t="s">
        <v>430</v>
      </c>
      <c r="H645" t="s">
        <v>431</v>
      </c>
      <c r="I645" t="s">
        <v>432</v>
      </c>
      <c r="J645" t="s">
        <v>432</v>
      </c>
      <c r="K645">
        <v>0</v>
      </c>
      <c r="L645" t="s">
        <v>428</v>
      </c>
      <c r="M645" t="s">
        <v>428</v>
      </c>
      <c r="N645">
        <v>145813</v>
      </c>
      <c r="O645">
        <f>INDEX(AllCollegeBarrons,MATCH(N645,AllCollegeNCES,0))</f>
        <v>0</v>
      </c>
      <c r="P645">
        <f>INDEX(KidGPAs,MATCH(B645,KidIDs,0))</f>
        <v>0</v>
      </c>
      <c r="Q645">
        <f>INDEX(KidACTs,MATCH(B645,KidIDs,0))</f>
        <v>0</v>
      </c>
      <c r="R645">
        <f>INDEX(Strats,MATCH(B645,KidIDs,0))</f>
        <v>0</v>
      </c>
      <c r="S645">
        <f>INDEX(KidRace,MATCH(B645,KidIDs,0))</f>
        <v>0</v>
      </c>
      <c r="T645">
        <f>IF(OR(S645="M",S645="I"),"H",S645)</f>
        <v>0</v>
      </c>
      <c r="U645">
        <f>INDEX(StudentTargets,MATCH(B645,KidIDs,0))</f>
        <v>0</v>
      </c>
      <c r="V645">
        <f>INDEX(ReachStudentTargets,MATCH(B645,KidIDs,0))</f>
        <v>0</v>
      </c>
      <c r="W645">
        <f>IF(OR(M645="Posse"),1,0)</f>
        <v>0</v>
      </c>
      <c r="X645">
        <f>IF(ISNUMBER(INDEX(AllCollegeGR, MATCH(N645,AllCollegeNCES,0))),ROUND(INDEX(AllCollegeGR, MATCH(N645,AllCollegeNCES,0))+W645*IF(INDEX(AllCollegeGR, MATCH(N645,AllCollegeNCES,0))&gt;0.7,(1-INDEX(AllCollegeGR, MATCH(N645,AllCollegeNCES,0)))/2,0.15),2),INDEX(AllCollegeGR, MATCH(N645,AllCollegeNCES,0)))</f>
        <v>0</v>
      </c>
      <c r="Y645">
        <f>IF(ISNUMBER(INDEX(AllCollegeAAHGR, MATCH(N645,AllCollegeNCES,0))),ROUND(INDEX(AllCollegeAAHGR, MATCH(N645,AllCollegeNCES,0))+W645*IF(INDEX(AllCollegeAAHGR, MATCH(N645,AllCollegeNCES,0))&gt;0.7,(1-INDEX(AllCollegeAAHGR, MATCH(N645,AllCollegeNCES,0)))/2,0.15),2),INDEX(AllCollegeAAHGR, MATCH(N645,AllCollegeNCES,0)))</f>
        <v>0</v>
      </c>
      <c r="Z645">
        <f>IF(OR(T645="H",T645="B"),INDEX(AllCollegeACT25, MATCH(N645,AllCollegeNCES,0)),INDEX(AllCollegeACT50, MATCH(N645,AllCollegeNCES,0)))</f>
        <v>0</v>
      </c>
      <c r="AA645">
        <f>INDEX(CustomWeightsGPA,MATCH(T645&amp;":"&amp;N645,CustomWeightsIndex,0))</f>
        <v>0</v>
      </c>
      <c r="AB645">
        <f>INDEX(CustomWeightsACT,MATCH(T645&amp;":"&amp;N645,CustomWeightsIndex,0))</f>
        <v>0</v>
      </c>
      <c r="AC645">
        <f>INDEX(CustomWeightsIntercept,MATCH(T645&amp;":"&amp;N645,CustomWeightsIndex,0))</f>
        <v>0</v>
      </c>
      <c r="AD645">
        <f>AA645*P645+AB645*Q645+AC645</f>
        <v>0</v>
      </c>
      <c r="AE645">
        <f>INDEX(CoefficientsGPA,MATCH(T645&amp;":"&amp;O645,CoefficientsIndex,0))</f>
        <v>0</v>
      </c>
      <c r="AF645">
        <f>INDEX(CoefficientsACT,MATCH(T645&amp;":"&amp;O645,CoefficientsIndex,0))</f>
        <v>0</v>
      </c>
      <c r="AG645">
        <f>INDEX(CoefficientsIntercept,MATCH(T645&amp;":"&amp;O645,CoefficientsIndex,0))</f>
        <v>0</v>
      </c>
      <c r="AH645">
        <f>AE645*P645+(Q645-Z645)*AF645+AG645</f>
        <v>0</v>
      </c>
      <c r="AI645">
        <f>IF(ISNUMBER(AD645),AD645,AH645)</f>
        <v>0</v>
      </c>
      <c r="AJ645">
        <f>IF(ISNUMBER(AI645),IF(ISNUMBER(AE645),IF(AND(AE645=1,AF645=1,AG645=1),100,ROUND(100*EXP(AI645)/(1+EXP(AI645)),2)),ROUND(100*EXP(AI645)/(1+EXP(AI645)),2)),IF(ISTEXT(O645),IF(LEFT(O645,1)="2",100,"N/A"),"N/A"))</f>
        <v>0</v>
      </c>
      <c r="AK645">
        <f>IF(ISNUMBER(AJ645),IF(AJ645&gt;=99,IF(OR(R645=10,R645=11),MatchLabel,SureThingLabel),IF(AJ645&gt;=95,SecureLabel,IF(AJ645&gt;=80,SafetyLabel,IF(AJ645&gt;=50,MatchLabel,IF(AJ645&gt;=20,ReachLabel,IF(AJ645&gt;=10,LongshotLabel,HailMaryLabel)))))),"Other")</f>
        <v>0</v>
      </c>
      <c r="AL645">
        <f>IF(OR(I645="accepted",I645="cond. accept",I645="summer admit"),IF(J645="yes","CHOICE!","Accepted!"),IF(I645="denied","Denied",IF(K645=1,"Waitlist",IF(L645=1,"Deferred",IF(G645="pending","Pending",IF(OR(G645="initial materials submitted",G645="mid-year submitted",G645="final submitted"),"Submitted",IF(H645="interest","Interest","?")))))))</f>
        <v>0</v>
      </c>
      <c r="AM645">
        <f>IF(OR(AK645=ReachLabel,AK645=LongshotLabel,AK645=HailMaryLabel),1,0)</f>
        <v>0</v>
      </c>
      <c r="AN645">
        <f>IF(OR(AM645=1,AK645=MatchLabel),1,0)</f>
        <v>0</v>
      </c>
      <c r="AO645">
        <f>IF(OR(AK645=MatchLabel,AK645=SafetyLabel,AK645=SecureLabel,AK645=SureThingLabel),1,0)</f>
        <v>0</v>
      </c>
      <c r="AP645">
        <f>IF(OR(T645="H",T645="B"),IF(ISNUMBER(Y645),ROUND(Y645,2),0),IF(ISNUMBER(X645),ROUND(X645,2),0))</f>
        <v>0</v>
      </c>
      <c r="AQ645">
        <f>IF(AP645&gt;=U645,1,0)</f>
        <v>0</v>
      </c>
      <c r="AR645">
        <f>IF(AP645&gt;=V645,1,0)</f>
        <v>0</v>
      </c>
      <c r="AS645">
        <f>IF(AP645&lt;(U645-0.10),1,0)</f>
        <v>0</v>
      </c>
      <c r="AT645">
        <f>1-AJ645/100</f>
        <v>0</v>
      </c>
      <c r="AU645">
        <f>IF(AN645=1,AT645,1)</f>
        <v>0</v>
      </c>
      <c r="AV645">
        <f>IF(AM645=1,AT645,1)</f>
        <v>0</v>
      </c>
      <c r="AW645">
        <f>IF(AND(AQ645=1,ISNUMBER(AT645)),$AT645,1)</f>
        <v>0</v>
      </c>
      <c r="AX645">
        <f>IF(AND(AR645=1,ISNUMBER(AT645)),$AT645,1)</f>
        <v>0</v>
      </c>
      <c r="AY645">
        <f>IF(ISNUMBER(Y645),INDEX(AllCollegeMoney, MATCH(N645,AllCollegeNCES,0)),0)</f>
        <v>0</v>
      </c>
      <c r="AZ645">
        <f>IF(AND(AQ645=1,ISNUMBER(AT645),AY645=1),$AT645,1)</f>
        <v>0</v>
      </c>
      <c r="BA645">
        <f>IF(AND(AR645=1,ISNUMBER(AT645),AY645=1),$AT645,1)</f>
        <v>0</v>
      </c>
      <c r="BB645">
        <f>IF(ISNUMBER(Y645),INDEX(AllCollegeILPub, MATCH(N645,AllCollegeNCES,0)),0)</f>
        <v>0</v>
      </c>
      <c r="BC645">
        <f>IF(AK645=ReachLabel,AP645,0)</f>
        <v>0</v>
      </c>
      <c r="BD645">
        <f>IF(AK645=MatchLabel,AP645,0)</f>
        <v>0</v>
      </c>
      <c r="BE645">
        <f>IF(AK645=SafetyLabel,AP645,0)</f>
        <v>0</v>
      </c>
      <c r="BF645">
        <f>IF(AK645=SecureLabel,AP645,0)</f>
        <v>0</v>
      </c>
      <c r="BG645">
        <f>IF(AK645=SureThingLabel,AP645,0)</f>
        <v>0</v>
      </c>
      <c r="BH645">
        <f>MAX(BC645:BG645)</f>
        <v>0</v>
      </c>
      <c r="BI645">
        <f>MAX(BD645:BG645)</f>
        <v>0</v>
      </c>
      <c r="BJ645">
        <f>MAX(BE645:BG645)</f>
        <v>0</v>
      </c>
      <c r="BK645">
        <f>IF(AND(AK645=ReachLabel,AY645=1),AP645,0)</f>
        <v>0</v>
      </c>
      <c r="BL645">
        <f>IF(AND(AK645=MatchLabel,AY645=1),AP645,0)</f>
        <v>0</v>
      </c>
      <c r="BM645">
        <f>IF(AND(AK645=SafetyLabel,AY645=1),AP645,0)</f>
        <v>0</v>
      </c>
      <c r="BN645">
        <f>IF(AND(AK645=SecureLabel,AY645=1),AP645,0)</f>
        <v>0</v>
      </c>
      <c r="BO645">
        <f>IF(AND(AK645=SureThingLabel,AY645=1),AP645,0)</f>
        <v>0</v>
      </c>
      <c r="BP645">
        <f>MAX(BK645:BO645)</f>
        <v>0</v>
      </c>
      <c r="BQ645">
        <f>MAX(BL645:BO645)</f>
        <v>0</v>
      </c>
      <c r="BR645">
        <f>MAX(BM645:BO645)</f>
        <v>0</v>
      </c>
      <c r="BS645">
        <f>IF(ISNUMBER(Y645),INDEX(AllCollegeChicago, MATCH(N645,AllCollegeNCES,0))*AY645,0)</f>
        <v>0</v>
      </c>
      <c r="BT645">
        <f>IF(ISNUMBER(Y645),INDEX(AllCollegeMoneyCode, MATCH(N645,AllCollegeNCES,0)),"?")</f>
        <v>0</v>
      </c>
      <c r="BU645">
        <f>IF(OR(BT645="---",BT645="--",BT645="+/--",BT645="+/---"),1,0)</f>
        <v>0</v>
      </c>
      <c r="BV645">
        <f>AY645*AO645*AQ645</f>
        <v>0</v>
      </c>
    </row>
    <row r="646" spans="1:74">
      <c r="A646" t="s">
        <v>86</v>
      </c>
      <c r="B646">
        <v>24155152</v>
      </c>
      <c r="C646" t="s">
        <v>215</v>
      </c>
      <c r="D646" t="s">
        <v>216</v>
      </c>
      <c r="E646" t="s">
        <v>428</v>
      </c>
      <c r="F646" t="s">
        <v>447</v>
      </c>
      <c r="G646" t="s">
        <v>430</v>
      </c>
      <c r="H646" t="s">
        <v>431</v>
      </c>
      <c r="I646" t="s">
        <v>432</v>
      </c>
      <c r="J646" t="s">
        <v>432</v>
      </c>
      <c r="K646">
        <v>0</v>
      </c>
      <c r="L646" t="s">
        <v>428</v>
      </c>
      <c r="M646" t="s">
        <v>428</v>
      </c>
      <c r="N646">
        <v>145600</v>
      </c>
      <c r="O646">
        <f>INDEX(AllCollegeBarrons,MATCH(N646,AllCollegeNCES,0))</f>
        <v>0</v>
      </c>
      <c r="P646">
        <f>INDEX(KidGPAs,MATCH(B646,KidIDs,0))</f>
        <v>0</v>
      </c>
      <c r="Q646">
        <f>INDEX(KidACTs,MATCH(B646,KidIDs,0))</f>
        <v>0</v>
      </c>
      <c r="R646">
        <f>INDEX(Strats,MATCH(B646,KidIDs,0))</f>
        <v>0</v>
      </c>
      <c r="S646">
        <f>INDEX(KidRace,MATCH(B646,KidIDs,0))</f>
        <v>0</v>
      </c>
      <c r="T646">
        <f>IF(OR(S646="M",S646="I"),"H",S646)</f>
        <v>0</v>
      </c>
      <c r="U646">
        <f>INDEX(StudentTargets,MATCH(B646,KidIDs,0))</f>
        <v>0</v>
      </c>
      <c r="V646">
        <f>INDEX(ReachStudentTargets,MATCH(B646,KidIDs,0))</f>
        <v>0</v>
      </c>
      <c r="W646">
        <f>IF(OR(M646="Posse"),1,0)</f>
        <v>0</v>
      </c>
      <c r="X646">
        <f>IF(ISNUMBER(INDEX(AllCollegeGR, MATCH(N646,AllCollegeNCES,0))),ROUND(INDEX(AllCollegeGR, MATCH(N646,AllCollegeNCES,0))+W646*IF(INDEX(AllCollegeGR, MATCH(N646,AllCollegeNCES,0))&gt;0.7,(1-INDEX(AllCollegeGR, MATCH(N646,AllCollegeNCES,0)))/2,0.15),2),INDEX(AllCollegeGR, MATCH(N646,AllCollegeNCES,0)))</f>
        <v>0</v>
      </c>
      <c r="Y646">
        <f>IF(ISNUMBER(INDEX(AllCollegeAAHGR, MATCH(N646,AllCollegeNCES,0))),ROUND(INDEX(AllCollegeAAHGR, MATCH(N646,AllCollegeNCES,0))+W646*IF(INDEX(AllCollegeAAHGR, MATCH(N646,AllCollegeNCES,0))&gt;0.7,(1-INDEX(AllCollegeAAHGR, MATCH(N646,AllCollegeNCES,0)))/2,0.15),2),INDEX(AllCollegeAAHGR, MATCH(N646,AllCollegeNCES,0)))</f>
        <v>0</v>
      </c>
      <c r="Z646">
        <f>IF(OR(T646="H",T646="B"),INDEX(AllCollegeACT25, MATCH(N646,AllCollegeNCES,0)),INDEX(AllCollegeACT50, MATCH(N646,AllCollegeNCES,0)))</f>
        <v>0</v>
      </c>
      <c r="AA646">
        <f>INDEX(CustomWeightsGPA,MATCH(T646&amp;":"&amp;N646,CustomWeightsIndex,0))</f>
        <v>0</v>
      </c>
      <c r="AB646">
        <f>INDEX(CustomWeightsACT,MATCH(T646&amp;":"&amp;N646,CustomWeightsIndex,0))</f>
        <v>0</v>
      </c>
      <c r="AC646">
        <f>INDEX(CustomWeightsIntercept,MATCH(T646&amp;":"&amp;N646,CustomWeightsIndex,0))</f>
        <v>0</v>
      </c>
      <c r="AD646">
        <f>AA646*P646+AB646*Q646+AC646</f>
        <v>0</v>
      </c>
      <c r="AE646">
        <f>INDEX(CoefficientsGPA,MATCH(T646&amp;":"&amp;O646,CoefficientsIndex,0))</f>
        <v>0</v>
      </c>
      <c r="AF646">
        <f>INDEX(CoefficientsACT,MATCH(T646&amp;":"&amp;O646,CoefficientsIndex,0))</f>
        <v>0</v>
      </c>
      <c r="AG646">
        <f>INDEX(CoefficientsIntercept,MATCH(T646&amp;":"&amp;O646,CoefficientsIndex,0))</f>
        <v>0</v>
      </c>
      <c r="AH646">
        <f>AE646*P646+(Q646-Z646)*AF646+AG646</f>
        <v>0</v>
      </c>
      <c r="AI646">
        <f>IF(ISNUMBER(AD646),AD646,AH646)</f>
        <v>0</v>
      </c>
      <c r="AJ646">
        <f>IF(ISNUMBER(AI646),IF(ISNUMBER(AE646),IF(AND(AE646=1,AF646=1,AG646=1),100,ROUND(100*EXP(AI646)/(1+EXP(AI646)),2)),ROUND(100*EXP(AI646)/(1+EXP(AI646)),2)),IF(ISTEXT(O646),IF(LEFT(O646,1)="2",100,"N/A"),"N/A"))</f>
        <v>0</v>
      </c>
      <c r="AK646">
        <f>IF(ISNUMBER(AJ646),IF(AJ646&gt;=99,IF(OR(R646=10,R646=11),MatchLabel,SureThingLabel),IF(AJ646&gt;=95,SecureLabel,IF(AJ646&gt;=80,SafetyLabel,IF(AJ646&gt;=50,MatchLabel,IF(AJ646&gt;=20,ReachLabel,IF(AJ646&gt;=10,LongshotLabel,HailMaryLabel)))))),"Other")</f>
        <v>0</v>
      </c>
      <c r="AL646">
        <f>IF(OR(I646="accepted",I646="cond. accept",I646="summer admit"),IF(J646="yes","CHOICE!","Accepted!"),IF(I646="denied","Denied",IF(K646=1,"Waitlist",IF(L646=1,"Deferred",IF(G646="pending","Pending",IF(OR(G646="initial materials submitted",G646="mid-year submitted",G646="final submitted"),"Submitted",IF(H646="interest","Interest","?")))))))</f>
        <v>0</v>
      </c>
      <c r="AM646">
        <f>IF(OR(AK646=ReachLabel,AK646=LongshotLabel,AK646=HailMaryLabel),1,0)</f>
        <v>0</v>
      </c>
      <c r="AN646">
        <f>IF(OR(AM646=1,AK646=MatchLabel),1,0)</f>
        <v>0</v>
      </c>
      <c r="AO646">
        <f>IF(OR(AK646=MatchLabel,AK646=SafetyLabel,AK646=SecureLabel,AK646=SureThingLabel),1,0)</f>
        <v>0</v>
      </c>
      <c r="AP646">
        <f>IF(OR(T646="H",T646="B"),IF(ISNUMBER(Y646),ROUND(Y646,2),0),IF(ISNUMBER(X646),ROUND(X646,2),0))</f>
        <v>0</v>
      </c>
      <c r="AQ646">
        <f>IF(AP646&gt;=U646,1,0)</f>
        <v>0</v>
      </c>
      <c r="AR646">
        <f>IF(AP646&gt;=V646,1,0)</f>
        <v>0</v>
      </c>
      <c r="AS646">
        <f>IF(AP646&lt;(U646-0.10),1,0)</f>
        <v>0</v>
      </c>
      <c r="AT646">
        <f>1-AJ646/100</f>
        <v>0</v>
      </c>
      <c r="AU646">
        <f>IF(AN646=1,AT646,1)</f>
        <v>0</v>
      </c>
      <c r="AV646">
        <f>IF(AM646=1,AT646,1)</f>
        <v>0</v>
      </c>
      <c r="AW646">
        <f>IF(AND(AQ646=1,ISNUMBER(AT646)),$AT646,1)</f>
        <v>0</v>
      </c>
      <c r="AX646">
        <f>IF(AND(AR646=1,ISNUMBER(AT646)),$AT646,1)</f>
        <v>0</v>
      </c>
      <c r="AY646">
        <f>IF(ISNUMBER(Y646),INDEX(AllCollegeMoney, MATCH(N646,AllCollegeNCES,0)),0)</f>
        <v>0</v>
      </c>
      <c r="AZ646">
        <f>IF(AND(AQ646=1,ISNUMBER(AT646),AY646=1),$AT646,1)</f>
        <v>0</v>
      </c>
      <c r="BA646">
        <f>IF(AND(AR646=1,ISNUMBER(AT646),AY646=1),$AT646,1)</f>
        <v>0</v>
      </c>
      <c r="BB646">
        <f>IF(ISNUMBER(Y646),INDEX(AllCollegeILPub, MATCH(N646,AllCollegeNCES,0)),0)</f>
        <v>0</v>
      </c>
      <c r="BC646">
        <f>IF(AK646=ReachLabel,AP646,0)</f>
        <v>0</v>
      </c>
      <c r="BD646">
        <f>IF(AK646=MatchLabel,AP646,0)</f>
        <v>0</v>
      </c>
      <c r="BE646">
        <f>IF(AK646=SafetyLabel,AP646,0)</f>
        <v>0</v>
      </c>
      <c r="BF646">
        <f>IF(AK646=SecureLabel,AP646,0)</f>
        <v>0</v>
      </c>
      <c r="BG646">
        <f>IF(AK646=SureThingLabel,AP646,0)</f>
        <v>0</v>
      </c>
      <c r="BH646">
        <f>MAX(BC646:BG646)</f>
        <v>0</v>
      </c>
      <c r="BI646">
        <f>MAX(BD646:BG646)</f>
        <v>0</v>
      </c>
      <c r="BJ646">
        <f>MAX(BE646:BG646)</f>
        <v>0</v>
      </c>
      <c r="BK646">
        <f>IF(AND(AK646=ReachLabel,AY646=1),AP646,0)</f>
        <v>0</v>
      </c>
      <c r="BL646">
        <f>IF(AND(AK646=MatchLabel,AY646=1),AP646,0)</f>
        <v>0</v>
      </c>
      <c r="BM646">
        <f>IF(AND(AK646=SafetyLabel,AY646=1),AP646,0)</f>
        <v>0</v>
      </c>
      <c r="BN646">
        <f>IF(AND(AK646=SecureLabel,AY646=1),AP646,0)</f>
        <v>0</v>
      </c>
      <c r="BO646">
        <f>IF(AND(AK646=SureThingLabel,AY646=1),AP646,0)</f>
        <v>0</v>
      </c>
      <c r="BP646">
        <f>MAX(BK646:BO646)</f>
        <v>0</v>
      </c>
      <c r="BQ646">
        <f>MAX(BL646:BO646)</f>
        <v>0</v>
      </c>
      <c r="BR646">
        <f>MAX(BM646:BO646)</f>
        <v>0</v>
      </c>
      <c r="BS646">
        <f>IF(ISNUMBER(Y646),INDEX(AllCollegeChicago, MATCH(N646,AllCollegeNCES,0))*AY646,0)</f>
        <v>0</v>
      </c>
      <c r="BT646">
        <f>IF(ISNUMBER(Y646),INDEX(AllCollegeMoneyCode, MATCH(N646,AllCollegeNCES,0)),"?")</f>
        <v>0</v>
      </c>
      <c r="BU646">
        <f>IF(OR(BT646="---",BT646="--",BT646="+/--",BT646="+/---"),1,0)</f>
        <v>0</v>
      </c>
      <c r="BV646">
        <f>AY646*AO646*AQ646</f>
        <v>0</v>
      </c>
    </row>
    <row r="647" spans="1:74">
      <c r="A647" t="s">
        <v>86</v>
      </c>
      <c r="B647">
        <v>24155152</v>
      </c>
      <c r="C647" t="s">
        <v>215</v>
      </c>
      <c r="D647" t="s">
        <v>216</v>
      </c>
      <c r="E647" t="s">
        <v>428</v>
      </c>
      <c r="F647" t="s">
        <v>579</v>
      </c>
      <c r="G647" t="s">
        <v>526</v>
      </c>
      <c r="H647" t="s">
        <v>526</v>
      </c>
      <c r="I647" t="s">
        <v>527</v>
      </c>
      <c r="J647" t="s">
        <v>428</v>
      </c>
      <c r="K647" t="s">
        <v>428</v>
      </c>
      <c r="L647" t="s">
        <v>428</v>
      </c>
      <c r="M647" t="s">
        <v>428</v>
      </c>
      <c r="N647">
        <v>100654</v>
      </c>
      <c r="O647">
        <f>INDEX(AllCollegeBarrons,MATCH(N647,AllCollegeNCES,0))</f>
        <v>0</v>
      </c>
      <c r="P647">
        <f>INDEX(KidGPAs,MATCH(B647,KidIDs,0))</f>
        <v>0</v>
      </c>
      <c r="Q647">
        <f>INDEX(KidACTs,MATCH(B647,KidIDs,0))</f>
        <v>0</v>
      </c>
      <c r="R647">
        <f>INDEX(Strats,MATCH(B647,KidIDs,0))</f>
        <v>0</v>
      </c>
      <c r="S647">
        <f>INDEX(KidRace,MATCH(B647,KidIDs,0))</f>
        <v>0</v>
      </c>
      <c r="T647">
        <f>IF(OR(S647="M",S647="I"),"H",S647)</f>
        <v>0</v>
      </c>
      <c r="U647">
        <f>INDEX(StudentTargets,MATCH(B647,KidIDs,0))</f>
        <v>0</v>
      </c>
      <c r="V647">
        <f>INDEX(ReachStudentTargets,MATCH(B647,KidIDs,0))</f>
        <v>0</v>
      </c>
      <c r="W647">
        <f>IF(OR(M647="Posse"),1,0)</f>
        <v>0</v>
      </c>
      <c r="X647">
        <f>IF(ISNUMBER(INDEX(AllCollegeGR, MATCH(N647,AllCollegeNCES,0))),ROUND(INDEX(AllCollegeGR, MATCH(N647,AllCollegeNCES,0))+W647*IF(INDEX(AllCollegeGR, MATCH(N647,AllCollegeNCES,0))&gt;0.7,(1-INDEX(AllCollegeGR, MATCH(N647,AllCollegeNCES,0)))/2,0.15),2),INDEX(AllCollegeGR, MATCH(N647,AllCollegeNCES,0)))</f>
        <v>0</v>
      </c>
      <c r="Y647">
        <f>IF(ISNUMBER(INDEX(AllCollegeAAHGR, MATCH(N647,AllCollegeNCES,0))),ROUND(INDEX(AllCollegeAAHGR, MATCH(N647,AllCollegeNCES,0))+W647*IF(INDEX(AllCollegeAAHGR, MATCH(N647,AllCollegeNCES,0))&gt;0.7,(1-INDEX(AllCollegeAAHGR, MATCH(N647,AllCollegeNCES,0)))/2,0.15),2),INDEX(AllCollegeAAHGR, MATCH(N647,AllCollegeNCES,0)))</f>
        <v>0</v>
      </c>
      <c r="Z647">
        <f>IF(OR(T647="H",T647="B"),INDEX(AllCollegeACT25, MATCH(N647,AllCollegeNCES,0)),INDEX(AllCollegeACT50, MATCH(N647,AllCollegeNCES,0)))</f>
        <v>0</v>
      </c>
      <c r="AA647">
        <f>INDEX(CustomWeightsGPA,MATCH(T647&amp;":"&amp;N647,CustomWeightsIndex,0))</f>
        <v>0</v>
      </c>
      <c r="AB647">
        <f>INDEX(CustomWeightsACT,MATCH(T647&amp;":"&amp;N647,CustomWeightsIndex,0))</f>
        <v>0</v>
      </c>
      <c r="AC647">
        <f>INDEX(CustomWeightsIntercept,MATCH(T647&amp;":"&amp;N647,CustomWeightsIndex,0))</f>
        <v>0</v>
      </c>
      <c r="AD647">
        <f>AA647*P647+AB647*Q647+AC647</f>
        <v>0</v>
      </c>
      <c r="AE647">
        <f>INDEX(CoefficientsGPA,MATCH(T647&amp;":"&amp;O647,CoefficientsIndex,0))</f>
        <v>0</v>
      </c>
      <c r="AF647">
        <f>INDEX(CoefficientsACT,MATCH(T647&amp;":"&amp;O647,CoefficientsIndex,0))</f>
        <v>0</v>
      </c>
      <c r="AG647">
        <f>INDEX(CoefficientsIntercept,MATCH(T647&amp;":"&amp;O647,CoefficientsIndex,0))</f>
        <v>0</v>
      </c>
      <c r="AH647">
        <f>AE647*P647+(Q647-Z647)*AF647+AG647</f>
        <v>0</v>
      </c>
      <c r="AI647">
        <f>IF(ISNUMBER(AD647),AD647,AH647)</f>
        <v>0</v>
      </c>
      <c r="AJ647">
        <f>IF(ISNUMBER(AI647),IF(ISNUMBER(AE647),IF(AND(AE647=1,AF647=1,AG647=1),100,ROUND(100*EXP(AI647)/(1+EXP(AI647)),2)),ROUND(100*EXP(AI647)/(1+EXP(AI647)),2)),IF(ISTEXT(O647),IF(LEFT(O647,1)="2",100,"N/A"),"N/A"))</f>
        <v>0</v>
      </c>
      <c r="AK647">
        <f>IF(ISNUMBER(AJ647),IF(AJ647&gt;=99,IF(OR(R647=10,R647=11),MatchLabel,SureThingLabel),IF(AJ647&gt;=95,SecureLabel,IF(AJ647&gt;=80,SafetyLabel,IF(AJ647&gt;=50,MatchLabel,IF(AJ647&gt;=20,ReachLabel,IF(AJ647&gt;=10,LongshotLabel,HailMaryLabel)))))),"Other")</f>
        <v>0</v>
      </c>
      <c r="AL647">
        <f>IF(OR(I647="accepted",I647="cond. accept",I647="summer admit"),IF(J647="yes","CHOICE!","Accepted!"),IF(I647="denied","Denied",IF(K647=1,"Waitlist",IF(L647=1,"Deferred",IF(G647="pending","Pending",IF(OR(G647="initial materials submitted",G647="mid-year submitted",G647="final submitted"),"Submitted",IF(H647="interest","Interest","?")))))))</f>
        <v>0</v>
      </c>
      <c r="AM647">
        <f>IF(OR(AK647=ReachLabel,AK647=LongshotLabel,AK647=HailMaryLabel),1,0)</f>
        <v>0</v>
      </c>
      <c r="AN647">
        <f>IF(OR(AM647=1,AK647=MatchLabel),1,0)</f>
        <v>0</v>
      </c>
      <c r="AO647">
        <f>IF(OR(AK647=MatchLabel,AK647=SafetyLabel,AK647=SecureLabel,AK647=SureThingLabel),1,0)</f>
        <v>0</v>
      </c>
      <c r="AP647">
        <f>IF(OR(T647="H",T647="B"),IF(ISNUMBER(Y647),ROUND(Y647,2),0),IF(ISNUMBER(X647),ROUND(X647,2),0))</f>
        <v>0</v>
      </c>
      <c r="AQ647">
        <f>IF(AP647&gt;=U647,1,0)</f>
        <v>0</v>
      </c>
      <c r="AR647">
        <f>IF(AP647&gt;=V647,1,0)</f>
        <v>0</v>
      </c>
      <c r="AS647">
        <f>IF(AP647&lt;(U647-0.10),1,0)</f>
        <v>0</v>
      </c>
      <c r="AT647">
        <f>1-AJ647/100</f>
        <v>0</v>
      </c>
      <c r="AU647">
        <f>IF(AN647=1,AT647,1)</f>
        <v>0</v>
      </c>
      <c r="AV647">
        <f>IF(AM647=1,AT647,1)</f>
        <v>0</v>
      </c>
      <c r="AW647">
        <f>IF(AND(AQ647=1,ISNUMBER(AT647)),$AT647,1)</f>
        <v>0</v>
      </c>
      <c r="AX647">
        <f>IF(AND(AR647=1,ISNUMBER(AT647)),$AT647,1)</f>
        <v>0</v>
      </c>
      <c r="AY647">
        <f>IF(ISNUMBER(Y647),INDEX(AllCollegeMoney, MATCH(N647,AllCollegeNCES,0)),0)</f>
        <v>0</v>
      </c>
      <c r="AZ647">
        <f>IF(AND(AQ647=1,ISNUMBER(AT647),AY647=1),$AT647,1)</f>
        <v>0</v>
      </c>
      <c r="BA647">
        <f>IF(AND(AR647=1,ISNUMBER(AT647),AY647=1),$AT647,1)</f>
        <v>0</v>
      </c>
      <c r="BB647">
        <f>IF(ISNUMBER(Y647),INDEX(AllCollegeILPub, MATCH(N647,AllCollegeNCES,0)),0)</f>
        <v>0</v>
      </c>
      <c r="BC647">
        <f>IF(AK647=ReachLabel,AP647,0)</f>
        <v>0</v>
      </c>
      <c r="BD647">
        <f>IF(AK647=MatchLabel,AP647,0)</f>
        <v>0</v>
      </c>
      <c r="BE647">
        <f>IF(AK647=SafetyLabel,AP647,0)</f>
        <v>0</v>
      </c>
      <c r="BF647">
        <f>IF(AK647=SecureLabel,AP647,0)</f>
        <v>0</v>
      </c>
      <c r="BG647">
        <f>IF(AK647=SureThingLabel,AP647,0)</f>
        <v>0</v>
      </c>
      <c r="BH647">
        <f>MAX(BC647:BG647)</f>
        <v>0</v>
      </c>
      <c r="BI647">
        <f>MAX(BD647:BG647)</f>
        <v>0</v>
      </c>
      <c r="BJ647">
        <f>MAX(BE647:BG647)</f>
        <v>0</v>
      </c>
      <c r="BK647">
        <f>IF(AND(AK647=ReachLabel,AY647=1),AP647,0)</f>
        <v>0</v>
      </c>
      <c r="BL647">
        <f>IF(AND(AK647=MatchLabel,AY647=1),AP647,0)</f>
        <v>0</v>
      </c>
      <c r="BM647">
        <f>IF(AND(AK647=SafetyLabel,AY647=1),AP647,0)</f>
        <v>0</v>
      </c>
      <c r="BN647">
        <f>IF(AND(AK647=SecureLabel,AY647=1),AP647,0)</f>
        <v>0</v>
      </c>
      <c r="BO647">
        <f>IF(AND(AK647=SureThingLabel,AY647=1),AP647,0)</f>
        <v>0</v>
      </c>
      <c r="BP647">
        <f>MAX(BK647:BO647)</f>
        <v>0</v>
      </c>
      <c r="BQ647">
        <f>MAX(BL647:BO647)</f>
        <v>0</v>
      </c>
      <c r="BR647">
        <f>MAX(BM647:BO647)</f>
        <v>0</v>
      </c>
      <c r="BS647">
        <f>IF(ISNUMBER(Y647),INDEX(AllCollegeChicago, MATCH(N647,AllCollegeNCES,0))*AY647,0)</f>
        <v>0</v>
      </c>
      <c r="BT647">
        <f>IF(ISNUMBER(Y647),INDEX(AllCollegeMoneyCode, MATCH(N647,AllCollegeNCES,0)),"?")</f>
        <v>0</v>
      </c>
      <c r="BU647">
        <f>IF(OR(BT647="---",BT647="--",BT647="+/--",BT647="+/---"),1,0)</f>
        <v>0</v>
      </c>
      <c r="BV647">
        <f>AY647*AO647*AQ647</f>
        <v>0</v>
      </c>
    </row>
    <row r="648" spans="1:74">
      <c r="A648" t="s">
        <v>86</v>
      </c>
      <c r="B648">
        <v>24155152</v>
      </c>
      <c r="C648" t="s">
        <v>215</v>
      </c>
      <c r="D648" t="s">
        <v>216</v>
      </c>
      <c r="E648" t="s">
        <v>428</v>
      </c>
      <c r="F648" t="s">
        <v>488</v>
      </c>
      <c r="G648" t="s">
        <v>430</v>
      </c>
      <c r="H648" t="s">
        <v>431</v>
      </c>
      <c r="I648" t="s">
        <v>432</v>
      </c>
      <c r="J648" t="s">
        <v>432</v>
      </c>
      <c r="K648">
        <v>0</v>
      </c>
      <c r="L648" t="s">
        <v>428</v>
      </c>
      <c r="M648" t="s">
        <v>428</v>
      </c>
      <c r="N648">
        <v>149231</v>
      </c>
      <c r="O648">
        <f>INDEX(AllCollegeBarrons,MATCH(N648,AllCollegeNCES,0))</f>
        <v>0</v>
      </c>
      <c r="P648">
        <f>INDEX(KidGPAs,MATCH(B648,KidIDs,0))</f>
        <v>0</v>
      </c>
      <c r="Q648">
        <f>INDEX(KidACTs,MATCH(B648,KidIDs,0))</f>
        <v>0</v>
      </c>
      <c r="R648">
        <f>INDEX(Strats,MATCH(B648,KidIDs,0))</f>
        <v>0</v>
      </c>
      <c r="S648">
        <f>INDEX(KidRace,MATCH(B648,KidIDs,0))</f>
        <v>0</v>
      </c>
      <c r="T648">
        <f>IF(OR(S648="M",S648="I"),"H",S648)</f>
        <v>0</v>
      </c>
      <c r="U648">
        <f>INDEX(StudentTargets,MATCH(B648,KidIDs,0))</f>
        <v>0</v>
      </c>
      <c r="V648">
        <f>INDEX(ReachStudentTargets,MATCH(B648,KidIDs,0))</f>
        <v>0</v>
      </c>
      <c r="W648">
        <f>IF(OR(M648="Posse"),1,0)</f>
        <v>0</v>
      </c>
      <c r="X648">
        <f>IF(ISNUMBER(INDEX(AllCollegeGR, MATCH(N648,AllCollegeNCES,0))),ROUND(INDEX(AllCollegeGR, MATCH(N648,AllCollegeNCES,0))+W648*IF(INDEX(AllCollegeGR, MATCH(N648,AllCollegeNCES,0))&gt;0.7,(1-INDEX(AllCollegeGR, MATCH(N648,AllCollegeNCES,0)))/2,0.15),2),INDEX(AllCollegeGR, MATCH(N648,AllCollegeNCES,0)))</f>
        <v>0</v>
      </c>
      <c r="Y648">
        <f>IF(ISNUMBER(INDEX(AllCollegeAAHGR, MATCH(N648,AllCollegeNCES,0))),ROUND(INDEX(AllCollegeAAHGR, MATCH(N648,AllCollegeNCES,0))+W648*IF(INDEX(AllCollegeAAHGR, MATCH(N648,AllCollegeNCES,0))&gt;0.7,(1-INDEX(AllCollegeAAHGR, MATCH(N648,AllCollegeNCES,0)))/2,0.15),2),INDEX(AllCollegeAAHGR, MATCH(N648,AllCollegeNCES,0)))</f>
        <v>0</v>
      </c>
      <c r="Z648">
        <f>IF(OR(T648="H",T648="B"),INDEX(AllCollegeACT25, MATCH(N648,AllCollegeNCES,0)),INDEX(AllCollegeACT50, MATCH(N648,AllCollegeNCES,0)))</f>
        <v>0</v>
      </c>
      <c r="AA648">
        <f>INDEX(CustomWeightsGPA,MATCH(T648&amp;":"&amp;N648,CustomWeightsIndex,0))</f>
        <v>0</v>
      </c>
      <c r="AB648">
        <f>INDEX(CustomWeightsACT,MATCH(T648&amp;":"&amp;N648,CustomWeightsIndex,0))</f>
        <v>0</v>
      </c>
      <c r="AC648">
        <f>INDEX(CustomWeightsIntercept,MATCH(T648&amp;":"&amp;N648,CustomWeightsIndex,0))</f>
        <v>0</v>
      </c>
      <c r="AD648">
        <f>AA648*P648+AB648*Q648+AC648</f>
        <v>0</v>
      </c>
      <c r="AE648">
        <f>INDEX(CoefficientsGPA,MATCH(T648&amp;":"&amp;O648,CoefficientsIndex,0))</f>
        <v>0</v>
      </c>
      <c r="AF648">
        <f>INDEX(CoefficientsACT,MATCH(T648&amp;":"&amp;O648,CoefficientsIndex,0))</f>
        <v>0</v>
      </c>
      <c r="AG648">
        <f>INDEX(CoefficientsIntercept,MATCH(T648&amp;":"&amp;O648,CoefficientsIndex,0))</f>
        <v>0</v>
      </c>
      <c r="AH648">
        <f>AE648*P648+(Q648-Z648)*AF648+AG648</f>
        <v>0</v>
      </c>
      <c r="AI648">
        <f>IF(ISNUMBER(AD648),AD648,AH648)</f>
        <v>0</v>
      </c>
      <c r="AJ648">
        <f>IF(ISNUMBER(AI648),IF(ISNUMBER(AE648),IF(AND(AE648=1,AF648=1,AG648=1),100,ROUND(100*EXP(AI648)/(1+EXP(AI648)),2)),ROUND(100*EXP(AI648)/(1+EXP(AI648)),2)),IF(ISTEXT(O648),IF(LEFT(O648,1)="2",100,"N/A"),"N/A"))</f>
        <v>0</v>
      </c>
      <c r="AK648">
        <f>IF(ISNUMBER(AJ648),IF(AJ648&gt;=99,IF(OR(R648=10,R648=11),MatchLabel,SureThingLabel),IF(AJ648&gt;=95,SecureLabel,IF(AJ648&gt;=80,SafetyLabel,IF(AJ648&gt;=50,MatchLabel,IF(AJ648&gt;=20,ReachLabel,IF(AJ648&gt;=10,LongshotLabel,HailMaryLabel)))))),"Other")</f>
        <v>0</v>
      </c>
      <c r="AL648">
        <f>IF(OR(I648="accepted",I648="cond. accept",I648="summer admit"),IF(J648="yes","CHOICE!","Accepted!"),IF(I648="denied","Denied",IF(K648=1,"Waitlist",IF(L648=1,"Deferred",IF(G648="pending","Pending",IF(OR(G648="initial materials submitted",G648="mid-year submitted",G648="final submitted"),"Submitted",IF(H648="interest","Interest","?")))))))</f>
        <v>0</v>
      </c>
      <c r="AM648">
        <f>IF(OR(AK648=ReachLabel,AK648=LongshotLabel,AK648=HailMaryLabel),1,0)</f>
        <v>0</v>
      </c>
      <c r="AN648">
        <f>IF(OR(AM648=1,AK648=MatchLabel),1,0)</f>
        <v>0</v>
      </c>
      <c r="AO648">
        <f>IF(OR(AK648=MatchLabel,AK648=SafetyLabel,AK648=SecureLabel,AK648=SureThingLabel),1,0)</f>
        <v>0</v>
      </c>
      <c r="AP648">
        <f>IF(OR(T648="H",T648="B"),IF(ISNUMBER(Y648),ROUND(Y648,2),0),IF(ISNUMBER(X648),ROUND(X648,2),0))</f>
        <v>0</v>
      </c>
      <c r="AQ648">
        <f>IF(AP648&gt;=U648,1,0)</f>
        <v>0</v>
      </c>
      <c r="AR648">
        <f>IF(AP648&gt;=V648,1,0)</f>
        <v>0</v>
      </c>
      <c r="AS648">
        <f>IF(AP648&lt;(U648-0.10),1,0)</f>
        <v>0</v>
      </c>
      <c r="AT648">
        <f>1-AJ648/100</f>
        <v>0</v>
      </c>
      <c r="AU648">
        <f>IF(AN648=1,AT648,1)</f>
        <v>0</v>
      </c>
      <c r="AV648">
        <f>IF(AM648=1,AT648,1)</f>
        <v>0</v>
      </c>
      <c r="AW648">
        <f>IF(AND(AQ648=1,ISNUMBER(AT648)),$AT648,1)</f>
        <v>0</v>
      </c>
      <c r="AX648">
        <f>IF(AND(AR648=1,ISNUMBER(AT648)),$AT648,1)</f>
        <v>0</v>
      </c>
      <c r="AY648">
        <f>IF(ISNUMBER(Y648),INDEX(AllCollegeMoney, MATCH(N648,AllCollegeNCES,0)),0)</f>
        <v>0</v>
      </c>
      <c r="AZ648">
        <f>IF(AND(AQ648=1,ISNUMBER(AT648),AY648=1),$AT648,1)</f>
        <v>0</v>
      </c>
      <c r="BA648">
        <f>IF(AND(AR648=1,ISNUMBER(AT648),AY648=1),$AT648,1)</f>
        <v>0</v>
      </c>
      <c r="BB648">
        <f>IF(ISNUMBER(Y648),INDEX(AllCollegeILPub, MATCH(N648,AllCollegeNCES,0)),0)</f>
        <v>0</v>
      </c>
      <c r="BC648">
        <f>IF(AK648=ReachLabel,AP648,0)</f>
        <v>0</v>
      </c>
      <c r="BD648">
        <f>IF(AK648=MatchLabel,AP648,0)</f>
        <v>0</v>
      </c>
      <c r="BE648">
        <f>IF(AK648=SafetyLabel,AP648,0)</f>
        <v>0</v>
      </c>
      <c r="BF648">
        <f>IF(AK648=SecureLabel,AP648,0)</f>
        <v>0</v>
      </c>
      <c r="BG648">
        <f>IF(AK648=SureThingLabel,AP648,0)</f>
        <v>0</v>
      </c>
      <c r="BH648">
        <f>MAX(BC648:BG648)</f>
        <v>0</v>
      </c>
      <c r="BI648">
        <f>MAX(BD648:BG648)</f>
        <v>0</v>
      </c>
      <c r="BJ648">
        <f>MAX(BE648:BG648)</f>
        <v>0</v>
      </c>
      <c r="BK648">
        <f>IF(AND(AK648=ReachLabel,AY648=1),AP648,0)</f>
        <v>0</v>
      </c>
      <c r="BL648">
        <f>IF(AND(AK648=MatchLabel,AY648=1),AP648,0)</f>
        <v>0</v>
      </c>
      <c r="BM648">
        <f>IF(AND(AK648=SafetyLabel,AY648=1),AP648,0)</f>
        <v>0</v>
      </c>
      <c r="BN648">
        <f>IF(AND(AK648=SecureLabel,AY648=1),AP648,0)</f>
        <v>0</v>
      </c>
      <c r="BO648">
        <f>IF(AND(AK648=SureThingLabel,AY648=1),AP648,0)</f>
        <v>0</v>
      </c>
      <c r="BP648">
        <f>MAX(BK648:BO648)</f>
        <v>0</v>
      </c>
      <c r="BQ648">
        <f>MAX(BL648:BO648)</f>
        <v>0</v>
      </c>
      <c r="BR648">
        <f>MAX(BM648:BO648)</f>
        <v>0</v>
      </c>
      <c r="BS648">
        <f>IF(ISNUMBER(Y648),INDEX(AllCollegeChicago, MATCH(N648,AllCollegeNCES,0))*AY648,0)</f>
        <v>0</v>
      </c>
      <c r="BT648">
        <f>IF(ISNUMBER(Y648),INDEX(AllCollegeMoneyCode, MATCH(N648,AllCollegeNCES,0)),"?")</f>
        <v>0</v>
      </c>
      <c r="BU648">
        <f>IF(OR(BT648="---",BT648="--",BT648="+/--",BT648="+/---"),1,0)</f>
        <v>0</v>
      </c>
      <c r="BV648">
        <f>AY648*AO648*AQ648</f>
        <v>0</v>
      </c>
    </row>
    <row r="649" spans="1:74">
      <c r="A649" t="s">
        <v>86</v>
      </c>
      <c r="B649">
        <v>24230510</v>
      </c>
      <c r="C649" t="s">
        <v>191</v>
      </c>
      <c r="D649" t="s">
        <v>192</v>
      </c>
      <c r="E649" t="s">
        <v>428</v>
      </c>
      <c r="F649" t="s">
        <v>433</v>
      </c>
      <c r="G649" t="s">
        <v>430</v>
      </c>
      <c r="H649" t="s">
        <v>431</v>
      </c>
      <c r="I649" t="s">
        <v>432</v>
      </c>
      <c r="J649" t="s">
        <v>432</v>
      </c>
      <c r="K649">
        <v>0</v>
      </c>
      <c r="L649" t="s">
        <v>428</v>
      </c>
      <c r="M649" t="s">
        <v>428</v>
      </c>
      <c r="N649">
        <v>148496</v>
      </c>
      <c r="O649">
        <f>INDEX(AllCollegeBarrons,MATCH(N649,AllCollegeNCES,0))</f>
        <v>0</v>
      </c>
      <c r="P649">
        <f>INDEX(KidGPAs,MATCH(B649,KidIDs,0))</f>
        <v>0</v>
      </c>
      <c r="Q649">
        <f>INDEX(KidACTs,MATCH(B649,KidIDs,0))</f>
        <v>0</v>
      </c>
      <c r="R649">
        <f>INDEX(Strats,MATCH(B649,KidIDs,0))</f>
        <v>0</v>
      </c>
      <c r="S649">
        <f>INDEX(KidRace,MATCH(B649,KidIDs,0))</f>
        <v>0</v>
      </c>
      <c r="T649">
        <f>IF(OR(S649="M",S649="I"),"H",S649)</f>
        <v>0</v>
      </c>
      <c r="U649">
        <f>INDEX(StudentTargets,MATCH(B649,KidIDs,0))</f>
        <v>0</v>
      </c>
      <c r="V649">
        <f>INDEX(ReachStudentTargets,MATCH(B649,KidIDs,0))</f>
        <v>0</v>
      </c>
      <c r="W649">
        <f>IF(OR(M649="Posse"),1,0)</f>
        <v>0</v>
      </c>
      <c r="X649">
        <f>IF(ISNUMBER(INDEX(AllCollegeGR, MATCH(N649,AllCollegeNCES,0))),ROUND(INDEX(AllCollegeGR, MATCH(N649,AllCollegeNCES,0))+W649*IF(INDEX(AllCollegeGR, MATCH(N649,AllCollegeNCES,0))&gt;0.7,(1-INDEX(AllCollegeGR, MATCH(N649,AllCollegeNCES,0)))/2,0.15),2),INDEX(AllCollegeGR, MATCH(N649,AllCollegeNCES,0)))</f>
        <v>0</v>
      </c>
      <c r="Y649">
        <f>IF(ISNUMBER(INDEX(AllCollegeAAHGR, MATCH(N649,AllCollegeNCES,0))),ROUND(INDEX(AllCollegeAAHGR, MATCH(N649,AllCollegeNCES,0))+W649*IF(INDEX(AllCollegeAAHGR, MATCH(N649,AllCollegeNCES,0))&gt;0.7,(1-INDEX(AllCollegeAAHGR, MATCH(N649,AllCollegeNCES,0)))/2,0.15),2),INDEX(AllCollegeAAHGR, MATCH(N649,AllCollegeNCES,0)))</f>
        <v>0</v>
      </c>
      <c r="Z649">
        <f>IF(OR(T649="H",T649="B"),INDEX(AllCollegeACT25, MATCH(N649,AllCollegeNCES,0)),INDEX(AllCollegeACT50, MATCH(N649,AllCollegeNCES,0)))</f>
        <v>0</v>
      </c>
      <c r="AA649">
        <f>INDEX(CustomWeightsGPA,MATCH(T649&amp;":"&amp;N649,CustomWeightsIndex,0))</f>
        <v>0</v>
      </c>
      <c r="AB649">
        <f>INDEX(CustomWeightsACT,MATCH(T649&amp;":"&amp;N649,CustomWeightsIndex,0))</f>
        <v>0</v>
      </c>
      <c r="AC649">
        <f>INDEX(CustomWeightsIntercept,MATCH(T649&amp;":"&amp;N649,CustomWeightsIndex,0))</f>
        <v>0</v>
      </c>
      <c r="AD649">
        <f>AA649*P649+AB649*Q649+AC649</f>
        <v>0</v>
      </c>
      <c r="AE649">
        <f>INDEX(CoefficientsGPA,MATCH(T649&amp;":"&amp;O649,CoefficientsIndex,0))</f>
        <v>0</v>
      </c>
      <c r="AF649">
        <f>INDEX(CoefficientsACT,MATCH(T649&amp;":"&amp;O649,CoefficientsIndex,0))</f>
        <v>0</v>
      </c>
      <c r="AG649">
        <f>INDEX(CoefficientsIntercept,MATCH(T649&amp;":"&amp;O649,CoefficientsIndex,0))</f>
        <v>0</v>
      </c>
      <c r="AH649">
        <f>AE649*P649+(Q649-Z649)*AF649+AG649</f>
        <v>0</v>
      </c>
      <c r="AI649">
        <f>IF(ISNUMBER(AD649),AD649,AH649)</f>
        <v>0</v>
      </c>
      <c r="AJ649">
        <f>IF(ISNUMBER(AI649),IF(ISNUMBER(AE649),IF(AND(AE649=1,AF649=1,AG649=1),100,ROUND(100*EXP(AI649)/(1+EXP(AI649)),2)),ROUND(100*EXP(AI649)/(1+EXP(AI649)),2)),IF(ISTEXT(O649),IF(LEFT(O649,1)="2",100,"N/A"),"N/A"))</f>
        <v>0</v>
      </c>
      <c r="AK649">
        <f>IF(ISNUMBER(AJ649),IF(AJ649&gt;=99,IF(OR(R649=10,R649=11),MatchLabel,SureThingLabel),IF(AJ649&gt;=95,SecureLabel,IF(AJ649&gt;=80,SafetyLabel,IF(AJ649&gt;=50,MatchLabel,IF(AJ649&gt;=20,ReachLabel,IF(AJ649&gt;=10,LongshotLabel,HailMaryLabel)))))),"Other")</f>
        <v>0</v>
      </c>
      <c r="AL649">
        <f>IF(OR(I649="accepted",I649="cond. accept",I649="summer admit"),IF(J649="yes","CHOICE!","Accepted!"),IF(I649="denied","Denied",IF(K649=1,"Waitlist",IF(L649=1,"Deferred",IF(G649="pending","Pending",IF(OR(G649="initial materials submitted",G649="mid-year submitted",G649="final submitted"),"Submitted",IF(H649="interest","Interest","?")))))))</f>
        <v>0</v>
      </c>
      <c r="AM649">
        <f>IF(OR(AK649=ReachLabel,AK649=LongshotLabel,AK649=HailMaryLabel),1,0)</f>
        <v>0</v>
      </c>
      <c r="AN649">
        <f>IF(OR(AM649=1,AK649=MatchLabel),1,0)</f>
        <v>0</v>
      </c>
      <c r="AO649">
        <f>IF(OR(AK649=MatchLabel,AK649=SafetyLabel,AK649=SecureLabel,AK649=SureThingLabel),1,0)</f>
        <v>0</v>
      </c>
      <c r="AP649">
        <f>IF(OR(T649="H",T649="B"),IF(ISNUMBER(Y649),ROUND(Y649,2),0),IF(ISNUMBER(X649),ROUND(X649,2),0))</f>
        <v>0</v>
      </c>
      <c r="AQ649">
        <f>IF(AP649&gt;=U649,1,0)</f>
        <v>0</v>
      </c>
      <c r="AR649">
        <f>IF(AP649&gt;=V649,1,0)</f>
        <v>0</v>
      </c>
      <c r="AS649">
        <f>IF(AP649&lt;(U649-0.10),1,0)</f>
        <v>0</v>
      </c>
      <c r="AT649">
        <f>1-AJ649/100</f>
        <v>0</v>
      </c>
      <c r="AU649">
        <f>IF(AN649=1,AT649,1)</f>
        <v>0</v>
      </c>
      <c r="AV649">
        <f>IF(AM649=1,AT649,1)</f>
        <v>0</v>
      </c>
      <c r="AW649">
        <f>IF(AND(AQ649=1,ISNUMBER(AT649)),$AT649,1)</f>
        <v>0</v>
      </c>
      <c r="AX649">
        <f>IF(AND(AR649=1,ISNUMBER(AT649)),$AT649,1)</f>
        <v>0</v>
      </c>
      <c r="AY649">
        <f>IF(ISNUMBER(Y649),INDEX(AllCollegeMoney, MATCH(N649,AllCollegeNCES,0)),0)</f>
        <v>0</v>
      </c>
      <c r="AZ649">
        <f>IF(AND(AQ649=1,ISNUMBER(AT649),AY649=1),$AT649,1)</f>
        <v>0</v>
      </c>
      <c r="BA649">
        <f>IF(AND(AR649=1,ISNUMBER(AT649),AY649=1),$AT649,1)</f>
        <v>0</v>
      </c>
      <c r="BB649">
        <f>IF(ISNUMBER(Y649),INDEX(AllCollegeILPub, MATCH(N649,AllCollegeNCES,0)),0)</f>
        <v>0</v>
      </c>
      <c r="BC649">
        <f>IF(AK649=ReachLabel,AP649,0)</f>
        <v>0</v>
      </c>
      <c r="BD649">
        <f>IF(AK649=MatchLabel,AP649,0)</f>
        <v>0</v>
      </c>
      <c r="BE649">
        <f>IF(AK649=SafetyLabel,AP649,0)</f>
        <v>0</v>
      </c>
      <c r="BF649">
        <f>IF(AK649=SecureLabel,AP649,0)</f>
        <v>0</v>
      </c>
      <c r="BG649">
        <f>IF(AK649=SureThingLabel,AP649,0)</f>
        <v>0</v>
      </c>
      <c r="BH649">
        <f>MAX(BC649:BG649)</f>
        <v>0</v>
      </c>
      <c r="BI649">
        <f>MAX(BD649:BG649)</f>
        <v>0</v>
      </c>
      <c r="BJ649">
        <f>MAX(BE649:BG649)</f>
        <v>0</v>
      </c>
      <c r="BK649">
        <f>IF(AND(AK649=ReachLabel,AY649=1),AP649,0)</f>
        <v>0</v>
      </c>
      <c r="BL649">
        <f>IF(AND(AK649=MatchLabel,AY649=1),AP649,0)</f>
        <v>0</v>
      </c>
      <c r="BM649">
        <f>IF(AND(AK649=SafetyLabel,AY649=1),AP649,0)</f>
        <v>0</v>
      </c>
      <c r="BN649">
        <f>IF(AND(AK649=SecureLabel,AY649=1),AP649,0)</f>
        <v>0</v>
      </c>
      <c r="BO649">
        <f>IF(AND(AK649=SureThingLabel,AY649=1),AP649,0)</f>
        <v>0</v>
      </c>
      <c r="BP649">
        <f>MAX(BK649:BO649)</f>
        <v>0</v>
      </c>
      <c r="BQ649">
        <f>MAX(BL649:BO649)</f>
        <v>0</v>
      </c>
      <c r="BR649">
        <f>MAX(BM649:BO649)</f>
        <v>0</v>
      </c>
      <c r="BS649">
        <f>IF(ISNUMBER(Y649),INDEX(AllCollegeChicago, MATCH(N649,AllCollegeNCES,0))*AY649,0)</f>
        <v>0</v>
      </c>
      <c r="BT649">
        <f>IF(ISNUMBER(Y649),INDEX(AllCollegeMoneyCode, MATCH(N649,AllCollegeNCES,0)),"?")</f>
        <v>0</v>
      </c>
      <c r="BU649">
        <f>IF(OR(BT649="---",BT649="--",BT649="+/--",BT649="+/---"),1,0)</f>
        <v>0</v>
      </c>
      <c r="BV649">
        <f>AY649*AO649*AQ649</f>
        <v>0</v>
      </c>
    </row>
    <row r="650" spans="1:74">
      <c r="A650" t="s">
        <v>86</v>
      </c>
      <c r="B650">
        <v>24230510</v>
      </c>
      <c r="C650" t="s">
        <v>191</v>
      </c>
      <c r="D650" t="s">
        <v>192</v>
      </c>
      <c r="E650" t="s">
        <v>428</v>
      </c>
      <c r="F650" t="s">
        <v>447</v>
      </c>
      <c r="G650" t="s">
        <v>430</v>
      </c>
      <c r="H650" t="s">
        <v>431</v>
      </c>
      <c r="I650" t="s">
        <v>432</v>
      </c>
      <c r="J650" t="s">
        <v>432</v>
      </c>
      <c r="K650">
        <v>0</v>
      </c>
      <c r="L650" t="s">
        <v>428</v>
      </c>
      <c r="M650" t="s">
        <v>428</v>
      </c>
      <c r="N650">
        <v>145600</v>
      </c>
      <c r="O650">
        <f>INDEX(AllCollegeBarrons,MATCH(N650,AllCollegeNCES,0))</f>
        <v>0</v>
      </c>
      <c r="P650">
        <f>INDEX(KidGPAs,MATCH(B650,KidIDs,0))</f>
        <v>0</v>
      </c>
      <c r="Q650">
        <f>INDEX(KidACTs,MATCH(B650,KidIDs,0))</f>
        <v>0</v>
      </c>
      <c r="R650">
        <f>INDEX(Strats,MATCH(B650,KidIDs,0))</f>
        <v>0</v>
      </c>
      <c r="S650">
        <f>INDEX(KidRace,MATCH(B650,KidIDs,0))</f>
        <v>0</v>
      </c>
      <c r="T650">
        <f>IF(OR(S650="M",S650="I"),"H",S650)</f>
        <v>0</v>
      </c>
      <c r="U650">
        <f>INDEX(StudentTargets,MATCH(B650,KidIDs,0))</f>
        <v>0</v>
      </c>
      <c r="V650">
        <f>INDEX(ReachStudentTargets,MATCH(B650,KidIDs,0))</f>
        <v>0</v>
      </c>
      <c r="W650">
        <f>IF(OR(M650="Posse"),1,0)</f>
        <v>0</v>
      </c>
      <c r="X650">
        <f>IF(ISNUMBER(INDEX(AllCollegeGR, MATCH(N650,AllCollegeNCES,0))),ROUND(INDEX(AllCollegeGR, MATCH(N650,AllCollegeNCES,0))+W650*IF(INDEX(AllCollegeGR, MATCH(N650,AllCollegeNCES,0))&gt;0.7,(1-INDEX(AllCollegeGR, MATCH(N650,AllCollegeNCES,0)))/2,0.15),2),INDEX(AllCollegeGR, MATCH(N650,AllCollegeNCES,0)))</f>
        <v>0</v>
      </c>
      <c r="Y650">
        <f>IF(ISNUMBER(INDEX(AllCollegeAAHGR, MATCH(N650,AllCollegeNCES,0))),ROUND(INDEX(AllCollegeAAHGR, MATCH(N650,AllCollegeNCES,0))+W650*IF(INDEX(AllCollegeAAHGR, MATCH(N650,AllCollegeNCES,0))&gt;0.7,(1-INDEX(AllCollegeAAHGR, MATCH(N650,AllCollegeNCES,0)))/2,0.15),2),INDEX(AllCollegeAAHGR, MATCH(N650,AllCollegeNCES,0)))</f>
        <v>0</v>
      </c>
      <c r="Z650">
        <f>IF(OR(T650="H",T650="B"),INDEX(AllCollegeACT25, MATCH(N650,AllCollegeNCES,0)),INDEX(AllCollegeACT50, MATCH(N650,AllCollegeNCES,0)))</f>
        <v>0</v>
      </c>
      <c r="AA650">
        <f>INDEX(CustomWeightsGPA,MATCH(T650&amp;":"&amp;N650,CustomWeightsIndex,0))</f>
        <v>0</v>
      </c>
      <c r="AB650">
        <f>INDEX(CustomWeightsACT,MATCH(T650&amp;":"&amp;N650,CustomWeightsIndex,0))</f>
        <v>0</v>
      </c>
      <c r="AC650">
        <f>INDEX(CustomWeightsIntercept,MATCH(T650&amp;":"&amp;N650,CustomWeightsIndex,0))</f>
        <v>0</v>
      </c>
      <c r="AD650">
        <f>AA650*P650+AB650*Q650+AC650</f>
        <v>0</v>
      </c>
      <c r="AE650">
        <f>INDEX(CoefficientsGPA,MATCH(T650&amp;":"&amp;O650,CoefficientsIndex,0))</f>
        <v>0</v>
      </c>
      <c r="AF650">
        <f>INDEX(CoefficientsACT,MATCH(T650&amp;":"&amp;O650,CoefficientsIndex,0))</f>
        <v>0</v>
      </c>
      <c r="AG650">
        <f>INDEX(CoefficientsIntercept,MATCH(T650&amp;":"&amp;O650,CoefficientsIndex,0))</f>
        <v>0</v>
      </c>
      <c r="AH650">
        <f>AE650*P650+(Q650-Z650)*AF650+AG650</f>
        <v>0</v>
      </c>
      <c r="AI650">
        <f>IF(ISNUMBER(AD650),AD650,AH650)</f>
        <v>0</v>
      </c>
      <c r="AJ650">
        <f>IF(ISNUMBER(AI650),IF(ISNUMBER(AE650),IF(AND(AE650=1,AF650=1,AG650=1),100,ROUND(100*EXP(AI650)/(1+EXP(AI650)),2)),ROUND(100*EXP(AI650)/(1+EXP(AI650)),2)),IF(ISTEXT(O650),IF(LEFT(O650,1)="2",100,"N/A"),"N/A"))</f>
        <v>0</v>
      </c>
      <c r="AK650">
        <f>IF(ISNUMBER(AJ650),IF(AJ650&gt;=99,IF(OR(R650=10,R650=11),MatchLabel,SureThingLabel),IF(AJ650&gt;=95,SecureLabel,IF(AJ650&gt;=80,SafetyLabel,IF(AJ650&gt;=50,MatchLabel,IF(AJ650&gt;=20,ReachLabel,IF(AJ650&gt;=10,LongshotLabel,HailMaryLabel)))))),"Other")</f>
        <v>0</v>
      </c>
      <c r="AL650">
        <f>IF(OR(I650="accepted",I650="cond. accept",I650="summer admit"),IF(J650="yes","CHOICE!","Accepted!"),IF(I650="denied","Denied",IF(K650=1,"Waitlist",IF(L650=1,"Deferred",IF(G650="pending","Pending",IF(OR(G650="initial materials submitted",G650="mid-year submitted",G650="final submitted"),"Submitted",IF(H650="interest","Interest","?")))))))</f>
        <v>0</v>
      </c>
      <c r="AM650">
        <f>IF(OR(AK650=ReachLabel,AK650=LongshotLabel,AK650=HailMaryLabel),1,0)</f>
        <v>0</v>
      </c>
      <c r="AN650">
        <f>IF(OR(AM650=1,AK650=MatchLabel),1,0)</f>
        <v>0</v>
      </c>
      <c r="AO650">
        <f>IF(OR(AK650=MatchLabel,AK650=SafetyLabel,AK650=SecureLabel,AK650=SureThingLabel),1,0)</f>
        <v>0</v>
      </c>
      <c r="AP650">
        <f>IF(OR(T650="H",T650="B"),IF(ISNUMBER(Y650),ROUND(Y650,2),0),IF(ISNUMBER(X650),ROUND(X650,2),0))</f>
        <v>0</v>
      </c>
      <c r="AQ650">
        <f>IF(AP650&gt;=U650,1,0)</f>
        <v>0</v>
      </c>
      <c r="AR650">
        <f>IF(AP650&gt;=V650,1,0)</f>
        <v>0</v>
      </c>
      <c r="AS650">
        <f>IF(AP650&lt;(U650-0.10),1,0)</f>
        <v>0</v>
      </c>
      <c r="AT650">
        <f>1-AJ650/100</f>
        <v>0</v>
      </c>
      <c r="AU650">
        <f>IF(AN650=1,AT650,1)</f>
        <v>0</v>
      </c>
      <c r="AV650">
        <f>IF(AM650=1,AT650,1)</f>
        <v>0</v>
      </c>
      <c r="AW650">
        <f>IF(AND(AQ650=1,ISNUMBER(AT650)),$AT650,1)</f>
        <v>0</v>
      </c>
      <c r="AX650">
        <f>IF(AND(AR650=1,ISNUMBER(AT650)),$AT650,1)</f>
        <v>0</v>
      </c>
      <c r="AY650">
        <f>IF(ISNUMBER(Y650),INDEX(AllCollegeMoney, MATCH(N650,AllCollegeNCES,0)),0)</f>
        <v>0</v>
      </c>
      <c r="AZ650">
        <f>IF(AND(AQ650=1,ISNUMBER(AT650),AY650=1),$AT650,1)</f>
        <v>0</v>
      </c>
      <c r="BA650">
        <f>IF(AND(AR650=1,ISNUMBER(AT650),AY650=1),$AT650,1)</f>
        <v>0</v>
      </c>
      <c r="BB650">
        <f>IF(ISNUMBER(Y650),INDEX(AllCollegeILPub, MATCH(N650,AllCollegeNCES,0)),0)</f>
        <v>0</v>
      </c>
      <c r="BC650">
        <f>IF(AK650=ReachLabel,AP650,0)</f>
        <v>0</v>
      </c>
      <c r="BD650">
        <f>IF(AK650=MatchLabel,AP650,0)</f>
        <v>0</v>
      </c>
      <c r="BE650">
        <f>IF(AK650=SafetyLabel,AP650,0)</f>
        <v>0</v>
      </c>
      <c r="BF650">
        <f>IF(AK650=SecureLabel,AP650,0)</f>
        <v>0</v>
      </c>
      <c r="BG650">
        <f>IF(AK650=SureThingLabel,AP650,0)</f>
        <v>0</v>
      </c>
      <c r="BH650">
        <f>MAX(BC650:BG650)</f>
        <v>0</v>
      </c>
      <c r="BI650">
        <f>MAX(BD650:BG650)</f>
        <v>0</v>
      </c>
      <c r="BJ650">
        <f>MAX(BE650:BG650)</f>
        <v>0</v>
      </c>
      <c r="BK650">
        <f>IF(AND(AK650=ReachLabel,AY650=1),AP650,0)</f>
        <v>0</v>
      </c>
      <c r="BL650">
        <f>IF(AND(AK650=MatchLabel,AY650=1),AP650,0)</f>
        <v>0</v>
      </c>
      <c r="BM650">
        <f>IF(AND(AK650=SafetyLabel,AY650=1),AP650,0)</f>
        <v>0</v>
      </c>
      <c r="BN650">
        <f>IF(AND(AK650=SecureLabel,AY650=1),AP650,0)</f>
        <v>0</v>
      </c>
      <c r="BO650">
        <f>IF(AND(AK650=SureThingLabel,AY650=1),AP650,0)</f>
        <v>0</v>
      </c>
      <c r="BP650">
        <f>MAX(BK650:BO650)</f>
        <v>0</v>
      </c>
      <c r="BQ650">
        <f>MAX(BL650:BO650)</f>
        <v>0</v>
      </c>
      <c r="BR650">
        <f>MAX(BM650:BO650)</f>
        <v>0</v>
      </c>
      <c r="BS650">
        <f>IF(ISNUMBER(Y650),INDEX(AllCollegeChicago, MATCH(N650,AllCollegeNCES,0))*AY650,0)</f>
        <v>0</v>
      </c>
      <c r="BT650">
        <f>IF(ISNUMBER(Y650),INDEX(AllCollegeMoneyCode, MATCH(N650,AllCollegeNCES,0)),"?")</f>
        <v>0</v>
      </c>
      <c r="BU650">
        <f>IF(OR(BT650="---",BT650="--",BT650="+/--",BT650="+/---"),1,0)</f>
        <v>0</v>
      </c>
      <c r="BV650">
        <f>AY650*AO650*AQ650</f>
        <v>0</v>
      </c>
    </row>
    <row r="651" spans="1:74">
      <c r="A651" t="s">
        <v>86</v>
      </c>
      <c r="B651">
        <v>24230510</v>
      </c>
      <c r="C651" t="s">
        <v>191</v>
      </c>
      <c r="D651" t="s">
        <v>192</v>
      </c>
      <c r="E651" t="s">
        <v>428</v>
      </c>
      <c r="F651" t="s">
        <v>448</v>
      </c>
      <c r="G651" t="s">
        <v>430</v>
      </c>
      <c r="H651" t="s">
        <v>431</v>
      </c>
      <c r="I651" t="s">
        <v>432</v>
      </c>
      <c r="J651" t="s">
        <v>432</v>
      </c>
      <c r="K651">
        <v>0</v>
      </c>
      <c r="L651" t="s">
        <v>428</v>
      </c>
      <c r="M651" t="s">
        <v>428</v>
      </c>
      <c r="N651" t="s">
        <v>449</v>
      </c>
      <c r="O651">
        <f>INDEX(AllCollegeBarrons,MATCH(N651,AllCollegeNCES,0))</f>
        <v>0</v>
      </c>
      <c r="P651">
        <f>INDEX(KidGPAs,MATCH(B651,KidIDs,0))</f>
        <v>0</v>
      </c>
      <c r="Q651">
        <f>INDEX(KidACTs,MATCH(B651,KidIDs,0))</f>
        <v>0</v>
      </c>
      <c r="R651">
        <f>INDEX(Strats,MATCH(B651,KidIDs,0))</f>
        <v>0</v>
      </c>
      <c r="S651">
        <f>INDEX(KidRace,MATCH(B651,KidIDs,0))</f>
        <v>0</v>
      </c>
      <c r="T651">
        <f>IF(OR(S651="M",S651="I"),"H",S651)</f>
        <v>0</v>
      </c>
      <c r="U651">
        <f>INDEX(StudentTargets,MATCH(B651,KidIDs,0))</f>
        <v>0</v>
      </c>
      <c r="V651">
        <f>INDEX(ReachStudentTargets,MATCH(B651,KidIDs,0))</f>
        <v>0</v>
      </c>
      <c r="W651">
        <f>IF(OR(M651="Posse"),1,0)</f>
        <v>0</v>
      </c>
      <c r="X651">
        <f>IF(ISNUMBER(INDEX(AllCollegeGR, MATCH(N651,AllCollegeNCES,0))),ROUND(INDEX(AllCollegeGR, MATCH(N651,AllCollegeNCES,0))+W651*IF(INDEX(AllCollegeGR, MATCH(N651,AllCollegeNCES,0))&gt;0.7,(1-INDEX(AllCollegeGR, MATCH(N651,AllCollegeNCES,0)))/2,0.15),2),INDEX(AllCollegeGR, MATCH(N651,AllCollegeNCES,0)))</f>
        <v>0</v>
      </c>
      <c r="Y651">
        <f>IF(ISNUMBER(INDEX(AllCollegeAAHGR, MATCH(N651,AllCollegeNCES,0))),ROUND(INDEX(AllCollegeAAHGR, MATCH(N651,AllCollegeNCES,0))+W651*IF(INDEX(AllCollegeAAHGR, MATCH(N651,AllCollegeNCES,0))&gt;0.7,(1-INDEX(AllCollegeAAHGR, MATCH(N651,AllCollegeNCES,0)))/2,0.15),2),INDEX(AllCollegeAAHGR, MATCH(N651,AllCollegeNCES,0)))</f>
        <v>0</v>
      </c>
      <c r="Z651">
        <f>IF(OR(T651="H",T651="B"),INDEX(AllCollegeACT25, MATCH(N651,AllCollegeNCES,0)),INDEX(AllCollegeACT50, MATCH(N651,AllCollegeNCES,0)))</f>
        <v>0</v>
      </c>
      <c r="AA651">
        <f>INDEX(CustomWeightsGPA,MATCH(T651&amp;":"&amp;N651,CustomWeightsIndex,0))</f>
        <v>0</v>
      </c>
      <c r="AB651">
        <f>INDEX(CustomWeightsACT,MATCH(T651&amp;":"&amp;N651,CustomWeightsIndex,0))</f>
        <v>0</v>
      </c>
      <c r="AC651">
        <f>INDEX(CustomWeightsIntercept,MATCH(T651&amp;":"&amp;N651,CustomWeightsIndex,0))</f>
        <v>0</v>
      </c>
      <c r="AD651">
        <f>AA651*P651+AB651*Q651+AC651</f>
        <v>0</v>
      </c>
      <c r="AE651">
        <f>INDEX(CoefficientsGPA,MATCH(T651&amp;":"&amp;O651,CoefficientsIndex,0))</f>
        <v>0</v>
      </c>
      <c r="AF651">
        <f>INDEX(CoefficientsACT,MATCH(T651&amp;":"&amp;O651,CoefficientsIndex,0))</f>
        <v>0</v>
      </c>
      <c r="AG651">
        <f>INDEX(CoefficientsIntercept,MATCH(T651&amp;":"&amp;O651,CoefficientsIndex,0))</f>
        <v>0</v>
      </c>
      <c r="AH651">
        <f>AE651*P651+(Q651-Z651)*AF651+AG651</f>
        <v>0</v>
      </c>
      <c r="AI651">
        <f>IF(ISNUMBER(AD651),AD651,AH651)</f>
        <v>0</v>
      </c>
      <c r="AJ651">
        <f>IF(ISNUMBER(AI651),IF(ISNUMBER(AE651),IF(AND(AE651=1,AF651=1,AG651=1),100,ROUND(100*EXP(AI651)/(1+EXP(AI651)),2)),ROUND(100*EXP(AI651)/(1+EXP(AI651)),2)),IF(ISTEXT(O651),IF(LEFT(O651,1)="2",100,"N/A"),"N/A"))</f>
        <v>0</v>
      </c>
      <c r="AK651">
        <f>IF(ISNUMBER(AJ651),IF(AJ651&gt;=99,IF(OR(R651=10,R651=11),MatchLabel,SureThingLabel),IF(AJ651&gt;=95,SecureLabel,IF(AJ651&gt;=80,SafetyLabel,IF(AJ651&gt;=50,MatchLabel,IF(AJ651&gt;=20,ReachLabel,IF(AJ651&gt;=10,LongshotLabel,HailMaryLabel)))))),"Other")</f>
        <v>0</v>
      </c>
      <c r="AL651">
        <f>IF(OR(I651="accepted",I651="cond. accept",I651="summer admit"),IF(J651="yes","CHOICE!","Accepted!"),IF(I651="denied","Denied",IF(K651=1,"Waitlist",IF(L651=1,"Deferred",IF(G651="pending","Pending",IF(OR(G651="initial materials submitted",G651="mid-year submitted",G651="final submitted"),"Submitted",IF(H651="interest","Interest","?")))))))</f>
        <v>0</v>
      </c>
      <c r="AM651">
        <f>IF(OR(AK651=ReachLabel,AK651=LongshotLabel,AK651=HailMaryLabel),1,0)</f>
        <v>0</v>
      </c>
      <c r="AN651">
        <f>IF(OR(AM651=1,AK651=MatchLabel),1,0)</f>
        <v>0</v>
      </c>
      <c r="AO651">
        <f>IF(OR(AK651=MatchLabel,AK651=SafetyLabel,AK651=SecureLabel,AK651=SureThingLabel),1,0)</f>
        <v>0</v>
      </c>
      <c r="AP651">
        <f>IF(OR(T651="H",T651="B"),IF(ISNUMBER(Y651),ROUND(Y651,2),0),IF(ISNUMBER(X651),ROUND(X651,2),0))</f>
        <v>0</v>
      </c>
      <c r="AQ651">
        <f>IF(AP651&gt;=U651,1,0)</f>
        <v>0</v>
      </c>
      <c r="AR651">
        <f>IF(AP651&gt;=V651,1,0)</f>
        <v>0</v>
      </c>
      <c r="AS651">
        <f>IF(AP651&lt;(U651-0.10),1,0)</f>
        <v>0</v>
      </c>
      <c r="AT651">
        <f>1-AJ651/100</f>
        <v>0</v>
      </c>
      <c r="AU651">
        <f>IF(AN651=1,AT651,1)</f>
        <v>0</v>
      </c>
      <c r="AV651">
        <f>IF(AM651=1,AT651,1)</f>
        <v>0</v>
      </c>
      <c r="AW651">
        <f>IF(AND(AQ651=1,ISNUMBER(AT651)),$AT651,1)</f>
        <v>0</v>
      </c>
      <c r="AX651">
        <f>IF(AND(AR651=1,ISNUMBER(AT651)),$AT651,1)</f>
        <v>0</v>
      </c>
      <c r="AY651">
        <f>IF(ISNUMBER(Y651),INDEX(AllCollegeMoney, MATCH(N651,AllCollegeNCES,0)),0)</f>
        <v>0</v>
      </c>
      <c r="AZ651">
        <f>IF(AND(AQ651=1,ISNUMBER(AT651),AY651=1),$AT651,1)</f>
        <v>0</v>
      </c>
      <c r="BA651">
        <f>IF(AND(AR651=1,ISNUMBER(AT651),AY651=1),$AT651,1)</f>
        <v>0</v>
      </c>
      <c r="BB651">
        <f>IF(ISNUMBER(Y651),INDEX(AllCollegeILPub, MATCH(N651,AllCollegeNCES,0)),0)</f>
        <v>0</v>
      </c>
      <c r="BC651">
        <f>IF(AK651=ReachLabel,AP651,0)</f>
        <v>0</v>
      </c>
      <c r="BD651">
        <f>IF(AK651=MatchLabel,AP651,0)</f>
        <v>0</v>
      </c>
      <c r="BE651">
        <f>IF(AK651=SafetyLabel,AP651,0)</f>
        <v>0</v>
      </c>
      <c r="BF651">
        <f>IF(AK651=SecureLabel,AP651,0)</f>
        <v>0</v>
      </c>
      <c r="BG651">
        <f>IF(AK651=SureThingLabel,AP651,0)</f>
        <v>0</v>
      </c>
      <c r="BH651">
        <f>MAX(BC651:BG651)</f>
        <v>0</v>
      </c>
      <c r="BI651">
        <f>MAX(BD651:BG651)</f>
        <v>0</v>
      </c>
      <c r="BJ651">
        <f>MAX(BE651:BG651)</f>
        <v>0</v>
      </c>
      <c r="BK651">
        <f>IF(AND(AK651=ReachLabel,AY651=1),AP651,0)</f>
        <v>0</v>
      </c>
      <c r="BL651">
        <f>IF(AND(AK651=MatchLabel,AY651=1),AP651,0)</f>
        <v>0</v>
      </c>
      <c r="BM651">
        <f>IF(AND(AK651=SafetyLabel,AY651=1),AP651,0)</f>
        <v>0</v>
      </c>
      <c r="BN651">
        <f>IF(AND(AK651=SecureLabel,AY651=1),AP651,0)</f>
        <v>0</v>
      </c>
      <c r="BO651">
        <f>IF(AND(AK651=SureThingLabel,AY651=1),AP651,0)</f>
        <v>0</v>
      </c>
      <c r="BP651">
        <f>MAX(BK651:BO651)</f>
        <v>0</v>
      </c>
      <c r="BQ651">
        <f>MAX(BL651:BO651)</f>
        <v>0</v>
      </c>
      <c r="BR651">
        <f>MAX(BM651:BO651)</f>
        <v>0</v>
      </c>
      <c r="BS651">
        <f>IF(ISNUMBER(Y651),INDEX(AllCollegeChicago, MATCH(N651,AllCollegeNCES,0))*AY651,0)</f>
        <v>0</v>
      </c>
      <c r="BT651">
        <f>IF(ISNUMBER(Y651),INDEX(AllCollegeMoneyCode, MATCH(N651,AllCollegeNCES,0)),"?")</f>
        <v>0</v>
      </c>
      <c r="BU651">
        <f>IF(OR(BT651="---",BT651="--",BT651="+/--",BT651="+/---"),1,0)</f>
        <v>0</v>
      </c>
      <c r="BV651">
        <f>AY651*AO651*AQ651</f>
        <v>0</v>
      </c>
    </row>
    <row r="652" spans="1:74">
      <c r="A652" t="s">
        <v>86</v>
      </c>
      <c r="B652">
        <v>24230510</v>
      </c>
      <c r="C652" t="s">
        <v>191</v>
      </c>
      <c r="D652" t="s">
        <v>192</v>
      </c>
      <c r="E652" t="s">
        <v>428</v>
      </c>
      <c r="F652" t="s">
        <v>436</v>
      </c>
      <c r="G652" t="s">
        <v>430</v>
      </c>
      <c r="H652" t="s">
        <v>431</v>
      </c>
      <c r="I652" t="s">
        <v>432</v>
      </c>
      <c r="J652" t="s">
        <v>432</v>
      </c>
      <c r="K652">
        <v>0</v>
      </c>
      <c r="L652" t="s">
        <v>428</v>
      </c>
      <c r="M652" t="s">
        <v>428</v>
      </c>
      <c r="N652">
        <v>147536</v>
      </c>
      <c r="O652">
        <f>INDEX(AllCollegeBarrons,MATCH(N652,AllCollegeNCES,0))</f>
        <v>0</v>
      </c>
      <c r="P652">
        <f>INDEX(KidGPAs,MATCH(B652,KidIDs,0))</f>
        <v>0</v>
      </c>
      <c r="Q652">
        <f>INDEX(KidACTs,MATCH(B652,KidIDs,0))</f>
        <v>0</v>
      </c>
      <c r="R652">
        <f>INDEX(Strats,MATCH(B652,KidIDs,0))</f>
        <v>0</v>
      </c>
      <c r="S652">
        <f>INDEX(KidRace,MATCH(B652,KidIDs,0))</f>
        <v>0</v>
      </c>
      <c r="T652">
        <f>IF(OR(S652="M",S652="I"),"H",S652)</f>
        <v>0</v>
      </c>
      <c r="U652">
        <f>INDEX(StudentTargets,MATCH(B652,KidIDs,0))</f>
        <v>0</v>
      </c>
      <c r="V652">
        <f>INDEX(ReachStudentTargets,MATCH(B652,KidIDs,0))</f>
        <v>0</v>
      </c>
      <c r="W652">
        <f>IF(OR(M652="Posse"),1,0)</f>
        <v>0</v>
      </c>
      <c r="X652">
        <f>IF(ISNUMBER(INDEX(AllCollegeGR, MATCH(N652,AllCollegeNCES,0))),ROUND(INDEX(AllCollegeGR, MATCH(N652,AllCollegeNCES,0))+W652*IF(INDEX(AllCollegeGR, MATCH(N652,AllCollegeNCES,0))&gt;0.7,(1-INDEX(AllCollegeGR, MATCH(N652,AllCollegeNCES,0)))/2,0.15),2),INDEX(AllCollegeGR, MATCH(N652,AllCollegeNCES,0)))</f>
        <v>0</v>
      </c>
      <c r="Y652">
        <f>IF(ISNUMBER(INDEX(AllCollegeAAHGR, MATCH(N652,AllCollegeNCES,0))),ROUND(INDEX(AllCollegeAAHGR, MATCH(N652,AllCollegeNCES,0))+W652*IF(INDEX(AllCollegeAAHGR, MATCH(N652,AllCollegeNCES,0))&gt;0.7,(1-INDEX(AllCollegeAAHGR, MATCH(N652,AllCollegeNCES,0)))/2,0.15),2),INDEX(AllCollegeAAHGR, MATCH(N652,AllCollegeNCES,0)))</f>
        <v>0</v>
      </c>
      <c r="Z652">
        <f>IF(OR(T652="H",T652="B"),INDEX(AllCollegeACT25, MATCH(N652,AllCollegeNCES,0)),INDEX(AllCollegeACT50, MATCH(N652,AllCollegeNCES,0)))</f>
        <v>0</v>
      </c>
      <c r="AA652">
        <f>INDEX(CustomWeightsGPA,MATCH(T652&amp;":"&amp;N652,CustomWeightsIndex,0))</f>
        <v>0</v>
      </c>
      <c r="AB652">
        <f>INDEX(CustomWeightsACT,MATCH(T652&amp;":"&amp;N652,CustomWeightsIndex,0))</f>
        <v>0</v>
      </c>
      <c r="AC652">
        <f>INDEX(CustomWeightsIntercept,MATCH(T652&amp;":"&amp;N652,CustomWeightsIndex,0))</f>
        <v>0</v>
      </c>
      <c r="AD652">
        <f>AA652*P652+AB652*Q652+AC652</f>
        <v>0</v>
      </c>
      <c r="AE652">
        <f>INDEX(CoefficientsGPA,MATCH(T652&amp;":"&amp;O652,CoefficientsIndex,0))</f>
        <v>0</v>
      </c>
      <c r="AF652">
        <f>INDEX(CoefficientsACT,MATCH(T652&amp;":"&amp;O652,CoefficientsIndex,0))</f>
        <v>0</v>
      </c>
      <c r="AG652">
        <f>INDEX(CoefficientsIntercept,MATCH(T652&amp;":"&amp;O652,CoefficientsIndex,0))</f>
        <v>0</v>
      </c>
      <c r="AH652">
        <f>AE652*P652+(Q652-Z652)*AF652+AG652</f>
        <v>0</v>
      </c>
      <c r="AI652">
        <f>IF(ISNUMBER(AD652),AD652,AH652)</f>
        <v>0</v>
      </c>
      <c r="AJ652">
        <f>IF(ISNUMBER(AI652),IF(ISNUMBER(AE652),IF(AND(AE652=1,AF652=1,AG652=1),100,ROUND(100*EXP(AI652)/(1+EXP(AI652)),2)),ROUND(100*EXP(AI652)/(1+EXP(AI652)),2)),IF(ISTEXT(O652),IF(LEFT(O652,1)="2",100,"N/A"),"N/A"))</f>
        <v>0</v>
      </c>
      <c r="AK652">
        <f>IF(ISNUMBER(AJ652),IF(AJ652&gt;=99,IF(OR(R652=10,R652=11),MatchLabel,SureThingLabel),IF(AJ652&gt;=95,SecureLabel,IF(AJ652&gt;=80,SafetyLabel,IF(AJ652&gt;=50,MatchLabel,IF(AJ652&gt;=20,ReachLabel,IF(AJ652&gt;=10,LongshotLabel,HailMaryLabel)))))),"Other")</f>
        <v>0</v>
      </c>
      <c r="AL652">
        <f>IF(OR(I652="accepted",I652="cond. accept",I652="summer admit"),IF(J652="yes","CHOICE!","Accepted!"),IF(I652="denied","Denied",IF(K652=1,"Waitlist",IF(L652=1,"Deferred",IF(G652="pending","Pending",IF(OR(G652="initial materials submitted",G652="mid-year submitted",G652="final submitted"),"Submitted",IF(H652="interest","Interest","?")))))))</f>
        <v>0</v>
      </c>
      <c r="AM652">
        <f>IF(OR(AK652=ReachLabel,AK652=LongshotLabel,AK652=HailMaryLabel),1,0)</f>
        <v>0</v>
      </c>
      <c r="AN652">
        <f>IF(OR(AM652=1,AK652=MatchLabel),1,0)</f>
        <v>0</v>
      </c>
      <c r="AO652">
        <f>IF(OR(AK652=MatchLabel,AK652=SafetyLabel,AK652=SecureLabel,AK652=SureThingLabel),1,0)</f>
        <v>0</v>
      </c>
      <c r="AP652">
        <f>IF(OR(T652="H",T652="B"),IF(ISNUMBER(Y652),ROUND(Y652,2),0),IF(ISNUMBER(X652),ROUND(X652,2),0))</f>
        <v>0</v>
      </c>
      <c r="AQ652">
        <f>IF(AP652&gt;=U652,1,0)</f>
        <v>0</v>
      </c>
      <c r="AR652">
        <f>IF(AP652&gt;=V652,1,0)</f>
        <v>0</v>
      </c>
      <c r="AS652">
        <f>IF(AP652&lt;(U652-0.10),1,0)</f>
        <v>0</v>
      </c>
      <c r="AT652">
        <f>1-AJ652/100</f>
        <v>0</v>
      </c>
      <c r="AU652">
        <f>IF(AN652=1,AT652,1)</f>
        <v>0</v>
      </c>
      <c r="AV652">
        <f>IF(AM652=1,AT652,1)</f>
        <v>0</v>
      </c>
      <c r="AW652">
        <f>IF(AND(AQ652=1,ISNUMBER(AT652)),$AT652,1)</f>
        <v>0</v>
      </c>
      <c r="AX652">
        <f>IF(AND(AR652=1,ISNUMBER(AT652)),$AT652,1)</f>
        <v>0</v>
      </c>
      <c r="AY652">
        <f>IF(ISNUMBER(Y652),INDEX(AllCollegeMoney, MATCH(N652,AllCollegeNCES,0)),0)</f>
        <v>0</v>
      </c>
      <c r="AZ652">
        <f>IF(AND(AQ652=1,ISNUMBER(AT652),AY652=1),$AT652,1)</f>
        <v>0</v>
      </c>
      <c r="BA652">
        <f>IF(AND(AR652=1,ISNUMBER(AT652),AY652=1),$AT652,1)</f>
        <v>0</v>
      </c>
      <c r="BB652">
        <f>IF(ISNUMBER(Y652),INDEX(AllCollegeILPub, MATCH(N652,AllCollegeNCES,0)),0)</f>
        <v>0</v>
      </c>
      <c r="BC652">
        <f>IF(AK652=ReachLabel,AP652,0)</f>
        <v>0</v>
      </c>
      <c r="BD652">
        <f>IF(AK652=MatchLabel,AP652,0)</f>
        <v>0</v>
      </c>
      <c r="BE652">
        <f>IF(AK652=SafetyLabel,AP652,0)</f>
        <v>0</v>
      </c>
      <c r="BF652">
        <f>IF(AK652=SecureLabel,AP652,0)</f>
        <v>0</v>
      </c>
      <c r="BG652">
        <f>IF(AK652=SureThingLabel,AP652,0)</f>
        <v>0</v>
      </c>
      <c r="BH652">
        <f>MAX(BC652:BG652)</f>
        <v>0</v>
      </c>
      <c r="BI652">
        <f>MAX(BD652:BG652)</f>
        <v>0</v>
      </c>
      <c r="BJ652">
        <f>MAX(BE652:BG652)</f>
        <v>0</v>
      </c>
      <c r="BK652">
        <f>IF(AND(AK652=ReachLabel,AY652=1),AP652,0)</f>
        <v>0</v>
      </c>
      <c r="BL652">
        <f>IF(AND(AK652=MatchLabel,AY652=1),AP652,0)</f>
        <v>0</v>
      </c>
      <c r="BM652">
        <f>IF(AND(AK652=SafetyLabel,AY652=1),AP652,0)</f>
        <v>0</v>
      </c>
      <c r="BN652">
        <f>IF(AND(AK652=SecureLabel,AY652=1),AP652,0)</f>
        <v>0</v>
      </c>
      <c r="BO652">
        <f>IF(AND(AK652=SureThingLabel,AY652=1),AP652,0)</f>
        <v>0</v>
      </c>
      <c r="BP652">
        <f>MAX(BK652:BO652)</f>
        <v>0</v>
      </c>
      <c r="BQ652">
        <f>MAX(BL652:BO652)</f>
        <v>0</v>
      </c>
      <c r="BR652">
        <f>MAX(BM652:BO652)</f>
        <v>0</v>
      </c>
      <c r="BS652">
        <f>IF(ISNUMBER(Y652),INDEX(AllCollegeChicago, MATCH(N652,AllCollegeNCES,0))*AY652,0)</f>
        <v>0</v>
      </c>
      <c r="BT652">
        <f>IF(ISNUMBER(Y652),INDEX(AllCollegeMoneyCode, MATCH(N652,AllCollegeNCES,0)),"?")</f>
        <v>0</v>
      </c>
      <c r="BU652">
        <f>IF(OR(BT652="---",BT652="--",BT652="+/--",BT652="+/---"),1,0)</f>
        <v>0</v>
      </c>
      <c r="BV652">
        <f>AY652*AO652*AQ652</f>
        <v>0</v>
      </c>
    </row>
    <row r="653" spans="1:74">
      <c r="A653" t="s">
        <v>86</v>
      </c>
      <c r="B653">
        <v>24230510</v>
      </c>
      <c r="C653" t="s">
        <v>191</v>
      </c>
      <c r="D653" t="s">
        <v>192</v>
      </c>
      <c r="E653" t="s">
        <v>428</v>
      </c>
      <c r="F653" t="s">
        <v>489</v>
      </c>
      <c r="G653" t="s">
        <v>430</v>
      </c>
      <c r="H653" t="s">
        <v>431</v>
      </c>
      <c r="I653" t="s">
        <v>432</v>
      </c>
      <c r="J653" t="s">
        <v>432</v>
      </c>
      <c r="K653">
        <v>0</v>
      </c>
      <c r="L653" t="s">
        <v>428</v>
      </c>
      <c r="M653" t="s">
        <v>428</v>
      </c>
      <c r="N653">
        <v>147679</v>
      </c>
      <c r="O653">
        <f>INDEX(AllCollegeBarrons,MATCH(N653,AllCollegeNCES,0))</f>
        <v>0</v>
      </c>
      <c r="P653">
        <f>INDEX(KidGPAs,MATCH(B653,KidIDs,0))</f>
        <v>0</v>
      </c>
      <c r="Q653">
        <f>INDEX(KidACTs,MATCH(B653,KidIDs,0))</f>
        <v>0</v>
      </c>
      <c r="R653">
        <f>INDEX(Strats,MATCH(B653,KidIDs,0))</f>
        <v>0</v>
      </c>
      <c r="S653">
        <f>INDEX(KidRace,MATCH(B653,KidIDs,0))</f>
        <v>0</v>
      </c>
      <c r="T653">
        <f>IF(OR(S653="M",S653="I"),"H",S653)</f>
        <v>0</v>
      </c>
      <c r="U653">
        <f>INDEX(StudentTargets,MATCH(B653,KidIDs,0))</f>
        <v>0</v>
      </c>
      <c r="V653">
        <f>INDEX(ReachStudentTargets,MATCH(B653,KidIDs,0))</f>
        <v>0</v>
      </c>
      <c r="W653">
        <f>IF(OR(M653="Posse"),1,0)</f>
        <v>0</v>
      </c>
      <c r="X653">
        <f>IF(ISNUMBER(INDEX(AllCollegeGR, MATCH(N653,AllCollegeNCES,0))),ROUND(INDEX(AllCollegeGR, MATCH(N653,AllCollegeNCES,0))+W653*IF(INDEX(AllCollegeGR, MATCH(N653,AllCollegeNCES,0))&gt;0.7,(1-INDEX(AllCollegeGR, MATCH(N653,AllCollegeNCES,0)))/2,0.15),2),INDEX(AllCollegeGR, MATCH(N653,AllCollegeNCES,0)))</f>
        <v>0</v>
      </c>
      <c r="Y653">
        <f>IF(ISNUMBER(INDEX(AllCollegeAAHGR, MATCH(N653,AllCollegeNCES,0))),ROUND(INDEX(AllCollegeAAHGR, MATCH(N653,AllCollegeNCES,0))+W653*IF(INDEX(AllCollegeAAHGR, MATCH(N653,AllCollegeNCES,0))&gt;0.7,(1-INDEX(AllCollegeAAHGR, MATCH(N653,AllCollegeNCES,0)))/2,0.15),2),INDEX(AllCollegeAAHGR, MATCH(N653,AllCollegeNCES,0)))</f>
        <v>0</v>
      </c>
      <c r="Z653">
        <f>IF(OR(T653="H",T653="B"),INDEX(AllCollegeACT25, MATCH(N653,AllCollegeNCES,0)),INDEX(AllCollegeACT50, MATCH(N653,AllCollegeNCES,0)))</f>
        <v>0</v>
      </c>
      <c r="AA653">
        <f>INDEX(CustomWeightsGPA,MATCH(T653&amp;":"&amp;N653,CustomWeightsIndex,0))</f>
        <v>0</v>
      </c>
      <c r="AB653">
        <f>INDEX(CustomWeightsACT,MATCH(T653&amp;":"&amp;N653,CustomWeightsIndex,0))</f>
        <v>0</v>
      </c>
      <c r="AC653">
        <f>INDEX(CustomWeightsIntercept,MATCH(T653&amp;":"&amp;N653,CustomWeightsIndex,0))</f>
        <v>0</v>
      </c>
      <c r="AD653">
        <f>AA653*P653+AB653*Q653+AC653</f>
        <v>0</v>
      </c>
      <c r="AE653">
        <f>INDEX(CoefficientsGPA,MATCH(T653&amp;":"&amp;O653,CoefficientsIndex,0))</f>
        <v>0</v>
      </c>
      <c r="AF653">
        <f>INDEX(CoefficientsACT,MATCH(T653&amp;":"&amp;O653,CoefficientsIndex,0))</f>
        <v>0</v>
      </c>
      <c r="AG653">
        <f>INDEX(CoefficientsIntercept,MATCH(T653&amp;":"&amp;O653,CoefficientsIndex,0))</f>
        <v>0</v>
      </c>
      <c r="AH653">
        <f>AE653*P653+(Q653-Z653)*AF653+AG653</f>
        <v>0</v>
      </c>
      <c r="AI653">
        <f>IF(ISNUMBER(AD653),AD653,AH653)</f>
        <v>0</v>
      </c>
      <c r="AJ653">
        <f>IF(ISNUMBER(AI653),IF(ISNUMBER(AE653),IF(AND(AE653=1,AF653=1,AG653=1),100,ROUND(100*EXP(AI653)/(1+EXP(AI653)),2)),ROUND(100*EXP(AI653)/(1+EXP(AI653)),2)),IF(ISTEXT(O653),IF(LEFT(O653,1)="2",100,"N/A"),"N/A"))</f>
        <v>0</v>
      </c>
      <c r="AK653">
        <f>IF(ISNUMBER(AJ653),IF(AJ653&gt;=99,IF(OR(R653=10,R653=11),MatchLabel,SureThingLabel),IF(AJ653&gt;=95,SecureLabel,IF(AJ653&gt;=80,SafetyLabel,IF(AJ653&gt;=50,MatchLabel,IF(AJ653&gt;=20,ReachLabel,IF(AJ653&gt;=10,LongshotLabel,HailMaryLabel)))))),"Other")</f>
        <v>0</v>
      </c>
      <c r="AL653">
        <f>IF(OR(I653="accepted",I653="cond. accept",I653="summer admit"),IF(J653="yes","CHOICE!","Accepted!"),IF(I653="denied","Denied",IF(K653=1,"Waitlist",IF(L653=1,"Deferred",IF(G653="pending","Pending",IF(OR(G653="initial materials submitted",G653="mid-year submitted",G653="final submitted"),"Submitted",IF(H653="interest","Interest","?")))))))</f>
        <v>0</v>
      </c>
      <c r="AM653">
        <f>IF(OR(AK653=ReachLabel,AK653=LongshotLabel,AK653=HailMaryLabel),1,0)</f>
        <v>0</v>
      </c>
      <c r="AN653">
        <f>IF(OR(AM653=1,AK653=MatchLabel),1,0)</f>
        <v>0</v>
      </c>
      <c r="AO653">
        <f>IF(OR(AK653=MatchLabel,AK653=SafetyLabel,AK653=SecureLabel,AK653=SureThingLabel),1,0)</f>
        <v>0</v>
      </c>
      <c r="AP653">
        <f>IF(OR(T653="H",T653="B"),IF(ISNUMBER(Y653),ROUND(Y653,2),0),IF(ISNUMBER(X653),ROUND(X653,2),0))</f>
        <v>0</v>
      </c>
      <c r="AQ653">
        <f>IF(AP653&gt;=U653,1,0)</f>
        <v>0</v>
      </c>
      <c r="AR653">
        <f>IF(AP653&gt;=V653,1,0)</f>
        <v>0</v>
      </c>
      <c r="AS653">
        <f>IF(AP653&lt;(U653-0.10),1,0)</f>
        <v>0</v>
      </c>
      <c r="AT653">
        <f>1-AJ653/100</f>
        <v>0</v>
      </c>
      <c r="AU653">
        <f>IF(AN653=1,AT653,1)</f>
        <v>0</v>
      </c>
      <c r="AV653">
        <f>IF(AM653=1,AT653,1)</f>
        <v>0</v>
      </c>
      <c r="AW653">
        <f>IF(AND(AQ653=1,ISNUMBER(AT653)),$AT653,1)</f>
        <v>0</v>
      </c>
      <c r="AX653">
        <f>IF(AND(AR653=1,ISNUMBER(AT653)),$AT653,1)</f>
        <v>0</v>
      </c>
      <c r="AY653">
        <f>IF(ISNUMBER(Y653),INDEX(AllCollegeMoney, MATCH(N653,AllCollegeNCES,0)),0)</f>
        <v>0</v>
      </c>
      <c r="AZ653">
        <f>IF(AND(AQ653=1,ISNUMBER(AT653),AY653=1),$AT653,1)</f>
        <v>0</v>
      </c>
      <c r="BA653">
        <f>IF(AND(AR653=1,ISNUMBER(AT653),AY653=1),$AT653,1)</f>
        <v>0</v>
      </c>
      <c r="BB653">
        <f>IF(ISNUMBER(Y653),INDEX(AllCollegeILPub, MATCH(N653,AllCollegeNCES,0)),0)</f>
        <v>0</v>
      </c>
      <c r="BC653">
        <f>IF(AK653=ReachLabel,AP653,0)</f>
        <v>0</v>
      </c>
      <c r="BD653">
        <f>IF(AK653=MatchLabel,AP653,0)</f>
        <v>0</v>
      </c>
      <c r="BE653">
        <f>IF(AK653=SafetyLabel,AP653,0)</f>
        <v>0</v>
      </c>
      <c r="BF653">
        <f>IF(AK653=SecureLabel,AP653,0)</f>
        <v>0</v>
      </c>
      <c r="BG653">
        <f>IF(AK653=SureThingLabel,AP653,0)</f>
        <v>0</v>
      </c>
      <c r="BH653">
        <f>MAX(BC653:BG653)</f>
        <v>0</v>
      </c>
      <c r="BI653">
        <f>MAX(BD653:BG653)</f>
        <v>0</v>
      </c>
      <c r="BJ653">
        <f>MAX(BE653:BG653)</f>
        <v>0</v>
      </c>
      <c r="BK653">
        <f>IF(AND(AK653=ReachLabel,AY653=1),AP653,0)</f>
        <v>0</v>
      </c>
      <c r="BL653">
        <f>IF(AND(AK653=MatchLabel,AY653=1),AP653,0)</f>
        <v>0</v>
      </c>
      <c r="BM653">
        <f>IF(AND(AK653=SafetyLabel,AY653=1),AP653,0)</f>
        <v>0</v>
      </c>
      <c r="BN653">
        <f>IF(AND(AK653=SecureLabel,AY653=1),AP653,0)</f>
        <v>0</v>
      </c>
      <c r="BO653">
        <f>IF(AND(AK653=SureThingLabel,AY653=1),AP653,0)</f>
        <v>0</v>
      </c>
      <c r="BP653">
        <f>MAX(BK653:BO653)</f>
        <v>0</v>
      </c>
      <c r="BQ653">
        <f>MAX(BL653:BO653)</f>
        <v>0</v>
      </c>
      <c r="BR653">
        <f>MAX(BM653:BO653)</f>
        <v>0</v>
      </c>
      <c r="BS653">
        <f>IF(ISNUMBER(Y653),INDEX(AllCollegeChicago, MATCH(N653,AllCollegeNCES,0))*AY653,0)</f>
        <v>0</v>
      </c>
      <c r="BT653">
        <f>IF(ISNUMBER(Y653),INDEX(AllCollegeMoneyCode, MATCH(N653,AllCollegeNCES,0)),"?")</f>
        <v>0</v>
      </c>
      <c r="BU653">
        <f>IF(OR(BT653="---",BT653="--",BT653="+/--",BT653="+/---"),1,0)</f>
        <v>0</v>
      </c>
      <c r="BV653">
        <f>AY653*AO653*AQ653</f>
        <v>0</v>
      </c>
    </row>
    <row r="654" spans="1:74">
      <c r="A654" t="s">
        <v>86</v>
      </c>
      <c r="B654">
        <v>24230510</v>
      </c>
      <c r="C654" t="s">
        <v>191</v>
      </c>
      <c r="D654" t="s">
        <v>192</v>
      </c>
      <c r="E654" t="s">
        <v>428</v>
      </c>
      <c r="F654" t="s">
        <v>438</v>
      </c>
      <c r="G654" t="s">
        <v>430</v>
      </c>
      <c r="H654" t="s">
        <v>431</v>
      </c>
      <c r="I654" t="s">
        <v>432</v>
      </c>
      <c r="J654" t="s">
        <v>432</v>
      </c>
      <c r="K654">
        <v>0</v>
      </c>
      <c r="L654" t="s">
        <v>428</v>
      </c>
      <c r="M654" t="s">
        <v>439</v>
      </c>
      <c r="N654">
        <v>150774</v>
      </c>
      <c r="O654">
        <f>INDEX(AllCollegeBarrons,MATCH(N654,AllCollegeNCES,0))</f>
        <v>0</v>
      </c>
      <c r="P654">
        <f>INDEX(KidGPAs,MATCH(B654,KidIDs,0))</f>
        <v>0</v>
      </c>
      <c r="Q654">
        <f>INDEX(KidACTs,MATCH(B654,KidIDs,0))</f>
        <v>0</v>
      </c>
      <c r="R654">
        <f>INDEX(Strats,MATCH(B654,KidIDs,0))</f>
        <v>0</v>
      </c>
      <c r="S654">
        <f>INDEX(KidRace,MATCH(B654,KidIDs,0))</f>
        <v>0</v>
      </c>
      <c r="T654">
        <f>IF(OR(S654="M",S654="I"),"H",S654)</f>
        <v>0</v>
      </c>
      <c r="U654">
        <f>INDEX(StudentTargets,MATCH(B654,KidIDs,0))</f>
        <v>0</v>
      </c>
      <c r="V654">
        <f>INDEX(ReachStudentTargets,MATCH(B654,KidIDs,0))</f>
        <v>0</v>
      </c>
      <c r="W654">
        <f>IF(OR(M654="Posse"),1,0)</f>
        <v>0</v>
      </c>
      <c r="X654">
        <f>IF(ISNUMBER(INDEX(AllCollegeGR, MATCH(N654,AllCollegeNCES,0))),ROUND(INDEX(AllCollegeGR, MATCH(N654,AllCollegeNCES,0))+W654*IF(INDEX(AllCollegeGR, MATCH(N654,AllCollegeNCES,0))&gt;0.7,(1-INDEX(AllCollegeGR, MATCH(N654,AllCollegeNCES,0)))/2,0.15),2),INDEX(AllCollegeGR, MATCH(N654,AllCollegeNCES,0)))</f>
        <v>0</v>
      </c>
      <c r="Y654">
        <f>IF(ISNUMBER(INDEX(AllCollegeAAHGR, MATCH(N654,AllCollegeNCES,0))),ROUND(INDEX(AllCollegeAAHGR, MATCH(N654,AllCollegeNCES,0))+W654*IF(INDEX(AllCollegeAAHGR, MATCH(N654,AllCollegeNCES,0))&gt;0.7,(1-INDEX(AllCollegeAAHGR, MATCH(N654,AllCollegeNCES,0)))/2,0.15),2),INDEX(AllCollegeAAHGR, MATCH(N654,AllCollegeNCES,0)))</f>
        <v>0</v>
      </c>
      <c r="Z654">
        <f>IF(OR(T654="H",T654="B"),INDEX(AllCollegeACT25, MATCH(N654,AllCollegeNCES,0)),INDEX(AllCollegeACT50, MATCH(N654,AllCollegeNCES,0)))</f>
        <v>0</v>
      </c>
      <c r="AA654">
        <f>INDEX(CustomWeightsGPA,MATCH(T654&amp;":"&amp;N654,CustomWeightsIndex,0))</f>
        <v>0</v>
      </c>
      <c r="AB654">
        <f>INDEX(CustomWeightsACT,MATCH(T654&amp;":"&amp;N654,CustomWeightsIndex,0))</f>
        <v>0</v>
      </c>
      <c r="AC654">
        <f>INDEX(CustomWeightsIntercept,MATCH(T654&amp;":"&amp;N654,CustomWeightsIndex,0))</f>
        <v>0</v>
      </c>
      <c r="AD654">
        <f>AA654*P654+AB654*Q654+AC654</f>
        <v>0</v>
      </c>
      <c r="AE654">
        <f>INDEX(CoefficientsGPA,MATCH(T654&amp;":"&amp;O654,CoefficientsIndex,0))</f>
        <v>0</v>
      </c>
      <c r="AF654">
        <f>INDEX(CoefficientsACT,MATCH(T654&amp;":"&amp;O654,CoefficientsIndex,0))</f>
        <v>0</v>
      </c>
      <c r="AG654">
        <f>INDEX(CoefficientsIntercept,MATCH(T654&amp;":"&amp;O654,CoefficientsIndex,0))</f>
        <v>0</v>
      </c>
      <c r="AH654">
        <f>AE654*P654+(Q654-Z654)*AF654+AG654</f>
        <v>0</v>
      </c>
      <c r="AI654">
        <f>IF(ISNUMBER(AD654),AD654,AH654)</f>
        <v>0</v>
      </c>
      <c r="AJ654">
        <f>IF(ISNUMBER(AI654),IF(ISNUMBER(AE654),IF(AND(AE654=1,AF654=1,AG654=1),100,ROUND(100*EXP(AI654)/(1+EXP(AI654)),2)),ROUND(100*EXP(AI654)/(1+EXP(AI654)),2)),IF(ISTEXT(O654),IF(LEFT(O654,1)="2",100,"N/A"),"N/A"))</f>
        <v>0</v>
      </c>
      <c r="AK654">
        <f>IF(ISNUMBER(AJ654),IF(AJ654&gt;=99,IF(OR(R654=10,R654=11),MatchLabel,SureThingLabel),IF(AJ654&gt;=95,SecureLabel,IF(AJ654&gt;=80,SafetyLabel,IF(AJ654&gt;=50,MatchLabel,IF(AJ654&gt;=20,ReachLabel,IF(AJ654&gt;=10,LongshotLabel,HailMaryLabel)))))),"Other")</f>
        <v>0</v>
      </c>
      <c r="AL654">
        <f>IF(OR(I654="accepted",I654="cond. accept",I654="summer admit"),IF(J654="yes","CHOICE!","Accepted!"),IF(I654="denied","Denied",IF(K654=1,"Waitlist",IF(L654=1,"Deferred",IF(G654="pending","Pending",IF(OR(G654="initial materials submitted",G654="mid-year submitted",G654="final submitted"),"Submitted",IF(H654="interest","Interest","?")))))))</f>
        <v>0</v>
      </c>
      <c r="AM654">
        <f>IF(OR(AK654=ReachLabel,AK654=LongshotLabel,AK654=HailMaryLabel),1,0)</f>
        <v>0</v>
      </c>
      <c r="AN654">
        <f>IF(OR(AM654=1,AK654=MatchLabel),1,0)</f>
        <v>0</v>
      </c>
      <c r="AO654">
        <f>IF(OR(AK654=MatchLabel,AK654=SafetyLabel,AK654=SecureLabel,AK654=SureThingLabel),1,0)</f>
        <v>0</v>
      </c>
      <c r="AP654">
        <f>IF(OR(T654="H",T654="B"),IF(ISNUMBER(Y654),ROUND(Y654,2),0),IF(ISNUMBER(X654),ROUND(X654,2),0))</f>
        <v>0</v>
      </c>
      <c r="AQ654">
        <f>IF(AP654&gt;=U654,1,0)</f>
        <v>0</v>
      </c>
      <c r="AR654">
        <f>IF(AP654&gt;=V654,1,0)</f>
        <v>0</v>
      </c>
      <c r="AS654">
        <f>IF(AP654&lt;(U654-0.10),1,0)</f>
        <v>0</v>
      </c>
      <c r="AT654">
        <f>1-AJ654/100</f>
        <v>0</v>
      </c>
      <c r="AU654">
        <f>IF(AN654=1,AT654,1)</f>
        <v>0</v>
      </c>
      <c r="AV654">
        <f>IF(AM654=1,AT654,1)</f>
        <v>0</v>
      </c>
      <c r="AW654">
        <f>IF(AND(AQ654=1,ISNUMBER(AT654)),$AT654,1)</f>
        <v>0</v>
      </c>
      <c r="AX654">
        <f>IF(AND(AR654=1,ISNUMBER(AT654)),$AT654,1)</f>
        <v>0</v>
      </c>
      <c r="AY654">
        <f>IF(ISNUMBER(Y654),INDEX(AllCollegeMoney, MATCH(N654,AllCollegeNCES,0)),0)</f>
        <v>0</v>
      </c>
      <c r="AZ654">
        <f>IF(AND(AQ654=1,ISNUMBER(AT654),AY654=1),$AT654,1)</f>
        <v>0</v>
      </c>
      <c r="BA654">
        <f>IF(AND(AR654=1,ISNUMBER(AT654),AY654=1),$AT654,1)</f>
        <v>0</v>
      </c>
      <c r="BB654">
        <f>IF(ISNUMBER(Y654),INDEX(AllCollegeILPub, MATCH(N654,AllCollegeNCES,0)),0)</f>
        <v>0</v>
      </c>
      <c r="BC654">
        <f>IF(AK654=ReachLabel,AP654,0)</f>
        <v>0</v>
      </c>
      <c r="BD654">
        <f>IF(AK654=MatchLabel,AP654,0)</f>
        <v>0</v>
      </c>
      <c r="BE654">
        <f>IF(AK654=SafetyLabel,AP654,0)</f>
        <v>0</v>
      </c>
      <c r="BF654">
        <f>IF(AK654=SecureLabel,AP654,0)</f>
        <v>0</v>
      </c>
      <c r="BG654">
        <f>IF(AK654=SureThingLabel,AP654,0)</f>
        <v>0</v>
      </c>
      <c r="BH654">
        <f>MAX(BC654:BG654)</f>
        <v>0</v>
      </c>
      <c r="BI654">
        <f>MAX(BD654:BG654)</f>
        <v>0</v>
      </c>
      <c r="BJ654">
        <f>MAX(BE654:BG654)</f>
        <v>0</v>
      </c>
      <c r="BK654">
        <f>IF(AND(AK654=ReachLabel,AY654=1),AP654,0)</f>
        <v>0</v>
      </c>
      <c r="BL654">
        <f>IF(AND(AK654=MatchLabel,AY654=1),AP654,0)</f>
        <v>0</v>
      </c>
      <c r="BM654">
        <f>IF(AND(AK654=SafetyLabel,AY654=1),AP654,0)</f>
        <v>0</v>
      </c>
      <c r="BN654">
        <f>IF(AND(AK654=SecureLabel,AY654=1),AP654,0)</f>
        <v>0</v>
      </c>
      <c r="BO654">
        <f>IF(AND(AK654=SureThingLabel,AY654=1),AP654,0)</f>
        <v>0</v>
      </c>
      <c r="BP654">
        <f>MAX(BK654:BO654)</f>
        <v>0</v>
      </c>
      <c r="BQ654">
        <f>MAX(BL654:BO654)</f>
        <v>0</v>
      </c>
      <c r="BR654">
        <f>MAX(BM654:BO654)</f>
        <v>0</v>
      </c>
      <c r="BS654">
        <f>IF(ISNUMBER(Y654),INDEX(AllCollegeChicago, MATCH(N654,AllCollegeNCES,0))*AY654,0)</f>
        <v>0</v>
      </c>
      <c r="BT654">
        <f>IF(ISNUMBER(Y654),INDEX(AllCollegeMoneyCode, MATCH(N654,AllCollegeNCES,0)),"?")</f>
        <v>0</v>
      </c>
      <c r="BU654">
        <f>IF(OR(BT654="---",BT654="--",BT654="+/--",BT654="+/---"),1,0)</f>
        <v>0</v>
      </c>
      <c r="BV654">
        <f>AY654*AO654*AQ654</f>
        <v>0</v>
      </c>
    </row>
    <row r="655" spans="1:74">
      <c r="A655" t="s">
        <v>86</v>
      </c>
      <c r="B655">
        <v>24230510</v>
      </c>
      <c r="C655" t="s">
        <v>191</v>
      </c>
      <c r="D655" t="s">
        <v>192</v>
      </c>
      <c r="E655" t="s">
        <v>428</v>
      </c>
      <c r="F655" t="s">
        <v>452</v>
      </c>
      <c r="G655" t="s">
        <v>430</v>
      </c>
      <c r="H655" t="s">
        <v>431</v>
      </c>
      <c r="I655" t="s">
        <v>432</v>
      </c>
      <c r="J655" t="s">
        <v>432</v>
      </c>
      <c r="K655">
        <v>0</v>
      </c>
      <c r="L655" t="s">
        <v>428</v>
      </c>
      <c r="M655" t="s">
        <v>439</v>
      </c>
      <c r="N655">
        <v>154493</v>
      </c>
      <c r="O655">
        <f>INDEX(AllCollegeBarrons,MATCH(N655,AllCollegeNCES,0))</f>
        <v>0</v>
      </c>
      <c r="P655">
        <f>INDEX(KidGPAs,MATCH(B655,KidIDs,0))</f>
        <v>0</v>
      </c>
      <c r="Q655">
        <f>INDEX(KidACTs,MATCH(B655,KidIDs,0))</f>
        <v>0</v>
      </c>
      <c r="R655">
        <f>INDEX(Strats,MATCH(B655,KidIDs,0))</f>
        <v>0</v>
      </c>
      <c r="S655">
        <f>INDEX(KidRace,MATCH(B655,KidIDs,0))</f>
        <v>0</v>
      </c>
      <c r="T655">
        <f>IF(OR(S655="M",S655="I"),"H",S655)</f>
        <v>0</v>
      </c>
      <c r="U655">
        <f>INDEX(StudentTargets,MATCH(B655,KidIDs,0))</f>
        <v>0</v>
      </c>
      <c r="V655">
        <f>INDEX(ReachStudentTargets,MATCH(B655,KidIDs,0))</f>
        <v>0</v>
      </c>
      <c r="W655">
        <f>IF(OR(M655="Posse"),1,0)</f>
        <v>0</v>
      </c>
      <c r="X655">
        <f>IF(ISNUMBER(INDEX(AllCollegeGR, MATCH(N655,AllCollegeNCES,0))),ROUND(INDEX(AllCollegeGR, MATCH(N655,AllCollegeNCES,0))+W655*IF(INDEX(AllCollegeGR, MATCH(N655,AllCollegeNCES,0))&gt;0.7,(1-INDEX(AllCollegeGR, MATCH(N655,AllCollegeNCES,0)))/2,0.15),2),INDEX(AllCollegeGR, MATCH(N655,AllCollegeNCES,0)))</f>
        <v>0</v>
      </c>
      <c r="Y655">
        <f>IF(ISNUMBER(INDEX(AllCollegeAAHGR, MATCH(N655,AllCollegeNCES,0))),ROUND(INDEX(AllCollegeAAHGR, MATCH(N655,AllCollegeNCES,0))+W655*IF(INDEX(AllCollegeAAHGR, MATCH(N655,AllCollegeNCES,0))&gt;0.7,(1-INDEX(AllCollegeAAHGR, MATCH(N655,AllCollegeNCES,0)))/2,0.15),2),INDEX(AllCollegeAAHGR, MATCH(N655,AllCollegeNCES,0)))</f>
        <v>0</v>
      </c>
      <c r="Z655">
        <f>IF(OR(T655="H",T655="B"),INDEX(AllCollegeACT25, MATCH(N655,AllCollegeNCES,0)),INDEX(AllCollegeACT50, MATCH(N655,AllCollegeNCES,0)))</f>
        <v>0</v>
      </c>
      <c r="AA655">
        <f>INDEX(CustomWeightsGPA,MATCH(T655&amp;":"&amp;N655,CustomWeightsIndex,0))</f>
        <v>0</v>
      </c>
      <c r="AB655">
        <f>INDEX(CustomWeightsACT,MATCH(T655&amp;":"&amp;N655,CustomWeightsIndex,0))</f>
        <v>0</v>
      </c>
      <c r="AC655">
        <f>INDEX(CustomWeightsIntercept,MATCH(T655&amp;":"&amp;N655,CustomWeightsIndex,0))</f>
        <v>0</v>
      </c>
      <c r="AD655">
        <f>AA655*P655+AB655*Q655+AC655</f>
        <v>0</v>
      </c>
      <c r="AE655">
        <f>INDEX(CoefficientsGPA,MATCH(T655&amp;":"&amp;O655,CoefficientsIndex,0))</f>
        <v>0</v>
      </c>
      <c r="AF655">
        <f>INDEX(CoefficientsACT,MATCH(T655&amp;":"&amp;O655,CoefficientsIndex,0))</f>
        <v>0</v>
      </c>
      <c r="AG655">
        <f>INDEX(CoefficientsIntercept,MATCH(T655&amp;":"&amp;O655,CoefficientsIndex,0))</f>
        <v>0</v>
      </c>
      <c r="AH655">
        <f>AE655*P655+(Q655-Z655)*AF655+AG655</f>
        <v>0</v>
      </c>
      <c r="AI655">
        <f>IF(ISNUMBER(AD655),AD655,AH655)</f>
        <v>0</v>
      </c>
      <c r="AJ655">
        <f>IF(ISNUMBER(AI655),IF(ISNUMBER(AE655),IF(AND(AE655=1,AF655=1,AG655=1),100,ROUND(100*EXP(AI655)/(1+EXP(AI655)),2)),ROUND(100*EXP(AI655)/(1+EXP(AI655)),2)),IF(ISTEXT(O655),IF(LEFT(O655,1)="2",100,"N/A"),"N/A"))</f>
        <v>0</v>
      </c>
      <c r="AK655">
        <f>IF(ISNUMBER(AJ655),IF(AJ655&gt;=99,IF(OR(R655=10,R655=11),MatchLabel,SureThingLabel),IF(AJ655&gt;=95,SecureLabel,IF(AJ655&gt;=80,SafetyLabel,IF(AJ655&gt;=50,MatchLabel,IF(AJ655&gt;=20,ReachLabel,IF(AJ655&gt;=10,LongshotLabel,HailMaryLabel)))))),"Other")</f>
        <v>0</v>
      </c>
      <c r="AL655">
        <f>IF(OR(I655="accepted",I655="cond. accept",I655="summer admit"),IF(J655="yes","CHOICE!","Accepted!"),IF(I655="denied","Denied",IF(K655=1,"Waitlist",IF(L655=1,"Deferred",IF(G655="pending","Pending",IF(OR(G655="initial materials submitted",G655="mid-year submitted",G655="final submitted"),"Submitted",IF(H655="interest","Interest","?")))))))</f>
        <v>0</v>
      </c>
      <c r="AM655">
        <f>IF(OR(AK655=ReachLabel,AK655=LongshotLabel,AK655=HailMaryLabel),1,0)</f>
        <v>0</v>
      </c>
      <c r="AN655">
        <f>IF(OR(AM655=1,AK655=MatchLabel),1,0)</f>
        <v>0</v>
      </c>
      <c r="AO655">
        <f>IF(OR(AK655=MatchLabel,AK655=SafetyLabel,AK655=SecureLabel,AK655=SureThingLabel),1,0)</f>
        <v>0</v>
      </c>
      <c r="AP655">
        <f>IF(OR(T655="H",T655="B"),IF(ISNUMBER(Y655),ROUND(Y655,2),0),IF(ISNUMBER(X655),ROUND(X655,2),0))</f>
        <v>0</v>
      </c>
      <c r="AQ655">
        <f>IF(AP655&gt;=U655,1,0)</f>
        <v>0</v>
      </c>
      <c r="AR655">
        <f>IF(AP655&gt;=V655,1,0)</f>
        <v>0</v>
      </c>
      <c r="AS655">
        <f>IF(AP655&lt;(U655-0.10),1,0)</f>
        <v>0</v>
      </c>
      <c r="AT655">
        <f>1-AJ655/100</f>
        <v>0</v>
      </c>
      <c r="AU655">
        <f>IF(AN655=1,AT655,1)</f>
        <v>0</v>
      </c>
      <c r="AV655">
        <f>IF(AM655=1,AT655,1)</f>
        <v>0</v>
      </c>
      <c r="AW655">
        <f>IF(AND(AQ655=1,ISNUMBER(AT655)),$AT655,1)</f>
        <v>0</v>
      </c>
      <c r="AX655">
        <f>IF(AND(AR655=1,ISNUMBER(AT655)),$AT655,1)</f>
        <v>0</v>
      </c>
      <c r="AY655">
        <f>IF(ISNUMBER(Y655),INDEX(AllCollegeMoney, MATCH(N655,AllCollegeNCES,0)),0)</f>
        <v>0</v>
      </c>
      <c r="AZ655">
        <f>IF(AND(AQ655=1,ISNUMBER(AT655),AY655=1),$AT655,1)</f>
        <v>0</v>
      </c>
      <c r="BA655">
        <f>IF(AND(AR655=1,ISNUMBER(AT655),AY655=1),$AT655,1)</f>
        <v>0</v>
      </c>
      <c r="BB655">
        <f>IF(ISNUMBER(Y655),INDEX(AllCollegeILPub, MATCH(N655,AllCollegeNCES,0)),0)</f>
        <v>0</v>
      </c>
      <c r="BC655">
        <f>IF(AK655=ReachLabel,AP655,0)</f>
        <v>0</v>
      </c>
      <c r="BD655">
        <f>IF(AK655=MatchLabel,AP655,0)</f>
        <v>0</v>
      </c>
      <c r="BE655">
        <f>IF(AK655=SafetyLabel,AP655,0)</f>
        <v>0</v>
      </c>
      <c r="BF655">
        <f>IF(AK655=SecureLabel,AP655,0)</f>
        <v>0</v>
      </c>
      <c r="BG655">
        <f>IF(AK655=SureThingLabel,AP655,0)</f>
        <v>0</v>
      </c>
      <c r="BH655">
        <f>MAX(BC655:BG655)</f>
        <v>0</v>
      </c>
      <c r="BI655">
        <f>MAX(BD655:BG655)</f>
        <v>0</v>
      </c>
      <c r="BJ655">
        <f>MAX(BE655:BG655)</f>
        <v>0</v>
      </c>
      <c r="BK655">
        <f>IF(AND(AK655=ReachLabel,AY655=1),AP655,0)</f>
        <v>0</v>
      </c>
      <c r="BL655">
        <f>IF(AND(AK655=MatchLabel,AY655=1),AP655,0)</f>
        <v>0</v>
      </c>
      <c r="BM655">
        <f>IF(AND(AK655=SafetyLabel,AY655=1),AP655,0)</f>
        <v>0</v>
      </c>
      <c r="BN655">
        <f>IF(AND(AK655=SecureLabel,AY655=1),AP655,0)</f>
        <v>0</v>
      </c>
      <c r="BO655">
        <f>IF(AND(AK655=SureThingLabel,AY655=1),AP655,0)</f>
        <v>0</v>
      </c>
      <c r="BP655">
        <f>MAX(BK655:BO655)</f>
        <v>0</v>
      </c>
      <c r="BQ655">
        <f>MAX(BL655:BO655)</f>
        <v>0</v>
      </c>
      <c r="BR655">
        <f>MAX(BM655:BO655)</f>
        <v>0</v>
      </c>
      <c r="BS655">
        <f>IF(ISNUMBER(Y655),INDEX(AllCollegeChicago, MATCH(N655,AllCollegeNCES,0))*AY655,0)</f>
        <v>0</v>
      </c>
      <c r="BT655">
        <f>IF(ISNUMBER(Y655),INDEX(AllCollegeMoneyCode, MATCH(N655,AllCollegeNCES,0)),"?")</f>
        <v>0</v>
      </c>
      <c r="BU655">
        <f>IF(OR(BT655="---",BT655="--",BT655="+/--",BT655="+/---"),1,0)</f>
        <v>0</v>
      </c>
      <c r="BV655">
        <f>AY655*AO655*AQ655</f>
        <v>0</v>
      </c>
    </row>
    <row r="656" spans="1:74">
      <c r="A656" t="s">
        <v>86</v>
      </c>
      <c r="B656">
        <v>24230510</v>
      </c>
      <c r="C656" t="s">
        <v>191</v>
      </c>
      <c r="D656" t="s">
        <v>192</v>
      </c>
      <c r="E656" t="s">
        <v>428</v>
      </c>
      <c r="F656" t="s">
        <v>443</v>
      </c>
      <c r="G656" t="s">
        <v>430</v>
      </c>
      <c r="H656" t="s">
        <v>431</v>
      </c>
      <c r="I656" t="s">
        <v>432</v>
      </c>
      <c r="J656" t="s">
        <v>432</v>
      </c>
      <c r="K656">
        <v>0</v>
      </c>
      <c r="L656" t="s">
        <v>428</v>
      </c>
      <c r="M656" t="s">
        <v>428</v>
      </c>
      <c r="N656">
        <v>144209</v>
      </c>
      <c r="O656">
        <f>INDEX(AllCollegeBarrons,MATCH(N656,AllCollegeNCES,0))</f>
        <v>0</v>
      </c>
      <c r="P656">
        <f>INDEX(KidGPAs,MATCH(B656,KidIDs,0))</f>
        <v>0</v>
      </c>
      <c r="Q656">
        <f>INDEX(KidACTs,MATCH(B656,KidIDs,0))</f>
        <v>0</v>
      </c>
      <c r="R656">
        <f>INDEX(Strats,MATCH(B656,KidIDs,0))</f>
        <v>0</v>
      </c>
      <c r="S656">
        <f>INDEX(KidRace,MATCH(B656,KidIDs,0))</f>
        <v>0</v>
      </c>
      <c r="T656">
        <f>IF(OR(S656="M",S656="I"),"H",S656)</f>
        <v>0</v>
      </c>
      <c r="U656">
        <f>INDEX(StudentTargets,MATCH(B656,KidIDs,0))</f>
        <v>0</v>
      </c>
      <c r="V656">
        <f>INDEX(ReachStudentTargets,MATCH(B656,KidIDs,0))</f>
        <v>0</v>
      </c>
      <c r="W656">
        <f>IF(OR(M656="Posse"),1,0)</f>
        <v>0</v>
      </c>
      <c r="X656">
        <f>IF(ISNUMBER(INDEX(AllCollegeGR, MATCH(N656,AllCollegeNCES,0))),ROUND(INDEX(AllCollegeGR, MATCH(N656,AllCollegeNCES,0))+W656*IF(INDEX(AllCollegeGR, MATCH(N656,AllCollegeNCES,0))&gt;0.7,(1-INDEX(AllCollegeGR, MATCH(N656,AllCollegeNCES,0)))/2,0.15),2),INDEX(AllCollegeGR, MATCH(N656,AllCollegeNCES,0)))</f>
        <v>0</v>
      </c>
      <c r="Y656">
        <f>IF(ISNUMBER(INDEX(AllCollegeAAHGR, MATCH(N656,AllCollegeNCES,0))),ROUND(INDEX(AllCollegeAAHGR, MATCH(N656,AllCollegeNCES,0))+W656*IF(INDEX(AllCollegeAAHGR, MATCH(N656,AllCollegeNCES,0))&gt;0.7,(1-INDEX(AllCollegeAAHGR, MATCH(N656,AllCollegeNCES,0)))/2,0.15),2),INDEX(AllCollegeAAHGR, MATCH(N656,AllCollegeNCES,0)))</f>
        <v>0</v>
      </c>
      <c r="Z656">
        <f>IF(OR(T656="H",T656="B"),INDEX(AllCollegeACT25, MATCH(N656,AllCollegeNCES,0)),INDEX(AllCollegeACT50, MATCH(N656,AllCollegeNCES,0)))</f>
        <v>0</v>
      </c>
      <c r="AA656">
        <f>INDEX(CustomWeightsGPA,MATCH(T656&amp;":"&amp;N656,CustomWeightsIndex,0))</f>
        <v>0</v>
      </c>
      <c r="AB656">
        <f>INDEX(CustomWeightsACT,MATCH(T656&amp;":"&amp;N656,CustomWeightsIndex,0))</f>
        <v>0</v>
      </c>
      <c r="AC656">
        <f>INDEX(CustomWeightsIntercept,MATCH(T656&amp;":"&amp;N656,CustomWeightsIndex,0))</f>
        <v>0</v>
      </c>
      <c r="AD656">
        <f>AA656*P656+AB656*Q656+AC656</f>
        <v>0</v>
      </c>
      <c r="AE656">
        <f>INDEX(CoefficientsGPA,MATCH(T656&amp;":"&amp;O656,CoefficientsIndex,0))</f>
        <v>0</v>
      </c>
      <c r="AF656">
        <f>INDEX(CoefficientsACT,MATCH(T656&amp;":"&amp;O656,CoefficientsIndex,0))</f>
        <v>0</v>
      </c>
      <c r="AG656">
        <f>INDEX(CoefficientsIntercept,MATCH(T656&amp;":"&amp;O656,CoefficientsIndex,0))</f>
        <v>0</v>
      </c>
      <c r="AH656">
        <f>AE656*P656+(Q656-Z656)*AF656+AG656</f>
        <v>0</v>
      </c>
      <c r="AI656">
        <f>IF(ISNUMBER(AD656),AD656,AH656)</f>
        <v>0</v>
      </c>
      <c r="AJ656">
        <f>IF(ISNUMBER(AI656),IF(ISNUMBER(AE656),IF(AND(AE656=1,AF656=1,AG656=1),100,ROUND(100*EXP(AI656)/(1+EXP(AI656)),2)),ROUND(100*EXP(AI656)/(1+EXP(AI656)),2)),IF(ISTEXT(O656),IF(LEFT(O656,1)="2",100,"N/A"),"N/A"))</f>
        <v>0</v>
      </c>
      <c r="AK656">
        <f>IF(ISNUMBER(AJ656),IF(AJ656&gt;=99,IF(OR(R656=10,R656=11),MatchLabel,SureThingLabel),IF(AJ656&gt;=95,SecureLabel,IF(AJ656&gt;=80,SafetyLabel,IF(AJ656&gt;=50,MatchLabel,IF(AJ656&gt;=20,ReachLabel,IF(AJ656&gt;=10,LongshotLabel,HailMaryLabel)))))),"Other")</f>
        <v>0</v>
      </c>
      <c r="AL656">
        <f>IF(OR(I656="accepted",I656="cond. accept",I656="summer admit"),IF(J656="yes","CHOICE!","Accepted!"),IF(I656="denied","Denied",IF(K656=1,"Waitlist",IF(L656=1,"Deferred",IF(G656="pending","Pending",IF(OR(G656="initial materials submitted",G656="mid-year submitted",G656="final submitted"),"Submitted",IF(H656="interest","Interest","?")))))))</f>
        <v>0</v>
      </c>
      <c r="AM656">
        <f>IF(OR(AK656=ReachLabel,AK656=LongshotLabel,AK656=HailMaryLabel),1,0)</f>
        <v>0</v>
      </c>
      <c r="AN656">
        <f>IF(OR(AM656=1,AK656=MatchLabel),1,0)</f>
        <v>0</v>
      </c>
      <c r="AO656">
        <f>IF(OR(AK656=MatchLabel,AK656=SafetyLabel,AK656=SecureLabel,AK656=SureThingLabel),1,0)</f>
        <v>0</v>
      </c>
      <c r="AP656">
        <f>IF(OR(T656="H",T656="B"),IF(ISNUMBER(Y656),ROUND(Y656,2),0),IF(ISNUMBER(X656),ROUND(X656,2),0))</f>
        <v>0</v>
      </c>
      <c r="AQ656">
        <f>IF(AP656&gt;=U656,1,0)</f>
        <v>0</v>
      </c>
      <c r="AR656">
        <f>IF(AP656&gt;=V656,1,0)</f>
        <v>0</v>
      </c>
      <c r="AS656">
        <f>IF(AP656&lt;(U656-0.10),1,0)</f>
        <v>0</v>
      </c>
      <c r="AT656">
        <f>1-AJ656/100</f>
        <v>0</v>
      </c>
      <c r="AU656">
        <f>IF(AN656=1,AT656,1)</f>
        <v>0</v>
      </c>
      <c r="AV656">
        <f>IF(AM656=1,AT656,1)</f>
        <v>0</v>
      </c>
      <c r="AW656">
        <f>IF(AND(AQ656=1,ISNUMBER(AT656)),$AT656,1)</f>
        <v>0</v>
      </c>
      <c r="AX656">
        <f>IF(AND(AR656=1,ISNUMBER(AT656)),$AT656,1)</f>
        <v>0</v>
      </c>
      <c r="AY656">
        <f>IF(ISNUMBER(Y656),INDEX(AllCollegeMoney, MATCH(N656,AllCollegeNCES,0)),0)</f>
        <v>0</v>
      </c>
      <c r="AZ656">
        <f>IF(AND(AQ656=1,ISNUMBER(AT656),AY656=1),$AT656,1)</f>
        <v>0</v>
      </c>
      <c r="BA656">
        <f>IF(AND(AR656=1,ISNUMBER(AT656),AY656=1),$AT656,1)</f>
        <v>0</v>
      </c>
      <c r="BB656">
        <f>IF(ISNUMBER(Y656),INDEX(AllCollegeILPub, MATCH(N656,AllCollegeNCES,0)),0)</f>
        <v>0</v>
      </c>
      <c r="BC656">
        <f>IF(AK656=ReachLabel,AP656,0)</f>
        <v>0</v>
      </c>
      <c r="BD656">
        <f>IF(AK656=MatchLabel,AP656,0)</f>
        <v>0</v>
      </c>
      <c r="BE656">
        <f>IF(AK656=SafetyLabel,AP656,0)</f>
        <v>0</v>
      </c>
      <c r="BF656">
        <f>IF(AK656=SecureLabel,AP656,0)</f>
        <v>0</v>
      </c>
      <c r="BG656">
        <f>IF(AK656=SureThingLabel,AP656,0)</f>
        <v>0</v>
      </c>
      <c r="BH656">
        <f>MAX(BC656:BG656)</f>
        <v>0</v>
      </c>
      <c r="BI656">
        <f>MAX(BD656:BG656)</f>
        <v>0</v>
      </c>
      <c r="BJ656">
        <f>MAX(BE656:BG656)</f>
        <v>0</v>
      </c>
      <c r="BK656">
        <f>IF(AND(AK656=ReachLabel,AY656=1),AP656,0)</f>
        <v>0</v>
      </c>
      <c r="BL656">
        <f>IF(AND(AK656=MatchLabel,AY656=1),AP656,0)</f>
        <v>0</v>
      </c>
      <c r="BM656">
        <f>IF(AND(AK656=SafetyLabel,AY656=1),AP656,0)</f>
        <v>0</v>
      </c>
      <c r="BN656">
        <f>IF(AND(AK656=SecureLabel,AY656=1),AP656,0)</f>
        <v>0</v>
      </c>
      <c r="BO656">
        <f>IF(AND(AK656=SureThingLabel,AY656=1),AP656,0)</f>
        <v>0</v>
      </c>
      <c r="BP656">
        <f>MAX(BK656:BO656)</f>
        <v>0</v>
      </c>
      <c r="BQ656">
        <f>MAX(BL656:BO656)</f>
        <v>0</v>
      </c>
      <c r="BR656">
        <f>MAX(BM656:BO656)</f>
        <v>0</v>
      </c>
      <c r="BS656">
        <f>IF(ISNUMBER(Y656),INDEX(AllCollegeChicago, MATCH(N656,AllCollegeNCES,0))*AY656,0)</f>
        <v>0</v>
      </c>
      <c r="BT656">
        <f>IF(ISNUMBER(Y656),INDEX(AllCollegeMoneyCode, MATCH(N656,AllCollegeNCES,0)),"?")</f>
        <v>0</v>
      </c>
      <c r="BU656">
        <f>IF(OR(BT656="---",BT656="--",BT656="+/--",BT656="+/---"),1,0)</f>
        <v>0</v>
      </c>
      <c r="BV656">
        <f>AY656*AO656*AQ656</f>
        <v>0</v>
      </c>
    </row>
    <row r="657" spans="1:74">
      <c r="A657" t="s">
        <v>86</v>
      </c>
      <c r="B657">
        <v>24230510</v>
      </c>
      <c r="C657" t="s">
        <v>191</v>
      </c>
      <c r="D657" t="s">
        <v>192</v>
      </c>
      <c r="E657" t="s">
        <v>428</v>
      </c>
      <c r="F657" t="s">
        <v>445</v>
      </c>
      <c r="G657" t="s">
        <v>430</v>
      </c>
      <c r="H657" t="s">
        <v>431</v>
      </c>
      <c r="I657" t="s">
        <v>432</v>
      </c>
      <c r="J657" t="s">
        <v>432</v>
      </c>
      <c r="K657">
        <v>0</v>
      </c>
      <c r="L657" t="s">
        <v>428</v>
      </c>
      <c r="M657" t="s">
        <v>428</v>
      </c>
      <c r="N657">
        <v>147776</v>
      </c>
      <c r="O657">
        <f>INDEX(AllCollegeBarrons,MATCH(N657,AllCollegeNCES,0))</f>
        <v>0</v>
      </c>
      <c r="P657">
        <f>INDEX(KidGPAs,MATCH(B657,KidIDs,0))</f>
        <v>0</v>
      </c>
      <c r="Q657">
        <f>INDEX(KidACTs,MATCH(B657,KidIDs,0))</f>
        <v>0</v>
      </c>
      <c r="R657">
        <f>INDEX(Strats,MATCH(B657,KidIDs,0))</f>
        <v>0</v>
      </c>
      <c r="S657">
        <f>INDEX(KidRace,MATCH(B657,KidIDs,0))</f>
        <v>0</v>
      </c>
      <c r="T657">
        <f>IF(OR(S657="M",S657="I"),"H",S657)</f>
        <v>0</v>
      </c>
      <c r="U657">
        <f>INDEX(StudentTargets,MATCH(B657,KidIDs,0))</f>
        <v>0</v>
      </c>
      <c r="V657">
        <f>INDEX(ReachStudentTargets,MATCH(B657,KidIDs,0))</f>
        <v>0</v>
      </c>
      <c r="W657">
        <f>IF(OR(M657="Posse"),1,0)</f>
        <v>0</v>
      </c>
      <c r="X657">
        <f>IF(ISNUMBER(INDEX(AllCollegeGR, MATCH(N657,AllCollegeNCES,0))),ROUND(INDEX(AllCollegeGR, MATCH(N657,AllCollegeNCES,0))+W657*IF(INDEX(AllCollegeGR, MATCH(N657,AllCollegeNCES,0))&gt;0.7,(1-INDEX(AllCollegeGR, MATCH(N657,AllCollegeNCES,0)))/2,0.15),2),INDEX(AllCollegeGR, MATCH(N657,AllCollegeNCES,0)))</f>
        <v>0</v>
      </c>
      <c r="Y657">
        <f>IF(ISNUMBER(INDEX(AllCollegeAAHGR, MATCH(N657,AllCollegeNCES,0))),ROUND(INDEX(AllCollegeAAHGR, MATCH(N657,AllCollegeNCES,0))+W657*IF(INDEX(AllCollegeAAHGR, MATCH(N657,AllCollegeNCES,0))&gt;0.7,(1-INDEX(AllCollegeAAHGR, MATCH(N657,AllCollegeNCES,0)))/2,0.15),2),INDEX(AllCollegeAAHGR, MATCH(N657,AllCollegeNCES,0)))</f>
        <v>0</v>
      </c>
      <c r="Z657">
        <f>IF(OR(T657="H",T657="B"),INDEX(AllCollegeACT25, MATCH(N657,AllCollegeNCES,0)),INDEX(AllCollegeACT50, MATCH(N657,AllCollegeNCES,0)))</f>
        <v>0</v>
      </c>
      <c r="AA657">
        <f>INDEX(CustomWeightsGPA,MATCH(T657&amp;":"&amp;N657,CustomWeightsIndex,0))</f>
        <v>0</v>
      </c>
      <c r="AB657">
        <f>INDEX(CustomWeightsACT,MATCH(T657&amp;":"&amp;N657,CustomWeightsIndex,0))</f>
        <v>0</v>
      </c>
      <c r="AC657">
        <f>INDEX(CustomWeightsIntercept,MATCH(T657&amp;":"&amp;N657,CustomWeightsIndex,0))</f>
        <v>0</v>
      </c>
      <c r="AD657">
        <f>AA657*P657+AB657*Q657+AC657</f>
        <v>0</v>
      </c>
      <c r="AE657">
        <f>INDEX(CoefficientsGPA,MATCH(T657&amp;":"&amp;O657,CoefficientsIndex,0))</f>
        <v>0</v>
      </c>
      <c r="AF657">
        <f>INDEX(CoefficientsACT,MATCH(T657&amp;":"&amp;O657,CoefficientsIndex,0))</f>
        <v>0</v>
      </c>
      <c r="AG657">
        <f>INDEX(CoefficientsIntercept,MATCH(T657&amp;":"&amp;O657,CoefficientsIndex,0))</f>
        <v>0</v>
      </c>
      <c r="AH657">
        <f>AE657*P657+(Q657-Z657)*AF657+AG657</f>
        <v>0</v>
      </c>
      <c r="AI657">
        <f>IF(ISNUMBER(AD657),AD657,AH657)</f>
        <v>0</v>
      </c>
      <c r="AJ657">
        <f>IF(ISNUMBER(AI657),IF(ISNUMBER(AE657),IF(AND(AE657=1,AF657=1,AG657=1),100,ROUND(100*EXP(AI657)/(1+EXP(AI657)),2)),ROUND(100*EXP(AI657)/(1+EXP(AI657)),2)),IF(ISTEXT(O657),IF(LEFT(O657,1)="2",100,"N/A"),"N/A"))</f>
        <v>0</v>
      </c>
      <c r="AK657">
        <f>IF(ISNUMBER(AJ657),IF(AJ657&gt;=99,IF(OR(R657=10,R657=11),MatchLabel,SureThingLabel),IF(AJ657&gt;=95,SecureLabel,IF(AJ657&gt;=80,SafetyLabel,IF(AJ657&gt;=50,MatchLabel,IF(AJ657&gt;=20,ReachLabel,IF(AJ657&gt;=10,LongshotLabel,HailMaryLabel)))))),"Other")</f>
        <v>0</v>
      </c>
      <c r="AL657">
        <f>IF(OR(I657="accepted",I657="cond. accept",I657="summer admit"),IF(J657="yes","CHOICE!","Accepted!"),IF(I657="denied","Denied",IF(K657=1,"Waitlist",IF(L657=1,"Deferred",IF(G657="pending","Pending",IF(OR(G657="initial materials submitted",G657="mid-year submitted",G657="final submitted"),"Submitted",IF(H657="interest","Interest","?")))))))</f>
        <v>0</v>
      </c>
      <c r="AM657">
        <f>IF(OR(AK657=ReachLabel,AK657=LongshotLabel,AK657=HailMaryLabel),1,0)</f>
        <v>0</v>
      </c>
      <c r="AN657">
        <f>IF(OR(AM657=1,AK657=MatchLabel),1,0)</f>
        <v>0</v>
      </c>
      <c r="AO657">
        <f>IF(OR(AK657=MatchLabel,AK657=SafetyLabel,AK657=SecureLabel,AK657=SureThingLabel),1,0)</f>
        <v>0</v>
      </c>
      <c r="AP657">
        <f>IF(OR(T657="H",T657="B"),IF(ISNUMBER(Y657),ROUND(Y657,2),0),IF(ISNUMBER(X657),ROUND(X657,2),0))</f>
        <v>0</v>
      </c>
      <c r="AQ657">
        <f>IF(AP657&gt;=U657,1,0)</f>
        <v>0</v>
      </c>
      <c r="AR657">
        <f>IF(AP657&gt;=V657,1,0)</f>
        <v>0</v>
      </c>
      <c r="AS657">
        <f>IF(AP657&lt;(U657-0.10),1,0)</f>
        <v>0</v>
      </c>
      <c r="AT657">
        <f>1-AJ657/100</f>
        <v>0</v>
      </c>
      <c r="AU657">
        <f>IF(AN657=1,AT657,1)</f>
        <v>0</v>
      </c>
      <c r="AV657">
        <f>IF(AM657=1,AT657,1)</f>
        <v>0</v>
      </c>
      <c r="AW657">
        <f>IF(AND(AQ657=1,ISNUMBER(AT657)),$AT657,1)</f>
        <v>0</v>
      </c>
      <c r="AX657">
        <f>IF(AND(AR657=1,ISNUMBER(AT657)),$AT657,1)</f>
        <v>0</v>
      </c>
      <c r="AY657">
        <f>IF(ISNUMBER(Y657),INDEX(AllCollegeMoney, MATCH(N657,AllCollegeNCES,0)),0)</f>
        <v>0</v>
      </c>
      <c r="AZ657">
        <f>IF(AND(AQ657=1,ISNUMBER(AT657),AY657=1),$AT657,1)</f>
        <v>0</v>
      </c>
      <c r="BA657">
        <f>IF(AND(AR657=1,ISNUMBER(AT657),AY657=1),$AT657,1)</f>
        <v>0</v>
      </c>
      <c r="BB657">
        <f>IF(ISNUMBER(Y657),INDEX(AllCollegeILPub, MATCH(N657,AllCollegeNCES,0)),0)</f>
        <v>0</v>
      </c>
      <c r="BC657">
        <f>IF(AK657=ReachLabel,AP657,0)</f>
        <v>0</v>
      </c>
      <c r="BD657">
        <f>IF(AK657=MatchLabel,AP657,0)</f>
        <v>0</v>
      </c>
      <c r="BE657">
        <f>IF(AK657=SafetyLabel,AP657,0)</f>
        <v>0</v>
      </c>
      <c r="BF657">
        <f>IF(AK657=SecureLabel,AP657,0)</f>
        <v>0</v>
      </c>
      <c r="BG657">
        <f>IF(AK657=SureThingLabel,AP657,0)</f>
        <v>0</v>
      </c>
      <c r="BH657">
        <f>MAX(BC657:BG657)</f>
        <v>0</v>
      </c>
      <c r="BI657">
        <f>MAX(BD657:BG657)</f>
        <v>0</v>
      </c>
      <c r="BJ657">
        <f>MAX(BE657:BG657)</f>
        <v>0</v>
      </c>
      <c r="BK657">
        <f>IF(AND(AK657=ReachLabel,AY657=1),AP657,0)</f>
        <v>0</v>
      </c>
      <c r="BL657">
        <f>IF(AND(AK657=MatchLabel,AY657=1),AP657,0)</f>
        <v>0</v>
      </c>
      <c r="BM657">
        <f>IF(AND(AK657=SafetyLabel,AY657=1),AP657,0)</f>
        <v>0</v>
      </c>
      <c r="BN657">
        <f>IF(AND(AK657=SecureLabel,AY657=1),AP657,0)</f>
        <v>0</v>
      </c>
      <c r="BO657">
        <f>IF(AND(AK657=SureThingLabel,AY657=1),AP657,0)</f>
        <v>0</v>
      </c>
      <c r="BP657">
        <f>MAX(BK657:BO657)</f>
        <v>0</v>
      </c>
      <c r="BQ657">
        <f>MAX(BL657:BO657)</f>
        <v>0</v>
      </c>
      <c r="BR657">
        <f>MAX(BM657:BO657)</f>
        <v>0</v>
      </c>
      <c r="BS657">
        <f>IF(ISNUMBER(Y657),INDEX(AllCollegeChicago, MATCH(N657,AllCollegeNCES,0))*AY657,0)</f>
        <v>0</v>
      </c>
      <c r="BT657">
        <f>IF(ISNUMBER(Y657),INDEX(AllCollegeMoneyCode, MATCH(N657,AllCollegeNCES,0)),"?")</f>
        <v>0</v>
      </c>
      <c r="BU657">
        <f>IF(OR(BT657="---",BT657="--",BT657="+/--",BT657="+/---"),1,0)</f>
        <v>0</v>
      </c>
      <c r="BV657">
        <f>AY657*AO657*AQ657</f>
        <v>0</v>
      </c>
    </row>
    <row r="658" spans="1:74">
      <c r="A658" t="s">
        <v>86</v>
      </c>
      <c r="B658">
        <v>24512354</v>
      </c>
      <c r="C658" t="s">
        <v>118</v>
      </c>
      <c r="D658" t="s">
        <v>119</v>
      </c>
      <c r="E658" t="s">
        <v>428</v>
      </c>
      <c r="F658" t="s">
        <v>457</v>
      </c>
      <c r="G658" t="s">
        <v>463</v>
      </c>
      <c r="H658" t="s">
        <v>431</v>
      </c>
      <c r="I658" t="s">
        <v>432</v>
      </c>
      <c r="J658" t="s">
        <v>432</v>
      </c>
      <c r="K658">
        <v>0</v>
      </c>
      <c r="L658" t="s">
        <v>428</v>
      </c>
      <c r="M658" t="s">
        <v>428</v>
      </c>
      <c r="N658">
        <v>145637</v>
      </c>
      <c r="O658">
        <f>INDEX(AllCollegeBarrons,MATCH(N658,AllCollegeNCES,0))</f>
        <v>0</v>
      </c>
      <c r="P658">
        <f>INDEX(KidGPAs,MATCH(B658,KidIDs,0))</f>
        <v>0</v>
      </c>
      <c r="Q658">
        <f>INDEX(KidACTs,MATCH(B658,KidIDs,0))</f>
        <v>0</v>
      </c>
      <c r="R658">
        <f>INDEX(Strats,MATCH(B658,KidIDs,0))</f>
        <v>0</v>
      </c>
      <c r="S658">
        <f>INDEX(KidRace,MATCH(B658,KidIDs,0))</f>
        <v>0</v>
      </c>
      <c r="T658">
        <f>IF(OR(S658="M",S658="I"),"H",S658)</f>
        <v>0</v>
      </c>
      <c r="U658">
        <f>INDEX(StudentTargets,MATCH(B658,KidIDs,0))</f>
        <v>0</v>
      </c>
      <c r="V658">
        <f>INDEX(ReachStudentTargets,MATCH(B658,KidIDs,0))</f>
        <v>0</v>
      </c>
      <c r="W658">
        <f>IF(OR(M658="Posse"),1,0)</f>
        <v>0</v>
      </c>
      <c r="X658">
        <f>IF(ISNUMBER(INDEX(AllCollegeGR, MATCH(N658,AllCollegeNCES,0))),ROUND(INDEX(AllCollegeGR, MATCH(N658,AllCollegeNCES,0))+W658*IF(INDEX(AllCollegeGR, MATCH(N658,AllCollegeNCES,0))&gt;0.7,(1-INDEX(AllCollegeGR, MATCH(N658,AllCollegeNCES,0)))/2,0.15),2),INDEX(AllCollegeGR, MATCH(N658,AllCollegeNCES,0)))</f>
        <v>0</v>
      </c>
      <c r="Y658">
        <f>IF(ISNUMBER(INDEX(AllCollegeAAHGR, MATCH(N658,AllCollegeNCES,0))),ROUND(INDEX(AllCollegeAAHGR, MATCH(N658,AllCollegeNCES,0))+W658*IF(INDEX(AllCollegeAAHGR, MATCH(N658,AllCollegeNCES,0))&gt;0.7,(1-INDEX(AllCollegeAAHGR, MATCH(N658,AllCollegeNCES,0)))/2,0.15),2),INDEX(AllCollegeAAHGR, MATCH(N658,AllCollegeNCES,0)))</f>
        <v>0</v>
      </c>
      <c r="Z658">
        <f>IF(OR(T658="H",T658="B"),INDEX(AllCollegeACT25, MATCH(N658,AllCollegeNCES,0)),INDEX(AllCollegeACT50, MATCH(N658,AllCollegeNCES,0)))</f>
        <v>0</v>
      </c>
      <c r="AA658">
        <f>INDEX(CustomWeightsGPA,MATCH(T658&amp;":"&amp;N658,CustomWeightsIndex,0))</f>
        <v>0</v>
      </c>
      <c r="AB658">
        <f>INDEX(CustomWeightsACT,MATCH(T658&amp;":"&amp;N658,CustomWeightsIndex,0))</f>
        <v>0</v>
      </c>
      <c r="AC658">
        <f>INDEX(CustomWeightsIntercept,MATCH(T658&amp;":"&amp;N658,CustomWeightsIndex,0))</f>
        <v>0</v>
      </c>
      <c r="AD658">
        <f>AA658*P658+AB658*Q658+AC658</f>
        <v>0</v>
      </c>
      <c r="AE658">
        <f>INDEX(CoefficientsGPA,MATCH(T658&amp;":"&amp;O658,CoefficientsIndex,0))</f>
        <v>0</v>
      </c>
      <c r="AF658">
        <f>INDEX(CoefficientsACT,MATCH(T658&amp;":"&amp;O658,CoefficientsIndex,0))</f>
        <v>0</v>
      </c>
      <c r="AG658">
        <f>INDEX(CoefficientsIntercept,MATCH(T658&amp;":"&amp;O658,CoefficientsIndex,0))</f>
        <v>0</v>
      </c>
      <c r="AH658">
        <f>AE658*P658+(Q658-Z658)*AF658+AG658</f>
        <v>0</v>
      </c>
      <c r="AI658">
        <f>IF(ISNUMBER(AD658),AD658,AH658)</f>
        <v>0</v>
      </c>
      <c r="AJ658">
        <f>IF(ISNUMBER(AI658),IF(ISNUMBER(AE658),IF(AND(AE658=1,AF658=1,AG658=1),100,ROUND(100*EXP(AI658)/(1+EXP(AI658)),2)),ROUND(100*EXP(AI658)/(1+EXP(AI658)),2)),IF(ISTEXT(O658),IF(LEFT(O658,1)="2",100,"N/A"),"N/A"))</f>
        <v>0</v>
      </c>
      <c r="AK658">
        <f>IF(ISNUMBER(AJ658),IF(AJ658&gt;=99,IF(OR(R658=10,R658=11),MatchLabel,SureThingLabel),IF(AJ658&gt;=95,SecureLabel,IF(AJ658&gt;=80,SafetyLabel,IF(AJ658&gt;=50,MatchLabel,IF(AJ658&gt;=20,ReachLabel,IF(AJ658&gt;=10,LongshotLabel,HailMaryLabel)))))),"Other")</f>
        <v>0</v>
      </c>
      <c r="AL658">
        <f>IF(OR(I658="accepted",I658="cond. accept",I658="summer admit"),IF(J658="yes","CHOICE!","Accepted!"),IF(I658="denied","Denied",IF(K658=1,"Waitlist",IF(L658=1,"Deferred",IF(G658="pending","Pending",IF(OR(G658="initial materials submitted",G658="mid-year submitted",G658="final submitted"),"Submitted",IF(H658="interest","Interest","?")))))))</f>
        <v>0</v>
      </c>
      <c r="AM658">
        <f>IF(OR(AK658=ReachLabel,AK658=LongshotLabel,AK658=HailMaryLabel),1,0)</f>
        <v>0</v>
      </c>
      <c r="AN658">
        <f>IF(OR(AM658=1,AK658=MatchLabel),1,0)</f>
        <v>0</v>
      </c>
      <c r="AO658">
        <f>IF(OR(AK658=MatchLabel,AK658=SafetyLabel,AK658=SecureLabel,AK658=SureThingLabel),1,0)</f>
        <v>0</v>
      </c>
      <c r="AP658">
        <f>IF(OR(T658="H",T658="B"),IF(ISNUMBER(Y658),ROUND(Y658,2),0),IF(ISNUMBER(X658),ROUND(X658,2),0))</f>
        <v>0</v>
      </c>
      <c r="AQ658">
        <f>IF(AP658&gt;=U658,1,0)</f>
        <v>0</v>
      </c>
      <c r="AR658">
        <f>IF(AP658&gt;=V658,1,0)</f>
        <v>0</v>
      </c>
      <c r="AS658">
        <f>IF(AP658&lt;(U658-0.10),1,0)</f>
        <v>0</v>
      </c>
      <c r="AT658">
        <f>1-AJ658/100</f>
        <v>0</v>
      </c>
      <c r="AU658">
        <f>IF(AN658=1,AT658,1)</f>
        <v>0</v>
      </c>
      <c r="AV658">
        <f>IF(AM658=1,AT658,1)</f>
        <v>0</v>
      </c>
      <c r="AW658">
        <f>IF(AND(AQ658=1,ISNUMBER(AT658)),$AT658,1)</f>
        <v>0</v>
      </c>
      <c r="AX658">
        <f>IF(AND(AR658=1,ISNUMBER(AT658)),$AT658,1)</f>
        <v>0</v>
      </c>
      <c r="AY658">
        <f>IF(ISNUMBER(Y658),INDEX(AllCollegeMoney, MATCH(N658,AllCollegeNCES,0)),0)</f>
        <v>0</v>
      </c>
      <c r="AZ658">
        <f>IF(AND(AQ658=1,ISNUMBER(AT658),AY658=1),$AT658,1)</f>
        <v>0</v>
      </c>
      <c r="BA658">
        <f>IF(AND(AR658=1,ISNUMBER(AT658),AY658=1),$AT658,1)</f>
        <v>0</v>
      </c>
      <c r="BB658">
        <f>IF(ISNUMBER(Y658),INDEX(AllCollegeILPub, MATCH(N658,AllCollegeNCES,0)),0)</f>
        <v>0</v>
      </c>
      <c r="BC658">
        <f>IF(AK658=ReachLabel,AP658,0)</f>
        <v>0</v>
      </c>
      <c r="BD658">
        <f>IF(AK658=MatchLabel,AP658,0)</f>
        <v>0</v>
      </c>
      <c r="BE658">
        <f>IF(AK658=SafetyLabel,AP658,0)</f>
        <v>0</v>
      </c>
      <c r="BF658">
        <f>IF(AK658=SecureLabel,AP658,0)</f>
        <v>0</v>
      </c>
      <c r="BG658">
        <f>IF(AK658=SureThingLabel,AP658,0)</f>
        <v>0</v>
      </c>
      <c r="BH658">
        <f>MAX(BC658:BG658)</f>
        <v>0</v>
      </c>
      <c r="BI658">
        <f>MAX(BD658:BG658)</f>
        <v>0</v>
      </c>
      <c r="BJ658">
        <f>MAX(BE658:BG658)</f>
        <v>0</v>
      </c>
      <c r="BK658">
        <f>IF(AND(AK658=ReachLabel,AY658=1),AP658,0)</f>
        <v>0</v>
      </c>
      <c r="BL658">
        <f>IF(AND(AK658=MatchLabel,AY658=1),AP658,0)</f>
        <v>0</v>
      </c>
      <c r="BM658">
        <f>IF(AND(AK658=SafetyLabel,AY658=1),AP658,0)</f>
        <v>0</v>
      </c>
      <c r="BN658">
        <f>IF(AND(AK658=SecureLabel,AY658=1),AP658,0)</f>
        <v>0</v>
      </c>
      <c r="BO658">
        <f>IF(AND(AK658=SureThingLabel,AY658=1),AP658,0)</f>
        <v>0</v>
      </c>
      <c r="BP658">
        <f>MAX(BK658:BO658)</f>
        <v>0</v>
      </c>
      <c r="BQ658">
        <f>MAX(BL658:BO658)</f>
        <v>0</v>
      </c>
      <c r="BR658">
        <f>MAX(BM658:BO658)</f>
        <v>0</v>
      </c>
      <c r="BS658">
        <f>IF(ISNUMBER(Y658),INDEX(AllCollegeChicago, MATCH(N658,AllCollegeNCES,0))*AY658,0)</f>
        <v>0</v>
      </c>
      <c r="BT658">
        <f>IF(ISNUMBER(Y658),INDEX(AllCollegeMoneyCode, MATCH(N658,AllCollegeNCES,0)),"?")</f>
        <v>0</v>
      </c>
      <c r="BU658">
        <f>IF(OR(BT658="---",BT658="--",BT658="+/--",BT658="+/---"),1,0)</f>
        <v>0</v>
      </c>
      <c r="BV658">
        <f>AY658*AO658*AQ658</f>
        <v>0</v>
      </c>
    </row>
    <row r="659" spans="1:74">
      <c r="A659" t="s">
        <v>86</v>
      </c>
      <c r="B659">
        <v>24512354</v>
      </c>
      <c r="C659" t="s">
        <v>118</v>
      </c>
      <c r="D659" t="s">
        <v>119</v>
      </c>
      <c r="E659" t="s">
        <v>428</v>
      </c>
      <c r="F659" t="s">
        <v>459</v>
      </c>
      <c r="G659" t="s">
        <v>430</v>
      </c>
      <c r="H659" t="s">
        <v>431</v>
      </c>
      <c r="I659" t="s">
        <v>432</v>
      </c>
      <c r="J659" t="s">
        <v>432</v>
      </c>
      <c r="K659">
        <v>0</v>
      </c>
      <c r="L659" t="s">
        <v>428</v>
      </c>
      <c r="M659" t="s">
        <v>428</v>
      </c>
      <c r="N659">
        <v>146427</v>
      </c>
      <c r="O659">
        <f>INDEX(AllCollegeBarrons,MATCH(N659,AllCollegeNCES,0))</f>
        <v>0</v>
      </c>
      <c r="P659">
        <f>INDEX(KidGPAs,MATCH(B659,KidIDs,0))</f>
        <v>0</v>
      </c>
      <c r="Q659">
        <f>INDEX(KidACTs,MATCH(B659,KidIDs,0))</f>
        <v>0</v>
      </c>
      <c r="R659">
        <f>INDEX(Strats,MATCH(B659,KidIDs,0))</f>
        <v>0</v>
      </c>
      <c r="S659">
        <f>INDEX(KidRace,MATCH(B659,KidIDs,0))</f>
        <v>0</v>
      </c>
      <c r="T659">
        <f>IF(OR(S659="M",S659="I"),"H",S659)</f>
        <v>0</v>
      </c>
      <c r="U659">
        <f>INDEX(StudentTargets,MATCH(B659,KidIDs,0))</f>
        <v>0</v>
      </c>
      <c r="V659">
        <f>INDEX(ReachStudentTargets,MATCH(B659,KidIDs,0))</f>
        <v>0</v>
      </c>
      <c r="W659">
        <f>IF(OR(M659="Posse"),1,0)</f>
        <v>0</v>
      </c>
      <c r="X659">
        <f>IF(ISNUMBER(INDEX(AllCollegeGR, MATCH(N659,AllCollegeNCES,0))),ROUND(INDEX(AllCollegeGR, MATCH(N659,AllCollegeNCES,0))+W659*IF(INDEX(AllCollegeGR, MATCH(N659,AllCollegeNCES,0))&gt;0.7,(1-INDEX(AllCollegeGR, MATCH(N659,AllCollegeNCES,0)))/2,0.15),2),INDEX(AllCollegeGR, MATCH(N659,AllCollegeNCES,0)))</f>
        <v>0</v>
      </c>
      <c r="Y659">
        <f>IF(ISNUMBER(INDEX(AllCollegeAAHGR, MATCH(N659,AllCollegeNCES,0))),ROUND(INDEX(AllCollegeAAHGR, MATCH(N659,AllCollegeNCES,0))+W659*IF(INDEX(AllCollegeAAHGR, MATCH(N659,AllCollegeNCES,0))&gt;0.7,(1-INDEX(AllCollegeAAHGR, MATCH(N659,AllCollegeNCES,0)))/2,0.15),2),INDEX(AllCollegeAAHGR, MATCH(N659,AllCollegeNCES,0)))</f>
        <v>0</v>
      </c>
      <c r="Z659">
        <f>IF(OR(T659="H",T659="B"),INDEX(AllCollegeACT25, MATCH(N659,AllCollegeNCES,0)),INDEX(AllCollegeACT50, MATCH(N659,AllCollegeNCES,0)))</f>
        <v>0</v>
      </c>
      <c r="AA659">
        <f>INDEX(CustomWeightsGPA,MATCH(T659&amp;":"&amp;N659,CustomWeightsIndex,0))</f>
        <v>0</v>
      </c>
      <c r="AB659">
        <f>INDEX(CustomWeightsACT,MATCH(T659&amp;":"&amp;N659,CustomWeightsIndex,0))</f>
        <v>0</v>
      </c>
      <c r="AC659">
        <f>INDEX(CustomWeightsIntercept,MATCH(T659&amp;":"&amp;N659,CustomWeightsIndex,0))</f>
        <v>0</v>
      </c>
      <c r="AD659">
        <f>AA659*P659+AB659*Q659+AC659</f>
        <v>0</v>
      </c>
      <c r="AE659">
        <f>INDEX(CoefficientsGPA,MATCH(T659&amp;":"&amp;O659,CoefficientsIndex,0))</f>
        <v>0</v>
      </c>
      <c r="AF659">
        <f>INDEX(CoefficientsACT,MATCH(T659&amp;":"&amp;O659,CoefficientsIndex,0))</f>
        <v>0</v>
      </c>
      <c r="AG659">
        <f>INDEX(CoefficientsIntercept,MATCH(T659&amp;":"&amp;O659,CoefficientsIndex,0))</f>
        <v>0</v>
      </c>
      <c r="AH659">
        <f>AE659*P659+(Q659-Z659)*AF659+AG659</f>
        <v>0</v>
      </c>
      <c r="AI659">
        <f>IF(ISNUMBER(AD659),AD659,AH659)</f>
        <v>0</v>
      </c>
      <c r="AJ659">
        <f>IF(ISNUMBER(AI659),IF(ISNUMBER(AE659),IF(AND(AE659=1,AF659=1,AG659=1),100,ROUND(100*EXP(AI659)/(1+EXP(AI659)),2)),ROUND(100*EXP(AI659)/(1+EXP(AI659)),2)),IF(ISTEXT(O659),IF(LEFT(O659,1)="2",100,"N/A"),"N/A"))</f>
        <v>0</v>
      </c>
      <c r="AK659">
        <f>IF(ISNUMBER(AJ659),IF(AJ659&gt;=99,IF(OR(R659=10,R659=11),MatchLabel,SureThingLabel),IF(AJ659&gt;=95,SecureLabel,IF(AJ659&gt;=80,SafetyLabel,IF(AJ659&gt;=50,MatchLabel,IF(AJ659&gt;=20,ReachLabel,IF(AJ659&gt;=10,LongshotLabel,HailMaryLabel)))))),"Other")</f>
        <v>0</v>
      </c>
      <c r="AL659">
        <f>IF(OR(I659="accepted",I659="cond. accept",I659="summer admit"),IF(J659="yes","CHOICE!","Accepted!"),IF(I659="denied","Denied",IF(K659=1,"Waitlist",IF(L659=1,"Deferred",IF(G659="pending","Pending",IF(OR(G659="initial materials submitted",G659="mid-year submitted",G659="final submitted"),"Submitted",IF(H659="interest","Interest","?")))))))</f>
        <v>0</v>
      </c>
      <c r="AM659">
        <f>IF(OR(AK659=ReachLabel,AK659=LongshotLabel,AK659=HailMaryLabel),1,0)</f>
        <v>0</v>
      </c>
      <c r="AN659">
        <f>IF(OR(AM659=1,AK659=MatchLabel),1,0)</f>
        <v>0</v>
      </c>
      <c r="AO659">
        <f>IF(OR(AK659=MatchLabel,AK659=SafetyLabel,AK659=SecureLabel,AK659=SureThingLabel),1,0)</f>
        <v>0</v>
      </c>
      <c r="AP659">
        <f>IF(OR(T659="H",T659="B"),IF(ISNUMBER(Y659),ROUND(Y659,2),0),IF(ISNUMBER(X659),ROUND(X659,2),0))</f>
        <v>0</v>
      </c>
      <c r="AQ659">
        <f>IF(AP659&gt;=U659,1,0)</f>
        <v>0</v>
      </c>
      <c r="AR659">
        <f>IF(AP659&gt;=V659,1,0)</f>
        <v>0</v>
      </c>
      <c r="AS659">
        <f>IF(AP659&lt;(U659-0.10),1,0)</f>
        <v>0</v>
      </c>
      <c r="AT659">
        <f>1-AJ659/100</f>
        <v>0</v>
      </c>
      <c r="AU659">
        <f>IF(AN659=1,AT659,1)</f>
        <v>0</v>
      </c>
      <c r="AV659">
        <f>IF(AM659=1,AT659,1)</f>
        <v>0</v>
      </c>
      <c r="AW659">
        <f>IF(AND(AQ659=1,ISNUMBER(AT659)),$AT659,1)</f>
        <v>0</v>
      </c>
      <c r="AX659">
        <f>IF(AND(AR659=1,ISNUMBER(AT659)),$AT659,1)</f>
        <v>0</v>
      </c>
      <c r="AY659">
        <f>IF(ISNUMBER(Y659),INDEX(AllCollegeMoney, MATCH(N659,AllCollegeNCES,0)),0)</f>
        <v>0</v>
      </c>
      <c r="AZ659">
        <f>IF(AND(AQ659=1,ISNUMBER(AT659),AY659=1),$AT659,1)</f>
        <v>0</v>
      </c>
      <c r="BA659">
        <f>IF(AND(AR659=1,ISNUMBER(AT659),AY659=1),$AT659,1)</f>
        <v>0</v>
      </c>
      <c r="BB659">
        <f>IF(ISNUMBER(Y659),INDEX(AllCollegeILPub, MATCH(N659,AllCollegeNCES,0)),0)</f>
        <v>0</v>
      </c>
      <c r="BC659">
        <f>IF(AK659=ReachLabel,AP659,0)</f>
        <v>0</v>
      </c>
      <c r="BD659">
        <f>IF(AK659=MatchLabel,AP659,0)</f>
        <v>0</v>
      </c>
      <c r="BE659">
        <f>IF(AK659=SafetyLabel,AP659,0)</f>
        <v>0</v>
      </c>
      <c r="BF659">
        <f>IF(AK659=SecureLabel,AP659,0)</f>
        <v>0</v>
      </c>
      <c r="BG659">
        <f>IF(AK659=SureThingLabel,AP659,0)</f>
        <v>0</v>
      </c>
      <c r="BH659">
        <f>MAX(BC659:BG659)</f>
        <v>0</v>
      </c>
      <c r="BI659">
        <f>MAX(BD659:BG659)</f>
        <v>0</v>
      </c>
      <c r="BJ659">
        <f>MAX(BE659:BG659)</f>
        <v>0</v>
      </c>
      <c r="BK659">
        <f>IF(AND(AK659=ReachLabel,AY659=1),AP659,0)</f>
        <v>0</v>
      </c>
      <c r="BL659">
        <f>IF(AND(AK659=MatchLabel,AY659=1),AP659,0)</f>
        <v>0</v>
      </c>
      <c r="BM659">
        <f>IF(AND(AK659=SafetyLabel,AY659=1),AP659,0)</f>
        <v>0</v>
      </c>
      <c r="BN659">
        <f>IF(AND(AK659=SecureLabel,AY659=1),AP659,0)</f>
        <v>0</v>
      </c>
      <c r="BO659">
        <f>IF(AND(AK659=SureThingLabel,AY659=1),AP659,0)</f>
        <v>0</v>
      </c>
      <c r="BP659">
        <f>MAX(BK659:BO659)</f>
        <v>0</v>
      </c>
      <c r="BQ659">
        <f>MAX(BL659:BO659)</f>
        <v>0</v>
      </c>
      <c r="BR659">
        <f>MAX(BM659:BO659)</f>
        <v>0</v>
      </c>
      <c r="BS659">
        <f>IF(ISNUMBER(Y659),INDEX(AllCollegeChicago, MATCH(N659,AllCollegeNCES,0))*AY659,0)</f>
        <v>0</v>
      </c>
      <c r="BT659">
        <f>IF(ISNUMBER(Y659),INDEX(AllCollegeMoneyCode, MATCH(N659,AllCollegeNCES,0)),"?")</f>
        <v>0</v>
      </c>
      <c r="BU659">
        <f>IF(OR(BT659="---",BT659="--",BT659="+/--",BT659="+/---"),1,0)</f>
        <v>0</v>
      </c>
      <c r="BV659">
        <f>AY659*AO659*AQ659</f>
        <v>0</v>
      </c>
    </row>
    <row r="660" spans="1:74">
      <c r="A660" t="s">
        <v>86</v>
      </c>
      <c r="B660">
        <v>24512354</v>
      </c>
      <c r="C660" t="s">
        <v>118</v>
      </c>
      <c r="D660" t="s">
        <v>119</v>
      </c>
      <c r="E660" t="s">
        <v>428</v>
      </c>
      <c r="F660" t="s">
        <v>540</v>
      </c>
      <c r="G660" t="s">
        <v>430</v>
      </c>
      <c r="H660" t="s">
        <v>431</v>
      </c>
      <c r="I660" t="s">
        <v>432</v>
      </c>
      <c r="J660" t="s">
        <v>432</v>
      </c>
      <c r="K660">
        <v>0</v>
      </c>
      <c r="L660" t="s">
        <v>428</v>
      </c>
      <c r="M660" t="s">
        <v>428</v>
      </c>
      <c r="N660">
        <v>146481</v>
      </c>
      <c r="O660">
        <f>INDEX(AllCollegeBarrons,MATCH(N660,AllCollegeNCES,0))</f>
        <v>0</v>
      </c>
      <c r="P660">
        <f>INDEX(KidGPAs,MATCH(B660,KidIDs,0))</f>
        <v>0</v>
      </c>
      <c r="Q660">
        <f>INDEX(KidACTs,MATCH(B660,KidIDs,0))</f>
        <v>0</v>
      </c>
      <c r="R660">
        <f>INDEX(Strats,MATCH(B660,KidIDs,0))</f>
        <v>0</v>
      </c>
      <c r="S660">
        <f>INDEX(KidRace,MATCH(B660,KidIDs,0))</f>
        <v>0</v>
      </c>
      <c r="T660">
        <f>IF(OR(S660="M",S660="I"),"H",S660)</f>
        <v>0</v>
      </c>
      <c r="U660">
        <f>INDEX(StudentTargets,MATCH(B660,KidIDs,0))</f>
        <v>0</v>
      </c>
      <c r="V660">
        <f>INDEX(ReachStudentTargets,MATCH(B660,KidIDs,0))</f>
        <v>0</v>
      </c>
      <c r="W660">
        <f>IF(OR(M660="Posse"),1,0)</f>
        <v>0</v>
      </c>
      <c r="X660">
        <f>IF(ISNUMBER(INDEX(AllCollegeGR, MATCH(N660,AllCollegeNCES,0))),ROUND(INDEX(AllCollegeGR, MATCH(N660,AllCollegeNCES,0))+W660*IF(INDEX(AllCollegeGR, MATCH(N660,AllCollegeNCES,0))&gt;0.7,(1-INDEX(AllCollegeGR, MATCH(N660,AllCollegeNCES,0)))/2,0.15),2),INDEX(AllCollegeGR, MATCH(N660,AllCollegeNCES,0)))</f>
        <v>0</v>
      </c>
      <c r="Y660">
        <f>IF(ISNUMBER(INDEX(AllCollegeAAHGR, MATCH(N660,AllCollegeNCES,0))),ROUND(INDEX(AllCollegeAAHGR, MATCH(N660,AllCollegeNCES,0))+W660*IF(INDEX(AllCollegeAAHGR, MATCH(N660,AllCollegeNCES,0))&gt;0.7,(1-INDEX(AllCollegeAAHGR, MATCH(N660,AllCollegeNCES,0)))/2,0.15),2),INDEX(AllCollegeAAHGR, MATCH(N660,AllCollegeNCES,0)))</f>
        <v>0</v>
      </c>
      <c r="Z660">
        <f>IF(OR(T660="H",T660="B"),INDEX(AllCollegeACT25, MATCH(N660,AllCollegeNCES,0)),INDEX(AllCollegeACT50, MATCH(N660,AllCollegeNCES,0)))</f>
        <v>0</v>
      </c>
      <c r="AA660">
        <f>INDEX(CustomWeightsGPA,MATCH(T660&amp;":"&amp;N660,CustomWeightsIndex,0))</f>
        <v>0</v>
      </c>
      <c r="AB660">
        <f>INDEX(CustomWeightsACT,MATCH(T660&amp;":"&amp;N660,CustomWeightsIndex,0))</f>
        <v>0</v>
      </c>
      <c r="AC660">
        <f>INDEX(CustomWeightsIntercept,MATCH(T660&amp;":"&amp;N660,CustomWeightsIndex,0))</f>
        <v>0</v>
      </c>
      <c r="AD660">
        <f>AA660*P660+AB660*Q660+AC660</f>
        <v>0</v>
      </c>
      <c r="AE660">
        <f>INDEX(CoefficientsGPA,MATCH(T660&amp;":"&amp;O660,CoefficientsIndex,0))</f>
        <v>0</v>
      </c>
      <c r="AF660">
        <f>INDEX(CoefficientsACT,MATCH(T660&amp;":"&amp;O660,CoefficientsIndex,0))</f>
        <v>0</v>
      </c>
      <c r="AG660">
        <f>INDEX(CoefficientsIntercept,MATCH(T660&amp;":"&amp;O660,CoefficientsIndex,0))</f>
        <v>0</v>
      </c>
      <c r="AH660">
        <f>AE660*P660+(Q660-Z660)*AF660+AG660</f>
        <v>0</v>
      </c>
      <c r="AI660">
        <f>IF(ISNUMBER(AD660),AD660,AH660)</f>
        <v>0</v>
      </c>
      <c r="AJ660">
        <f>IF(ISNUMBER(AI660),IF(ISNUMBER(AE660),IF(AND(AE660=1,AF660=1,AG660=1),100,ROUND(100*EXP(AI660)/(1+EXP(AI660)),2)),ROUND(100*EXP(AI660)/(1+EXP(AI660)),2)),IF(ISTEXT(O660),IF(LEFT(O660,1)="2",100,"N/A"),"N/A"))</f>
        <v>0</v>
      </c>
      <c r="AK660">
        <f>IF(ISNUMBER(AJ660),IF(AJ660&gt;=99,IF(OR(R660=10,R660=11),MatchLabel,SureThingLabel),IF(AJ660&gt;=95,SecureLabel,IF(AJ660&gt;=80,SafetyLabel,IF(AJ660&gt;=50,MatchLabel,IF(AJ660&gt;=20,ReachLabel,IF(AJ660&gt;=10,LongshotLabel,HailMaryLabel)))))),"Other")</f>
        <v>0</v>
      </c>
      <c r="AL660">
        <f>IF(OR(I660="accepted",I660="cond. accept",I660="summer admit"),IF(J660="yes","CHOICE!","Accepted!"),IF(I660="denied","Denied",IF(K660=1,"Waitlist",IF(L660=1,"Deferred",IF(G660="pending","Pending",IF(OR(G660="initial materials submitted",G660="mid-year submitted",G660="final submitted"),"Submitted",IF(H660="interest","Interest","?")))))))</f>
        <v>0</v>
      </c>
      <c r="AM660">
        <f>IF(OR(AK660=ReachLabel,AK660=LongshotLabel,AK660=HailMaryLabel),1,0)</f>
        <v>0</v>
      </c>
      <c r="AN660">
        <f>IF(OR(AM660=1,AK660=MatchLabel),1,0)</f>
        <v>0</v>
      </c>
      <c r="AO660">
        <f>IF(OR(AK660=MatchLabel,AK660=SafetyLabel,AK660=SecureLabel,AK660=SureThingLabel),1,0)</f>
        <v>0</v>
      </c>
      <c r="AP660">
        <f>IF(OR(T660="H",T660="B"),IF(ISNUMBER(Y660),ROUND(Y660,2),0),IF(ISNUMBER(X660),ROUND(X660,2),0))</f>
        <v>0</v>
      </c>
      <c r="AQ660">
        <f>IF(AP660&gt;=U660,1,0)</f>
        <v>0</v>
      </c>
      <c r="AR660">
        <f>IF(AP660&gt;=V660,1,0)</f>
        <v>0</v>
      </c>
      <c r="AS660">
        <f>IF(AP660&lt;(U660-0.10),1,0)</f>
        <v>0</v>
      </c>
      <c r="AT660">
        <f>1-AJ660/100</f>
        <v>0</v>
      </c>
      <c r="AU660">
        <f>IF(AN660=1,AT660,1)</f>
        <v>0</v>
      </c>
      <c r="AV660">
        <f>IF(AM660=1,AT660,1)</f>
        <v>0</v>
      </c>
      <c r="AW660">
        <f>IF(AND(AQ660=1,ISNUMBER(AT660)),$AT660,1)</f>
        <v>0</v>
      </c>
      <c r="AX660">
        <f>IF(AND(AR660=1,ISNUMBER(AT660)),$AT660,1)</f>
        <v>0</v>
      </c>
      <c r="AY660">
        <f>IF(ISNUMBER(Y660),INDEX(AllCollegeMoney, MATCH(N660,AllCollegeNCES,0)),0)</f>
        <v>0</v>
      </c>
      <c r="AZ660">
        <f>IF(AND(AQ660=1,ISNUMBER(AT660),AY660=1),$AT660,1)</f>
        <v>0</v>
      </c>
      <c r="BA660">
        <f>IF(AND(AR660=1,ISNUMBER(AT660),AY660=1),$AT660,1)</f>
        <v>0</v>
      </c>
      <c r="BB660">
        <f>IF(ISNUMBER(Y660),INDEX(AllCollegeILPub, MATCH(N660,AllCollegeNCES,0)),0)</f>
        <v>0</v>
      </c>
      <c r="BC660">
        <f>IF(AK660=ReachLabel,AP660,0)</f>
        <v>0</v>
      </c>
      <c r="BD660">
        <f>IF(AK660=MatchLabel,AP660,0)</f>
        <v>0</v>
      </c>
      <c r="BE660">
        <f>IF(AK660=SafetyLabel,AP660,0)</f>
        <v>0</v>
      </c>
      <c r="BF660">
        <f>IF(AK660=SecureLabel,AP660,0)</f>
        <v>0</v>
      </c>
      <c r="BG660">
        <f>IF(AK660=SureThingLabel,AP660,0)</f>
        <v>0</v>
      </c>
      <c r="BH660">
        <f>MAX(BC660:BG660)</f>
        <v>0</v>
      </c>
      <c r="BI660">
        <f>MAX(BD660:BG660)</f>
        <v>0</v>
      </c>
      <c r="BJ660">
        <f>MAX(BE660:BG660)</f>
        <v>0</v>
      </c>
      <c r="BK660">
        <f>IF(AND(AK660=ReachLabel,AY660=1),AP660,0)</f>
        <v>0</v>
      </c>
      <c r="BL660">
        <f>IF(AND(AK660=MatchLabel,AY660=1),AP660,0)</f>
        <v>0</v>
      </c>
      <c r="BM660">
        <f>IF(AND(AK660=SafetyLabel,AY660=1),AP660,0)</f>
        <v>0</v>
      </c>
      <c r="BN660">
        <f>IF(AND(AK660=SecureLabel,AY660=1),AP660,0)</f>
        <v>0</v>
      </c>
      <c r="BO660">
        <f>IF(AND(AK660=SureThingLabel,AY660=1),AP660,0)</f>
        <v>0</v>
      </c>
      <c r="BP660">
        <f>MAX(BK660:BO660)</f>
        <v>0</v>
      </c>
      <c r="BQ660">
        <f>MAX(BL660:BO660)</f>
        <v>0</v>
      </c>
      <c r="BR660">
        <f>MAX(BM660:BO660)</f>
        <v>0</v>
      </c>
      <c r="BS660">
        <f>IF(ISNUMBER(Y660),INDEX(AllCollegeChicago, MATCH(N660,AllCollegeNCES,0))*AY660,0)</f>
        <v>0</v>
      </c>
      <c r="BT660">
        <f>IF(ISNUMBER(Y660),INDEX(AllCollegeMoneyCode, MATCH(N660,AllCollegeNCES,0)),"?")</f>
        <v>0</v>
      </c>
      <c r="BU660">
        <f>IF(OR(BT660="---",BT660="--",BT660="+/--",BT660="+/---"),1,0)</f>
        <v>0</v>
      </c>
      <c r="BV660">
        <f>AY660*AO660*AQ660</f>
        <v>0</v>
      </c>
    </row>
    <row r="661" spans="1:74">
      <c r="A661" t="s">
        <v>86</v>
      </c>
      <c r="B661">
        <v>24512354</v>
      </c>
      <c r="C661" t="s">
        <v>118</v>
      </c>
      <c r="D661" t="s">
        <v>119</v>
      </c>
      <c r="E661" t="s">
        <v>428</v>
      </c>
      <c r="F661" t="s">
        <v>484</v>
      </c>
      <c r="G661" t="s">
        <v>430</v>
      </c>
      <c r="H661" t="s">
        <v>431</v>
      </c>
      <c r="I661" t="s">
        <v>432</v>
      </c>
      <c r="J661" t="s">
        <v>432</v>
      </c>
      <c r="K661">
        <v>0</v>
      </c>
      <c r="L661" t="s">
        <v>428</v>
      </c>
      <c r="M661" t="s">
        <v>428</v>
      </c>
      <c r="N661">
        <v>144740</v>
      </c>
      <c r="O661">
        <f>INDEX(AllCollegeBarrons,MATCH(N661,AllCollegeNCES,0))</f>
        <v>0</v>
      </c>
      <c r="P661">
        <f>INDEX(KidGPAs,MATCH(B661,KidIDs,0))</f>
        <v>0</v>
      </c>
      <c r="Q661">
        <f>INDEX(KidACTs,MATCH(B661,KidIDs,0))</f>
        <v>0</v>
      </c>
      <c r="R661">
        <f>INDEX(Strats,MATCH(B661,KidIDs,0))</f>
        <v>0</v>
      </c>
      <c r="S661">
        <f>INDEX(KidRace,MATCH(B661,KidIDs,0))</f>
        <v>0</v>
      </c>
      <c r="T661">
        <f>IF(OR(S661="M",S661="I"),"H",S661)</f>
        <v>0</v>
      </c>
      <c r="U661">
        <f>INDEX(StudentTargets,MATCH(B661,KidIDs,0))</f>
        <v>0</v>
      </c>
      <c r="V661">
        <f>INDEX(ReachStudentTargets,MATCH(B661,KidIDs,0))</f>
        <v>0</v>
      </c>
      <c r="W661">
        <f>IF(OR(M661="Posse"),1,0)</f>
        <v>0</v>
      </c>
      <c r="X661">
        <f>IF(ISNUMBER(INDEX(AllCollegeGR, MATCH(N661,AllCollegeNCES,0))),ROUND(INDEX(AllCollegeGR, MATCH(N661,AllCollegeNCES,0))+W661*IF(INDEX(AllCollegeGR, MATCH(N661,AllCollegeNCES,0))&gt;0.7,(1-INDEX(AllCollegeGR, MATCH(N661,AllCollegeNCES,0)))/2,0.15),2),INDEX(AllCollegeGR, MATCH(N661,AllCollegeNCES,0)))</f>
        <v>0</v>
      </c>
      <c r="Y661">
        <f>IF(ISNUMBER(INDEX(AllCollegeAAHGR, MATCH(N661,AllCollegeNCES,0))),ROUND(INDEX(AllCollegeAAHGR, MATCH(N661,AllCollegeNCES,0))+W661*IF(INDEX(AllCollegeAAHGR, MATCH(N661,AllCollegeNCES,0))&gt;0.7,(1-INDEX(AllCollegeAAHGR, MATCH(N661,AllCollegeNCES,0)))/2,0.15),2),INDEX(AllCollegeAAHGR, MATCH(N661,AllCollegeNCES,0)))</f>
        <v>0</v>
      </c>
      <c r="Z661">
        <f>IF(OR(T661="H",T661="B"),INDEX(AllCollegeACT25, MATCH(N661,AllCollegeNCES,0)),INDEX(AllCollegeACT50, MATCH(N661,AllCollegeNCES,0)))</f>
        <v>0</v>
      </c>
      <c r="AA661">
        <f>INDEX(CustomWeightsGPA,MATCH(T661&amp;":"&amp;N661,CustomWeightsIndex,0))</f>
        <v>0</v>
      </c>
      <c r="AB661">
        <f>INDEX(CustomWeightsACT,MATCH(T661&amp;":"&amp;N661,CustomWeightsIndex,0))</f>
        <v>0</v>
      </c>
      <c r="AC661">
        <f>INDEX(CustomWeightsIntercept,MATCH(T661&amp;":"&amp;N661,CustomWeightsIndex,0))</f>
        <v>0</v>
      </c>
      <c r="AD661">
        <f>AA661*P661+AB661*Q661+AC661</f>
        <v>0</v>
      </c>
      <c r="AE661">
        <f>INDEX(CoefficientsGPA,MATCH(T661&amp;":"&amp;O661,CoefficientsIndex,0))</f>
        <v>0</v>
      </c>
      <c r="AF661">
        <f>INDEX(CoefficientsACT,MATCH(T661&amp;":"&amp;O661,CoefficientsIndex,0))</f>
        <v>0</v>
      </c>
      <c r="AG661">
        <f>INDEX(CoefficientsIntercept,MATCH(T661&amp;":"&amp;O661,CoefficientsIndex,0))</f>
        <v>0</v>
      </c>
      <c r="AH661">
        <f>AE661*P661+(Q661-Z661)*AF661+AG661</f>
        <v>0</v>
      </c>
      <c r="AI661">
        <f>IF(ISNUMBER(AD661),AD661,AH661)</f>
        <v>0</v>
      </c>
      <c r="AJ661">
        <f>IF(ISNUMBER(AI661),IF(ISNUMBER(AE661),IF(AND(AE661=1,AF661=1,AG661=1),100,ROUND(100*EXP(AI661)/(1+EXP(AI661)),2)),ROUND(100*EXP(AI661)/(1+EXP(AI661)),2)),IF(ISTEXT(O661),IF(LEFT(O661,1)="2",100,"N/A"),"N/A"))</f>
        <v>0</v>
      </c>
      <c r="AK661">
        <f>IF(ISNUMBER(AJ661),IF(AJ661&gt;=99,IF(OR(R661=10,R661=11),MatchLabel,SureThingLabel),IF(AJ661&gt;=95,SecureLabel,IF(AJ661&gt;=80,SafetyLabel,IF(AJ661&gt;=50,MatchLabel,IF(AJ661&gt;=20,ReachLabel,IF(AJ661&gt;=10,LongshotLabel,HailMaryLabel)))))),"Other")</f>
        <v>0</v>
      </c>
      <c r="AL661">
        <f>IF(OR(I661="accepted",I661="cond. accept",I661="summer admit"),IF(J661="yes","CHOICE!","Accepted!"),IF(I661="denied","Denied",IF(K661=1,"Waitlist",IF(L661=1,"Deferred",IF(G661="pending","Pending",IF(OR(G661="initial materials submitted",G661="mid-year submitted",G661="final submitted"),"Submitted",IF(H661="interest","Interest","?")))))))</f>
        <v>0</v>
      </c>
      <c r="AM661">
        <f>IF(OR(AK661=ReachLabel,AK661=LongshotLabel,AK661=HailMaryLabel),1,0)</f>
        <v>0</v>
      </c>
      <c r="AN661">
        <f>IF(OR(AM661=1,AK661=MatchLabel),1,0)</f>
        <v>0</v>
      </c>
      <c r="AO661">
        <f>IF(OR(AK661=MatchLabel,AK661=SafetyLabel,AK661=SecureLabel,AK661=SureThingLabel),1,0)</f>
        <v>0</v>
      </c>
      <c r="AP661">
        <f>IF(OR(T661="H",T661="B"),IF(ISNUMBER(Y661),ROUND(Y661,2),0),IF(ISNUMBER(X661),ROUND(X661,2),0))</f>
        <v>0</v>
      </c>
      <c r="AQ661">
        <f>IF(AP661&gt;=U661,1,0)</f>
        <v>0</v>
      </c>
      <c r="AR661">
        <f>IF(AP661&gt;=V661,1,0)</f>
        <v>0</v>
      </c>
      <c r="AS661">
        <f>IF(AP661&lt;(U661-0.10),1,0)</f>
        <v>0</v>
      </c>
      <c r="AT661">
        <f>1-AJ661/100</f>
        <v>0</v>
      </c>
      <c r="AU661">
        <f>IF(AN661=1,AT661,1)</f>
        <v>0</v>
      </c>
      <c r="AV661">
        <f>IF(AM661=1,AT661,1)</f>
        <v>0</v>
      </c>
      <c r="AW661">
        <f>IF(AND(AQ661=1,ISNUMBER(AT661)),$AT661,1)</f>
        <v>0</v>
      </c>
      <c r="AX661">
        <f>IF(AND(AR661=1,ISNUMBER(AT661)),$AT661,1)</f>
        <v>0</v>
      </c>
      <c r="AY661">
        <f>IF(ISNUMBER(Y661),INDEX(AllCollegeMoney, MATCH(N661,AllCollegeNCES,0)),0)</f>
        <v>0</v>
      </c>
      <c r="AZ661">
        <f>IF(AND(AQ661=1,ISNUMBER(AT661),AY661=1),$AT661,1)</f>
        <v>0</v>
      </c>
      <c r="BA661">
        <f>IF(AND(AR661=1,ISNUMBER(AT661),AY661=1),$AT661,1)</f>
        <v>0</v>
      </c>
      <c r="BB661">
        <f>IF(ISNUMBER(Y661),INDEX(AllCollegeILPub, MATCH(N661,AllCollegeNCES,0)),0)</f>
        <v>0</v>
      </c>
      <c r="BC661">
        <f>IF(AK661=ReachLabel,AP661,0)</f>
        <v>0</v>
      </c>
      <c r="BD661">
        <f>IF(AK661=MatchLabel,AP661,0)</f>
        <v>0</v>
      </c>
      <c r="BE661">
        <f>IF(AK661=SafetyLabel,AP661,0)</f>
        <v>0</v>
      </c>
      <c r="BF661">
        <f>IF(AK661=SecureLabel,AP661,0)</f>
        <v>0</v>
      </c>
      <c r="BG661">
        <f>IF(AK661=SureThingLabel,AP661,0)</f>
        <v>0</v>
      </c>
      <c r="BH661">
        <f>MAX(BC661:BG661)</f>
        <v>0</v>
      </c>
      <c r="BI661">
        <f>MAX(BD661:BG661)</f>
        <v>0</v>
      </c>
      <c r="BJ661">
        <f>MAX(BE661:BG661)</f>
        <v>0</v>
      </c>
      <c r="BK661">
        <f>IF(AND(AK661=ReachLabel,AY661=1),AP661,0)</f>
        <v>0</v>
      </c>
      <c r="BL661">
        <f>IF(AND(AK661=MatchLabel,AY661=1),AP661,0)</f>
        <v>0</v>
      </c>
      <c r="BM661">
        <f>IF(AND(AK661=SafetyLabel,AY661=1),AP661,0)</f>
        <v>0</v>
      </c>
      <c r="BN661">
        <f>IF(AND(AK661=SecureLabel,AY661=1),AP661,0)</f>
        <v>0</v>
      </c>
      <c r="BO661">
        <f>IF(AND(AK661=SureThingLabel,AY661=1),AP661,0)</f>
        <v>0</v>
      </c>
      <c r="BP661">
        <f>MAX(BK661:BO661)</f>
        <v>0</v>
      </c>
      <c r="BQ661">
        <f>MAX(BL661:BO661)</f>
        <v>0</v>
      </c>
      <c r="BR661">
        <f>MAX(BM661:BO661)</f>
        <v>0</v>
      </c>
      <c r="BS661">
        <f>IF(ISNUMBER(Y661),INDEX(AllCollegeChicago, MATCH(N661,AllCollegeNCES,0))*AY661,0)</f>
        <v>0</v>
      </c>
      <c r="BT661">
        <f>IF(ISNUMBER(Y661),INDEX(AllCollegeMoneyCode, MATCH(N661,AllCollegeNCES,0)),"?")</f>
        <v>0</v>
      </c>
      <c r="BU661">
        <f>IF(OR(BT661="---",BT661="--",BT661="+/--",BT661="+/---"),1,0)</f>
        <v>0</v>
      </c>
      <c r="BV661">
        <f>AY661*AO661*AQ661</f>
        <v>0</v>
      </c>
    </row>
    <row r="662" spans="1:74">
      <c r="A662" t="s">
        <v>86</v>
      </c>
      <c r="B662">
        <v>24512354</v>
      </c>
      <c r="C662" t="s">
        <v>118</v>
      </c>
      <c r="D662" t="s">
        <v>119</v>
      </c>
      <c r="E662" t="s">
        <v>428</v>
      </c>
      <c r="F662" t="s">
        <v>518</v>
      </c>
      <c r="G662" t="s">
        <v>430</v>
      </c>
      <c r="H662" t="s">
        <v>431</v>
      </c>
      <c r="I662" t="s">
        <v>432</v>
      </c>
      <c r="J662" t="s">
        <v>432</v>
      </c>
      <c r="K662">
        <v>0</v>
      </c>
      <c r="L662" t="s">
        <v>428</v>
      </c>
      <c r="M662" t="s">
        <v>428</v>
      </c>
      <c r="N662">
        <v>146719</v>
      </c>
      <c r="O662">
        <f>INDEX(AllCollegeBarrons,MATCH(N662,AllCollegeNCES,0))</f>
        <v>0</v>
      </c>
      <c r="P662">
        <f>INDEX(KidGPAs,MATCH(B662,KidIDs,0))</f>
        <v>0</v>
      </c>
      <c r="Q662">
        <f>INDEX(KidACTs,MATCH(B662,KidIDs,0))</f>
        <v>0</v>
      </c>
      <c r="R662">
        <f>INDEX(Strats,MATCH(B662,KidIDs,0))</f>
        <v>0</v>
      </c>
      <c r="S662">
        <f>INDEX(KidRace,MATCH(B662,KidIDs,0))</f>
        <v>0</v>
      </c>
      <c r="T662">
        <f>IF(OR(S662="M",S662="I"),"H",S662)</f>
        <v>0</v>
      </c>
      <c r="U662">
        <f>INDEX(StudentTargets,MATCH(B662,KidIDs,0))</f>
        <v>0</v>
      </c>
      <c r="V662">
        <f>INDEX(ReachStudentTargets,MATCH(B662,KidIDs,0))</f>
        <v>0</v>
      </c>
      <c r="W662">
        <f>IF(OR(M662="Posse"),1,0)</f>
        <v>0</v>
      </c>
      <c r="X662">
        <f>IF(ISNUMBER(INDEX(AllCollegeGR, MATCH(N662,AllCollegeNCES,0))),ROUND(INDEX(AllCollegeGR, MATCH(N662,AllCollegeNCES,0))+W662*IF(INDEX(AllCollegeGR, MATCH(N662,AllCollegeNCES,0))&gt;0.7,(1-INDEX(AllCollegeGR, MATCH(N662,AllCollegeNCES,0)))/2,0.15),2),INDEX(AllCollegeGR, MATCH(N662,AllCollegeNCES,0)))</f>
        <v>0</v>
      </c>
      <c r="Y662">
        <f>IF(ISNUMBER(INDEX(AllCollegeAAHGR, MATCH(N662,AllCollegeNCES,0))),ROUND(INDEX(AllCollegeAAHGR, MATCH(N662,AllCollegeNCES,0))+W662*IF(INDEX(AllCollegeAAHGR, MATCH(N662,AllCollegeNCES,0))&gt;0.7,(1-INDEX(AllCollegeAAHGR, MATCH(N662,AllCollegeNCES,0)))/2,0.15),2),INDEX(AllCollegeAAHGR, MATCH(N662,AllCollegeNCES,0)))</f>
        <v>0</v>
      </c>
      <c r="Z662">
        <f>IF(OR(T662="H",T662="B"),INDEX(AllCollegeACT25, MATCH(N662,AllCollegeNCES,0)),INDEX(AllCollegeACT50, MATCH(N662,AllCollegeNCES,0)))</f>
        <v>0</v>
      </c>
      <c r="AA662">
        <f>INDEX(CustomWeightsGPA,MATCH(T662&amp;":"&amp;N662,CustomWeightsIndex,0))</f>
        <v>0</v>
      </c>
      <c r="AB662">
        <f>INDEX(CustomWeightsACT,MATCH(T662&amp;":"&amp;N662,CustomWeightsIndex,0))</f>
        <v>0</v>
      </c>
      <c r="AC662">
        <f>INDEX(CustomWeightsIntercept,MATCH(T662&amp;":"&amp;N662,CustomWeightsIndex,0))</f>
        <v>0</v>
      </c>
      <c r="AD662">
        <f>AA662*P662+AB662*Q662+AC662</f>
        <v>0</v>
      </c>
      <c r="AE662">
        <f>INDEX(CoefficientsGPA,MATCH(T662&amp;":"&amp;O662,CoefficientsIndex,0))</f>
        <v>0</v>
      </c>
      <c r="AF662">
        <f>INDEX(CoefficientsACT,MATCH(T662&amp;":"&amp;O662,CoefficientsIndex,0))</f>
        <v>0</v>
      </c>
      <c r="AG662">
        <f>INDEX(CoefficientsIntercept,MATCH(T662&amp;":"&amp;O662,CoefficientsIndex,0))</f>
        <v>0</v>
      </c>
      <c r="AH662">
        <f>AE662*P662+(Q662-Z662)*AF662+AG662</f>
        <v>0</v>
      </c>
      <c r="AI662">
        <f>IF(ISNUMBER(AD662),AD662,AH662)</f>
        <v>0</v>
      </c>
      <c r="AJ662">
        <f>IF(ISNUMBER(AI662),IF(ISNUMBER(AE662),IF(AND(AE662=1,AF662=1,AG662=1),100,ROUND(100*EXP(AI662)/(1+EXP(AI662)),2)),ROUND(100*EXP(AI662)/(1+EXP(AI662)),2)),IF(ISTEXT(O662),IF(LEFT(O662,1)="2",100,"N/A"),"N/A"))</f>
        <v>0</v>
      </c>
      <c r="AK662">
        <f>IF(ISNUMBER(AJ662),IF(AJ662&gt;=99,IF(OR(R662=10,R662=11),MatchLabel,SureThingLabel),IF(AJ662&gt;=95,SecureLabel,IF(AJ662&gt;=80,SafetyLabel,IF(AJ662&gt;=50,MatchLabel,IF(AJ662&gt;=20,ReachLabel,IF(AJ662&gt;=10,LongshotLabel,HailMaryLabel)))))),"Other")</f>
        <v>0</v>
      </c>
      <c r="AL662">
        <f>IF(OR(I662="accepted",I662="cond. accept",I662="summer admit"),IF(J662="yes","CHOICE!","Accepted!"),IF(I662="denied","Denied",IF(K662=1,"Waitlist",IF(L662=1,"Deferred",IF(G662="pending","Pending",IF(OR(G662="initial materials submitted",G662="mid-year submitted",G662="final submitted"),"Submitted",IF(H662="interest","Interest","?")))))))</f>
        <v>0</v>
      </c>
      <c r="AM662">
        <f>IF(OR(AK662=ReachLabel,AK662=LongshotLabel,AK662=HailMaryLabel),1,0)</f>
        <v>0</v>
      </c>
      <c r="AN662">
        <f>IF(OR(AM662=1,AK662=MatchLabel),1,0)</f>
        <v>0</v>
      </c>
      <c r="AO662">
        <f>IF(OR(AK662=MatchLabel,AK662=SafetyLabel,AK662=SecureLabel,AK662=SureThingLabel),1,0)</f>
        <v>0</v>
      </c>
      <c r="AP662">
        <f>IF(OR(T662="H",T662="B"),IF(ISNUMBER(Y662),ROUND(Y662,2),0),IF(ISNUMBER(X662),ROUND(X662,2),0))</f>
        <v>0</v>
      </c>
      <c r="AQ662">
        <f>IF(AP662&gt;=U662,1,0)</f>
        <v>0</v>
      </c>
      <c r="AR662">
        <f>IF(AP662&gt;=V662,1,0)</f>
        <v>0</v>
      </c>
      <c r="AS662">
        <f>IF(AP662&lt;(U662-0.10),1,0)</f>
        <v>0</v>
      </c>
      <c r="AT662">
        <f>1-AJ662/100</f>
        <v>0</v>
      </c>
      <c r="AU662">
        <f>IF(AN662=1,AT662,1)</f>
        <v>0</v>
      </c>
      <c r="AV662">
        <f>IF(AM662=1,AT662,1)</f>
        <v>0</v>
      </c>
      <c r="AW662">
        <f>IF(AND(AQ662=1,ISNUMBER(AT662)),$AT662,1)</f>
        <v>0</v>
      </c>
      <c r="AX662">
        <f>IF(AND(AR662=1,ISNUMBER(AT662)),$AT662,1)</f>
        <v>0</v>
      </c>
      <c r="AY662">
        <f>IF(ISNUMBER(Y662),INDEX(AllCollegeMoney, MATCH(N662,AllCollegeNCES,0)),0)</f>
        <v>0</v>
      </c>
      <c r="AZ662">
        <f>IF(AND(AQ662=1,ISNUMBER(AT662),AY662=1),$AT662,1)</f>
        <v>0</v>
      </c>
      <c r="BA662">
        <f>IF(AND(AR662=1,ISNUMBER(AT662),AY662=1),$AT662,1)</f>
        <v>0</v>
      </c>
      <c r="BB662">
        <f>IF(ISNUMBER(Y662),INDEX(AllCollegeILPub, MATCH(N662,AllCollegeNCES,0)),0)</f>
        <v>0</v>
      </c>
      <c r="BC662">
        <f>IF(AK662=ReachLabel,AP662,0)</f>
        <v>0</v>
      </c>
      <c r="BD662">
        <f>IF(AK662=MatchLabel,AP662,0)</f>
        <v>0</v>
      </c>
      <c r="BE662">
        <f>IF(AK662=SafetyLabel,AP662,0)</f>
        <v>0</v>
      </c>
      <c r="BF662">
        <f>IF(AK662=SecureLabel,AP662,0)</f>
        <v>0</v>
      </c>
      <c r="BG662">
        <f>IF(AK662=SureThingLabel,AP662,0)</f>
        <v>0</v>
      </c>
      <c r="BH662">
        <f>MAX(BC662:BG662)</f>
        <v>0</v>
      </c>
      <c r="BI662">
        <f>MAX(BD662:BG662)</f>
        <v>0</v>
      </c>
      <c r="BJ662">
        <f>MAX(BE662:BG662)</f>
        <v>0</v>
      </c>
      <c r="BK662">
        <f>IF(AND(AK662=ReachLabel,AY662=1),AP662,0)</f>
        <v>0</v>
      </c>
      <c r="BL662">
        <f>IF(AND(AK662=MatchLabel,AY662=1),AP662,0)</f>
        <v>0</v>
      </c>
      <c r="BM662">
        <f>IF(AND(AK662=SafetyLabel,AY662=1),AP662,0)</f>
        <v>0</v>
      </c>
      <c r="BN662">
        <f>IF(AND(AK662=SecureLabel,AY662=1),AP662,0)</f>
        <v>0</v>
      </c>
      <c r="BO662">
        <f>IF(AND(AK662=SureThingLabel,AY662=1),AP662,0)</f>
        <v>0</v>
      </c>
      <c r="BP662">
        <f>MAX(BK662:BO662)</f>
        <v>0</v>
      </c>
      <c r="BQ662">
        <f>MAX(BL662:BO662)</f>
        <v>0</v>
      </c>
      <c r="BR662">
        <f>MAX(BM662:BO662)</f>
        <v>0</v>
      </c>
      <c r="BS662">
        <f>IF(ISNUMBER(Y662),INDEX(AllCollegeChicago, MATCH(N662,AllCollegeNCES,0))*AY662,0)</f>
        <v>0</v>
      </c>
      <c r="BT662">
        <f>IF(ISNUMBER(Y662),INDEX(AllCollegeMoneyCode, MATCH(N662,AllCollegeNCES,0)),"?")</f>
        <v>0</v>
      </c>
      <c r="BU662">
        <f>IF(OR(BT662="---",BT662="--",BT662="+/--",BT662="+/---"),1,0)</f>
        <v>0</v>
      </c>
      <c r="BV662">
        <f>AY662*AO662*AQ662</f>
        <v>0</v>
      </c>
    </row>
    <row r="663" spans="1:74">
      <c r="A663" t="s">
        <v>86</v>
      </c>
      <c r="B663">
        <v>24512354</v>
      </c>
      <c r="C663" t="s">
        <v>118</v>
      </c>
      <c r="D663" t="s">
        <v>119</v>
      </c>
      <c r="E663" t="s">
        <v>428</v>
      </c>
      <c r="F663" t="s">
        <v>462</v>
      </c>
      <c r="G663" t="s">
        <v>463</v>
      </c>
      <c r="H663" t="s">
        <v>431</v>
      </c>
      <c r="I663" t="s">
        <v>432</v>
      </c>
      <c r="J663" t="s">
        <v>432</v>
      </c>
      <c r="K663">
        <v>0</v>
      </c>
      <c r="L663" t="s">
        <v>428</v>
      </c>
      <c r="M663" t="s">
        <v>428</v>
      </c>
      <c r="N663">
        <v>168546</v>
      </c>
      <c r="O663">
        <f>INDEX(AllCollegeBarrons,MATCH(N663,AllCollegeNCES,0))</f>
        <v>0</v>
      </c>
      <c r="P663">
        <f>INDEX(KidGPAs,MATCH(B663,KidIDs,0))</f>
        <v>0</v>
      </c>
      <c r="Q663">
        <f>INDEX(KidACTs,MATCH(B663,KidIDs,0))</f>
        <v>0</v>
      </c>
      <c r="R663">
        <f>INDEX(Strats,MATCH(B663,KidIDs,0))</f>
        <v>0</v>
      </c>
      <c r="S663">
        <f>INDEX(KidRace,MATCH(B663,KidIDs,0))</f>
        <v>0</v>
      </c>
      <c r="T663">
        <f>IF(OR(S663="M",S663="I"),"H",S663)</f>
        <v>0</v>
      </c>
      <c r="U663">
        <f>INDEX(StudentTargets,MATCH(B663,KidIDs,0))</f>
        <v>0</v>
      </c>
      <c r="V663">
        <f>INDEX(ReachStudentTargets,MATCH(B663,KidIDs,0))</f>
        <v>0</v>
      </c>
      <c r="W663">
        <f>IF(OR(M663="Posse"),1,0)</f>
        <v>0</v>
      </c>
      <c r="X663">
        <f>IF(ISNUMBER(INDEX(AllCollegeGR, MATCH(N663,AllCollegeNCES,0))),ROUND(INDEX(AllCollegeGR, MATCH(N663,AllCollegeNCES,0))+W663*IF(INDEX(AllCollegeGR, MATCH(N663,AllCollegeNCES,0))&gt;0.7,(1-INDEX(AllCollegeGR, MATCH(N663,AllCollegeNCES,0)))/2,0.15),2),INDEX(AllCollegeGR, MATCH(N663,AllCollegeNCES,0)))</f>
        <v>0</v>
      </c>
      <c r="Y663">
        <f>IF(ISNUMBER(INDEX(AllCollegeAAHGR, MATCH(N663,AllCollegeNCES,0))),ROUND(INDEX(AllCollegeAAHGR, MATCH(N663,AllCollegeNCES,0))+W663*IF(INDEX(AllCollegeAAHGR, MATCH(N663,AllCollegeNCES,0))&gt;0.7,(1-INDEX(AllCollegeAAHGR, MATCH(N663,AllCollegeNCES,0)))/2,0.15),2),INDEX(AllCollegeAAHGR, MATCH(N663,AllCollegeNCES,0)))</f>
        <v>0</v>
      </c>
      <c r="Z663">
        <f>IF(OR(T663="H",T663="B"),INDEX(AllCollegeACT25, MATCH(N663,AllCollegeNCES,0)),INDEX(AllCollegeACT50, MATCH(N663,AllCollegeNCES,0)))</f>
        <v>0</v>
      </c>
      <c r="AA663">
        <f>INDEX(CustomWeightsGPA,MATCH(T663&amp;":"&amp;N663,CustomWeightsIndex,0))</f>
        <v>0</v>
      </c>
      <c r="AB663">
        <f>INDEX(CustomWeightsACT,MATCH(T663&amp;":"&amp;N663,CustomWeightsIndex,0))</f>
        <v>0</v>
      </c>
      <c r="AC663">
        <f>INDEX(CustomWeightsIntercept,MATCH(T663&amp;":"&amp;N663,CustomWeightsIndex,0))</f>
        <v>0</v>
      </c>
      <c r="AD663">
        <f>AA663*P663+AB663*Q663+AC663</f>
        <v>0</v>
      </c>
      <c r="AE663">
        <f>INDEX(CoefficientsGPA,MATCH(T663&amp;":"&amp;O663,CoefficientsIndex,0))</f>
        <v>0</v>
      </c>
      <c r="AF663">
        <f>INDEX(CoefficientsACT,MATCH(T663&amp;":"&amp;O663,CoefficientsIndex,0))</f>
        <v>0</v>
      </c>
      <c r="AG663">
        <f>INDEX(CoefficientsIntercept,MATCH(T663&amp;":"&amp;O663,CoefficientsIndex,0))</f>
        <v>0</v>
      </c>
      <c r="AH663">
        <f>AE663*P663+(Q663-Z663)*AF663+AG663</f>
        <v>0</v>
      </c>
      <c r="AI663">
        <f>IF(ISNUMBER(AD663),AD663,AH663)</f>
        <v>0</v>
      </c>
      <c r="AJ663">
        <f>IF(ISNUMBER(AI663),IF(ISNUMBER(AE663),IF(AND(AE663=1,AF663=1,AG663=1),100,ROUND(100*EXP(AI663)/(1+EXP(AI663)),2)),ROUND(100*EXP(AI663)/(1+EXP(AI663)),2)),IF(ISTEXT(O663),IF(LEFT(O663,1)="2",100,"N/A"),"N/A"))</f>
        <v>0</v>
      </c>
      <c r="AK663">
        <f>IF(ISNUMBER(AJ663),IF(AJ663&gt;=99,IF(OR(R663=10,R663=11),MatchLabel,SureThingLabel),IF(AJ663&gt;=95,SecureLabel,IF(AJ663&gt;=80,SafetyLabel,IF(AJ663&gt;=50,MatchLabel,IF(AJ663&gt;=20,ReachLabel,IF(AJ663&gt;=10,LongshotLabel,HailMaryLabel)))))),"Other")</f>
        <v>0</v>
      </c>
      <c r="AL663">
        <f>IF(OR(I663="accepted",I663="cond. accept",I663="summer admit"),IF(J663="yes","CHOICE!","Accepted!"),IF(I663="denied","Denied",IF(K663=1,"Waitlist",IF(L663=1,"Deferred",IF(G663="pending","Pending",IF(OR(G663="initial materials submitted",G663="mid-year submitted",G663="final submitted"),"Submitted",IF(H663="interest","Interest","?")))))))</f>
        <v>0</v>
      </c>
      <c r="AM663">
        <f>IF(OR(AK663=ReachLabel,AK663=LongshotLabel,AK663=HailMaryLabel),1,0)</f>
        <v>0</v>
      </c>
      <c r="AN663">
        <f>IF(OR(AM663=1,AK663=MatchLabel),1,0)</f>
        <v>0</v>
      </c>
      <c r="AO663">
        <f>IF(OR(AK663=MatchLabel,AK663=SafetyLabel,AK663=SecureLabel,AK663=SureThingLabel),1,0)</f>
        <v>0</v>
      </c>
      <c r="AP663">
        <f>IF(OR(T663="H",T663="B"),IF(ISNUMBER(Y663),ROUND(Y663,2),0),IF(ISNUMBER(X663),ROUND(X663,2),0))</f>
        <v>0</v>
      </c>
      <c r="AQ663">
        <f>IF(AP663&gt;=U663,1,0)</f>
        <v>0</v>
      </c>
      <c r="AR663">
        <f>IF(AP663&gt;=V663,1,0)</f>
        <v>0</v>
      </c>
      <c r="AS663">
        <f>IF(AP663&lt;(U663-0.10),1,0)</f>
        <v>0</v>
      </c>
      <c r="AT663">
        <f>1-AJ663/100</f>
        <v>0</v>
      </c>
      <c r="AU663">
        <f>IF(AN663=1,AT663,1)</f>
        <v>0</v>
      </c>
      <c r="AV663">
        <f>IF(AM663=1,AT663,1)</f>
        <v>0</v>
      </c>
      <c r="AW663">
        <f>IF(AND(AQ663=1,ISNUMBER(AT663)),$AT663,1)</f>
        <v>0</v>
      </c>
      <c r="AX663">
        <f>IF(AND(AR663=1,ISNUMBER(AT663)),$AT663,1)</f>
        <v>0</v>
      </c>
      <c r="AY663">
        <f>IF(ISNUMBER(Y663),INDEX(AllCollegeMoney, MATCH(N663,AllCollegeNCES,0)),0)</f>
        <v>0</v>
      </c>
      <c r="AZ663">
        <f>IF(AND(AQ663=1,ISNUMBER(AT663),AY663=1),$AT663,1)</f>
        <v>0</v>
      </c>
      <c r="BA663">
        <f>IF(AND(AR663=1,ISNUMBER(AT663),AY663=1),$AT663,1)</f>
        <v>0</v>
      </c>
      <c r="BB663">
        <f>IF(ISNUMBER(Y663),INDEX(AllCollegeILPub, MATCH(N663,AllCollegeNCES,0)),0)</f>
        <v>0</v>
      </c>
      <c r="BC663">
        <f>IF(AK663=ReachLabel,AP663,0)</f>
        <v>0</v>
      </c>
      <c r="BD663">
        <f>IF(AK663=MatchLabel,AP663,0)</f>
        <v>0</v>
      </c>
      <c r="BE663">
        <f>IF(AK663=SafetyLabel,AP663,0)</f>
        <v>0</v>
      </c>
      <c r="BF663">
        <f>IF(AK663=SecureLabel,AP663,0)</f>
        <v>0</v>
      </c>
      <c r="BG663">
        <f>IF(AK663=SureThingLabel,AP663,0)</f>
        <v>0</v>
      </c>
      <c r="BH663">
        <f>MAX(BC663:BG663)</f>
        <v>0</v>
      </c>
      <c r="BI663">
        <f>MAX(BD663:BG663)</f>
        <v>0</v>
      </c>
      <c r="BJ663">
        <f>MAX(BE663:BG663)</f>
        <v>0</v>
      </c>
      <c r="BK663">
        <f>IF(AND(AK663=ReachLabel,AY663=1),AP663,0)</f>
        <v>0</v>
      </c>
      <c r="BL663">
        <f>IF(AND(AK663=MatchLabel,AY663=1),AP663,0)</f>
        <v>0</v>
      </c>
      <c r="BM663">
        <f>IF(AND(AK663=SafetyLabel,AY663=1),AP663,0)</f>
        <v>0</v>
      </c>
      <c r="BN663">
        <f>IF(AND(AK663=SecureLabel,AY663=1),AP663,0)</f>
        <v>0</v>
      </c>
      <c r="BO663">
        <f>IF(AND(AK663=SureThingLabel,AY663=1),AP663,0)</f>
        <v>0</v>
      </c>
      <c r="BP663">
        <f>MAX(BK663:BO663)</f>
        <v>0</v>
      </c>
      <c r="BQ663">
        <f>MAX(BL663:BO663)</f>
        <v>0</v>
      </c>
      <c r="BR663">
        <f>MAX(BM663:BO663)</f>
        <v>0</v>
      </c>
      <c r="BS663">
        <f>IF(ISNUMBER(Y663),INDEX(AllCollegeChicago, MATCH(N663,AllCollegeNCES,0))*AY663,0)</f>
        <v>0</v>
      </c>
      <c r="BT663">
        <f>IF(ISNUMBER(Y663),INDEX(AllCollegeMoneyCode, MATCH(N663,AllCollegeNCES,0)),"?")</f>
        <v>0</v>
      </c>
      <c r="BU663">
        <f>IF(OR(BT663="---",BT663="--",BT663="+/--",BT663="+/---"),1,0)</f>
        <v>0</v>
      </c>
      <c r="BV663">
        <f>AY663*AO663*AQ663</f>
        <v>0</v>
      </c>
    </row>
    <row r="664" spans="1:74">
      <c r="A664" t="s">
        <v>86</v>
      </c>
      <c r="B664">
        <v>24512354</v>
      </c>
      <c r="C664" t="s">
        <v>118</v>
      </c>
      <c r="D664" t="s">
        <v>119</v>
      </c>
      <c r="E664" t="s">
        <v>428</v>
      </c>
      <c r="F664" t="s">
        <v>512</v>
      </c>
      <c r="G664" t="s">
        <v>430</v>
      </c>
      <c r="H664" t="s">
        <v>431</v>
      </c>
      <c r="I664" t="s">
        <v>432</v>
      </c>
      <c r="J664" t="s">
        <v>432</v>
      </c>
      <c r="K664">
        <v>0</v>
      </c>
      <c r="L664" t="s">
        <v>428</v>
      </c>
      <c r="M664" t="s">
        <v>428</v>
      </c>
      <c r="N664">
        <v>145691</v>
      </c>
      <c r="O664">
        <f>INDEX(AllCollegeBarrons,MATCH(N664,AllCollegeNCES,0))</f>
        <v>0</v>
      </c>
      <c r="P664">
        <f>INDEX(KidGPAs,MATCH(B664,KidIDs,0))</f>
        <v>0</v>
      </c>
      <c r="Q664">
        <f>INDEX(KidACTs,MATCH(B664,KidIDs,0))</f>
        <v>0</v>
      </c>
      <c r="R664">
        <f>INDEX(Strats,MATCH(B664,KidIDs,0))</f>
        <v>0</v>
      </c>
      <c r="S664">
        <f>INDEX(KidRace,MATCH(B664,KidIDs,0))</f>
        <v>0</v>
      </c>
      <c r="T664">
        <f>IF(OR(S664="M",S664="I"),"H",S664)</f>
        <v>0</v>
      </c>
      <c r="U664">
        <f>INDEX(StudentTargets,MATCH(B664,KidIDs,0))</f>
        <v>0</v>
      </c>
      <c r="V664">
        <f>INDEX(ReachStudentTargets,MATCH(B664,KidIDs,0))</f>
        <v>0</v>
      </c>
      <c r="W664">
        <f>IF(OR(M664="Posse"),1,0)</f>
        <v>0</v>
      </c>
      <c r="X664">
        <f>IF(ISNUMBER(INDEX(AllCollegeGR, MATCH(N664,AllCollegeNCES,0))),ROUND(INDEX(AllCollegeGR, MATCH(N664,AllCollegeNCES,0))+W664*IF(INDEX(AllCollegeGR, MATCH(N664,AllCollegeNCES,0))&gt;0.7,(1-INDEX(AllCollegeGR, MATCH(N664,AllCollegeNCES,0)))/2,0.15),2),INDEX(AllCollegeGR, MATCH(N664,AllCollegeNCES,0)))</f>
        <v>0</v>
      </c>
      <c r="Y664">
        <f>IF(ISNUMBER(INDEX(AllCollegeAAHGR, MATCH(N664,AllCollegeNCES,0))),ROUND(INDEX(AllCollegeAAHGR, MATCH(N664,AllCollegeNCES,0))+W664*IF(INDEX(AllCollegeAAHGR, MATCH(N664,AllCollegeNCES,0))&gt;0.7,(1-INDEX(AllCollegeAAHGR, MATCH(N664,AllCollegeNCES,0)))/2,0.15),2),INDEX(AllCollegeAAHGR, MATCH(N664,AllCollegeNCES,0)))</f>
        <v>0</v>
      </c>
      <c r="Z664">
        <f>IF(OR(T664="H",T664="B"),INDEX(AllCollegeACT25, MATCH(N664,AllCollegeNCES,0)),INDEX(AllCollegeACT50, MATCH(N664,AllCollegeNCES,0)))</f>
        <v>0</v>
      </c>
      <c r="AA664">
        <f>INDEX(CustomWeightsGPA,MATCH(T664&amp;":"&amp;N664,CustomWeightsIndex,0))</f>
        <v>0</v>
      </c>
      <c r="AB664">
        <f>INDEX(CustomWeightsACT,MATCH(T664&amp;":"&amp;N664,CustomWeightsIndex,0))</f>
        <v>0</v>
      </c>
      <c r="AC664">
        <f>INDEX(CustomWeightsIntercept,MATCH(T664&amp;":"&amp;N664,CustomWeightsIndex,0))</f>
        <v>0</v>
      </c>
      <c r="AD664">
        <f>AA664*P664+AB664*Q664+AC664</f>
        <v>0</v>
      </c>
      <c r="AE664">
        <f>INDEX(CoefficientsGPA,MATCH(T664&amp;":"&amp;O664,CoefficientsIndex,0))</f>
        <v>0</v>
      </c>
      <c r="AF664">
        <f>INDEX(CoefficientsACT,MATCH(T664&amp;":"&amp;O664,CoefficientsIndex,0))</f>
        <v>0</v>
      </c>
      <c r="AG664">
        <f>INDEX(CoefficientsIntercept,MATCH(T664&amp;":"&amp;O664,CoefficientsIndex,0))</f>
        <v>0</v>
      </c>
      <c r="AH664">
        <f>AE664*P664+(Q664-Z664)*AF664+AG664</f>
        <v>0</v>
      </c>
      <c r="AI664">
        <f>IF(ISNUMBER(AD664),AD664,AH664)</f>
        <v>0</v>
      </c>
      <c r="AJ664">
        <f>IF(ISNUMBER(AI664),IF(ISNUMBER(AE664),IF(AND(AE664=1,AF664=1,AG664=1),100,ROUND(100*EXP(AI664)/(1+EXP(AI664)),2)),ROUND(100*EXP(AI664)/(1+EXP(AI664)),2)),IF(ISTEXT(O664),IF(LEFT(O664,1)="2",100,"N/A"),"N/A"))</f>
        <v>0</v>
      </c>
      <c r="AK664">
        <f>IF(ISNUMBER(AJ664),IF(AJ664&gt;=99,IF(OR(R664=10,R664=11),MatchLabel,SureThingLabel),IF(AJ664&gt;=95,SecureLabel,IF(AJ664&gt;=80,SafetyLabel,IF(AJ664&gt;=50,MatchLabel,IF(AJ664&gt;=20,ReachLabel,IF(AJ664&gt;=10,LongshotLabel,HailMaryLabel)))))),"Other")</f>
        <v>0</v>
      </c>
      <c r="AL664">
        <f>IF(OR(I664="accepted",I664="cond. accept",I664="summer admit"),IF(J664="yes","CHOICE!","Accepted!"),IF(I664="denied","Denied",IF(K664=1,"Waitlist",IF(L664=1,"Deferred",IF(G664="pending","Pending",IF(OR(G664="initial materials submitted",G664="mid-year submitted",G664="final submitted"),"Submitted",IF(H664="interest","Interest","?")))))))</f>
        <v>0</v>
      </c>
      <c r="AM664">
        <f>IF(OR(AK664=ReachLabel,AK664=LongshotLabel,AK664=HailMaryLabel),1,0)</f>
        <v>0</v>
      </c>
      <c r="AN664">
        <f>IF(OR(AM664=1,AK664=MatchLabel),1,0)</f>
        <v>0</v>
      </c>
      <c r="AO664">
        <f>IF(OR(AK664=MatchLabel,AK664=SafetyLabel,AK664=SecureLabel,AK664=SureThingLabel),1,0)</f>
        <v>0</v>
      </c>
      <c r="AP664">
        <f>IF(OR(T664="H",T664="B"),IF(ISNUMBER(Y664),ROUND(Y664,2),0),IF(ISNUMBER(X664),ROUND(X664,2),0))</f>
        <v>0</v>
      </c>
      <c r="AQ664">
        <f>IF(AP664&gt;=U664,1,0)</f>
        <v>0</v>
      </c>
      <c r="AR664">
        <f>IF(AP664&gt;=V664,1,0)</f>
        <v>0</v>
      </c>
      <c r="AS664">
        <f>IF(AP664&lt;(U664-0.10),1,0)</f>
        <v>0</v>
      </c>
      <c r="AT664">
        <f>1-AJ664/100</f>
        <v>0</v>
      </c>
      <c r="AU664">
        <f>IF(AN664=1,AT664,1)</f>
        <v>0</v>
      </c>
      <c r="AV664">
        <f>IF(AM664=1,AT664,1)</f>
        <v>0</v>
      </c>
      <c r="AW664">
        <f>IF(AND(AQ664=1,ISNUMBER(AT664)),$AT664,1)</f>
        <v>0</v>
      </c>
      <c r="AX664">
        <f>IF(AND(AR664=1,ISNUMBER(AT664)),$AT664,1)</f>
        <v>0</v>
      </c>
      <c r="AY664">
        <f>IF(ISNUMBER(Y664),INDEX(AllCollegeMoney, MATCH(N664,AllCollegeNCES,0)),0)</f>
        <v>0</v>
      </c>
      <c r="AZ664">
        <f>IF(AND(AQ664=1,ISNUMBER(AT664),AY664=1),$AT664,1)</f>
        <v>0</v>
      </c>
      <c r="BA664">
        <f>IF(AND(AR664=1,ISNUMBER(AT664),AY664=1),$AT664,1)</f>
        <v>0</v>
      </c>
      <c r="BB664">
        <f>IF(ISNUMBER(Y664),INDEX(AllCollegeILPub, MATCH(N664,AllCollegeNCES,0)),0)</f>
        <v>0</v>
      </c>
      <c r="BC664">
        <f>IF(AK664=ReachLabel,AP664,0)</f>
        <v>0</v>
      </c>
      <c r="BD664">
        <f>IF(AK664=MatchLabel,AP664,0)</f>
        <v>0</v>
      </c>
      <c r="BE664">
        <f>IF(AK664=SafetyLabel,AP664,0)</f>
        <v>0</v>
      </c>
      <c r="BF664">
        <f>IF(AK664=SecureLabel,AP664,0)</f>
        <v>0</v>
      </c>
      <c r="BG664">
        <f>IF(AK664=SureThingLabel,AP664,0)</f>
        <v>0</v>
      </c>
      <c r="BH664">
        <f>MAX(BC664:BG664)</f>
        <v>0</v>
      </c>
      <c r="BI664">
        <f>MAX(BD664:BG664)</f>
        <v>0</v>
      </c>
      <c r="BJ664">
        <f>MAX(BE664:BG664)</f>
        <v>0</v>
      </c>
      <c r="BK664">
        <f>IF(AND(AK664=ReachLabel,AY664=1),AP664,0)</f>
        <v>0</v>
      </c>
      <c r="BL664">
        <f>IF(AND(AK664=MatchLabel,AY664=1),AP664,0)</f>
        <v>0</v>
      </c>
      <c r="BM664">
        <f>IF(AND(AK664=SafetyLabel,AY664=1),AP664,0)</f>
        <v>0</v>
      </c>
      <c r="BN664">
        <f>IF(AND(AK664=SecureLabel,AY664=1),AP664,0)</f>
        <v>0</v>
      </c>
      <c r="BO664">
        <f>IF(AND(AK664=SureThingLabel,AY664=1),AP664,0)</f>
        <v>0</v>
      </c>
      <c r="BP664">
        <f>MAX(BK664:BO664)</f>
        <v>0</v>
      </c>
      <c r="BQ664">
        <f>MAX(BL664:BO664)</f>
        <v>0</v>
      </c>
      <c r="BR664">
        <f>MAX(BM664:BO664)</f>
        <v>0</v>
      </c>
      <c r="BS664">
        <f>IF(ISNUMBER(Y664),INDEX(AllCollegeChicago, MATCH(N664,AllCollegeNCES,0))*AY664,0)</f>
        <v>0</v>
      </c>
      <c r="BT664">
        <f>IF(ISNUMBER(Y664),INDEX(AllCollegeMoneyCode, MATCH(N664,AllCollegeNCES,0)),"?")</f>
        <v>0</v>
      </c>
      <c r="BU664">
        <f>IF(OR(BT664="---",BT664="--",BT664="+/--",BT664="+/---"),1,0)</f>
        <v>0</v>
      </c>
      <c r="BV664">
        <f>AY664*AO664*AQ664</f>
        <v>0</v>
      </c>
    </row>
    <row r="665" spans="1:74">
      <c r="A665" t="s">
        <v>86</v>
      </c>
      <c r="B665">
        <v>24512354</v>
      </c>
      <c r="C665" t="s">
        <v>118</v>
      </c>
      <c r="D665" t="s">
        <v>119</v>
      </c>
      <c r="E665" t="s">
        <v>428</v>
      </c>
      <c r="F665" t="s">
        <v>433</v>
      </c>
      <c r="G665" t="s">
        <v>430</v>
      </c>
      <c r="H665" t="s">
        <v>431</v>
      </c>
      <c r="I665" t="s">
        <v>432</v>
      </c>
      <c r="J665" t="s">
        <v>432</v>
      </c>
      <c r="K665">
        <v>0</v>
      </c>
      <c r="L665" t="s">
        <v>428</v>
      </c>
      <c r="M665" t="s">
        <v>428</v>
      </c>
      <c r="N665">
        <v>148496</v>
      </c>
      <c r="O665">
        <f>INDEX(AllCollegeBarrons,MATCH(N665,AllCollegeNCES,0))</f>
        <v>0</v>
      </c>
      <c r="P665">
        <f>INDEX(KidGPAs,MATCH(B665,KidIDs,0))</f>
        <v>0</v>
      </c>
      <c r="Q665">
        <f>INDEX(KidACTs,MATCH(B665,KidIDs,0))</f>
        <v>0</v>
      </c>
      <c r="R665">
        <f>INDEX(Strats,MATCH(B665,KidIDs,0))</f>
        <v>0</v>
      </c>
      <c r="S665">
        <f>INDEX(KidRace,MATCH(B665,KidIDs,0))</f>
        <v>0</v>
      </c>
      <c r="T665">
        <f>IF(OR(S665="M",S665="I"),"H",S665)</f>
        <v>0</v>
      </c>
      <c r="U665">
        <f>INDEX(StudentTargets,MATCH(B665,KidIDs,0))</f>
        <v>0</v>
      </c>
      <c r="V665">
        <f>INDEX(ReachStudentTargets,MATCH(B665,KidIDs,0))</f>
        <v>0</v>
      </c>
      <c r="W665">
        <f>IF(OR(M665="Posse"),1,0)</f>
        <v>0</v>
      </c>
      <c r="X665">
        <f>IF(ISNUMBER(INDEX(AllCollegeGR, MATCH(N665,AllCollegeNCES,0))),ROUND(INDEX(AllCollegeGR, MATCH(N665,AllCollegeNCES,0))+W665*IF(INDEX(AllCollegeGR, MATCH(N665,AllCollegeNCES,0))&gt;0.7,(1-INDEX(AllCollegeGR, MATCH(N665,AllCollegeNCES,0)))/2,0.15),2),INDEX(AllCollegeGR, MATCH(N665,AllCollegeNCES,0)))</f>
        <v>0</v>
      </c>
      <c r="Y665">
        <f>IF(ISNUMBER(INDEX(AllCollegeAAHGR, MATCH(N665,AllCollegeNCES,0))),ROUND(INDEX(AllCollegeAAHGR, MATCH(N665,AllCollegeNCES,0))+W665*IF(INDEX(AllCollegeAAHGR, MATCH(N665,AllCollegeNCES,0))&gt;0.7,(1-INDEX(AllCollegeAAHGR, MATCH(N665,AllCollegeNCES,0)))/2,0.15),2),INDEX(AllCollegeAAHGR, MATCH(N665,AllCollegeNCES,0)))</f>
        <v>0</v>
      </c>
      <c r="Z665">
        <f>IF(OR(T665="H",T665="B"),INDEX(AllCollegeACT25, MATCH(N665,AllCollegeNCES,0)),INDEX(AllCollegeACT50, MATCH(N665,AllCollegeNCES,0)))</f>
        <v>0</v>
      </c>
      <c r="AA665">
        <f>INDEX(CustomWeightsGPA,MATCH(T665&amp;":"&amp;N665,CustomWeightsIndex,0))</f>
        <v>0</v>
      </c>
      <c r="AB665">
        <f>INDEX(CustomWeightsACT,MATCH(T665&amp;":"&amp;N665,CustomWeightsIndex,0))</f>
        <v>0</v>
      </c>
      <c r="AC665">
        <f>INDEX(CustomWeightsIntercept,MATCH(T665&amp;":"&amp;N665,CustomWeightsIndex,0))</f>
        <v>0</v>
      </c>
      <c r="AD665">
        <f>AA665*P665+AB665*Q665+AC665</f>
        <v>0</v>
      </c>
      <c r="AE665">
        <f>INDEX(CoefficientsGPA,MATCH(T665&amp;":"&amp;O665,CoefficientsIndex,0))</f>
        <v>0</v>
      </c>
      <c r="AF665">
        <f>INDEX(CoefficientsACT,MATCH(T665&amp;":"&amp;O665,CoefficientsIndex,0))</f>
        <v>0</v>
      </c>
      <c r="AG665">
        <f>INDEX(CoefficientsIntercept,MATCH(T665&amp;":"&amp;O665,CoefficientsIndex,0))</f>
        <v>0</v>
      </c>
      <c r="AH665">
        <f>AE665*P665+(Q665-Z665)*AF665+AG665</f>
        <v>0</v>
      </c>
      <c r="AI665">
        <f>IF(ISNUMBER(AD665),AD665,AH665)</f>
        <v>0</v>
      </c>
      <c r="AJ665">
        <f>IF(ISNUMBER(AI665),IF(ISNUMBER(AE665),IF(AND(AE665=1,AF665=1,AG665=1),100,ROUND(100*EXP(AI665)/(1+EXP(AI665)),2)),ROUND(100*EXP(AI665)/(1+EXP(AI665)),2)),IF(ISTEXT(O665),IF(LEFT(O665,1)="2",100,"N/A"),"N/A"))</f>
        <v>0</v>
      </c>
      <c r="AK665">
        <f>IF(ISNUMBER(AJ665),IF(AJ665&gt;=99,IF(OR(R665=10,R665=11),MatchLabel,SureThingLabel),IF(AJ665&gt;=95,SecureLabel,IF(AJ665&gt;=80,SafetyLabel,IF(AJ665&gt;=50,MatchLabel,IF(AJ665&gt;=20,ReachLabel,IF(AJ665&gt;=10,LongshotLabel,HailMaryLabel)))))),"Other")</f>
        <v>0</v>
      </c>
      <c r="AL665">
        <f>IF(OR(I665="accepted",I665="cond. accept",I665="summer admit"),IF(J665="yes","CHOICE!","Accepted!"),IF(I665="denied","Denied",IF(K665=1,"Waitlist",IF(L665=1,"Deferred",IF(G665="pending","Pending",IF(OR(G665="initial materials submitted",G665="mid-year submitted",G665="final submitted"),"Submitted",IF(H665="interest","Interest","?")))))))</f>
        <v>0</v>
      </c>
      <c r="AM665">
        <f>IF(OR(AK665=ReachLabel,AK665=LongshotLabel,AK665=HailMaryLabel),1,0)</f>
        <v>0</v>
      </c>
      <c r="AN665">
        <f>IF(OR(AM665=1,AK665=MatchLabel),1,0)</f>
        <v>0</v>
      </c>
      <c r="AO665">
        <f>IF(OR(AK665=MatchLabel,AK665=SafetyLabel,AK665=SecureLabel,AK665=SureThingLabel),1,0)</f>
        <v>0</v>
      </c>
      <c r="AP665">
        <f>IF(OR(T665="H",T665="B"),IF(ISNUMBER(Y665),ROUND(Y665,2),0),IF(ISNUMBER(X665),ROUND(X665,2),0))</f>
        <v>0</v>
      </c>
      <c r="AQ665">
        <f>IF(AP665&gt;=U665,1,0)</f>
        <v>0</v>
      </c>
      <c r="AR665">
        <f>IF(AP665&gt;=V665,1,0)</f>
        <v>0</v>
      </c>
      <c r="AS665">
        <f>IF(AP665&lt;(U665-0.10),1,0)</f>
        <v>0</v>
      </c>
      <c r="AT665">
        <f>1-AJ665/100</f>
        <v>0</v>
      </c>
      <c r="AU665">
        <f>IF(AN665=1,AT665,1)</f>
        <v>0</v>
      </c>
      <c r="AV665">
        <f>IF(AM665=1,AT665,1)</f>
        <v>0</v>
      </c>
      <c r="AW665">
        <f>IF(AND(AQ665=1,ISNUMBER(AT665)),$AT665,1)</f>
        <v>0</v>
      </c>
      <c r="AX665">
        <f>IF(AND(AR665=1,ISNUMBER(AT665)),$AT665,1)</f>
        <v>0</v>
      </c>
      <c r="AY665">
        <f>IF(ISNUMBER(Y665),INDEX(AllCollegeMoney, MATCH(N665,AllCollegeNCES,0)),0)</f>
        <v>0</v>
      </c>
      <c r="AZ665">
        <f>IF(AND(AQ665=1,ISNUMBER(AT665),AY665=1),$AT665,1)</f>
        <v>0</v>
      </c>
      <c r="BA665">
        <f>IF(AND(AR665=1,ISNUMBER(AT665),AY665=1),$AT665,1)</f>
        <v>0</v>
      </c>
      <c r="BB665">
        <f>IF(ISNUMBER(Y665),INDEX(AllCollegeILPub, MATCH(N665,AllCollegeNCES,0)),0)</f>
        <v>0</v>
      </c>
      <c r="BC665">
        <f>IF(AK665=ReachLabel,AP665,0)</f>
        <v>0</v>
      </c>
      <c r="BD665">
        <f>IF(AK665=MatchLabel,AP665,0)</f>
        <v>0</v>
      </c>
      <c r="BE665">
        <f>IF(AK665=SafetyLabel,AP665,0)</f>
        <v>0</v>
      </c>
      <c r="BF665">
        <f>IF(AK665=SecureLabel,AP665,0)</f>
        <v>0</v>
      </c>
      <c r="BG665">
        <f>IF(AK665=SureThingLabel,AP665,0)</f>
        <v>0</v>
      </c>
      <c r="BH665">
        <f>MAX(BC665:BG665)</f>
        <v>0</v>
      </c>
      <c r="BI665">
        <f>MAX(BD665:BG665)</f>
        <v>0</v>
      </c>
      <c r="BJ665">
        <f>MAX(BE665:BG665)</f>
        <v>0</v>
      </c>
      <c r="BK665">
        <f>IF(AND(AK665=ReachLabel,AY665=1),AP665,0)</f>
        <v>0</v>
      </c>
      <c r="BL665">
        <f>IF(AND(AK665=MatchLabel,AY665=1),AP665,0)</f>
        <v>0</v>
      </c>
      <c r="BM665">
        <f>IF(AND(AK665=SafetyLabel,AY665=1),AP665,0)</f>
        <v>0</v>
      </c>
      <c r="BN665">
        <f>IF(AND(AK665=SecureLabel,AY665=1),AP665,0)</f>
        <v>0</v>
      </c>
      <c r="BO665">
        <f>IF(AND(AK665=SureThingLabel,AY665=1),AP665,0)</f>
        <v>0</v>
      </c>
      <c r="BP665">
        <f>MAX(BK665:BO665)</f>
        <v>0</v>
      </c>
      <c r="BQ665">
        <f>MAX(BL665:BO665)</f>
        <v>0</v>
      </c>
      <c r="BR665">
        <f>MAX(BM665:BO665)</f>
        <v>0</v>
      </c>
      <c r="BS665">
        <f>IF(ISNUMBER(Y665),INDEX(AllCollegeChicago, MATCH(N665,AllCollegeNCES,0))*AY665,0)</f>
        <v>0</v>
      </c>
      <c r="BT665">
        <f>IF(ISNUMBER(Y665),INDEX(AllCollegeMoneyCode, MATCH(N665,AllCollegeNCES,0)),"?")</f>
        <v>0</v>
      </c>
      <c r="BU665">
        <f>IF(OR(BT665="---",BT665="--",BT665="+/--",BT665="+/---"),1,0)</f>
        <v>0</v>
      </c>
      <c r="BV665">
        <f>AY665*AO665*AQ665</f>
        <v>0</v>
      </c>
    </row>
    <row r="666" spans="1:74">
      <c r="A666" t="s">
        <v>86</v>
      </c>
      <c r="B666">
        <v>24512354</v>
      </c>
      <c r="C666" t="s">
        <v>118</v>
      </c>
      <c r="D666" t="s">
        <v>119</v>
      </c>
      <c r="E666" t="s">
        <v>428</v>
      </c>
      <c r="F666" t="s">
        <v>502</v>
      </c>
      <c r="G666" t="s">
        <v>430</v>
      </c>
      <c r="H666" t="s">
        <v>431</v>
      </c>
      <c r="I666" t="s">
        <v>432</v>
      </c>
      <c r="J666" t="s">
        <v>432</v>
      </c>
      <c r="K666">
        <v>0</v>
      </c>
      <c r="L666" t="s">
        <v>428</v>
      </c>
      <c r="M666" t="s">
        <v>428</v>
      </c>
      <c r="N666">
        <v>145813</v>
      </c>
      <c r="O666">
        <f>INDEX(AllCollegeBarrons,MATCH(N666,AllCollegeNCES,0))</f>
        <v>0</v>
      </c>
      <c r="P666">
        <f>INDEX(KidGPAs,MATCH(B666,KidIDs,0))</f>
        <v>0</v>
      </c>
      <c r="Q666">
        <f>INDEX(KidACTs,MATCH(B666,KidIDs,0))</f>
        <v>0</v>
      </c>
      <c r="R666">
        <f>INDEX(Strats,MATCH(B666,KidIDs,0))</f>
        <v>0</v>
      </c>
      <c r="S666">
        <f>INDEX(KidRace,MATCH(B666,KidIDs,0))</f>
        <v>0</v>
      </c>
      <c r="T666">
        <f>IF(OR(S666="M",S666="I"),"H",S666)</f>
        <v>0</v>
      </c>
      <c r="U666">
        <f>INDEX(StudentTargets,MATCH(B666,KidIDs,0))</f>
        <v>0</v>
      </c>
      <c r="V666">
        <f>INDEX(ReachStudentTargets,MATCH(B666,KidIDs,0))</f>
        <v>0</v>
      </c>
      <c r="W666">
        <f>IF(OR(M666="Posse"),1,0)</f>
        <v>0</v>
      </c>
      <c r="X666">
        <f>IF(ISNUMBER(INDEX(AllCollegeGR, MATCH(N666,AllCollegeNCES,0))),ROUND(INDEX(AllCollegeGR, MATCH(N666,AllCollegeNCES,0))+W666*IF(INDEX(AllCollegeGR, MATCH(N666,AllCollegeNCES,0))&gt;0.7,(1-INDEX(AllCollegeGR, MATCH(N666,AllCollegeNCES,0)))/2,0.15),2),INDEX(AllCollegeGR, MATCH(N666,AllCollegeNCES,0)))</f>
        <v>0</v>
      </c>
      <c r="Y666">
        <f>IF(ISNUMBER(INDEX(AllCollegeAAHGR, MATCH(N666,AllCollegeNCES,0))),ROUND(INDEX(AllCollegeAAHGR, MATCH(N666,AllCollegeNCES,0))+W666*IF(INDEX(AllCollegeAAHGR, MATCH(N666,AllCollegeNCES,0))&gt;0.7,(1-INDEX(AllCollegeAAHGR, MATCH(N666,AllCollegeNCES,0)))/2,0.15),2),INDEX(AllCollegeAAHGR, MATCH(N666,AllCollegeNCES,0)))</f>
        <v>0</v>
      </c>
      <c r="Z666">
        <f>IF(OR(T666="H",T666="B"),INDEX(AllCollegeACT25, MATCH(N666,AllCollegeNCES,0)),INDEX(AllCollegeACT50, MATCH(N666,AllCollegeNCES,0)))</f>
        <v>0</v>
      </c>
      <c r="AA666">
        <f>INDEX(CustomWeightsGPA,MATCH(T666&amp;":"&amp;N666,CustomWeightsIndex,0))</f>
        <v>0</v>
      </c>
      <c r="AB666">
        <f>INDEX(CustomWeightsACT,MATCH(T666&amp;":"&amp;N666,CustomWeightsIndex,0))</f>
        <v>0</v>
      </c>
      <c r="AC666">
        <f>INDEX(CustomWeightsIntercept,MATCH(T666&amp;":"&amp;N666,CustomWeightsIndex,0))</f>
        <v>0</v>
      </c>
      <c r="AD666">
        <f>AA666*P666+AB666*Q666+AC666</f>
        <v>0</v>
      </c>
      <c r="AE666">
        <f>INDEX(CoefficientsGPA,MATCH(T666&amp;":"&amp;O666,CoefficientsIndex,0))</f>
        <v>0</v>
      </c>
      <c r="AF666">
        <f>INDEX(CoefficientsACT,MATCH(T666&amp;":"&amp;O666,CoefficientsIndex,0))</f>
        <v>0</v>
      </c>
      <c r="AG666">
        <f>INDEX(CoefficientsIntercept,MATCH(T666&amp;":"&amp;O666,CoefficientsIndex,0))</f>
        <v>0</v>
      </c>
      <c r="AH666">
        <f>AE666*P666+(Q666-Z666)*AF666+AG666</f>
        <v>0</v>
      </c>
      <c r="AI666">
        <f>IF(ISNUMBER(AD666),AD666,AH666)</f>
        <v>0</v>
      </c>
      <c r="AJ666">
        <f>IF(ISNUMBER(AI666),IF(ISNUMBER(AE666),IF(AND(AE666=1,AF666=1,AG666=1),100,ROUND(100*EXP(AI666)/(1+EXP(AI666)),2)),ROUND(100*EXP(AI666)/(1+EXP(AI666)),2)),IF(ISTEXT(O666),IF(LEFT(O666,1)="2",100,"N/A"),"N/A"))</f>
        <v>0</v>
      </c>
      <c r="AK666">
        <f>IF(ISNUMBER(AJ666),IF(AJ666&gt;=99,IF(OR(R666=10,R666=11),MatchLabel,SureThingLabel),IF(AJ666&gt;=95,SecureLabel,IF(AJ666&gt;=80,SafetyLabel,IF(AJ666&gt;=50,MatchLabel,IF(AJ666&gt;=20,ReachLabel,IF(AJ666&gt;=10,LongshotLabel,HailMaryLabel)))))),"Other")</f>
        <v>0</v>
      </c>
      <c r="AL666">
        <f>IF(OR(I666="accepted",I666="cond. accept",I666="summer admit"),IF(J666="yes","CHOICE!","Accepted!"),IF(I666="denied","Denied",IF(K666=1,"Waitlist",IF(L666=1,"Deferred",IF(G666="pending","Pending",IF(OR(G666="initial materials submitted",G666="mid-year submitted",G666="final submitted"),"Submitted",IF(H666="interest","Interest","?")))))))</f>
        <v>0</v>
      </c>
      <c r="AM666">
        <f>IF(OR(AK666=ReachLabel,AK666=LongshotLabel,AK666=HailMaryLabel),1,0)</f>
        <v>0</v>
      </c>
      <c r="AN666">
        <f>IF(OR(AM666=1,AK666=MatchLabel),1,0)</f>
        <v>0</v>
      </c>
      <c r="AO666">
        <f>IF(OR(AK666=MatchLabel,AK666=SafetyLabel,AK666=SecureLabel,AK666=SureThingLabel),1,0)</f>
        <v>0</v>
      </c>
      <c r="AP666">
        <f>IF(OR(T666="H",T666="B"),IF(ISNUMBER(Y666),ROUND(Y666,2),0),IF(ISNUMBER(X666),ROUND(X666,2),0))</f>
        <v>0</v>
      </c>
      <c r="AQ666">
        <f>IF(AP666&gt;=U666,1,0)</f>
        <v>0</v>
      </c>
      <c r="AR666">
        <f>IF(AP666&gt;=V666,1,0)</f>
        <v>0</v>
      </c>
      <c r="AS666">
        <f>IF(AP666&lt;(U666-0.10),1,0)</f>
        <v>0</v>
      </c>
      <c r="AT666">
        <f>1-AJ666/100</f>
        <v>0</v>
      </c>
      <c r="AU666">
        <f>IF(AN666=1,AT666,1)</f>
        <v>0</v>
      </c>
      <c r="AV666">
        <f>IF(AM666=1,AT666,1)</f>
        <v>0</v>
      </c>
      <c r="AW666">
        <f>IF(AND(AQ666=1,ISNUMBER(AT666)),$AT666,1)</f>
        <v>0</v>
      </c>
      <c r="AX666">
        <f>IF(AND(AR666=1,ISNUMBER(AT666)),$AT666,1)</f>
        <v>0</v>
      </c>
      <c r="AY666">
        <f>IF(ISNUMBER(Y666),INDEX(AllCollegeMoney, MATCH(N666,AllCollegeNCES,0)),0)</f>
        <v>0</v>
      </c>
      <c r="AZ666">
        <f>IF(AND(AQ666=1,ISNUMBER(AT666),AY666=1),$AT666,1)</f>
        <v>0</v>
      </c>
      <c r="BA666">
        <f>IF(AND(AR666=1,ISNUMBER(AT666),AY666=1),$AT666,1)</f>
        <v>0</v>
      </c>
      <c r="BB666">
        <f>IF(ISNUMBER(Y666),INDEX(AllCollegeILPub, MATCH(N666,AllCollegeNCES,0)),0)</f>
        <v>0</v>
      </c>
      <c r="BC666">
        <f>IF(AK666=ReachLabel,AP666,0)</f>
        <v>0</v>
      </c>
      <c r="BD666">
        <f>IF(AK666=MatchLabel,AP666,0)</f>
        <v>0</v>
      </c>
      <c r="BE666">
        <f>IF(AK666=SafetyLabel,AP666,0)</f>
        <v>0</v>
      </c>
      <c r="BF666">
        <f>IF(AK666=SecureLabel,AP666,0)</f>
        <v>0</v>
      </c>
      <c r="BG666">
        <f>IF(AK666=SureThingLabel,AP666,0)</f>
        <v>0</v>
      </c>
      <c r="BH666">
        <f>MAX(BC666:BG666)</f>
        <v>0</v>
      </c>
      <c r="BI666">
        <f>MAX(BD666:BG666)</f>
        <v>0</v>
      </c>
      <c r="BJ666">
        <f>MAX(BE666:BG666)</f>
        <v>0</v>
      </c>
      <c r="BK666">
        <f>IF(AND(AK666=ReachLabel,AY666=1),AP666,0)</f>
        <v>0</v>
      </c>
      <c r="BL666">
        <f>IF(AND(AK666=MatchLabel,AY666=1),AP666,0)</f>
        <v>0</v>
      </c>
      <c r="BM666">
        <f>IF(AND(AK666=SafetyLabel,AY666=1),AP666,0)</f>
        <v>0</v>
      </c>
      <c r="BN666">
        <f>IF(AND(AK666=SecureLabel,AY666=1),AP666,0)</f>
        <v>0</v>
      </c>
      <c r="BO666">
        <f>IF(AND(AK666=SureThingLabel,AY666=1),AP666,0)</f>
        <v>0</v>
      </c>
      <c r="BP666">
        <f>MAX(BK666:BO666)</f>
        <v>0</v>
      </c>
      <c r="BQ666">
        <f>MAX(BL666:BO666)</f>
        <v>0</v>
      </c>
      <c r="BR666">
        <f>MAX(BM666:BO666)</f>
        <v>0</v>
      </c>
      <c r="BS666">
        <f>IF(ISNUMBER(Y666),INDEX(AllCollegeChicago, MATCH(N666,AllCollegeNCES,0))*AY666,0)</f>
        <v>0</v>
      </c>
      <c r="BT666">
        <f>IF(ISNUMBER(Y666),INDEX(AllCollegeMoneyCode, MATCH(N666,AllCollegeNCES,0)),"?")</f>
        <v>0</v>
      </c>
      <c r="BU666">
        <f>IF(OR(BT666="---",BT666="--",BT666="+/--",BT666="+/---"),1,0)</f>
        <v>0</v>
      </c>
      <c r="BV666">
        <f>AY666*AO666*AQ666</f>
        <v>0</v>
      </c>
    </row>
    <row r="667" spans="1:74">
      <c r="A667" t="s">
        <v>86</v>
      </c>
      <c r="B667">
        <v>24512354</v>
      </c>
      <c r="C667" t="s">
        <v>118</v>
      </c>
      <c r="D667" t="s">
        <v>119</v>
      </c>
      <c r="E667" t="s">
        <v>428</v>
      </c>
      <c r="F667" t="s">
        <v>447</v>
      </c>
      <c r="G667" t="s">
        <v>463</v>
      </c>
      <c r="H667" t="s">
        <v>431</v>
      </c>
      <c r="I667" t="s">
        <v>432</v>
      </c>
      <c r="J667" t="s">
        <v>432</v>
      </c>
      <c r="K667">
        <v>0</v>
      </c>
      <c r="L667" t="s">
        <v>428</v>
      </c>
      <c r="M667" t="s">
        <v>428</v>
      </c>
      <c r="N667">
        <v>145600</v>
      </c>
      <c r="O667">
        <f>INDEX(AllCollegeBarrons,MATCH(N667,AllCollegeNCES,0))</f>
        <v>0</v>
      </c>
      <c r="P667">
        <f>INDEX(KidGPAs,MATCH(B667,KidIDs,0))</f>
        <v>0</v>
      </c>
      <c r="Q667">
        <f>INDEX(KidACTs,MATCH(B667,KidIDs,0))</f>
        <v>0</v>
      </c>
      <c r="R667">
        <f>INDEX(Strats,MATCH(B667,KidIDs,0))</f>
        <v>0</v>
      </c>
      <c r="S667">
        <f>INDEX(KidRace,MATCH(B667,KidIDs,0))</f>
        <v>0</v>
      </c>
      <c r="T667">
        <f>IF(OR(S667="M",S667="I"),"H",S667)</f>
        <v>0</v>
      </c>
      <c r="U667">
        <f>INDEX(StudentTargets,MATCH(B667,KidIDs,0))</f>
        <v>0</v>
      </c>
      <c r="V667">
        <f>INDEX(ReachStudentTargets,MATCH(B667,KidIDs,0))</f>
        <v>0</v>
      </c>
      <c r="W667">
        <f>IF(OR(M667="Posse"),1,0)</f>
        <v>0</v>
      </c>
      <c r="X667">
        <f>IF(ISNUMBER(INDEX(AllCollegeGR, MATCH(N667,AllCollegeNCES,0))),ROUND(INDEX(AllCollegeGR, MATCH(N667,AllCollegeNCES,0))+W667*IF(INDEX(AllCollegeGR, MATCH(N667,AllCollegeNCES,0))&gt;0.7,(1-INDEX(AllCollegeGR, MATCH(N667,AllCollegeNCES,0)))/2,0.15),2),INDEX(AllCollegeGR, MATCH(N667,AllCollegeNCES,0)))</f>
        <v>0</v>
      </c>
      <c r="Y667">
        <f>IF(ISNUMBER(INDEX(AllCollegeAAHGR, MATCH(N667,AllCollegeNCES,0))),ROUND(INDEX(AllCollegeAAHGR, MATCH(N667,AllCollegeNCES,0))+W667*IF(INDEX(AllCollegeAAHGR, MATCH(N667,AllCollegeNCES,0))&gt;0.7,(1-INDEX(AllCollegeAAHGR, MATCH(N667,AllCollegeNCES,0)))/2,0.15),2),INDEX(AllCollegeAAHGR, MATCH(N667,AllCollegeNCES,0)))</f>
        <v>0</v>
      </c>
      <c r="Z667">
        <f>IF(OR(T667="H",T667="B"),INDEX(AllCollegeACT25, MATCH(N667,AllCollegeNCES,0)),INDEX(AllCollegeACT50, MATCH(N667,AllCollegeNCES,0)))</f>
        <v>0</v>
      </c>
      <c r="AA667">
        <f>INDEX(CustomWeightsGPA,MATCH(T667&amp;":"&amp;N667,CustomWeightsIndex,0))</f>
        <v>0</v>
      </c>
      <c r="AB667">
        <f>INDEX(CustomWeightsACT,MATCH(T667&amp;":"&amp;N667,CustomWeightsIndex,0))</f>
        <v>0</v>
      </c>
      <c r="AC667">
        <f>INDEX(CustomWeightsIntercept,MATCH(T667&amp;":"&amp;N667,CustomWeightsIndex,0))</f>
        <v>0</v>
      </c>
      <c r="AD667">
        <f>AA667*P667+AB667*Q667+AC667</f>
        <v>0</v>
      </c>
      <c r="AE667">
        <f>INDEX(CoefficientsGPA,MATCH(T667&amp;":"&amp;O667,CoefficientsIndex,0))</f>
        <v>0</v>
      </c>
      <c r="AF667">
        <f>INDEX(CoefficientsACT,MATCH(T667&amp;":"&amp;O667,CoefficientsIndex,0))</f>
        <v>0</v>
      </c>
      <c r="AG667">
        <f>INDEX(CoefficientsIntercept,MATCH(T667&amp;":"&amp;O667,CoefficientsIndex,0))</f>
        <v>0</v>
      </c>
      <c r="AH667">
        <f>AE667*P667+(Q667-Z667)*AF667+AG667</f>
        <v>0</v>
      </c>
      <c r="AI667">
        <f>IF(ISNUMBER(AD667),AD667,AH667)</f>
        <v>0</v>
      </c>
      <c r="AJ667">
        <f>IF(ISNUMBER(AI667),IF(ISNUMBER(AE667),IF(AND(AE667=1,AF667=1,AG667=1),100,ROUND(100*EXP(AI667)/(1+EXP(AI667)),2)),ROUND(100*EXP(AI667)/(1+EXP(AI667)),2)),IF(ISTEXT(O667),IF(LEFT(O667,1)="2",100,"N/A"),"N/A"))</f>
        <v>0</v>
      </c>
      <c r="AK667">
        <f>IF(ISNUMBER(AJ667),IF(AJ667&gt;=99,IF(OR(R667=10,R667=11),MatchLabel,SureThingLabel),IF(AJ667&gt;=95,SecureLabel,IF(AJ667&gt;=80,SafetyLabel,IF(AJ667&gt;=50,MatchLabel,IF(AJ667&gt;=20,ReachLabel,IF(AJ667&gt;=10,LongshotLabel,HailMaryLabel)))))),"Other")</f>
        <v>0</v>
      </c>
      <c r="AL667">
        <f>IF(OR(I667="accepted",I667="cond. accept",I667="summer admit"),IF(J667="yes","CHOICE!","Accepted!"),IF(I667="denied","Denied",IF(K667=1,"Waitlist",IF(L667=1,"Deferred",IF(G667="pending","Pending",IF(OR(G667="initial materials submitted",G667="mid-year submitted",G667="final submitted"),"Submitted",IF(H667="interest","Interest","?")))))))</f>
        <v>0</v>
      </c>
      <c r="AM667">
        <f>IF(OR(AK667=ReachLabel,AK667=LongshotLabel,AK667=HailMaryLabel),1,0)</f>
        <v>0</v>
      </c>
      <c r="AN667">
        <f>IF(OR(AM667=1,AK667=MatchLabel),1,0)</f>
        <v>0</v>
      </c>
      <c r="AO667">
        <f>IF(OR(AK667=MatchLabel,AK667=SafetyLabel,AK667=SecureLabel,AK667=SureThingLabel),1,0)</f>
        <v>0</v>
      </c>
      <c r="AP667">
        <f>IF(OR(T667="H",T667="B"),IF(ISNUMBER(Y667),ROUND(Y667,2),0),IF(ISNUMBER(X667),ROUND(X667,2),0))</f>
        <v>0</v>
      </c>
      <c r="AQ667">
        <f>IF(AP667&gt;=U667,1,0)</f>
        <v>0</v>
      </c>
      <c r="AR667">
        <f>IF(AP667&gt;=V667,1,0)</f>
        <v>0</v>
      </c>
      <c r="AS667">
        <f>IF(AP667&lt;(U667-0.10),1,0)</f>
        <v>0</v>
      </c>
      <c r="AT667">
        <f>1-AJ667/100</f>
        <v>0</v>
      </c>
      <c r="AU667">
        <f>IF(AN667=1,AT667,1)</f>
        <v>0</v>
      </c>
      <c r="AV667">
        <f>IF(AM667=1,AT667,1)</f>
        <v>0</v>
      </c>
      <c r="AW667">
        <f>IF(AND(AQ667=1,ISNUMBER(AT667)),$AT667,1)</f>
        <v>0</v>
      </c>
      <c r="AX667">
        <f>IF(AND(AR667=1,ISNUMBER(AT667)),$AT667,1)</f>
        <v>0</v>
      </c>
      <c r="AY667">
        <f>IF(ISNUMBER(Y667),INDEX(AllCollegeMoney, MATCH(N667,AllCollegeNCES,0)),0)</f>
        <v>0</v>
      </c>
      <c r="AZ667">
        <f>IF(AND(AQ667=1,ISNUMBER(AT667),AY667=1),$AT667,1)</f>
        <v>0</v>
      </c>
      <c r="BA667">
        <f>IF(AND(AR667=1,ISNUMBER(AT667),AY667=1),$AT667,1)</f>
        <v>0</v>
      </c>
      <c r="BB667">
        <f>IF(ISNUMBER(Y667),INDEX(AllCollegeILPub, MATCH(N667,AllCollegeNCES,0)),0)</f>
        <v>0</v>
      </c>
      <c r="BC667">
        <f>IF(AK667=ReachLabel,AP667,0)</f>
        <v>0</v>
      </c>
      <c r="BD667">
        <f>IF(AK667=MatchLabel,AP667,0)</f>
        <v>0</v>
      </c>
      <c r="BE667">
        <f>IF(AK667=SafetyLabel,AP667,0)</f>
        <v>0</v>
      </c>
      <c r="BF667">
        <f>IF(AK667=SecureLabel,AP667,0)</f>
        <v>0</v>
      </c>
      <c r="BG667">
        <f>IF(AK667=SureThingLabel,AP667,0)</f>
        <v>0</v>
      </c>
      <c r="BH667">
        <f>MAX(BC667:BG667)</f>
        <v>0</v>
      </c>
      <c r="BI667">
        <f>MAX(BD667:BG667)</f>
        <v>0</v>
      </c>
      <c r="BJ667">
        <f>MAX(BE667:BG667)</f>
        <v>0</v>
      </c>
      <c r="BK667">
        <f>IF(AND(AK667=ReachLabel,AY667=1),AP667,0)</f>
        <v>0</v>
      </c>
      <c r="BL667">
        <f>IF(AND(AK667=MatchLabel,AY667=1),AP667,0)</f>
        <v>0</v>
      </c>
      <c r="BM667">
        <f>IF(AND(AK667=SafetyLabel,AY667=1),AP667,0)</f>
        <v>0</v>
      </c>
      <c r="BN667">
        <f>IF(AND(AK667=SecureLabel,AY667=1),AP667,0)</f>
        <v>0</v>
      </c>
      <c r="BO667">
        <f>IF(AND(AK667=SureThingLabel,AY667=1),AP667,0)</f>
        <v>0</v>
      </c>
      <c r="BP667">
        <f>MAX(BK667:BO667)</f>
        <v>0</v>
      </c>
      <c r="BQ667">
        <f>MAX(BL667:BO667)</f>
        <v>0</v>
      </c>
      <c r="BR667">
        <f>MAX(BM667:BO667)</f>
        <v>0</v>
      </c>
      <c r="BS667">
        <f>IF(ISNUMBER(Y667),INDEX(AllCollegeChicago, MATCH(N667,AllCollegeNCES,0))*AY667,0)</f>
        <v>0</v>
      </c>
      <c r="BT667">
        <f>IF(ISNUMBER(Y667),INDEX(AllCollegeMoneyCode, MATCH(N667,AllCollegeNCES,0)),"?")</f>
        <v>0</v>
      </c>
      <c r="BU667">
        <f>IF(OR(BT667="---",BT667="--",BT667="+/--",BT667="+/---"),1,0)</f>
        <v>0</v>
      </c>
      <c r="BV667">
        <f>AY667*AO667*AQ667</f>
        <v>0</v>
      </c>
    </row>
    <row r="668" spans="1:74">
      <c r="A668" t="s">
        <v>86</v>
      </c>
      <c r="B668">
        <v>24597473</v>
      </c>
      <c r="C668" t="s">
        <v>326</v>
      </c>
      <c r="D668" t="s">
        <v>327</v>
      </c>
      <c r="E668" t="s">
        <v>428</v>
      </c>
      <c r="F668" t="s">
        <v>466</v>
      </c>
      <c r="G668" t="s">
        <v>430</v>
      </c>
      <c r="H668" t="s">
        <v>431</v>
      </c>
      <c r="I668" t="s">
        <v>432</v>
      </c>
      <c r="J668" t="s">
        <v>432</v>
      </c>
      <c r="K668">
        <v>0</v>
      </c>
      <c r="L668" t="s">
        <v>428</v>
      </c>
      <c r="M668" t="s">
        <v>428</v>
      </c>
      <c r="N668">
        <v>213385</v>
      </c>
      <c r="O668">
        <f>INDEX(AllCollegeBarrons,MATCH(N668,AllCollegeNCES,0))</f>
        <v>0</v>
      </c>
      <c r="P668">
        <f>INDEX(KidGPAs,MATCH(B668,KidIDs,0))</f>
        <v>0</v>
      </c>
      <c r="Q668">
        <f>INDEX(KidACTs,MATCH(B668,KidIDs,0))</f>
        <v>0</v>
      </c>
      <c r="R668">
        <f>INDEX(Strats,MATCH(B668,KidIDs,0))</f>
        <v>0</v>
      </c>
      <c r="S668">
        <f>INDEX(KidRace,MATCH(B668,KidIDs,0))</f>
        <v>0</v>
      </c>
      <c r="T668">
        <f>IF(OR(S668="M",S668="I"),"H",S668)</f>
        <v>0</v>
      </c>
      <c r="U668">
        <f>INDEX(StudentTargets,MATCH(B668,KidIDs,0))</f>
        <v>0</v>
      </c>
      <c r="V668">
        <f>INDEX(ReachStudentTargets,MATCH(B668,KidIDs,0))</f>
        <v>0</v>
      </c>
      <c r="W668">
        <f>IF(OR(M668="Posse"),1,0)</f>
        <v>0</v>
      </c>
      <c r="X668">
        <f>IF(ISNUMBER(INDEX(AllCollegeGR, MATCH(N668,AllCollegeNCES,0))),ROUND(INDEX(AllCollegeGR, MATCH(N668,AllCollegeNCES,0))+W668*IF(INDEX(AllCollegeGR, MATCH(N668,AllCollegeNCES,0))&gt;0.7,(1-INDEX(AllCollegeGR, MATCH(N668,AllCollegeNCES,0)))/2,0.15),2),INDEX(AllCollegeGR, MATCH(N668,AllCollegeNCES,0)))</f>
        <v>0</v>
      </c>
      <c r="Y668">
        <f>IF(ISNUMBER(INDEX(AllCollegeAAHGR, MATCH(N668,AllCollegeNCES,0))),ROUND(INDEX(AllCollegeAAHGR, MATCH(N668,AllCollegeNCES,0))+W668*IF(INDEX(AllCollegeAAHGR, MATCH(N668,AllCollegeNCES,0))&gt;0.7,(1-INDEX(AllCollegeAAHGR, MATCH(N668,AllCollegeNCES,0)))/2,0.15),2),INDEX(AllCollegeAAHGR, MATCH(N668,AllCollegeNCES,0)))</f>
        <v>0</v>
      </c>
      <c r="Z668">
        <f>IF(OR(T668="H",T668="B"),INDEX(AllCollegeACT25, MATCH(N668,AllCollegeNCES,0)),INDEX(AllCollegeACT50, MATCH(N668,AllCollegeNCES,0)))</f>
        <v>0</v>
      </c>
      <c r="AA668">
        <f>INDEX(CustomWeightsGPA,MATCH(T668&amp;":"&amp;N668,CustomWeightsIndex,0))</f>
        <v>0</v>
      </c>
      <c r="AB668">
        <f>INDEX(CustomWeightsACT,MATCH(T668&amp;":"&amp;N668,CustomWeightsIndex,0))</f>
        <v>0</v>
      </c>
      <c r="AC668">
        <f>INDEX(CustomWeightsIntercept,MATCH(T668&amp;":"&amp;N668,CustomWeightsIndex,0))</f>
        <v>0</v>
      </c>
      <c r="AD668">
        <f>AA668*P668+AB668*Q668+AC668</f>
        <v>0</v>
      </c>
      <c r="AE668">
        <f>INDEX(CoefficientsGPA,MATCH(T668&amp;":"&amp;O668,CoefficientsIndex,0))</f>
        <v>0</v>
      </c>
      <c r="AF668">
        <f>INDEX(CoefficientsACT,MATCH(T668&amp;":"&amp;O668,CoefficientsIndex,0))</f>
        <v>0</v>
      </c>
      <c r="AG668">
        <f>INDEX(CoefficientsIntercept,MATCH(T668&amp;":"&amp;O668,CoefficientsIndex,0))</f>
        <v>0</v>
      </c>
      <c r="AH668">
        <f>AE668*P668+(Q668-Z668)*AF668+AG668</f>
        <v>0</v>
      </c>
      <c r="AI668">
        <f>IF(ISNUMBER(AD668),AD668,AH668)</f>
        <v>0</v>
      </c>
      <c r="AJ668">
        <f>IF(ISNUMBER(AI668),IF(ISNUMBER(AE668),IF(AND(AE668=1,AF668=1,AG668=1),100,ROUND(100*EXP(AI668)/(1+EXP(AI668)),2)),ROUND(100*EXP(AI668)/(1+EXP(AI668)),2)),IF(ISTEXT(O668),IF(LEFT(O668,1)="2",100,"N/A"),"N/A"))</f>
        <v>0</v>
      </c>
      <c r="AK668">
        <f>IF(ISNUMBER(AJ668),IF(AJ668&gt;=99,IF(OR(R668=10,R668=11),MatchLabel,SureThingLabel),IF(AJ668&gt;=95,SecureLabel,IF(AJ668&gt;=80,SafetyLabel,IF(AJ668&gt;=50,MatchLabel,IF(AJ668&gt;=20,ReachLabel,IF(AJ668&gt;=10,LongshotLabel,HailMaryLabel)))))),"Other")</f>
        <v>0</v>
      </c>
      <c r="AL668">
        <f>IF(OR(I668="accepted",I668="cond. accept",I668="summer admit"),IF(J668="yes","CHOICE!","Accepted!"),IF(I668="denied","Denied",IF(K668=1,"Waitlist",IF(L668=1,"Deferred",IF(G668="pending","Pending",IF(OR(G668="initial materials submitted",G668="mid-year submitted",G668="final submitted"),"Submitted",IF(H668="interest","Interest","?")))))))</f>
        <v>0</v>
      </c>
      <c r="AM668">
        <f>IF(OR(AK668=ReachLabel,AK668=LongshotLabel,AK668=HailMaryLabel),1,0)</f>
        <v>0</v>
      </c>
      <c r="AN668">
        <f>IF(OR(AM668=1,AK668=MatchLabel),1,0)</f>
        <v>0</v>
      </c>
      <c r="AO668">
        <f>IF(OR(AK668=MatchLabel,AK668=SafetyLabel,AK668=SecureLabel,AK668=SureThingLabel),1,0)</f>
        <v>0</v>
      </c>
      <c r="AP668">
        <f>IF(OR(T668="H",T668="B"),IF(ISNUMBER(Y668),ROUND(Y668,2),0),IF(ISNUMBER(X668),ROUND(X668,2),0))</f>
        <v>0</v>
      </c>
      <c r="AQ668">
        <f>IF(AP668&gt;=U668,1,0)</f>
        <v>0</v>
      </c>
      <c r="AR668">
        <f>IF(AP668&gt;=V668,1,0)</f>
        <v>0</v>
      </c>
      <c r="AS668">
        <f>IF(AP668&lt;(U668-0.10),1,0)</f>
        <v>0</v>
      </c>
      <c r="AT668">
        <f>1-AJ668/100</f>
        <v>0</v>
      </c>
      <c r="AU668">
        <f>IF(AN668=1,AT668,1)</f>
        <v>0</v>
      </c>
      <c r="AV668">
        <f>IF(AM668=1,AT668,1)</f>
        <v>0</v>
      </c>
      <c r="AW668">
        <f>IF(AND(AQ668=1,ISNUMBER(AT668)),$AT668,1)</f>
        <v>0</v>
      </c>
      <c r="AX668">
        <f>IF(AND(AR668=1,ISNUMBER(AT668)),$AT668,1)</f>
        <v>0</v>
      </c>
      <c r="AY668">
        <f>IF(ISNUMBER(Y668),INDEX(AllCollegeMoney, MATCH(N668,AllCollegeNCES,0)),0)</f>
        <v>0</v>
      </c>
      <c r="AZ668">
        <f>IF(AND(AQ668=1,ISNUMBER(AT668),AY668=1),$AT668,1)</f>
        <v>0</v>
      </c>
      <c r="BA668">
        <f>IF(AND(AR668=1,ISNUMBER(AT668),AY668=1),$AT668,1)</f>
        <v>0</v>
      </c>
      <c r="BB668">
        <f>IF(ISNUMBER(Y668),INDEX(AllCollegeILPub, MATCH(N668,AllCollegeNCES,0)),0)</f>
        <v>0</v>
      </c>
      <c r="BC668">
        <f>IF(AK668=ReachLabel,AP668,0)</f>
        <v>0</v>
      </c>
      <c r="BD668">
        <f>IF(AK668=MatchLabel,AP668,0)</f>
        <v>0</v>
      </c>
      <c r="BE668">
        <f>IF(AK668=SafetyLabel,AP668,0)</f>
        <v>0</v>
      </c>
      <c r="BF668">
        <f>IF(AK668=SecureLabel,AP668,0)</f>
        <v>0</v>
      </c>
      <c r="BG668">
        <f>IF(AK668=SureThingLabel,AP668,0)</f>
        <v>0</v>
      </c>
      <c r="BH668">
        <f>MAX(BC668:BG668)</f>
        <v>0</v>
      </c>
      <c r="BI668">
        <f>MAX(BD668:BG668)</f>
        <v>0</v>
      </c>
      <c r="BJ668">
        <f>MAX(BE668:BG668)</f>
        <v>0</v>
      </c>
      <c r="BK668">
        <f>IF(AND(AK668=ReachLabel,AY668=1),AP668,0)</f>
        <v>0</v>
      </c>
      <c r="BL668">
        <f>IF(AND(AK668=MatchLabel,AY668=1),AP668,0)</f>
        <v>0</v>
      </c>
      <c r="BM668">
        <f>IF(AND(AK668=SafetyLabel,AY668=1),AP668,0)</f>
        <v>0</v>
      </c>
      <c r="BN668">
        <f>IF(AND(AK668=SecureLabel,AY668=1),AP668,0)</f>
        <v>0</v>
      </c>
      <c r="BO668">
        <f>IF(AND(AK668=SureThingLabel,AY668=1),AP668,0)</f>
        <v>0</v>
      </c>
      <c r="BP668">
        <f>MAX(BK668:BO668)</f>
        <v>0</v>
      </c>
      <c r="BQ668">
        <f>MAX(BL668:BO668)</f>
        <v>0</v>
      </c>
      <c r="BR668">
        <f>MAX(BM668:BO668)</f>
        <v>0</v>
      </c>
      <c r="BS668">
        <f>IF(ISNUMBER(Y668),INDEX(AllCollegeChicago, MATCH(N668,AllCollegeNCES,0))*AY668,0)</f>
        <v>0</v>
      </c>
      <c r="BT668">
        <f>IF(ISNUMBER(Y668),INDEX(AllCollegeMoneyCode, MATCH(N668,AllCollegeNCES,0)),"?")</f>
        <v>0</v>
      </c>
      <c r="BU668">
        <f>IF(OR(BT668="---",BT668="--",BT668="+/--",BT668="+/---"),1,0)</f>
        <v>0</v>
      </c>
      <c r="BV668">
        <f>AY668*AO668*AQ668</f>
        <v>0</v>
      </c>
    </row>
    <row r="669" spans="1:74">
      <c r="A669" t="s">
        <v>86</v>
      </c>
      <c r="B669">
        <v>24597473</v>
      </c>
      <c r="C669" t="s">
        <v>326</v>
      </c>
      <c r="D669" t="s">
        <v>327</v>
      </c>
      <c r="E669" t="s">
        <v>428</v>
      </c>
      <c r="F669" t="s">
        <v>495</v>
      </c>
      <c r="G669" t="s">
        <v>430</v>
      </c>
      <c r="H669" t="s">
        <v>431</v>
      </c>
      <c r="I669" t="s">
        <v>432</v>
      </c>
      <c r="J669" t="s">
        <v>432</v>
      </c>
      <c r="K669">
        <v>0</v>
      </c>
      <c r="L669" t="s">
        <v>428</v>
      </c>
      <c r="M669" t="s">
        <v>428</v>
      </c>
      <c r="N669">
        <v>195526</v>
      </c>
      <c r="O669">
        <f>INDEX(AllCollegeBarrons,MATCH(N669,AllCollegeNCES,0))</f>
        <v>0</v>
      </c>
      <c r="P669">
        <f>INDEX(KidGPAs,MATCH(B669,KidIDs,0))</f>
        <v>0</v>
      </c>
      <c r="Q669">
        <f>INDEX(KidACTs,MATCH(B669,KidIDs,0))</f>
        <v>0</v>
      </c>
      <c r="R669">
        <f>INDEX(Strats,MATCH(B669,KidIDs,0))</f>
        <v>0</v>
      </c>
      <c r="S669">
        <f>INDEX(KidRace,MATCH(B669,KidIDs,0))</f>
        <v>0</v>
      </c>
      <c r="T669">
        <f>IF(OR(S669="M",S669="I"),"H",S669)</f>
        <v>0</v>
      </c>
      <c r="U669">
        <f>INDEX(StudentTargets,MATCH(B669,KidIDs,0))</f>
        <v>0</v>
      </c>
      <c r="V669">
        <f>INDEX(ReachStudentTargets,MATCH(B669,KidIDs,0))</f>
        <v>0</v>
      </c>
      <c r="W669">
        <f>IF(OR(M669="Posse"),1,0)</f>
        <v>0</v>
      </c>
      <c r="X669">
        <f>IF(ISNUMBER(INDEX(AllCollegeGR, MATCH(N669,AllCollegeNCES,0))),ROUND(INDEX(AllCollegeGR, MATCH(N669,AllCollegeNCES,0))+W669*IF(INDEX(AllCollegeGR, MATCH(N669,AllCollegeNCES,0))&gt;0.7,(1-INDEX(AllCollegeGR, MATCH(N669,AllCollegeNCES,0)))/2,0.15),2),INDEX(AllCollegeGR, MATCH(N669,AllCollegeNCES,0)))</f>
        <v>0</v>
      </c>
      <c r="Y669">
        <f>IF(ISNUMBER(INDEX(AllCollegeAAHGR, MATCH(N669,AllCollegeNCES,0))),ROUND(INDEX(AllCollegeAAHGR, MATCH(N669,AllCollegeNCES,0))+W669*IF(INDEX(AllCollegeAAHGR, MATCH(N669,AllCollegeNCES,0))&gt;0.7,(1-INDEX(AllCollegeAAHGR, MATCH(N669,AllCollegeNCES,0)))/2,0.15),2),INDEX(AllCollegeAAHGR, MATCH(N669,AllCollegeNCES,0)))</f>
        <v>0</v>
      </c>
      <c r="Z669">
        <f>IF(OR(T669="H",T669="B"),INDEX(AllCollegeACT25, MATCH(N669,AllCollegeNCES,0)),INDEX(AllCollegeACT50, MATCH(N669,AllCollegeNCES,0)))</f>
        <v>0</v>
      </c>
      <c r="AA669">
        <f>INDEX(CustomWeightsGPA,MATCH(T669&amp;":"&amp;N669,CustomWeightsIndex,0))</f>
        <v>0</v>
      </c>
      <c r="AB669">
        <f>INDEX(CustomWeightsACT,MATCH(T669&amp;":"&amp;N669,CustomWeightsIndex,0))</f>
        <v>0</v>
      </c>
      <c r="AC669">
        <f>INDEX(CustomWeightsIntercept,MATCH(T669&amp;":"&amp;N669,CustomWeightsIndex,0))</f>
        <v>0</v>
      </c>
      <c r="AD669">
        <f>AA669*P669+AB669*Q669+AC669</f>
        <v>0</v>
      </c>
      <c r="AE669">
        <f>INDEX(CoefficientsGPA,MATCH(T669&amp;":"&amp;O669,CoefficientsIndex,0))</f>
        <v>0</v>
      </c>
      <c r="AF669">
        <f>INDEX(CoefficientsACT,MATCH(T669&amp;":"&amp;O669,CoefficientsIndex,0))</f>
        <v>0</v>
      </c>
      <c r="AG669">
        <f>INDEX(CoefficientsIntercept,MATCH(T669&amp;":"&amp;O669,CoefficientsIndex,0))</f>
        <v>0</v>
      </c>
      <c r="AH669">
        <f>AE669*P669+(Q669-Z669)*AF669+AG669</f>
        <v>0</v>
      </c>
      <c r="AI669">
        <f>IF(ISNUMBER(AD669),AD669,AH669)</f>
        <v>0</v>
      </c>
      <c r="AJ669">
        <f>IF(ISNUMBER(AI669),IF(ISNUMBER(AE669),IF(AND(AE669=1,AF669=1,AG669=1),100,ROUND(100*EXP(AI669)/(1+EXP(AI669)),2)),ROUND(100*EXP(AI669)/(1+EXP(AI669)),2)),IF(ISTEXT(O669),IF(LEFT(O669,1)="2",100,"N/A"),"N/A"))</f>
        <v>0</v>
      </c>
      <c r="AK669">
        <f>IF(ISNUMBER(AJ669),IF(AJ669&gt;=99,IF(OR(R669=10,R669=11),MatchLabel,SureThingLabel),IF(AJ669&gt;=95,SecureLabel,IF(AJ669&gt;=80,SafetyLabel,IF(AJ669&gt;=50,MatchLabel,IF(AJ669&gt;=20,ReachLabel,IF(AJ669&gt;=10,LongshotLabel,HailMaryLabel)))))),"Other")</f>
        <v>0</v>
      </c>
      <c r="AL669">
        <f>IF(OR(I669="accepted",I669="cond. accept",I669="summer admit"),IF(J669="yes","CHOICE!","Accepted!"),IF(I669="denied","Denied",IF(K669=1,"Waitlist",IF(L669=1,"Deferred",IF(G669="pending","Pending",IF(OR(G669="initial materials submitted",G669="mid-year submitted",G669="final submitted"),"Submitted",IF(H669="interest","Interest","?")))))))</f>
        <v>0</v>
      </c>
      <c r="AM669">
        <f>IF(OR(AK669=ReachLabel,AK669=LongshotLabel,AK669=HailMaryLabel),1,0)</f>
        <v>0</v>
      </c>
      <c r="AN669">
        <f>IF(OR(AM669=1,AK669=MatchLabel),1,0)</f>
        <v>0</v>
      </c>
      <c r="AO669">
        <f>IF(OR(AK669=MatchLabel,AK669=SafetyLabel,AK669=SecureLabel,AK669=SureThingLabel),1,0)</f>
        <v>0</v>
      </c>
      <c r="AP669">
        <f>IF(OR(T669="H",T669="B"),IF(ISNUMBER(Y669),ROUND(Y669,2),0),IF(ISNUMBER(X669),ROUND(X669,2),0))</f>
        <v>0</v>
      </c>
      <c r="AQ669">
        <f>IF(AP669&gt;=U669,1,0)</f>
        <v>0</v>
      </c>
      <c r="AR669">
        <f>IF(AP669&gt;=V669,1,0)</f>
        <v>0</v>
      </c>
      <c r="AS669">
        <f>IF(AP669&lt;(U669-0.10),1,0)</f>
        <v>0</v>
      </c>
      <c r="AT669">
        <f>1-AJ669/100</f>
        <v>0</v>
      </c>
      <c r="AU669">
        <f>IF(AN669=1,AT669,1)</f>
        <v>0</v>
      </c>
      <c r="AV669">
        <f>IF(AM669=1,AT669,1)</f>
        <v>0</v>
      </c>
      <c r="AW669">
        <f>IF(AND(AQ669=1,ISNUMBER(AT669)),$AT669,1)</f>
        <v>0</v>
      </c>
      <c r="AX669">
        <f>IF(AND(AR669=1,ISNUMBER(AT669)),$AT669,1)</f>
        <v>0</v>
      </c>
      <c r="AY669">
        <f>IF(ISNUMBER(Y669),INDEX(AllCollegeMoney, MATCH(N669,AllCollegeNCES,0)),0)</f>
        <v>0</v>
      </c>
      <c r="AZ669">
        <f>IF(AND(AQ669=1,ISNUMBER(AT669),AY669=1),$AT669,1)</f>
        <v>0</v>
      </c>
      <c r="BA669">
        <f>IF(AND(AR669=1,ISNUMBER(AT669),AY669=1),$AT669,1)</f>
        <v>0</v>
      </c>
      <c r="BB669">
        <f>IF(ISNUMBER(Y669),INDEX(AllCollegeILPub, MATCH(N669,AllCollegeNCES,0)),0)</f>
        <v>0</v>
      </c>
      <c r="BC669">
        <f>IF(AK669=ReachLabel,AP669,0)</f>
        <v>0</v>
      </c>
      <c r="BD669">
        <f>IF(AK669=MatchLabel,AP669,0)</f>
        <v>0</v>
      </c>
      <c r="BE669">
        <f>IF(AK669=SafetyLabel,AP669,0)</f>
        <v>0</v>
      </c>
      <c r="BF669">
        <f>IF(AK669=SecureLabel,AP669,0)</f>
        <v>0</v>
      </c>
      <c r="BG669">
        <f>IF(AK669=SureThingLabel,AP669,0)</f>
        <v>0</v>
      </c>
      <c r="BH669">
        <f>MAX(BC669:BG669)</f>
        <v>0</v>
      </c>
      <c r="BI669">
        <f>MAX(BD669:BG669)</f>
        <v>0</v>
      </c>
      <c r="BJ669">
        <f>MAX(BE669:BG669)</f>
        <v>0</v>
      </c>
      <c r="BK669">
        <f>IF(AND(AK669=ReachLabel,AY669=1),AP669,0)</f>
        <v>0</v>
      </c>
      <c r="BL669">
        <f>IF(AND(AK669=MatchLabel,AY669=1),AP669,0)</f>
        <v>0</v>
      </c>
      <c r="BM669">
        <f>IF(AND(AK669=SafetyLabel,AY669=1),AP669,0)</f>
        <v>0</v>
      </c>
      <c r="BN669">
        <f>IF(AND(AK669=SecureLabel,AY669=1),AP669,0)</f>
        <v>0</v>
      </c>
      <c r="BO669">
        <f>IF(AND(AK669=SureThingLabel,AY669=1),AP669,0)</f>
        <v>0</v>
      </c>
      <c r="BP669">
        <f>MAX(BK669:BO669)</f>
        <v>0</v>
      </c>
      <c r="BQ669">
        <f>MAX(BL669:BO669)</f>
        <v>0</v>
      </c>
      <c r="BR669">
        <f>MAX(BM669:BO669)</f>
        <v>0</v>
      </c>
      <c r="BS669">
        <f>IF(ISNUMBER(Y669),INDEX(AllCollegeChicago, MATCH(N669,AllCollegeNCES,0))*AY669,0)</f>
        <v>0</v>
      </c>
      <c r="BT669">
        <f>IF(ISNUMBER(Y669),INDEX(AllCollegeMoneyCode, MATCH(N669,AllCollegeNCES,0)),"?")</f>
        <v>0</v>
      </c>
      <c r="BU669">
        <f>IF(OR(BT669="---",BT669="--",BT669="+/--",BT669="+/---"),1,0)</f>
        <v>0</v>
      </c>
      <c r="BV669">
        <f>AY669*AO669*AQ669</f>
        <v>0</v>
      </c>
    </row>
    <row r="670" spans="1:74">
      <c r="A670" t="s">
        <v>86</v>
      </c>
      <c r="B670">
        <v>24597473</v>
      </c>
      <c r="C670" t="s">
        <v>326</v>
      </c>
      <c r="D670" t="s">
        <v>327</v>
      </c>
      <c r="E670" t="s">
        <v>428</v>
      </c>
      <c r="F670" t="s">
        <v>483</v>
      </c>
      <c r="G670" t="s">
        <v>430</v>
      </c>
      <c r="H670" t="s">
        <v>431</v>
      </c>
      <c r="I670" t="s">
        <v>432</v>
      </c>
      <c r="J670" t="s">
        <v>432</v>
      </c>
      <c r="K670">
        <v>0</v>
      </c>
      <c r="L670" t="s">
        <v>428</v>
      </c>
      <c r="M670" t="s">
        <v>428</v>
      </c>
      <c r="N670">
        <v>153384</v>
      </c>
      <c r="O670">
        <f>INDEX(AllCollegeBarrons,MATCH(N670,AllCollegeNCES,0))</f>
        <v>0</v>
      </c>
      <c r="P670">
        <f>INDEX(KidGPAs,MATCH(B670,KidIDs,0))</f>
        <v>0</v>
      </c>
      <c r="Q670">
        <f>INDEX(KidACTs,MATCH(B670,KidIDs,0))</f>
        <v>0</v>
      </c>
      <c r="R670">
        <f>INDEX(Strats,MATCH(B670,KidIDs,0))</f>
        <v>0</v>
      </c>
      <c r="S670">
        <f>INDEX(KidRace,MATCH(B670,KidIDs,0))</f>
        <v>0</v>
      </c>
      <c r="T670">
        <f>IF(OR(S670="M",S670="I"),"H",S670)</f>
        <v>0</v>
      </c>
      <c r="U670">
        <f>INDEX(StudentTargets,MATCH(B670,KidIDs,0))</f>
        <v>0</v>
      </c>
      <c r="V670">
        <f>INDEX(ReachStudentTargets,MATCH(B670,KidIDs,0))</f>
        <v>0</v>
      </c>
      <c r="W670">
        <f>IF(OR(M670="Posse"),1,0)</f>
        <v>0</v>
      </c>
      <c r="X670">
        <f>IF(ISNUMBER(INDEX(AllCollegeGR, MATCH(N670,AllCollegeNCES,0))),ROUND(INDEX(AllCollegeGR, MATCH(N670,AllCollegeNCES,0))+W670*IF(INDEX(AllCollegeGR, MATCH(N670,AllCollegeNCES,0))&gt;0.7,(1-INDEX(AllCollegeGR, MATCH(N670,AllCollegeNCES,0)))/2,0.15),2),INDEX(AllCollegeGR, MATCH(N670,AllCollegeNCES,0)))</f>
        <v>0</v>
      </c>
      <c r="Y670">
        <f>IF(ISNUMBER(INDEX(AllCollegeAAHGR, MATCH(N670,AllCollegeNCES,0))),ROUND(INDEX(AllCollegeAAHGR, MATCH(N670,AllCollegeNCES,0))+W670*IF(INDEX(AllCollegeAAHGR, MATCH(N670,AllCollegeNCES,0))&gt;0.7,(1-INDEX(AllCollegeAAHGR, MATCH(N670,AllCollegeNCES,0)))/2,0.15),2),INDEX(AllCollegeAAHGR, MATCH(N670,AllCollegeNCES,0)))</f>
        <v>0</v>
      </c>
      <c r="Z670">
        <f>IF(OR(T670="H",T670="B"),INDEX(AllCollegeACT25, MATCH(N670,AllCollegeNCES,0)),INDEX(AllCollegeACT50, MATCH(N670,AllCollegeNCES,0)))</f>
        <v>0</v>
      </c>
      <c r="AA670">
        <f>INDEX(CustomWeightsGPA,MATCH(T670&amp;":"&amp;N670,CustomWeightsIndex,0))</f>
        <v>0</v>
      </c>
      <c r="AB670">
        <f>INDEX(CustomWeightsACT,MATCH(T670&amp;":"&amp;N670,CustomWeightsIndex,0))</f>
        <v>0</v>
      </c>
      <c r="AC670">
        <f>INDEX(CustomWeightsIntercept,MATCH(T670&amp;":"&amp;N670,CustomWeightsIndex,0))</f>
        <v>0</v>
      </c>
      <c r="AD670">
        <f>AA670*P670+AB670*Q670+AC670</f>
        <v>0</v>
      </c>
      <c r="AE670">
        <f>INDEX(CoefficientsGPA,MATCH(T670&amp;":"&amp;O670,CoefficientsIndex,0))</f>
        <v>0</v>
      </c>
      <c r="AF670">
        <f>INDEX(CoefficientsACT,MATCH(T670&amp;":"&amp;O670,CoefficientsIndex,0))</f>
        <v>0</v>
      </c>
      <c r="AG670">
        <f>INDEX(CoefficientsIntercept,MATCH(T670&amp;":"&amp;O670,CoefficientsIndex,0))</f>
        <v>0</v>
      </c>
      <c r="AH670">
        <f>AE670*P670+(Q670-Z670)*AF670+AG670</f>
        <v>0</v>
      </c>
      <c r="AI670">
        <f>IF(ISNUMBER(AD670),AD670,AH670)</f>
        <v>0</v>
      </c>
      <c r="AJ670">
        <f>IF(ISNUMBER(AI670),IF(ISNUMBER(AE670),IF(AND(AE670=1,AF670=1,AG670=1),100,ROUND(100*EXP(AI670)/(1+EXP(AI670)),2)),ROUND(100*EXP(AI670)/(1+EXP(AI670)),2)),IF(ISTEXT(O670),IF(LEFT(O670,1)="2",100,"N/A"),"N/A"))</f>
        <v>0</v>
      </c>
      <c r="AK670">
        <f>IF(ISNUMBER(AJ670),IF(AJ670&gt;=99,IF(OR(R670=10,R670=11),MatchLabel,SureThingLabel),IF(AJ670&gt;=95,SecureLabel,IF(AJ670&gt;=80,SafetyLabel,IF(AJ670&gt;=50,MatchLabel,IF(AJ670&gt;=20,ReachLabel,IF(AJ670&gt;=10,LongshotLabel,HailMaryLabel)))))),"Other")</f>
        <v>0</v>
      </c>
      <c r="AL670">
        <f>IF(OR(I670="accepted",I670="cond. accept",I670="summer admit"),IF(J670="yes","CHOICE!","Accepted!"),IF(I670="denied","Denied",IF(K670=1,"Waitlist",IF(L670=1,"Deferred",IF(G670="pending","Pending",IF(OR(G670="initial materials submitted",G670="mid-year submitted",G670="final submitted"),"Submitted",IF(H670="interest","Interest","?")))))))</f>
        <v>0</v>
      </c>
      <c r="AM670">
        <f>IF(OR(AK670=ReachLabel,AK670=LongshotLabel,AK670=HailMaryLabel),1,0)</f>
        <v>0</v>
      </c>
      <c r="AN670">
        <f>IF(OR(AM670=1,AK670=MatchLabel),1,0)</f>
        <v>0</v>
      </c>
      <c r="AO670">
        <f>IF(OR(AK670=MatchLabel,AK670=SafetyLabel,AK670=SecureLabel,AK670=SureThingLabel),1,0)</f>
        <v>0</v>
      </c>
      <c r="AP670">
        <f>IF(OR(T670="H",T670="B"),IF(ISNUMBER(Y670),ROUND(Y670,2),0),IF(ISNUMBER(X670),ROUND(X670,2),0))</f>
        <v>0</v>
      </c>
      <c r="AQ670">
        <f>IF(AP670&gt;=U670,1,0)</f>
        <v>0</v>
      </c>
      <c r="AR670">
        <f>IF(AP670&gt;=V670,1,0)</f>
        <v>0</v>
      </c>
      <c r="AS670">
        <f>IF(AP670&lt;(U670-0.10),1,0)</f>
        <v>0</v>
      </c>
      <c r="AT670">
        <f>1-AJ670/100</f>
        <v>0</v>
      </c>
      <c r="AU670">
        <f>IF(AN670=1,AT670,1)</f>
        <v>0</v>
      </c>
      <c r="AV670">
        <f>IF(AM670=1,AT670,1)</f>
        <v>0</v>
      </c>
      <c r="AW670">
        <f>IF(AND(AQ670=1,ISNUMBER(AT670)),$AT670,1)</f>
        <v>0</v>
      </c>
      <c r="AX670">
        <f>IF(AND(AR670=1,ISNUMBER(AT670)),$AT670,1)</f>
        <v>0</v>
      </c>
      <c r="AY670">
        <f>IF(ISNUMBER(Y670),INDEX(AllCollegeMoney, MATCH(N670,AllCollegeNCES,0)),0)</f>
        <v>0</v>
      </c>
      <c r="AZ670">
        <f>IF(AND(AQ670=1,ISNUMBER(AT670),AY670=1),$AT670,1)</f>
        <v>0</v>
      </c>
      <c r="BA670">
        <f>IF(AND(AR670=1,ISNUMBER(AT670),AY670=1),$AT670,1)</f>
        <v>0</v>
      </c>
      <c r="BB670">
        <f>IF(ISNUMBER(Y670),INDEX(AllCollegeILPub, MATCH(N670,AllCollegeNCES,0)),0)</f>
        <v>0</v>
      </c>
      <c r="BC670">
        <f>IF(AK670=ReachLabel,AP670,0)</f>
        <v>0</v>
      </c>
      <c r="BD670">
        <f>IF(AK670=MatchLabel,AP670,0)</f>
        <v>0</v>
      </c>
      <c r="BE670">
        <f>IF(AK670=SafetyLabel,AP670,0)</f>
        <v>0</v>
      </c>
      <c r="BF670">
        <f>IF(AK670=SecureLabel,AP670,0)</f>
        <v>0</v>
      </c>
      <c r="BG670">
        <f>IF(AK670=SureThingLabel,AP670,0)</f>
        <v>0</v>
      </c>
      <c r="BH670">
        <f>MAX(BC670:BG670)</f>
        <v>0</v>
      </c>
      <c r="BI670">
        <f>MAX(BD670:BG670)</f>
        <v>0</v>
      </c>
      <c r="BJ670">
        <f>MAX(BE670:BG670)</f>
        <v>0</v>
      </c>
      <c r="BK670">
        <f>IF(AND(AK670=ReachLabel,AY670=1),AP670,0)</f>
        <v>0</v>
      </c>
      <c r="BL670">
        <f>IF(AND(AK670=MatchLabel,AY670=1),AP670,0)</f>
        <v>0</v>
      </c>
      <c r="BM670">
        <f>IF(AND(AK670=SafetyLabel,AY670=1),AP670,0)</f>
        <v>0</v>
      </c>
      <c r="BN670">
        <f>IF(AND(AK670=SecureLabel,AY670=1),AP670,0)</f>
        <v>0</v>
      </c>
      <c r="BO670">
        <f>IF(AND(AK670=SureThingLabel,AY670=1),AP670,0)</f>
        <v>0</v>
      </c>
      <c r="BP670">
        <f>MAX(BK670:BO670)</f>
        <v>0</v>
      </c>
      <c r="BQ670">
        <f>MAX(BL670:BO670)</f>
        <v>0</v>
      </c>
      <c r="BR670">
        <f>MAX(BM670:BO670)</f>
        <v>0</v>
      </c>
      <c r="BS670">
        <f>IF(ISNUMBER(Y670),INDEX(AllCollegeChicago, MATCH(N670,AllCollegeNCES,0))*AY670,0)</f>
        <v>0</v>
      </c>
      <c r="BT670">
        <f>IF(ISNUMBER(Y670),INDEX(AllCollegeMoneyCode, MATCH(N670,AllCollegeNCES,0)),"?")</f>
        <v>0</v>
      </c>
      <c r="BU670">
        <f>IF(OR(BT670="---",BT670="--",BT670="+/--",BT670="+/---"),1,0)</f>
        <v>0</v>
      </c>
      <c r="BV670">
        <f>AY670*AO670*AQ670</f>
        <v>0</v>
      </c>
    </row>
    <row r="671" spans="1:74">
      <c r="A671" t="s">
        <v>86</v>
      </c>
      <c r="B671">
        <v>24597473</v>
      </c>
      <c r="C671" t="s">
        <v>326</v>
      </c>
      <c r="D671" t="s">
        <v>327</v>
      </c>
      <c r="E671" t="s">
        <v>428</v>
      </c>
      <c r="F671" t="s">
        <v>468</v>
      </c>
      <c r="G671" t="s">
        <v>430</v>
      </c>
      <c r="H671" t="s">
        <v>431</v>
      </c>
      <c r="I671" t="s">
        <v>432</v>
      </c>
      <c r="J671" t="s">
        <v>432</v>
      </c>
      <c r="K671">
        <v>0</v>
      </c>
      <c r="L671" t="s">
        <v>428</v>
      </c>
      <c r="M671" t="s">
        <v>428</v>
      </c>
      <c r="N671">
        <v>212009</v>
      </c>
      <c r="O671">
        <f>INDEX(AllCollegeBarrons,MATCH(N671,AllCollegeNCES,0))</f>
        <v>0</v>
      </c>
      <c r="P671">
        <f>INDEX(KidGPAs,MATCH(B671,KidIDs,0))</f>
        <v>0</v>
      </c>
      <c r="Q671">
        <f>INDEX(KidACTs,MATCH(B671,KidIDs,0))</f>
        <v>0</v>
      </c>
      <c r="R671">
        <f>INDEX(Strats,MATCH(B671,KidIDs,0))</f>
        <v>0</v>
      </c>
      <c r="S671">
        <f>INDEX(KidRace,MATCH(B671,KidIDs,0))</f>
        <v>0</v>
      </c>
      <c r="T671">
        <f>IF(OR(S671="M",S671="I"),"H",S671)</f>
        <v>0</v>
      </c>
      <c r="U671">
        <f>INDEX(StudentTargets,MATCH(B671,KidIDs,0))</f>
        <v>0</v>
      </c>
      <c r="V671">
        <f>INDEX(ReachStudentTargets,MATCH(B671,KidIDs,0))</f>
        <v>0</v>
      </c>
      <c r="W671">
        <f>IF(OR(M671="Posse"),1,0)</f>
        <v>0</v>
      </c>
      <c r="X671">
        <f>IF(ISNUMBER(INDEX(AllCollegeGR, MATCH(N671,AllCollegeNCES,0))),ROUND(INDEX(AllCollegeGR, MATCH(N671,AllCollegeNCES,0))+W671*IF(INDEX(AllCollegeGR, MATCH(N671,AllCollegeNCES,0))&gt;0.7,(1-INDEX(AllCollegeGR, MATCH(N671,AllCollegeNCES,0)))/2,0.15),2),INDEX(AllCollegeGR, MATCH(N671,AllCollegeNCES,0)))</f>
        <v>0</v>
      </c>
      <c r="Y671">
        <f>IF(ISNUMBER(INDEX(AllCollegeAAHGR, MATCH(N671,AllCollegeNCES,0))),ROUND(INDEX(AllCollegeAAHGR, MATCH(N671,AllCollegeNCES,0))+W671*IF(INDEX(AllCollegeAAHGR, MATCH(N671,AllCollegeNCES,0))&gt;0.7,(1-INDEX(AllCollegeAAHGR, MATCH(N671,AllCollegeNCES,0)))/2,0.15),2),INDEX(AllCollegeAAHGR, MATCH(N671,AllCollegeNCES,0)))</f>
        <v>0</v>
      </c>
      <c r="Z671">
        <f>IF(OR(T671="H",T671="B"),INDEX(AllCollegeACT25, MATCH(N671,AllCollegeNCES,0)),INDEX(AllCollegeACT50, MATCH(N671,AllCollegeNCES,0)))</f>
        <v>0</v>
      </c>
      <c r="AA671">
        <f>INDEX(CustomWeightsGPA,MATCH(T671&amp;":"&amp;N671,CustomWeightsIndex,0))</f>
        <v>0</v>
      </c>
      <c r="AB671">
        <f>INDEX(CustomWeightsACT,MATCH(T671&amp;":"&amp;N671,CustomWeightsIndex,0))</f>
        <v>0</v>
      </c>
      <c r="AC671">
        <f>INDEX(CustomWeightsIntercept,MATCH(T671&amp;":"&amp;N671,CustomWeightsIndex,0))</f>
        <v>0</v>
      </c>
      <c r="AD671">
        <f>AA671*P671+AB671*Q671+AC671</f>
        <v>0</v>
      </c>
      <c r="AE671">
        <f>INDEX(CoefficientsGPA,MATCH(T671&amp;":"&amp;O671,CoefficientsIndex,0))</f>
        <v>0</v>
      </c>
      <c r="AF671">
        <f>INDEX(CoefficientsACT,MATCH(T671&amp;":"&amp;O671,CoefficientsIndex,0))</f>
        <v>0</v>
      </c>
      <c r="AG671">
        <f>INDEX(CoefficientsIntercept,MATCH(T671&amp;":"&amp;O671,CoefficientsIndex,0))</f>
        <v>0</v>
      </c>
      <c r="AH671">
        <f>AE671*P671+(Q671-Z671)*AF671+AG671</f>
        <v>0</v>
      </c>
      <c r="AI671">
        <f>IF(ISNUMBER(AD671),AD671,AH671)</f>
        <v>0</v>
      </c>
      <c r="AJ671">
        <f>IF(ISNUMBER(AI671),IF(ISNUMBER(AE671),IF(AND(AE671=1,AF671=1,AG671=1),100,ROUND(100*EXP(AI671)/(1+EXP(AI671)),2)),ROUND(100*EXP(AI671)/(1+EXP(AI671)),2)),IF(ISTEXT(O671),IF(LEFT(O671,1)="2",100,"N/A"),"N/A"))</f>
        <v>0</v>
      </c>
      <c r="AK671">
        <f>IF(ISNUMBER(AJ671),IF(AJ671&gt;=99,IF(OR(R671=10,R671=11),MatchLabel,SureThingLabel),IF(AJ671&gt;=95,SecureLabel,IF(AJ671&gt;=80,SafetyLabel,IF(AJ671&gt;=50,MatchLabel,IF(AJ671&gt;=20,ReachLabel,IF(AJ671&gt;=10,LongshotLabel,HailMaryLabel)))))),"Other")</f>
        <v>0</v>
      </c>
      <c r="AL671">
        <f>IF(OR(I671="accepted",I671="cond. accept",I671="summer admit"),IF(J671="yes","CHOICE!","Accepted!"),IF(I671="denied","Denied",IF(K671=1,"Waitlist",IF(L671=1,"Deferred",IF(G671="pending","Pending",IF(OR(G671="initial materials submitted",G671="mid-year submitted",G671="final submitted"),"Submitted",IF(H671="interest","Interest","?")))))))</f>
        <v>0</v>
      </c>
      <c r="AM671">
        <f>IF(OR(AK671=ReachLabel,AK671=LongshotLabel,AK671=HailMaryLabel),1,0)</f>
        <v>0</v>
      </c>
      <c r="AN671">
        <f>IF(OR(AM671=1,AK671=MatchLabel),1,0)</f>
        <v>0</v>
      </c>
      <c r="AO671">
        <f>IF(OR(AK671=MatchLabel,AK671=SafetyLabel,AK671=SecureLabel,AK671=SureThingLabel),1,0)</f>
        <v>0</v>
      </c>
      <c r="AP671">
        <f>IF(OR(T671="H",T671="B"),IF(ISNUMBER(Y671),ROUND(Y671,2),0),IF(ISNUMBER(X671),ROUND(X671,2),0))</f>
        <v>0</v>
      </c>
      <c r="AQ671">
        <f>IF(AP671&gt;=U671,1,0)</f>
        <v>0</v>
      </c>
      <c r="AR671">
        <f>IF(AP671&gt;=V671,1,0)</f>
        <v>0</v>
      </c>
      <c r="AS671">
        <f>IF(AP671&lt;(U671-0.10),1,0)</f>
        <v>0</v>
      </c>
      <c r="AT671">
        <f>1-AJ671/100</f>
        <v>0</v>
      </c>
      <c r="AU671">
        <f>IF(AN671=1,AT671,1)</f>
        <v>0</v>
      </c>
      <c r="AV671">
        <f>IF(AM671=1,AT671,1)</f>
        <v>0</v>
      </c>
      <c r="AW671">
        <f>IF(AND(AQ671=1,ISNUMBER(AT671)),$AT671,1)</f>
        <v>0</v>
      </c>
      <c r="AX671">
        <f>IF(AND(AR671=1,ISNUMBER(AT671)),$AT671,1)</f>
        <v>0</v>
      </c>
      <c r="AY671">
        <f>IF(ISNUMBER(Y671),INDEX(AllCollegeMoney, MATCH(N671,AllCollegeNCES,0)),0)</f>
        <v>0</v>
      </c>
      <c r="AZ671">
        <f>IF(AND(AQ671=1,ISNUMBER(AT671),AY671=1),$AT671,1)</f>
        <v>0</v>
      </c>
      <c r="BA671">
        <f>IF(AND(AR671=1,ISNUMBER(AT671),AY671=1),$AT671,1)</f>
        <v>0</v>
      </c>
      <c r="BB671">
        <f>IF(ISNUMBER(Y671),INDEX(AllCollegeILPub, MATCH(N671,AllCollegeNCES,0)),0)</f>
        <v>0</v>
      </c>
      <c r="BC671">
        <f>IF(AK671=ReachLabel,AP671,0)</f>
        <v>0</v>
      </c>
      <c r="BD671">
        <f>IF(AK671=MatchLabel,AP671,0)</f>
        <v>0</v>
      </c>
      <c r="BE671">
        <f>IF(AK671=SafetyLabel,AP671,0)</f>
        <v>0</v>
      </c>
      <c r="BF671">
        <f>IF(AK671=SecureLabel,AP671,0)</f>
        <v>0</v>
      </c>
      <c r="BG671">
        <f>IF(AK671=SureThingLabel,AP671,0)</f>
        <v>0</v>
      </c>
      <c r="BH671">
        <f>MAX(BC671:BG671)</f>
        <v>0</v>
      </c>
      <c r="BI671">
        <f>MAX(BD671:BG671)</f>
        <v>0</v>
      </c>
      <c r="BJ671">
        <f>MAX(BE671:BG671)</f>
        <v>0</v>
      </c>
      <c r="BK671">
        <f>IF(AND(AK671=ReachLabel,AY671=1),AP671,0)</f>
        <v>0</v>
      </c>
      <c r="BL671">
        <f>IF(AND(AK671=MatchLabel,AY671=1),AP671,0)</f>
        <v>0</v>
      </c>
      <c r="BM671">
        <f>IF(AND(AK671=SafetyLabel,AY671=1),AP671,0)</f>
        <v>0</v>
      </c>
      <c r="BN671">
        <f>IF(AND(AK671=SecureLabel,AY671=1),AP671,0)</f>
        <v>0</v>
      </c>
      <c r="BO671">
        <f>IF(AND(AK671=SureThingLabel,AY671=1),AP671,0)</f>
        <v>0</v>
      </c>
      <c r="BP671">
        <f>MAX(BK671:BO671)</f>
        <v>0</v>
      </c>
      <c r="BQ671">
        <f>MAX(BL671:BO671)</f>
        <v>0</v>
      </c>
      <c r="BR671">
        <f>MAX(BM671:BO671)</f>
        <v>0</v>
      </c>
      <c r="BS671">
        <f>IF(ISNUMBER(Y671),INDEX(AllCollegeChicago, MATCH(N671,AllCollegeNCES,0))*AY671,0)</f>
        <v>0</v>
      </c>
      <c r="BT671">
        <f>IF(ISNUMBER(Y671),INDEX(AllCollegeMoneyCode, MATCH(N671,AllCollegeNCES,0)),"?")</f>
        <v>0</v>
      </c>
      <c r="BU671">
        <f>IF(OR(BT671="---",BT671="--",BT671="+/--",BT671="+/---"),1,0)</f>
        <v>0</v>
      </c>
      <c r="BV671">
        <f>AY671*AO671*AQ671</f>
        <v>0</v>
      </c>
    </row>
    <row r="672" spans="1:74">
      <c r="A672" t="s">
        <v>86</v>
      </c>
      <c r="B672">
        <v>24597473</v>
      </c>
      <c r="C672" t="s">
        <v>326</v>
      </c>
      <c r="D672" t="s">
        <v>327</v>
      </c>
      <c r="E672" t="s">
        <v>428</v>
      </c>
      <c r="F672" t="s">
        <v>580</v>
      </c>
      <c r="G672" t="s">
        <v>463</v>
      </c>
      <c r="H672" t="s">
        <v>431</v>
      </c>
      <c r="I672" t="s">
        <v>432</v>
      </c>
      <c r="J672" t="s">
        <v>432</v>
      </c>
      <c r="K672">
        <v>0</v>
      </c>
      <c r="L672" t="s">
        <v>428</v>
      </c>
      <c r="M672" t="s">
        <v>428</v>
      </c>
      <c r="N672">
        <v>192819</v>
      </c>
      <c r="O672">
        <f>INDEX(AllCollegeBarrons,MATCH(N672,AllCollegeNCES,0))</f>
        <v>0</v>
      </c>
      <c r="P672">
        <f>INDEX(KidGPAs,MATCH(B672,KidIDs,0))</f>
        <v>0</v>
      </c>
      <c r="Q672">
        <f>INDEX(KidACTs,MATCH(B672,KidIDs,0))</f>
        <v>0</v>
      </c>
      <c r="R672">
        <f>INDEX(Strats,MATCH(B672,KidIDs,0))</f>
        <v>0</v>
      </c>
      <c r="S672">
        <f>INDEX(KidRace,MATCH(B672,KidIDs,0))</f>
        <v>0</v>
      </c>
      <c r="T672">
        <f>IF(OR(S672="M",S672="I"),"H",S672)</f>
        <v>0</v>
      </c>
      <c r="U672">
        <f>INDEX(StudentTargets,MATCH(B672,KidIDs,0))</f>
        <v>0</v>
      </c>
      <c r="V672">
        <f>INDEX(ReachStudentTargets,MATCH(B672,KidIDs,0))</f>
        <v>0</v>
      </c>
      <c r="W672">
        <f>IF(OR(M672="Posse"),1,0)</f>
        <v>0</v>
      </c>
      <c r="X672">
        <f>IF(ISNUMBER(INDEX(AllCollegeGR, MATCH(N672,AllCollegeNCES,0))),ROUND(INDEX(AllCollegeGR, MATCH(N672,AllCollegeNCES,0))+W672*IF(INDEX(AllCollegeGR, MATCH(N672,AllCollegeNCES,0))&gt;0.7,(1-INDEX(AllCollegeGR, MATCH(N672,AllCollegeNCES,0)))/2,0.15),2),INDEX(AllCollegeGR, MATCH(N672,AllCollegeNCES,0)))</f>
        <v>0</v>
      </c>
      <c r="Y672">
        <f>IF(ISNUMBER(INDEX(AllCollegeAAHGR, MATCH(N672,AllCollegeNCES,0))),ROUND(INDEX(AllCollegeAAHGR, MATCH(N672,AllCollegeNCES,0))+W672*IF(INDEX(AllCollegeAAHGR, MATCH(N672,AllCollegeNCES,0))&gt;0.7,(1-INDEX(AllCollegeAAHGR, MATCH(N672,AllCollegeNCES,0)))/2,0.15),2),INDEX(AllCollegeAAHGR, MATCH(N672,AllCollegeNCES,0)))</f>
        <v>0</v>
      </c>
      <c r="Z672">
        <f>IF(OR(T672="H",T672="B"),INDEX(AllCollegeACT25, MATCH(N672,AllCollegeNCES,0)),INDEX(AllCollegeACT50, MATCH(N672,AllCollegeNCES,0)))</f>
        <v>0</v>
      </c>
      <c r="AA672">
        <f>INDEX(CustomWeightsGPA,MATCH(T672&amp;":"&amp;N672,CustomWeightsIndex,0))</f>
        <v>0</v>
      </c>
      <c r="AB672">
        <f>INDEX(CustomWeightsACT,MATCH(T672&amp;":"&amp;N672,CustomWeightsIndex,0))</f>
        <v>0</v>
      </c>
      <c r="AC672">
        <f>INDEX(CustomWeightsIntercept,MATCH(T672&amp;":"&amp;N672,CustomWeightsIndex,0))</f>
        <v>0</v>
      </c>
      <c r="AD672">
        <f>AA672*P672+AB672*Q672+AC672</f>
        <v>0</v>
      </c>
      <c r="AE672">
        <f>INDEX(CoefficientsGPA,MATCH(T672&amp;":"&amp;O672,CoefficientsIndex,0))</f>
        <v>0</v>
      </c>
      <c r="AF672">
        <f>INDEX(CoefficientsACT,MATCH(T672&amp;":"&amp;O672,CoefficientsIndex,0))</f>
        <v>0</v>
      </c>
      <c r="AG672">
        <f>INDEX(CoefficientsIntercept,MATCH(T672&amp;":"&amp;O672,CoefficientsIndex,0))</f>
        <v>0</v>
      </c>
      <c r="AH672">
        <f>AE672*P672+(Q672-Z672)*AF672+AG672</f>
        <v>0</v>
      </c>
      <c r="AI672">
        <f>IF(ISNUMBER(AD672),AD672,AH672)</f>
        <v>0</v>
      </c>
      <c r="AJ672">
        <f>IF(ISNUMBER(AI672),IF(ISNUMBER(AE672),IF(AND(AE672=1,AF672=1,AG672=1),100,ROUND(100*EXP(AI672)/(1+EXP(AI672)),2)),ROUND(100*EXP(AI672)/(1+EXP(AI672)),2)),IF(ISTEXT(O672),IF(LEFT(O672,1)="2",100,"N/A"),"N/A"))</f>
        <v>0</v>
      </c>
      <c r="AK672">
        <f>IF(ISNUMBER(AJ672),IF(AJ672&gt;=99,IF(OR(R672=10,R672=11),MatchLabel,SureThingLabel),IF(AJ672&gt;=95,SecureLabel,IF(AJ672&gt;=80,SafetyLabel,IF(AJ672&gt;=50,MatchLabel,IF(AJ672&gt;=20,ReachLabel,IF(AJ672&gt;=10,LongshotLabel,HailMaryLabel)))))),"Other")</f>
        <v>0</v>
      </c>
      <c r="AL672">
        <f>IF(OR(I672="accepted",I672="cond. accept",I672="summer admit"),IF(J672="yes","CHOICE!","Accepted!"),IF(I672="denied","Denied",IF(K672=1,"Waitlist",IF(L672=1,"Deferred",IF(G672="pending","Pending",IF(OR(G672="initial materials submitted",G672="mid-year submitted",G672="final submitted"),"Submitted",IF(H672="interest","Interest","?")))))))</f>
        <v>0</v>
      </c>
      <c r="AM672">
        <f>IF(OR(AK672=ReachLabel,AK672=LongshotLabel,AK672=HailMaryLabel),1,0)</f>
        <v>0</v>
      </c>
      <c r="AN672">
        <f>IF(OR(AM672=1,AK672=MatchLabel),1,0)</f>
        <v>0</v>
      </c>
      <c r="AO672">
        <f>IF(OR(AK672=MatchLabel,AK672=SafetyLabel,AK672=SecureLabel,AK672=SureThingLabel),1,0)</f>
        <v>0</v>
      </c>
      <c r="AP672">
        <f>IF(OR(T672="H",T672="B"),IF(ISNUMBER(Y672),ROUND(Y672,2),0),IF(ISNUMBER(X672),ROUND(X672,2),0))</f>
        <v>0</v>
      </c>
      <c r="AQ672">
        <f>IF(AP672&gt;=U672,1,0)</f>
        <v>0</v>
      </c>
      <c r="AR672">
        <f>IF(AP672&gt;=V672,1,0)</f>
        <v>0</v>
      </c>
      <c r="AS672">
        <f>IF(AP672&lt;(U672-0.10),1,0)</f>
        <v>0</v>
      </c>
      <c r="AT672">
        <f>1-AJ672/100</f>
        <v>0</v>
      </c>
      <c r="AU672">
        <f>IF(AN672=1,AT672,1)</f>
        <v>0</v>
      </c>
      <c r="AV672">
        <f>IF(AM672=1,AT672,1)</f>
        <v>0</v>
      </c>
      <c r="AW672">
        <f>IF(AND(AQ672=1,ISNUMBER(AT672)),$AT672,1)</f>
        <v>0</v>
      </c>
      <c r="AX672">
        <f>IF(AND(AR672=1,ISNUMBER(AT672)),$AT672,1)</f>
        <v>0</v>
      </c>
      <c r="AY672">
        <f>IF(ISNUMBER(Y672),INDEX(AllCollegeMoney, MATCH(N672,AllCollegeNCES,0)),0)</f>
        <v>0</v>
      </c>
      <c r="AZ672">
        <f>IF(AND(AQ672=1,ISNUMBER(AT672),AY672=1),$AT672,1)</f>
        <v>0</v>
      </c>
      <c r="BA672">
        <f>IF(AND(AR672=1,ISNUMBER(AT672),AY672=1),$AT672,1)</f>
        <v>0</v>
      </c>
      <c r="BB672">
        <f>IF(ISNUMBER(Y672),INDEX(AllCollegeILPub, MATCH(N672,AllCollegeNCES,0)),0)</f>
        <v>0</v>
      </c>
      <c r="BC672">
        <f>IF(AK672=ReachLabel,AP672,0)</f>
        <v>0</v>
      </c>
      <c r="BD672">
        <f>IF(AK672=MatchLabel,AP672,0)</f>
        <v>0</v>
      </c>
      <c r="BE672">
        <f>IF(AK672=SafetyLabel,AP672,0)</f>
        <v>0</v>
      </c>
      <c r="BF672">
        <f>IF(AK672=SecureLabel,AP672,0)</f>
        <v>0</v>
      </c>
      <c r="BG672">
        <f>IF(AK672=SureThingLabel,AP672,0)</f>
        <v>0</v>
      </c>
      <c r="BH672">
        <f>MAX(BC672:BG672)</f>
        <v>0</v>
      </c>
      <c r="BI672">
        <f>MAX(BD672:BG672)</f>
        <v>0</v>
      </c>
      <c r="BJ672">
        <f>MAX(BE672:BG672)</f>
        <v>0</v>
      </c>
      <c r="BK672">
        <f>IF(AND(AK672=ReachLabel,AY672=1),AP672,0)</f>
        <v>0</v>
      </c>
      <c r="BL672">
        <f>IF(AND(AK672=MatchLabel,AY672=1),AP672,0)</f>
        <v>0</v>
      </c>
      <c r="BM672">
        <f>IF(AND(AK672=SafetyLabel,AY672=1),AP672,0)</f>
        <v>0</v>
      </c>
      <c r="BN672">
        <f>IF(AND(AK672=SecureLabel,AY672=1),AP672,0)</f>
        <v>0</v>
      </c>
      <c r="BO672">
        <f>IF(AND(AK672=SureThingLabel,AY672=1),AP672,0)</f>
        <v>0</v>
      </c>
      <c r="BP672">
        <f>MAX(BK672:BO672)</f>
        <v>0</v>
      </c>
      <c r="BQ672">
        <f>MAX(BL672:BO672)</f>
        <v>0</v>
      </c>
      <c r="BR672">
        <f>MAX(BM672:BO672)</f>
        <v>0</v>
      </c>
      <c r="BS672">
        <f>IF(ISNUMBER(Y672),INDEX(AllCollegeChicago, MATCH(N672,AllCollegeNCES,0))*AY672,0)</f>
        <v>0</v>
      </c>
      <c r="BT672">
        <f>IF(ISNUMBER(Y672),INDEX(AllCollegeMoneyCode, MATCH(N672,AllCollegeNCES,0)),"?")</f>
        <v>0</v>
      </c>
      <c r="BU672">
        <f>IF(OR(BT672="---",BT672="--",BT672="+/--",BT672="+/---"),1,0)</f>
        <v>0</v>
      </c>
      <c r="BV672">
        <f>AY672*AO672*AQ672</f>
        <v>0</v>
      </c>
    </row>
    <row r="673" spans="1:74">
      <c r="A673" t="s">
        <v>86</v>
      </c>
      <c r="B673">
        <v>24597473</v>
      </c>
      <c r="C673" t="s">
        <v>326</v>
      </c>
      <c r="D673" t="s">
        <v>327</v>
      </c>
      <c r="E673" t="s">
        <v>428</v>
      </c>
      <c r="F673" t="s">
        <v>458</v>
      </c>
      <c r="G673" t="s">
        <v>463</v>
      </c>
      <c r="H673" t="s">
        <v>431</v>
      </c>
      <c r="I673" t="s">
        <v>432</v>
      </c>
      <c r="J673" t="s">
        <v>432</v>
      </c>
      <c r="K673">
        <v>0</v>
      </c>
      <c r="L673" t="s">
        <v>428</v>
      </c>
      <c r="M673" t="s">
        <v>428</v>
      </c>
      <c r="N673">
        <v>202523</v>
      </c>
      <c r="O673">
        <f>INDEX(AllCollegeBarrons,MATCH(N673,AllCollegeNCES,0))</f>
        <v>0</v>
      </c>
      <c r="P673">
        <f>INDEX(KidGPAs,MATCH(B673,KidIDs,0))</f>
        <v>0</v>
      </c>
      <c r="Q673">
        <f>INDEX(KidACTs,MATCH(B673,KidIDs,0))</f>
        <v>0</v>
      </c>
      <c r="R673">
        <f>INDEX(Strats,MATCH(B673,KidIDs,0))</f>
        <v>0</v>
      </c>
      <c r="S673">
        <f>INDEX(KidRace,MATCH(B673,KidIDs,0))</f>
        <v>0</v>
      </c>
      <c r="T673">
        <f>IF(OR(S673="M",S673="I"),"H",S673)</f>
        <v>0</v>
      </c>
      <c r="U673">
        <f>INDEX(StudentTargets,MATCH(B673,KidIDs,0))</f>
        <v>0</v>
      </c>
      <c r="V673">
        <f>INDEX(ReachStudentTargets,MATCH(B673,KidIDs,0))</f>
        <v>0</v>
      </c>
      <c r="W673">
        <f>IF(OR(M673="Posse"),1,0)</f>
        <v>0</v>
      </c>
      <c r="X673">
        <f>IF(ISNUMBER(INDEX(AllCollegeGR, MATCH(N673,AllCollegeNCES,0))),ROUND(INDEX(AllCollegeGR, MATCH(N673,AllCollegeNCES,0))+W673*IF(INDEX(AllCollegeGR, MATCH(N673,AllCollegeNCES,0))&gt;0.7,(1-INDEX(AllCollegeGR, MATCH(N673,AllCollegeNCES,0)))/2,0.15),2),INDEX(AllCollegeGR, MATCH(N673,AllCollegeNCES,0)))</f>
        <v>0</v>
      </c>
      <c r="Y673">
        <f>IF(ISNUMBER(INDEX(AllCollegeAAHGR, MATCH(N673,AllCollegeNCES,0))),ROUND(INDEX(AllCollegeAAHGR, MATCH(N673,AllCollegeNCES,0))+W673*IF(INDEX(AllCollegeAAHGR, MATCH(N673,AllCollegeNCES,0))&gt;0.7,(1-INDEX(AllCollegeAAHGR, MATCH(N673,AllCollegeNCES,0)))/2,0.15),2),INDEX(AllCollegeAAHGR, MATCH(N673,AllCollegeNCES,0)))</f>
        <v>0</v>
      </c>
      <c r="Z673">
        <f>IF(OR(T673="H",T673="B"),INDEX(AllCollegeACT25, MATCH(N673,AllCollegeNCES,0)),INDEX(AllCollegeACT50, MATCH(N673,AllCollegeNCES,0)))</f>
        <v>0</v>
      </c>
      <c r="AA673">
        <f>INDEX(CustomWeightsGPA,MATCH(T673&amp;":"&amp;N673,CustomWeightsIndex,0))</f>
        <v>0</v>
      </c>
      <c r="AB673">
        <f>INDEX(CustomWeightsACT,MATCH(T673&amp;":"&amp;N673,CustomWeightsIndex,0))</f>
        <v>0</v>
      </c>
      <c r="AC673">
        <f>INDEX(CustomWeightsIntercept,MATCH(T673&amp;":"&amp;N673,CustomWeightsIndex,0))</f>
        <v>0</v>
      </c>
      <c r="AD673">
        <f>AA673*P673+AB673*Q673+AC673</f>
        <v>0</v>
      </c>
      <c r="AE673">
        <f>INDEX(CoefficientsGPA,MATCH(T673&amp;":"&amp;O673,CoefficientsIndex,0))</f>
        <v>0</v>
      </c>
      <c r="AF673">
        <f>INDEX(CoefficientsACT,MATCH(T673&amp;":"&amp;O673,CoefficientsIndex,0))</f>
        <v>0</v>
      </c>
      <c r="AG673">
        <f>INDEX(CoefficientsIntercept,MATCH(T673&amp;":"&amp;O673,CoefficientsIndex,0))</f>
        <v>0</v>
      </c>
      <c r="AH673">
        <f>AE673*P673+(Q673-Z673)*AF673+AG673</f>
        <v>0</v>
      </c>
      <c r="AI673">
        <f>IF(ISNUMBER(AD673),AD673,AH673)</f>
        <v>0</v>
      </c>
      <c r="AJ673">
        <f>IF(ISNUMBER(AI673),IF(ISNUMBER(AE673),IF(AND(AE673=1,AF673=1,AG673=1),100,ROUND(100*EXP(AI673)/(1+EXP(AI673)),2)),ROUND(100*EXP(AI673)/(1+EXP(AI673)),2)),IF(ISTEXT(O673),IF(LEFT(O673,1)="2",100,"N/A"),"N/A"))</f>
        <v>0</v>
      </c>
      <c r="AK673">
        <f>IF(ISNUMBER(AJ673),IF(AJ673&gt;=99,IF(OR(R673=10,R673=11),MatchLabel,SureThingLabel),IF(AJ673&gt;=95,SecureLabel,IF(AJ673&gt;=80,SafetyLabel,IF(AJ673&gt;=50,MatchLabel,IF(AJ673&gt;=20,ReachLabel,IF(AJ673&gt;=10,LongshotLabel,HailMaryLabel)))))),"Other")</f>
        <v>0</v>
      </c>
      <c r="AL673">
        <f>IF(OR(I673="accepted",I673="cond. accept",I673="summer admit"),IF(J673="yes","CHOICE!","Accepted!"),IF(I673="denied","Denied",IF(K673=1,"Waitlist",IF(L673=1,"Deferred",IF(G673="pending","Pending",IF(OR(G673="initial materials submitted",G673="mid-year submitted",G673="final submitted"),"Submitted",IF(H673="interest","Interest","?")))))))</f>
        <v>0</v>
      </c>
      <c r="AM673">
        <f>IF(OR(AK673=ReachLabel,AK673=LongshotLabel,AK673=HailMaryLabel),1,0)</f>
        <v>0</v>
      </c>
      <c r="AN673">
        <f>IF(OR(AM673=1,AK673=MatchLabel),1,0)</f>
        <v>0</v>
      </c>
      <c r="AO673">
        <f>IF(OR(AK673=MatchLabel,AK673=SafetyLabel,AK673=SecureLabel,AK673=SureThingLabel),1,0)</f>
        <v>0</v>
      </c>
      <c r="AP673">
        <f>IF(OR(T673="H",T673="B"),IF(ISNUMBER(Y673),ROUND(Y673,2),0),IF(ISNUMBER(X673),ROUND(X673,2),0))</f>
        <v>0</v>
      </c>
      <c r="AQ673">
        <f>IF(AP673&gt;=U673,1,0)</f>
        <v>0</v>
      </c>
      <c r="AR673">
        <f>IF(AP673&gt;=V673,1,0)</f>
        <v>0</v>
      </c>
      <c r="AS673">
        <f>IF(AP673&lt;(U673-0.10),1,0)</f>
        <v>0</v>
      </c>
      <c r="AT673">
        <f>1-AJ673/100</f>
        <v>0</v>
      </c>
      <c r="AU673">
        <f>IF(AN673=1,AT673,1)</f>
        <v>0</v>
      </c>
      <c r="AV673">
        <f>IF(AM673=1,AT673,1)</f>
        <v>0</v>
      </c>
      <c r="AW673">
        <f>IF(AND(AQ673=1,ISNUMBER(AT673)),$AT673,1)</f>
        <v>0</v>
      </c>
      <c r="AX673">
        <f>IF(AND(AR673=1,ISNUMBER(AT673)),$AT673,1)</f>
        <v>0</v>
      </c>
      <c r="AY673">
        <f>IF(ISNUMBER(Y673),INDEX(AllCollegeMoney, MATCH(N673,AllCollegeNCES,0)),0)</f>
        <v>0</v>
      </c>
      <c r="AZ673">
        <f>IF(AND(AQ673=1,ISNUMBER(AT673),AY673=1),$AT673,1)</f>
        <v>0</v>
      </c>
      <c r="BA673">
        <f>IF(AND(AR673=1,ISNUMBER(AT673),AY673=1),$AT673,1)</f>
        <v>0</v>
      </c>
      <c r="BB673">
        <f>IF(ISNUMBER(Y673),INDEX(AllCollegeILPub, MATCH(N673,AllCollegeNCES,0)),0)</f>
        <v>0</v>
      </c>
      <c r="BC673">
        <f>IF(AK673=ReachLabel,AP673,0)</f>
        <v>0</v>
      </c>
      <c r="BD673">
        <f>IF(AK673=MatchLabel,AP673,0)</f>
        <v>0</v>
      </c>
      <c r="BE673">
        <f>IF(AK673=SafetyLabel,AP673,0)</f>
        <v>0</v>
      </c>
      <c r="BF673">
        <f>IF(AK673=SecureLabel,AP673,0)</f>
        <v>0</v>
      </c>
      <c r="BG673">
        <f>IF(AK673=SureThingLabel,AP673,0)</f>
        <v>0</v>
      </c>
      <c r="BH673">
        <f>MAX(BC673:BG673)</f>
        <v>0</v>
      </c>
      <c r="BI673">
        <f>MAX(BD673:BG673)</f>
        <v>0</v>
      </c>
      <c r="BJ673">
        <f>MAX(BE673:BG673)</f>
        <v>0</v>
      </c>
      <c r="BK673">
        <f>IF(AND(AK673=ReachLabel,AY673=1),AP673,0)</f>
        <v>0</v>
      </c>
      <c r="BL673">
        <f>IF(AND(AK673=MatchLabel,AY673=1),AP673,0)</f>
        <v>0</v>
      </c>
      <c r="BM673">
        <f>IF(AND(AK673=SafetyLabel,AY673=1),AP673,0)</f>
        <v>0</v>
      </c>
      <c r="BN673">
        <f>IF(AND(AK673=SecureLabel,AY673=1),AP673,0)</f>
        <v>0</v>
      </c>
      <c r="BO673">
        <f>IF(AND(AK673=SureThingLabel,AY673=1),AP673,0)</f>
        <v>0</v>
      </c>
      <c r="BP673">
        <f>MAX(BK673:BO673)</f>
        <v>0</v>
      </c>
      <c r="BQ673">
        <f>MAX(BL673:BO673)</f>
        <v>0</v>
      </c>
      <c r="BR673">
        <f>MAX(BM673:BO673)</f>
        <v>0</v>
      </c>
      <c r="BS673">
        <f>IF(ISNUMBER(Y673),INDEX(AllCollegeChicago, MATCH(N673,AllCollegeNCES,0))*AY673,0)</f>
        <v>0</v>
      </c>
      <c r="BT673">
        <f>IF(ISNUMBER(Y673),INDEX(AllCollegeMoneyCode, MATCH(N673,AllCollegeNCES,0)),"?")</f>
        <v>0</v>
      </c>
      <c r="BU673">
        <f>IF(OR(BT673="---",BT673="--",BT673="+/--",BT673="+/---"),1,0)</f>
        <v>0</v>
      </c>
      <c r="BV673">
        <f>AY673*AO673*AQ673</f>
        <v>0</v>
      </c>
    </row>
    <row r="674" spans="1:74">
      <c r="A674" t="s">
        <v>86</v>
      </c>
      <c r="B674">
        <v>24597473</v>
      </c>
      <c r="C674" t="s">
        <v>326</v>
      </c>
      <c r="D674" t="s">
        <v>327</v>
      </c>
      <c r="E674" t="s">
        <v>428</v>
      </c>
      <c r="F674" t="s">
        <v>457</v>
      </c>
      <c r="G674" t="s">
        <v>430</v>
      </c>
      <c r="H674" t="s">
        <v>431</v>
      </c>
      <c r="I674" t="s">
        <v>432</v>
      </c>
      <c r="J674" t="s">
        <v>432</v>
      </c>
      <c r="K674">
        <v>0</v>
      </c>
      <c r="L674" t="s">
        <v>428</v>
      </c>
      <c r="M674" t="s">
        <v>428</v>
      </c>
      <c r="N674">
        <v>145637</v>
      </c>
      <c r="O674">
        <f>INDEX(AllCollegeBarrons,MATCH(N674,AllCollegeNCES,0))</f>
        <v>0</v>
      </c>
      <c r="P674">
        <f>INDEX(KidGPAs,MATCH(B674,KidIDs,0))</f>
        <v>0</v>
      </c>
      <c r="Q674">
        <f>INDEX(KidACTs,MATCH(B674,KidIDs,0))</f>
        <v>0</v>
      </c>
      <c r="R674">
        <f>INDEX(Strats,MATCH(B674,KidIDs,0))</f>
        <v>0</v>
      </c>
      <c r="S674">
        <f>INDEX(KidRace,MATCH(B674,KidIDs,0))</f>
        <v>0</v>
      </c>
      <c r="T674">
        <f>IF(OR(S674="M",S674="I"),"H",S674)</f>
        <v>0</v>
      </c>
      <c r="U674">
        <f>INDEX(StudentTargets,MATCH(B674,KidIDs,0))</f>
        <v>0</v>
      </c>
      <c r="V674">
        <f>INDEX(ReachStudentTargets,MATCH(B674,KidIDs,0))</f>
        <v>0</v>
      </c>
      <c r="W674">
        <f>IF(OR(M674="Posse"),1,0)</f>
        <v>0</v>
      </c>
      <c r="X674">
        <f>IF(ISNUMBER(INDEX(AllCollegeGR, MATCH(N674,AllCollegeNCES,0))),ROUND(INDEX(AllCollegeGR, MATCH(N674,AllCollegeNCES,0))+W674*IF(INDEX(AllCollegeGR, MATCH(N674,AllCollegeNCES,0))&gt;0.7,(1-INDEX(AllCollegeGR, MATCH(N674,AllCollegeNCES,0)))/2,0.15),2),INDEX(AllCollegeGR, MATCH(N674,AllCollegeNCES,0)))</f>
        <v>0</v>
      </c>
      <c r="Y674">
        <f>IF(ISNUMBER(INDEX(AllCollegeAAHGR, MATCH(N674,AllCollegeNCES,0))),ROUND(INDEX(AllCollegeAAHGR, MATCH(N674,AllCollegeNCES,0))+W674*IF(INDEX(AllCollegeAAHGR, MATCH(N674,AllCollegeNCES,0))&gt;0.7,(1-INDEX(AllCollegeAAHGR, MATCH(N674,AllCollegeNCES,0)))/2,0.15),2),INDEX(AllCollegeAAHGR, MATCH(N674,AllCollegeNCES,0)))</f>
        <v>0</v>
      </c>
      <c r="Z674">
        <f>IF(OR(T674="H",T674="B"),INDEX(AllCollegeACT25, MATCH(N674,AllCollegeNCES,0)),INDEX(AllCollegeACT50, MATCH(N674,AllCollegeNCES,0)))</f>
        <v>0</v>
      </c>
      <c r="AA674">
        <f>INDEX(CustomWeightsGPA,MATCH(T674&amp;":"&amp;N674,CustomWeightsIndex,0))</f>
        <v>0</v>
      </c>
      <c r="AB674">
        <f>INDEX(CustomWeightsACT,MATCH(T674&amp;":"&amp;N674,CustomWeightsIndex,0))</f>
        <v>0</v>
      </c>
      <c r="AC674">
        <f>INDEX(CustomWeightsIntercept,MATCH(T674&amp;":"&amp;N674,CustomWeightsIndex,0))</f>
        <v>0</v>
      </c>
      <c r="AD674">
        <f>AA674*P674+AB674*Q674+AC674</f>
        <v>0</v>
      </c>
      <c r="AE674">
        <f>INDEX(CoefficientsGPA,MATCH(T674&amp;":"&amp;O674,CoefficientsIndex,0))</f>
        <v>0</v>
      </c>
      <c r="AF674">
        <f>INDEX(CoefficientsACT,MATCH(T674&amp;":"&amp;O674,CoefficientsIndex,0))</f>
        <v>0</v>
      </c>
      <c r="AG674">
        <f>INDEX(CoefficientsIntercept,MATCH(T674&amp;":"&amp;O674,CoefficientsIndex,0))</f>
        <v>0</v>
      </c>
      <c r="AH674">
        <f>AE674*P674+(Q674-Z674)*AF674+AG674</f>
        <v>0</v>
      </c>
      <c r="AI674">
        <f>IF(ISNUMBER(AD674),AD674,AH674)</f>
        <v>0</v>
      </c>
      <c r="AJ674">
        <f>IF(ISNUMBER(AI674),IF(ISNUMBER(AE674),IF(AND(AE674=1,AF674=1,AG674=1),100,ROUND(100*EXP(AI674)/(1+EXP(AI674)),2)),ROUND(100*EXP(AI674)/(1+EXP(AI674)),2)),IF(ISTEXT(O674),IF(LEFT(O674,1)="2",100,"N/A"),"N/A"))</f>
        <v>0</v>
      </c>
      <c r="AK674">
        <f>IF(ISNUMBER(AJ674),IF(AJ674&gt;=99,IF(OR(R674=10,R674=11),MatchLabel,SureThingLabel),IF(AJ674&gt;=95,SecureLabel,IF(AJ674&gt;=80,SafetyLabel,IF(AJ674&gt;=50,MatchLabel,IF(AJ674&gt;=20,ReachLabel,IF(AJ674&gt;=10,LongshotLabel,HailMaryLabel)))))),"Other")</f>
        <v>0</v>
      </c>
      <c r="AL674">
        <f>IF(OR(I674="accepted",I674="cond. accept",I674="summer admit"),IF(J674="yes","CHOICE!","Accepted!"),IF(I674="denied","Denied",IF(K674=1,"Waitlist",IF(L674=1,"Deferred",IF(G674="pending","Pending",IF(OR(G674="initial materials submitted",G674="mid-year submitted",G674="final submitted"),"Submitted",IF(H674="interest","Interest","?")))))))</f>
        <v>0</v>
      </c>
      <c r="AM674">
        <f>IF(OR(AK674=ReachLabel,AK674=LongshotLabel,AK674=HailMaryLabel),1,0)</f>
        <v>0</v>
      </c>
      <c r="AN674">
        <f>IF(OR(AM674=1,AK674=MatchLabel),1,0)</f>
        <v>0</v>
      </c>
      <c r="AO674">
        <f>IF(OR(AK674=MatchLabel,AK674=SafetyLabel,AK674=SecureLabel,AK674=SureThingLabel),1,0)</f>
        <v>0</v>
      </c>
      <c r="AP674">
        <f>IF(OR(T674="H",T674="B"),IF(ISNUMBER(Y674),ROUND(Y674,2),0),IF(ISNUMBER(X674),ROUND(X674,2),0))</f>
        <v>0</v>
      </c>
      <c r="AQ674">
        <f>IF(AP674&gt;=U674,1,0)</f>
        <v>0</v>
      </c>
      <c r="AR674">
        <f>IF(AP674&gt;=V674,1,0)</f>
        <v>0</v>
      </c>
      <c r="AS674">
        <f>IF(AP674&lt;(U674-0.10),1,0)</f>
        <v>0</v>
      </c>
      <c r="AT674">
        <f>1-AJ674/100</f>
        <v>0</v>
      </c>
      <c r="AU674">
        <f>IF(AN674=1,AT674,1)</f>
        <v>0</v>
      </c>
      <c r="AV674">
        <f>IF(AM674=1,AT674,1)</f>
        <v>0</v>
      </c>
      <c r="AW674">
        <f>IF(AND(AQ674=1,ISNUMBER(AT674)),$AT674,1)</f>
        <v>0</v>
      </c>
      <c r="AX674">
        <f>IF(AND(AR674=1,ISNUMBER(AT674)),$AT674,1)</f>
        <v>0</v>
      </c>
      <c r="AY674">
        <f>IF(ISNUMBER(Y674),INDEX(AllCollegeMoney, MATCH(N674,AllCollegeNCES,0)),0)</f>
        <v>0</v>
      </c>
      <c r="AZ674">
        <f>IF(AND(AQ674=1,ISNUMBER(AT674),AY674=1),$AT674,1)</f>
        <v>0</v>
      </c>
      <c r="BA674">
        <f>IF(AND(AR674=1,ISNUMBER(AT674),AY674=1),$AT674,1)</f>
        <v>0</v>
      </c>
      <c r="BB674">
        <f>IF(ISNUMBER(Y674),INDEX(AllCollegeILPub, MATCH(N674,AllCollegeNCES,0)),0)</f>
        <v>0</v>
      </c>
      <c r="BC674">
        <f>IF(AK674=ReachLabel,AP674,0)</f>
        <v>0</v>
      </c>
      <c r="BD674">
        <f>IF(AK674=MatchLabel,AP674,0)</f>
        <v>0</v>
      </c>
      <c r="BE674">
        <f>IF(AK674=SafetyLabel,AP674,0)</f>
        <v>0</v>
      </c>
      <c r="BF674">
        <f>IF(AK674=SecureLabel,AP674,0)</f>
        <v>0</v>
      </c>
      <c r="BG674">
        <f>IF(AK674=SureThingLabel,AP674,0)</f>
        <v>0</v>
      </c>
      <c r="BH674">
        <f>MAX(BC674:BG674)</f>
        <v>0</v>
      </c>
      <c r="BI674">
        <f>MAX(BD674:BG674)</f>
        <v>0</v>
      </c>
      <c r="BJ674">
        <f>MAX(BE674:BG674)</f>
        <v>0</v>
      </c>
      <c r="BK674">
        <f>IF(AND(AK674=ReachLabel,AY674=1),AP674,0)</f>
        <v>0</v>
      </c>
      <c r="BL674">
        <f>IF(AND(AK674=MatchLabel,AY674=1),AP674,0)</f>
        <v>0</v>
      </c>
      <c r="BM674">
        <f>IF(AND(AK674=SafetyLabel,AY674=1),AP674,0)</f>
        <v>0</v>
      </c>
      <c r="BN674">
        <f>IF(AND(AK674=SecureLabel,AY674=1),AP674,0)</f>
        <v>0</v>
      </c>
      <c r="BO674">
        <f>IF(AND(AK674=SureThingLabel,AY674=1),AP674,0)</f>
        <v>0</v>
      </c>
      <c r="BP674">
        <f>MAX(BK674:BO674)</f>
        <v>0</v>
      </c>
      <c r="BQ674">
        <f>MAX(BL674:BO674)</f>
        <v>0</v>
      </c>
      <c r="BR674">
        <f>MAX(BM674:BO674)</f>
        <v>0</v>
      </c>
      <c r="BS674">
        <f>IF(ISNUMBER(Y674),INDEX(AllCollegeChicago, MATCH(N674,AllCollegeNCES,0))*AY674,0)</f>
        <v>0</v>
      </c>
      <c r="BT674">
        <f>IF(ISNUMBER(Y674),INDEX(AllCollegeMoneyCode, MATCH(N674,AllCollegeNCES,0)),"?")</f>
        <v>0</v>
      </c>
      <c r="BU674">
        <f>IF(OR(BT674="---",BT674="--",BT674="+/--",BT674="+/---"),1,0)</f>
        <v>0</v>
      </c>
      <c r="BV674">
        <f>AY674*AO674*AQ674</f>
        <v>0</v>
      </c>
    </row>
    <row r="675" spans="1:74">
      <c r="A675" t="s">
        <v>86</v>
      </c>
      <c r="B675">
        <v>24597473</v>
      </c>
      <c r="C675" t="s">
        <v>326</v>
      </c>
      <c r="D675" t="s">
        <v>327</v>
      </c>
      <c r="E675" t="s">
        <v>428</v>
      </c>
      <c r="F675" t="s">
        <v>470</v>
      </c>
      <c r="G675" t="s">
        <v>430</v>
      </c>
      <c r="H675" t="s">
        <v>431</v>
      </c>
      <c r="I675" t="s">
        <v>432</v>
      </c>
      <c r="J675" t="s">
        <v>432</v>
      </c>
      <c r="K675">
        <v>0</v>
      </c>
      <c r="L675" t="s">
        <v>428</v>
      </c>
      <c r="M675" t="s">
        <v>428</v>
      </c>
      <c r="N675">
        <v>206589</v>
      </c>
      <c r="O675">
        <f>INDEX(AllCollegeBarrons,MATCH(N675,AllCollegeNCES,0))</f>
        <v>0</v>
      </c>
      <c r="P675">
        <f>INDEX(KidGPAs,MATCH(B675,KidIDs,0))</f>
        <v>0</v>
      </c>
      <c r="Q675">
        <f>INDEX(KidACTs,MATCH(B675,KidIDs,0))</f>
        <v>0</v>
      </c>
      <c r="R675">
        <f>INDEX(Strats,MATCH(B675,KidIDs,0))</f>
        <v>0</v>
      </c>
      <c r="S675">
        <f>INDEX(KidRace,MATCH(B675,KidIDs,0))</f>
        <v>0</v>
      </c>
      <c r="T675">
        <f>IF(OR(S675="M",S675="I"),"H",S675)</f>
        <v>0</v>
      </c>
      <c r="U675">
        <f>INDEX(StudentTargets,MATCH(B675,KidIDs,0))</f>
        <v>0</v>
      </c>
      <c r="V675">
        <f>INDEX(ReachStudentTargets,MATCH(B675,KidIDs,0))</f>
        <v>0</v>
      </c>
      <c r="W675">
        <f>IF(OR(M675="Posse"),1,0)</f>
        <v>0</v>
      </c>
      <c r="X675">
        <f>IF(ISNUMBER(INDEX(AllCollegeGR, MATCH(N675,AllCollegeNCES,0))),ROUND(INDEX(AllCollegeGR, MATCH(N675,AllCollegeNCES,0))+W675*IF(INDEX(AllCollegeGR, MATCH(N675,AllCollegeNCES,0))&gt;0.7,(1-INDEX(AllCollegeGR, MATCH(N675,AllCollegeNCES,0)))/2,0.15),2),INDEX(AllCollegeGR, MATCH(N675,AllCollegeNCES,0)))</f>
        <v>0</v>
      </c>
      <c r="Y675">
        <f>IF(ISNUMBER(INDEX(AllCollegeAAHGR, MATCH(N675,AllCollegeNCES,0))),ROUND(INDEX(AllCollegeAAHGR, MATCH(N675,AllCollegeNCES,0))+W675*IF(INDEX(AllCollegeAAHGR, MATCH(N675,AllCollegeNCES,0))&gt;0.7,(1-INDEX(AllCollegeAAHGR, MATCH(N675,AllCollegeNCES,0)))/2,0.15),2),INDEX(AllCollegeAAHGR, MATCH(N675,AllCollegeNCES,0)))</f>
        <v>0</v>
      </c>
      <c r="Z675">
        <f>IF(OR(T675="H",T675="B"),INDEX(AllCollegeACT25, MATCH(N675,AllCollegeNCES,0)),INDEX(AllCollegeACT50, MATCH(N675,AllCollegeNCES,0)))</f>
        <v>0</v>
      </c>
      <c r="AA675">
        <f>INDEX(CustomWeightsGPA,MATCH(T675&amp;":"&amp;N675,CustomWeightsIndex,0))</f>
        <v>0</v>
      </c>
      <c r="AB675">
        <f>INDEX(CustomWeightsACT,MATCH(T675&amp;":"&amp;N675,CustomWeightsIndex,0))</f>
        <v>0</v>
      </c>
      <c r="AC675">
        <f>INDEX(CustomWeightsIntercept,MATCH(T675&amp;":"&amp;N675,CustomWeightsIndex,0))</f>
        <v>0</v>
      </c>
      <c r="AD675">
        <f>AA675*P675+AB675*Q675+AC675</f>
        <v>0</v>
      </c>
      <c r="AE675">
        <f>INDEX(CoefficientsGPA,MATCH(T675&amp;":"&amp;O675,CoefficientsIndex,0))</f>
        <v>0</v>
      </c>
      <c r="AF675">
        <f>INDEX(CoefficientsACT,MATCH(T675&amp;":"&amp;O675,CoefficientsIndex,0))</f>
        <v>0</v>
      </c>
      <c r="AG675">
        <f>INDEX(CoefficientsIntercept,MATCH(T675&amp;":"&amp;O675,CoefficientsIndex,0))</f>
        <v>0</v>
      </c>
      <c r="AH675">
        <f>AE675*P675+(Q675-Z675)*AF675+AG675</f>
        <v>0</v>
      </c>
      <c r="AI675">
        <f>IF(ISNUMBER(AD675),AD675,AH675)</f>
        <v>0</v>
      </c>
      <c r="AJ675">
        <f>IF(ISNUMBER(AI675),IF(ISNUMBER(AE675),IF(AND(AE675=1,AF675=1,AG675=1),100,ROUND(100*EXP(AI675)/(1+EXP(AI675)),2)),ROUND(100*EXP(AI675)/(1+EXP(AI675)),2)),IF(ISTEXT(O675),IF(LEFT(O675,1)="2",100,"N/A"),"N/A"))</f>
        <v>0</v>
      </c>
      <c r="AK675">
        <f>IF(ISNUMBER(AJ675),IF(AJ675&gt;=99,IF(OR(R675=10,R675=11),MatchLabel,SureThingLabel),IF(AJ675&gt;=95,SecureLabel,IF(AJ675&gt;=80,SafetyLabel,IF(AJ675&gt;=50,MatchLabel,IF(AJ675&gt;=20,ReachLabel,IF(AJ675&gt;=10,LongshotLabel,HailMaryLabel)))))),"Other")</f>
        <v>0</v>
      </c>
      <c r="AL675">
        <f>IF(OR(I675="accepted",I675="cond. accept",I675="summer admit"),IF(J675="yes","CHOICE!","Accepted!"),IF(I675="denied","Denied",IF(K675=1,"Waitlist",IF(L675=1,"Deferred",IF(G675="pending","Pending",IF(OR(G675="initial materials submitted",G675="mid-year submitted",G675="final submitted"),"Submitted",IF(H675="interest","Interest","?")))))))</f>
        <v>0</v>
      </c>
      <c r="AM675">
        <f>IF(OR(AK675=ReachLabel,AK675=LongshotLabel,AK675=HailMaryLabel),1,0)</f>
        <v>0</v>
      </c>
      <c r="AN675">
        <f>IF(OR(AM675=1,AK675=MatchLabel),1,0)</f>
        <v>0</v>
      </c>
      <c r="AO675">
        <f>IF(OR(AK675=MatchLabel,AK675=SafetyLabel,AK675=SecureLabel,AK675=SureThingLabel),1,0)</f>
        <v>0</v>
      </c>
      <c r="AP675">
        <f>IF(OR(T675="H",T675="B"),IF(ISNUMBER(Y675),ROUND(Y675,2),0),IF(ISNUMBER(X675),ROUND(X675,2),0))</f>
        <v>0</v>
      </c>
      <c r="AQ675">
        <f>IF(AP675&gt;=U675,1,0)</f>
        <v>0</v>
      </c>
      <c r="AR675">
        <f>IF(AP675&gt;=V675,1,0)</f>
        <v>0</v>
      </c>
      <c r="AS675">
        <f>IF(AP675&lt;(U675-0.10),1,0)</f>
        <v>0</v>
      </c>
      <c r="AT675">
        <f>1-AJ675/100</f>
        <v>0</v>
      </c>
      <c r="AU675">
        <f>IF(AN675=1,AT675,1)</f>
        <v>0</v>
      </c>
      <c r="AV675">
        <f>IF(AM675=1,AT675,1)</f>
        <v>0</v>
      </c>
      <c r="AW675">
        <f>IF(AND(AQ675=1,ISNUMBER(AT675)),$AT675,1)</f>
        <v>0</v>
      </c>
      <c r="AX675">
        <f>IF(AND(AR675=1,ISNUMBER(AT675)),$AT675,1)</f>
        <v>0</v>
      </c>
      <c r="AY675">
        <f>IF(ISNUMBER(Y675),INDEX(AllCollegeMoney, MATCH(N675,AllCollegeNCES,0)),0)</f>
        <v>0</v>
      </c>
      <c r="AZ675">
        <f>IF(AND(AQ675=1,ISNUMBER(AT675),AY675=1),$AT675,1)</f>
        <v>0</v>
      </c>
      <c r="BA675">
        <f>IF(AND(AR675=1,ISNUMBER(AT675),AY675=1),$AT675,1)</f>
        <v>0</v>
      </c>
      <c r="BB675">
        <f>IF(ISNUMBER(Y675),INDEX(AllCollegeILPub, MATCH(N675,AllCollegeNCES,0)),0)</f>
        <v>0</v>
      </c>
      <c r="BC675">
        <f>IF(AK675=ReachLabel,AP675,0)</f>
        <v>0</v>
      </c>
      <c r="BD675">
        <f>IF(AK675=MatchLabel,AP675,0)</f>
        <v>0</v>
      </c>
      <c r="BE675">
        <f>IF(AK675=SafetyLabel,AP675,0)</f>
        <v>0</v>
      </c>
      <c r="BF675">
        <f>IF(AK675=SecureLabel,AP675,0)</f>
        <v>0</v>
      </c>
      <c r="BG675">
        <f>IF(AK675=SureThingLabel,AP675,0)</f>
        <v>0</v>
      </c>
      <c r="BH675">
        <f>MAX(BC675:BG675)</f>
        <v>0</v>
      </c>
      <c r="BI675">
        <f>MAX(BD675:BG675)</f>
        <v>0</v>
      </c>
      <c r="BJ675">
        <f>MAX(BE675:BG675)</f>
        <v>0</v>
      </c>
      <c r="BK675">
        <f>IF(AND(AK675=ReachLabel,AY675=1),AP675,0)</f>
        <v>0</v>
      </c>
      <c r="BL675">
        <f>IF(AND(AK675=MatchLabel,AY675=1),AP675,0)</f>
        <v>0</v>
      </c>
      <c r="BM675">
        <f>IF(AND(AK675=SafetyLabel,AY675=1),AP675,0)</f>
        <v>0</v>
      </c>
      <c r="BN675">
        <f>IF(AND(AK675=SecureLabel,AY675=1),AP675,0)</f>
        <v>0</v>
      </c>
      <c r="BO675">
        <f>IF(AND(AK675=SureThingLabel,AY675=1),AP675,0)</f>
        <v>0</v>
      </c>
      <c r="BP675">
        <f>MAX(BK675:BO675)</f>
        <v>0</v>
      </c>
      <c r="BQ675">
        <f>MAX(BL675:BO675)</f>
        <v>0</v>
      </c>
      <c r="BR675">
        <f>MAX(BM675:BO675)</f>
        <v>0</v>
      </c>
      <c r="BS675">
        <f>IF(ISNUMBER(Y675),INDEX(AllCollegeChicago, MATCH(N675,AllCollegeNCES,0))*AY675,0)</f>
        <v>0</v>
      </c>
      <c r="BT675">
        <f>IF(ISNUMBER(Y675),INDEX(AllCollegeMoneyCode, MATCH(N675,AllCollegeNCES,0)),"?")</f>
        <v>0</v>
      </c>
      <c r="BU675">
        <f>IF(OR(BT675="---",BT675="--",BT675="+/--",BT675="+/---"),1,0)</f>
        <v>0</v>
      </c>
      <c r="BV675">
        <f>AY675*AO675*AQ675</f>
        <v>0</v>
      </c>
    </row>
    <row r="676" spans="1:74">
      <c r="A676" t="s">
        <v>86</v>
      </c>
      <c r="B676">
        <v>24597473</v>
      </c>
      <c r="C676" t="s">
        <v>326</v>
      </c>
      <c r="D676" t="s">
        <v>327</v>
      </c>
      <c r="E676" t="s">
        <v>428</v>
      </c>
      <c r="F676" t="s">
        <v>471</v>
      </c>
      <c r="G676" t="s">
        <v>463</v>
      </c>
      <c r="H676" t="s">
        <v>431</v>
      </c>
      <c r="I676" t="s">
        <v>432</v>
      </c>
      <c r="J676" t="s">
        <v>432</v>
      </c>
      <c r="K676">
        <v>0</v>
      </c>
      <c r="L676" t="s">
        <v>428</v>
      </c>
      <c r="M676" t="s">
        <v>428</v>
      </c>
      <c r="N676">
        <v>170301</v>
      </c>
      <c r="O676">
        <f>INDEX(AllCollegeBarrons,MATCH(N676,AllCollegeNCES,0))</f>
        <v>0</v>
      </c>
      <c r="P676">
        <f>INDEX(KidGPAs,MATCH(B676,KidIDs,0))</f>
        <v>0</v>
      </c>
      <c r="Q676">
        <f>INDEX(KidACTs,MATCH(B676,KidIDs,0))</f>
        <v>0</v>
      </c>
      <c r="R676">
        <f>INDEX(Strats,MATCH(B676,KidIDs,0))</f>
        <v>0</v>
      </c>
      <c r="S676">
        <f>INDEX(KidRace,MATCH(B676,KidIDs,0))</f>
        <v>0</v>
      </c>
      <c r="T676">
        <f>IF(OR(S676="M",S676="I"),"H",S676)</f>
        <v>0</v>
      </c>
      <c r="U676">
        <f>INDEX(StudentTargets,MATCH(B676,KidIDs,0))</f>
        <v>0</v>
      </c>
      <c r="V676">
        <f>INDEX(ReachStudentTargets,MATCH(B676,KidIDs,0))</f>
        <v>0</v>
      </c>
      <c r="W676">
        <f>IF(OR(M676="Posse"),1,0)</f>
        <v>0</v>
      </c>
      <c r="X676">
        <f>IF(ISNUMBER(INDEX(AllCollegeGR, MATCH(N676,AllCollegeNCES,0))),ROUND(INDEX(AllCollegeGR, MATCH(N676,AllCollegeNCES,0))+W676*IF(INDEX(AllCollegeGR, MATCH(N676,AllCollegeNCES,0))&gt;0.7,(1-INDEX(AllCollegeGR, MATCH(N676,AllCollegeNCES,0)))/2,0.15),2),INDEX(AllCollegeGR, MATCH(N676,AllCollegeNCES,0)))</f>
        <v>0</v>
      </c>
      <c r="Y676">
        <f>IF(ISNUMBER(INDEX(AllCollegeAAHGR, MATCH(N676,AllCollegeNCES,0))),ROUND(INDEX(AllCollegeAAHGR, MATCH(N676,AllCollegeNCES,0))+W676*IF(INDEX(AllCollegeAAHGR, MATCH(N676,AllCollegeNCES,0))&gt;0.7,(1-INDEX(AllCollegeAAHGR, MATCH(N676,AllCollegeNCES,0)))/2,0.15),2),INDEX(AllCollegeAAHGR, MATCH(N676,AllCollegeNCES,0)))</f>
        <v>0</v>
      </c>
      <c r="Z676">
        <f>IF(OR(T676="H",T676="B"),INDEX(AllCollegeACT25, MATCH(N676,AllCollegeNCES,0)),INDEX(AllCollegeACT50, MATCH(N676,AllCollegeNCES,0)))</f>
        <v>0</v>
      </c>
      <c r="AA676">
        <f>INDEX(CustomWeightsGPA,MATCH(T676&amp;":"&amp;N676,CustomWeightsIndex,0))</f>
        <v>0</v>
      </c>
      <c r="AB676">
        <f>INDEX(CustomWeightsACT,MATCH(T676&amp;":"&amp;N676,CustomWeightsIndex,0))</f>
        <v>0</v>
      </c>
      <c r="AC676">
        <f>INDEX(CustomWeightsIntercept,MATCH(T676&amp;":"&amp;N676,CustomWeightsIndex,0))</f>
        <v>0</v>
      </c>
      <c r="AD676">
        <f>AA676*P676+AB676*Q676+AC676</f>
        <v>0</v>
      </c>
      <c r="AE676">
        <f>INDEX(CoefficientsGPA,MATCH(T676&amp;":"&amp;O676,CoefficientsIndex,0))</f>
        <v>0</v>
      </c>
      <c r="AF676">
        <f>INDEX(CoefficientsACT,MATCH(T676&amp;":"&amp;O676,CoefficientsIndex,0))</f>
        <v>0</v>
      </c>
      <c r="AG676">
        <f>INDEX(CoefficientsIntercept,MATCH(T676&amp;":"&amp;O676,CoefficientsIndex,0))</f>
        <v>0</v>
      </c>
      <c r="AH676">
        <f>AE676*P676+(Q676-Z676)*AF676+AG676</f>
        <v>0</v>
      </c>
      <c r="AI676">
        <f>IF(ISNUMBER(AD676),AD676,AH676)</f>
        <v>0</v>
      </c>
      <c r="AJ676">
        <f>IF(ISNUMBER(AI676),IF(ISNUMBER(AE676),IF(AND(AE676=1,AF676=1,AG676=1),100,ROUND(100*EXP(AI676)/(1+EXP(AI676)),2)),ROUND(100*EXP(AI676)/(1+EXP(AI676)),2)),IF(ISTEXT(O676),IF(LEFT(O676,1)="2",100,"N/A"),"N/A"))</f>
        <v>0</v>
      </c>
      <c r="AK676">
        <f>IF(ISNUMBER(AJ676),IF(AJ676&gt;=99,IF(OR(R676=10,R676=11),MatchLabel,SureThingLabel),IF(AJ676&gt;=95,SecureLabel,IF(AJ676&gt;=80,SafetyLabel,IF(AJ676&gt;=50,MatchLabel,IF(AJ676&gt;=20,ReachLabel,IF(AJ676&gt;=10,LongshotLabel,HailMaryLabel)))))),"Other")</f>
        <v>0</v>
      </c>
      <c r="AL676">
        <f>IF(OR(I676="accepted",I676="cond. accept",I676="summer admit"),IF(J676="yes","CHOICE!","Accepted!"),IF(I676="denied","Denied",IF(K676=1,"Waitlist",IF(L676=1,"Deferred",IF(G676="pending","Pending",IF(OR(G676="initial materials submitted",G676="mid-year submitted",G676="final submitted"),"Submitted",IF(H676="interest","Interest","?")))))))</f>
        <v>0</v>
      </c>
      <c r="AM676">
        <f>IF(OR(AK676=ReachLabel,AK676=LongshotLabel,AK676=HailMaryLabel),1,0)</f>
        <v>0</v>
      </c>
      <c r="AN676">
        <f>IF(OR(AM676=1,AK676=MatchLabel),1,0)</f>
        <v>0</v>
      </c>
      <c r="AO676">
        <f>IF(OR(AK676=MatchLabel,AK676=SafetyLabel,AK676=SecureLabel,AK676=SureThingLabel),1,0)</f>
        <v>0</v>
      </c>
      <c r="AP676">
        <f>IF(OR(T676="H",T676="B"),IF(ISNUMBER(Y676),ROUND(Y676,2),0),IF(ISNUMBER(X676),ROUND(X676,2),0))</f>
        <v>0</v>
      </c>
      <c r="AQ676">
        <f>IF(AP676&gt;=U676,1,0)</f>
        <v>0</v>
      </c>
      <c r="AR676">
        <f>IF(AP676&gt;=V676,1,0)</f>
        <v>0</v>
      </c>
      <c r="AS676">
        <f>IF(AP676&lt;(U676-0.10),1,0)</f>
        <v>0</v>
      </c>
      <c r="AT676">
        <f>1-AJ676/100</f>
        <v>0</v>
      </c>
      <c r="AU676">
        <f>IF(AN676=1,AT676,1)</f>
        <v>0</v>
      </c>
      <c r="AV676">
        <f>IF(AM676=1,AT676,1)</f>
        <v>0</v>
      </c>
      <c r="AW676">
        <f>IF(AND(AQ676=1,ISNUMBER(AT676)),$AT676,1)</f>
        <v>0</v>
      </c>
      <c r="AX676">
        <f>IF(AND(AR676=1,ISNUMBER(AT676)),$AT676,1)</f>
        <v>0</v>
      </c>
      <c r="AY676">
        <f>IF(ISNUMBER(Y676),INDEX(AllCollegeMoney, MATCH(N676,AllCollegeNCES,0)),0)</f>
        <v>0</v>
      </c>
      <c r="AZ676">
        <f>IF(AND(AQ676=1,ISNUMBER(AT676),AY676=1),$AT676,1)</f>
        <v>0</v>
      </c>
      <c r="BA676">
        <f>IF(AND(AR676=1,ISNUMBER(AT676),AY676=1),$AT676,1)</f>
        <v>0</v>
      </c>
      <c r="BB676">
        <f>IF(ISNUMBER(Y676),INDEX(AllCollegeILPub, MATCH(N676,AllCollegeNCES,0)),0)</f>
        <v>0</v>
      </c>
      <c r="BC676">
        <f>IF(AK676=ReachLabel,AP676,0)</f>
        <v>0</v>
      </c>
      <c r="BD676">
        <f>IF(AK676=MatchLabel,AP676,0)</f>
        <v>0</v>
      </c>
      <c r="BE676">
        <f>IF(AK676=SafetyLabel,AP676,0)</f>
        <v>0</v>
      </c>
      <c r="BF676">
        <f>IF(AK676=SecureLabel,AP676,0)</f>
        <v>0</v>
      </c>
      <c r="BG676">
        <f>IF(AK676=SureThingLabel,AP676,0)</f>
        <v>0</v>
      </c>
      <c r="BH676">
        <f>MAX(BC676:BG676)</f>
        <v>0</v>
      </c>
      <c r="BI676">
        <f>MAX(BD676:BG676)</f>
        <v>0</v>
      </c>
      <c r="BJ676">
        <f>MAX(BE676:BG676)</f>
        <v>0</v>
      </c>
      <c r="BK676">
        <f>IF(AND(AK676=ReachLabel,AY676=1),AP676,0)</f>
        <v>0</v>
      </c>
      <c r="BL676">
        <f>IF(AND(AK676=MatchLabel,AY676=1),AP676,0)</f>
        <v>0</v>
      </c>
      <c r="BM676">
        <f>IF(AND(AK676=SafetyLabel,AY676=1),AP676,0)</f>
        <v>0</v>
      </c>
      <c r="BN676">
        <f>IF(AND(AK676=SecureLabel,AY676=1),AP676,0)</f>
        <v>0</v>
      </c>
      <c r="BO676">
        <f>IF(AND(AK676=SureThingLabel,AY676=1),AP676,0)</f>
        <v>0</v>
      </c>
      <c r="BP676">
        <f>MAX(BK676:BO676)</f>
        <v>0</v>
      </c>
      <c r="BQ676">
        <f>MAX(BL676:BO676)</f>
        <v>0</v>
      </c>
      <c r="BR676">
        <f>MAX(BM676:BO676)</f>
        <v>0</v>
      </c>
      <c r="BS676">
        <f>IF(ISNUMBER(Y676),INDEX(AllCollegeChicago, MATCH(N676,AllCollegeNCES,0))*AY676,0)</f>
        <v>0</v>
      </c>
      <c r="BT676">
        <f>IF(ISNUMBER(Y676),INDEX(AllCollegeMoneyCode, MATCH(N676,AllCollegeNCES,0)),"?")</f>
        <v>0</v>
      </c>
      <c r="BU676">
        <f>IF(OR(BT676="---",BT676="--",BT676="+/--",BT676="+/---"),1,0)</f>
        <v>0</v>
      </c>
      <c r="BV676">
        <f>AY676*AO676*AQ676</f>
        <v>0</v>
      </c>
    </row>
    <row r="677" spans="1:74">
      <c r="A677" t="s">
        <v>86</v>
      </c>
      <c r="B677">
        <v>24597473</v>
      </c>
      <c r="C677" t="s">
        <v>326</v>
      </c>
      <c r="D677" t="s">
        <v>327</v>
      </c>
      <c r="E677" t="s">
        <v>428</v>
      </c>
      <c r="F677" t="s">
        <v>459</v>
      </c>
      <c r="G677" t="s">
        <v>463</v>
      </c>
      <c r="H677" t="s">
        <v>431</v>
      </c>
      <c r="I677" t="s">
        <v>432</v>
      </c>
      <c r="J677" t="s">
        <v>432</v>
      </c>
      <c r="K677">
        <v>0</v>
      </c>
      <c r="L677" t="s">
        <v>428</v>
      </c>
      <c r="M677" t="s">
        <v>428</v>
      </c>
      <c r="N677">
        <v>146427</v>
      </c>
      <c r="O677">
        <f>INDEX(AllCollegeBarrons,MATCH(N677,AllCollegeNCES,0))</f>
        <v>0</v>
      </c>
      <c r="P677">
        <f>INDEX(KidGPAs,MATCH(B677,KidIDs,0))</f>
        <v>0</v>
      </c>
      <c r="Q677">
        <f>INDEX(KidACTs,MATCH(B677,KidIDs,0))</f>
        <v>0</v>
      </c>
      <c r="R677">
        <f>INDEX(Strats,MATCH(B677,KidIDs,0))</f>
        <v>0</v>
      </c>
      <c r="S677">
        <f>INDEX(KidRace,MATCH(B677,KidIDs,0))</f>
        <v>0</v>
      </c>
      <c r="T677">
        <f>IF(OR(S677="M",S677="I"),"H",S677)</f>
        <v>0</v>
      </c>
      <c r="U677">
        <f>INDEX(StudentTargets,MATCH(B677,KidIDs,0))</f>
        <v>0</v>
      </c>
      <c r="V677">
        <f>INDEX(ReachStudentTargets,MATCH(B677,KidIDs,0))</f>
        <v>0</v>
      </c>
      <c r="W677">
        <f>IF(OR(M677="Posse"),1,0)</f>
        <v>0</v>
      </c>
      <c r="X677">
        <f>IF(ISNUMBER(INDEX(AllCollegeGR, MATCH(N677,AllCollegeNCES,0))),ROUND(INDEX(AllCollegeGR, MATCH(N677,AllCollegeNCES,0))+W677*IF(INDEX(AllCollegeGR, MATCH(N677,AllCollegeNCES,0))&gt;0.7,(1-INDEX(AllCollegeGR, MATCH(N677,AllCollegeNCES,0)))/2,0.15),2),INDEX(AllCollegeGR, MATCH(N677,AllCollegeNCES,0)))</f>
        <v>0</v>
      </c>
      <c r="Y677">
        <f>IF(ISNUMBER(INDEX(AllCollegeAAHGR, MATCH(N677,AllCollegeNCES,0))),ROUND(INDEX(AllCollegeAAHGR, MATCH(N677,AllCollegeNCES,0))+W677*IF(INDEX(AllCollegeAAHGR, MATCH(N677,AllCollegeNCES,0))&gt;0.7,(1-INDEX(AllCollegeAAHGR, MATCH(N677,AllCollegeNCES,0)))/2,0.15),2),INDEX(AllCollegeAAHGR, MATCH(N677,AllCollegeNCES,0)))</f>
        <v>0</v>
      </c>
      <c r="Z677">
        <f>IF(OR(T677="H",T677="B"),INDEX(AllCollegeACT25, MATCH(N677,AllCollegeNCES,0)),INDEX(AllCollegeACT50, MATCH(N677,AllCollegeNCES,0)))</f>
        <v>0</v>
      </c>
      <c r="AA677">
        <f>INDEX(CustomWeightsGPA,MATCH(T677&amp;":"&amp;N677,CustomWeightsIndex,0))</f>
        <v>0</v>
      </c>
      <c r="AB677">
        <f>INDEX(CustomWeightsACT,MATCH(T677&amp;":"&amp;N677,CustomWeightsIndex,0))</f>
        <v>0</v>
      </c>
      <c r="AC677">
        <f>INDEX(CustomWeightsIntercept,MATCH(T677&amp;":"&amp;N677,CustomWeightsIndex,0))</f>
        <v>0</v>
      </c>
      <c r="AD677">
        <f>AA677*P677+AB677*Q677+AC677</f>
        <v>0</v>
      </c>
      <c r="AE677">
        <f>INDEX(CoefficientsGPA,MATCH(T677&amp;":"&amp;O677,CoefficientsIndex,0))</f>
        <v>0</v>
      </c>
      <c r="AF677">
        <f>INDEX(CoefficientsACT,MATCH(T677&amp;":"&amp;O677,CoefficientsIndex,0))</f>
        <v>0</v>
      </c>
      <c r="AG677">
        <f>INDEX(CoefficientsIntercept,MATCH(T677&amp;":"&amp;O677,CoefficientsIndex,0))</f>
        <v>0</v>
      </c>
      <c r="AH677">
        <f>AE677*P677+(Q677-Z677)*AF677+AG677</f>
        <v>0</v>
      </c>
      <c r="AI677">
        <f>IF(ISNUMBER(AD677),AD677,AH677)</f>
        <v>0</v>
      </c>
      <c r="AJ677">
        <f>IF(ISNUMBER(AI677),IF(ISNUMBER(AE677),IF(AND(AE677=1,AF677=1,AG677=1),100,ROUND(100*EXP(AI677)/(1+EXP(AI677)),2)),ROUND(100*EXP(AI677)/(1+EXP(AI677)),2)),IF(ISTEXT(O677),IF(LEFT(O677,1)="2",100,"N/A"),"N/A"))</f>
        <v>0</v>
      </c>
      <c r="AK677">
        <f>IF(ISNUMBER(AJ677),IF(AJ677&gt;=99,IF(OR(R677=10,R677=11),MatchLabel,SureThingLabel),IF(AJ677&gt;=95,SecureLabel,IF(AJ677&gt;=80,SafetyLabel,IF(AJ677&gt;=50,MatchLabel,IF(AJ677&gt;=20,ReachLabel,IF(AJ677&gt;=10,LongshotLabel,HailMaryLabel)))))),"Other")</f>
        <v>0</v>
      </c>
      <c r="AL677">
        <f>IF(OR(I677="accepted",I677="cond. accept",I677="summer admit"),IF(J677="yes","CHOICE!","Accepted!"),IF(I677="denied","Denied",IF(K677=1,"Waitlist",IF(L677=1,"Deferred",IF(G677="pending","Pending",IF(OR(G677="initial materials submitted",G677="mid-year submitted",G677="final submitted"),"Submitted",IF(H677="interest","Interest","?")))))))</f>
        <v>0</v>
      </c>
      <c r="AM677">
        <f>IF(OR(AK677=ReachLabel,AK677=LongshotLabel,AK677=HailMaryLabel),1,0)</f>
        <v>0</v>
      </c>
      <c r="AN677">
        <f>IF(OR(AM677=1,AK677=MatchLabel),1,0)</f>
        <v>0</v>
      </c>
      <c r="AO677">
        <f>IF(OR(AK677=MatchLabel,AK677=SafetyLabel,AK677=SecureLabel,AK677=SureThingLabel),1,0)</f>
        <v>0</v>
      </c>
      <c r="AP677">
        <f>IF(OR(T677="H",T677="B"),IF(ISNUMBER(Y677),ROUND(Y677,2),0),IF(ISNUMBER(X677),ROUND(X677,2),0))</f>
        <v>0</v>
      </c>
      <c r="AQ677">
        <f>IF(AP677&gt;=U677,1,0)</f>
        <v>0</v>
      </c>
      <c r="AR677">
        <f>IF(AP677&gt;=V677,1,0)</f>
        <v>0</v>
      </c>
      <c r="AS677">
        <f>IF(AP677&lt;(U677-0.10),1,0)</f>
        <v>0</v>
      </c>
      <c r="AT677">
        <f>1-AJ677/100</f>
        <v>0</v>
      </c>
      <c r="AU677">
        <f>IF(AN677=1,AT677,1)</f>
        <v>0</v>
      </c>
      <c r="AV677">
        <f>IF(AM677=1,AT677,1)</f>
        <v>0</v>
      </c>
      <c r="AW677">
        <f>IF(AND(AQ677=1,ISNUMBER(AT677)),$AT677,1)</f>
        <v>0</v>
      </c>
      <c r="AX677">
        <f>IF(AND(AR677=1,ISNUMBER(AT677)),$AT677,1)</f>
        <v>0</v>
      </c>
      <c r="AY677">
        <f>IF(ISNUMBER(Y677),INDEX(AllCollegeMoney, MATCH(N677,AllCollegeNCES,0)),0)</f>
        <v>0</v>
      </c>
      <c r="AZ677">
        <f>IF(AND(AQ677=1,ISNUMBER(AT677),AY677=1),$AT677,1)</f>
        <v>0</v>
      </c>
      <c r="BA677">
        <f>IF(AND(AR677=1,ISNUMBER(AT677),AY677=1),$AT677,1)</f>
        <v>0</v>
      </c>
      <c r="BB677">
        <f>IF(ISNUMBER(Y677),INDEX(AllCollegeILPub, MATCH(N677,AllCollegeNCES,0)),0)</f>
        <v>0</v>
      </c>
      <c r="BC677">
        <f>IF(AK677=ReachLabel,AP677,0)</f>
        <v>0</v>
      </c>
      <c r="BD677">
        <f>IF(AK677=MatchLabel,AP677,0)</f>
        <v>0</v>
      </c>
      <c r="BE677">
        <f>IF(AK677=SafetyLabel,AP677,0)</f>
        <v>0</v>
      </c>
      <c r="BF677">
        <f>IF(AK677=SecureLabel,AP677,0)</f>
        <v>0</v>
      </c>
      <c r="BG677">
        <f>IF(AK677=SureThingLabel,AP677,0)</f>
        <v>0</v>
      </c>
      <c r="BH677">
        <f>MAX(BC677:BG677)</f>
        <v>0</v>
      </c>
      <c r="BI677">
        <f>MAX(BD677:BG677)</f>
        <v>0</v>
      </c>
      <c r="BJ677">
        <f>MAX(BE677:BG677)</f>
        <v>0</v>
      </c>
      <c r="BK677">
        <f>IF(AND(AK677=ReachLabel,AY677=1),AP677,0)</f>
        <v>0</v>
      </c>
      <c r="BL677">
        <f>IF(AND(AK677=MatchLabel,AY677=1),AP677,0)</f>
        <v>0</v>
      </c>
      <c r="BM677">
        <f>IF(AND(AK677=SafetyLabel,AY677=1),AP677,0)</f>
        <v>0</v>
      </c>
      <c r="BN677">
        <f>IF(AND(AK677=SecureLabel,AY677=1),AP677,0)</f>
        <v>0</v>
      </c>
      <c r="BO677">
        <f>IF(AND(AK677=SureThingLabel,AY677=1),AP677,0)</f>
        <v>0</v>
      </c>
      <c r="BP677">
        <f>MAX(BK677:BO677)</f>
        <v>0</v>
      </c>
      <c r="BQ677">
        <f>MAX(BL677:BO677)</f>
        <v>0</v>
      </c>
      <c r="BR677">
        <f>MAX(BM677:BO677)</f>
        <v>0</v>
      </c>
      <c r="BS677">
        <f>IF(ISNUMBER(Y677),INDEX(AllCollegeChicago, MATCH(N677,AllCollegeNCES,0))*AY677,0)</f>
        <v>0</v>
      </c>
      <c r="BT677">
        <f>IF(ISNUMBER(Y677),INDEX(AllCollegeMoneyCode, MATCH(N677,AllCollegeNCES,0)),"?")</f>
        <v>0</v>
      </c>
      <c r="BU677">
        <f>IF(OR(BT677="---",BT677="--",BT677="+/--",BT677="+/---"),1,0)</f>
        <v>0</v>
      </c>
      <c r="BV677">
        <f>AY677*AO677*AQ677</f>
        <v>0</v>
      </c>
    </row>
    <row r="678" spans="1:74">
      <c r="A678" t="s">
        <v>86</v>
      </c>
      <c r="B678">
        <v>24597473</v>
      </c>
      <c r="C678" t="s">
        <v>326</v>
      </c>
      <c r="D678" t="s">
        <v>327</v>
      </c>
      <c r="E678" t="s">
        <v>428</v>
      </c>
      <c r="F678" t="s">
        <v>462</v>
      </c>
      <c r="G678" t="s">
        <v>463</v>
      </c>
      <c r="H678" t="s">
        <v>431</v>
      </c>
      <c r="I678" t="s">
        <v>432</v>
      </c>
      <c r="J678" t="s">
        <v>432</v>
      </c>
      <c r="K678">
        <v>0</v>
      </c>
      <c r="L678" t="s">
        <v>428</v>
      </c>
      <c r="M678" t="s">
        <v>428</v>
      </c>
      <c r="N678">
        <v>168546</v>
      </c>
      <c r="O678">
        <f>INDEX(AllCollegeBarrons,MATCH(N678,AllCollegeNCES,0))</f>
        <v>0</v>
      </c>
      <c r="P678">
        <f>INDEX(KidGPAs,MATCH(B678,KidIDs,0))</f>
        <v>0</v>
      </c>
      <c r="Q678">
        <f>INDEX(KidACTs,MATCH(B678,KidIDs,0))</f>
        <v>0</v>
      </c>
      <c r="R678">
        <f>INDEX(Strats,MATCH(B678,KidIDs,0))</f>
        <v>0</v>
      </c>
      <c r="S678">
        <f>INDEX(KidRace,MATCH(B678,KidIDs,0))</f>
        <v>0</v>
      </c>
      <c r="T678">
        <f>IF(OR(S678="M",S678="I"),"H",S678)</f>
        <v>0</v>
      </c>
      <c r="U678">
        <f>INDEX(StudentTargets,MATCH(B678,KidIDs,0))</f>
        <v>0</v>
      </c>
      <c r="V678">
        <f>INDEX(ReachStudentTargets,MATCH(B678,KidIDs,0))</f>
        <v>0</v>
      </c>
      <c r="W678">
        <f>IF(OR(M678="Posse"),1,0)</f>
        <v>0</v>
      </c>
      <c r="X678">
        <f>IF(ISNUMBER(INDEX(AllCollegeGR, MATCH(N678,AllCollegeNCES,0))),ROUND(INDEX(AllCollegeGR, MATCH(N678,AllCollegeNCES,0))+W678*IF(INDEX(AllCollegeGR, MATCH(N678,AllCollegeNCES,0))&gt;0.7,(1-INDEX(AllCollegeGR, MATCH(N678,AllCollegeNCES,0)))/2,0.15),2),INDEX(AllCollegeGR, MATCH(N678,AllCollegeNCES,0)))</f>
        <v>0</v>
      </c>
      <c r="Y678">
        <f>IF(ISNUMBER(INDEX(AllCollegeAAHGR, MATCH(N678,AllCollegeNCES,0))),ROUND(INDEX(AllCollegeAAHGR, MATCH(N678,AllCollegeNCES,0))+W678*IF(INDEX(AllCollegeAAHGR, MATCH(N678,AllCollegeNCES,0))&gt;0.7,(1-INDEX(AllCollegeAAHGR, MATCH(N678,AllCollegeNCES,0)))/2,0.15),2),INDEX(AllCollegeAAHGR, MATCH(N678,AllCollegeNCES,0)))</f>
        <v>0</v>
      </c>
      <c r="Z678">
        <f>IF(OR(T678="H",T678="B"),INDEX(AllCollegeACT25, MATCH(N678,AllCollegeNCES,0)),INDEX(AllCollegeACT50, MATCH(N678,AllCollegeNCES,0)))</f>
        <v>0</v>
      </c>
      <c r="AA678">
        <f>INDEX(CustomWeightsGPA,MATCH(T678&amp;":"&amp;N678,CustomWeightsIndex,0))</f>
        <v>0</v>
      </c>
      <c r="AB678">
        <f>INDEX(CustomWeightsACT,MATCH(T678&amp;":"&amp;N678,CustomWeightsIndex,0))</f>
        <v>0</v>
      </c>
      <c r="AC678">
        <f>INDEX(CustomWeightsIntercept,MATCH(T678&amp;":"&amp;N678,CustomWeightsIndex,0))</f>
        <v>0</v>
      </c>
      <c r="AD678">
        <f>AA678*P678+AB678*Q678+AC678</f>
        <v>0</v>
      </c>
      <c r="AE678">
        <f>INDEX(CoefficientsGPA,MATCH(T678&amp;":"&amp;O678,CoefficientsIndex,0))</f>
        <v>0</v>
      </c>
      <c r="AF678">
        <f>INDEX(CoefficientsACT,MATCH(T678&amp;":"&amp;O678,CoefficientsIndex,0))</f>
        <v>0</v>
      </c>
      <c r="AG678">
        <f>INDEX(CoefficientsIntercept,MATCH(T678&amp;":"&amp;O678,CoefficientsIndex,0))</f>
        <v>0</v>
      </c>
      <c r="AH678">
        <f>AE678*P678+(Q678-Z678)*AF678+AG678</f>
        <v>0</v>
      </c>
      <c r="AI678">
        <f>IF(ISNUMBER(AD678),AD678,AH678)</f>
        <v>0</v>
      </c>
      <c r="AJ678">
        <f>IF(ISNUMBER(AI678),IF(ISNUMBER(AE678),IF(AND(AE678=1,AF678=1,AG678=1),100,ROUND(100*EXP(AI678)/(1+EXP(AI678)),2)),ROUND(100*EXP(AI678)/(1+EXP(AI678)),2)),IF(ISTEXT(O678),IF(LEFT(O678,1)="2",100,"N/A"),"N/A"))</f>
        <v>0</v>
      </c>
      <c r="AK678">
        <f>IF(ISNUMBER(AJ678),IF(AJ678&gt;=99,IF(OR(R678=10,R678=11),MatchLabel,SureThingLabel),IF(AJ678&gt;=95,SecureLabel,IF(AJ678&gt;=80,SafetyLabel,IF(AJ678&gt;=50,MatchLabel,IF(AJ678&gt;=20,ReachLabel,IF(AJ678&gt;=10,LongshotLabel,HailMaryLabel)))))),"Other")</f>
        <v>0</v>
      </c>
      <c r="AL678">
        <f>IF(OR(I678="accepted",I678="cond. accept",I678="summer admit"),IF(J678="yes","CHOICE!","Accepted!"),IF(I678="denied","Denied",IF(K678=1,"Waitlist",IF(L678=1,"Deferred",IF(G678="pending","Pending",IF(OR(G678="initial materials submitted",G678="mid-year submitted",G678="final submitted"),"Submitted",IF(H678="interest","Interest","?")))))))</f>
        <v>0</v>
      </c>
      <c r="AM678">
        <f>IF(OR(AK678=ReachLabel,AK678=LongshotLabel,AK678=HailMaryLabel),1,0)</f>
        <v>0</v>
      </c>
      <c r="AN678">
        <f>IF(OR(AM678=1,AK678=MatchLabel),1,0)</f>
        <v>0</v>
      </c>
      <c r="AO678">
        <f>IF(OR(AK678=MatchLabel,AK678=SafetyLabel,AK678=SecureLabel,AK678=SureThingLabel),1,0)</f>
        <v>0</v>
      </c>
      <c r="AP678">
        <f>IF(OR(T678="H",T678="B"),IF(ISNUMBER(Y678),ROUND(Y678,2),0),IF(ISNUMBER(X678),ROUND(X678,2),0))</f>
        <v>0</v>
      </c>
      <c r="AQ678">
        <f>IF(AP678&gt;=U678,1,0)</f>
        <v>0</v>
      </c>
      <c r="AR678">
        <f>IF(AP678&gt;=V678,1,0)</f>
        <v>0</v>
      </c>
      <c r="AS678">
        <f>IF(AP678&lt;(U678-0.10),1,0)</f>
        <v>0</v>
      </c>
      <c r="AT678">
        <f>1-AJ678/100</f>
        <v>0</v>
      </c>
      <c r="AU678">
        <f>IF(AN678=1,AT678,1)</f>
        <v>0</v>
      </c>
      <c r="AV678">
        <f>IF(AM678=1,AT678,1)</f>
        <v>0</v>
      </c>
      <c r="AW678">
        <f>IF(AND(AQ678=1,ISNUMBER(AT678)),$AT678,1)</f>
        <v>0</v>
      </c>
      <c r="AX678">
        <f>IF(AND(AR678=1,ISNUMBER(AT678)),$AT678,1)</f>
        <v>0</v>
      </c>
      <c r="AY678">
        <f>IF(ISNUMBER(Y678),INDEX(AllCollegeMoney, MATCH(N678,AllCollegeNCES,0)),0)</f>
        <v>0</v>
      </c>
      <c r="AZ678">
        <f>IF(AND(AQ678=1,ISNUMBER(AT678),AY678=1),$AT678,1)</f>
        <v>0</v>
      </c>
      <c r="BA678">
        <f>IF(AND(AR678=1,ISNUMBER(AT678),AY678=1),$AT678,1)</f>
        <v>0</v>
      </c>
      <c r="BB678">
        <f>IF(ISNUMBER(Y678),INDEX(AllCollegeILPub, MATCH(N678,AllCollegeNCES,0)),0)</f>
        <v>0</v>
      </c>
      <c r="BC678">
        <f>IF(AK678=ReachLabel,AP678,0)</f>
        <v>0</v>
      </c>
      <c r="BD678">
        <f>IF(AK678=MatchLabel,AP678,0)</f>
        <v>0</v>
      </c>
      <c r="BE678">
        <f>IF(AK678=SafetyLabel,AP678,0)</f>
        <v>0</v>
      </c>
      <c r="BF678">
        <f>IF(AK678=SecureLabel,AP678,0)</f>
        <v>0</v>
      </c>
      <c r="BG678">
        <f>IF(AK678=SureThingLabel,AP678,0)</f>
        <v>0</v>
      </c>
      <c r="BH678">
        <f>MAX(BC678:BG678)</f>
        <v>0</v>
      </c>
      <c r="BI678">
        <f>MAX(BD678:BG678)</f>
        <v>0</v>
      </c>
      <c r="BJ678">
        <f>MAX(BE678:BG678)</f>
        <v>0</v>
      </c>
      <c r="BK678">
        <f>IF(AND(AK678=ReachLabel,AY678=1),AP678,0)</f>
        <v>0</v>
      </c>
      <c r="BL678">
        <f>IF(AND(AK678=MatchLabel,AY678=1),AP678,0)</f>
        <v>0</v>
      </c>
      <c r="BM678">
        <f>IF(AND(AK678=SafetyLabel,AY678=1),AP678,0)</f>
        <v>0</v>
      </c>
      <c r="BN678">
        <f>IF(AND(AK678=SecureLabel,AY678=1),AP678,0)</f>
        <v>0</v>
      </c>
      <c r="BO678">
        <f>IF(AND(AK678=SureThingLabel,AY678=1),AP678,0)</f>
        <v>0</v>
      </c>
      <c r="BP678">
        <f>MAX(BK678:BO678)</f>
        <v>0</v>
      </c>
      <c r="BQ678">
        <f>MAX(BL678:BO678)</f>
        <v>0</v>
      </c>
      <c r="BR678">
        <f>MAX(BM678:BO678)</f>
        <v>0</v>
      </c>
      <c r="BS678">
        <f>IF(ISNUMBER(Y678),INDEX(AllCollegeChicago, MATCH(N678,AllCollegeNCES,0))*AY678,0)</f>
        <v>0</v>
      </c>
      <c r="BT678">
        <f>IF(ISNUMBER(Y678),INDEX(AllCollegeMoneyCode, MATCH(N678,AllCollegeNCES,0)),"?")</f>
        <v>0</v>
      </c>
      <c r="BU678">
        <f>IF(OR(BT678="---",BT678="--",BT678="+/--",BT678="+/---"),1,0)</f>
        <v>0</v>
      </c>
      <c r="BV678">
        <f>AY678*AO678*AQ678</f>
        <v>0</v>
      </c>
    </row>
    <row r="679" spans="1:74">
      <c r="A679" t="s">
        <v>86</v>
      </c>
      <c r="B679">
        <v>24597473</v>
      </c>
      <c r="C679" t="s">
        <v>326</v>
      </c>
      <c r="D679" t="s">
        <v>327</v>
      </c>
      <c r="E679" t="s">
        <v>428</v>
      </c>
      <c r="F679" t="s">
        <v>484</v>
      </c>
      <c r="G679" t="s">
        <v>463</v>
      </c>
      <c r="H679" t="s">
        <v>431</v>
      </c>
      <c r="I679" t="s">
        <v>432</v>
      </c>
      <c r="J679" t="s">
        <v>432</v>
      </c>
      <c r="K679">
        <v>0</v>
      </c>
      <c r="L679" t="s">
        <v>428</v>
      </c>
      <c r="M679" t="s">
        <v>428</v>
      </c>
      <c r="N679">
        <v>144740</v>
      </c>
      <c r="O679">
        <f>INDEX(AllCollegeBarrons,MATCH(N679,AllCollegeNCES,0))</f>
        <v>0</v>
      </c>
      <c r="P679">
        <f>INDEX(KidGPAs,MATCH(B679,KidIDs,0))</f>
        <v>0</v>
      </c>
      <c r="Q679">
        <f>INDEX(KidACTs,MATCH(B679,KidIDs,0))</f>
        <v>0</v>
      </c>
      <c r="R679">
        <f>INDEX(Strats,MATCH(B679,KidIDs,0))</f>
        <v>0</v>
      </c>
      <c r="S679">
        <f>INDEX(KidRace,MATCH(B679,KidIDs,0))</f>
        <v>0</v>
      </c>
      <c r="T679">
        <f>IF(OR(S679="M",S679="I"),"H",S679)</f>
        <v>0</v>
      </c>
      <c r="U679">
        <f>INDEX(StudentTargets,MATCH(B679,KidIDs,0))</f>
        <v>0</v>
      </c>
      <c r="V679">
        <f>INDEX(ReachStudentTargets,MATCH(B679,KidIDs,0))</f>
        <v>0</v>
      </c>
      <c r="W679">
        <f>IF(OR(M679="Posse"),1,0)</f>
        <v>0</v>
      </c>
      <c r="X679">
        <f>IF(ISNUMBER(INDEX(AllCollegeGR, MATCH(N679,AllCollegeNCES,0))),ROUND(INDEX(AllCollegeGR, MATCH(N679,AllCollegeNCES,0))+W679*IF(INDEX(AllCollegeGR, MATCH(N679,AllCollegeNCES,0))&gt;0.7,(1-INDEX(AllCollegeGR, MATCH(N679,AllCollegeNCES,0)))/2,0.15),2),INDEX(AllCollegeGR, MATCH(N679,AllCollegeNCES,0)))</f>
        <v>0</v>
      </c>
      <c r="Y679">
        <f>IF(ISNUMBER(INDEX(AllCollegeAAHGR, MATCH(N679,AllCollegeNCES,0))),ROUND(INDEX(AllCollegeAAHGR, MATCH(N679,AllCollegeNCES,0))+W679*IF(INDEX(AllCollegeAAHGR, MATCH(N679,AllCollegeNCES,0))&gt;0.7,(1-INDEX(AllCollegeAAHGR, MATCH(N679,AllCollegeNCES,0)))/2,0.15),2),INDEX(AllCollegeAAHGR, MATCH(N679,AllCollegeNCES,0)))</f>
        <v>0</v>
      </c>
      <c r="Z679">
        <f>IF(OR(T679="H",T679="B"),INDEX(AllCollegeACT25, MATCH(N679,AllCollegeNCES,0)),INDEX(AllCollegeACT50, MATCH(N679,AllCollegeNCES,0)))</f>
        <v>0</v>
      </c>
      <c r="AA679">
        <f>INDEX(CustomWeightsGPA,MATCH(T679&amp;":"&amp;N679,CustomWeightsIndex,0))</f>
        <v>0</v>
      </c>
      <c r="AB679">
        <f>INDEX(CustomWeightsACT,MATCH(T679&amp;":"&amp;N679,CustomWeightsIndex,0))</f>
        <v>0</v>
      </c>
      <c r="AC679">
        <f>INDEX(CustomWeightsIntercept,MATCH(T679&amp;":"&amp;N679,CustomWeightsIndex,0))</f>
        <v>0</v>
      </c>
      <c r="AD679">
        <f>AA679*P679+AB679*Q679+AC679</f>
        <v>0</v>
      </c>
      <c r="AE679">
        <f>INDEX(CoefficientsGPA,MATCH(T679&amp;":"&amp;O679,CoefficientsIndex,0))</f>
        <v>0</v>
      </c>
      <c r="AF679">
        <f>INDEX(CoefficientsACT,MATCH(T679&amp;":"&amp;O679,CoefficientsIndex,0))</f>
        <v>0</v>
      </c>
      <c r="AG679">
        <f>INDEX(CoefficientsIntercept,MATCH(T679&amp;":"&amp;O679,CoefficientsIndex,0))</f>
        <v>0</v>
      </c>
      <c r="AH679">
        <f>AE679*P679+(Q679-Z679)*AF679+AG679</f>
        <v>0</v>
      </c>
      <c r="AI679">
        <f>IF(ISNUMBER(AD679),AD679,AH679)</f>
        <v>0</v>
      </c>
      <c r="AJ679">
        <f>IF(ISNUMBER(AI679),IF(ISNUMBER(AE679),IF(AND(AE679=1,AF679=1,AG679=1),100,ROUND(100*EXP(AI679)/(1+EXP(AI679)),2)),ROUND(100*EXP(AI679)/(1+EXP(AI679)),2)),IF(ISTEXT(O679),IF(LEFT(O679,1)="2",100,"N/A"),"N/A"))</f>
        <v>0</v>
      </c>
      <c r="AK679">
        <f>IF(ISNUMBER(AJ679),IF(AJ679&gt;=99,IF(OR(R679=10,R679=11),MatchLabel,SureThingLabel),IF(AJ679&gt;=95,SecureLabel,IF(AJ679&gt;=80,SafetyLabel,IF(AJ679&gt;=50,MatchLabel,IF(AJ679&gt;=20,ReachLabel,IF(AJ679&gt;=10,LongshotLabel,HailMaryLabel)))))),"Other")</f>
        <v>0</v>
      </c>
      <c r="AL679">
        <f>IF(OR(I679="accepted",I679="cond. accept",I679="summer admit"),IF(J679="yes","CHOICE!","Accepted!"),IF(I679="denied","Denied",IF(K679=1,"Waitlist",IF(L679=1,"Deferred",IF(G679="pending","Pending",IF(OR(G679="initial materials submitted",G679="mid-year submitted",G679="final submitted"),"Submitted",IF(H679="interest","Interest","?")))))))</f>
        <v>0</v>
      </c>
      <c r="AM679">
        <f>IF(OR(AK679=ReachLabel,AK679=LongshotLabel,AK679=HailMaryLabel),1,0)</f>
        <v>0</v>
      </c>
      <c r="AN679">
        <f>IF(OR(AM679=1,AK679=MatchLabel),1,0)</f>
        <v>0</v>
      </c>
      <c r="AO679">
        <f>IF(OR(AK679=MatchLabel,AK679=SafetyLabel,AK679=SecureLabel,AK679=SureThingLabel),1,0)</f>
        <v>0</v>
      </c>
      <c r="AP679">
        <f>IF(OR(T679="H",T679="B"),IF(ISNUMBER(Y679),ROUND(Y679,2),0),IF(ISNUMBER(X679),ROUND(X679,2),0))</f>
        <v>0</v>
      </c>
      <c r="AQ679">
        <f>IF(AP679&gt;=U679,1,0)</f>
        <v>0</v>
      </c>
      <c r="AR679">
        <f>IF(AP679&gt;=V679,1,0)</f>
        <v>0</v>
      </c>
      <c r="AS679">
        <f>IF(AP679&lt;(U679-0.10),1,0)</f>
        <v>0</v>
      </c>
      <c r="AT679">
        <f>1-AJ679/100</f>
        <v>0</v>
      </c>
      <c r="AU679">
        <f>IF(AN679=1,AT679,1)</f>
        <v>0</v>
      </c>
      <c r="AV679">
        <f>IF(AM679=1,AT679,1)</f>
        <v>0</v>
      </c>
      <c r="AW679">
        <f>IF(AND(AQ679=1,ISNUMBER(AT679)),$AT679,1)</f>
        <v>0</v>
      </c>
      <c r="AX679">
        <f>IF(AND(AR679=1,ISNUMBER(AT679)),$AT679,1)</f>
        <v>0</v>
      </c>
      <c r="AY679">
        <f>IF(ISNUMBER(Y679),INDEX(AllCollegeMoney, MATCH(N679,AllCollegeNCES,0)),0)</f>
        <v>0</v>
      </c>
      <c r="AZ679">
        <f>IF(AND(AQ679=1,ISNUMBER(AT679),AY679=1),$AT679,1)</f>
        <v>0</v>
      </c>
      <c r="BA679">
        <f>IF(AND(AR679=1,ISNUMBER(AT679),AY679=1),$AT679,1)</f>
        <v>0</v>
      </c>
      <c r="BB679">
        <f>IF(ISNUMBER(Y679),INDEX(AllCollegeILPub, MATCH(N679,AllCollegeNCES,0)),0)</f>
        <v>0</v>
      </c>
      <c r="BC679">
        <f>IF(AK679=ReachLabel,AP679,0)</f>
        <v>0</v>
      </c>
      <c r="BD679">
        <f>IF(AK679=MatchLabel,AP679,0)</f>
        <v>0</v>
      </c>
      <c r="BE679">
        <f>IF(AK679=SafetyLabel,AP679,0)</f>
        <v>0</v>
      </c>
      <c r="BF679">
        <f>IF(AK679=SecureLabel,AP679,0)</f>
        <v>0</v>
      </c>
      <c r="BG679">
        <f>IF(AK679=SureThingLabel,AP679,0)</f>
        <v>0</v>
      </c>
      <c r="BH679">
        <f>MAX(BC679:BG679)</f>
        <v>0</v>
      </c>
      <c r="BI679">
        <f>MAX(BD679:BG679)</f>
        <v>0</v>
      </c>
      <c r="BJ679">
        <f>MAX(BE679:BG679)</f>
        <v>0</v>
      </c>
      <c r="BK679">
        <f>IF(AND(AK679=ReachLabel,AY679=1),AP679,0)</f>
        <v>0</v>
      </c>
      <c r="BL679">
        <f>IF(AND(AK679=MatchLabel,AY679=1),AP679,0)</f>
        <v>0</v>
      </c>
      <c r="BM679">
        <f>IF(AND(AK679=SafetyLabel,AY679=1),AP679,0)</f>
        <v>0</v>
      </c>
      <c r="BN679">
        <f>IF(AND(AK679=SecureLabel,AY679=1),AP679,0)</f>
        <v>0</v>
      </c>
      <c r="BO679">
        <f>IF(AND(AK679=SureThingLabel,AY679=1),AP679,0)</f>
        <v>0</v>
      </c>
      <c r="BP679">
        <f>MAX(BK679:BO679)</f>
        <v>0</v>
      </c>
      <c r="BQ679">
        <f>MAX(BL679:BO679)</f>
        <v>0</v>
      </c>
      <c r="BR679">
        <f>MAX(BM679:BO679)</f>
        <v>0</v>
      </c>
      <c r="BS679">
        <f>IF(ISNUMBER(Y679),INDEX(AllCollegeChicago, MATCH(N679,AllCollegeNCES,0))*AY679,0)</f>
        <v>0</v>
      </c>
      <c r="BT679">
        <f>IF(ISNUMBER(Y679),INDEX(AllCollegeMoneyCode, MATCH(N679,AllCollegeNCES,0)),"?")</f>
        <v>0</v>
      </c>
      <c r="BU679">
        <f>IF(OR(BT679="---",BT679="--",BT679="+/--",BT679="+/---"),1,0)</f>
        <v>0</v>
      </c>
      <c r="BV679">
        <f>AY679*AO679*AQ679</f>
        <v>0</v>
      </c>
    </row>
    <row r="680" spans="1:74">
      <c r="A680" t="s">
        <v>86</v>
      </c>
      <c r="B680">
        <v>24597473</v>
      </c>
      <c r="C680" t="s">
        <v>326</v>
      </c>
      <c r="D680" t="s">
        <v>327</v>
      </c>
      <c r="E680" t="s">
        <v>428</v>
      </c>
      <c r="F680" t="s">
        <v>512</v>
      </c>
      <c r="G680" t="s">
        <v>463</v>
      </c>
      <c r="H680" t="s">
        <v>431</v>
      </c>
      <c r="I680" t="s">
        <v>432</v>
      </c>
      <c r="J680" t="s">
        <v>432</v>
      </c>
      <c r="K680">
        <v>0</v>
      </c>
      <c r="L680" t="s">
        <v>428</v>
      </c>
      <c r="M680" t="s">
        <v>428</v>
      </c>
      <c r="N680">
        <v>145691</v>
      </c>
      <c r="O680">
        <f>INDEX(AllCollegeBarrons,MATCH(N680,AllCollegeNCES,0))</f>
        <v>0</v>
      </c>
      <c r="P680">
        <f>INDEX(KidGPAs,MATCH(B680,KidIDs,0))</f>
        <v>0</v>
      </c>
      <c r="Q680">
        <f>INDEX(KidACTs,MATCH(B680,KidIDs,0))</f>
        <v>0</v>
      </c>
      <c r="R680">
        <f>INDEX(Strats,MATCH(B680,KidIDs,0))</f>
        <v>0</v>
      </c>
      <c r="S680">
        <f>INDEX(KidRace,MATCH(B680,KidIDs,0))</f>
        <v>0</v>
      </c>
      <c r="T680">
        <f>IF(OR(S680="M",S680="I"),"H",S680)</f>
        <v>0</v>
      </c>
      <c r="U680">
        <f>INDEX(StudentTargets,MATCH(B680,KidIDs,0))</f>
        <v>0</v>
      </c>
      <c r="V680">
        <f>INDEX(ReachStudentTargets,MATCH(B680,KidIDs,0))</f>
        <v>0</v>
      </c>
      <c r="W680">
        <f>IF(OR(M680="Posse"),1,0)</f>
        <v>0</v>
      </c>
      <c r="X680">
        <f>IF(ISNUMBER(INDEX(AllCollegeGR, MATCH(N680,AllCollegeNCES,0))),ROUND(INDEX(AllCollegeGR, MATCH(N680,AllCollegeNCES,0))+W680*IF(INDEX(AllCollegeGR, MATCH(N680,AllCollegeNCES,0))&gt;0.7,(1-INDEX(AllCollegeGR, MATCH(N680,AllCollegeNCES,0)))/2,0.15),2),INDEX(AllCollegeGR, MATCH(N680,AllCollegeNCES,0)))</f>
        <v>0</v>
      </c>
      <c r="Y680">
        <f>IF(ISNUMBER(INDEX(AllCollegeAAHGR, MATCH(N680,AllCollegeNCES,0))),ROUND(INDEX(AllCollegeAAHGR, MATCH(N680,AllCollegeNCES,0))+W680*IF(INDEX(AllCollegeAAHGR, MATCH(N680,AllCollegeNCES,0))&gt;0.7,(1-INDEX(AllCollegeAAHGR, MATCH(N680,AllCollegeNCES,0)))/2,0.15),2),INDEX(AllCollegeAAHGR, MATCH(N680,AllCollegeNCES,0)))</f>
        <v>0</v>
      </c>
      <c r="Z680">
        <f>IF(OR(T680="H",T680="B"),INDEX(AllCollegeACT25, MATCH(N680,AllCollegeNCES,0)),INDEX(AllCollegeACT50, MATCH(N680,AllCollegeNCES,0)))</f>
        <v>0</v>
      </c>
      <c r="AA680">
        <f>INDEX(CustomWeightsGPA,MATCH(T680&amp;":"&amp;N680,CustomWeightsIndex,0))</f>
        <v>0</v>
      </c>
      <c r="AB680">
        <f>INDEX(CustomWeightsACT,MATCH(T680&amp;":"&amp;N680,CustomWeightsIndex,0))</f>
        <v>0</v>
      </c>
      <c r="AC680">
        <f>INDEX(CustomWeightsIntercept,MATCH(T680&amp;":"&amp;N680,CustomWeightsIndex,0))</f>
        <v>0</v>
      </c>
      <c r="AD680">
        <f>AA680*P680+AB680*Q680+AC680</f>
        <v>0</v>
      </c>
      <c r="AE680">
        <f>INDEX(CoefficientsGPA,MATCH(T680&amp;":"&amp;O680,CoefficientsIndex,0))</f>
        <v>0</v>
      </c>
      <c r="AF680">
        <f>INDEX(CoefficientsACT,MATCH(T680&amp;":"&amp;O680,CoefficientsIndex,0))</f>
        <v>0</v>
      </c>
      <c r="AG680">
        <f>INDEX(CoefficientsIntercept,MATCH(T680&amp;":"&amp;O680,CoefficientsIndex,0))</f>
        <v>0</v>
      </c>
      <c r="AH680">
        <f>AE680*P680+(Q680-Z680)*AF680+AG680</f>
        <v>0</v>
      </c>
      <c r="AI680">
        <f>IF(ISNUMBER(AD680),AD680,AH680)</f>
        <v>0</v>
      </c>
      <c r="AJ680">
        <f>IF(ISNUMBER(AI680),IF(ISNUMBER(AE680),IF(AND(AE680=1,AF680=1,AG680=1),100,ROUND(100*EXP(AI680)/(1+EXP(AI680)),2)),ROUND(100*EXP(AI680)/(1+EXP(AI680)),2)),IF(ISTEXT(O680),IF(LEFT(O680,1)="2",100,"N/A"),"N/A"))</f>
        <v>0</v>
      </c>
      <c r="AK680">
        <f>IF(ISNUMBER(AJ680),IF(AJ680&gt;=99,IF(OR(R680=10,R680=11),MatchLabel,SureThingLabel),IF(AJ680&gt;=95,SecureLabel,IF(AJ680&gt;=80,SafetyLabel,IF(AJ680&gt;=50,MatchLabel,IF(AJ680&gt;=20,ReachLabel,IF(AJ680&gt;=10,LongshotLabel,HailMaryLabel)))))),"Other")</f>
        <v>0</v>
      </c>
      <c r="AL680">
        <f>IF(OR(I680="accepted",I680="cond. accept",I680="summer admit"),IF(J680="yes","CHOICE!","Accepted!"),IF(I680="denied","Denied",IF(K680=1,"Waitlist",IF(L680=1,"Deferred",IF(G680="pending","Pending",IF(OR(G680="initial materials submitted",G680="mid-year submitted",G680="final submitted"),"Submitted",IF(H680="interest","Interest","?")))))))</f>
        <v>0</v>
      </c>
      <c r="AM680">
        <f>IF(OR(AK680=ReachLabel,AK680=LongshotLabel,AK680=HailMaryLabel),1,0)</f>
        <v>0</v>
      </c>
      <c r="AN680">
        <f>IF(OR(AM680=1,AK680=MatchLabel),1,0)</f>
        <v>0</v>
      </c>
      <c r="AO680">
        <f>IF(OR(AK680=MatchLabel,AK680=SafetyLabel,AK680=SecureLabel,AK680=SureThingLabel),1,0)</f>
        <v>0</v>
      </c>
      <c r="AP680">
        <f>IF(OR(T680="H",T680="B"),IF(ISNUMBER(Y680),ROUND(Y680,2),0),IF(ISNUMBER(X680),ROUND(X680,2),0))</f>
        <v>0</v>
      </c>
      <c r="AQ680">
        <f>IF(AP680&gt;=U680,1,0)</f>
        <v>0</v>
      </c>
      <c r="AR680">
        <f>IF(AP680&gt;=V680,1,0)</f>
        <v>0</v>
      </c>
      <c r="AS680">
        <f>IF(AP680&lt;(U680-0.10),1,0)</f>
        <v>0</v>
      </c>
      <c r="AT680">
        <f>1-AJ680/100</f>
        <v>0</v>
      </c>
      <c r="AU680">
        <f>IF(AN680=1,AT680,1)</f>
        <v>0</v>
      </c>
      <c r="AV680">
        <f>IF(AM680=1,AT680,1)</f>
        <v>0</v>
      </c>
      <c r="AW680">
        <f>IF(AND(AQ680=1,ISNUMBER(AT680)),$AT680,1)</f>
        <v>0</v>
      </c>
      <c r="AX680">
        <f>IF(AND(AR680=1,ISNUMBER(AT680)),$AT680,1)</f>
        <v>0</v>
      </c>
      <c r="AY680">
        <f>IF(ISNUMBER(Y680),INDEX(AllCollegeMoney, MATCH(N680,AllCollegeNCES,0)),0)</f>
        <v>0</v>
      </c>
      <c r="AZ680">
        <f>IF(AND(AQ680=1,ISNUMBER(AT680),AY680=1),$AT680,1)</f>
        <v>0</v>
      </c>
      <c r="BA680">
        <f>IF(AND(AR680=1,ISNUMBER(AT680),AY680=1),$AT680,1)</f>
        <v>0</v>
      </c>
      <c r="BB680">
        <f>IF(ISNUMBER(Y680),INDEX(AllCollegeILPub, MATCH(N680,AllCollegeNCES,0)),0)</f>
        <v>0</v>
      </c>
      <c r="BC680">
        <f>IF(AK680=ReachLabel,AP680,0)</f>
        <v>0</v>
      </c>
      <c r="BD680">
        <f>IF(AK680=MatchLabel,AP680,0)</f>
        <v>0</v>
      </c>
      <c r="BE680">
        <f>IF(AK680=SafetyLabel,AP680,0)</f>
        <v>0</v>
      </c>
      <c r="BF680">
        <f>IF(AK680=SecureLabel,AP680,0)</f>
        <v>0</v>
      </c>
      <c r="BG680">
        <f>IF(AK680=SureThingLabel,AP680,0)</f>
        <v>0</v>
      </c>
      <c r="BH680">
        <f>MAX(BC680:BG680)</f>
        <v>0</v>
      </c>
      <c r="BI680">
        <f>MAX(BD680:BG680)</f>
        <v>0</v>
      </c>
      <c r="BJ680">
        <f>MAX(BE680:BG680)</f>
        <v>0</v>
      </c>
      <c r="BK680">
        <f>IF(AND(AK680=ReachLabel,AY680=1),AP680,0)</f>
        <v>0</v>
      </c>
      <c r="BL680">
        <f>IF(AND(AK680=MatchLabel,AY680=1),AP680,0)</f>
        <v>0</v>
      </c>
      <c r="BM680">
        <f>IF(AND(AK680=SafetyLabel,AY680=1),AP680,0)</f>
        <v>0</v>
      </c>
      <c r="BN680">
        <f>IF(AND(AK680=SecureLabel,AY680=1),AP680,0)</f>
        <v>0</v>
      </c>
      <c r="BO680">
        <f>IF(AND(AK680=SureThingLabel,AY680=1),AP680,0)</f>
        <v>0</v>
      </c>
      <c r="BP680">
        <f>MAX(BK680:BO680)</f>
        <v>0</v>
      </c>
      <c r="BQ680">
        <f>MAX(BL680:BO680)</f>
        <v>0</v>
      </c>
      <c r="BR680">
        <f>MAX(BM680:BO680)</f>
        <v>0</v>
      </c>
      <c r="BS680">
        <f>IF(ISNUMBER(Y680),INDEX(AllCollegeChicago, MATCH(N680,AllCollegeNCES,0))*AY680,0)</f>
        <v>0</v>
      </c>
      <c r="BT680">
        <f>IF(ISNUMBER(Y680),INDEX(AllCollegeMoneyCode, MATCH(N680,AllCollegeNCES,0)),"?")</f>
        <v>0</v>
      </c>
      <c r="BU680">
        <f>IF(OR(BT680="---",BT680="--",BT680="+/--",BT680="+/---"),1,0)</f>
        <v>0</v>
      </c>
      <c r="BV680">
        <f>AY680*AO680*AQ680</f>
        <v>0</v>
      </c>
    </row>
    <row r="681" spans="1:74">
      <c r="A681" t="s">
        <v>86</v>
      </c>
      <c r="B681">
        <v>24597473</v>
      </c>
      <c r="C681" t="s">
        <v>326</v>
      </c>
      <c r="D681" t="s">
        <v>327</v>
      </c>
      <c r="E681" t="s">
        <v>428</v>
      </c>
      <c r="F681" t="s">
        <v>519</v>
      </c>
      <c r="G681" t="s">
        <v>463</v>
      </c>
      <c r="H681" t="s">
        <v>431</v>
      </c>
      <c r="I681" t="s">
        <v>432</v>
      </c>
      <c r="J681" t="s">
        <v>432</v>
      </c>
      <c r="K681">
        <v>0</v>
      </c>
      <c r="L681" t="s">
        <v>428</v>
      </c>
      <c r="M681" t="s">
        <v>428</v>
      </c>
      <c r="N681">
        <v>239628</v>
      </c>
      <c r="O681">
        <f>INDEX(AllCollegeBarrons,MATCH(N681,AllCollegeNCES,0))</f>
        <v>0</v>
      </c>
      <c r="P681">
        <f>INDEX(KidGPAs,MATCH(B681,KidIDs,0))</f>
        <v>0</v>
      </c>
      <c r="Q681">
        <f>INDEX(KidACTs,MATCH(B681,KidIDs,0))</f>
        <v>0</v>
      </c>
      <c r="R681">
        <f>INDEX(Strats,MATCH(B681,KidIDs,0))</f>
        <v>0</v>
      </c>
      <c r="S681">
        <f>INDEX(KidRace,MATCH(B681,KidIDs,0))</f>
        <v>0</v>
      </c>
      <c r="T681">
        <f>IF(OR(S681="M",S681="I"),"H",S681)</f>
        <v>0</v>
      </c>
      <c r="U681">
        <f>INDEX(StudentTargets,MATCH(B681,KidIDs,0))</f>
        <v>0</v>
      </c>
      <c r="V681">
        <f>INDEX(ReachStudentTargets,MATCH(B681,KidIDs,0))</f>
        <v>0</v>
      </c>
      <c r="W681">
        <f>IF(OR(M681="Posse"),1,0)</f>
        <v>0</v>
      </c>
      <c r="X681">
        <f>IF(ISNUMBER(INDEX(AllCollegeGR, MATCH(N681,AllCollegeNCES,0))),ROUND(INDEX(AllCollegeGR, MATCH(N681,AllCollegeNCES,0))+W681*IF(INDEX(AllCollegeGR, MATCH(N681,AllCollegeNCES,0))&gt;0.7,(1-INDEX(AllCollegeGR, MATCH(N681,AllCollegeNCES,0)))/2,0.15),2),INDEX(AllCollegeGR, MATCH(N681,AllCollegeNCES,0)))</f>
        <v>0</v>
      </c>
      <c r="Y681">
        <f>IF(ISNUMBER(INDEX(AllCollegeAAHGR, MATCH(N681,AllCollegeNCES,0))),ROUND(INDEX(AllCollegeAAHGR, MATCH(N681,AllCollegeNCES,0))+W681*IF(INDEX(AllCollegeAAHGR, MATCH(N681,AllCollegeNCES,0))&gt;0.7,(1-INDEX(AllCollegeAAHGR, MATCH(N681,AllCollegeNCES,0)))/2,0.15),2),INDEX(AllCollegeAAHGR, MATCH(N681,AllCollegeNCES,0)))</f>
        <v>0</v>
      </c>
      <c r="Z681">
        <f>IF(OR(T681="H",T681="B"),INDEX(AllCollegeACT25, MATCH(N681,AllCollegeNCES,0)),INDEX(AllCollegeACT50, MATCH(N681,AllCollegeNCES,0)))</f>
        <v>0</v>
      </c>
      <c r="AA681">
        <f>INDEX(CustomWeightsGPA,MATCH(T681&amp;":"&amp;N681,CustomWeightsIndex,0))</f>
        <v>0</v>
      </c>
      <c r="AB681">
        <f>INDEX(CustomWeightsACT,MATCH(T681&amp;":"&amp;N681,CustomWeightsIndex,0))</f>
        <v>0</v>
      </c>
      <c r="AC681">
        <f>INDEX(CustomWeightsIntercept,MATCH(T681&amp;":"&amp;N681,CustomWeightsIndex,0))</f>
        <v>0</v>
      </c>
      <c r="AD681">
        <f>AA681*P681+AB681*Q681+AC681</f>
        <v>0</v>
      </c>
      <c r="AE681">
        <f>INDEX(CoefficientsGPA,MATCH(T681&amp;":"&amp;O681,CoefficientsIndex,0))</f>
        <v>0</v>
      </c>
      <c r="AF681">
        <f>INDEX(CoefficientsACT,MATCH(T681&amp;":"&amp;O681,CoefficientsIndex,0))</f>
        <v>0</v>
      </c>
      <c r="AG681">
        <f>INDEX(CoefficientsIntercept,MATCH(T681&amp;":"&amp;O681,CoefficientsIndex,0))</f>
        <v>0</v>
      </c>
      <c r="AH681">
        <f>AE681*P681+(Q681-Z681)*AF681+AG681</f>
        <v>0</v>
      </c>
      <c r="AI681">
        <f>IF(ISNUMBER(AD681),AD681,AH681)</f>
        <v>0</v>
      </c>
      <c r="AJ681">
        <f>IF(ISNUMBER(AI681),IF(ISNUMBER(AE681),IF(AND(AE681=1,AF681=1,AG681=1),100,ROUND(100*EXP(AI681)/(1+EXP(AI681)),2)),ROUND(100*EXP(AI681)/(1+EXP(AI681)),2)),IF(ISTEXT(O681),IF(LEFT(O681,1)="2",100,"N/A"),"N/A"))</f>
        <v>0</v>
      </c>
      <c r="AK681">
        <f>IF(ISNUMBER(AJ681),IF(AJ681&gt;=99,IF(OR(R681=10,R681=11),MatchLabel,SureThingLabel),IF(AJ681&gt;=95,SecureLabel,IF(AJ681&gt;=80,SafetyLabel,IF(AJ681&gt;=50,MatchLabel,IF(AJ681&gt;=20,ReachLabel,IF(AJ681&gt;=10,LongshotLabel,HailMaryLabel)))))),"Other")</f>
        <v>0</v>
      </c>
      <c r="AL681">
        <f>IF(OR(I681="accepted",I681="cond. accept",I681="summer admit"),IF(J681="yes","CHOICE!","Accepted!"),IF(I681="denied","Denied",IF(K681=1,"Waitlist",IF(L681=1,"Deferred",IF(G681="pending","Pending",IF(OR(G681="initial materials submitted",G681="mid-year submitted",G681="final submitted"),"Submitted",IF(H681="interest","Interest","?")))))))</f>
        <v>0</v>
      </c>
      <c r="AM681">
        <f>IF(OR(AK681=ReachLabel,AK681=LongshotLabel,AK681=HailMaryLabel),1,0)</f>
        <v>0</v>
      </c>
      <c r="AN681">
        <f>IF(OR(AM681=1,AK681=MatchLabel),1,0)</f>
        <v>0</v>
      </c>
      <c r="AO681">
        <f>IF(OR(AK681=MatchLabel,AK681=SafetyLabel,AK681=SecureLabel,AK681=SureThingLabel),1,0)</f>
        <v>0</v>
      </c>
      <c r="AP681">
        <f>IF(OR(T681="H",T681="B"),IF(ISNUMBER(Y681),ROUND(Y681,2),0),IF(ISNUMBER(X681),ROUND(X681,2),0))</f>
        <v>0</v>
      </c>
      <c r="AQ681">
        <f>IF(AP681&gt;=U681,1,0)</f>
        <v>0</v>
      </c>
      <c r="AR681">
        <f>IF(AP681&gt;=V681,1,0)</f>
        <v>0</v>
      </c>
      <c r="AS681">
        <f>IF(AP681&lt;(U681-0.10),1,0)</f>
        <v>0</v>
      </c>
      <c r="AT681">
        <f>1-AJ681/100</f>
        <v>0</v>
      </c>
      <c r="AU681">
        <f>IF(AN681=1,AT681,1)</f>
        <v>0</v>
      </c>
      <c r="AV681">
        <f>IF(AM681=1,AT681,1)</f>
        <v>0</v>
      </c>
      <c r="AW681">
        <f>IF(AND(AQ681=1,ISNUMBER(AT681)),$AT681,1)</f>
        <v>0</v>
      </c>
      <c r="AX681">
        <f>IF(AND(AR681=1,ISNUMBER(AT681)),$AT681,1)</f>
        <v>0</v>
      </c>
      <c r="AY681">
        <f>IF(ISNUMBER(Y681),INDEX(AllCollegeMoney, MATCH(N681,AllCollegeNCES,0)),0)</f>
        <v>0</v>
      </c>
      <c r="AZ681">
        <f>IF(AND(AQ681=1,ISNUMBER(AT681),AY681=1),$AT681,1)</f>
        <v>0</v>
      </c>
      <c r="BA681">
        <f>IF(AND(AR681=1,ISNUMBER(AT681),AY681=1),$AT681,1)</f>
        <v>0</v>
      </c>
      <c r="BB681">
        <f>IF(ISNUMBER(Y681),INDEX(AllCollegeILPub, MATCH(N681,AllCollegeNCES,0)),0)</f>
        <v>0</v>
      </c>
      <c r="BC681">
        <f>IF(AK681=ReachLabel,AP681,0)</f>
        <v>0</v>
      </c>
      <c r="BD681">
        <f>IF(AK681=MatchLabel,AP681,0)</f>
        <v>0</v>
      </c>
      <c r="BE681">
        <f>IF(AK681=SafetyLabel,AP681,0)</f>
        <v>0</v>
      </c>
      <c r="BF681">
        <f>IF(AK681=SecureLabel,AP681,0)</f>
        <v>0</v>
      </c>
      <c r="BG681">
        <f>IF(AK681=SureThingLabel,AP681,0)</f>
        <v>0</v>
      </c>
      <c r="BH681">
        <f>MAX(BC681:BG681)</f>
        <v>0</v>
      </c>
      <c r="BI681">
        <f>MAX(BD681:BG681)</f>
        <v>0</v>
      </c>
      <c r="BJ681">
        <f>MAX(BE681:BG681)</f>
        <v>0</v>
      </c>
      <c r="BK681">
        <f>IF(AND(AK681=ReachLabel,AY681=1),AP681,0)</f>
        <v>0</v>
      </c>
      <c r="BL681">
        <f>IF(AND(AK681=MatchLabel,AY681=1),AP681,0)</f>
        <v>0</v>
      </c>
      <c r="BM681">
        <f>IF(AND(AK681=SafetyLabel,AY681=1),AP681,0)</f>
        <v>0</v>
      </c>
      <c r="BN681">
        <f>IF(AND(AK681=SecureLabel,AY681=1),AP681,0)</f>
        <v>0</v>
      </c>
      <c r="BO681">
        <f>IF(AND(AK681=SureThingLabel,AY681=1),AP681,0)</f>
        <v>0</v>
      </c>
      <c r="BP681">
        <f>MAX(BK681:BO681)</f>
        <v>0</v>
      </c>
      <c r="BQ681">
        <f>MAX(BL681:BO681)</f>
        <v>0</v>
      </c>
      <c r="BR681">
        <f>MAX(BM681:BO681)</f>
        <v>0</v>
      </c>
      <c r="BS681">
        <f>IF(ISNUMBER(Y681),INDEX(AllCollegeChicago, MATCH(N681,AllCollegeNCES,0))*AY681,0)</f>
        <v>0</v>
      </c>
      <c r="BT681">
        <f>IF(ISNUMBER(Y681),INDEX(AllCollegeMoneyCode, MATCH(N681,AllCollegeNCES,0)),"?")</f>
        <v>0</v>
      </c>
      <c r="BU681">
        <f>IF(OR(BT681="---",BT681="--",BT681="+/--",BT681="+/---"),1,0)</f>
        <v>0</v>
      </c>
      <c r="BV681">
        <f>AY681*AO681*AQ681</f>
        <v>0</v>
      </c>
    </row>
    <row r="682" spans="1:74">
      <c r="A682" t="s">
        <v>86</v>
      </c>
      <c r="B682">
        <v>24597473</v>
      </c>
      <c r="C682" t="s">
        <v>326</v>
      </c>
      <c r="D682" t="s">
        <v>327</v>
      </c>
      <c r="E682" t="s">
        <v>428</v>
      </c>
      <c r="F682" t="s">
        <v>500</v>
      </c>
      <c r="G682" t="s">
        <v>430</v>
      </c>
      <c r="H682" t="s">
        <v>431</v>
      </c>
      <c r="I682" t="s">
        <v>432</v>
      </c>
      <c r="J682" t="s">
        <v>432</v>
      </c>
      <c r="K682">
        <v>0</v>
      </c>
      <c r="L682" t="s">
        <v>428</v>
      </c>
      <c r="M682" t="s">
        <v>428</v>
      </c>
      <c r="N682">
        <v>143048</v>
      </c>
      <c r="O682">
        <f>INDEX(AllCollegeBarrons,MATCH(N682,AllCollegeNCES,0))</f>
        <v>0</v>
      </c>
      <c r="P682">
        <f>INDEX(KidGPAs,MATCH(B682,KidIDs,0))</f>
        <v>0</v>
      </c>
      <c r="Q682">
        <f>INDEX(KidACTs,MATCH(B682,KidIDs,0))</f>
        <v>0</v>
      </c>
      <c r="R682">
        <f>INDEX(Strats,MATCH(B682,KidIDs,0))</f>
        <v>0</v>
      </c>
      <c r="S682">
        <f>INDEX(KidRace,MATCH(B682,KidIDs,0))</f>
        <v>0</v>
      </c>
      <c r="T682">
        <f>IF(OR(S682="M",S682="I"),"H",S682)</f>
        <v>0</v>
      </c>
      <c r="U682">
        <f>INDEX(StudentTargets,MATCH(B682,KidIDs,0))</f>
        <v>0</v>
      </c>
      <c r="V682">
        <f>INDEX(ReachStudentTargets,MATCH(B682,KidIDs,0))</f>
        <v>0</v>
      </c>
      <c r="W682">
        <f>IF(OR(M682="Posse"),1,0)</f>
        <v>0</v>
      </c>
      <c r="X682">
        <f>IF(ISNUMBER(INDEX(AllCollegeGR, MATCH(N682,AllCollegeNCES,0))),ROUND(INDEX(AllCollegeGR, MATCH(N682,AllCollegeNCES,0))+W682*IF(INDEX(AllCollegeGR, MATCH(N682,AllCollegeNCES,0))&gt;0.7,(1-INDEX(AllCollegeGR, MATCH(N682,AllCollegeNCES,0)))/2,0.15),2),INDEX(AllCollegeGR, MATCH(N682,AllCollegeNCES,0)))</f>
        <v>0</v>
      </c>
      <c r="Y682">
        <f>IF(ISNUMBER(INDEX(AllCollegeAAHGR, MATCH(N682,AllCollegeNCES,0))),ROUND(INDEX(AllCollegeAAHGR, MATCH(N682,AllCollegeNCES,0))+W682*IF(INDEX(AllCollegeAAHGR, MATCH(N682,AllCollegeNCES,0))&gt;0.7,(1-INDEX(AllCollegeAAHGR, MATCH(N682,AllCollegeNCES,0)))/2,0.15),2),INDEX(AllCollegeAAHGR, MATCH(N682,AllCollegeNCES,0)))</f>
        <v>0</v>
      </c>
      <c r="Z682">
        <f>IF(OR(T682="H",T682="B"),INDEX(AllCollegeACT25, MATCH(N682,AllCollegeNCES,0)),INDEX(AllCollegeACT50, MATCH(N682,AllCollegeNCES,0)))</f>
        <v>0</v>
      </c>
      <c r="AA682">
        <f>INDEX(CustomWeightsGPA,MATCH(T682&amp;":"&amp;N682,CustomWeightsIndex,0))</f>
        <v>0</v>
      </c>
      <c r="AB682">
        <f>INDEX(CustomWeightsACT,MATCH(T682&amp;":"&amp;N682,CustomWeightsIndex,0))</f>
        <v>0</v>
      </c>
      <c r="AC682">
        <f>INDEX(CustomWeightsIntercept,MATCH(T682&amp;":"&amp;N682,CustomWeightsIndex,0))</f>
        <v>0</v>
      </c>
      <c r="AD682">
        <f>AA682*P682+AB682*Q682+AC682</f>
        <v>0</v>
      </c>
      <c r="AE682">
        <f>INDEX(CoefficientsGPA,MATCH(T682&amp;":"&amp;O682,CoefficientsIndex,0))</f>
        <v>0</v>
      </c>
      <c r="AF682">
        <f>INDEX(CoefficientsACT,MATCH(T682&amp;":"&amp;O682,CoefficientsIndex,0))</f>
        <v>0</v>
      </c>
      <c r="AG682">
        <f>INDEX(CoefficientsIntercept,MATCH(T682&amp;":"&amp;O682,CoefficientsIndex,0))</f>
        <v>0</v>
      </c>
      <c r="AH682">
        <f>AE682*P682+(Q682-Z682)*AF682+AG682</f>
        <v>0</v>
      </c>
      <c r="AI682">
        <f>IF(ISNUMBER(AD682),AD682,AH682)</f>
        <v>0</v>
      </c>
      <c r="AJ682">
        <f>IF(ISNUMBER(AI682),IF(ISNUMBER(AE682),IF(AND(AE682=1,AF682=1,AG682=1),100,ROUND(100*EXP(AI682)/(1+EXP(AI682)),2)),ROUND(100*EXP(AI682)/(1+EXP(AI682)),2)),IF(ISTEXT(O682),IF(LEFT(O682,1)="2",100,"N/A"),"N/A"))</f>
        <v>0</v>
      </c>
      <c r="AK682">
        <f>IF(ISNUMBER(AJ682),IF(AJ682&gt;=99,IF(OR(R682=10,R682=11),MatchLabel,SureThingLabel),IF(AJ682&gt;=95,SecureLabel,IF(AJ682&gt;=80,SafetyLabel,IF(AJ682&gt;=50,MatchLabel,IF(AJ682&gt;=20,ReachLabel,IF(AJ682&gt;=10,LongshotLabel,HailMaryLabel)))))),"Other")</f>
        <v>0</v>
      </c>
      <c r="AL682">
        <f>IF(OR(I682="accepted",I682="cond. accept",I682="summer admit"),IF(J682="yes","CHOICE!","Accepted!"),IF(I682="denied","Denied",IF(K682=1,"Waitlist",IF(L682=1,"Deferred",IF(G682="pending","Pending",IF(OR(G682="initial materials submitted",G682="mid-year submitted",G682="final submitted"),"Submitted",IF(H682="interest","Interest","?")))))))</f>
        <v>0</v>
      </c>
      <c r="AM682">
        <f>IF(OR(AK682=ReachLabel,AK682=LongshotLabel,AK682=HailMaryLabel),1,0)</f>
        <v>0</v>
      </c>
      <c r="AN682">
        <f>IF(OR(AM682=1,AK682=MatchLabel),1,0)</f>
        <v>0</v>
      </c>
      <c r="AO682">
        <f>IF(OR(AK682=MatchLabel,AK682=SafetyLabel,AK682=SecureLabel,AK682=SureThingLabel),1,0)</f>
        <v>0</v>
      </c>
      <c r="AP682">
        <f>IF(OR(T682="H",T682="B"),IF(ISNUMBER(Y682),ROUND(Y682,2),0),IF(ISNUMBER(X682),ROUND(X682,2),0))</f>
        <v>0</v>
      </c>
      <c r="AQ682">
        <f>IF(AP682&gt;=U682,1,0)</f>
        <v>0</v>
      </c>
      <c r="AR682">
        <f>IF(AP682&gt;=V682,1,0)</f>
        <v>0</v>
      </c>
      <c r="AS682">
        <f>IF(AP682&lt;(U682-0.10),1,0)</f>
        <v>0</v>
      </c>
      <c r="AT682">
        <f>1-AJ682/100</f>
        <v>0</v>
      </c>
      <c r="AU682">
        <f>IF(AN682=1,AT682,1)</f>
        <v>0</v>
      </c>
      <c r="AV682">
        <f>IF(AM682=1,AT682,1)</f>
        <v>0</v>
      </c>
      <c r="AW682">
        <f>IF(AND(AQ682=1,ISNUMBER(AT682)),$AT682,1)</f>
        <v>0</v>
      </c>
      <c r="AX682">
        <f>IF(AND(AR682=1,ISNUMBER(AT682)),$AT682,1)</f>
        <v>0</v>
      </c>
      <c r="AY682">
        <f>IF(ISNUMBER(Y682),INDEX(AllCollegeMoney, MATCH(N682,AllCollegeNCES,0)),0)</f>
        <v>0</v>
      </c>
      <c r="AZ682">
        <f>IF(AND(AQ682=1,ISNUMBER(AT682),AY682=1),$AT682,1)</f>
        <v>0</v>
      </c>
      <c r="BA682">
        <f>IF(AND(AR682=1,ISNUMBER(AT682),AY682=1),$AT682,1)</f>
        <v>0</v>
      </c>
      <c r="BB682">
        <f>IF(ISNUMBER(Y682),INDEX(AllCollegeILPub, MATCH(N682,AllCollegeNCES,0)),0)</f>
        <v>0</v>
      </c>
      <c r="BC682">
        <f>IF(AK682=ReachLabel,AP682,0)</f>
        <v>0</v>
      </c>
      <c r="BD682">
        <f>IF(AK682=MatchLabel,AP682,0)</f>
        <v>0</v>
      </c>
      <c r="BE682">
        <f>IF(AK682=SafetyLabel,AP682,0)</f>
        <v>0</v>
      </c>
      <c r="BF682">
        <f>IF(AK682=SecureLabel,AP682,0)</f>
        <v>0</v>
      </c>
      <c r="BG682">
        <f>IF(AK682=SureThingLabel,AP682,0)</f>
        <v>0</v>
      </c>
      <c r="BH682">
        <f>MAX(BC682:BG682)</f>
        <v>0</v>
      </c>
      <c r="BI682">
        <f>MAX(BD682:BG682)</f>
        <v>0</v>
      </c>
      <c r="BJ682">
        <f>MAX(BE682:BG682)</f>
        <v>0</v>
      </c>
      <c r="BK682">
        <f>IF(AND(AK682=ReachLabel,AY682=1),AP682,0)</f>
        <v>0</v>
      </c>
      <c r="BL682">
        <f>IF(AND(AK682=MatchLabel,AY682=1),AP682,0)</f>
        <v>0</v>
      </c>
      <c r="BM682">
        <f>IF(AND(AK682=SafetyLabel,AY682=1),AP682,0)</f>
        <v>0</v>
      </c>
      <c r="BN682">
        <f>IF(AND(AK682=SecureLabel,AY682=1),AP682,0)</f>
        <v>0</v>
      </c>
      <c r="BO682">
        <f>IF(AND(AK682=SureThingLabel,AY682=1),AP682,0)</f>
        <v>0</v>
      </c>
      <c r="BP682">
        <f>MAX(BK682:BO682)</f>
        <v>0</v>
      </c>
      <c r="BQ682">
        <f>MAX(BL682:BO682)</f>
        <v>0</v>
      </c>
      <c r="BR682">
        <f>MAX(BM682:BO682)</f>
        <v>0</v>
      </c>
      <c r="BS682">
        <f>IF(ISNUMBER(Y682),INDEX(AllCollegeChicago, MATCH(N682,AllCollegeNCES,0))*AY682,0)</f>
        <v>0</v>
      </c>
      <c r="BT682">
        <f>IF(ISNUMBER(Y682),INDEX(AllCollegeMoneyCode, MATCH(N682,AllCollegeNCES,0)),"?")</f>
        <v>0</v>
      </c>
      <c r="BU682">
        <f>IF(OR(BT682="---",BT682="--",BT682="+/--",BT682="+/---"),1,0)</f>
        <v>0</v>
      </c>
      <c r="BV682">
        <f>AY682*AO682*AQ682</f>
        <v>0</v>
      </c>
    </row>
    <row r="683" spans="1:74">
      <c r="A683" t="s">
        <v>86</v>
      </c>
      <c r="B683">
        <v>24597473</v>
      </c>
      <c r="C683" t="s">
        <v>326</v>
      </c>
      <c r="D683" t="s">
        <v>327</v>
      </c>
      <c r="E683" t="s">
        <v>428</v>
      </c>
      <c r="F683" t="s">
        <v>581</v>
      </c>
      <c r="G683" t="s">
        <v>463</v>
      </c>
      <c r="H683" t="s">
        <v>431</v>
      </c>
      <c r="I683" t="s">
        <v>432</v>
      </c>
      <c r="J683" t="s">
        <v>432</v>
      </c>
      <c r="K683">
        <v>0</v>
      </c>
      <c r="L683" t="s">
        <v>428</v>
      </c>
      <c r="M683" t="s">
        <v>428</v>
      </c>
      <c r="N683">
        <v>170037</v>
      </c>
      <c r="O683">
        <f>INDEX(AllCollegeBarrons,MATCH(N683,AllCollegeNCES,0))</f>
        <v>0</v>
      </c>
      <c r="P683">
        <f>INDEX(KidGPAs,MATCH(B683,KidIDs,0))</f>
        <v>0</v>
      </c>
      <c r="Q683">
        <f>INDEX(KidACTs,MATCH(B683,KidIDs,0))</f>
        <v>0</v>
      </c>
      <c r="R683">
        <f>INDEX(Strats,MATCH(B683,KidIDs,0))</f>
        <v>0</v>
      </c>
      <c r="S683">
        <f>INDEX(KidRace,MATCH(B683,KidIDs,0))</f>
        <v>0</v>
      </c>
      <c r="T683">
        <f>IF(OR(S683="M",S683="I"),"H",S683)</f>
        <v>0</v>
      </c>
      <c r="U683">
        <f>INDEX(StudentTargets,MATCH(B683,KidIDs,0))</f>
        <v>0</v>
      </c>
      <c r="V683">
        <f>INDEX(ReachStudentTargets,MATCH(B683,KidIDs,0))</f>
        <v>0</v>
      </c>
      <c r="W683">
        <f>IF(OR(M683="Posse"),1,0)</f>
        <v>0</v>
      </c>
      <c r="X683">
        <f>IF(ISNUMBER(INDEX(AllCollegeGR, MATCH(N683,AllCollegeNCES,0))),ROUND(INDEX(AllCollegeGR, MATCH(N683,AllCollegeNCES,0))+W683*IF(INDEX(AllCollegeGR, MATCH(N683,AllCollegeNCES,0))&gt;0.7,(1-INDEX(AllCollegeGR, MATCH(N683,AllCollegeNCES,0)))/2,0.15),2),INDEX(AllCollegeGR, MATCH(N683,AllCollegeNCES,0)))</f>
        <v>0</v>
      </c>
      <c r="Y683">
        <f>IF(ISNUMBER(INDEX(AllCollegeAAHGR, MATCH(N683,AllCollegeNCES,0))),ROUND(INDEX(AllCollegeAAHGR, MATCH(N683,AllCollegeNCES,0))+W683*IF(INDEX(AllCollegeAAHGR, MATCH(N683,AllCollegeNCES,0))&gt;0.7,(1-INDEX(AllCollegeAAHGR, MATCH(N683,AllCollegeNCES,0)))/2,0.15),2),INDEX(AllCollegeAAHGR, MATCH(N683,AllCollegeNCES,0)))</f>
        <v>0</v>
      </c>
      <c r="Z683">
        <f>IF(OR(T683="H",T683="B"),INDEX(AllCollegeACT25, MATCH(N683,AllCollegeNCES,0)),INDEX(AllCollegeACT50, MATCH(N683,AllCollegeNCES,0)))</f>
        <v>0</v>
      </c>
      <c r="AA683">
        <f>INDEX(CustomWeightsGPA,MATCH(T683&amp;":"&amp;N683,CustomWeightsIndex,0))</f>
        <v>0</v>
      </c>
      <c r="AB683">
        <f>INDEX(CustomWeightsACT,MATCH(T683&amp;":"&amp;N683,CustomWeightsIndex,0))</f>
        <v>0</v>
      </c>
      <c r="AC683">
        <f>INDEX(CustomWeightsIntercept,MATCH(T683&amp;":"&amp;N683,CustomWeightsIndex,0))</f>
        <v>0</v>
      </c>
      <c r="AD683">
        <f>AA683*P683+AB683*Q683+AC683</f>
        <v>0</v>
      </c>
      <c r="AE683">
        <f>INDEX(CoefficientsGPA,MATCH(T683&amp;":"&amp;O683,CoefficientsIndex,0))</f>
        <v>0</v>
      </c>
      <c r="AF683">
        <f>INDEX(CoefficientsACT,MATCH(T683&amp;":"&amp;O683,CoefficientsIndex,0))</f>
        <v>0</v>
      </c>
      <c r="AG683">
        <f>INDEX(CoefficientsIntercept,MATCH(T683&amp;":"&amp;O683,CoefficientsIndex,0))</f>
        <v>0</v>
      </c>
      <c r="AH683">
        <f>AE683*P683+(Q683-Z683)*AF683+AG683</f>
        <v>0</v>
      </c>
      <c r="AI683">
        <f>IF(ISNUMBER(AD683),AD683,AH683)</f>
        <v>0</v>
      </c>
      <c r="AJ683">
        <f>IF(ISNUMBER(AI683),IF(ISNUMBER(AE683),IF(AND(AE683=1,AF683=1,AG683=1),100,ROUND(100*EXP(AI683)/(1+EXP(AI683)),2)),ROUND(100*EXP(AI683)/(1+EXP(AI683)),2)),IF(ISTEXT(O683),IF(LEFT(O683,1)="2",100,"N/A"),"N/A"))</f>
        <v>0</v>
      </c>
      <c r="AK683">
        <f>IF(ISNUMBER(AJ683),IF(AJ683&gt;=99,IF(OR(R683=10,R683=11),MatchLabel,SureThingLabel),IF(AJ683&gt;=95,SecureLabel,IF(AJ683&gt;=80,SafetyLabel,IF(AJ683&gt;=50,MatchLabel,IF(AJ683&gt;=20,ReachLabel,IF(AJ683&gt;=10,LongshotLabel,HailMaryLabel)))))),"Other")</f>
        <v>0</v>
      </c>
      <c r="AL683">
        <f>IF(OR(I683="accepted",I683="cond. accept",I683="summer admit"),IF(J683="yes","CHOICE!","Accepted!"),IF(I683="denied","Denied",IF(K683=1,"Waitlist",IF(L683=1,"Deferred",IF(G683="pending","Pending",IF(OR(G683="initial materials submitted",G683="mid-year submitted",G683="final submitted"),"Submitted",IF(H683="interest","Interest","?")))))))</f>
        <v>0</v>
      </c>
      <c r="AM683">
        <f>IF(OR(AK683=ReachLabel,AK683=LongshotLabel,AK683=HailMaryLabel),1,0)</f>
        <v>0</v>
      </c>
      <c r="AN683">
        <f>IF(OR(AM683=1,AK683=MatchLabel),1,0)</f>
        <v>0</v>
      </c>
      <c r="AO683">
        <f>IF(OR(AK683=MatchLabel,AK683=SafetyLabel,AK683=SecureLabel,AK683=SureThingLabel),1,0)</f>
        <v>0</v>
      </c>
      <c r="AP683">
        <f>IF(OR(T683="H",T683="B"),IF(ISNUMBER(Y683),ROUND(Y683,2),0),IF(ISNUMBER(X683),ROUND(X683,2),0))</f>
        <v>0</v>
      </c>
      <c r="AQ683">
        <f>IF(AP683&gt;=U683,1,0)</f>
        <v>0</v>
      </c>
      <c r="AR683">
        <f>IF(AP683&gt;=V683,1,0)</f>
        <v>0</v>
      </c>
      <c r="AS683">
        <f>IF(AP683&lt;(U683-0.10),1,0)</f>
        <v>0</v>
      </c>
      <c r="AT683">
        <f>1-AJ683/100</f>
        <v>0</v>
      </c>
      <c r="AU683">
        <f>IF(AN683=1,AT683,1)</f>
        <v>0</v>
      </c>
      <c r="AV683">
        <f>IF(AM683=1,AT683,1)</f>
        <v>0</v>
      </c>
      <c r="AW683">
        <f>IF(AND(AQ683=1,ISNUMBER(AT683)),$AT683,1)</f>
        <v>0</v>
      </c>
      <c r="AX683">
        <f>IF(AND(AR683=1,ISNUMBER(AT683)),$AT683,1)</f>
        <v>0</v>
      </c>
      <c r="AY683">
        <f>IF(ISNUMBER(Y683),INDEX(AllCollegeMoney, MATCH(N683,AllCollegeNCES,0)),0)</f>
        <v>0</v>
      </c>
      <c r="AZ683">
        <f>IF(AND(AQ683=1,ISNUMBER(AT683),AY683=1),$AT683,1)</f>
        <v>0</v>
      </c>
      <c r="BA683">
        <f>IF(AND(AR683=1,ISNUMBER(AT683),AY683=1),$AT683,1)</f>
        <v>0</v>
      </c>
      <c r="BB683">
        <f>IF(ISNUMBER(Y683),INDEX(AllCollegeILPub, MATCH(N683,AllCollegeNCES,0)),0)</f>
        <v>0</v>
      </c>
      <c r="BC683">
        <f>IF(AK683=ReachLabel,AP683,0)</f>
        <v>0</v>
      </c>
      <c r="BD683">
        <f>IF(AK683=MatchLabel,AP683,0)</f>
        <v>0</v>
      </c>
      <c r="BE683">
        <f>IF(AK683=SafetyLabel,AP683,0)</f>
        <v>0</v>
      </c>
      <c r="BF683">
        <f>IF(AK683=SecureLabel,AP683,0)</f>
        <v>0</v>
      </c>
      <c r="BG683">
        <f>IF(AK683=SureThingLabel,AP683,0)</f>
        <v>0</v>
      </c>
      <c r="BH683">
        <f>MAX(BC683:BG683)</f>
        <v>0</v>
      </c>
      <c r="BI683">
        <f>MAX(BD683:BG683)</f>
        <v>0</v>
      </c>
      <c r="BJ683">
        <f>MAX(BE683:BG683)</f>
        <v>0</v>
      </c>
      <c r="BK683">
        <f>IF(AND(AK683=ReachLabel,AY683=1),AP683,0)</f>
        <v>0</v>
      </c>
      <c r="BL683">
        <f>IF(AND(AK683=MatchLabel,AY683=1),AP683,0)</f>
        <v>0</v>
      </c>
      <c r="BM683">
        <f>IF(AND(AK683=SafetyLabel,AY683=1),AP683,0)</f>
        <v>0</v>
      </c>
      <c r="BN683">
        <f>IF(AND(AK683=SecureLabel,AY683=1),AP683,0)</f>
        <v>0</v>
      </c>
      <c r="BO683">
        <f>IF(AND(AK683=SureThingLabel,AY683=1),AP683,0)</f>
        <v>0</v>
      </c>
      <c r="BP683">
        <f>MAX(BK683:BO683)</f>
        <v>0</v>
      </c>
      <c r="BQ683">
        <f>MAX(BL683:BO683)</f>
        <v>0</v>
      </c>
      <c r="BR683">
        <f>MAX(BM683:BO683)</f>
        <v>0</v>
      </c>
      <c r="BS683">
        <f>IF(ISNUMBER(Y683),INDEX(AllCollegeChicago, MATCH(N683,AllCollegeNCES,0))*AY683,0)</f>
        <v>0</v>
      </c>
      <c r="BT683">
        <f>IF(ISNUMBER(Y683),INDEX(AllCollegeMoneyCode, MATCH(N683,AllCollegeNCES,0)),"?")</f>
        <v>0</v>
      </c>
      <c r="BU683">
        <f>IF(OR(BT683="---",BT683="--",BT683="+/--",BT683="+/---"),1,0)</f>
        <v>0</v>
      </c>
      <c r="BV683">
        <f>AY683*AO683*AQ683</f>
        <v>0</v>
      </c>
    </row>
    <row r="684" spans="1:74">
      <c r="A684" t="s">
        <v>86</v>
      </c>
      <c r="B684">
        <v>24597473</v>
      </c>
      <c r="C684" t="s">
        <v>326</v>
      </c>
      <c r="D684" t="s">
        <v>327</v>
      </c>
      <c r="E684" t="s">
        <v>428</v>
      </c>
      <c r="F684" t="s">
        <v>545</v>
      </c>
      <c r="G684" t="s">
        <v>463</v>
      </c>
      <c r="H684" t="s">
        <v>431</v>
      </c>
      <c r="I684" t="s">
        <v>432</v>
      </c>
      <c r="J684" t="s">
        <v>432</v>
      </c>
      <c r="K684">
        <v>0</v>
      </c>
      <c r="L684" t="s">
        <v>428</v>
      </c>
      <c r="M684" t="s">
        <v>428</v>
      </c>
      <c r="N684">
        <v>144281</v>
      </c>
      <c r="O684">
        <f>INDEX(AllCollegeBarrons,MATCH(N684,AllCollegeNCES,0))</f>
        <v>0</v>
      </c>
      <c r="P684">
        <f>INDEX(KidGPAs,MATCH(B684,KidIDs,0))</f>
        <v>0</v>
      </c>
      <c r="Q684">
        <f>INDEX(KidACTs,MATCH(B684,KidIDs,0))</f>
        <v>0</v>
      </c>
      <c r="R684">
        <f>INDEX(Strats,MATCH(B684,KidIDs,0))</f>
        <v>0</v>
      </c>
      <c r="S684">
        <f>INDEX(KidRace,MATCH(B684,KidIDs,0))</f>
        <v>0</v>
      </c>
      <c r="T684">
        <f>IF(OR(S684="M",S684="I"),"H",S684)</f>
        <v>0</v>
      </c>
      <c r="U684">
        <f>INDEX(StudentTargets,MATCH(B684,KidIDs,0))</f>
        <v>0</v>
      </c>
      <c r="V684">
        <f>INDEX(ReachStudentTargets,MATCH(B684,KidIDs,0))</f>
        <v>0</v>
      </c>
      <c r="W684">
        <f>IF(OR(M684="Posse"),1,0)</f>
        <v>0</v>
      </c>
      <c r="X684">
        <f>IF(ISNUMBER(INDEX(AllCollegeGR, MATCH(N684,AllCollegeNCES,0))),ROUND(INDEX(AllCollegeGR, MATCH(N684,AllCollegeNCES,0))+W684*IF(INDEX(AllCollegeGR, MATCH(N684,AllCollegeNCES,0))&gt;0.7,(1-INDEX(AllCollegeGR, MATCH(N684,AllCollegeNCES,0)))/2,0.15),2),INDEX(AllCollegeGR, MATCH(N684,AllCollegeNCES,0)))</f>
        <v>0</v>
      </c>
      <c r="Y684">
        <f>IF(ISNUMBER(INDEX(AllCollegeAAHGR, MATCH(N684,AllCollegeNCES,0))),ROUND(INDEX(AllCollegeAAHGR, MATCH(N684,AllCollegeNCES,0))+W684*IF(INDEX(AllCollegeAAHGR, MATCH(N684,AllCollegeNCES,0))&gt;0.7,(1-INDEX(AllCollegeAAHGR, MATCH(N684,AllCollegeNCES,0)))/2,0.15),2),INDEX(AllCollegeAAHGR, MATCH(N684,AllCollegeNCES,0)))</f>
        <v>0</v>
      </c>
      <c r="Z684">
        <f>IF(OR(T684="H",T684="B"),INDEX(AllCollegeACT25, MATCH(N684,AllCollegeNCES,0)),INDEX(AllCollegeACT50, MATCH(N684,AllCollegeNCES,0)))</f>
        <v>0</v>
      </c>
      <c r="AA684">
        <f>INDEX(CustomWeightsGPA,MATCH(T684&amp;":"&amp;N684,CustomWeightsIndex,0))</f>
        <v>0</v>
      </c>
      <c r="AB684">
        <f>INDEX(CustomWeightsACT,MATCH(T684&amp;":"&amp;N684,CustomWeightsIndex,0))</f>
        <v>0</v>
      </c>
      <c r="AC684">
        <f>INDEX(CustomWeightsIntercept,MATCH(T684&amp;":"&amp;N684,CustomWeightsIndex,0))</f>
        <v>0</v>
      </c>
      <c r="AD684">
        <f>AA684*P684+AB684*Q684+AC684</f>
        <v>0</v>
      </c>
      <c r="AE684">
        <f>INDEX(CoefficientsGPA,MATCH(T684&amp;":"&amp;O684,CoefficientsIndex,0))</f>
        <v>0</v>
      </c>
      <c r="AF684">
        <f>INDEX(CoefficientsACT,MATCH(T684&amp;":"&amp;O684,CoefficientsIndex,0))</f>
        <v>0</v>
      </c>
      <c r="AG684">
        <f>INDEX(CoefficientsIntercept,MATCH(T684&amp;":"&amp;O684,CoefficientsIndex,0))</f>
        <v>0</v>
      </c>
      <c r="AH684">
        <f>AE684*P684+(Q684-Z684)*AF684+AG684</f>
        <v>0</v>
      </c>
      <c r="AI684">
        <f>IF(ISNUMBER(AD684),AD684,AH684)</f>
        <v>0</v>
      </c>
      <c r="AJ684">
        <f>IF(ISNUMBER(AI684),IF(ISNUMBER(AE684),IF(AND(AE684=1,AF684=1,AG684=1),100,ROUND(100*EXP(AI684)/(1+EXP(AI684)),2)),ROUND(100*EXP(AI684)/(1+EXP(AI684)),2)),IF(ISTEXT(O684),IF(LEFT(O684,1)="2",100,"N/A"),"N/A"))</f>
        <v>0</v>
      </c>
      <c r="AK684">
        <f>IF(ISNUMBER(AJ684),IF(AJ684&gt;=99,IF(OR(R684=10,R684=11),MatchLabel,SureThingLabel),IF(AJ684&gt;=95,SecureLabel,IF(AJ684&gt;=80,SafetyLabel,IF(AJ684&gt;=50,MatchLabel,IF(AJ684&gt;=20,ReachLabel,IF(AJ684&gt;=10,LongshotLabel,HailMaryLabel)))))),"Other")</f>
        <v>0</v>
      </c>
      <c r="AL684">
        <f>IF(OR(I684="accepted",I684="cond. accept",I684="summer admit"),IF(J684="yes","CHOICE!","Accepted!"),IF(I684="denied","Denied",IF(K684=1,"Waitlist",IF(L684=1,"Deferred",IF(G684="pending","Pending",IF(OR(G684="initial materials submitted",G684="mid-year submitted",G684="final submitted"),"Submitted",IF(H684="interest","Interest","?")))))))</f>
        <v>0</v>
      </c>
      <c r="AM684">
        <f>IF(OR(AK684=ReachLabel,AK684=LongshotLabel,AK684=HailMaryLabel),1,0)</f>
        <v>0</v>
      </c>
      <c r="AN684">
        <f>IF(OR(AM684=1,AK684=MatchLabel),1,0)</f>
        <v>0</v>
      </c>
      <c r="AO684">
        <f>IF(OR(AK684=MatchLabel,AK684=SafetyLabel,AK684=SecureLabel,AK684=SureThingLabel),1,0)</f>
        <v>0</v>
      </c>
      <c r="AP684">
        <f>IF(OR(T684="H",T684="B"),IF(ISNUMBER(Y684),ROUND(Y684,2),0),IF(ISNUMBER(X684),ROUND(X684,2),0))</f>
        <v>0</v>
      </c>
      <c r="AQ684">
        <f>IF(AP684&gt;=U684,1,0)</f>
        <v>0</v>
      </c>
      <c r="AR684">
        <f>IF(AP684&gt;=V684,1,0)</f>
        <v>0</v>
      </c>
      <c r="AS684">
        <f>IF(AP684&lt;(U684-0.10),1,0)</f>
        <v>0</v>
      </c>
      <c r="AT684">
        <f>1-AJ684/100</f>
        <v>0</v>
      </c>
      <c r="AU684">
        <f>IF(AN684=1,AT684,1)</f>
        <v>0</v>
      </c>
      <c r="AV684">
        <f>IF(AM684=1,AT684,1)</f>
        <v>0</v>
      </c>
      <c r="AW684">
        <f>IF(AND(AQ684=1,ISNUMBER(AT684)),$AT684,1)</f>
        <v>0</v>
      </c>
      <c r="AX684">
        <f>IF(AND(AR684=1,ISNUMBER(AT684)),$AT684,1)</f>
        <v>0</v>
      </c>
      <c r="AY684">
        <f>IF(ISNUMBER(Y684),INDEX(AllCollegeMoney, MATCH(N684,AllCollegeNCES,0)),0)</f>
        <v>0</v>
      </c>
      <c r="AZ684">
        <f>IF(AND(AQ684=1,ISNUMBER(AT684),AY684=1),$AT684,1)</f>
        <v>0</v>
      </c>
      <c r="BA684">
        <f>IF(AND(AR684=1,ISNUMBER(AT684),AY684=1),$AT684,1)</f>
        <v>0</v>
      </c>
      <c r="BB684">
        <f>IF(ISNUMBER(Y684),INDEX(AllCollegeILPub, MATCH(N684,AllCollegeNCES,0)),0)</f>
        <v>0</v>
      </c>
      <c r="BC684">
        <f>IF(AK684=ReachLabel,AP684,0)</f>
        <v>0</v>
      </c>
      <c r="BD684">
        <f>IF(AK684=MatchLabel,AP684,0)</f>
        <v>0</v>
      </c>
      <c r="BE684">
        <f>IF(AK684=SafetyLabel,AP684,0)</f>
        <v>0</v>
      </c>
      <c r="BF684">
        <f>IF(AK684=SecureLabel,AP684,0)</f>
        <v>0</v>
      </c>
      <c r="BG684">
        <f>IF(AK684=SureThingLabel,AP684,0)</f>
        <v>0</v>
      </c>
      <c r="BH684">
        <f>MAX(BC684:BG684)</f>
        <v>0</v>
      </c>
      <c r="BI684">
        <f>MAX(BD684:BG684)</f>
        <v>0</v>
      </c>
      <c r="BJ684">
        <f>MAX(BE684:BG684)</f>
        <v>0</v>
      </c>
      <c r="BK684">
        <f>IF(AND(AK684=ReachLabel,AY684=1),AP684,0)</f>
        <v>0</v>
      </c>
      <c r="BL684">
        <f>IF(AND(AK684=MatchLabel,AY684=1),AP684,0)</f>
        <v>0</v>
      </c>
      <c r="BM684">
        <f>IF(AND(AK684=SafetyLabel,AY684=1),AP684,0)</f>
        <v>0</v>
      </c>
      <c r="BN684">
        <f>IF(AND(AK684=SecureLabel,AY684=1),AP684,0)</f>
        <v>0</v>
      </c>
      <c r="BO684">
        <f>IF(AND(AK684=SureThingLabel,AY684=1),AP684,0)</f>
        <v>0</v>
      </c>
      <c r="BP684">
        <f>MAX(BK684:BO684)</f>
        <v>0</v>
      </c>
      <c r="BQ684">
        <f>MAX(BL684:BO684)</f>
        <v>0</v>
      </c>
      <c r="BR684">
        <f>MAX(BM684:BO684)</f>
        <v>0</v>
      </c>
      <c r="BS684">
        <f>IF(ISNUMBER(Y684),INDEX(AllCollegeChicago, MATCH(N684,AllCollegeNCES,0))*AY684,0)</f>
        <v>0</v>
      </c>
      <c r="BT684">
        <f>IF(ISNUMBER(Y684),INDEX(AllCollegeMoneyCode, MATCH(N684,AllCollegeNCES,0)),"?")</f>
        <v>0</v>
      </c>
      <c r="BU684">
        <f>IF(OR(BT684="---",BT684="--",BT684="+/--",BT684="+/---"),1,0)</f>
        <v>0</v>
      </c>
      <c r="BV684">
        <f>AY684*AO684*AQ684</f>
        <v>0</v>
      </c>
    </row>
    <row r="685" spans="1:74">
      <c r="A685" t="s">
        <v>86</v>
      </c>
      <c r="B685">
        <v>30051791</v>
      </c>
      <c r="C685" t="s">
        <v>157</v>
      </c>
      <c r="D685" t="s">
        <v>158</v>
      </c>
      <c r="E685" t="s">
        <v>428</v>
      </c>
      <c r="F685" t="s">
        <v>477</v>
      </c>
      <c r="G685" t="s">
        <v>430</v>
      </c>
      <c r="H685" t="s">
        <v>431</v>
      </c>
      <c r="I685" t="s">
        <v>432</v>
      </c>
      <c r="J685" t="s">
        <v>432</v>
      </c>
      <c r="K685">
        <v>0</v>
      </c>
      <c r="L685" t="s">
        <v>428</v>
      </c>
      <c r="M685" t="s">
        <v>428</v>
      </c>
      <c r="N685">
        <v>147767</v>
      </c>
      <c r="O685">
        <f>INDEX(AllCollegeBarrons,MATCH(N685,AllCollegeNCES,0))</f>
        <v>0</v>
      </c>
      <c r="P685">
        <f>INDEX(KidGPAs,MATCH(B685,KidIDs,0))</f>
        <v>0</v>
      </c>
      <c r="Q685">
        <f>INDEX(KidACTs,MATCH(B685,KidIDs,0))</f>
        <v>0</v>
      </c>
      <c r="R685">
        <f>INDEX(Strats,MATCH(B685,KidIDs,0))</f>
        <v>0</v>
      </c>
      <c r="S685">
        <f>INDEX(KidRace,MATCH(B685,KidIDs,0))</f>
        <v>0</v>
      </c>
      <c r="T685">
        <f>IF(OR(S685="M",S685="I"),"H",S685)</f>
        <v>0</v>
      </c>
      <c r="U685">
        <f>INDEX(StudentTargets,MATCH(B685,KidIDs,0))</f>
        <v>0</v>
      </c>
      <c r="V685">
        <f>INDEX(ReachStudentTargets,MATCH(B685,KidIDs,0))</f>
        <v>0</v>
      </c>
      <c r="W685">
        <f>IF(OR(M685="Posse"),1,0)</f>
        <v>0</v>
      </c>
      <c r="X685">
        <f>IF(ISNUMBER(INDEX(AllCollegeGR, MATCH(N685,AllCollegeNCES,0))),ROUND(INDEX(AllCollegeGR, MATCH(N685,AllCollegeNCES,0))+W685*IF(INDEX(AllCollegeGR, MATCH(N685,AllCollegeNCES,0))&gt;0.7,(1-INDEX(AllCollegeGR, MATCH(N685,AllCollegeNCES,0)))/2,0.15),2),INDEX(AllCollegeGR, MATCH(N685,AllCollegeNCES,0)))</f>
        <v>0</v>
      </c>
      <c r="Y685">
        <f>IF(ISNUMBER(INDEX(AllCollegeAAHGR, MATCH(N685,AllCollegeNCES,0))),ROUND(INDEX(AllCollegeAAHGR, MATCH(N685,AllCollegeNCES,0))+W685*IF(INDEX(AllCollegeAAHGR, MATCH(N685,AllCollegeNCES,0))&gt;0.7,(1-INDEX(AllCollegeAAHGR, MATCH(N685,AllCollegeNCES,0)))/2,0.15),2),INDEX(AllCollegeAAHGR, MATCH(N685,AllCollegeNCES,0)))</f>
        <v>0</v>
      </c>
      <c r="Z685">
        <f>IF(OR(T685="H",T685="B"),INDEX(AllCollegeACT25, MATCH(N685,AllCollegeNCES,0)),INDEX(AllCollegeACT50, MATCH(N685,AllCollegeNCES,0)))</f>
        <v>0</v>
      </c>
      <c r="AA685">
        <f>INDEX(CustomWeightsGPA,MATCH(T685&amp;":"&amp;N685,CustomWeightsIndex,0))</f>
        <v>0</v>
      </c>
      <c r="AB685">
        <f>INDEX(CustomWeightsACT,MATCH(T685&amp;":"&amp;N685,CustomWeightsIndex,0))</f>
        <v>0</v>
      </c>
      <c r="AC685">
        <f>INDEX(CustomWeightsIntercept,MATCH(T685&amp;":"&amp;N685,CustomWeightsIndex,0))</f>
        <v>0</v>
      </c>
      <c r="AD685">
        <f>AA685*P685+AB685*Q685+AC685</f>
        <v>0</v>
      </c>
      <c r="AE685">
        <f>INDEX(CoefficientsGPA,MATCH(T685&amp;":"&amp;O685,CoefficientsIndex,0))</f>
        <v>0</v>
      </c>
      <c r="AF685">
        <f>INDEX(CoefficientsACT,MATCH(T685&amp;":"&amp;O685,CoefficientsIndex,0))</f>
        <v>0</v>
      </c>
      <c r="AG685">
        <f>INDEX(CoefficientsIntercept,MATCH(T685&amp;":"&amp;O685,CoefficientsIndex,0))</f>
        <v>0</v>
      </c>
      <c r="AH685">
        <f>AE685*P685+(Q685-Z685)*AF685+AG685</f>
        <v>0</v>
      </c>
      <c r="AI685">
        <f>IF(ISNUMBER(AD685),AD685,AH685)</f>
        <v>0</v>
      </c>
      <c r="AJ685">
        <f>IF(ISNUMBER(AI685),IF(ISNUMBER(AE685),IF(AND(AE685=1,AF685=1,AG685=1),100,ROUND(100*EXP(AI685)/(1+EXP(AI685)),2)),ROUND(100*EXP(AI685)/(1+EXP(AI685)),2)),IF(ISTEXT(O685),IF(LEFT(O685,1)="2",100,"N/A"),"N/A"))</f>
        <v>0</v>
      </c>
      <c r="AK685">
        <f>IF(ISNUMBER(AJ685),IF(AJ685&gt;=99,IF(OR(R685=10,R685=11),MatchLabel,SureThingLabel),IF(AJ685&gt;=95,SecureLabel,IF(AJ685&gt;=80,SafetyLabel,IF(AJ685&gt;=50,MatchLabel,IF(AJ685&gt;=20,ReachLabel,IF(AJ685&gt;=10,LongshotLabel,HailMaryLabel)))))),"Other")</f>
        <v>0</v>
      </c>
      <c r="AL685">
        <f>IF(OR(I685="accepted",I685="cond. accept",I685="summer admit"),IF(J685="yes","CHOICE!","Accepted!"),IF(I685="denied","Denied",IF(K685=1,"Waitlist",IF(L685=1,"Deferred",IF(G685="pending","Pending",IF(OR(G685="initial materials submitted",G685="mid-year submitted",G685="final submitted"),"Submitted",IF(H685="interest","Interest","?")))))))</f>
        <v>0</v>
      </c>
      <c r="AM685">
        <f>IF(OR(AK685=ReachLabel,AK685=LongshotLabel,AK685=HailMaryLabel),1,0)</f>
        <v>0</v>
      </c>
      <c r="AN685">
        <f>IF(OR(AM685=1,AK685=MatchLabel),1,0)</f>
        <v>0</v>
      </c>
      <c r="AO685">
        <f>IF(OR(AK685=MatchLabel,AK685=SafetyLabel,AK685=SecureLabel,AK685=SureThingLabel),1,0)</f>
        <v>0</v>
      </c>
      <c r="AP685">
        <f>IF(OR(T685="H",T685="B"),IF(ISNUMBER(Y685),ROUND(Y685,2),0),IF(ISNUMBER(X685),ROUND(X685,2),0))</f>
        <v>0</v>
      </c>
      <c r="AQ685">
        <f>IF(AP685&gt;=U685,1,0)</f>
        <v>0</v>
      </c>
      <c r="AR685">
        <f>IF(AP685&gt;=V685,1,0)</f>
        <v>0</v>
      </c>
      <c r="AS685">
        <f>IF(AP685&lt;(U685-0.10),1,0)</f>
        <v>0</v>
      </c>
      <c r="AT685">
        <f>1-AJ685/100</f>
        <v>0</v>
      </c>
      <c r="AU685">
        <f>IF(AN685=1,AT685,1)</f>
        <v>0</v>
      </c>
      <c r="AV685">
        <f>IF(AM685=1,AT685,1)</f>
        <v>0</v>
      </c>
      <c r="AW685">
        <f>IF(AND(AQ685=1,ISNUMBER(AT685)),$AT685,1)</f>
        <v>0</v>
      </c>
      <c r="AX685">
        <f>IF(AND(AR685=1,ISNUMBER(AT685)),$AT685,1)</f>
        <v>0</v>
      </c>
      <c r="AY685">
        <f>IF(ISNUMBER(Y685),INDEX(AllCollegeMoney, MATCH(N685,AllCollegeNCES,0)),0)</f>
        <v>0</v>
      </c>
      <c r="AZ685">
        <f>IF(AND(AQ685=1,ISNUMBER(AT685),AY685=1),$AT685,1)</f>
        <v>0</v>
      </c>
      <c r="BA685">
        <f>IF(AND(AR685=1,ISNUMBER(AT685),AY685=1),$AT685,1)</f>
        <v>0</v>
      </c>
      <c r="BB685">
        <f>IF(ISNUMBER(Y685),INDEX(AllCollegeILPub, MATCH(N685,AllCollegeNCES,0)),0)</f>
        <v>0</v>
      </c>
      <c r="BC685">
        <f>IF(AK685=ReachLabel,AP685,0)</f>
        <v>0</v>
      </c>
      <c r="BD685">
        <f>IF(AK685=MatchLabel,AP685,0)</f>
        <v>0</v>
      </c>
      <c r="BE685">
        <f>IF(AK685=SafetyLabel,AP685,0)</f>
        <v>0</v>
      </c>
      <c r="BF685">
        <f>IF(AK685=SecureLabel,AP685,0)</f>
        <v>0</v>
      </c>
      <c r="BG685">
        <f>IF(AK685=SureThingLabel,AP685,0)</f>
        <v>0</v>
      </c>
      <c r="BH685">
        <f>MAX(BC685:BG685)</f>
        <v>0</v>
      </c>
      <c r="BI685">
        <f>MAX(BD685:BG685)</f>
        <v>0</v>
      </c>
      <c r="BJ685">
        <f>MAX(BE685:BG685)</f>
        <v>0</v>
      </c>
      <c r="BK685">
        <f>IF(AND(AK685=ReachLabel,AY685=1),AP685,0)</f>
        <v>0</v>
      </c>
      <c r="BL685">
        <f>IF(AND(AK685=MatchLabel,AY685=1),AP685,0)</f>
        <v>0</v>
      </c>
      <c r="BM685">
        <f>IF(AND(AK685=SafetyLabel,AY685=1),AP685,0)</f>
        <v>0</v>
      </c>
      <c r="BN685">
        <f>IF(AND(AK685=SecureLabel,AY685=1),AP685,0)</f>
        <v>0</v>
      </c>
      <c r="BO685">
        <f>IF(AND(AK685=SureThingLabel,AY685=1),AP685,0)</f>
        <v>0</v>
      </c>
      <c r="BP685">
        <f>MAX(BK685:BO685)</f>
        <v>0</v>
      </c>
      <c r="BQ685">
        <f>MAX(BL685:BO685)</f>
        <v>0</v>
      </c>
      <c r="BR685">
        <f>MAX(BM685:BO685)</f>
        <v>0</v>
      </c>
      <c r="BS685">
        <f>IF(ISNUMBER(Y685),INDEX(AllCollegeChicago, MATCH(N685,AllCollegeNCES,0))*AY685,0)</f>
        <v>0</v>
      </c>
      <c r="BT685">
        <f>IF(ISNUMBER(Y685),INDEX(AllCollegeMoneyCode, MATCH(N685,AllCollegeNCES,0)),"?")</f>
        <v>0</v>
      </c>
      <c r="BU685">
        <f>IF(OR(BT685="---",BT685="--",BT685="+/--",BT685="+/---"),1,0)</f>
        <v>0</v>
      </c>
      <c r="BV685">
        <f>AY685*AO685*AQ685</f>
        <v>0</v>
      </c>
    </row>
    <row r="686" spans="1:74">
      <c r="A686" t="s">
        <v>86</v>
      </c>
      <c r="B686">
        <v>30051791</v>
      </c>
      <c r="C686" t="s">
        <v>157</v>
      </c>
      <c r="D686" t="s">
        <v>158</v>
      </c>
      <c r="E686" t="s">
        <v>428</v>
      </c>
      <c r="F686" t="s">
        <v>582</v>
      </c>
      <c r="G686" t="s">
        <v>430</v>
      </c>
      <c r="H686" t="s">
        <v>431</v>
      </c>
      <c r="I686" t="s">
        <v>432</v>
      </c>
      <c r="J686" t="s">
        <v>432</v>
      </c>
      <c r="K686">
        <v>0</v>
      </c>
      <c r="L686" t="s">
        <v>428</v>
      </c>
      <c r="M686" t="s">
        <v>428</v>
      </c>
      <c r="N686">
        <v>130697</v>
      </c>
      <c r="O686">
        <f>INDEX(AllCollegeBarrons,MATCH(N686,AllCollegeNCES,0))</f>
        <v>0</v>
      </c>
      <c r="P686">
        <f>INDEX(KidGPAs,MATCH(B686,KidIDs,0))</f>
        <v>0</v>
      </c>
      <c r="Q686">
        <f>INDEX(KidACTs,MATCH(B686,KidIDs,0))</f>
        <v>0</v>
      </c>
      <c r="R686">
        <f>INDEX(Strats,MATCH(B686,KidIDs,0))</f>
        <v>0</v>
      </c>
      <c r="S686">
        <f>INDEX(KidRace,MATCH(B686,KidIDs,0))</f>
        <v>0</v>
      </c>
      <c r="T686">
        <f>IF(OR(S686="M",S686="I"),"H",S686)</f>
        <v>0</v>
      </c>
      <c r="U686">
        <f>INDEX(StudentTargets,MATCH(B686,KidIDs,0))</f>
        <v>0</v>
      </c>
      <c r="V686">
        <f>INDEX(ReachStudentTargets,MATCH(B686,KidIDs,0))</f>
        <v>0</v>
      </c>
      <c r="W686">
        <f>IF(OR(M686="Posse"),1,0)</f>
        <v>0</v>
      </c>
      <c r="X686">
        <f>IF(ISNUMBER(INDEX(AllCollegeGR, MATCH(N686,AllCollegeNCES,0))),ROUND(INDEX(AllCollegeGR, MATCH(N686,AllCollegeNCES,0))+W686*IF(INDEX(AllCollegeGR, MATCH(N686,AllCollegeNCES,0))&gt;0.7,(1-INDEX(AllCollegeGR, MATCH(N686,AllCollegeNCES,0)))/2,0.15),2),INDEX(AllCollegeGR, MATCH(N686,AllCollegeNCES,0)))</f>
        <v>0</v>
      </c>
      <c r="Y686">
        <f>IF(ISNUMBER(INDEX(AllCollegeAAHGR, MATCH(N686,AllCollegeNCES,0))),ROUND(INDEX(AllCollegeAAHGR, MATCH(N686,AllCollegeNCES,0))+W686*IF(INDEX(AllCollegeAAHGR, MATCH(N686,AllCollegeNCES,0))&gt;0.7,(1-INDEX(AllCollegeAAHGR, MATCH(N686,AllCollegeNCES,0)))/2,0.15),2),INDEX(AllCollegeAAHGR, MATCH(N686,AllCollegeNCES,0)))</f>
        <v>0</v>
      </c>
      <c r="Z686">
        <f>IF(OR(T686="H",T686="B"),INDEX(AllCollegeACT25, MATCH(N686,AllCollegeNCES,0)),INDEX(AllCollegeACT50, MATCH(N686,AllCollegeNCES,0)))</f>
        <v>0</v>
      </c>
      <c r="AA686">
        <f>INDEX(CustomWeightsGPA,MATCH(T686&amp;":"&amp;N686,CustomWeightsIndex,0))</f>
        <v>0</v>
      </c>
      <c r="AB686">
        <f>INDEX(CustomWeightsACT,MATCH(T686&amp;":"&amp;N686,CustomWeightsIndex,0))</f>
        <v>0</v>
      </c>
      <c r="AC686">
        <f>INDEX(CustomWeightsIntercept,MATCH(T686&amp;":"&amp;N686,CustomWeightsIndex,0))</f>
        <v>0</v>
      </c>
      <c r="AD686">
        <f>AA686*P686+AB686*Q686+AC686</f>
        <v>0</v>
      </c>
      <c r="AE686">
        <f>INDEX(CoefficientsGPA,MATCH(T686&amp;":"&amp;O686,CoefficientsIndex,0))</f>
        <v>0</v>
      </c>
      <c r="AF686">
        <f>INDEX(CoefficientsACT,MATCH(T686&amp;":"&amp;O686,CoefficientsIndex,0))</f>
        <v>0</v>
      </c>
      <c r="AG686">
        <f>INDEX(CoefficientsIntercept,MATCH(T686&amp;":"&amp;O686,CoefficientsIndex,0))</f>
        <v>0</v>
      </c>
      <c r="AH686">
        <f>AE686*P686+(Q686-Z686)*AF686+AG686</f>
        <v>0</v>
      </c>
      <c r="AI686">
        <f>IF(ISNUMBER(AD686),AD686,AH686)</f>
        <v>0</v>
      </c>
      <c r="AJ686">
        <f>IF(ISNUMBER(AI686),IF(ISNUMBER(AE686),IF(AND(AE686=1,AF686=1,AG686=1),100,ROUND(100*EXP(AI686)/(1+EXP(AI686)),2)),ROUND(100*EXP(AI686)/(1+EXP(AI686)),2)),IF(ISTEXT(O686),IF(LEFT(O686,1)="2",100,"N/A"),"N/A"))</f>
        <v>0</v>
      </c>
      <c r="AK686">
        <f>IF(ISNUMBER(AJ686),IF(AJ686&gt;=99,IF(OR(R686=10,R686=11),MatchLabel,SureThingLabel),IF(AJ686&gt;=95,SecureLabel,IF(AJ686&gt;=80,SafetyLabel,IF(AJ686&gt;=50,MatchLabel,IF(AJ686&gt;=20,ReachLabel,IF(AJ686&gt;=10,LongshotLabel,HailMaryLabel)))))),"Other")</f>
        <v>0</v>
      </c>
      <c r="AL686">
        <f>IF(OR(I686="accepted",I686="cond. accept",I686="summer admit"),IF(J686="yes","CHOICE!","Accepted!"),IF(I686="denied","Denied",IF(K686=1,"Waitlist",IF(L686=1,"Deferred",IF(G686="pending","Pending",IF(OR(G686="initial materials submitted",G686="mid-year submitted",G686="final submitted"),"Submitted",IF(H686="interest","Interest","?")))))))</f>
        <v>0</v>
      </c>
      <c r="AM686">
        <f>IF(OR(AK686=ReachLabel,AK686=LongshotLabel,AK686=HailMaryLabel),1,0)</f>
        <v>0</v>
      </c>
      <c r="AN686">
        <f>IF(OR(AM686=1,AK686=MatchLabel),1,0)</f>
        <v>0</v>
      </c>
      <c r="AO686">
        <f>IF(OR(AK686=MatchLabel,AK686=SafetyLabel,AK686=SecureLabel,AK686=SureThingLabel),1,0)</f>
        <v>0</v>
      </c>
      <c r="AP686">
        <f>IF(OR(T686="H",T686="B"),IF(ISNUMBER(Y686),ROUND(Y686,2),0),IF(ISNUMBER(X686),ROUND(X686,2),0))</f>
        <v>0</v>
      </c>
      <c r="AQ686">
        <f>IF(AP686&gt;=U686,1,0)</f>
        <v>0</v>
      </c>
      <c r="AR686">
        <f>IF(AP686&gt;=V686,1,0)</f>
        <v>0</v>
      </c>
      <c r="AS686">
        <f>IF(AP686&lt;(U686-0.10),1,0)</f>
        <v>0</v>
      </c>
      <c r="AT686">
        <f>1-AJ686/100</f>
        <v>0</v>
      </c>
      <c r="AU686">
        <f>IF(AN686=1,AT686,1)</f>
        <v>0</v>
      </c>
      <c r="AV686">
        <f>IF(AM686=1,AT686,1)</f>
        <v>0</v>
      </c>
      <c r="AW686">
        <f>IF(AND(AQ686=1,ISNUMBER(AT686)),$AT686,1)</f>
        <v>0</v>
      </c>
      <c r="AX686">
        <f>IF(AND(AR686=1,ISNUMBER(AT686)),$AT686,1)</f>
        <v>0</v>
      </c>
      <c r="AY686">
        <f>IF(ISNUMBER(Y686),INDEX(AllCollegeMoney, MATCH(N686,AllCollegeNCES,0)),0)</f>
        <v>0</v>
      </c>
      <c r="AZ686">
        <f>IF(AND(AQ686=1,ISNUMBER(AT686),AY686=1),$AT686,1)</f>
        <v>0</v>
      </c>
      <c r="BA686">
        <f>IF(AND(AR686=1,ISNUMBER(AT686),AY686=1),$AT686,1)</f>
        <v>0</v>
      </c>
      <c r="BB686">
        <f>IF(ISNUMBER(Y686),INDEX(AllCollegeILPub, MATCH(N686,AllCollegeNCES,0)),0)</f>
        <v>0</v>
      </c>
      <c r="BC686">
        <f>IF(AK686=ReachLabel,AP686,0)</f>
        <v>0</v>
      </c>
      <c r="BD686">
        <f>IF(AK686=MatchLabel,AP686,0)</f>
        <v>0</v>
      </c>
      <c r="BE686">
        <f>IF(AK686=SafetyLabel,AP686,0)</f>
        <v>0</v>
      </c>
      <c r="BF686">
        <f>IF(AK686=SecureLabel,AP686,0)</f>
        <v>0</v>
      </c>
      <c r="BG686">
        <f>IF(AK686=SureThingLabel,AP686,0)</f>
        <v>0</v>
      </c>
      <c r="BH686">
        <f>MAX(BC686:BG686)</f>
        <v>0</v>
      </c>
      <c r="BI686">
        <f>MAX(BD686:BG686)</f>
        <v>0</v>
      </c>
      <c r="BJ686">
        <f>MAX(BE686:BG686)</f>
        <v>0</v>
      </c>
      <c r="BK686">
        <f>IF(AND(AK686=ReachLabel,AY686=1),AP686,0)</f>
        <v>0</v>
      </c>
      <c r="BL686">
        <f>IF(AND(AK686=MatchLabel,AY686=1),AP686,0)</f>
        <v>0</v>
      </c>
      <c r="BM686">
        <f>IF(AND(AK686=SafetyLabel,AY686=1),AP686,0)</f>
        <v>0</v>
      </c>
      <c r="BN686">
        <f>IF(AND(AK686=SecureLabel,AY686=1),AP686,0)</f>
        <v>0</v>
      </c>
      <c r="BO686">
        <f>IF(AND(AK686=SureThingLabel,AY686=1),AP686,0)</f>
        <v>0</v>
      </c>
      <c r="BP686">
        <f>MAX(BK686:BO686)</f>
        <v>0</v>
      </c>
      <c r="BQ686">
        <f>MAX(BL686:BO686)</f>
        <v>0</v>
      </c>
      <c r="BR686">
        <f>MAX(BM686:BO686)</f>
        <v>0</v>
      </c>
      <c r="BS686">
        <f>IF(ISNUMBER(Y686),INDEX(AllCollegeChicago, MATCH(N686,AllCollegeNCES,0))*AY686,0)</f>
        <v>0</v>
      </c>
      <c r="BT686">
        <f>IF(ISNUMBER(Y686),INDEX(AllCollegeMoneyCode, MATCH(N686,AllCollegeNCES,0)),"?")</f>
        <v>0</v>
      </c>
      <c r="BU686">
        <f>IF(OR(BT686="---",BT686="--",BT686="+/--",BT686="+/---"),1,0)</f>
        <v>0</v>
      </c>
      <c r="BV686">
        <f>AY686*AO686*AQ686</f>
        <v>0</v>
      </c>
    </row>
    <row r="687" spans="1:74">
      <c r="A687" t="s">
        <v>86</v>
      </c>
      <c r="B687">
        <v>30051791</v>
      </c>
      <c r="C687" t="s">
        <v>157</v>
      </c>
      <c r="D687" t="s">
        <v>158</v>
      </c>
      <c r="E687" t="s">
        <v>428</v>
      </c>
      <c r="F687" t="s">
        <v>495</v>
      </c>
      <c r="G687" t="s">
        <v>430</v>
      </c>
      <c r="H687" t="s">
        <v>431</v>
      </c>
      <c r="I687" t="s">
        <v>432</v>
      </c>
      <c r="J687" t="s">
        <v>432</v>
      </c>
      <c r="K687">
        <v>0</v>
      </c>
      <c r="L687" t="s">
        <v>428</v>
      </c>
      <c r="M687" t="s">
        <v>428</v>
      </c>
      <c r="N687">
        <v>195526</v>
      </c>
      <c r="O687">
        <f>INDEX(AllCollegeBarrons,MATCH(N687,AllCollegeNCES,0))</f>
        <v>0</v>
      </c>
      <c r="P687">
        <f>INDEX(KidGPAs,MATCH(B687,KidIDs,0))</f>
        <v>0</v>
      </c>
      <c r="Q687">
        <f>INDEX(KidACTs,MATCH(B687,KidIDs,0))</f>
        <v>0</v>
      </c>
      <c r="R687">
        <f>INDEX(Strats,MATCH(B687,KidIDs,0))</f>
        <v>0</v>
      </c>
      <c r="S687">
        <f>INDEX(KidRace,MATCH(B687,KidIDs,0))</f>
        <v>0</v>
      </c>
      <c r="T687">
        <f>IF(OR(S687="M",S687="I"),"H",S687)</f>
        <v>0</v>
      </c>
      <c r="U687">
        <f>INDEX(StudentTargets,MATCH(B687,KidIDs,0))</f>
        <v>0</v>
      </c>
      <c r="V687">
        <f>INDEX(ReachStudentTargets,MATCH(B687,KidIDs,0))</f>
        <v>0</v>
      </c>
      <c r="W687">
        <f>IF(OR(M687="Posse"),1,0)</f>
        <v>0</v>
      </c>
      <c r="X687">
        <f>IF(ISNUMBER(INDEX(AllCollegeGR, MATCH(N687,AllCollegeNCES,0))),ROUND(INDEX(AllCollegeGR, MATCH(N687,AllCollegeNCES,0))+W687*IF(INDEX(AllCollegeGR, MATCH(N687,AllCollegeNCES,0))&gt;0.7,(1-INDEX(AllCollegeGR, MATCH(N687,AllCollegeNCES,0)))/2,0.15),2),INDEX(AllCollegeGR, MATCH(N687,AllCollegeNCES,0)))</f>
        <v>0</v>
      </c>
      <c r="Y687">
        <f>IF(ISNUMBER(INDEX(AllCollegeAAHGR, MATCH(N687,AllCollegeNCES,0))),ROUND(INDEX(AllCollegeAAHGR, MATCH(N687,AllCollegeNCES,0))+W687*IF(INDEX(AllCollegeAAHGR, MATCH(N687,AllCollegeNCES,0))&gt;0.7,(1-INDEX(AllCollegeAAHGR, MATCH(N687,AllCollegeNCES,0)))/2,0.15),2),INDEX(AllCollegeAAHGR, MATCH(N687,AllCollegeNCES,0)))</f>
        <v>0</v>
      </c>
      <c r="Z687">
        <f>IF(OR(T687="H",T687="B"),INDEX(AllCollegeACT25, MATCH(N687,AllCollegeNCES,0)),INDEX(AllCollegeACT50, MATCH(N687,AllCollegeNCES,0)))</f>
        <v>0</v>
      </c>
      <c r="AA687">
        <f>INDEX(CustomWeightsGPA,MATCH(T687&amp;":"&amp;N687,CustomWeightsIndex,0))</f>
        <v>0</v>
      </c>
      <c r="AB687">
        <f>INDEX(CustomWeightsACT,MATCH(T687&amp;":"&amp;N687,CustomWeightsIndex,0))</f>
        <v>0</v>
      </c>
      <c r="AC687">
        <f>INDEX(CustomWeightsIntercept,MATCH(T687&amp;":"&amp;N687,CustomWeightsIndex,0))</f>
        <v>0</v>
      </c>
      <c r="AD687">
        <f>AA687*P687+AB687*Q687+AC687</f>
        <v>0</v>
      </c>
      <c r="AE687">
        <f>INDEX(CoefficientsGPA,MATCH(T687&amp;":"&amp;O687,CoefficientsIndex,0))</f>
        <v>0</v>
      </c>
      <c r="AF687">
        <f>INDEX(CoefficientsACT,MATCH(T687&amp;":"&amp;O687,CoefficientsIndex,0))</f>
        <v>0</v>
      </c>
      <c r="AG687">
        <f>INDEX(CoefficientsIntercept,MATCH(T687&amp;":"&amp;O687,CoefficientsIndex,0))</f>
        <v>0</v>
      </c>
      <c r="AH687">
        <f>AE687*P687+(Q687-Z687)*AF687+AG687</f>
        <v>0</v>
      </c>
      <c r="AI687">
        <f>IF(ISNUMBER(AD687),AD687,AH687)</f>
        <v>0</v>
      </c>
      <c r="AJ687">
        <f>IF(ISNUMBER(AI687),IF(ISNUMBER(AE687),IF(AND(AE687=1,AF687=1,AG687=1),100,ROUND(100*EXP(AI687)/(1+EXP(AI687)),2)),ROUND(100*EXP(AI687)/(1+EXP(AI687)),2)),IF(ISTEXT(O687),IF(LEFT(O687,1)="2",100,"N/A"),"N/A"))</f>
        <v>0</v>
      </c>
      <c r="AK687">
        <f>IF(ISNUMBER(AJ687),IF(AJ687&gt;=99,IF(OR(R687=10,R687=11),MatchLabel,SureThingLabel),IF(AJ687&gt;=95,SecureLabel,IF(AJ687&gt;=80,SafetyLabel,IF(AJ687&gt;=50,MatchLabel,IF(AJ687&gt;=20,ReachLabel,IF(AJ687&gt;=10,LongshotLabel,HailMaryLabel)))))),"Other")</f>
        <v>0</v>
      </c>
      <c r="AL687">
        <f>IF(OR(I687="accepted",I687="cond. accept",I687="summer admit"),IF(J687="yes","CHOICE!","Accepted!"),IF(I687="denied","Denied",IF(K687=1,"Waitlist",IF(L687=1,"Deferred",IF(G687="pending","Pending",IF(OR(G687="initial materials submitted",G687="mid-year submitted",G687="final submitted"),"Submitted",IF(H687="interest","Interest","?")))))))</f>
        <v>0</v>
      </c>
      <c r="AM687">
        <f>IF(OR(AK687=ReachLabel,AK687=LongshotLabel,AK687=HailMaryLabel),1,0)</f>
        <v>0</v>
      </c>
      <c r="AN687">
        <f>IF(OR(AM687=1,AK687=MatchLabel),1,0)</f>
        <v>0</v>
      </c>
      <c r="AO687">
        <f>IF(OR(AK687=MatchLabel,AK687=SafetyLabel,AK687=SecureLabel,AK687=SureThingLabel),1,0)</f>
        <v>0</v>
      </c>
      <c r="AP687">
        <f>IF(OR(T687="H",T687="B"),IF(ISNUMBER(Y687),ROUND(Y687,2),0),IF(ISNUMBER(X687),ROUND(X687,2),0))</f>
        <v>0</v>
      </c>
      <c r="AQ687">
        <f>IF(AP687&gt;=U687,1,0)</f>
        <v>0</v>
      </c>
      <c r="AR687">
        <f>IF(AP687&gt;=V687,1,0)</f>
        <v>0</v>
      </c>
      <c r="AS687">
        <f>IF(AP687&lt;(U687-0.10),1,0)</f>
        <v>0</v>
      </c>
      <c r="AT687">
        <f>1-AJ687/100</f>
        <v>0</v>
      </c>
      <c r="AU687">
        <f>IF(AN687=1,AT687,1)</f>
        <v>0</v>
      </c>
      <c r="AV687">
        <f>IF(AM687=1,AT687,1)</f>
        <v>0</v>
      </c>
      <c r="AW687">
        <f>IF(AND(AQ687=1,ISNUMBER(AT687)),$AT687,1)</f>
        <v>0</v>
      </c>
      <c r="AX687">
        <f>IF(AND(AR687=1,ISNUMBER(AT687)),$AT687,1)</f>
        <v>0</v>
      </c>
      <c r="AY687">
        <f>IF(ISNUMBER(Y687),INDEX(AllCollegeMoney, MATCH(N687,AllCollegeNCES,0)),0)</f>
        <v>0</v>
      </c>
      <c r="AZ687">
        <f>IF(AND(AQ687=1,ISNUMBER(AT687),AY687=1),$AT687,1)</f>
        <v>0</v>
      </c>
      <c r="BA687">
        <f>IF(AND(AR687=1,ISNUMBER(AT687),AY687=1),$AT687,1)</f>
        <v>0</v>
      </c>
      <c r="BB687">
        <f>IF(ISNUMBER(Y687),INDEX(AllCollegeILPub, MATCH(N687,AllCollegeNCES,0)),0)</f>
        <v>0</v>
      </c>
      <c r="BC687">
        <f>IF(AK687=ReachLabel,AP687,0)</f>
        <v>0</v>
      </c>
      <c r="BD687">
        <f>IF(AK687=MatchLabel,AP687,0)</f>
        <v>0</v>
      </c>
      <c r="BE687">
        <f>IF(AK687=SafetyLabel,AP687,0)</f>
        <v>0</v>
      </c>
      <c r="BF687">
        <f>IF(AK687=SecureLabel,AP687,0)</f>
        <v>0</v>
      </c>
      <c r="BG687">
        <f>IF(AK687=SureThingLabel,AP687,0)</f>
        <v>0</v>
      </c>
      <c r="BH687">
        <f>MAX(BC687:BG687)</f>
        <v>0</v>
      </c>
      <c r="BI687">
        <f>MAX(BD687:BG687)</f>
        <v>0</v>
      </c>
      <c r="BJ687">
        <f>MAX(BE687:BG687)</f>
        <v>0</v>
      </c>
      <c r="BK687">
        <f>IF(AND(AK687=ReachLabel,AY687=1),AP687,0)</f>
        <v>0</v>
      </c>
      <c r="BL687">
        <f>IF(AND(AK687=MatchLabel,AY687=1),AP687,0)</f>
        <v>0</v>
      </c>
      <c r="BM687">
        <f>IF(AND(AK687=SafetyLabel,AY687=1),AP687,0)</f>
        <v>0</v>
      </c>
      <c r="BN687">
        <f>IF(AND(AK687=SecureLabel,AY687=1),AP687,0)</f>
        <v>0</v>
      </c>
      <c r="BO687">
        <f>IF(AND(AK687=SureThingLabel,AY687=1),AP687,0)</f>
        <v>0</v>
      </c>
      <c r="BP687">
        <f>MAX(BK687:BO687)</f>
        <v>0</v>
      </c>
      <c r="BQ687">
        <f>MAX(BL687:BO687)</f>
        <v>0</v>
      </c>
      <c r="BR687">
        <f>MAX(BM687:BO687)</f>
        <v>0</v>
      </c>
      <c r="BS687">
        <f>IF(ISNUMBER(Y687),INDEX(AllCollegeChicago, MATCH(N687,AllCollegeNCES,0))*AY687,0)</f>
        <v>0</v>
      </c>
      <c r="BT687">
        <f>IF(ISNUMBER(Y687),INDEX(AllCollegeMoneyCode, MATCH(N687,AllCollegeNCES,0)),"?")</f>
        <v>0</v>
      </c>
      <c r="BU687">
        <f>IF(OR(BT687="---",BT687="--",BT687="+/--",BT687="+/---"),1,0)</f>
        <v>0</v>
      </c>
      <c r="BV687">
        <f>AY687*AO687*AQ687</f>
        <v>0</v>
      </c>
    </row>
    <row r="688" spans="1:74">
      <c r="A688" t="s">
        <v>86</v>
      </c>
      <c r="B688">
        <v>30051791</v>
      </c>
      <c r="C688" t="s">
        <v>157</v>
      </c>
      <c r="D688" t="s">
        <v>158</v>
      </c>
      <c r="E688" t="s">
        <v>428</v>
      </c>
      <c r="F688" t="s">
        <v>467</v>
      </c>
      <c r="G688" t="s">
        <v>430</v>
      </c>
      <c r="H688" t="s">
        <v>431</v>
      </c>
      <c r="I688" t="s">
        <v>432</v>
      </c>
      <c r="J688" t="s">
        <v>432</v>
      </c>
      <c r="K688">
        <v>0</v>
      </c>
      <c r="L688" t="s">
        <v>428</v>
      </c>
      <c r="M688" t="s">
        <v>428</v>
      </c>
      <c r="N688">
        <v>170976</v>
      </c>
      <c r="O688">
        <f>INDEX(AllCollegeBarrons,MATCH(N688,AllCollegeNCES,0))</f>
        <v>0</v>
      </c>
      <c r="P688">
        <f>INDEX(KidGPAs,MATCH(B688,KidIDs,0))</f>
        <v>0</v>
      </c>
      <c r="Q688">
        <f>INDEX(KidACTs,MATCH(B688,KidIDs,0))</f>
        <v>0</v>
      </c>
      <c r="R688">
        <f>INDEX(Strats,MATCH(B688,KidIDs,0))</f>
        <v>0</v>
      </c>
      <c r="S688">
        <f>INDEX(KidRace,MATCH(B688,KidIDs,0))</f>
        <v>0</v>
      </c>
      <c r="T688">
        <f>IF(OR(S688="M",S688="I"),"H",S688)</f>
        <v>0</v>
      </c>
      <c r="U688">
        <f>INDEX(StudentTargets,MATCH(B688,KidIDs,0))</f>
        <v>0</v>
      </c>
      <c r="V688">
        <f>INDEX(ReachStudentTargets,MATCH(B688,KidIDs,0))</f>
        <v>0</v>
      </c>
      <c r="W688">
        <f>IF(OR(M688="Posse"),1,0)</f>
        <v>0</v>
      </c>
      <c r="X688">
        <f>IF(ISNUMBER(INDEX(AllCollegeGR, MATCH(N688,AllCollegeNCES,0))),ROUND(INDEX(AllCollegeGR, MATCH(N688,AllCollegeNCES,0))+W688*IF(INDEX(AllCollegeGR, MATCH(N688,AllCollegeNCES,0))&gt;0.7,(1-INDEX(AllCollegeGR, MATCH(N688,AllCollegeNCES,0)))/2,0.15),2),INDEX(AllCollegeGR, MATCH(N688,AllCollegeNCES,0)))</f>
        <v>0</v>
      </c>
      <c r="Y688">
        <f>IF(ISNUMBER(INDEX(AllCollegeAAHGR, MATCH(N688,AllCollegeNCES,0))),ROUND(INDEX(AllCollegeAAHGR, MATCH(N688,AllCollegeNCES,0))+W688*IF(INDEX(AllCollegeAAHGR, MATCH(N688,AllCollegeNCES,0))&gt;0.7,(1-INDEX(AllCollegeAAHGR, MATCH(N688,AllCollegeNCES,0)))/2,0.15),2),INDEX(AllCollegeAAHGR, MATCH(N688,AllCollegeNCES,0)))</f>
        <v>0</v>
      </c>
      <c r="Z688">
        <f>IF(OR(T688="H",T688="B"),INDEX(AllCollegeACT25, MATCH(N688,AllCollegeNCES,0)),INDEX(AllCollegeACT50, MATCH(N688,AllCollegeNCES,0)))</f>
        <v>0</v>
      </c>
      <c r="AA688">
        <f>INDEX(CustomWeightsGPA,MATCH(T688&amp;":"&amp;N688,CustomWeightsIndex,0))</f>
        <v>0</v>
      </c>
      <c r="AB688">
        <f>INDEX(CustomWeightsACT,MATCH(T688&amp;":"&amp;N688,CustomWeightsIndex,0))</f>
        <v>0</v>
      </c>
      <c r="AC688">
        <f>INDEX(CustomWeightsIntercept,MATCH(T688&amp;":"&amp;N688,CustomWeightsIndex,0))</f>
        <v>0</v>
      </c>
      <c r="AD688">
        <f>AA688*P688+AB688*Q688+AC688</f>
        <v>0</v>
      </c>
      <c r="AE688">
        <f>INDEX(CoefficientsGPA,MATCH(T688&amp;":"&amp;O688,CoefficientsIndex,0))</f>
        <v>0</v>
      </c>
      <c r="AF688">
        <f>INDEX(CoefficientsACT,MATCH(T688&amp;":"&amp;O688,CoefficientsIndex,0))</f>
        <v>0</v>
      </c>
      <c r="AG688">
        <f>INDEX(CoefficientsIntercept,MATCH(T688&amp;":"&amp;O688,CoefficientsIndex,0))</f>
        <v>0</v>
      </c>
      <c r="AH688">
        <f>AE688*P688+(Q688-Z688)*AF688+AG688</f>
        <v>0</v>
      </c>
      <c r="AI688">
        <f>IF(ISNUMBER(AD688),AD688,AH688)</f>
        <v>0</v>
      </c>
      <c r="AJ688">
        <f>IF(ISNUMBER(AI688),IF(ISNUMBER(AE688),IF(AND(AE688=1,AF688=1,AG688=1),100,ROUND(100*EXP(AI688)/(1+EXP(AI688)),2)),ROUND(100*EXP(AI688)/(1+EXP(AI688)),2)),IF(ISTEXT(O688),IF(LEFT(O688,1)="2",100,"N/A"),"N/A"))</f>
        <v>0</v>
      </c>
      <c r="AK688">
        <f>IF(ISNUMBER(AJ688),IF(AJ688&gt;=99,IF(OR(R688=10,R688=11),MatchLabel,SureThingLabel),IF(AJ688&gt;=95,SecureLabel,IF(AJ688&gt;=80,SafetyLabel,IF(AJ688&gt;=50,MatchLabel,IF(AJ688&gt;=20,ReachLabel,IF(AJ688&gt;=10,LongshotLabel,HailMaryLabel)))))),"Other")</f>
        <v>0</v>
      </c>
      <c r="AL688">
        <f>IF(OR(I688="accepted",I688="cond. accept",I688="summer admit"),IF(J688="yes","CHOICE!","Accepted!"),IF(I688="denied","Denied",IF(K688=1,"Waitlist",IF(L688=1,"Deferred",IF(G688="pending","Pending",IF(OR(G688="initial materials submitted",G688="mid-year submitted",G688="final submitted"),"Submitted",IF(H688="interest","Interest","?")))))))</f>
        <v>0</v>
      </c>
      <c r="AM688">
        <f>IF(OR(AK688=ReachLabel,AK688=LongshotLabel,AK688=HailMaryLabel),1,0)</f>
        <v>0</v>
      </c>
      <c r="AN688">
        <f>IF(OR(AM688=1,AK688=MatchLabel),1,0)</f>
        <v>0</v>
      </c>
      <c r="AO688">
        <f>IF(OR(AK688=MatchLabel,AK688=SafetyLabel,AK688=SecureLabel,AK688=SureThingLabel),1,0)</f>
        <v>0</v>
      </c>
      <c r="AP688">
        <f>IF(OR(T688="H",T688="B"),IF(ISNUMBER(Y688),ROUND(Y688,2),0),IF(ISNUMBER(X688),ROUND(X688,2),0))</f>
        <v>0</v>
      </c>
      <c r="AQ688">
        <f>IF(AP688&gt;=U688,1,0)</f>
        <v>0</v>
      </c>
      <c r="AR688">
        <f>IF(AP688&gt;=V688,1,0)</f>
        <v>0</v>
      </c>
      <c r="AS688">
        <f>IF(AP688&lt;(U688-0.10),1,0)</f>
        <v>0</v>
      </c>
      <c r="AT688">
        <f>1-AJ688/100</f>
        <v>0</v>
      </c>
      <c r="AU688">
        <f>IF(AN688=1,AT688,1)</f>
        <v>0</v>
      </c>
      <c r="AV688">
        <f>IF(AM688=1,AT688,1)</f>
        <v>0</v>
      </c>
      <c r="AW688">
        <f>IF(AND(AQ688=1,ISNUMBER(AT688)),$AT688,1)</f>
        <v>0</v>
      </c>
      <c r="AX688">
        <f>IF(AND(AR688=1,ISNUMBER(AT688)),$AT688,1)</f>
        <v>0</v>
      </c>
      <c r="AY688">
        <f>IF(ISNUMBER(Y688),INDEX(AllCollegeMoney, MATCH(N688,AllCollegeNCES,0)),0)</f>
        <v>0</v>
      </c>
      <c r="AZ688">
        <f>IF(AND(AQ688=1,ISNUMBER(AT688),AY688=1),$AT688,1)</f>
        <v>0</v>
      </c>
      <c r="BA688">
        <f>IF(AND(AR688=1,ISNUMBER(AT688),AY688=1),$AT688,1)</f>
        <v>0</v>
      </c>
      <c r="BB688">
        <f>IF(ISNUMBER(Y688),INDEX(AllCollegeILPub, MATCH(N688,AllCollegeNCES,0)),0)</f>
        <v>0</v>
      </c>
      <c r="BC688">
        <f>IF(AK688=ReachLabel,AP688,0)</f>
        <v>0</v>
      </c>
      <c r="BD688">
        <f>IF(AK688=MatchLabel,AP688,0)</f>
        <v>0</v>
      </c>
      <c r="BE688">
        <f>IF(AK688=SafetyLabel,AP688,0)</f>
        <v>0</v>
      </c>
      <c r="BF688">
        <f>IF(AK688=SecureLabel,AP688,0)</f>
        <v>0</v>
      </c>
      <c r="BG688">
        <f>IF(AK688=SureThingLabel,AP688,0)</f>
        <v>0</v>
      </c>
      <c r="BH688">
        <f>MAX(BC688:BG688)</f>
        <v>0</v>
      </c>
      <c r="BI688">
        <f>MAX(BD688:BG688)</f>
        <v>0</v>
      </c>
      <c r="BJ688">
        <f>MAX(BE688:BG688)</f>
        <v>0</v>
      </c>
      <c r="BK688">
        <f>IF(AND(AK688=ReachLabel,AY688=1),AP688,0)</f>
        <v>0</v>
      </c>
      <c r="BL688">
        <f>IF(AND(AK688=MatchLabel,AY688=1),AP688,0)</f>
        <v>0</v>
      </c>
      <c r="BM688">
        <f>IF(AND(AK688=SafetyLabel,AY688=1),AP688,0)</f>
        <v>0</v>
      </c>
      <c r="BN688">
        <f>IF(AND(AK688=SecureLabel,AY688=1),AP688,0)</f>
        <v>0</v>
      </c>
      <c r="BO688">
        <f>IF(AND(AK688=SureThingLabel,AY688=1),AP688,0)</f>
        <v>0</v>
      </c>
      <c r="BP688">
        <f>MAX(BK688:BO688)</f>
        <v>0</v>
      </c>
      <c r="BQ688">
        <f>MAX(BL688:BO688)</f>
        <v>0</v>
      </c>
      <c r="BR688">
        <f>MAX(BM688:BO688)</f>
        <v>0</v>
      </c>
      <c r="BS688">
        <f>IF(ISNUMBER(Y688),INDEX(AllCollegeChicago, MATCH(N688,AllCollegeNCES,0))*AY688,0)</f>
        <v>0</v>
      </c>
      <c r="BT688">
        <f>IF(ISNUMBER(Y688),INDEX(AllCollegeMoneyCode, MATCH(N688,AllCollegeNCES,0)),"?")</f>
        <v>0</v>
      </c>
      <c r="BU688">
        <f>IF(OR(BT688="---",BT688="--",BT688="+/--",BT688="+/---"),1,0)</f>
        <v>0</v>
      </c>
      <c r="BV688">
        <f>AY688*AO688*AQ688</f>
        <v>0</v>
      </c>
    </row>
    <row r="689" spans="1:74">
      <c r="A689" t="s">
        <v>86</v>
      </c>
      <c r="B689">
        <v>30051791</v>
      </c>
      <c r="C689" t="s">
        <v>157</v>
      </c>
      <c r="D689" t="s">
        <v>158</v>
      </c>
      <c r="E689" t="s">
        <v>428</v>
      </c>
      <c r="F689" t="s">
        <v>453</v>
      </c>
      <c r="G689" t="s">
        <v>430</v>
      </c>
      <c r="H689" t="s">
        <v>431</v>
      </c>
      <c r="I689" t="s">
        <v>432</v>
      </c>
      <c r="J689" t="s">
        <v>432</v>
      </c>
      <c r="K689">
        <v>0</v>
      </c>
      <c r="L689" t="s">
        <v>428</v>
      </c>
      <c r="M689" t="s">
        <v>428</v>
      </c>
      <c r="N689">
        <v>212674</v>
      </c>
      <c r="O689">
        <f>INDEX(AllCollegeBarrons,MATCH(N689,AllCollegeNCES,0))</f>
        <v>0</v>
      </c>
      <c r="P689">
        <f>INDEX(KidGPAs,MATCH(B689,KidIDs,0))</f>
        <v>0</v>
      </c>
      <c r="Q689">
        <f>INDEX(KidACTs,MATCH(B689,KidIDs,0))</f>
        <v>0</v>
      </c>
      <c r="R689">
        <f>INDEX(Strats,MATCH(B689,KidIDs,0))</f>
        <v>0</v>
      </c>
      <c r="S689">
        <f>INDEX(KidRace,MATCH(B689,KidIDs,0))</f>
        <v>0</v>
      </c>
      <c r="T689">
        <f>IF(OR(S689="M",S689="I"),"H",S689)</f>
        <v>0</v>
      </c>
      <c r="U689">
        <f>INDEX(StudentTargets,MATCH(B689,KidIDs,0))</f>
        <v>0</v>
      </c>
      <c r="V689">
        <f>INDEX(ReachStudentTargets,MATCH(B689,KidIDs,0))</f>
        <v>0</v>
      </c>
      <c r="W689">
        <f>IF(OR(M689="Posse"),1,0)</f>
        <v>0</v>
      </c>
      <c r="X689">
        <f>IF(ISNUMBER(INDEX(AllCollegeGR, MATCH(N689,AllCollegeNCES,0))),ROUND(INDEX(AllCollegeGR, MATCH(N689,AllCollegeNCES,0))+W689*IF(INDEX(AllCollegeGR, MATCH(N689,AllCollegeNCES,0))&gt;0.7,(1-INDEX(AllCollegeGR, MATCH(N689,AllCollegeNCES,0)))/2,0.15),2),INDEX(AllCollegeGR, MATCH(N689,AllCollegeNCES,0)))</f>
        <v>0</v>
      </c>
      <c r="Y689">
        <f>IF(ISNUMBER(INDEX(AllCollegeAAHGR, MATCH(N689,AllCollegeNCES,0))),ROUND(INDEX(AllCollegeAAHGR, MATCH(N689,AllCollegeNCES,0))+W689*IF(INDEX(AllCollegeAAHGR, MATCH(N689,AllCollegeNCES,0))&gt;0.7,(1-INDEX(AllCollegeAAHGR, MATCH(N689,AllCollegeNCES,0)))/2,0.15),2),INDEX(AllCollegeAAHGR, MATCH(N689,AllCollegeNCES,0)))</f>
        <v>0</v>
      </c>
      <c r="Z689">
        <f>IF(OR(T689="H",T689="B"),INDEX(AllCollegeACT25, MATCH(N689,AllCollegeNCES,0)),INDEX(AllCollegeACT50, MATCH(N689,AllCollegeNCES,0)))</f>
        <v>0</v>
      </c>
      <c r="AA689">
        <f>INDEX(CustomWeightsGPA,MATCH(T689&amp;":"&amp;N689,CustomWeightsIndex,0))</f>
        <v>0</v>
      </c>
      <c r="AB689">
        <f>INDEX(CustomWeightsACT,MATCH(T689&amp;":"&amp;N689,CustomWeightsIndex,0))</f>
        <v>0</v>
      </c>
      <c r="AC689">
        <f>INDEX(CustomWeightsIntercept,MATCH(T689&amp;":"&amp;N689,CustomWeightsIndex,0))</f>
        <v>0</v>
      </c>
      <c r="AD689">
        <f>AA689*P689+AB689*Q689+AC689</f>
        <v>0</v>
      </c>
      <c r="AE689">
        <f>INDEX(CoefficientsGPA,MATCH(T689&amp;":"&amp;O689,CoefficientsIndex,0))</f>
        <v>0</v>
      </c>
      <c r="AF689">
        <f>INDEX(CoefficientsACT,MATCH(T689&amp;":"&amp;O689,CoefficientsIndex,0))</f>
        <v>0</v>
      </c>
      <c r="AG689">
        <f>INDEX(CoefficientsIntercept,MATCH(T689&amp;":"&amp;O689,CoefficientsIndex,0))</f>
        <v>0</v>
      </c>
      <c r="AH689">
        <f>AE689*P689+(Q689-Z689)*AF689+AG689</f>
        <v>0</v>
      </c>
      <c r="AI689">
        <f>IF(ISNUMBER(AD689),AD689,AH689)</f>
        <v>0</v>
      </c>
      <c r="AJ689">
        <f>IF(ISNUMBER(AI689),IF(ISNUMBER(AE689),IF(AND(AE689=1,AF689=1,AG689=1),100,ROUND(100*EXP(AI689)/(1+EXP(AI689)),2)),ROUND(100*EXP(AI689)/(1+EXP(AI689)),2)),IF(ISTEXT(O689),IF(LEFT(O689,1)="2",100,"N/A"),"N/A"))</f>
        <v>0</v>
      </c>
      <c r="AK689">
        <f>IF(ISNUMBER(AJ689),IF(AJ689&gt;=99,IF(OR(R689=10,R689=11),MatchLabel,SureThingLabel),IF(AJ689&gt;=95,SecureLabel,IF(AJ689&gt;=80,SafetyLabel,IF(AJ689&gt;=50,MatchLabel,IF(AJ689&gt;=20,ReachLabel,IF(AJ689&gt;=10,LongshotLabel,HailMaryLabel)))))),"Other")</f>
        <v>0</v>
      </c>
      <c r="AL689">
        <f>IF(OR(I689="accepted",I689="cond. accept",I689="summer admit"),IF(J689="yes","CHOICE!","Accepted!"),IF(I689="denied","Denied",IF(K689=1,"Waitlist",IF(L689=1,"Deferred",IF(G689="pending","Pending",IF(OR(G689="initial materials submitted",G689="mid-year submitted",G689="final submitted"),"Submitted",IF(H689="interest","Interest","?")))))))</f>
        <v>0</v>
      </c>
      <c r="AM689">
        <f>IF(OR(AK689=ReachLabel,AK689=LongshotLabel,AK689=HailMaryLabel),1,0)</f>
        <v>0</v>
      </c>
      <c r="AN689">
        <f>IF(OR(AM689=1,AK689=MatchLabel),1,0)</f>
        <v>0</v>
      </c>
      <c r="AO689">
        <f>IF(OR(AK689=MatchLabel,AK689=SafetyLabel,AK689=SecureLabel,AK689=SureThingLabel),1,0)</f>
        <v>0</v>
      </c>
      <c r="AP689">
        <f>IF(OR(T689="H",T689="B"),IF(ISNUMBER(Y689),ROUND(Y689,2),0),IF(ISNUMBER(X689),ROUND(X689,2),0))</f>
        <v>0</v>
      </c>
      <c r="AQ689">
        <f>IF(AP689&gt;=U689,1,0)</f>
        <v>0</v>
      </c>
      <c r="AR689">
        <f>IF(AP689&gt;=V689,1,0)</f>
        <v>0</v>
      </c>
      <c r="AS689">
        <f>IF(AP689&lt;(U689-0.10),1,0)</f>
        <v>0</v>
      </c>
      <c r="AT689">
        <f>1-AJ689/100</f>
        <v>0</v>
      </c>
      <c r="AU689">
        <f>IF(AN689=1,AT689,1)</f>
        <v>0</v>
      </c>
      <c r="AV689">
        <f>IF(AM689=1,AT689,1)</f>
        <v>0</v>
      </c>
      <c r="AW689">
        <f>IF(AND(AQ689=1,ISNUMBER(AT689)),$AT689,1)</f>
        <v>0</v>
      </c>
      <c r="AX689">
        <f>IF(AND(AR689=1,ISNUMBER(AT689)),$AT689,1)</f>
        <v>0</v>
      </c>
      <c r="AY689">
        <f>IF(ISNUMBER(Y689),INDEX(AllCollegeMoney, MATCH(N689,AllCollegeNCES,0)),0)</f>
        <v>0</v>
      </c>
      <c r="AZ689">
        <f>IF(AND(AQ689=1,ISNUMBER(AT689),AY689=1),$AT689,1)</f>
        <v>0</v>
      </c>
      <c r="BA689">
        <f>IF(AND(AR689=1,ISNUMBER(AT689),AY689=1),$AT689,1)</f>
        <v>0</v>
      </c>
      <c r="BB689">
        <f>IF(ISNUMBER(Y689),INDEX(AllCollegeILPub, MATCH(N689,AllCollegeNCES,0)),0)</f>
        <v>0</v>
      </c>
      <c r="BC689">
        <f>IF(AK689=ReachLabel,AP689,0)</f>
        <v>0</v>
      </c>
      <c r="BD689">
        <f>IF(AK689=MatchLabel,AP689,0)</f>
        <v>0</v>
      </c>
      <c r="BE689">
        <f>IF(AK689=SafetyLabel,AP689,0)</f>
        <v>0</v>
      </c>
      <c r="BF689">
        <f>IF(AK689=SecureLabel,AP689,0)</f>
        <v>0</v>
      </c>
      <c r="BG689">
        <f>IF(AK689=SureThingLabel,AP689,0)</f>
        <v>0</v>
      </c>
      <c r="BH689">
        <f>MAX(BC689:BG689)</f>
        <v>0</v>
      </c>
      <c r="BI689">
        <f>MAX(BD689:BG689)</f>
        <v>0</v>
      </c>
      <c r="BJ689">
        <f>MAX(BE689:BG689)</f>
        <v>0</v>
      </c>
      <c r="BK689">
        <f>IF(AND(AK689=ReachLabel,AY689=1),AP689,0)</f>
        <v>0</v>
      </c>
      <c r="BL689">
        <f>IF(AND(AK689=MatchLabel,AY689=1),AP689,0)</f>
        <v>0</v>
      </c>
      <c r="BM689">
        <f>IF(AND(AK689=SafetyLabel,AY689=1),AP689,0)</f>
        <v>0</v>
      </c>
      <c r="BN689">
        <f>IF(AND(AK689=SecureLabel,AY689=1),AP689,0)</f>
        <v>0</v>
      </c>
      <c r="BO689">
        <f>IF(AND(AK689=SureThingLabel,AY689=1),AP689,0)</f>
        <v>0</v>
      </c>
      <c r="BP689">
        <f>MAX(BK689:BO689)</f>
        <v>0</v>
      </c>
      <c r="BQ689">
        <f>MAX(BL689:BO689)</f>
        <v>0</v>
      </c>
      <c r="BR689">
        <f>MAX(BM689:BO689)</f>
        <v>0</v>
      </c>
      <c r="BS689">
        <f>IF(ISNUMBER(Y689),INDEX(AllCollegeChicago, MATCH(N689,AllCollegeNCES,0))*AY689,0)</f>
        <v>0</v>
      </c>
      <c r="BT689">
        <f>IF(ISNUMBER(Y689),INDEX(AllCollegeMoneyCode, MATCH(N689,AllCollegeNCES,0)),"?")</f>
        <v>0</v>
      </c>
      <c r="BU689">
        <f>IF(OR(BT689="---",BT689="--",BT689="+/--",BT689="+/---"),1,0)</f>
        <v>0</v>
      </c>
      <c r="BV689">
        <f>AY689*AO689*AQ689</f>
        <v>0</v>
      </c>
    </row>
    <row r="690" spans="1:74">
      <c r="A690" t="s">
        <v>86</v>
      </c>
      <c r="B690">
        <v>30051791</v>
      </c>
      <c r="C690" t="s">
        <v>157</v>
      </c>
      <c r="D690" t="s">
        <v>158</v>
      </c>
      <c r="E690" t="s">
        <v>428</v>
      </c>
      <c r="F690" t="s">
        <v>468</v>
      </c>
      <c r="G690" t="s">
        <v>430</v>
      </c>
      <c r="H690" t="s">
        <v>431</v>
      </c>
      <c r="I690" t="s">
        <v>432</v>
      </c>
      <c r="J690" t="s">
        <v>432</v>
      </c>
      <c r="K690">
        <v>0</v>
      </c>
      <c r="L690" t="s">
        <v>428</v>
      </c>
      <c r="M690" t="s">
        <v>428</v>
      </c>
      <c r="N690">
        <v>212009</v>
      </c>
      <c r="O690">
        <f>INDEX(AllCollegeBarrons,MATCH(N690,AllCollegeNCES,0))</f>
        <v>0</v>
      </c>
      <c r="P690">
        <f>INDEX(KidGPAs,MATCH(B690,KidIDs,0))</f>
        <v>0</v>
      </c>
      <c r="Q690">
        <f>INDEX(KidACTs,MATCH(B690,KidIDs,0))</f>
        <v>0</v>
      </c>
      <c r="R690">
        <f>INDEX(Strats,MATCH(B690,KidIDs,0))</f>
        <v>0</v>
      </c>
      <c r="S690">
        <f>INDEX(KidRace,MATCH(B690,KidIDs,0))</f>
        <v>0</v>
      </c>
      <c r="T690">
        <f>IF(OR(S690="M",S690="I"),"H",S690)</f>
        <v>0</v>
      </c>
      <c r="U690">
        <f>INDEX(StudentTargets,MATCH(B690,KidIDs,0))</f>
        <v>0</v>
      </c>
      <c r="V690">
        <f>INDEX(ReachStudentTargets,MATCH(B690,KidIDs,0))</f>
        <v>0</v>
      </c>
      <c r="W690">
        <f>IF(OR(M690="Posse"),1,0)</f>
        <v>0</v>
      </c>
      <c r="X690">
        <f>IF(ISNUMBER(INDEX(AllCollegeGR, MATCH(N690,AllCollegeNCES,0))),ROUND(INDEX(AllCollegeGR, MATCH(N690,AllCollegeNCES,0))+W690*IF(INDEX(AllCollegeGR, MATCH(N690,AllCollegeNCES,0))&gt;0.7,(1-INDEX(AllCollegeGR, MATCH(N690,AllCollegeNCES,0)))/2,0.15),2),INDEX(AllCollegeGR, MATCH(N690,AllCollegeNCES,0)))</f>
        <v>0</v>
      </c>
      <c r="Y690">
        <f>IF(ISNUMBER(INDEX(AllCollegeAAHGR, MATCH(N690,AllCollegeNCES,0))),ROUND(INDEX(AllCollegeAAHGR, MATCH(N690,AllCollegeNCES,0))+W690*IF(INDEX(AllCollegeAAHGR, MATCH(N690,AllCollegeNCES,0))&gt;0.7,(1-INDEX(AllCollegeAAHGR, MATCH(N690,AllCollegeNCES,0)))/2,0.15),2),INDEX(AllCollegeAAHGR, MATCH(N690,AllCollegeNCES,0)))</f>
        <v>0</v>
      </c>
      <c r="Z690">
        <f>IF(OR(T690="H",T690="B"),INDEX(AllCollegeACT25, MATCH(N690,AllCollegeNCES,0)),INDEX(AllCollegeACT50, MATCH(N690,AllCollegeNCES,0)))</f>
        <v>0</v>
      </c>
      <c r="AA690">
        <f>INDEX(CustomWeightsGPA,MATCH(T690&amp;":"&amp;N690,CustomWeightsIndex,0))</f>
        <v>0</v>
      </c>
      <c r="AB690">
        <f>INDEX(CustomWeightsACT,MATCH(T690&amp;":"&amp;N690,CustomWeightsIndex,0))</f>
        <v>0</v>
      </c>
      <c r="AC690">
        <f>INDEX(CustomWeightsIntercept,MATCH(T690&amp;":"&amp;N690,CustomWeightsIndex,0))</f>
        <v>0</v>
      </c>
      <c r="AD690">
        <f>AA690*P690+AB690*Q690+AC690</f>
        <v>0</v>
      </c>
      <c r="AE690">
        <f>INDEX(CoefficientsGPA,MATCH(T690&amp;":"&amp;O690,CoefficientsIndex,0))</f>
        <v>0</v>
      </c>
      <c r="AF690">
        <f>INDEX(CoefficientsACT,MATCH(T690&amp;":"&amp;O690,CoefficientsIndex,0))</f>
        <v>0</v>
      </c>
      <c r="AG690">
        <f>INDEX(CoefficientsIntercept,MATCH(T690&amp;":"&amp;O690,CoefficientsIndex,0))</f>
        <v>0</v>
      </c>
      <c r="AH690">
        <f>AE690*P690+(Q690-Z690)*AF690+AG690</f>
        <v>0</v>
      </c>
      <c r="AI690">
        <f>IF(ISNUMBER(AD690),AD690,AH690)</f>
        <v>0</v>
      </c>
      <c r="AJ690">
        <f>IF(ISNUMBER(AI690),IF(ISNUMBER(AE690),IF(AND(AE690=1,AF690=1,AG690=1),100,ROUND(100*EXP(AI690)/(1+EXP(AI690)),2)),ROUND(100*EXP(AI690)/(1+EXP(AI690)),2)),IF(ISTEXT(O690),IF(LEFT(O690,1)="2",100,"N/A"),"N/A"))</f>
        <v>0</v>
      </c>
      <c r="AK690">
        <f>IF(ISNUMBER(AJ690),IF(AJ690&gt;=99,IF(OR(R690=10,R690=11),MatchLabel,SureThingLabel),IF(AJ690&gt;=95,SecureLabel,IF(AJ690&gt;=80,SafetyLabel,IF(AJ690&gt;=50,MatchLabel,IF(AJ690&gt;=20,ReachLabel,IF(AJ690&gt;=10,LongshotLabel,HailMaryLabel)))))),"Other")</f>
        <v>0</v>
      </c>
      <c r="AL690">
        <f>IF(OR(I690="accepted",I690="cond. accept",I690="summer admit"),IF(J690="yes","CHOICE!","Accepted!"),IF(I690="denied","Denied",IF(K690=1,"Waitlist",IF(L690=1,"Deferred",IF(G690="pending","Pending",IF(OR(G690="initial materials submitted",G690="mid-year submitted",G690="final submitted"),"Submitted",IF(H690="interest","Interest","?")))))))</f>
        <v>0</v>
      </c>
      <c r="AM690">
        <f>IF(OR(AK690=ReachLabel,AK690=LongshotLabel,AK690=HailMaryLabel),1,0)</f>
        <v>0</v>
      </c>
      <c r="AN690">
        <f>IF(OR(AM690=1,AK690=MatchLabel),1,0)</f>
        <v>0</v>
      </c>
      <c r="AO690">
        <f>IF(OR(AK690=MatchLabel,AK690=SafetyLabel,AK690=SecureLabel,AK690=SureThingLabel),1,0)</f>
        <v>0</v>
      </c>
      <c r="AP690">
        <f>IF(OR(T690="H",T690="B"),IF(ISNUMBER(Y690),ROUND(Y690,2),0),IF(ISNUMBER(X690),ROUND(X690,2),0))</f>
        <v>0</v>
      </c>
      <c r="AQ690">
        <f>IF(AP690&gt;=U690,1,0)</f>
        <v>0</v>
      </c>
      <c r="AR690">
        <f>IF(AP690&gt;=V690,1,0)</f>
        <v>0</v>
      </c>
      <c r="AS690">
        <f>IF(AP690&lt;(U690-0.10),1,0)</f>
        <v>0</v>
      </c>
      <c r="AT690">
        <f>1-AJ690/100</f>
        <v>0</v>
      </c>
      <c r="AU690">
        <f>IF(AN690=1,AT690,1)</f>
        <v>0</v>
      </c>
      <c r="AV690">
        <f>IF(AM690=1,AT690,1)</f>
        <v>0</v>
      </c>
      <c r="AW690">
        <f>IF(AND(AQ690=1,ISNUMBER(AT690)),$AT690,1)</f>
        <v>0</v>
      </c>
      <c r="AX690">
        <f>IF(AND(AR690=1,ISNUMBER(AT690)),$AT690,1)</f>
        <v>0</v>
      </c>
      <c r="AY690">
        <f>IF(ISNUMBER(Y690),INDEX(AllCollegeMoney, MATCH(N690,AllCollegeNCES,0)),0)</f>
        <v>0</v>
      </c>
      <c r="AZ690">
        <f>IF(AND(AQ690=1,ISNUMBER(AT690),AY690=1),$AT690,1)</f>
        <v>0</v>
      </c>
      <c r="BA690">
        <f>IF(AND(AR690=1,ISNUMBER(AT690),AY690=1),$AT690,1)</f>
        <v>0</v>
      </c>
      <c r="BB690">
        <f>IF(ISNUMBER(Y690),INDEX(AllCollegeILPub, MATCH(N690,AllCollegeNCES,0)),0)</f>
        <v>0</v>
      </c>
      <c r="BC690">
        <f>IF(AK690=ReachLabel,AP690,0)</f>
        <v>0</v>
      </c>
      <c r="BD690">
        <f>IF(AK690=MatchLabel,AP690,0)</f>
        <v>0</v>
      </c>
      <c r="BE690">
        <f>IF(AK690=SafetyLabel,AP690,0)</f>
        <v>0</v>
      </c>
      <c r="BF690">
        <f>IF(AK690=SecureLabel,AP690,0)</f>
        <v>0</v>
      </c>
      <c r="BG690">
        <f>IF(AK690=SureThingLabel,AP690,0)</f>
        <v>0</v>
      </c>
      <c r="BH690">
        <f>MAX(BC690:BG690)</f>
        <v>0</v>
      </c>
      <c r="BI690">
        <f>MAX(BD690:BG690)</f>
        <v>0</v>
      </c>
      <c r="BJ690">
        <f>MAX(BE690:BG690)</f>
        <v>0</v>
      </c>
      <c r="BK690">
        <f>IF(AND(AK690=ReachLabel,AY690=1),AP690,0)</f>
        <v>0</v>
      </c>
      <c r="BL690">
        <f>IF(AND(AK690=MatchLabel,AY690=1),AP690,0)</f>
        <v>0</v>
      </c>
      <c r="BM690">
        <f>IF(AND(AK690=SafetyLabel,AY690=1),AP690,0)</f>
        <v>0</v>
      </c>
      <c r="BN690">
        <f>IF(AND(AK690=SecureLabel,AY690=1),AP690,0)</f>
        <v>0</v>
      </c>
      <c r="BO690">
        <f>IF(AND(AK690=SureThingLabel,AY690=1),AP690,0)</f>
        <v>0</v>
      </c>
      <c r="BP690">
        <f>MAX(BK690:BO690)</f>
        <v>0</v>
      </c>
      <c r="BQ690">
        <f>MAX(BL690:BO690)</f>
        <v>0</v>
      </c>
      <c r="BR690">
        <f>MAX(BM690:BO690)</f>
        <v>0</v>
      </c>
      <c r="BS690">
        <f>IF(ISNUMBER(Y690),INDEX(AllCollegeChicago, MATCH(N690,AllCollegeNCES,0))*AY690,0)</f>
        <v>0</v>
      </c>
      <c r="BT690">
        <f>IF(ISNUMBER(Y690),INDEX(AllCollegeMoneyCode, MATCH(N690,AllCollegeNCES,0)),"?")</f>
        <v>0</v>
      </c>
      <c r="BU690">
        <f>IF(OR(BT690="---",BT690="--",BT690="+/--",BT690="+/---"),1,0)</f>
        <v>0</v>
      </c>
      <c r="BV690">
        <f>AY690*AO690*AQ690</f>
        <v>0</v>
      </c>
    </row>
    <row r="691" spans="1:74">
      <c r="A691" t="s">
        <v>86</v>
      </c>
      <c r="B691">
        <v>30051791</v>
      </c>
      <c r="C691" t="s">
        <v>157</v>
      </c>
      <c r="D691" t="s">
        <v>158</v>
      </c>
      <c r="E691" t="s">
        <v>428</v>
      </c>
      <c r="F691" t="s">
        <v>455</v>
      </c>
      <c r="G691" t="s">
        <v>430</v>
      </c>
      <c r="H691" t="s">
        <v>431</v>
      </c>
      <c r="I691" t="s">
        <v>432</v>
      </c>
      <c r="J691" t="s">
        <v>432</v>
      </c>
      <c r="K691">
        <v>0</v>
      </c>
      <c r="L691" t="s">
        <v>428</v>
      </c>
      <c r="M691" t="s">
        <v>428</v>
      </c>
      <c r="N691">
        <v>240444</v>
      </c>
      <c r="O691">
        <f>INDEX(AllCollegeBarrons,MATCH(N691,AllCollegeNCES,0))</f>
        <v>0</v>
      </c>
      <c r="P691">
        <f>INDEX(KidGPAs,MATCH(B691,KidIDs,0))</f>
        <v>0</v>
      </c>
      <c r="Q691">
        <f>INDEX(KidACTs,MATCH(B691,KidIDs,0))</f>
        <v>0</v>
      </c>
      <c r="R691">
        <f>INDEX(Strats,MATCH(B691,KidIDs,0))</f>
        <v>0</v>
      </c>
      <c r="S691">
        <f>INDEX(KidRace,MATCH(B691,KidIDs,0))</f>
        <v>0</v>
      </c>
      <c r="T691">
        <f>IF(OR(S691="M",S691="I"),"H",S691)</f>
        <v>0</v>
      </c>
      <c r="U691">
        <f>INDEX(StudentTargets,MATCH(B691,KidIDs,0))</f>
        <v>0</v>
      </c>
      <c r="V691">
        <f>INDEX(ReachStudentTargets,MATCH(B691,KidIDs,0))</f>
        <v>0</v>
      </c>
      <c r="W691">
        <f>IF(OR(M691="Posse"),1,0)</f>
        <v>0</v>
      </c>
      <c r="X691">
        <f>IF(ISNUMBER(INDEX(AllCollegeGR, MATCH(N691,AllCollegeNCES,0))),ROUND(INDEX(AllCollegeGR, MATCH(N691,AllCollegeNCES,0))+W691*IF(INDEX(AllCollegeGR, MATCH(N691,AllCollegeNCES,0))&gt;0.7,(1-INDEX(AllCollegeGR, MATCH(N691,AllCollegeNCES,0)))/2,0.15),2),INDEX(AllCollegeGR, MATCH(N691,AllCollegeNCES,0)))</f>
        <v>0</v>
      </c>
      <c r="Y691">
        <f>IF(ISNUMBER(INDEX(AllCollegeAAHGR, MATCH(N691,AllCollegeNCES,0))),ROUND(INDEX(AllCollegeAAHGR, MATCH(N691,AllCollegeNCES,0))+W691*IF(INDEX(AllCollegeAAHGR, MATCH(N691,AllCollegeNCES,0))&gt;0.7,(1-INDEX(AllCollegeAAHGR, MATCH(N691,AllCollegeNCES,0)))/2,0.15),2),INDEX(AllCollegeAAHGR, MATCH(N691,AllCollegeNCES,0)))</f>
        <v>0</v>
      </c>
      <c r="Z691">
        <f>IF(OR(T691="H",T691="B"),INDEX(AllCollegeACT25, MATCH(N691,AllCollegeNCES,0)),INDEX(AllCollegeACT50, MATCH(N691,AllCollegeNCES,0)))</f>
        <v>0</v>
      </c>
      <c r="AA691">
        <f>INDEX(CustomWeightsGPA,MATCH(T691&amp;":"&amp;N691,CustomWeightsIndex,0))</f>
        <v>0</v>
      </c>
      <c r="AB691">
        <f>INDEX(CustomWeightsACT,MATCH(T691&amp;":"&amp;N691,CustomWeightsIndex,0))</f>
        <v>0</v>
      </c>
      <c r="AC691">
        <f>INDEX(CustomWeightsIntercept,MATCH(T691&amp;":"&amp;N691,CustomWeightsIndex,0))</f>
        <v>0</v>
      </c>
      <c r="AD691">
        <f>AA691*P691+AB691*Q691+AC691</f>
        <v>0</v>
      </c>
      <c r="AE691">
        <f>INDEX(CoefficientsGPA,MATCH(T691&amp;":"&amp;O691,CoefficientsIndex,0))</f>
        <v>0</v>
      </c>
      <c r="AF691">
        <f>INDEX(CoefficientsACT,MATCH(T691&amp;":"&amp;O691,CoefficientsIndex,0))</f>
        <v>0</v>
      </c>
      <c r="AG691">
        <f>INDEX(CoefficientsIntercept,MATCH(T691&amp;":"&amp;O691,CoefficientsIndex,0))</f>
        <v>0</v>
      </c>
      <c r="AH691">
        <f>AE691*P691+(Q691-Z691)*AF691+AG691</f>
        <v>0</v>
      </c>
      <c r="AI691">
        <f>IF(ISNUMBER(AD691),AD691,AH691)</f>
        <v>0</v>
      </c>
      <c r="AJ691">
        <f>IF(ISNUMBER(AI691),IF(ISNUMBER(AE691),IF(AND(AE691=1,AF691=1,AG691=1),100,ROUND(100*EXP(AI691)/(1+EXP(AI691)),2)),ROUND(100*EXP(AI691)/(1+EXP(AI691)),2)),IF(ISTEXT(O691),IF(LEFT(O691,1)="2",100,"N/A"),"N/A"))</f>
        <v>0</v>
      </c>
      <c r="AK691">
        <f>IF(ISNUMBER(AJ691),IF(AJ691&gt;=99,IF(OR(R691=10,R691=11),MatchLabel,SureThingLabel),IF(AJ691&gt;=95,SecureLabel,IF(AJ691&gt;=80,SafetyLabel,IF(AJ691&gt;=50,MatchLabel,IF(AJ691&gt;=20,ReachLabel,IF(AJ691&gt;=10,LongshotLabel,HailMaryLabel)))))),"Other")</f>
        <v>0</v>
      </c>
      <c r="AL691">
        <f>IF(OR(I691="accepted",I691="cond. accept",I691="summer admit"),IF(J691="yes","CHOICE!","Accepted!"),IF(I691="denied","Denied",IF(K691=1,"Waitlist",IF(L691=1,"Deferred",IF(G691="pending","Pending",IF(OR(G691="initial materials submitted",G691="mid-year submitted",G691="final submitted"),"Submitted",IF(H691="interest","Interest","?")))))))</f>
        <v>0</v>
      </c>
      <c r="AM691">
        <f>IF(OR(AK691=ReachLabel,AK691=LongshotLabel,AK691=HailMaryLabel),1,0)</f>
        <v>0</v>
      </c>
      <c r="AN691">
        <f>IF(OR(AM691=1,AK691=MatchLabel),1,0)</f>
        <v>0</v>
      </c>
      <c r="AO691">
        <f>IF(OR(AK691=MatchLabel,AK691=SafetyLabel,AK691=SecureLabel,AK691=SureThingLabel),1,0)</f>
        <v>0</v>
      </c>
      <c r="AP691">
        <f>IF(OR(T691="H",T691="B"),IF(ISNUMBER(Y691),ROUND(Y691,2),0),IF(ISNUMBER(X691),ROUND(X691,2),0))</f>
        <v>0</v>
      </c>
      <c r="AQ691">
        <f>IF(AP691&gt;=U691,1,0)</f>
        <v>0</v>
      </c>
      <c r="AR691">
        <f>IF(AP691&gt;=V691,1,0)</f>
        <v>0</v>
      </c>
      <c r="AS691">
        <f>IF(AP691&lt;(U691-0.10),1,0)</f>
        <v>0</v>
      </c>
      <c r="AT691">
        <f>1-AJ691/100</f>
        <v>0</v>
      </c>
      <c r="AU691">
        <f>IF(AN691=1,AT691,1)</f>
        <v>0</v>
      </c>
      <c r="AV691">
        <f>IF(AM691=1,AT691,1)</f>
        <v>0</v>
      </c>
      <c r="AW691">
        <f>IF(AND(AQ691=1,ISNUMBER(AT691)),$AT691,1)</f>
        <v>0</v>
      </c>
      <c r="AX691">
        <f>IF(AND(AR691=1,ISNUMBER(AT691)),$AT691,1)</f>
        <v>0</v>
      </c>
      <c r="AY691">
        <f>IF(ISNUMBER(Y691),INDEX(AllCollegeMoney, MATCH(N691,AllCollegeNCES,0)),0)</f>
        <v>0</v>
      </c>
      <c r="AZ691">
        <f>IF(AND(AQ691=1,ISNUMBER(AT691),AY691=1),$AT691,1)</f>
        <v>0</v>
      </c>
      <c r="BA691">
        <f>IF(AND(AR691=1,ISNUMBER(AT691),AY691=1),$AT691,1)</f>
        <v>0</v>
      </c>
      <c r="BB691">
        <f>IF(ISNUMBER(Y691),INDEX(AllCollegeILPub, MATCH(N691,AllCollegeNCES,0)),0)</f>
        <v>0</v>
      </c>
      <c r="BC691">
        <f>IF(AK691=ReachLabel,AP691,0)</f>
        <v>0</v>
      </c>
      <c r="BD691">
        <f>IF(AK691=MatchLabel,AP691,0)</f>
        <v>0</v>
      </c>
      <c r="BE691">
        <f>IF(AK691=SafetyLabel,AP691,0)</f>
        <v>0</v>
      </c>
      <c r="BF691">
        <f>IF(AK691=SecureLabel,AP691,0)</f>
        <v>0</v>
      </c>
      <c r="BG691">
        <f>IF(AK691=SureThingLabel,AP691,0)</f>
        <v>0</v>
      </c>
      <c r="BH691">
        <f>MAX(BC691:BG691)</f>
        <v>0</v>
      </c>
      <c r="BI691">
        <f>MAX(BD691:BG691)</f>
        <v>0</v>
      </c>
      <c r="BJ691">
        <f>MAX(BE691:BG691)</f>
        <v>0</v>
      </c>
      <c r="BK691">
        <f>IF(AND(AK691=ReachLabel,AY691=1),AP691,0)</f>
        <v>0</v>
      </c>
      <c r="BL691">
        <f>IF(AND(AK691=MatchLabel,AY691=1),AP691,0)</f>
        <v>0</v>
      </c>
      <c r="BM691">
        <f>IF(AND(AK691=SafetyLabel,AY691=1),AP691,0)</f>
        <v>0</v>
      </c>
      <c r="BN691">
        <f>IF(AND(AK691=SecureLabel,AY691=1),AP691,0)</f>
        <v>0</v>
      </c>
      <c r="BO691">
        <f>IF(AND(AK691=SureThingLabel,AY691=1),AP691,0)</f>
        <v>0</v>
      </c>
      <c r="BP691">
        <f>MAX(BK691:BO691)</f>
        <v>0</v>
      </c>
      <c r="BQ691">
        <f>MAX(BL691:BO691)</f>
        <v>0</v>
      </c>
      <c r="BR691">
        <f>MAX(BM691:BO691)</f>
        <v>0</v>
      </c>
      <c r="BS691">
        <f>IF(ISNUMBER(Y691),INDEX(AllCollegeChicago, MATCH(N691,AllCollegeNCES,0))*AY691,0)</f>
        <v>0</v>
      </c>
      <c r="BT691">
        <f>IF(ISNUMBER(Y691),INDEX(AllCollegeMoneyCode, MATCH(N691,AllCollegeNCES,0)),"?")</f>
        <v>0</v>
      </c>
      <c r="BU691">
        <f>IF(OR(BT691="---",BT691="--",BT691="+/--",BT691="+/---"),1,0)</f>
        <v>0</v>
      </c>
      <c r="BV691">
        <f>AY691*AO691*AQ691</f>
        <v>0</v>
      </c>
    </row>
    <row r="692" spans="1:74">
      <c r="A692" t="s">
        <v>86</v>
      </c>
      <c r="B692">
        <v>30051791</v>
      </c>
      <c r="C692" t="s">
        <v>157</v>
      </c>
      <c r="D692" t="s">
        <v>158</v>
      </c>
      <c r="E692" t="s">
        <v>428</v>
      </c>
      <c r="F692" t="s">
        <v>469</v>
      </c>
      <c r="G692" t="s">
        <v>430</v>
      </c>
      <c r="H692" t="s">
        <v>431</v>
      </c>
      <c r="I692" t="s">
        <v>432</v>
      </c>
      <c r="J692" t="s">
        <v>432</v>
      </c>
      <c r="K692">
        <v>0</v>
      </c>
      <c r="L692" t="s">
        <v>428</v>
      </c>
      <c r="M692" t="s">
        <v>428</v>
      </c>
      <c r="N692">
        <v>174844</v>
      </c>
      <c r="O692">
        <f>INDEX(AllCollegeBarrons,MATCH(N692,AllCollegeNCES,0))</f>
        <v>0</v>
      </c>
      <c r="P692">
        <f>INDEX(KidGPAs,MATCH(B692,KidIDs,0))</f>
        <v>0</v>
      </c>
      <c r="Q692">
        <f>INDEX(KidACTs,MATCH(B692,KidIDs,0))</f>
        <v>0</v>
      </c>
      <c r="R692">
        <f>INDEX(Strats,MATCH(B692,KidIDs,0))</f>
        <v>0</v>
      </c>
      <c r="S692">
        <f>INDEX(KidRace,MATCH(B692,KidIDs,0))</f>
        <v>0</v>
      </c>
      <c r="T692">
        <f>IF(OR(S692="M",S692="I"),"H",S692)</f>
        <v>0</v>
      </c>
      <c r="U692">
        <f>INDEX(StudentTargets,MATCH(B692,KidIDs,0))</f>
        <v>0</v>
      </c>
      <c r="V692">
        <f>INDEX(ReachStudentTargets,MATCH(B692,KidIDs,0))</f>
        <v>0</v>
      </c>
      <c r="W692">
        <f>IF(OR(M692="Posse"),1,0)</f>
        <v>0</v>
      </c>
      <c r="X692">
        <f>IF(ISNUMBER(INDEX(AllCollegeGR, MATCH(N692,AllCollegeNCES,0))),ROUND(INDEX(AllCollegeGR, MATCH(N692,AllCollegeNCES,0))+W692*IF(INDEX(AllCollegeGR, MATCH(N692,AllCollegeNCES,0))&gt;0.7,(1-INDEX(AllCollegeGR, MATCH(N692,AllCollegeNCES,0)))/2,0.15),2),INDEX(AllCollegeGR, MATCH(N692,AllCollegeNCES,0)))</f>
        <v>0</v>
      </c>
      <c r="Y692">
        <f>IF(ISNUMBER(INDEX(AllCollegeAAHGR, MATCH(N692,AllCollegeNCES,0))),ROUND(INDEX(AllCollegeAAHGR, MATCH(N692,AllCollegeNCES,0))+W692*IF(INDEX(AllCollegeAAHGR, MATCH(N692,AllCollegeNCES,0))&gt;0.7,(1-INDEX(AllCollegeAAHGR, MATCH(N692,AllCollegeNCES,0)))/2,0.15),2),INDEX(AllCollegeAAHGR, MATCH(N692,AllCollegeNCES,0)))</f>
        <v>0</v>
      </c>
      <c r="Z692">
        <f>IF(OR(T692="H",T692="B"),INDEX(AllCollegeACT25, MATCH(N692,AllCollegeNCES,0)),INDEX(AllCollegeACT50, MATCH(N692,AllCollegeNCES,0)))</f>
        <v>0</v>
      </c>
      <c r="AA692">
        <f>INDEX(CustomWeightsGPA,MATCH(T692&amp;":"&amp;N692,CustomWeightsIndex,0))</f>
        <v>0</v>
      </c>
      <c r="AB692">
        <f>INDEX(CustomWeightsACT,MATCH(T692&amp;":"&amp;N692,CustomWeightsIndex,0))</f>
        <v>0</v>
      </c>
      <c r="AC692">
        <f>INDEX(CustomWeightsIntercept,MATCH(T692&amp;":"&amp;N692,CustomWeightsIndex,0))</f>
        <v>0</v>
      </c>
      <c r="AD692">
        <f>AA692*P692+AB692*Q692+AC692</f>
        <v>0</v>
      </c>
      <c r="AE692">
        <f>INDEX(CoefficientsGPA,MATCH(T692&amp;":"&amp;O692,CoefficientsIndex,0))</f>
        <v>0</v>
      </c>
      <c r="AF692">
        <f>INDEX(CoefficientsACT,MATCH(T692&amp;":"&amp;O692,CoefficientsIndex,0))</f>
        <v>0</v>
      </c>
      <c r="AG692">
        <f>INDEX(CoefficientsIntercept,MATCH(T692&amp;":"&amp;O692,CoefficientsIndex,0))</f>
        <v>0</v>
      </c>
      <c r="AH692">
        <f>AE692*P692+(Q692-Z692)*AF692+AG692</f>
        <v>0</v>
      </c>
      <c r="AI692">
        <f>IF(ISNUMBER(AD692),AD692,AH692)</f>
        <v>0</v>
      </c>
      <c r="AJ692">
        <f>IF(ISNUMBER(AI692),IF(ISNUMBER(AE692),IF(AND(AE692=1,AF692=1,AG692=1),100,ROUND(100*EXP(AI692)/(1+EXP(AI692)),2)),ROUND(100*EXP(AI692)/(1+EXP(AI692)),2)),IF(ISTEXT(O692),IF(LEFT(O692,1)="2",100,"N/A"),"N/A"))</f>
        <v>0</v>
      </c>
      <c r="AK692">
        <f>IF(ISNUMBER(AJ692),IF(AJ692&gt;=99,IF(OR(R692=10,R692=11),MatchLabel,SureThingLabel),IF(AJ692&gt;=95,SecureLabel,IF(AJ692&gt;=80,SafetyLabel,IF(AJ692&gt;=50,MatchLabel,IF(AJ692&gt;=20,ReachLabel,IF(AJ692&gt;=10,LongshotLabel,HailMaryLabel)))))),"Other")</f>
        <v>0</v>
      </c>
      <c r="AL692">
        <f>IF(OR(I692="accepted",I692="cond. accept",I692="summer admit"),IF(J692="yes","CHOICE!","Accepted!"),IF(I692="denied","Denied",IF(K692=1,"Waitlist",IF(L692=1,"Deferred",IF(G692="pending","Pending",IF(OR(G692="initial materials submitted",G692="mid-year submitted",G692="final submitted"),"Submitted",IF(H692="interest","Interest","?")))))))</f>
        <v>0</v>
      </c>
      <c r="AM692">
        <f>IF(OR(AK692=ReachLabel,AK692=LongshotLabel,AK692=HailMaryLabel),1,0)</f>
        <v>0</v>
      </c>
      <c r="AN692">
        <f>IF(OR(AM692=1,AK692=MatchLabel),1,0)</f>
        <v>0</v>
      </c>
      <c r="AO692">
        <f>IF(OR(AK692=MatchLabel,AK692=SafetyLabel,AK692=SecureLabel,AK692=SureThingLabel),1,0)</f>
        <v>0</v>
      </c>
      <c r="AP692">
        <f>IF(OR(T692="H",T692="B"),IF(ISNUMBER(Y692),ROUND(Y692,2),0),IF(ISNUMBER(X692),ROUND(X692,2),0))</f>
        <v>0</v>
      </c>
      <c r="AQ692">
        <f>IF(AP692&gt;=U692,1,0)</f>
        <v>0</v>
      </c>
      <c r="AR692">
        <f>IF(AP692&gt;=V692,1,0)</f>
        <v>0</v>
      </c>
      <c r="AS692">
        <f>IF(AP692&lt;(U692-0.10),1,0)</f>
        <v>0</v>
      </c>
      <c r="AT692">
        <f>1-AJ692/100</f>
        <v>0</v>
      </c>
      <c r="AU692">
        <f>IF(AN692=1,AT692,1)</f>
        <v>0</v>
      </c>
      <c r="AV692">
        <f>IF(AM692=1,AT692,1)</f>
        <v>0</v>
      </c>
      <c r="AW692">
        <f>IF(AND(AQ692=1,ISNUMBER(AT692)),$AT692,1)</f>
        <v>0</v>
      </c>
      <c r="AX692">
        <f>IF(AND(AR692=1,ISNUMBER(AT692)),$AT692,1)</f>
        <v>0</v>
      </c>
      <c r="AY692">
        <f>IF(ISNUMBER(Y692),INDEX(AllCollegeMoney, MATCH(N692,AllCollegeNCES,0)),0)</f>
        <v>0</v>
      </c>
      <c r="AZ692">
        <f>IF(AND(AQ692=1,ISNUMBER(AT692),AY692=1),$AT692,1)</f>
        <v>0</v>
      </c>
      <c r="BA692">
        <f>IF(AND(AR692=1,ISNUMBER(AT692),AY692=1),$AT692,1)</f>
        <v>0</v>
      </c>
      <c r="BB692">
        <f>IF(ISNUMBER(Y692),INDEX(AllCollegeILPub, MATCH(N692,AllCollegeNCES,0)),0)</f>
        <v>0</v>
      </c>
      <c r="BC692">
        <f>IF(AK692=ReachLabel,AP692,0)</f>
        <v>0</v>
      </c>
      <c r="BD692">
        <f>IF(AK692=MatchLabel,AP692,0)</f>
        <v>0</v>
      </c>
      <c r="BE692">
        <f>IF(AK692=SafetyLabel,AP692,0)</f>
        <v>0</v>
      </c>
      <c r="BF692">
        <f>IF(AK692=SecureLabel,AP692,0)</f>
        <v>0</v>
      </c>
      <c r="BG692">
        <f>IF(AK692=SureThingLabel,AP692,0)</f>
        <v>0</v>
      </c>
      <c r="BH692">
        <f>MAX(BC692:BG692)</f>
        <v>0</v>
      </c>
      <c r="BI692">
        <f>MAX(BD692:BG692)</f>
        <v>0</v>
      </c>
      <c r="BJ692">
        <f>MAX(BE692:BG692)</f>
        <v>0</v>
      </c>
      <c r="BK692">
        <f>IF(AND(AK692=ReachLabel,AY692=1),AP692,0)</f>
        <v>0</v>
      </c>
      <c r="BL692">
        <f>IF(AND(AK692=MatchLabel,AY692=1),AP692,0)</f>
        <v>0</v>
      </c>
      <c r="BM692">
        <f>IF(AND(AK692=SafetyLabel,AY692=1),AP692,0)</f>
        <v>0</v>
      </c>
      <c r="BN692">
        <f>IF(AND(AK692=SecureLabel,AY692=1),AP692,0)</f>
        <v>0</v>
      </c>
      <c r="BO692">
        <f>IF(AND(AK692=SureThingLabel,AY692=1),AP692,0)</f>
        <v>0</v>
      </c>
      <c r="BP692">
        <f>MAX(BK692:BO692)</f>
        <v>0</v>
      </c>
      <c r="BQ692">
        <f>MAX(BL692:BO692)</f>
        <v>0</v>
      </c>
      <c r="BR692">
        <f>MAX(BM692:BO692)</f>
        <v>0</v>
      </c>
      <c r="BS692">
        <f>IF(ISNUMBER(Y692),INDEX(AllCollegeChicago, MATCH(N692,AllCollegeNCES,0))*AY692,0)</f>
        <v>0</v>
      </c>
      <c r="BT692">
        <f>IF(ISNUMBER(Y692),INDEX(AllCollegeMoneyCode, MATCH(N692,AllCollegeNCES,0)),"?")</f>
        <v>0</v>
      </c>
      <c r="BU692">
        <f>IF(OR(BT692="---",BT692="--",BT692="+/--",BT692="+/---"),1,0)</f>
        <v>0</v>
      </c>
      <c r="BV692">
        <f>AY692*AO692*AQ692</f>
        <v>0</v>
      </c>
    </row>
    <row r="693" spans="1:74">
      <c r="A693" t="s">
        <v>86</v>
      </c>
      <c r="B693">
        <v>30051791</v>
      </c>
      <c r="C693" t="s">
        <v>157</v>
      </c>
      <c r="D693" t="s">
        <v>158</v>
      </c>
      <c r="E693" t="s">
        <v>428</v>
      </c>
      <c r="F693" t="s">
        <v>457</v>
      </c>
      <c r="G693" t="s">
        <v>430</v>
      </c>
      <c r="H693" t="s">
        <v>431</v>
      </c>
      <c r="I693" t="s">
        <v>432</v>
      </c>
      <c r="J693" t="s">
        <v>432</v>
      </c>
      <c r="K693">
        <v>0</v>
      </c>
      <c r="L693" t="s">
        <v>428</v>
      </c>
      <c r="M693" t="s">
        <v>428</v>
      </c>
      <c r="N693">
        <v>145637</v>
      </c>
      <c r="O693">
        <f>INDEX(AllCollegeBarrons,MATCH(N693,AllCollegeNCES,0))</f>
        <v>0</v>
      </c>
      <c r="P693">
        <f>INDEX(KidGPAs,MATCH(B693,KidIDs,0))</f>
        <v>0</v>
      </c>
      <c r="Q693">
        <f>INDEX(KidACTs,MATCH(B693,KidIDs,0))</f>
        <v>0</v>
      </c>
      <c r="R693">
        <f>INDEX(Strats,MATCH(B693,KidIDs,0))</f>
        <v>0</v>
      </c>
      <c r="S693">
        <f>INDEX(KidRace,MATCH(B693,KidIDs,0))</f>
        <v>0</v>
      </c>
      <c r="T693">
        <f>IF(OR(S693="M",S693="I"),"H",S693)</f>
        <v>0</v>
      </c>
      <c r="U693">
        <f>INDEX(StudentTargets,MATCH(B693,KidIDs,0))</f>
        <v>0</v>
      </c>
      <c r="V693">
        <f>INDEX(ReachStudentTargets,MATCH(B693,KidIDs,0))</f>
        <v>0</v>
      </c>
      <c r="W693">
        <f>IF(OR(M693="Posse"),1,0)</f>
        <v>0</v>
      </c>
      <c r="X693">
        <f>IF(ISNUMBER(INDEX(AllCollegeGR, MATCH(N693,AllCollegeNCES,0))),ROUND(INDEX(AllCollegeGR, MATCH(N693,AllCollegeNCES,0))+W693*IF(INDEX(AllCollegeGR, MATCH(N693,AllCollegeNCES,0))&gt;0.7,(1-INDEX(AllCollegeGR, MATCH(N693,AllCollegeNCES,0)))/2,0.15),2),INDEX(AllCollegeGR, MATCH(N693,AllCollegeNCES,0)))</f>
        <v>0</v>
      </c>
      <c r="Y693">
        <f>IF(ISNUMBER(INDEX(AllCollegeAAHGR, MATCH(N693,AllCollegeNCES,0))),ROUND(INDEX(AllCollegeAAHGR, MATCH(N693,AllCollegeNCES,0))+W693*IF(INDEX(AllCollegeAAHGR, MATCH(N693,AllCollegeNCES,0))&gt;0.7,(1-INDEX(AllCollegeAAHGR, MATCH(N693,AllCollegeNCES,0)))/2,0.15),2),INDEX(AllCollegeAAHGR, MATCH(N693,AllCollegeNCES,0)))</f>
        <v>0</v>
      </c>
      <c r="Z693">
        <f>IF(OR(T693="H",T693="B"),INDEX(AllCollegeACT25, MATCH(N693,AllCollegeNCES,0)),INDEX(AllCollegeACT50, MATCH(N693,AllCollegeNCES,0)))</f>
        <v>0</v>
      </c>
      <c r="AA693">
        <f>INDEX(CustomWeightsGPA,MATCH(T693&amp;":"&amp;N693,CustomWeightsIndex,0))</f>
        <v>0</v>
      </c>
      <c r="AB693">
        <f>INDEX(CustomWeightsACT,MATCH(T693&amp;":"&amp;N693,CustomWeightsIndex,0))</f>
        <v>0</v>
      </c>
      <c r="AC693">
        <f>INDEX(CustomWeightsIntercept,MATCH(T693&amp;":"&amp;N693,CustomWeightsIndex,0))</f>
        <v>0</v>
      </c>
      <c r="AD693">
        <f>AA693*P693+AB693*Q693+AC693</f>
        <v>0</v>
      </c>
      <c r="AE693">
        <f>INDEX(CoefficientsGPA,MATCH(T693&amp;":"&amp;O693,CoefficientsIndex,0))</f>
        <v>0</v>
      </c>
      <c r="AF693">
        <f>INDEX(CoefficientsACT,MATCH(T693&amp;":"&amp;O693,CoefficientsIndex,0))</f>
        <v>0</v>
      </c>
      <c r="AG693">
        <f>INDEX(CoefficientsIntercept,MATCH(T693&amp;":"&amp;O693,CoefficientsIndex,0))</f>
        <v>0</v>
      </c>
      <c r="AH693">
        <f>AE693*P693+(Q693-Z693)*AF693+AG693</f>
        <v>0</v>
      </c>
      <c r="AI693">
        <f>IF(ISNUMBER(AD693),AD693,AH693)</f>
        <v>0</v>
      </c>
      <c r="AJ693">
        <f>IF(ISNUMBER(AI693),IF(ISNUMBER(AE693),IF(AND(AE693=1,AF693=1,AG693=1),100,ROUND(100*EXP(AI693)/(1+EXP(AI693)),2)),ROUND(100*EXP(AI693)/(1+EXP(AI693)),2)),IF(ISTEXT(O693),IF(LEFT(O693,1)="2",100,"N/A"),"N/A"))</f>
        <v>0</v>
      </c>
      <c r="AK693">
        <f>IF(ISNUMBER(AJ693),IF(AJ693&gt;=99,IF(OR(R693=10,R693=11),MatchLabel,SureThingLabel),IF(AJ693&gt;=95,SecureLabel,IF(AJ693&gt;=80,SafetyLabel,IF(AJ693&gt;=50,MatchLabel,IF(AJ693&gt;=20,ReachLabel,IF(AJ693&gt;=10,LongshotLabel,HailMaryLabel)))))),"Other")</f>
        <v>0</v>
      </c>
      <c r="AL693">
        <f>IF(OR(I693="accepted",I693="cond. accept",I693="summer admit"),IF(J693="yes","CHOICE!","Accepted!"),IF(I693="denied","Denied",IF(K693=1,"Waitlist",IF(L693=1,"Deferred",IF(G693="pending","Pending",IF(OR(G693="initial materials submitted",G693="mid-year submitted",G693="final submitted"),"Submitted",IF(H693="interest","Interest","?")))))))</f>
        <v>0</v>
      </c>
      <c r="AM693">
        <f>IF(OR(AK693=ReachLabel,AK693=LongshotLabel,AK693=HailMaryLabel),1,0)</f>
        <v>0</v>
      </c>
      <c r="AN693">
        <f>IF(OR(AM693=1,AK693=MatchLabel),1,0)</f>
        <v>0</v>
      </c>
      <c r="AO693">
        <f>IF(OR(AK693=MatchLabel,AK693=SafetyLabel,AK693=SecureLabel,AK693=SureThingLabel),1,0)</f>
        <v>0</v>
      </c>
      <c r="AP693">
        <f>IF(OR(T693="H",T693="B"),IF(ISNUMBER(Y693),ROUND(Y693,2),0),IF(ISNUMBER(X693),ROUND(X693,2),0))</f>
        <v>0</v>
      </c>
      <c r="AQ693">
        <f>IF(AP693&gt;=U693,1,0)</f>
        <v>0</v>
      </c>
      <c r="AR693">
        <f>IF(AP693&gt;=V693,1,0)</f>
        <v>0</v>
      </c>
      <c r="AS693">
        <f>IF(AP693&lt;(U693-0.10),1,0)</f>
        <v>0</v>
      </c>
      <c r="AT693">
        <f>1-AJ693/100</f>
        <v>0</v>
      </c>
      <c r="AU693">
        <f>IF(AN693=1,AT693,1)</f>
        <v>0</v>
      </c>
      <c r="AV693">
        <f>IF(AM693=1,AT693,1)</f>
        <v>0</v>
      </c>
      <c r="AW693">
        <f>IF(AND(AQ693=1,ISNUMBER(AT693)),$AT693,1)</f>
        <v>0</v>
      </c>
      <c r="AX693">
        <f>IF(AND(AR693=1,ISNUMBER(AT693)),$AT693,1)</f>
        <v>0</v>
      </c>
      <c r="AY693">
        <f>IF(ISNUMBER(Y693),INDEX(AllCollegeMoney, MATCH(N693,AllCollegeNCES,0)),0)</f>
        <v>0</v>
      </c>
      <c r="AZ693">
        <f>IF(AND(AQ693=1,ISNUMBER(AT693),AY693=1),$AT693,1)</f>
        <v>0</v>
      </c>
      <c r="BA693">
        <f>IF(AND(AR693=1,ISNUMBER(AT693),AY693=1),$AT693,1)</f>
        <v>0</v>
      </c>
      <c r="BB693">
        <f>IF(ISNUMBER(Y693),INDEX(AllCollegeILPub, MATCH(N693,AllCollegeNCES,0)),0)</f>
        <v>0</v>
      </c>
      <c r="BC693">
        <f>IF(AK693=ReachLabel,AP693,0)</f>
        <v>0</v>
      </c>
      <c r="BD693">
        <f>IF(AK693=MatchLabel,AP693,0)</f>
        <v>0</v>
      </c>
      <c r="BE693">
        <f>IF(AK693=SafetyLabel,AP693,0)</f>
        <v>0</v>
      </c>
      <c r="BF693">
        <f>IF(AK693=SecureLabel,AP693,0)</f>
        <v>0</v>
      </c>
      <c r="BG693">
        <f>IF(AK693=SureThingLabel,AP693,0)</f>
        <v>0</v>
      </c>
      <c r="BH693">
        <f>MAX(BC693:BG693)</f>
        <v>0</v>
      </c>
      <c r="BI693">
        <f>MAX(BD693:BG693)</f>
        <v>0</v>
      </c>
      <c r="BJ693">
        <f>MAX(BE693:BG693)</f>
        <v>0</v>
      </c>
      <c r="BK693">
        <f>IF(AND(AK693=ReachLabel,AY693=1),AP693,0)</f>
        <v>0</v>
      </c>
      <c r="BL693">
        <f>IF(AND(AK693=MatchLabel,AY693=1),AP693,0)</f>
        <v>0</v>
      </c>
      <c r="BM693">
        <f>IF(AND(AK693=SafetyLabel,AY693=1),AP693,0)</f>
        <v>0</v>
      </c>
      <c r="BN693">
        <f>IF(AND(AK693=SecureLabel,AY693=1),AP693,0)</f>
        <v>0</v>
      </c>
      <c r="BO693">
        <f>IF(AND(AK693=SureThingLabel,AY693=1),AP693,0)</f>
        <v>0</v>
      </c>
      <c r="BP693">
        <f>MAX(BK693:BO693)</f>
        <v>0</v>
      </c>
      <c r="BQ693">
        <f>MAX(BL693:BO693)</f>
        <v>0</v>
      </c>
      <c r="BR693">
        <f>MAX(BM693:BO693)</f>
        <v>0</v>
      </c>
      <c r="BS693">
        <f>IF(ISNUMBER(Y693),INDEX(AllCollegeChicago, MATCH(N693,AllCollegeNCES,0))*AY693,0)</f>
        <v>0</v>
      </c>
      <c r="BT693">
        <f>IF(ISNUMBER(Y693),INDEX(AllCollegeMoneyCode, MATCH(N693,AllCollegeNCES,0)),"?")</f>
        <v>0</v>
      </c>
      <c r="BU693">
        <f>IF(OR(BT693="---",BT693="--",BT693="+/--",BT693="+/---"),1,0)</f>
        <v>0</v>
      </c>
      <c r="BV693">
        <f>AY693*AO693*AQ693</f>
        <v>0</v>
      </c>
    </row>
    <row r="694" spans="1:74">
      <c r="A694" t="s">
        <v>86</v>
      </c>
      <c r="B694">
        <v>30051791</v>
      </c>
      <c r="C694" t="s">
        <v>157</v>
      </c>
      <c r="D694" t="s">
        <v>158</v>
      </c>
      <c r="E694" t="s">
        <v>428</v>
      </c>
      <c r="F694" t="s">
        <v>458</v>
      </c>
      <c r="G694" t="s">
        <v>430</v>
      </c>
      <c r="H694" t="s">
        <v>431</v>
      </c>
      <c r="I694" t="s">
        <v>432</v>
      </c>
      <c r="J694" t="s">
        <v>432</v>
      </c>
      <c r="K694">
        <v>0</v>
      </c>
      <c r="L694" t="s">
        <v>428</v>
      </c>
      <c r="M694" t="s">
        <v>428</v>
      </c>
      <c r="N694">
        <v>202523</v>
      </c>
      <c r="O694">
        <f>INDEX(AllCollegeBarrons,MATCH(N694,AllCollegeNCES,0))</f>
        <v>0</v>
      </c>
      <c r="P694">
        <f>INDEX(KidGPAs,MATCH(B694,KidIDs,0))</f>
        <v>0</v>
      </c>
      <c r="Q694">
        <f>INDEX(KidACTs,MATCH(B694,KidIDs,0))</f>
        <v>0</v>
      </c>
      <c r="R694">
        <f>INDEX(Strats,MATCH(B694,KidIDs,0))</f>
        <v>0</v>
      </c>
      <c r="S694">
        <f>INDEX(KidRace,MATCH(B694,KidIDs,0))</f>
        <v>0</v>
      </c>
      <c r="T694">
        <f>IF(OR(S694="M",S694="I"),"H",S694)</f>
        <v>0</v>
      </c>
      <c r="U694">
        <f>INDEX(StudentTargets,MATCH(B694,KidIDs,0))</f>
        <v>0</v>
      </c>
      <c r="V694">
        <f>INDEX(ReachStudentTargets,MATCH(B694,KidIDs,0))</f>
        <v>0</v>
      </c>
      <c r="W694">
        <f>IF(OR(M694="Posse"),1,0)</f>
        <v>0</v>
      </c>
      <c r="X694">
        <f>IF(ISNUMBER(INDEX(AllCollegeGR, MATCH(N694,AllCollegeNCES,0))),ROUND(INDEX(AllCollegeGR, MATCH(N694,AllCollegeNCES,0))+W694*IF(INDEX(AllCollegeGR, MATCH(N694,AllCollegeNCES,0))&gt;0.7,(1-INDEX(AllCollegeGR, MATCH(N694,AllCollegeNCES,0)))/2,0.15),2),INDEX(AllCollegeGR, MATCH(N694,AllCollegeNCES,0)))</f>
        <v>0</v>
      </c>
      <c r="Y694">
        <f>IF(ISNUMBER(INDEX(AllCollegeAAHGR, MATCH(N694,AllCollegeNCES,0))),ROUND(INDEX(AllCollegeAAHGR, MATCH(N694,AllCollegeNCES,0))+W694*IF(INDEX(AllCollegeAAHGR, MATCH(N694,AllCollegeNCES,0))&gt;0.7,(1-INDEX(AllCollegeAAHGR, MATCH(N694,AllCollegeNCES,0)))/2,0.15),2),INDEX(AllCollegeAAHGR, MATCH(N694,AllCollegeNCES,0)))</f>
        <v>0</v>
      </c>
      <c r="Z694">
        <f>IF(OR(T694="H",T694="B"),INDEX(AllCollegeACT25, MATCH(N694,AllCollegeNCES,0)),INDEX(AllCollegeACT50, MATCH(N694,AllCollegeNCES,0)))</f>
        <v>0</v>
      </c>
      <c r="AA694">
        <f>INDEX(CustomWeightsGPA,MATCH(T694&amp;":"&amp;N694,CustomWeightsIndex,0))</f>
        <v>0</v>
      </c>
      <c r="AB694">
        <f>INDEX(CustomWeightsACT,MATCH(T694&amp;":"&amp;N694,CustomWeightsIndex,0))</f>
        <v>0</v>
      </c>
      <c r="AC694">
        <f>INDEX(CustomWeightsIntercept,MATCH(T694&amp;":"&amp;N694,CustomWeightsIndex,0))</f>
        <v>0</v>
      </c>
      <c r="AD694">
        <f>AA694*P694+AB694*Q694+AC694</f>
        <v>0</v>
      </c>
      <c r="AE694">
        <f>INDEX(CoefficientsGPA,MATCH(T694&amp;":"&amp;O694,CoefficientsIndex,0))</f>
        <v>0</v>
      </c>
      <c r="AF694">
        <f>INDEX(CoefficientsACT,MATCH(T694&amp;":"&amp;O694,CoefficientsIndex,0))</f>
        <v>0</v>
      </c>
      <c r="AG694">
        <f>INDEX(CoefficientsIntercept,MATCH(T694&amp;":"&amp;O694,CoefficientsIndex,0))</f>
        <v>0</v>
      </c>
      <c r="AH694">
        <f>AE694*P694+(Q694-Z694)*AF694+AG694</f>
        <v>0</v>
      </c>
      <c r="AI694">
        <f>IF(ISNUMBER(AD694),AD694,AH694)</f>
        <v>0</v>
      </c>
      <c r="AJ694">
        <f>IF(ISNUMBER(AI694),IF(ISNUMBER(AE694),IF(AND(AE694=1,AF694=1,AG694=1),100,ROUND(100*EXP(AI694)/(1+EXP(AI694)),2)),ROUND(100*EXP(AI694)/(1+EXP(AI694)),2)),IF(ISTEXT(O694),IF(LEFT(O694,1)="2",100,"N/A"),"N/A"))</f>
        <v>0</v>
      </c>
      <c r="AK694">
        <f>IF(ISNUMBER(AJ694),IF(AJ694&gt;=99,IF(OR(R694=10,R694=11),MatchLabel,SureThingLabel),IF(AJ694&gt;=95,SecureLabel,IF(AJ694&gt;=80,SafetyLabel,IF(AJ694&gt;=50,MatchLabel,IF(AJ694&gt;=20,ReachLabel,IF(AJ694&gt;=10,LongshotLabel,HailMaryLabel)))))),"Other")</f>
        <v>0</v>
      </c>
      <c r="AL694">
        <f>IF(OR(I694="accepted",I694="cond. accept",I694="summer admit"),IF(J694="yes","CHOICE!","Accepted!"),IF(I694="denied","Denied",IF(K694=1,"Waitlist",IF(L694=1,"Deferred",IF(G694="pending","Pending",IF(OR(G694="initial materials submitted",G694="mid-year submitted",G694="final submitted"),"Submitted",IF(H694="interest","Interest","?")))))))</f>
        <v>0</v>
      </c>
      <c r="AM694">
        <f>IF(OR(AK694=ReachLabel,AK694=LongshotLabel,AK694=HailMaryLabel),1,0)</f>
        <v>0</v>
      </c>
      <c r="AN694">
        <f>IF(OR(AM694=1,AK694=MatchLabel),1,0)</f>
        <v>0</v>
      </c>
      <c r="AO694">
        <f>IF(OR(AK694=MatchLabel,AK694=SafetyLabel,AK694=SecureLabel,AK694=SureThingLabel),1,0)</f>
        <v>0</v>
      </c>
      <c r="AP694">
        <f>IF(OR(T694="H",T694="B"),IF(ISNUMBER(Y694),ROUND(Y694,2),0),IF(ISNUMBER(X694),ROUND(X694,2),0))</f>
        <v>0</v>
      </c>
      <c r="AQ694">
        <f>IF(AP694&gt;=U694,1,0)</f>
        <v>0</v>
      </c>
      <c r="AR694">
        <f>IF(AP694&gt;=V694,1,0)</f>
        <v>0</v>
      </c>
      <c r="AS694">
        <f>IF(AP694&lt;(U694-0.10),1,0)</f>
        <v>0</v>
      </c>
      <c r="AT694">
        <f>1-AJ694/100</f>
        <v>0</v>
      </c>
      <c r="AU694">
        <f>IF(AN694=1,AT694,1)</f>
        <v>0</v>
      </c>
      <c r="AV694">
        <f>IF(AM694=1,AT694,1)</f>
        <v>0</v>
      </c>
      <c r="AW694">
        <f>IF(AND(AQ694=1,ISNUMBER(AT694)),$AT694,1)</f>
        <v>0</v>
      </c>
      <c r="AX694">
        <f>IF(AND(AR694=1,ISNUMBER(AT694)),$AT694,1)</f>
        <v>0</v>
      </c>
      <c r="AY694">
        <f>IF(ISNUMBER(Y694),INDEX(AllCollegeMoney, MATCH(N694,AllCollegeNCES,0)),0)</f>
        <v>0</v>
      </c>
      <c r="AZ694">
        <f>IF(AND(AQ694=1,ISNUMBER(AT694),AY694=1),$AT694,1)</f>
        <v>0</v>
      </c>
      <c r="BA694">
        <f>IF(AND(AR694=1,ISNUMBER(AT694),AY694=1),$AT694,1)</f>
        <v>0</v>
      </c>
      <c r="BB694">
        <f>IF(ISNUMBER(Y694),INDEX(AllCollegeILPub, MATCH(N694,AllCollegeNCES,0)),0)</f>
        <v>0</v>
      </c>
      <c r="BC694">
        <f>IF(AK694=ReachLabel,AP694,0)</f>
        <v>0</v>
      </c>
      <c r="BD694">
        <f>IF(AK694=MatchLabel,AP694,0)</f>
        <v>0</v>
      </c>
      <c r="BE694">
        <f>IF(AK694=SafetyLabel,AP694,0)</f>
        <v>0</v>
      </c>
      <c r="BF694">
        <f>IF(AK694=SecureLabel,AP694,0)</f>
        <v>0</v>
      </c>
      <c r="BG694">
        <f>IF(AK694=SureThingLabel,AP694,0)</f>
        <v>0</v>
      </c>
      <c r="BH694">
        <f>MAX(BC694:BG694)</f>
        <v>0</v>
      </c>
      <c r="BI694">
        <f>MAX(BD694:BG694)</f>
        <v>0</v>
      </c>
      <c r="BJ694">
        <f>MAX(BE694:BG694)</f>
        <v>0</v>
      </c>
      <c r="BK694">
        <f>IF(AND(AK694=ReachLabel,AY694=1),AP694,0)</f>
        <v>0</v>
      </c>
      <c r="BL694">
        <f>IF(AND(AK694=MatchLabel,AY694=1),AP694,0)</f>
        <v>0</v>
      </c>
      <c r="BM694">
        <f>IF(AND(AK694=SafetyLabel,AY694=1),AP694,0)</f>
        <v>0</v>
      </c>
      <c r="BN694">
        <f>IF(AND(AK694=SecureLabel,AY694=1),AP694,0)</f>
        <v>0</v>
      </c>
      <c r="BO694">
        <f>IF(AND(AK694=SureThingLabel,AY694=1),AP694,0)</f>
        <v>0</v>
      </c>
      <c r="BP694">
        <f>MAX(BK694:BO694)</f>
        <v>0</v>
      </c>
      <c r="BQ694">
        <f>MAX(BL694:BO694)</f>
        <v>0</v>
      </c>
      <c r="BR694">
        <f>MAX(BM694:BO694)</f>
        <v>0</v>
      </c>
      <c r="BS694">
        <f>IF(ISNUMBER(Y694),INDEX(AllCollegeChicago, MATCH(N694,AllCollegeNCES,0))*AY694,0)</f>
        <v>0</v>
      </c>
      <c r="BT694">
        <f>IF(ISNUMBER(Y694),INDEX(AllCollegeMoneyCode, MATCH(N694,AllCollegeNCES,0)),"?")</f>
        <v>0</v>
      </c>
      <c r="BU694">
        <f>IF(OR(BT694="---",BT694="--",BT694="+/--",BT694="+/---"),1,0)</f>
        <v>0</v>
      </c>
      <c r="BV694">
        <f>AY694*AO694*AQ694</f>
        <v>0</v>
      </c>
    </row>
    <row r="695" spans="1:74">
      <c r="A695" t="s">
        <v>86</v>
      </c>
      <c r="B695">
        <v>30051791</v>
      </c>
      <c r="C695" t="s">
        <v>157</v>
      </c>
      <c r="D695" t="s">
        <v>158</v>
      </c>
      <c r="E695" t="s">
        <v>428</v>
      </c>
      <c r="F695" t="s">
        <v>459</v>
      </c>
      <c r="G695" t="s">
        <v>430</v>
      </c>
      <c r="H695" t="s">
        <v>431</v>
      </c>
      <c r="I695" t="s">
        <v>432</v>
      </c>
      <c r="J695" t="s">
        <v>432</v>
      </c>
      <c r="K695">
        <v>0</v>
      </c>
      <c r="L695" t="s">
        <v>428</v>
      </c>
      <c r="M695" t="s">
        <v>428</v>
      </c>
      <c r="N695">
        <v>146427</v>
      </c>
      <c r="O695">
        <f>INDEX(AllCollegeBarrons,MATCH(N695,AllCollegeNCES,0))</f>
        <v>0</v>
      </c>
      <c r="P695">
        <f>INDEX(KidGPAs,MATCH(B695,KidIDs,0))</f>
        <v>0</v>
      </c>
      <c r="Q695">
        <f>INDEX(KidACTs,MATCH(B695,KidIDs,0))</f>
        <v>0</v>
      </c>
      <c r="R695">
        <f>INDEX(Strats,MATCH(B695,KidIDs,0))</f>
        <v>0</v>
      </c>
      <c r="S695">
        <f>INDEX(KidRace,MATCH(B695,KidIDs,0))</f>
        <v>0</v>
      </c>
      <c r="T695">
        <f>IF(OR(S695="M",S695="I"),"H",S695)</f>
        <v>0</v>
      </c>
      <c r="U695">
        <f>INDEX(StudentTargets,MATCH(B695,KidIDs,0))</f>
        <v>0</v>
      </c>
      <c r="V695">
        <f>INDEX(ReachStudentTargets,MATCH(B695,KidIDs,0))</f>
        <v>0</v>
      </c>
      <c r="W695">
        <f>IF(OR(M695="Posse"),1,0)</f>
        <v>0</v>
      </c>
      <c r="X695">
        <f>IF(ISNUMBER(INDEX(AllCollegeGR, MATCH(N695,AllCollegeNCES,0))),ROUND(INDEX(AllCollegeGR, MATCH(N695,AllCollegeNCES,0))+W695*IF(INDEX(AllCollegeGR, MATCH(N695,AllCollegeNCES,0))&gt;0.7,(1-INDEX(AllCollegeGR, MATCH(N695,AllCollegeNCES,0)))/2,0.15),2),INDEX(AllCollegeGR, MATCH(N695,AllCollegeNCES,0)))</f>
        <v>0</v>
      </c>
      <c r="Y695">
        <f>IF(ISNUMBER(INDEX(AllCollegeAAHGR, MATCH(N695,AllCollegeNCES,0))),ROUND(INDEX(AllCollegeAAHGR, MATCH(N695,AllCollegeNCES,0))+W695*IF(INDEX(AllCollegeAAHGR, MATCH(N695,AllCollegeNCES,0))&gt;0.7,(1-INDEX(AllCollegeAAHGR, MATCH(N695,AllCollegeNCES,0)))/2,0.15),2),INDEX(AllCollegeAAHGR, MATCH(N695,AllCollegeNCES,0)))</f>
        <v>0</v>
      </c>
      <c r="Z695">
        <f>IF(OR(T695="H",T695="B"),INDEX(AllCollegeACT25, MATCH(N695,AllCollegeNCES,0)),INDEX(AllCollegeACT50, MATCH(N695,AllCollegeNCES,0)))</f>
        <v>0</v>
      </c>
      <c r="AA695">
        <f>INDEX(CustomWeightsGPA,MATCH(T695&amp;":"&amp;N695,CustomWeightsIndex,0))</f>
        <v>0</v>
      </c>
      <c r="AB695">
        <f>INDEX(CustomWeightsACT,MATCH(T695&amp;":"&amp;N695,CustomWeightsIndex,0))</f>
        <v>0</v>
      </c>
      <c r="AC695">
        <f>INDEX(CustomWeightsIntercept,MATCH(T695&amp;":"&amp;N695,CustomWeightsIndex,0))</f>
        <v>0</v>
      </c>
      <c r="AD695">
        <f>AA695*P695+AB695*Q695+AC695</f>
        <v>0</v>
      </c>
      <c r="AE695">
        <f>INDEX(CoefficientsGPA,MATCH(T695&amp;":"&amp;O695,CoefficientsIndex,0))</f>
        <v>0</v>
      </c>
      <c r="AF695">
        <f>INDEX(CoefficientsACT,MATCH(T695&amp;":"&amp;O695,CoefficientsIndex,0))</f>
        <v>0</v>
      </c>
      <c r="AG695">
        <f>INDEX(CoefficientsIntercept,MATCH(T695&amp;":"&amp;O695,CoefficientsIndex,0))</f>
        <v>0</v>
      </c>
      <c r="AH695">
        <f>AE695*P695+(Q695-Z695)*AF695+AG695</f>
        <v>0</v>
      </c>
      <c r="AI695">
        <f>IF(ISNUMBER(AD695),AD695,AH695)</f>
        <v>0</v>
      </c>
      <c r="AJ695">
        <f>IF(ISNUMBER(AI695),IF(ISNUMBER(AE695),IF(AND(AE695=1,AF695=1,AG695=1),100,ROUND(100*EXP(AI695)/(1+EXP(AI695)),2)),ROUND(100*EXP(AI695)/(1+EXP(AI695)),2)),IF(ISTEXT(O695),IF(LEFT(O695,1)="2",100,"N/A"),"N/A"))</f>
        <v>0</v>
      </c>
      <c r="AK695">
        <f>IF(ISNUMBER(AJ695),IF(AJ695&gt;=99,IF(OR(R695=10,R695=11),MatchLabel,SureThingLabel),IF(AJ695&gt;=95,SecureLabel,IF(AJ695&gt;=80,SafetyLabel,IF(AJ695&gt;=50,MatchLabel,IF(AJ695&gt;=20,ReachLabel,IF(AJ695&gt;=10,LongshotLabel,HailMaryLabel)))))),"Other")</f>
        <v>0</v>
      </c>
      <c r="AL695">
        <f>IF(OR(I695="accepted",I695="cond. accept",I695="summer admit"),IF(J695="yes","CHOICE!","Accepted!"),IF(I695="denied","Denied",IF(K695=1,"Waitlist",IF(L695=1,"Deferred",IF(G695="pending","Pending",IF(OR(G695="initial materials submitted",G695="mid-year submitted",G695="final submitted"),"Submitted",IF(H695="interest","Interest","?")))))))</f>
        <v>0</v>
      </c>
      <c r="AM695">
        <f>IF(OR(AK695=ReachLabel,AK695=LongshotLabel,AK695=HailMaryLabel),1,0)</f>
        <v>0</v>
      </c>
      <c r="AN695">
        <f>IF(OR(AM695=1,AK695=MatchLabel),1,0)</f>
        <v>0</v>
      </c>
      <c r="AO695">
        <f>IF(OR(AK695=MatchLabel,AK695=SafetyLabel,AK695=SecureLabel,AK695=SureThingLabel),1,0)</f>
        <v>0</v>
      </c>
      <c r="AP695">
        <f>IF(OR(T695="H",T695="B"),IF(ISNUMBER(Y695),ROUND(Y695,2),0),IF(ISNUMBER(X695),ROUND(X695,2),0))</f>
        <v>0</v>
      </c>
      <c r="AQ695">
        <f>IF(AP695&gt;=U695,1,0)</f>
        <v>0</v>
      </c>
      <c r="AR695">
        <f>IF(AP695&gt;=V695,1,0)</f>
        <v>0</v>
      </c>
      <c r="AS695">
        <f>IF(AP695&lt;(U695-0.10),1,0)</f>
        <v>0</v>
      </c>
      <c r="AT695">
        <f>1-AJ695/100</f>
        <v>0</v>
      </c>
      <c r="AU695">
        <f>IF(AN695=1,AT695,1)</f>
        <v>0</v>
      </c>
      <c r="AV695">
        <f>IF(AM695=1,AT695,1)</f>
        <v>0</v>
      </c>
      <c r="AW695">
        <f>IF(AND(AQ695=1,ISNUMBER(AT695)),$AT695,1)</f>
        <v>0</v>
      </c>
      <c r="AX695">
        <f>IF(AND(AR695=1,ISNUMBER(AT695)),$AT695,1)</f>
        <v>0</v>
      </c>
      <c r="AY695">
        <f>IF(ISNUMBER(Y695),INDEX(AllCollegeMoney, MATCH(N695,AllCollegeNCES,0)),0)</f>
        <v>0</v>
      </c>
      <c r="AZ695">
        <f>IF(AND(AQ695=1,ISNUMBER(AT695),AY695=1),$AT695,1)</f>
        <v>0</v>
      </c>
      <c r="BA695">
        <f>IF(AND(AR695=1,ISNUMBER(AT695),AY695=1),$AT695,1)</f>
        <v>0</v>
      </c>
      <c r="BB695">
        <f>IF(ISNUMBER(Y695),INDEX(AllCollegeILPub, MATCH(N695,AllCollegeNCES,0)),0)</f>
        <v>0</v>
      </c>
      <c r="BC695">
        <f>IF(AK695=ReachLabel,AP695,0)</f>
        <v>0</v>
      </c>
      <c r="BD695">
        <f>IF(AK695=MatchLabel,AP695,0)</f>
        <v>0</v>
      </c>
      <c r="BE695">
        <f>IF(AK695=SafetyLabel,AP695,0)</f>
        <v>0</v>
      </c>
      <c r="BF695">
        <f>IF(AK695=SecureLabel,AP695,0)</f>
        <v>0</v>
      </c>
      <c r="BG695">
        <f>IF(AK695=SureThingLabel,AP695,0)</f>
        <v>0</v>
      </c>
      <c r="BH695">
        <f>MAX(BC695:BG695)</f>
        <v>0</v>
      </c>
      <c r="BI695">
        <f>MAX(BD695:BG695)</f>
        <v>0</v>
      </c>
      <c r="BJ695">
        <f>MAX(BE695:BG695)</f>
        <v>0</v>
      </c>
      <c r="BK695">
        <f>IF(AND(AK695=ReachLabel,AY695=1),AP695,0)</f>
        <v>0</v>
      </c>
      <c r="BL695">
        <f>IF(AND(AK695=MatchLabel,AY695=1),AP695,0)</f>
        <v>0</v>
      </c>
      <c r="BM695">
        <f>IF(AND(AK695=SafetyLabel,AY695=1),AP695,0)</f>
        <v>0</v>
      </c>
      <c r="BN695">
        <f>IF(AND(AK695=SecureLabel,AY695=1),AP695,0)</f>
        <v>0</v>
      </c>
      <c r="BO695">
        <f>IF(AND(AK695=SureThingLabel,AY695=1),AP695,0)</f>
        <v>0</v>
      </c>
      <c r="BP695">
        <f>MAX(BK695:BO695)</f>
        <v>0</v>
      </c>
      <c r="BQ695">
        <f>MAX(BL695:BO695)</f>
        <v>0</v>
      </c>
      <c r="BR695">
        <f>MAX(BM695:BO695)</f>
        <v>0</v>
      </c>
      <c r="BS695">
        <f>IF(ISNUMBER(Y695),INDEX(AllCollegeChicago, MATCH(N695,AllCollegeNCES,0))*AY695,0)</f>
        <v>0</v>
      </c>
      <c r="BT695">
        <f>IF(ISNUMBER(Y695),INDEX(AllCollegeMoneyCode, MATCH(N695,AllCollegeNCES,0)),"?")</f>
        <v>0</v>
      </c>
      <c r="BU695">
        <f>IF(OR(BT695="---",BT695="--",BT695="+/--",BT695="+/---"),1,0)</f>
        <v>0</v>
      </c>
      <c r="BV695">
        <f>AY695*AO695*AQ695</f>
        <v>0</v>
      </c>
    </row>
    <row r="696" spans="1:74">
      <c r="A696" t="s">
        <v>86</v>
      </c>
      <c r="B696">
        <v>30051791</v>
      </c>
      <c r="C696" t="s">
        <v>157</v>
      </c>
      <c r="D696" t="s">
        <v>158</v>
      </c>
      <c r="E696" t="s">
        <v>428</v>
      </c>
      <c r="F696" t="s">
        <v>471</v>
      </c>
      <c r="G696" t="s">
        <v>463</v>
      </c>
      <c r="H696" t="s">
        <v>431</v>
      </c>
      <c r="I696" t="s">
        <v>432</v>
      </c>
      <c r="J696" t="s">
        <v>432</v>
      </c>
      <c r="K696">
        <v>0</v>
      </c>
      <c r="L696" t="s">
        <v>428</v>
      </c>
      <c r="M696" t="s">
        <v>428</v>
      </c>
      <c r="N696">
        <v>170301</v>
      </c>
      <c r="O696">
        <f>INDEX(AllCollegeBarrons,MATCH(N696,AllCollegeNCES,0))</f>
        <v>0</v>
      </c>
      <c r="P696">
        <f>INDEX(KidGPAs,MATCH(B696,KidIDs,0))</f>
        <v>0</v>
      </c>
      <c r="Q696">
        <f>INDEX(KidACTs,MATCH(B696,KidIDs,0))</f>
        <v>0</v>
      </c>
      <c r="R696">
        <f>INDEX(Strats,MATCH(B696,KidIDs,0))</f>
        <v>0</v>
      </c>
      <c r="S696">
        <f>INDEX(KidRace,MATCH(B696,KidIDs,0))</f>
        <v>0</v>
      </c>
      <c r="T696">
        <f>IF(OR(S696="M",S696="I"),"H",S696)</f>
        <v>0</v>
      </c>
      <c r="U696">
        <f>INDEX(StudentTargets,MATCH(B696,KidIDs,0))</f>
        <v>0</v>
      </c>
      <c r="V696">
        <f>INDEX(ReachStudentTargets,MATCH(B696,KidIDs,0))</f>
        <v>0</v>
      </c>
      <c r="W696">
        <f>IF(OR(M696="Posse"),1,0)</f>
        <v>0</v>
      </c>
      <c r="X696">
        <f>IF(ISNUMBER(INDEX(AllCollegeGR, MATCH(N696,AllCollegeNCES,0))),ROUND(INDEX(AllCollegeGR, MATCH(N696,AllCollegeNCES,0))+W696*IF(INDEX(AllCollegeGR, MATCH(N696,AllCollegeNCES,0))&gt;0.7,(1-INDEX(AllCollegeGR, MATCH(N696,AllCollegeNCES,0)))/2,0.15),2),INDEX(AllCollegeGR, MATCH(N696,AllCollegeNCES,0)))</f>
        <v>0</v>
      </c>
      <c r="Y696">
        <f>IF(ISNUMBER(INDEX(AllCollegeAAHGR, MATCH(N696,AllCollegeNCES,0))),ROUND(INDEX(AllCollegeAAHGR, MATCH(N696,AllCollegeNCES,0))+W696*IF(INDEX(AllCollegeAAHGR, MATCH(N696,AllCollegeNCES,0))&gt;0.7,(1-INDEX(AllCollegeAAHGR, MATCH(N696,AllCollegeNCES,0)))/2,0.15),2),INDEX(AllCollegeAAHGR, MATCH(N696,AllCollegeNCES,0)))</f>
        <v>0</v>
      </c>
      <c r="Z696">
        <f>IF(OR(T696="H",T696="B"),INDEX(AllCollegeACT25, MATCH(N696,AllCollegeNCES,0)),INDEX(AllCollegeACT50, MATCH(N696,AllCollegeNCES,0)))</f>
        <v>0</v>
      </c>
      <c r="AA696">
        <f>INDEX(CustomWeightsGPA,MATCH(T696&amp;":"&amp;N696,CustomWeightsIndex,0))</f>
        <v>0</v>
      </c>
      <c r="AB696">
        <f>INDEX(CustomWeightsACT,MATCH(T696&amp;":"&amp;N696,CustomWeightsIndex,0))</f>
        <v>0</v>
      </c>
      <c r="AC696">
        <f>INDEX(CustomWeightsIntercept,MATCH(T696&amp;":"&amp;N696,CustomWeightsIndex,0))</f>
        <v>0</v>
      </c>
      <c r="AD696">
        <f>AA696*P696+AB696*Q696+AC696</f>
        <v>0</v>
      </c>
      <c r="AE696">
        <f>INDEX(CoefficientsGPA,MATCH(T696&amp;":"&amp;O696,CoefficientsIndex,0))</f>
        <v>0</v>
      </c>
      <c r="AF696">
        <f>INDEX(CoefficientsACT,MATCH(T696&amp;":"&amp;O696,CoefficientsIndex,0))</f>
        <v>0</v>
      </c>
      <c r="AG696">
        <f>INDEX(CoefficientsIntercept,MATCH(T696&amp;":"&amp;O696,CoefficientsIndex,0))</f>
        <v>0</v>
      </c>
      <c r="AH696">
        <f>AE696*P696+(Q696-Z696)*AF696+AG696</f>
        <v>0</v>
      </c>
      <c r="AI696">
        <f>IF(ISNUMBER(AD696),AD696,AH696)</f>
        <v>0</v>
      </c>
      <c r="AJ696">
        <f>IF(ISNUMBER(AI696),IF(ISNUMBER(AE696),IF(AND(AE696=1,AF696=1,AG696=1),100,ROUND(100*EXP(AI696)/(1+EXP(AI696)),2)),ROUND(100*EXP(AI696)/(1+EXP(AI696)),2)),IF(ISTEXT(O696),IF(LEFT(O696,1)="2",100,"N/A"),"N/A"))</f>
        <v>0</v>
      </c>
      <c r="AK696">
        <f>IF(ISNUMBER(AJ696),IF(AJ696&gt;=99,IF(OR(R696=10,R696=11),MatchLabel,SureThingLabel),IF(AJ696&gt;=95,SecureLabel,IF(AJ696&gt;=80,SafetyLabel,IF(AJ696&gt;=50,MatchLabel,IF(AJ696&gt;=20,ReachLabel,IF(AJ696&gt;=10,LongshotLabel,HailMaryLabel)))))),"Other")</f>
        <v>0</v>
      </c>
      <c r="AL696">
        <f>IF(OR(I696="accepted",I696="cond. accept",I696="summer admit"),IF(J696="yes","CHOICE!","Accepted!"),IF(I696="denied","Denied",IF(K696=1,"Waitlist",IF(L696=1,"Deferred",IF(G696="pending","Pending",IF(OR(G696="initial materials submitted",G696="mid-year submitted",G696="final submitted"),"Submitted",IF(H696="interest","Interest","?")))))))</f>
        <v>0</v>
      </c>
      <c r="AM696">
        <f>IF(OR(AK696=ReachLabel,AK696=LongshotLabel,AK696=HailMaryLabel),1,0)</f>
        <v>0</v>
      </c>
      <c r="AN696">
        <f>IF(OR(AM696=1,AK696=MatchLabel),1,0)</f>
        <v>0</v>
      </c>
      <c r="AO696">
        <f>IF(OR(AK696=MatchLabel,AK696=SafetyLabel,AK696=SecureLabel,AK696=SureThingLabel),1,0)</f>
        <v>0</v>
      </c>
      <c r="AP696">
        <f>IF(OR(T696="H",T696="B"),IF(ISNUMBER(Y696),ROUND(Y696,2),0),IF(ISNUMBER(X696),ROUND(X696,2),0))</f>
        <v>0</v>
      </c>
      <c r="AQ696">
        <f>IF(AP696&gt;=U696,1,0)</f>
        <v>0</v>
      </c>
      <c r="AR696">
        <f>IF(AP696&gt;=V696,1,0)</f>
        <v>0</v>
      </c>
      <c r="AS696">
        <f>IF(AP696&lt;(U696-0.10),1,0)</f>
        <v>0</v>
      </c>
      <c r="AT696">
        <f>1-AJ696/100</f>
        <v>0</v>
      </c>
      <c r="AU696">
        <f>IF(AN696=1,AT696,1)</f>
        <v>0</v>
      </c>
      <c r="AV696">
        <f>IF(AM696=1,AT696,1)</f>
        <v>0</v>
      </c>
      <c r="AW696">
        <f>IF(AND(AQ696=1,ISNUMBER(AT696)),$AT696,1)</f>
        <v>0</v>
      </c>
      <c r="AX696">
        <f>IF(AND(AR696=1,ISNUMBER(AT696)),$AT696,1)</f>
        <v>0</v>
      </c>
      <c r="AY696">
        <f>IF(ISNUMBER(Y696),INDEX(AllCollegeMoney, MATCH(N696,AllCollegeNCES,0)),0)</f>
        <v>0</v>
      </c>
      <c r="AZ696">
        <f>IF(AND(AQ696=1,ISNUMBER(AT696),AY696=1),$AT696,1)</f>
        <v>0</v>
      </c>
      <c r="BA696">
        <f>IF(AND(AR696=1,ISNUMBER(AT696),AY696=1),$AT696,1)</f>
        <v>0</v>
      </c>
      <c r="BB696">
        <f>IF(ISNUMBER(Y696),INDEX(AllCollegeILPub, MATCH(N696,AllCollegeNCES,0)),0)</f>
        <v>0</v>
      </c>
      <c r="BC696">
        <f>IF(AK696=ReachLabel,AP696,0)</f>
        <v>0</v>
      </c>
      <c r="BD696">
        <f>IF(AK696=MatchLabel,AP696,0)</f>
        <v>0</v>
      </c>
      <c r="BE696">
        <f>IF(AK696=SafetyLabel,AP696,0)</f>
        <v>0</v>
      </c>
      <c r="BF696">
        <f>IF(AK696=SecureLabel,AP696,0)</f>
        <v>0</v>
      </c>
      <c r="BG696">
        <f>IF(AK696=SureThingLabel,AP696,0)</f>
        <v>0</v>
      </c>
      <c r="BH696">
        <f>MAX(BC696:BG696)</f>
        <v>0</v>
      </c>
      <c r="BI696">
        <f>MAX(BD696:BG696)</f>
        <v>0</v>
      </c>
      <c r="BJ696">
        <f>MAX(BE696:BG696)</f>
        <v>0</v>
      </c>
      <c r="BK696">
        <f>IF(AND(AK696=ReachLabel,AY696=1),AP696,0)</f>
        <v>0</v>
      </c>
      <c r="BL696">
        <f>IF(AND(AK696=MatchLabel,AY696=1),AP696,0)</f>
        <v>0</v>
      </c>
      <c r="BM696">
        <f>IF(AND(AK696=SafetyLabel,AY696=1),AP696,0)</f>
        <v>0</v>
      </c>
      <c r="BN696">
        <f>IF(AND(AK696=SecureLabel,AY696=1),AP696,0)</f>
        <v>0</v>
      </c>
      <c r="BO696">
        <f>IF(AND(AK696=SureThingLabel,AY696=1),AP696,0)</f>
        <v>0</v>
      </c>
      <c r="BP696">
        <f>MAX(BK696:BO696)</f>
        <v>0</v>
      </c>
      <c r="BQ696">
        <f>MAX(BL696:BO696)</f>
        <v>0</v>
      </c>
      <c r="BR696">
        <f>MAX(BM696:BO696)</f>
        <v>0</v>
      </c>
      <c r="BS696">
        <f>IF(ISNUMBER(Y696),INDEX(AllCollegeChicago, MATCH(N696,AllCollegeNCES,0))*AY696,0)</f>
        <v>0</v>
      </c>
      <c r="BT696">
        <f>IF(ISNUMBER(Y696),INDEX(AllCollegeMoneyCode, MATCH(N696,AllCollegeNCES,0)),"?")</f>
        <v>0</v>
      </c>
      <c r="BU696">
        <f>IF(OR(BT696="---",BT696="--",BT696="+/--",BT696="+/---"),1,0)</f>
        <v>0</v>
      </c>
      <c r="BV696">
        <f>AY696*AO696*AQ696</f>
        <v>0</v>
      </c>
    </row>
    <row r="697" spans="1:74">
      <c r="A697" t="s">
        <v>86</v>
      </c>
      <c r="B697">
        <v>30084672</v>
      </c>
      <c r="C697" t="s">
        <v>188</v>
      </c>
      <c r="D697" t="s">
        <v>189</v>
      </c>
      <c r="E697" t="s">
        <v>428</v>
      </c>
      <c r="F697" t="s">
        <v>487</v>
      </c>
      <c r="G697" t="s">
        <v>430</v>
      </c>
      <c r="H697" t="s">
        <v>431</v>
      </c>
      <c r="I697" t="s">
        <v>432</v>
      </c>
      <c r="J697" t="s">
        <v>432</v>
      </c>
      <c r="K697">
        <v>0</v>
      </c>
      <c r="L697" t="s">
        <v>428</v>
      </c>
      <c r="M697" t="s">
        <v>428</v>
      </c>
      <c r="N697">
        <v>144351</v>
      </c>
      <c r="O697">
        <f>INDEX(AllCollegeBarrons,MATCH(N697,AllCollegeNCES,0))</f>
        <v>0</v>
      </c>
      <c r="P697">
        <f>INDEX(KidGPAs,MATCH(B697,KidIDs,0))</f>
        <v>0</v>
      </c>
      <c r="Q697">
        <f>INDEX(KidACTs,MATCH(B697,KidIDs,0))</f>
        <v>0</v>
      </c>
      <c r="R697">
        <f>INDEX(Strats,MATCH(B697,KidIDs,0))</f>
        <v>0</v>
      </c>
      <c r="S697">
        <f>INDEX(KidRace,MATCH(B697,KidIDs,0))</f>
        <v>0</v>
      </c>
      <c r="T697">
        <f>IF(OR(S697="M",S697="I"),"H",S697)</f>
        <v>0</v>
      </c>
      <c r="U697">
        <f>INDEX(StudentTargets,MATCH(B697,KidIDs,0))</f>
        <v>0</v>
      </c>
      <c r="V697">
        <f>INDEX(ReachStudentTargets,MATCH(B697,KidIDs,0))</f>
        <v>0</v>
      </c>
      <c r="W697">
        <f>IF(OR(M697="Posse"),1,0)</f>
        <v>0</v>
      </c>
      <c r="X697">
        <f>IF(ISNUMBER(INDEX(AllCollegeGR, MATCH(N697,AllCollegeNCES,0))),ROUND(INDEX(AllCollegeGR, MATCH(N697,AllCollegeNCES,0))+W697*IF(INDEX(AllCollegeGR, MATCH(N697,AllCollegeNCES,0))&gt;0.7,(1-INDEX(AllCollegeGR, MATCH(N697,AllCollegeNCES,0)))/2,0.15),2),INDEX(AllCollegeGR, MATCH(N697,AllCollegeNCES,0)))</f>
        <v>0</v>
      </c>
      <c r="Y697">
        <f>IF(ISNUMBER(INDEX(AllCollegeAAHGR, MATCH(N697,AllCollegeNCES,0))),ROUND(INDEX(AllCollegeAAHGR, MATCH(N697,AllCollegeNCES,0))+W697*IF(INDEX(AllCollegeAAHGR, MATCH(N697,AllCollegeNCES,0))&gt;0.7,(1-INDEX(AllCollegeAAHGR, MATCH(N697,AllCollegeNCES,0)))/2,0.15),2),INDEX(AllCollegeAAHGR, MATCH(N697,AllCollegeNCES,0)))</f>
        <v>0</v>
      </c>
      <c r="Z697">
        <f>IF(OR(T697="H",T697="B"),INDEX(AllCollegeACT25, MATCH(N697,AllCollegeNCES,0)),INDEX(AllCollegeACT50, MATCH(N697,AllCollegeNCES,0)))</f>
        <v>0</v>
      </c>
      <c r="AA697">
        <f>INDEX(CustomWeightsGPA,MATCH(T697&amp;":"&amp;N697,CustomWeightsIndex,0))</f>
        <v>0</v>
      </c>
      <c r="AB697">
        <f>INDEX(CustomWeightsACT,MATCH(T697&amp;":"&amp;N697,CustomWeightsIndex,0))</f>
        <v>0</v>
      </c>
      <c r="AC697">
        <f>INDEX(CustomWeightsIntercept,MATCH(T697&amp;":"&amp;N697,CustomWeightsIndex,0))</f>
        <v>0</v>
      </c>
      <c r="AD697">
        <f>AA697*P697+AB697*Q697+AC697</f>
        <v>0</v>
      </c>
      <c r="AE697">
        <f>INDEX(CoefficientsGPA,MATCH(T697&amp;":"&amp;O697,CoefficientsIndex,0))</f>
        <v>0</v>
      </c>
      <c r="AF697">
        <f>INDEX(CoefficientsACT,MATCH(T697&amp;":"&amp;O697,CoefficientsIndex,0))</f>
        <v>0</v>
      </c>
      <c r="AG697">
        <f>INDEX(CoefficientsIntercept,MATCH(T697&amp;":"&amp;O697,CoefficientsIndex,0))</f>
        <v>0</v>
      </c>
      <c r="AH697">
        <f>AE697*P697+(Q697-Z697)*AF697+AG697</f>
        <v>0</v>
      </c>
      <c r="AI697">
        <f>IF(ISNUMBER(AD697),AD697,AH697)</f>
        <v>0</v>
      </c>
      <c r="AJ697">
        <f>IF(ISNUMBER(AI697),IF(ISNUMBER(AE697),IF(AND(AE697=1,AF697=1,AG697=1),100,ROUND(100*EXP(AI697)/(1+EXP(AI697)),2)),ROUND(100*EXP(AI697)/(1+EXP(AI697)),2)),IF(ISTEXT(O697),IF(LEFT(O697,1)="2",100,"N/A"),"N/A"))</f>
        <v>0</v>
      </c>
      <c r="AK697">
        <f>IF(ISNUMBER(AJ697),IF(AJ697&gt;=99,IF(OR(R697=10,R697=11),MatchLabel,SureThingLabel),IF(AJ697&gt;=95,SecureLabel,IF(AJ697&gt;=80,SafetyLabel,IF(AJ697&gt;=50,MatchLabel,IF(AJ697&gt;=20,ReachLabel,IF(AJ697&gt;=10,LongshotLabel,HailMaryLabel)))))),"Other")</f>
        <v>0</v>
      </c>
      <c r="AL697">
        <f>IF(OR(I697="accepted",I697="cond. accept",I697="summer admit"),IF(J697="yes","CHOICE!","Accepted!"),IF(I697="denied","Denied",IF(K697=1,"Waitlist",IF(L697=1,"Deferred",IF(G697="pending","Pending",IF(OR(G697="initial materials submitted",G697="mid-year submitted",G697="final submitted"),"Submitted",IF(H697="interest","Interest","?")))))))</f>
        <v>0</v>
      </c>
      <c r="AM697">
        <f>IF(OR(AK697=ReachLabel,AK697=LongshotLabel,AK697=HailMaryLabel),1,0)</f>
        <v>0</v>
      </c>
      <c r="AN697">
        <f>IF(OR(AM697=1,AK697=MatchLabel),1,0)</f>
        <v>0</v>
      </c>
      <c r="AO697">
        <f>IF(OR(AK697=MatchLabel,AK697=SafetyLabel,AK697=SecureLabel,AK697=SureThingLabel),1,0)</f>
        <v>0</v>
      </c>
      <c r="AP697">
        <f>IF(OR(T697="H",T697="B"),IF(ISNUMBER(Y697),ROUND(Y697,2),0),IF(ISNUMBER(X697),ROUND(X697,2),0))</f>
        <v>0</v>
      </c>
      <c r="AQ697">
        <f>IF(AP697&gt;=U697,1,0)</f>
        <v>0</v>
      </c>
      <c r="AR697">
        <f>IF(AP697&gt;=V697,1,0)</f>
        <v>0</v>
      </c>
      <c r="AS697">
        <f>IF(AP697&lt;(U697-0.10),1,0)</f>
        <v>0</v>
      </c>
      <c r="AT697">
        <f>1-AJ697/100</f>
        <v>0</v>
      </c>
      <c r="AU697">
        <f>IF(AN697=1,AT697,1)</f>
        <v>0</v>
      </c>
      <c r="AV697">
        <f>IF(AM697=1,AT697,1)</f>
        <v>0</v>
      </c>
      <c r="AW697">
        <f>IF(AND(AQ697=1,ISNUMBER(AT697)),$AT697,1)</f>
        <v>0</v>
      </c>
      <c r="AX697">
        <f>IF(AND(AR697=1,ISNUMBER(AT697)),$AT697,1)</f>
        <v>0</v>
      </c>
      <c r="AY697">
        <f>IF(ISNUMBER(Y697),INDEX(AllCollegeMoney, MATCH(N697,AllCollegeNCES,0)),0)</f>
        <v>0</v>
      </c>
      <c r="AZ697">
        <f>IF(AND(AQ697=1,ISNUMBER(AT697),AY697=1),$AT697,1)</f>
        <v>0</v>
      </c>
      <c r="BA697">
        <f>IF(AND(AR697=1,ISNUMBER(AT697),AY697=1),$AT697,1)</f>
        <v>0</v>
      </c>
      <c r="BB697">
        <f>IF(ISNUMBER(Y697),INDEX(AllCollegeILPub, MATCH(N697,AllCollegeNCES,0)),0)</f>
        <v>0</v>
      </c>
      <c r="BC697">
        <f>IF(AK697=ReachLabel,AP697,0)</f>
        <v>0</v>
      </c>
      <c r="BD697">
        <f>IF(AK697=MatchLabel,AP697,0)</f>
        <v>0</v>
      </c>
      <c r="BE697">
        <f>IF(AK697=SafetyLabel,AP697,0)</f>
        <v>0</v>
      </c>
      <c r="BF697">
        <f>IF(AK697=SecureLabel,AP697,0)</f>
        <v>0</v>
      </c>
      <c r="BG697">
        <f>IF(AK697=SureThingLabel,AP697,0)</f>
        <v>0</v>
      </c>
      <c r="BH697">
        <f>MAX(BC697:BG697)</f>
        <v>0</v>
      </c>
      <c r="BI697">
        <f>MAX(BD697:BG697)</f>
        <v>0</v>
      </c>
      <c r="BJ697">
        <f>MAX(BE697:BG697)</f>
        <v>0</v>
      </c>
      <c r="BK697">
        <f>IF(AND(AK697=ReachLabel,AY697=1),AP697,0)</f>
        <v>0</v>
      </c>
      <c r="BL697">
        <f>IF(AND(AK697=MatchLabel,AY697=1),AP697,0)</f>
        <v>0</v>
      </c>
      <c r="BM697">
        <f>IF(AND(AK697=SafetyLabel,AY697=1),AP697,0)</f>
        <v>0</v>
      </c>
      <c r="BN697">
        <f>IF(AND(AK697=SecureLabel,AY697=1),AP697,0)</f>
        <v>0</v>
      </c>
      <c r="BO697">
        <f>IF(AND(AK697=SureThingLabel,AY697=1),AP697,0)</f>
        <v>0</v>
      </c>
      <c r="BP697">
        <f>MAX(BK697:BO697)</f>
        <v>0</v>
      </c>
      <c r="BQ697">
        <f>MAX(BL697:BO697)</f>
        <v>0</v>
      </c>
      <c r="BR697">
        <f>MAX(BM697:BO697)</f>
        <v>0</v>
      </c>
      <c r="BS697">
        <f>IF(ISNUMBER(Y697),INDEX(AllCollegeChicago, MATCH(N697,AllCollegeNCES,0))*AY697,0)</f>
        <v>0</v>
      </c>
      <c r="BT697">
        <f>IF(ISNUMBER(Y697),INDEX(AllCollegeMoneyCode, MATCH(N697,AllCollegeNCES,0)),"?")</f>
        <v>0</v>
      </c>
      <c r="BU697">
        <f>IF(OR(BT697="---",BT697="--",BT697="+/--",BT697="+/---"),1,0)</f>
        <v>0</v>
      </c>
      <c r="BV697">
        <f>AY697*AO697*AQ697</f>
        <v>0</v>
      </c>
    </row>
    <row r="698" spans="1:74">
      <c r="A698" t="s">
        <v>86</v>
      </c>
      <c r="B698">
        <v>30115187</v>
      </c>
      <c r="C698" t="s">
        <v>123</v>
      </c>
      <c r="D698" t="s">
        <v>124</v>
      </c>
      <c r="E698" t="s">
        <v>428</v>
      </c>
      <c r="F698" t="s">
        <v>453</v>
      </c>
      <c r="G698" t="s">
        <v>463</v>
      </c>
      <c r="H698" t="s">
        <v>431</v>
      </c>
      <c r="I698" t="s">
        <v>432</v>
      </c>
      <c r="J698" t="s">
        <v>432</v>
      </c>
      <c r="K698">
        <v>0</v>
      </c>
      <c r="L698" t="s">
        <v>428</v>
      </c>
      <c r="M698" t="s">
        <v>428</v>
      </c>
      <c r="N698">
        <v>212674</v>
      </c>
      <c r="O698">
        <f>INDEX(AllCollegeBarrons,MATCH(N698,AllCollegeNCES,0))</f>
        <v>0</v>
      </c>
      <c r="P698">
        <f>INDEX(KidGPAs,MATCH(B698,KidIDs,0))</f>
        <v>0</v>
      </c>
      <c r="Q698">
        <f>INDEX(KidACTs,MATCH(B698,KidIDs,0))</f>
        <v>0</v>
      </c>
      <c r="R698">
        <f>INDEX(Strats,MATCH(B698,KidIDs,0))</f>
        <v>0</v>
      </c>
      <c r="S698">
        <f>INDEX(KidRace,MATCH(B698,KidIDs,0))</f>
        <v>0</v>
      </c>
      <c r="T698">
        <f>IF(OR(S698="M",S698="I"),"H",S698)</f>
        <v>0</v>
      </c>
      <c r="U698">
        <f>INDEX(StudentTargets,MATCH(B698,KidIDs,0))</f>
        <v>0</v>
      </c>
      <c r="V698">
        <f>INDEX(ReachStudentTargets,MATCH(B698,KidIDs,0))</f>
        <v>0</v>
      </c>
      <c r="W698">
        <f>IF(OR(M698="Posse"),1,0)</f>
        <v>0</v>
      </c>
      <c r="X698">
        <f>IF(ISNUMBER(INDEX(AllCollegeGR, MATCH(N698,AllCollegeNCES,0))),ROUND(INDEX(AllCollegeGR, MATCH(N698,AllCollegeNCES,0))+W698*IF(INDEX(AllCollegeGR, MATCH(N698,AllCollegeNCES,0))&gt;0.7,(1-INDEX(AllCollegeGR, MATCH(N698,AllCollegeNCES,0)))/2,0.15),2),INDEX(AllCollegeGR, MATCH(N698,AllCollegeNCES,0)))</f>
        <v>0</v>
      </c>
      <c r="Y698">
        <f>IF(ISNUMBER(INDEX(AllCollegeAAHGR, MATCH(N698,AllCollegeNCES,0))),ROUND(INDEX(AllCollegeAAHGR, MATCH(N698,AllCollegeNCES,0))+W698*IF(INDEX(AllCollegeAAHGR, MATCH(N698,AllCollegeNCES,0))&gt;0.7,(1-INDEX(AllCollegeAAHGR, MATCH(N698,AllCollegeNCES,0)))/2,0.15),2),INDEX(AllCollegeAAHGR, MATCH(N698,AllCollegeNCES,0)))</f>
        <v>0</v>
      </c>
      <c r="Z698">
        <f>IF(OR(T698="H",T698="B"),INDEX(AllCollegeACT25, MATCH(N698,AllCollegeNCES,0)),INDEX(AllCollegeACT50, MATCH(N698,AllCollegeNCES,0)))</f>
        <v>0</v>
      </c>
      <c r="AA698">
        <f>INDEX(CustomWeightsGPA,MATCH(T698&amp;":"&amp;N698,CustomWeightsIndex,0))</f>
        <v>0</v>
      </c>
      <c r="AB698">
        <f>INDEX(CustomWeightsACT,MATCH(T698&amp;":"&amp;N698,CustomWeightsIndex,0))</f>
        <v>0</v>
      </c>
      <c r="AC698">
        <f>INDEX(CustomWeightsIntercept,MATCH(T698&amp;":"&amp;N698,CustomWeightsIndex,0))</f>
        <v>0</v>
      </c>
      <c r="AD698">
        <f>AA698*P698+AB698*Q698+AC698</f>
        <v>0</v>
      </c>
      <c r="AE698">
        <f>INDEX(CoefficientsGPA,MATCH(T698&amp;":"&amp;O698,CoefficientsIndex,0))</f>
        <v>0</v>
      </c>
      <c r="AF698">
        <f>INDEX(CoefficientsACT,MATCH(T698&amp;":"&amp;O698,CoefficientsIndex,0))</f>
        <v>0</v>
      </c>
      <c r="AG698">
        <f>INDEX(CoefficientsIntercept,MATCH(T698&amp;":"&amp;O698,CoefficientsIndex,0))</f>
        <v>0</v>
      </c>
      <c r="AH698">
        <f>AE698*P698+(Q698-Z698)*AF698+AG698</f>
        <v>0</v>
      </c>
      <c r="AI698">
        <f>IF(ISNUMBER(AD698),AD698,AH698)</f>
        <v>0</v>
      </c>
      <c r="AJ698">
        <f>IF(ISNUMBER(AI698),IF(ISNUMBER(AE698),IF(AND(AE698=1,AF698=1,AG698=1),100,ROUND(100*EXP(AI698)/(1+EXP(AI698)),2)),ROUND(100*EXP(AI698)/(1+EXP(AI698)),2)),IF(ISTEXT(O698),IF(LEFT(O698,1)="2",100,"N/A"),"N/A"))</f>
        <v>0</v>
      </c>
      <c r="AK698">
        <f>IF(ISNUMBER(AJ698),IF(AJ698&gt;=99,IF(OR(R698=10,R698=11),MatchLabel,SureThingLabel),IF(AJ698&gt;=95,SecureLabel,IF(AJ698&gt;=80,SafetyLabel,IF(AJ698&gt;=50,MatchLabel,IF(AJ698&gt;=20,ReachLabel,IF(AJ698&gt;=10,LongshotLabel,HailMaryLabel)))))),"Other")</f>
        <v>0</v>
      </c>
      <c r="AL698">
        <f>IF(OR(I698="accepted",I698="cond. accept",I698="summer admit"),IF(J698="yes","CHOICE!","Accepted!"),IF(I698="denied","Denied",IF(K698=1,"Waitlist",IF(L698=1,"Deferred",IF(G698="pending","Pending",IF(OR(G698="initial materials submitted",G698="mid-year submitted",G698="final submitted"),"Submitted",IF(H698="interest","Interest","?")))))))</f>
        <v>0</v>
      </c>
      <c r="AM698">
        <f>IF(OR(AK698=ReachLabel,AK698=LongshotLabel,AK698=HailMaryLabel),1,0)</f>
        <v>0</v>
      </c>
      <c r="AN698">
        <f>IF(OR(AM698=1,AK698=MatchLabel),1,0)</f>
        <v>0</v>
      </c>
      <c r="AO698">
        <f>IF(OR(AK698=MatchLabel,AK698=SafetyLabel,AK698=SecureLabel,AK698=SureThingLabel),1,0)</f>
        <v>0</v>
      </c>
      <c r="AP698">
        <f>IF(OR(T698="H",T698="B"),IF(ISNUMBER(Y698),ROUND(Y698,2),0),IF(ISNUMBER(X698),ROUND(X698,2),0))</f>
        <v>0</v>
      </c>
      <c r="AQ698">
        <f>IF(AP698&gt;=U698,1,0)</f>
        <v>0</v>
      </c>
      <c r="AR698">
        <f>IF(AP698&gt;=V698,1,0)</f>
        <v>0</v>
      </c>
      <c r="AS698">
        <f>IF(AP698&lt;(U698-0.10),1,0)</f>
        <v>0</v>
      </c>
      <c r="AT698">
        <f>1-AJ698/100</f>
        <v>0</v>
      </c>
      <c r="AU698">
        <f>IF(AN698=1,AT698,1)</f>
        <v>0</v>
      </c>
      <c r="AV698">
        <f>IF(AM698=1,AT698,1)</f>
        <v>0</v>
      </c>
      <c r="AW698">
        <f>IF(AND(AQ698=1,ISNUMBER(AT698)),$AT698,1)</f>
        <v>0</v>
      </c>
      <c r="AX698">
        <f>IF(AND(AR698=1,ISNUMBER(AT698)),$AT698,1)</f>
        <v>0</v>
      </c>
      <c r="AY698">
        <f>IF(ISNUMBER(Y698),INDEX(AllCollegeMoney, MATCH(N698,AllCollegeNCES,0)),0)</f>
        <v>0</v>
      </c>
      <c r="AZ698">
        <f>IF(AND(AQ698=1,ISNUMBER(AT698),AY698=1),$AT698,1)</f>
        <v>0</v>
      </c>
      <c r="BA698">
        <f>IF(AND(AR698=1,ISNUMBER(AT698),AY698=1),$AT698,1)</f>
        <v>0</v>
      </c>
      <c r="BB698">
        <f>IF(ISNUMBER(Y698),INDEX(AllCollegeILPub, MATCH(N698,AllCollegeNCES,0)),0)</f>
        <v>0</v>
      </c>
      <c r="BC698">
        <f>IF(AK698=ReachLabel,AP698,0)</f>
        <v>0</v>
      </c>
      <c r="BD698">
        <f>IF(AK698=MatchLabel,AP698,0)</f>
        <v>0</v>
      </c>
      <c r="BE698">
        <f>IF(AK698=SafetyLabel,AP698,0)</f>
        <v>0</v>
      </c>
      <c r="BF698">
        <f>IF(AK698=SecureLabel,AP698,0)</f>
        <v>0</v>
      </c>
      <c r="BG698">
        <f>IF(AK698=SureThingLabel,AP698,0)</f>
        <v>0</v>
      </c>
      <c r="BH698">
        <f>MAX(BC698:BG698)</f>
        <v>0</v>
      </c>
      <c r="BI698">
        <f>MAX(BD698:BG698)</f>
        <v>0</v>
      </c>
      <c r="BJ698">
        <f>MAX(BE698:BG698)</f>
        <v>0</v>
      </c>
      <c r="BK698">
        <f>IF(AND(AK698=ReachLabel,AY698=1),AP698,0)</f>
        <v>0</v>
      </c>
      <c r="BL698">
        <f>IF(AND(AK698=MatchLabel,AY698=1),AP698,0)</f>
        <v>0</v>
      </c>
      <c r="BM698">
        <f>IF(AND(AK698=SafetyLabel,AY698=1),AP698,0)</f>
        <v>0</v>
      </c>
      <c r="BN698">
        <f>IF(AND(AK698=SecureLabel,AY698=1),AP698,0)</f>
        <v>0</v>
      </c>
      <c r="BO698">
        <f>IF(AND(AK698=SureThingLabel,AY698=1),AP698,0)</f>
        <v>0</v>
      </c>
      <c r="BP698">
        <f>MAX(BK698:BO698)</f>
        <v>0</v>
      </c>
      <c r="BQ698">
        <f>MAX(BL698:BO698)</f>
        <v>0</v>
      </c>
      <c r="BR698">
        <f>MAX(BM698:BO698)</f>
        <v>0</v>
      </c>
      <c r="BS698">
        <f>IF(ISNUMBER(Y698),INDEX(AllCollegeChicago, MATCH(N698,AllCollegeNCES,0))*AY698,0)</f>
        <v>0</v>
      </c>
      <c r="BT698">
        <f>IF(ISNUMBER(Y698),INDEX(AllCollegeMoneyCode, MATCH(N698,AllCollegeNCES,0)),"?")</f>
        <v>0</v>
      </c>
      <c r="BU698">
        <f>IF(OR(BT698="---",BT698="--",BT698="+/--",BT698="+/---"),1,0)</f>
        <v>0</v>
      </c>
      <c r="BV698">
        <f>AY698*AO698*AQ698</f>
        <v>0</v>
      </c>
    </row>
    <row r="699" spans="1:74">
      <c r="A699" t="s">
        <v>86</v>
      </c>
      <c r="B699">
        <v>30115187</v>
      </c>
      <c r="C699" t="s">
        <v>123</v>
      </c>
      <c r="D699" t="s">
        <v>124</v>
      </c>
      <c r="E699" t="s">
        <v>428</v>
      </c>
      <c r="F699" t="s">
        <v>583</v>
      </c>
      <c r="G699" t="s">
        <v>430</v>
      </c>
      <c r="H699" t="s">
        <v>431</v>
      </c>
      <c r="I699" t="s">
        <v>432</v>
      </c>
      <c r="J699" t="s">
        <v>432</v>
      </c>
      <c r="K699">
        <v>0</v>
      </c>
      <c r="L699" t="s">
        <v>428</v>
      </c>
      <c r="M699" t="s">
        <v>428</v>
      </c>
      <c r="N699">
        <v>195030</v>
      </c>
      <c r="O699">
        <f>INDEX(AllCollegeBarrons,MATCH(N699,AllCollegeNCES,0))</f>
        <v>0</v>
      </c>
      <c r="P699">
        <f>INDEX(KidGPAs,MATCH(B699,KidIDs,0))</f>
        <v>0</v>
      </c>
      <c r="Q699">
        <f>INDEX(KidACTs,MATCH(B699,KidIDs,0))</f>
        <v>0</v>
      </c>
      <c r="R699">
        <f>INDEX(Strats,MATCH(B699,KidIDs,0))</f>
        <v>0</v>
      </c>
      <c r="S699">
        <f>INDEX(KidRace,MATCH(B699,KidIDs,0))</f>
        <v>0</v>
      </c>
      <c r="T699">
        <f>IF(OR(S699="M",S699="I"),"H",S699)</f>
        <v>0</v>
      </c>
      <c r="U699">
        <f>INDEX(StudentTargets,MATCH(B699,KidIDs,0))</f>
        <v>0</v>
      </c>
      <c r="V699">
        <f>INDEX(ReachStudentTargets,MATCH(B699,KidIDs,0))</f>
        <v>0</v>
      </c>
      <c r="W699">
        <f>IF(OR(M699="Posse"),1,0)</f>
        <v>0</v>
      </c>
      <c r="X699">
        <f>IF(ISNUMBER(INDEX(AllCollegeGR, MATCH(N699,AllCollegeNCES,0))),ROUND(INDEX(AllCollegeGR, MATCH(N699,AllCollegeNCES,0))+W699*IF(INDEX(AllCollegeGR, MATCH(N699,AllCollegeNCES,0))&gt;0.7,(1-INDEX(AllCollegeGR, MATCH(N699,AllCollegeNCES,0)))/2,0.15),2),INDEX(AllCollegeGR, MATCH(N699,AllCollegeNCES,0)))</f>
        <v>0</v>
      </c>
      <c r="Y699">
        <f>IF(ISNUMBER(INDEX(AllCollegeAAHGR, MATCH(N699,AllCollegeNCES,0))),ROUND(INDEX(AllCollegeAAHGR, MATCH(N699,AllCollegeNCES,0))+W699*IF(INDEX(AllCollegeAAHGR, MATCH(N699,AllCollegeNCES,0))&gt;0.7,(1-INDEX(AllCollegeAAHGR, MATCH(N699,AllCollegeNCES,0)))/2,0.15),2),INDEX(AllCollegeAAHGR, MATCH(N699,AllCollegeNCES,0)))</f>
        <v>0</v>
      </c>
      <c r="Z699">
        <f>IF(OR(T699="H",T699="B"),INDEX(AllCollegeACT25, MATCH(N699,AllCollegeNCES,0)),INDEX(AllCollegeACT50, MATCH(N699,AllCollegeNCES,0)))</f>
        <v>0</v>
      </c>
      <c r="AA699">
        <f>INDEX(CustomWeightsGPA,MATCH(T699&amp;":"&amp;N699,CustomWeightsIndex,0))</f>
        <v>0</v>
      </c>
      <c r="AB699">
        <f>INDEX(CustomWeightsACT,MATCH(T699&amp;":"&amp;N699,CustomWeightsIndex,0))</f>
        <v>0</v>
      </c>
      <c r="AC699">
        <f>INDEX(CustomWeightsIntercept,MATCH(T699&amp;":"&amp;N699,CustomWeightsIndex,0))</f>
        <v>0</v>
      </c>
      <c r="AD699">
        <f>AA699*P699+AB699*Q699+AC699</f>
        <v>0</v>
      </c>
      <c r="AE699">
        <f>INDEX(CoefficientsGPA,MATCH(T699&amp;":"&amp;O699,CoefficientsIndex,0))</f>
        <v>0</v>
      </c>
      <c r="AF699">
        <f>INDEX(CoefficientsACT,MATCH(T699&amp;":"&amp;O699,CoefficientsIndex,0))</f>
        <v>0</v>
      </c>
      <c r="AG699">
        <f>INDEX(CoefficientsIntercept,MATCH(T699&amp;":"&amp;O699,CoefficientsIndex,0))</f>
        <v>0</v>
      </c>
      <c r="AH699">
        <f>AE699*P699+(Q699-Z699)*AF699+AG699</f>
        <v>0</v>
      </c>
      <c r="AI699">
        <f>IF(ISNUMBER(AD699),AD699,AH699)</f>
        <v>0</v>
      </c>
      <c r="AJ699">
        <f>IF(ISNUMBER(AI699),IF(ISNUMBER(AE699),IF(AND(AE699=1,AF699=1,AG699=1),100,ROUND(100*EXP(AI699)/(1+EXP(AI699)),2)),ROUND(100*EXP(AI699)/(1+EXP(AI699)),2)),IF(ISTEXT(O699),IF(LEFT(O699,1)="2",100,"N/A"),"N/A"))</f>
        <v>0</v>
      </c>
      <c r="AK699">
        <f>IF(ISNUMBER(AJ699),IF(AJ699&gt;=99,IF(OR(R699=10,R699=11),MatchLabel,SureThingLabel),IF(AJ699&gt;=95,SecureLabel,IF(AJ699&gt;=80,SafetyLabel,IF(AJ699&gt;=50,MatchLabel,IF(AJ699&gt;=20,ReachLabel,IF(AJ699&gt;=10,LongshotLabel,HailMaryLabel)))))),"Other")</f>
        <v>0</v>
      </c>
      <c r="AL699">
        <f>IF(OR(I699="accepted",I699="cond. accept",I699="summer admit"),IF(J699="yes","CHOICE!","Accepted!"),IF(I699="denied","Denied",IF(K699=1,"Waitlist",IF(L699=1,"Deferred",IF(G699="pending","Pending",IF(OR(G699="initial materials submitted",G699="mid-year submitted",G699="final submitted"),"Submitted",IF(H699="interest","Interest","?")))))))</f>
        <v>0</v>
      </c>
      <c r="AM699">
        <f>IF(OR(AK699=ReachLabel,AK699=LongshotLabel,AK699=HailMaryLabel),1,0)</f>
        <v>0</v>
      </c>
      <c r="AN699">
        <f>IF(OR(AM699=1,AK699=MatchLabel),1,0)</f>
        <v>0</v>
      </c>
      <c r="AO699">
        <f>IF(OR(AK699=MatchLabel,AK699=SafetyLabel,AK699=SecureLabel,AK699=SureThingLabel),1,0)</f>
        <v>0</v>
      </c>
      <c r="AP699">
        <f>IF(OR(T699="H",T699="B"),IF(ISNUMBER(Y699),ROUND(Y699,2),0),IF(ISNUMBER(X699),ROUND(X699,2),0))</f>
        <v>0</v>
      </c>
      <c r="AQ699">
        <f>IF(AP699&gt;=U699,1,0)</f>
        <v>0</v>
      </c>
      <c r="AR699">
        <f>IF(AP699&gt;=V699,1,0)</f>
        <v>0</v>
      </c>
      <c r="AS699">
        <f>IF(AP699&lt;(U699-0.10),1,0)</f>
        <v>0</v>
      </c>
      <c r="AT699">
        <f>1-AJ699/100</f>
        <v>0</v>
      </c>
      <c r="AU699">
        <f>IF(AN699=1,AT699,1)</f>
        <v>0</v>
      </c>
      <c r="AV699">
        <f>IF(AM699=1,AT699,1)</f>
        <v>0</v>
      </c>
      <c r="AW699">
        <f>IF(AND(AQ699=1,ISNUMBER(AT699)),$AT699,1)</f>
        <v>0</v>
      </c>
      <c r="AX699">
        <f>IF(AND(AR699=1,ISNUMBER(AT699)),$AT699,1)</f>
        <v>0</v>
      </c>
      <c r="AY699">
        <f>IF(ISNUMBER(Y699),INDEX(AllCollegeMoney, MATCH(N699,AllCollegeNCES,0)),0)</f>
        <v>0</v>
      </c>
      <c r="AZ699">
        <f>IF(AND(AQ699=1,ISNUMBER(AT699),AY699=1),$AT699,1)</f>
        <v>0</v>
      </c>
      <c r="BA699">
        <f>IF(AND(AR699=1,ISNUMBER(AT699),AY699=1),$AT699,1)</f>
        <v>0</v>
      </c>
      <c r="BB699">
        <f>IF(ISNUMBER(Y699),INDEX(AllCollegeILPub, MATCH(N699,AllCollegeNCES,0)),0)</f>
        <v>0</v>
      </c>
      <c r="BC699">
        <f>IF(AK699=ReachLabel,AP699,0)</f>
        <v>0</v>
      </c>
      <c r="BD699">
        <f>IF(AK699=MatchLabel,AP699,0)</f>
        <v>0</v>
      </c>
      <c r="BE699">
        <f>IF(AK699=SafetyLabel,AP699,0)</f>
        <v>0</v>
      </c>
      <c r="BF699">
        <f>IF(AK699=SecureLabel,AP699,0)</f>
        <v>0</v>
      </c>
      <c r="BG699">
        <f>IF(AK699=SureThingLabel,AP699,0)</f>
        <v>0</v>
      </c>
      <c r="BH699">
        <f>MAX(BC699:BG699)</f>
        <v>0</v>
      </c>
      <c r="BI699">
        <f>MAX(BD699:BG699)</f>
        <v>0</v>
      </c>
      <c r="BJ699">
        <f>MAX(BE699:BG699)</f>
        <v>0</v>
      </c>
      <c r="BK699">
        <f>IF(AND(AK699=ReachLabel,AY699=1),AP699,0)</f>
        <v>0</v>
      </c>
      <c r="BL699">
        <f>IF(AND(AK699=MatchLabel,AY699=1),AP699,0)</f>
        <v>0</v>
      </c>
      <c r="BM699">
        <f>IF(AND(AK699=SafetyLabel,AY699=1),AP699,0)</f>
        <v>0</v>
      </c>
      <c r="BN699">
        <f>IF(AND(AK699=SecureLabel,AY699=1),AP699,0)</f>
        <v>0</v>
      </c>
      <c r="BO699">
        <f>IF(AND(AK699=SureThingLabel,AY699=1),AP699,0)</f>
        <v>0</v>
      </c>
      <c r="BP699">
        <f>MAX(BK699:BO699)</f>
        <v>0</v>
      </c>
      <c r="BQ699">
        <f>MAX(BL699:BO699)</f>
        <v>0</v>
      </c>
      <c r="BR699">
        <f>MAX(BM699:BO699)</f>
        <v>0</v>
      </c>
      <c r="BS699">
        <f>IF(ISNUMBER(Y699),INDEX(AllCollegeChicago, MATCH(N699,AllCollegeNCES,0))*AY699,0)</f>
        <v>0</v>
      </c>
      <c r="BT699">
        <f>IF(ISNUMBER(Y699),INDEX(AllCollegeMoneyCode, MATCH(N699,AllCollegeNCES,0)),"?")</f>
        <v>0</v>
      </c>
      <c r="BU699">
        <f>IF(OR(BT699="---",BT699="--",BT699="+/--",BT699="+/---"),1,0)</f>
        <v>0</v>
      </c>
      <c r="BV699">
        <f>AY699*AO699*AQ699</f>
        <v>0</v>
      </c>
    </row>
    <row r="700" spans="1:74">
      <c r="A700" t="s">
        <v>86</v>
      </c>
      <c r="B700">
        <v>30115187</v>
      </c>
      <c r="C700" t="s">
        <v>123</v>
      </c>
      <c r="D700" t="s">
        <v>124</v>
      </c>
      <c r="E700" t="s">
        <v>428</v>
      </c>
      <c r="F700" t="s">
        <v>455</v>
      </c>
      <c r="G700" t="s">
        <v>430</v>
      </c>
      <c r="H700" t="s">
        <v>431</v>
      </c>
      <c r="I700" t="s">
        <v>432</v>
      </c>
      <c r="J700" t="s">
        <v>432</v>
      </c>
      <c r="K700">
        <v>0</v>
      </c>
      <c r="L700" t="s">
        <v>428</v>
      </c>
      <c r="M700" t="s">
        <v>428</v>
      </c>
      <c r="N700">
        <v>240444</v>
      </c>
      <c r="O700">
        <f>INDEX(AllCollegeBarrons,MATCH(N700,AllCollegeNCES,0))</f>
        <v>0</v>
      </c>
      <c r="P700">
        <f>INDEX(KidGPAs,MATCH(B700,KidIDs,0))</f>
        <v>0</v>
      </c>
      <c r="Q700">
        <f>INDEX(KidACTs,MATCH(B700,KidIDs,0))</f>
        <v>0</v>
      </c>
      <c r="R700">
        <f>INDEX(Strats,MATCH(B700,KidIDs,0))</f>
        <v>0</v>
      </c>
      <c r="S700">
        <f>INDEX(KidRace,MATCH(B700,KidIDs,0))</f>
        <v>0</v>
      </c>
      <c r="T700">
        <f>IF(OR(S700="M",S700="I"),"H",S700)</f>
        <v>0</v>
      </c>
      <c r="U700">
        <f>INDEX(StudentTargets,MATCH(B700,KidIDs,0))</f>
        <v>0</v>
      </c>
      <c r="V700">
        <f>INDEX(ReachStudentTargets,MATCH(B700,KidIDs,0))</f>
        <v>0</v>
      </c>
      <c r="W700">
        <f>IF(OR(M700="Posse"),1,0)</f>
        <v>0</v>
      </c>
      <c r="X700">
        <f>IF(ISNUMBER(INDEX(AllCollegeGR, MATCH(N700,AllCollegeNCES,0))),ROUND(INDEX(AllCollegeGR, MATCH(N700,AllCollegeNCES,0))+W700*IF(INDEX(AllCollegeGR, MATCH(N700,AllCollegeNCES,0))&gt;0.7,(1-INDEX(AllCollegeGR, MATCH(N700,AllCollegeNCES,0)))/2,0.15),2),INDEX(AllCollegeGR, MATCH(N700,AllCollegeNCES,0)))</f>
        <v>0</v>
      </c>
      <c r="Y700">
        <f>IF(ISNUMBER(INDEX(AllCollegeAAHGR, MATCH(N700,AllCollegeNCES,0))),ROUND(INDEX(AllCollegeAAHGR, MATCH(N700,AllCollegeNCES,0))+W700*IF(INDEX(AllCollegeAAHGR, MATCH(N700,AllCollegeNCES,0))&gt;0.7,(1-INDEX(AllCollegeAAHGR, MATCH(N700,AllCollegeNCES,0)))/2,0.15),2),INDEX(AllCollegeAAHGR, MATCH(N700,AllCollegeNCES,0)))</f>
        <v>0</v>
      </c>
      <c r="Z700">
        <f>IF(OR(T700="H",T700="B"),INDEX(AllCollegeACT25, MATCH(N700,AllCollegeNCES,0)),INDEX(AllCollegeACT50, MATCH(N700,AllCollegeNCES,0)))</f>
        <v>0</v>
      </c>
      <c r="AA700">
        <f>INDEX(CustomWeightsGPA,MATCH(T700&amp;":"&amp;N700,CustomWeightsIndex,0))</f>
        <v>0</v>
      </c>
      <c r="AB700">
        <f>INDEX(CustomWeightsACT,MATCH(T700&amp;":"&amp;N700,CustomWeightsIndex,0))</f>
        <v>0</v>
      </c>
      <c r="AC700">
        <f>INDEX(CustomWeightsIntercept,MATCH(T700&amp;":"&amp;N700,CustomWeightsIndex,0))</f>
        <v>0</v>
      </c>
      <c r="AD700">
        <f>AA700*P700+AB700*Q700+AC700</f>
        <v>0</v>
      </c>
      <c r="AE700">
        <f>INDEX(CoefficientsGPA,MATCH(T700&amp;":"&amp;O700,CoefficientsIndex,0))</f>
        <v>0</v>
      </c>
      <c r="AF700">
        <f>INDEX(CoefficientsACT,MATCH(T700&amp;":"&amp;O700,CoefficientsIndex,0))</f>
        <v>0</v>
      </c>
      <c r="AG700">
        <f>INDEX(CoefficientsIntercept,MATCH(T700&amp;":"&amp;O700,CoefficientsIndex,0))</f>
        <v>0</v>
      </c>
      <c r="AH700">
        <f>AE700*P700+(Q700-Z700)*AF700+AG700</f>
        <v>0</v>
      </c>
      <c r="AI700">
        <f>IF(ISNUMBER(AD700),AD700,AH700)</f>
        <v>0</v>
      </c>
      <c r="AJ700">
        <f>IF(ISNUMBER(AI700),IF(ISNUMBER(AE700),IF(AND(AE700=1,AF700=1,AG700=1),100,ROUND(100*EXP(AI700)/(1+EXP(AI700)),2)),ROUND(100*EXP(AI700)/(1+EXP(AI700)),2)),IF(ISTEXT(O700),IF(LEFT(O700,1)="2",100,"N/A"),"N/A"))</f>
        <v>0</v>
      </c>
      <c r="AK700">
        <f>IF(ISNUMBER(AJ700),IF(AJ700&gt;=99,IF(OR(R700=10,R700=11),MatchLabel,SureThingLabel),IF(AJ700&gt;=95,SecureLabel,IF(AJ700&gt;=80,SafetyLabel,IF(AJ700&gt;=50,MatchLabel,IF(AJ700&gt;=20,ReachLabel,IF(AJ700&gt;=10,LongshotLabel,HailMaryLabel)))))),"Other")</f>
        <v>0</v>
      </c>
      <c r="AL700">
        <f>IF(OR(I700="accepted",I700="cond. accept",I700="summer admit"),IF(J700="yes","CHOICE!","Accepted!"),IF(I700="denied","Denied",IF(K700=1,"Waitlist",IF(L700=1,"Deferred",IF(G700="pending","Pending",IF(OR(G700="initial materials submitted",G700="mid-year submitted",G700="final submitted"),"Submitted",IF(H700="interest","Interest","?")))))))</f>
        <v>0</v>
      </c>
      <c r="AM700">
        <f>IF(OR(AK700=ReachLabel,AK700=LongshotLabel,AK700=HailMaryLabel),1,0)</f>
        <v>0</v>
      </c>
      <c r="AN700">
        <f>IF(OR(AM700=1,AK700=MatchLabel),1,0)</f>
        <v>0</v>
      </c>
      <c r="AO700">
        <f>IF(OR(AK700=MatchLabel,AK700=SafetyLabel,AK700=SecureLabel,AK700=SureThingLabel),1,0)</f>
        <v>0</v>
      </c>
      <c r="AP700">
        <f>IF(OR(T700="H",T700="B"),IF(ISNUMBER(Y700),ROUND(Y700,2),0),IF(ISNUMBER(X700),ROUND(X700,2),0))</f>
        <v>0</v>
      </c>
      <c r="AQ700">
        <f>IF(AP700&gt;=U700,1,0)</f>
        <v>0</v>
      </c>
      <c r="AR700">
        <f>IF(AP700&gt;=V700,1,0)</f>
        <v>0</v>
      </c>
      <c r="AS700">
        <f>IF(AP700&lt;(U700-0.10),1,0)</f>
        <v>0</v>
      </c>
      <c r="AT700">
        <f>1-AJ700/100</f>
        <v>0</v>
      </c>
      <c r="AU700">
        <f>IF(AN700=1,AT700,1)</f>
        <v>0</v>
      </c>
      <c r="AV700">
        <f>IF(AM700=1,AT700,1)</f>
        <v>0</v>
      </c>
      <c r="AW700">
        <f>IF(AND(AQ700=1,ISNUMBER(AT700)),$AT700,1)</f>
        <v>0</v>
      </c>
      <c r="AX700">
        <f>IF(AND(AR700=1,ISNUMBER(AT700)),$AT700,1)</f>
        <v>0</v>
      </c>
      <c r="AY700">
        <f>IF(ISNUMBER(Y700),INDEX(AllCollegeMoney, MATCH(N700,AllCollegeNCES,0)),0)</f>
        <v>0</v>
      </c>
      <c r="AZ700">
        <f>IF(AND(AQ700=1,ISNUMBER(AT700),AY700=1),$AT700,1)</f>
        <v>0</v>
      </c>
      <c r="BA700">
        <f>IF(AND(AR700=1,ISNUMBER(AT700),AY700=1),$AT700,1)</f>
        <v>0</v>
      </c>
      <c r="BB700">
        <f>IF(ISNUMBER(Y700),INDEX(AllCollegeILPub, MATCH(N700,AllCollegeNCES,0)),0)</f>
        <v>0</v>
      </c>
      <c r="BC700">
        <f>IF(AK700=ReachLabel,AP700,0)</f>
        <v>0</v>
      </c>
      <c r="BD700">
        <f>IF(AK700=MatchLabel,AP700,0)</f>
        <v>0</v>
      </c>
      <c r="BE700">
        <f>IF(AK700=SafetyLabel,AP700,0)</f>
        <v>0</v>
      </c>
      <c r="BF700">
        <f>IF(AK700=SecureLabel,AP700,0)</f>
        <v>0</v>
      </c>
      <c r="BG700">
        <f>IF(AK700=SureThingLabel,AP700,0)</f>
        <v>0</v>
      </c>
      <c r="BH700">
        <f>MAX(BC700:BG700)</f>
        <v>0</v>
      </c>
      <c r="BI700">
        <f>MAX(BD700:BG700)</f>
        <v>0</v>
      </c>
      <c r="BJ700">
        <f>MAX(BE700:BG700)</f>
        <v>0</v>
      </c>
      <c r="BK700">
        <f>IF(AND(AK700=ReachLabel,AY700=1),AP700,0)</f>
        <v>0</v>
      </c>
      <c r="BL700">
        <f>IF(AND(AK700=MatchLabel,AY700=1),AP700,0)</f>
        <v>0</v>
      </c>
      <c r="BM700">
        <f>IF(AND(AK700=SafetyLabel,AY700=1),AP700,0)</f>
        <v>0</v>
      </c>
      <c r="BN700">
        <f>IF(AND(AK700=SecureLabel,AY700=1),AP700,0)</f>
        <v>0</v>
      </c>
      <c r="BO700">
        <f>IF(AND(AK700=SureThingLabel,AY700=1),AP700,0)</f>
        <v>0</v>
      </c>
      <c r="BP700">
        <f>MAX(BK700:BO700)</f>
        <v>0</v>
      </c>
      <c r="BQ700">
        <f>MAX(BL700:BO700)</f>
        <v>0</v>
      </c>
      <c r="BR700">
        <f>MAX(BM700:BO700)</f>
        <v>0</v>
      </c>
      <c r="BS700">
        <f>IF(ISNUMBER(Y700),INDEX(AllCollegeChicago, MATCH(N700,AllCollegeNCES,0))*AY700,0)</f>
        <v>0</v>
      </c>
      <c r="BT700">
        <f>IF(ISNUMBER(Y700),INDEX(AllCollegeMoneyCode, MATCH(N700,AllCollegeNCES,0)),"?")</f>
        <v>0</v>
      </c>
      <c r="BU700">
        <f>IF(OR(BT700="---",BT700="--",BT700="+/--",BT700="+/---"),1,0)</f>
        <v>0</v>
      </c>
      <c r="BV700">
        <f>AY700*AO700*AQ700</f>
        <v>0</v>
      </c>
    </row>
    <row r="701" spans="1:74">
      <c r="A701" t="s">
        <v>86</v>
      </c>
      <c r="B701">
        <v>30115187</v>
      </c>
      <c r="C701" t="s">
        <v>123</v>
      </c>
      <c r="D701" t="s">
        <v>124</v>
      </c>
      <c r="E701" t="s">
        <v>428</v>
      </c>
      <c r="F701" t="s">
        <v>457</v>
      </c>
      <c r="G701" t="s">
        <v>463</v>
      </c>
      <c r="H701" t="s">
        <v>431</v>
      </c>
      <c r="I701" t="s">
        <v>432</v>
      </c>
      <c r="J701" t="s">
        <v>432</v>
      </c>
      <c r="K701">
        <v>0</v>
      </c>
      <c r="L701" t="s">
        <v>428</v>
      </c>
      <c r="M701" t="s">
        <v>428</v>
      </c>
      <c r="N701">
        <v>145637</v>
      </c>
      <c r="O701">
        <f>INDEX(AllCollegeBarrons,MATCH(N701,AllCollegeNCES,0))</f>
        <v>0</v>
      </c>
      <c r="P701">
        <f>INDEX(KidGPAs,MATCH(B701,KidIDs,0))</f>
        <v>0</v>
      </c>
      <c r="Q701">
        <f>INDEX(KidACTs,MATCH(B701,KidIDs,0))</f>
        <v>0</v>
      </c>
      <c r="R701">
        <f>INDEX(Strats,MATCH(B701,KidIDs,0))</f>
        <v>0</v>
      </c>
      <c r="S701">
        <f>INDEX(KidRace,MATCH(B701,KidIDs,0))</f>
        <v>0</v>
      </c>
      <c r="T701">
        <f>IF(OR(S701="M",S701="I"),"H",S701)</f>
        <v>0</v>
      </c>
      <c r="U701">
        <f>INDEX(StudentTargets,MATCH(B701,KidIDs,0))</f>
        <v>0</v>
      </c>
      <c r="V701">
        <f>INDEX(ReachStudentTargets,MATCH(B701,KidIDs,0))</f>
        <v>0</v>
      </c>
      <c r="W701">
        <f>IF(OR(M701="Posse"),1,0)</f>
        <v>0</v>
      </c>
      <c r="X701">
        <f>IF(ISNUMBER(INDEX(AllCollegeGR, MATCH(N701,AllCollegeNCES,0))),ROUND(INDEX(AllCollegeGR, MATCH(N701,AllCollegeNCES,0))+W701*IF(INDEX(AllCollegeGR, MATCH(N701,AllCollegeNCES,0))&gt;0.7,(1-INDEX(AllCollegeGR, MATCH(N701,AllCollegeNCES,0)))/2,0.15),2),INDEX(AllCollegeGR, MATCH(N701,AllCollegeNCES,0)))</f>
        <v>0</v>
      </c>
      <c r="Y701">
        <f>IF(ISNUMBER(INDEX(AllCollegeAAHGR, MATCH(N701,AllCollegeNCES,0))),ROUND(INDEX(AllCollegeAAHGR, MATCH(N701,AllCollegeNCES,0))+W701*IF(INDEX(AllCollegeAAHGR, MATCH(N701,AllCollegeNCES,0))&gt;0.7,(1-INDEX(AllCollegeAAHGR, MATCH(N701,AllCollegeNCES,0)))/2,0.15),2),INDEX(AllCollegeAAHGR, MATCH(N701,AllCollegeNCES,0)))</f>
        <v>0</v>
      </c>
      <c r="Z701">
        <f>IF(OR(T701="H",T701="B"),INDEX(AllCollegeACT25, MATCH(N701,AllCollegeNCES,0)),INDEX(AllCollegeACT50, MATCH(N701,AllCollegeNCES,0)))</f>
        <v>0</v>
      </c>
      <c r="AA701">
        <f>INDEX(CustomWeightsGPA,MATCH(T701&amp;":"&amp;N701,CustomWeightsIndex,0))</f>
        <v>0</v>
      </c>
      <c r="AB701">
        <f>INDEX(CustomWeightsACT,MATCH(T701&amp;":"&amp;N701,CustomWeightsIndex,0))</f>
        <v>0</v>
      </c>
      <c r="AC701">
        <f>INDEX(CustomWeightsIntercept,MATCH(T701&amp;":"&amp;N701,CustomWeightsIndex,0))</f>
        <v>0</v>
      </c>
      <c r="AD701">
        <f>AA701*P701+AB701*Q701+AC701</f>
        <v>0</v>
      </c>
      <c r="AE701">
        <f>INDEX(CoefficientsGPA,MATCH(T701&amp;":"&amp;O701,CoefficientsIndex,0))</f>
        <v>0</v>
      </c>
      <c r="AF701">
        <f>INDEX(CoefficientsACT,MATCH(T701&amp;":"&amp;O701,CoefficientsIndex,0))</f>
        <v>0</v>
      </c>
      <c r="AG701">
        <f>INDEX(CoefficientsIntercept,MATCH(T701&amp;":"&amp;O701,CoefficientsIndex,0))</f>
        <v>0</v>
      </c>
      <c r="AH701">
        <f>AE701*P701+(Q701-Z701)*AF701+AG701</f>
        <v>0</v>
      </c>
      <c r="AI701">
        <f>IF(ISNUMBER(AD701),AD701,AH701)</f>
        <v>0</v>
      </c>
      <c r="AJ701">
        <f>IF(ISNUMBER(AI701),IF(ISNUMBER(AE701),IF(AND(AE701=1,AF701=1,AG701=1),100,ROUND(100*EXP(AI701)/(1+EXP(AI701)),2)),ROUND(100*EXP(AI701)/(1+EXP(AI701)),2)),IF(ISTEXT(O701),IF(LEFT(O701,1)="2",100,"N/A"),"N/A"))</f>
        <v>0</v>
      </c>
      <c r="AK701">
        <f>IF(ISNUMBER(AJ701),IF(AJ701&gt;=99,IF(OR(R701=10,R701=11),MatchLabel,SureThingLabel),IF(AJ701&gt;=95,SecureLabel,IF(AJ701&gt;=80,SafetyLabel,IF(AJ701&gt;=50,MatchLabel,IF(AJ701&gt;=20,ReachLabel,IF(AJ701&gt;=10,LongshotLabel,HailMaryLabel)))))),"Other")</f>
        <v>0</v>
      </c>
      <c r="AL701">
        <f>IF(OR(I701="accepted",I701="cond. accept",I701="summer admit"),IF(J701="yes","CHOICE!","Accepted!"),IF(I701="denied","Denied",IF(K701=1,"Waitlist",IF(L701=1,"Deferred",IF(G701="pending","Pending",IF(OR(G701="initial materials submitted",G701="mid-year submitted",G701="final submitted"),"Submitted",IF(H701="interest","Interest","?")))))))</f>
        <v>0</v>
      </c>
      <c r="AM701">
        <f>IF(OR(AK701=ReachLabel,AK701=LongshotLabel,AK701=HailMaryLabel),1,0)</f>
        <v>0</v>
      </c>
      <c r="AN701">
        <f>IF(OR(AM701=1,AK701=MatchLabel),1,0)</f>
        <v>0</v>
      </c>
      <c r="AO701">
        <f>IF(OR(AK701=MatchLabel,AK701=SafetyLabel,AK701=SecureLabel,AK701=SureThingLabel),1,0)</f>
        <v>0</v>
      </c>
      <c r="AP701">
        <f>IF(OR(T701="H",T701="B"),IF(ISNUMBER(Y701),ROUND(Y701,2),0),IF(ISNUMBER(X701),ROUND(X701,2),0))</f>
        <v>0</v>
      </c>
      <c r="AQ701">
        <f>IF(AP701&gt;=U701,1,0)</f>
        <v>0</v>
      </c>
      <c r="AR701">
        <f>IF(AP701&gt;=V701,1,0)</f>
        <v>0</v>
      </c>
      <c r="AS701">
        <f>IF(AP701&lt;(U701-0.10),1,0)</f>
        <v>0</v>
      </c>
      <c r="AT701">
        <f>1-AJ701/100</f>
        <v>0</v>
      </c>
      <c r="AU701">
        <f>IF(AN701=1,AT701,1)</f>
        <v>0</v>
      </c>
      <c r="AV701">
        <f>IF(AM701=1,AT701,1)</f>
        <v>0</v>
      </c>
      <c r="AW701">
        <f>IF(AND(AQ701=1,ISNUMBER(AT701)),$AT701,1)</f>
        <v>0</v>
      </c>
      <c r="AX701">
        <f>IF(AND(AR701=1,ISNUMBER(AT701)),$AT701,1)</f>
        <v>0</v>
      </c>
      <c r="AY701">
        <f>IF(ISNUMBER(Y701),INDEX(AllCollegeMoney, MATCH(N701,AllCollegeNCES,0)),0)</f>
        <v>0</v>
      </c>
      <c r="AZ701">
        <f>IF(AND(AQ701=1,ISNUMBER(AT701),AY701=1),$AT701,1)</f>
        <v>0</v>
      </c>
      <c r="BA701">
        <f>IF(AND(AR701=1,ISNUMBER(AT701),AY701=1),$AT701,1)</f>
        <v>0</v>
      </c>
      <c r="BB701">
        <f>IF(ISNUMBER(Y701),INDEX(AllCollegeILPub, MATCH(N701,AllCollegeNCES,0)),0)</f>
        <v>0</v>
      </c>
      <c r="BC701">
        <f>IF(AK701=ReachLabel,AP701,0)</f>
        <v>0</v>
      </c>
      <c r="BD701">
        <f>IF(AK701=MatchLabel,AP701,0)</f>
        <v>0</v>
      </c>
      <c r="BE701">
        <f>IF(AK701=SafetyLabel,AP701,0)</f>
        <v>0</v>
      </c>
      <c r="BF701">
        <f>IF(AK701=SecureLabel,AP701,0)</f>
        <v>0</v>
      </c>
      <c r="BG701">
        <f>IF(AK701=SureThingLabel,AP701,0)</f>
        <v>0</v>
      </c>
      <c r="BH701">
        <f>MAX(BC701:BG701)</f>
        <v>0</v>
      </c>
      <c r="BI701">
        <f>MAX(BD701:BG701)</f>
        <v>0</v>
      </c>
      <c r="BJ701">
        <f>MAX(BE701:BG701)</f>
        <v>0</v>
      </c>
      <c r="BK701">
        <f>IF(AND(AK701=ReachLabel,AY701=1),AP701,0)</f>
        <v>0</v>
      </c>
      <c r="BL701">
        <f>IF(AND(AK701=MatchLabel,AY701=1),AP701,0)</f>
        <v>0</v>
      </c>
      <c r="BM701">
        <f>IF(AND(AK701=SafetyLabel,AY701=1),AP701,0)</f>
        <v>0</v>
      </c>
      <c r="BN701">
        <f>IF(AND(AK701=SecureLabel,AY701=1),AP701,0)</f>
        <v>0</v>
      </c>
      <c r="BO701">
        <f>IF(AND(AK701=SureThingLabel,AY701=1),AP701,0)</f>
        <v>0</v>
      </c>
      <c r="BP701">
        <f>MAX(BK701:BO701)</f>
        <v>0</v>
      </c>
      <c r="BQ701">
        <f>MAX(BL701:BO701)</f>
        <v>0</v>
      </c>
      <c r="BR701">
        <f>MAX(BM701:BO701)</f>
        <v>0</v>
      </c>
      <c r="BS701">
        <f>IF(ISNUMBER(Y701),INDEX(AllCollegeChicago, MATCH(N701,AllCollegeNCES,0))*AY701,0)</f>
        <v>0</v>
      </c>
      <c r="BT701">
        <f>IF(ISNUMBER(Y701),INDEX(AllCollegeMoneyCode, MATCH(N701,AllCollegeNCES,0)),"?")</f>
        <v>0</v>
      </c>
      <c r="BU701">
        <f>IF(OR(BT701="---",BT701="--",BT701="+/--",BT701="+/---"),1,0)</f>
        <v>0</v>
      </c>
      <c r="BV701">
        <f>AY701*AO701*AQ701</f>
        <v>0</v>
      </c>
    </row>
    <row r="702" spans="1:74">
      <c r="A702" t="s">
        <v>86</v>
      </c>
      <c r="B702">
        <v>30115187</v>
      </c>
      <c r="C702" t="s">
        <v>123</v>
      </c>
      <c r="D702" t="s">
        <v>124</v>
      </c>
      <c r="E702" t="s">
        <v>428</v>
      </c>
      <c r="F702" t="s">
        <v>459</v>
      </c>
      <c r="G702" t="s">
        <v>430</v>
      </c>
      <c r="H702" t="s">
        <v>431</v>
      </c>
      <c r="I702" t="s">
        <v>432</v>
      </c>
      <c r="J702" t="s">
        <v>432</v>
      </c>
      <c r="K702">
        <v>0</v>
      </c>
      <c r="L702" t="s">
        <v>428</v>
      </c>
      <c r="M702" t="s">
        <v>428</v>
      </c>
      <c r="N702">
        <v>146427</v>
      </c>
      <c r="O702">
        <f>INDEX(AllCollegeBarrons,MATCH(N702,AllCollegeNCES,0))</f>
        <v>0</v>
      </c>
      <c r="P702">
        <f>INDEX(KidGPAs,MATCH(B702,KidIDs,0))</f>
        <v>0</v>
      </c>
      <c r="Q702">
        <f>INDEX(KidACTs,MATCH(B702,KidIDs,0))</f>
        <v>0</v>
      </c>
      <c r="R702">
        <f>INDEX(Strats,MATCH(B702,KidIDs,0))</f>
        <v>0</v>
      </c>
      <c r="S702">
        <f>INDEX(KidRace,MATCH(B702,KidIDs,0))</f>
        <v>0</v>
      </c>
      <c r="T702">
        <f>IF(OR(S702="M",S702="I"),"H",S702)</f>
        <v>0</v>
      </c>
      <c r="U702">
        <f>INDEX(StudentTargets,MATCH(B702,KidIDs,0))</f>
        <v>0</v>
      </c>
      <c r="V702">
        <f>INDEX(ReachStudentTargets,MATCH(B702,KidIDs,0))</f>
        <v>0</v>
      </c>
      <c r="W702">
        <f>IF(OR(M702="Posse"),1,0)</f>
        <v>0</v>
      </c>
      <c r="X702">
        <f>IF(ISNUMBER(INDEX(AllCollegeGR, MATCH(N702,AllCollegeNCES,0))),ROUND(INDEX(AllCollegeGR, MATCH(N702,AllCollegeNCES,0))+W702*IF(INDEX(AllCollegeGR, MATCH(N702,AllCollegeNCES,0))&gt;0.7,(1-INDEX(AllCollegeGR, MATCH(N702,AllCollegeNCES,0)))/2,0.15),2),INDEX(AllCollegeGR, MATCH(N702,AllCollegeNCES,0)))</f>
        <v>0</v>
      </c>
      <c r="Y702">
        <f>IF(ISNUMBER(INDEX(AllCollegeAAHGR, MATCH(N702,AllCollegeNCES,0))),ROUND(INDEX(AllCollegeAAHGR, MATCH(N702,AllCollegeNCES,0))+W702*IF(INDEX(AllCollegeAAHGR, MATCH(N702,AllCollegeNCES,0))&gt;0.7,(1-INDEX(AllCollegeAAHGR, MATCH(N702,AllCollegeNCES,0)))/2,0.15),2),INDEX(AllCollegeAAHGR, MATCH(N702,AllCollegeNCES,0)))</f>
        <v>0</v>
      </c>
      <c r="Z702">
        <f>IF(OR(T702="H",T702="B"),INDEX(AllCollegeACT25, MATCH(N702,AllCollegeNCES,0)),INDEX(AllCollegeACT50, MATCH(N702,AllCollegeNCES,0)))</f>
        <v>0</v>
      </c>
      <c r="AA702">
        <f>INDEX(CustomWeightsGPA,MATCH(T702&amp;":"&amp;N702,CustomWeightsIndex,0))</f>
        <v>0</v>
      </c>
      <c r="AB702">
        <f>INDEX(CustomWeightsACT,MATCH(T702&amp;":"&amp;N702,CustomWeightsIndex,0))</f>
        <v>0</v>
      </c>
      <c r="AC702">
        <f>INDEX(CustomWeightsIntercept,MATCH(T702&amp;":"&amp;N702,CustomWeightsIndex,0))</f>
        <v>0</v>
      </c>
      <c r="AD702">
        <f>AA702*P702+AB702*Q702+AC702</f>
        <v>0</v>
      </c>
      <c r="AE702">
        <f>INDEX(CoefficientsGPA,MATCH(T702&amp;":"&amp;O702,CoefficientsIndex,0))</f>
        <v>0</v>
      </c>
      <c r="AF702">
        <f>INDEX(CoefficientsACT,MATCH(T702&amp;":"&amp;O702,CoefficientsIndex,0))</f>
        <v>0</v>
      </c>
      <c r="AG702">
        <f>INDEX(CoefficientsIntercept,MATCH(T702&amp;":"&amp;O702,CoefficientsIndex,0))</f>
        <v>0</v>
      </c>
      <c r="AH702">
        <f>AE702*P702+(Q702-Z702)*AF702+AG702</f>
        <v>0</v>
      </c>
      <c r="AI702">
        <f>IF(ISNUMBER(AD702),AD702,AH702)</f>
        <v>0</v>
      </c>
      <c r="AJ702">
        <f>IF(ISNUMBER(AI702),IF(ISNUMBER(AE702),IF(AND(AE702=1,AF702=1,AG702=1),100,ROUND(100*EXP(AI702)/(1+EXP(AI702)),2)),ROUND(100*EXP(AI702)/(1+EXP(AI702)),2)),IF(ISTEXT(O702),IF(LEFT(O702,1)="2",100,"N/A"),"N/A"))</f>
        <v>0</v>
      </c>
      <c r="AK702">
        <f>IF(ISNUMBER(AJ702),IF(AJ702&gt;=99,IF(OR(R702=10,R702=11),MatchLabel,SureThingLabel),IF(AJ702&gt;=95,SecureLabel,IF(AJ702&gt;=80,SafetyLabel,IF(AJ702&gt;=50,MatchLabel,IF(AJ702&gt;=20,ReachLabel,IF(AJ702&gt;=10,LongshotLabel,HailMaryLabel)))))),"Other")</f>
        <v>0</v>
      </c>
      <c r="AL702">
        <f>IF(OR(I702="accepted",I702="cond. accept",I702="summer admit"),IF(J702="yes","CHOICE!","Accepted!"),IF(I702="denied","Denied",IF(K702=1,"Waitlist",IF(L702=1,"Deferred",IF(G702="pending","Pending",IF(OR(G702="initial materials submitted",G702="mid-year submitted",G702="final submitted"),"Submitted",IF(H702="interest","Interest","?")))))))</f>
        <v>0</v>
      </c>
      <c r="AM702">
        <f>IF(OR(AK702=ReachLabel,AK702=LongshotLabel,AK702=HailMaryLabel),1,0)</f>
        <v>0</v>
      </c>
      <c r="AN702">
        <f>IF(OR(AM702=1,AK702=MatchLabel),1,0)</f>
        <v>0</v>
      </c>
      <c r="AO702">
        <f>IF(OR(AK702=MatchLabel,AK702=SafetyLabel,AK702=SecureLabel,AK702=SureThingLabel),1,0)</f>
        <v>0</v>
      </c>
      <c r="AP702">
        <f>IF(OR(T702="H",T702="B"),IF(ISNUMBER(Y702),ROUND(Y702,2),0),IF(ISNUMBER(X702),ROUND(X702,2),0))</f>
        <v>0</v>
      </c>
      <c r="AQ702">
        <f>IF(AP702&gt;=U702,1,0)</f>
        <v>0</v>
      </c>
      <c r="AR702">
        <f>IF(AP702&gt;=V702,1,0)</f>
        <v>0</v>
      </c>
      <c r="AS702">
        <f>IF(AP702&lt;(U702-0.10),1,0)</f>
        <v>0</v>
      </c>
      <c r="AT702">
        <f>1-AJ702/100</f>
        <v>0</v>
      </c>
      <c r="AU702">
        <f>IF(AN702=1,AT702,1)</f>
        <v>0</v>
      </c>
      <c r="AV702">
        <f>IF(AM702=1,AT702,1)</f>
        <v>0</v>
      </c>
      <c r="AW702">
        <f>IF(AND(AQ702=1,ISNUMBER(AT702)),$AT702,1)</f>
        <v>0</v>
      </c>
      <c r="AX702">
        <f>IF(AND(AR702=1,ISNUMBER(AT702)),$AT702,1)</f>
        <v>0</v>
      </c>
      <c r="AY702">
        <f>IF(ISNUMBER(Y702),INDEX(AllCollegeMoney, MATCH(N702,AllCollegeNCES,0)),0)</f>
        <v>0</v>
      </c>
      <c r="AZ702">
        <f>IF(AND(AQ702=1,ISNUMBER(AT702),AY702=1),$AT702,1)</f>
        <v>0</v>
      </c>
      <c r="BA702">
        <f>IF(AND(AR702=1,ISNUMBER(AT702),AY702=1),$AT702,1)</f>
        <v>0</v>
      </c>
      <c r="BB702">
        <f>IF(ISNUMBER(Y702),INDEX(AllCollegeILPub, MATCH(N702,AllCollegeNCES,0)),0)</f>
        <v>0</v>
      </c>
      <c r="BC702">
        <f>IF(AK702=ReachLabel,AP702,0)</f>
        <v>0</v>
      </c>
      <c r="BD702">
        <f>IF(AK702=MatchLabel,AP702,0)</f>
        <v>0</v>
      </c>
      <c r="BE702">
        <f>IF(AK702=SafetyLabel,AP702,0)</f>
        <v>0</v>
      </c>
      <c r="BF702">
        <f>IF(AK702=SecureLabel,AP702,0)</f>
        <v>0</v>
      </c>
      <c r="BG702">
        <f>IF(AK702=SureThingLabel,AP702,0)</f>
        <v>0</v>
      </c>
      <c r="BH702">
        <f>MAX(BC702:BG702)</f>
        <v>0</v>
      </c>
      <c r="BI702">
        <f>MAX(BD702:BG702)</f>
        <v>0</v>
      </c>
      <c r="BJ702">
        <f>MAX(BE702:BG702)</f>
        <v>0</v>
      </c>
      <c r="BK702">
        <f>IF(AND(AK702=ReachLabel,AY702=1),AP702,0)</f>
        <v>0</v>
      </c>
      <c r="BL702">
        <f>IF(AND(AK702=MatchLabel,AY702=1),AP702,0)</f>
        <v>0</v>
      </c>
      <c r="BM702">
        <f>IF(AND(AK702=SafetyLabel,AY702=1),AP702,0)</f>
        <v>0</v>
      </c>
      <c r="BN702">
        <f>IF(AND(AK702=SecureLabel,AY702=1),AP702,0)</f>
        <v>0</v>
      </c>
      <c r="BO702">
        <f>IF(AND(AK702=SureThingLabel,AY702=1),AP702,0)</f>
        <v>0</v>
      </c>
      <c r="BP702">
        <f>MAX(BK702:BO702)</f>
        <v>0</v>
      </c>
      <c r="BQ702">
        <f>MAX(BL702:BO702)</f>
        <v>0</v>
      </c>
      <c r="BR702">
        <f>MAX(BM702:BO702)</f>
        <v>0</v>
      </c>
      <c r="BS702">
        <f>IF(ISNUMBER(Y702),INDEX(AllCollegeChicago, MATCH(N702,AllCollegeNCES,0))*AY702,0)</f>
        <v>0</v>
      </c>
      <c r="BT702">
        <f>IF(ISNUMBER(Y702),INDEX(AllCollegeMoneyCode, MATCH(N702,AllCollegeNCES,0)),"?")</f>
        <v>0</v>
      </c>
      <c r="BU702">
        <f>IF(OR(BT702="---",BT702="--",BT702="+/--",BT702="+/---"),1,0)</f>
        <v>0</v>
      </c>
      <c r="BV702">
        <f>AY702*AO702*AQ702</f>
        <v>0</v>
      </c>
    </row>
    <row r="703" spans="1:74">
      <c r="A703" t="s">
        <v>86</v>
      </c>
      <c r="B703">
        <v>30115187</v>
      </c>
      <c r="C703" t="s">
        <v>123</v>
      </c>
      <c r="D703" t="s">
        <v>124</v>
      </c>
      <c r="E703" t="s">
        <v>428</v>
      </c>
      <c r="F703" t="s">
        <v>470</v>
      </c>
      <c r="G703" t="s">
        <v>430</v>
      </c>
      <c r="H703" t="s">
        <v>431</v>
      </c>
      <c r="I703" t="s">
        <v>432</v>
      </c>
      <c r="J703" t="s">
        <v>432</v>
      </c>
      <c r="K703">
        <v>0</v>
      </c>
      <c r="L703" t="s">
        <v>428</v>
      </c>
      <c r="M703" t="s">
        <v>428</v>
      </c>
      <c r="N703">
        <v>206589</v>
      </c>
      <c r="O703">
        <f>INDEX(AllCollegeBarrons,MATCH(N703,AllCollegeNCES,0))</f>
        <v>0</v>
      </c>
      <c r="P703">
        <f>INDEX(KidGPAs,MATCH(B703,KidIDs,0))</f>
        <v>0</v>
      </c>
      <c r="Q703">
        <f>INDEX(KidACTs,MATCH(B703,KidIDs,0))</f>
        <v>0</v>
      </c>
      <c r="R703">
        <f>INDEX(Strats,MATCH(B703,KidIDs,0))</f>
        <v>0</v>
      </c>
      <c r="S703">
        <f>INDEX(KidRace,MATCH(B703,KidIDs,0))</f>
        <v>0</v>
      </c>
      <c r="T703">
        <f>IF(OR(S703="M",S703="I"),"H",S703)</f>
        <v>0</v>
      </c>
      <c r="U703">
        <f>INDEX(StudentTargets,MATCH(B703,KidIDs,0))</f>
        <v>0</v>
      </c>
      <c r="V703">
        <f>INDEX(ReachStudentTargets,MATCH(B703,KidIDs,0))</f>
        <v>0</v>
      </c>
      <c r="W703">
        <f>IF(OR(M703="Posse"),1,0)</f>
        <v>0</v>
      </c>
      <c r="X703">
        <f>IF(ISNUMBER(INDEX(AllCollegeGR, MATCH(N703,AllCollegeNCES,0))),ROUND(INDEX(AllCollegeGR, MATCH(N703,AllCollegeNCES,0))+W703*IF(INDEX(AllCollegeGR, MATCH(N703,AllCollegeNCES,0))&gt;0.7,(1-INDEX(AllCollegeGR, MATCH(N703,AllCollegeNCES,0)))/2,0.15),2),INDEX(AllCollegeGR, MATCH(N703,AllCollegeNCES,0)))</f>
        <v>0</v>
      </c>
      <c r="Y703">
        <f>IF(ISNUMBER(INDEX(AllCollegeAAHGR, MATCH(N703,AllCollegeNCES,0))),ROUND(INDEX(AllCollegeAAHGR, MATCH(N703,AllCollegeNCES,0))+W703*IF(INDEX(AllCollegeAAHGR, MATCH(N703,AllCollegeNCES,0))&gt;0.7,(1-INDEX(AllCollegeAAHGR, MATCH(N703,AllCollegeNCES,0)))/2,0.15),2),INDEX(AllCollegeAAHGR, MATCH(N703,AllCollegeNCES,0)))</f>
        <v>0</v>
      </c>
      <c r="Z703">
        <f>IF(OR(T703="H",T703="B"),INDEX(AllCollegeACT25, MATCH(N703,AllCollegeNCES,0)),INDEX(AllCollegeACT50, MATCH(N703,AllCollegeNCES,0)))</f>
        <v>0</v>
      </c>
      <c r="AA703">
        <f>INDEX(CustomWeightsGPA,MATCH(T703&amp;":"&amp;N703,CustomWeightsIndex,0))</f>
        <v>0</v>
      </c>
      <c r="AB703">
        <f>INDEX(CustomWeightsACT,MATCH(T703&amp;":"&amp;N703,CustomWeightsIndex,0))</f>
        <v>0</v>
      </c>
      <c r="AC703">
        <f>INDEX(CustomWeightsIntercept,MATCH(T703&amp;":"&amp;N703,CustomWeightsIndex,0))</f>
        <v>0</v>
      </c>
      <c r="AD703">
        <f>AA703*P703+AB703*Q703+AC703</f>
        <v>0</v>
      </c>
      <c r="AE703">
        <f>INDEX(CoefficientsGPA,MATCH(T703&amp;":"&amp;O703,CoefficientsIndex,0))</f>
        <v>0</v>
      </c>
      <c r="AF703">
        <f>INDEX(CoefficientsACT,MATCH(T703&amp;":"&amp;O703,CoefficientsIndex,0))</f>
        <v>0</v>
      </c>
      <c r="AG703">
        <f>INDEX(CoefficientsIntercept,MATCH(T703&amp;":"&amp;O703,CoefficientsIndex,0))</f>
        <v>0</v>
      </c>
      <c r="AH703">
        <f>AE703*P703+(Q703-Z703)*AF703+AG703</f>
        <v>0</v>
      </c>
      <c r="AI703">
        <f>IF(ISNUMBER(AD703),AD703,AH703)</f>
        <v>0</v>
      </c>
      <c r="AJ703">
        <f>IF(ISNUMBER(AI703),IF(ISNUMBER(AE703),IF(AND(AE703=1,AF703=1,AG703=1),100,ROUND(100*EXP(AI703)/(1+EXP(AI703)),2)),ROUND(100*EXP(AI703)/(1+EXP(AI703)),2)),IF(ISTEXT(O703),IF(LEFT(O703,1)="2",100,"N/A"),"N/A"))</f>
        <v>0</v>
      </c>
      <c r="AK703">
        <f>IF(ISNUMBER(AJ703),IF(AJ703&gt;=99,IF(OR(R703=10,R703=11),MatchLabel,SureThingLabel),IF(AJ703&gt;=95,SecureLabel,IF(AJ703&gt;=80,SafetyLabel,IF(AJ703&gt;=50,MatchLabel,IF(AJ703&gt;=20,ReachLabel,IF(AJ703&gt;=10,LongshotLabel,HailMaryLabel)))))),"Other")</f>
        <v>0</v>
      </c>
      <c r="AL703">
        <f>IF(OR(I703="accepted",I703="cond. accept",I703="summer admit"),IF(J703="yes","CHOICE!","Accepted!"),IF(I703="denied","Denied",IF(K703=1,"Waitlist",IF(L703=1,"Deferred",IF(G703="pending","Pending",IF(OR(G703="initial materials submitted",G703="mid-year submitted",G703="final submitted"),"Submitted",IF(H703="interest","Interest","?")))))))</f>
        <v>0</v>
      </c>
      <c r="AM703">
        <f>IF(OR(AK703=ReachLabel,AK703=LongshotLabel,AK703=HailMaryLabel),1,0)</f>
        <v>0</v>
      </c>
      <c r="AN703">
        <f>IF(OR(AM703=1,AK703=MatchLabel),1,0)</f>
        <v>0</v>
      </c>
      <c r="AO703">
        <f>IF(OR(AK703=MatchLabel,AK703=SafetyLabel,AK703=SecureLabel,AK703=SureThingLabel),1,0)</f>
        <v>0</v>
      </c>
      <c r="AP703">
        <f>IF(OR(T703="H",T703="B"),IF(ISNUMBER(Y703),ROUND(Y703,2),0),IF(ISNUMBER(X703),ROUND(X703,2),0))</f>
        <v>0</v>
      </c>
      <c r="AQ703">
        <f>IF(AP703&gt;=U703,1,0)</f>
        <v>0</v>
      </c>
      <c r="AR703">
        <f>IF(AP703&gt;=V703,1,0)</f>
        <v>0</v>
      </c>
      <c r="AS703">
        <f>IF(AP703&lt;(U703-0.10),1,0)</f>
        <v>0</v>
      </c>
      <c r="AT703">
        <f>1-AJ703/100</f>
        <v>0</v>
      </c>
      <c r="AU703">
        <f>IF(AN703=1,AT703,1)</f>
        <v>0</v>
      </c>
      <c r="AV703">
        <f>IF(AM703=1,AT703,1)</f>
        <v>0</v>
      </c>
      <c r="AW703">
        <f>IF(AND(AQ703=1,ISNUMBER(AT703)),$AT703,1)</f>
        <v>0</v>
      </c>
      <c r="AX703">
        <f>IF(AND(AR703=1,ISNUMBER(AT703)),$AT703,1)</f>
        <v>0</v>
      </c>
      <c r="AY703">
        <f>IF(ISNUMBER(Y703),INDEX(AllCollegeMoney, MATCH(N703,AllCollegeNCES,0)),0)</f>
        <v>0</v>
      </c>
      <c r="AZ703">
        <f>IF(AND(AQ703=1,ISNUMBER(AT703),AY703=1),$AT703,1)</f>
        <v>0</v>
      </c>
      <c r="BA703">
        <f>IF(AND(AR703=1,ISNUMBER(AT703),AY703=1),$AT703,1)</f>
        <v>0</v>
      </c>
      <c r="BB703">
        <f>IF(ISNUMBER(Y703),INDEX(AllCollegeILPub, MATCH(N703,AllCollegeNCES,0)),0)</f>
        <v>0</v>
      </c>
      <c r="BC703">
        <f>IF(AK703=ReachLabel,AP703,0)</f>
        <v>0</v>
      </c>
      <c r="BD703">
        <f>IF(AK703=MatchLabel,AP703,0)</f>
        <v>0</v>
      </c>
      <c r="BE703">
        <f>IF(AK703=SafetyLabel,AP703,0)</f>
        <v>0</v>
      </c>
      <c r="BF703">
        <f>IF(AK703=SecureLabel,AP703,0)</f>
        <v>0</v>
      </c>
      <c r="BG703">
        <f>IF(AK703=SureThingLabel,AP703,0)</f>
        <v>0</v>
      </c>
      <c r="BH703">
        <f>MAX(BC703:BG703)</f>
        <v>0</v>
      </c>
      <c r="BI703">
        <f>MAX(BD703:BG703)</f>
        <v>0</v>
      </c>
      <c r="BJ703">
        <f>MAX(BE703:BG703)</f>
        <v>0</v>
      </c>
      <c r="BK703">
        <f>IF(AND(AK703=ReachLabel,AY703=1),AP703,0)</f>
        <v>0</v>
      </c>
      <c r="BL703">
        <f>IF(AND(AK703=MatchLabel,AY703=1),AP703,0)</f>
        <v>0</v>
      </c>
      <c r="BM703">
        <f>IF(AND(AK703=SafetyLabel,AY703=1),AP703,0)</f>
        <v>0</v>
      </c>
      <c r="BN703">
        <f>IF(AND(AK703=SecureLabel,AY703=1),AP703,0)</f>
        <v>0</v>
      </c>
      <c r="BO703">
        <f>IF(AND(AK703=SureThingLabel,AY703=1),AP703,0)</f>
        <v>0</v>
      </c>
      <c r="BP703">
        <f>MAX(BK703:BO703)</f>
        <v>0</v>
      </c>
      <c r="BQ703">
        <f>MAX(BL703:BO703)</f>
        <v>0</v>
      </c>
      <c r="BR703">
        <f>MAX(BM703:BO703)</f>
        <v>0</v>
      </c>
      <c r="BS703">
        <f>IF(ISNUMBER(Y703),INDEX(AllCollegeChicago, MATCH(N703,AllCollegeNCES,0))*AY703,0)</f>
        <v>0</v>
      </c>
      <c r="BT703">
        <f>IF(ISNUMBER(Y703),INDEX(AllCollegeMoneyCode, MATCH(N703,AllCollegeNCES,0)),"?")</f>
        <v>0</v>
      </c>
      <c r="BU703">
        <f>IF(OR(BT703="---",BT703="--",BT703="+/--",BT703="+/---"),1,0)</f>
        <v>0</v>
      </c>
      <c r="BV703">
        <f>AY703*AO703*AQ703</f>
        <v>0</v>
      </c>
    </row>
    <row r="704" spans="1:74">
      <c r="A704" t="s">
        <v>86</v>
      </c>
      <c r="B704">
        <v>30115187</v>
      </c>
      <c r="C704" t="s">
        <v>123</v>
      </c>
      <c r="D704" t="s">
        <v>124</v>
      </c>
      <c r="E704" t="s">
        <v>428</v>
      </c>
      <c r="F704" t="s">
        <v>584</v>
      </c>
      <c r="G704" t="s">
        <v>430</v>
      </c>
      <c r="H704" t="s">
        <v>431</v>
      </c>
      <c r="I704" t="s">
        <v>432</v>
      </c>
      <c r="J704" t="s">
        <v>432</v>
      </c>
      <c r="K704">
        <v>0</v>
      </c>
      <c r="L704" t="s">
        <v>428</v>
      </c>
      <c r="M704" t="s">
        <v>428</v>
      </c>
      <c r="N704">
        <v>122612</v>
      </c>
      <c r="O704">
        <f>INDEX(AllCollegeBarrons,MATCH(N704,AllCollegeNCES,0))</f>
        <v>0</v>
      </c>
      <c r="P704">
        <f>INDEX(KidGPAs,MATCH(B704,KidIDs,0))</f>
        <v>0</v>
      </c>
      <c r="Q704">
        <f>INDEX(KidACTs,MATCH(B704,KidIDs,0))</f>
        <v>0</v>
      </c>
      <c r="R704">
        <f>INDEX(Strats,MATCH(B704,KidIDs,0))</f>
        <v>0</v>
      </c>
      <c r="S704">
        <f>INDEX(KidRace,MATCH(B704,KidIDs,0))</f>
        <v>0</v>
      </c>
      <c r="T704">
        <f>IF(OR(S704="M",S704="I"),"H",S704)</f>
        <v>0</v>
      </c>
      <c r="U704">
        <f>INDEX(StudentTargets,MATCH(B704,KidIDs,0))</f>
        <v>0</v>
      </c>
      <c r="V704">
        <f>INDEX(ReachStudentTargets,MATCH(B704,KidIDs,0))</f>
        <v>0</v>
      </c>
      <c r="W704">
        <f>IF(OR(M704="Posse"),1,0)</f>
        <v>0</v>
      </c>
      <c r="X704">
        <f>IF(ISNUMBER(INDEX(AllCollegeGR, MATCH(N704,AllCollegeNCES,0))),ROUND(INDEX(AllCollegeGR, MATCH(N704,AllCollegeNCES,0))+W704*IF(INDEX(AllCollegeGR, MATCH(N704,AllCollegeNCES,0))&gt;0.7,(1-INDEX(AllCollegeGR, MATCH(N704,AllCollegeNCES,0)))/2,0.15),2),INDEX(AllCollegeGR, MATCH(N704,AllCollegeNCES,0)))</f>
        <v>0</v>
      </c>
      <c r="Y704">
        <f>IF(ISNUMBER(INDEX(AllCollegeAAHGR, MATCH(N704,AllCollegeNCES,0))),ROUND(INDEX(AllCollegeAAHGR, MATCH(N704,AllCollegeNCES,0))+W704*IF(INDEX(AllCollegeAAHGR, MATCH(N704,AllCollegeNCES,0))&gt;0.7,(1-INDEX(AllCollegeAAHGR, MATCH(N704,AllCollegeNCES,0)))/2,0.15),2),INDEX(AllCollegeAAHGR, MATCH(N704,AllCollegeNCES,0)))</f>
        <v>0</v>
      </c>
      <c r="Z704">
        <f>IF(OR(T704="H",T704="B"),INDEX(AllCollegeACT25, MATCH(N704,AllCollegeNCES,0)),INDEX(AllCollegeACT50, MATCH(N704,AllCollegeNCES,0)))</f>
        <v>0</v>
      </c>
      <c r="AA704">
        <f>INDEX(CustomWeightsGPA,MATCH(T704&amp;":"&amp;N704,CustomWeightsIndex,0))</f>
        <v>0</v>
      </c>
      <c r="AB704">
        <f>INDEX(CustomWeightsACT,MATCH(T704&amp;":"&amp;N704,CustomWeightsIndex,0))</f>
        <v>0</v>
      </c>
      <c r="AC704">
        <f>INDEX(CustomWeightsIntercept,MATCH(T704&amp;":"&amp;N704,CustomWeightsIndex,0))</f>
        <v>0</v>
      </c>
      <c r="AD704">
        <f>AA704*P704+AB704*Q704+AC704</f>
        <v>0</v>
      </c>
      <c r="AE704">
        <f>INDEX(CoefficientsGPA,MATCH(T704&amp;":"&amp;O704,CoefficientsIndex,0))</f>
        <v>0</v>
      </c>
      <c r="AF704">
        <f>INDEX(CoefficientsACT,MATCH(T704&amp;":"&amp;O704,CoefficientsIndex,0))</f>
        <v>0</v>
      </c>
      <c r="AG704">
        <f>INDEX(CoefficientsIntercept,MATCH(T704&amp;":"&amp;O704,CoefficientsIndex,0))</f>
        <v>0</v>
      </c>
      <c r="AH704">
        <f>AE704*P704+(Q704-Z704)*AF704+AG704</f>
        <v>0</v>
      </c>
      <c r="AI704">
        <f>IF(ISNUMBER(AD704),AD704,AH704)</f>
        <v>0</v>
      </c>
      <c r="AJ704">
        <f>IF(ISNUMBER(AI704),IF(ISNUMBER(AE704),IF(AND(AE704=1,AF704=1,AG704=1),100,ROUND(100*EXP(AI704)/(1+EXP(AI704)),2)),ROUND(100*EXP(AI704)/(1+EXP(AI704)),2)),IF(ISTEXT(O704),IF(LEFT(O704,1)="2",100,"N/A"),"N/A"))</f>
        <v>0</v>
      </c>
      <c r="AK704">
        <f>IF(ISNUMBER(AJ704),IF(AJ704&gt;=99,IF(OR(R704=10,R704=11),MatchLabel,SureThingLabel),IF(AJ704&gt;=95,SecureLabel,IF(AJ704&gt;=80,SafetyLabel,IF(AJ704&gt;=50,MatchLabel,IF(AJ704&gt;=20,ReachLabel,IF(AJ704&gt;=10,LongshotLabel,HailMaryLabel)))))),"Other")</f>
        <v>0</v>
      </c>
      <c r="AL704">
        <f>IF(OR(I704="accepted",I704="cond. accept",I704="summer admit"),IF(J704="yes","CHOICE!","Accepted!"),IF(I704="denied","Denied",IF(K704=1,"Waitlist",IF(L704=1,"Deferred",IF(G704="pending","Pending",IF(OR(G704="initial materials submitted",G704="mid-year submitted",G704="final submitted"),"Submitted",IF(H704="interest","Interest","?")))))))</f>
        <v>0</v>
      </c>
      <c r="AM704">
        <f>IF(OR(AK704=ReachLabel,AK704=LongshotLabel,AK704=HailMaryLabel),1,0)</f>
        <v>0</v>
      </c>
      <c r="AN704">
        <f>IF(OR(AM704=1,AK704=MatchLabel),1,0)</f>
        <v>0</v>
      </c>
      <c r="AO704">
        <f>IF(OR(AK704=MatchLabel,AK704=SafetyLabel,AK704=SecureLabel,AK704=SureThingLabel),1,0)</f>
        <v>0</v>
      </c>
      <c r="AP704">
        <f>IF(OR(T704="H",T704="B"),IF(ISNUMBER(Y704),ROUND(Y704,2),0),IF(ISNUMBER(X704),ROUND(X704,2),0))</f>
        <v>0</v>
      </c>
      <c r="AQ704">
        <f>IF(AP704&gt;=U704,1,0)</f>
        <v>0</v>
      </c>
      <c r="AR704">
        <f>IF(AP704&gt;=V704,1,0)</f>
        <v>0</v>
      </c>
      <c r="AS704">
        <f>IF(AP704&lt;(U704-0.10),1,0)</f>
        <v>0</v>
      </c>
      <c r="AT704">
        <f>1-AJ704/100</f>
        <v>0</v>
      </c>
      <c r="AU704">
        <f>IF(AN704=1,AT704,1)</f>
        <v>0</v>
      </c>
      <c r="AV704">
        <f>IF(AM704=1,AT704,1)</f>
        <v>0</v>
      </c>
      <c r="AW704">
        <f>IF(AND(AQ704=1,ISNUMBER(AT704)),$AT704,1)</f>
        <v>0</v>
      </c>
      <c r="AX704">
        <f>IF(AND(AR704=1,ISNUMBER(AT704)),$AT704,1)</f>
        <v>0</v>
      </c>
      <c r="AY704">
        <f>IF(ISNUMBER(Y704),INDEX(AllCollegeMoney, MATCH(N704,AllCollegeNCES,0)),0)</f>
        <v>0</v>
      </c>
      <c r="AZ704">
        <f>IF(AND(AQ704=1,ISNUMBER(AT704),AY704=1),$AT704,1)</f>
        <v>0</v>
      </c>
      <c r="BA704">
        <f>IF(AND(AR704=1,ISNUMBER(AT704),AY704=1),$AT704,1)</f>
        <v>0</v>
      </c>
      <c r="BB704">
        <f>IF(ISNUMBER(Y704),INDEX(AllCollegeILPub, MATCH(N704,AllCollegeNCES,0)),0)</f>
        <v>0</v>
      </c>
      <c r="BC704">
        <f>IF(AK704=ReachLabel,AP704,0)</f>
        <v>0</v>
      </c>
      <c r="BD704">
        <f>IF(AK704=MatchLabel,AP704,0)</f>
        <v>0</v>
      </c>
      <c r="BE704">
        <f>IF(AK704=SafetyLabel,AP704,0)</f>
        <v>0</v>
      </c>
      <c r="BF704">
        <f>IF(AK704=SecureLabel,AP704,0)</f>
        <v>0</v>
      </c>
      <c r="BG704">
        <f>IF(AK704=SureThingLabel,AP704,0)</f>
        <v>0</v>
      </c>
      <c r="BH704">
        <f>MAX(BC704:BG704)</f>
        <v>0</v>
      </c>
      <c r="BI704">
        <f>MAX(BD704:BG704)</f>
        <v>0</v>
      </c>
      <c r="BJ704">
        <f>MAX(BE704:BG704)</f>
        <v>0</v>
      </c>
      <c r="BK704">
        <f>IF(AND(AK704=ReachLabel,AY704=1),AP704,0)</f>
        <v>0</v>
      </c>
      <c r="BL704">
        <f>IF(AND(AK704=MatchLabel,AY704=1),AP704,0)</f>
        <v>0</v>
      </c>
      <c r="BM704">
        <f>IF(AND(AK704=SafetyLabel,AY704=1),AP704,0)</f>
        <v>0</v>
      </c>
      <c r="BN704">
        <f>IF(AND(AK704=SecureLabel,AY704=1),AP704,0)</f>
        <v>0</v>
      </c>
      <c r="BO704">
        <f>IF(AND(AK704=SureThingLabel,AY704=1),AP704,0)</f>
        <v>0</v>
      </c>
      <c r="BP704">
        <f>MAX(BK704:BO704)</f>
        <v>0</v>
      </c>
      <c r="BQ704">
        <f>MAX(BL704:BO704)</f>
        <v>0</v>
      </c>
      <c r="BR704">
        <f>MAX(BM704:BO704)</f>
        <v>0</v>
      </c>
      <c r="BS704">
        <f>IF(ISNUMBER(Y704),INDEX(AllCollegeChicago, MATCH(N704,AllCollegeNCES,0))*AY704,0)</f>
        <v>0</v>
      </c>
      <c r="BT704">
        <f>IF(ISNUMBER(Y704),INDEX(AllCollegeMoneyCode, MATCH(N704,AllCollegeNCES,0)),"?")</f>
        <v>0</v>
      </c>
      <c r="BU704">
        <f>IF(OR(BT704="---",BT704="--",BT704="+/--",BT704="+/---"),1,0)</f>
        <v>0</v>
      </c>
      <c r="BV704">
        <f>AY704*AO704*AQ704</f>
        <v>0</v>
      </c>
    </row>
    <row r="705" spans="1:74">
      <c r="A705" t="s">
        <v>86</v>
      </c>
      <c r="B705">
        <v>30115187</v>
      </c>
      <c r="C705" t="s">
        <v>123</v>
      </c>
      <c r="D705" t="s">
        <v>124</v>
      </c>
      <c r="E705" t="s">
        <v>428</v>
      </c>
      <c r="F705" t="s">
        <v>471</v>
      </c>
      <c r="G705" t="s">
        <v>463</v>
      </c>
      <c r="H705" t="s">
        <v>431</v>
      </c>
      <c r="I705" t="s">
        <v>432</v>
      </c>
      <c r="J705" t="s">
        <v>432</v>
      </c>
      <c r="K705">
        <v>0</v>
      </c>
      <c r="L705" t="s">
        <v>428</v>
      </c>
      <c r="M705" t="s">
        <v>428</v>
      </c>
      <c r="N705">
        <v>170301</v>
      </c>
      <c r="O705">
        <f>INDEX(AllCollegeBarrons,MATCH(N705,AllCollegeNCES,0))</f>
        <v>0</v>
      </c>
      <c r="P705">
        <f>INDEX(KidGPAs,MATCH(B705,KidIDs,0))</f>
        <v>0</v>
      </c>
      <c r="Q705">
        <f>INDEX(KidACTs,MATCH(B705,KidIDs,0))</f>
        <v>0</v>
      </c>
      <c r="R705">
        <f>INDEX(Strats,MATCH(B705,KidIDs,0))</f>
        <v>0</v>
      </c>
      <c r="S705">
        <f>INDEX(KidRace,MATCH(B705,KidIDs,0))</f>
        <v>0</v>
      </c>
      <c r="T705">
        <f>IF(OR(S705="M",S705="I"),"H",S705)</f>
        <v>0</v>
      </c>
      <c r="U705">
        <f>INDEX(StudentTargets,MATCH(B705,KidIDs,0))</f>
        <v>0</v>
      </c>
      <c r="V705">
        <f>INDEX(ReachStudentTargets,MATCH(B705,KidIDs,0))</f>
        <v>0</v>
      </c>
      <c r="W705">
        <f>IF(OR(M705="Posse"),1,0)</f>
        <v>0</v>
      </c>
      <c r="X705">
        <f>IF(ISNUMBER(INDEX(AllCollegeGR, MATCH(N705,AllCollegeNCES,0))),ROUND(INDEX(AllCollegeGR, MATCH(N705,AllCollegeNCES,0))+W705*IF(INDEX(AllCollegeGR, MATCH(N705,AllCollegeNCES,0))&gt;0.7,(1-INDEX(AllCollegeGR, MATCH(N705,AllCollegeNCES,0)))/2,0.15),2),INDEX(AllCollegeGR, MATCH(N705,AllCollegeNCES,0)))</f>
        <v>0</v>
      </c>
      <c r="Y705">
        <f>IF(ISNUMBER(INDEX(AllCollegeAAHGR, MATCH(N705,AllCollegeNCES,0))),ROUND(INDEX(AllCollegeAAHGR, MATCH(N705,AllCollegeNCES,0))+W705*IF(INDEX(AllCollegeAAHGR, MATCH(N705,AllCollegeNCES,0))&gt;0.7,(1-INDEX(AllCollegeAAHGR, MATCH(N705,AllCollegeNCES,0)))/2,0.15),2),INDEX(AllCollegeAAHGR, MATCH(N705,AllCollegeNCES,0)))</f>
        <v>0</v>
      </c>
      <c r="Z705">
        <f>IF(OR(T705="H",T705="B"),INDEX(AllCollegeACT25, MATCH(N705,AllCollegeNCES,0)),INDEX(AllCollegeACT50, MATCH(N705,AllCollegeNCES,0)))</f>
        <v>0</v>
      </c>
      <c r="AA705">
        <f>INDEX(CustomWeightsGPA,MATCH(T705&amp;":"&amp;N705,CustomWeightsIndex,0))</f>
        <v>0</v>
      </c>
      <c r="AB705">
        <f>INDEX(CustomWeightsACT,MATCH(T705&amp;":"&amp;N705,CustomWeightsIndex,0))</f>
        <v>0</v>
      </c>
      <c r="AC705">
        <f>INDEX(CustomWeightsIntercept,MATCH(T705&amp;":"&amp;N705,CustomWeightsIndex,0))</f>
        <v>0</v>
      </c>
      <c r="AD705">
        <f>AA705*P705+AB705*Q705+AC705</f>
        <v>0</v>
      </c>
      <c r="AE705">
        <f>INDEX(CoefficientsGPA,MATCH(T705&amp;":"&amp;O705,CoefficientsIndex,0))</f>
        <v>0</v>
      </c>
      <c r="AF705">
        <f>INDEX(CoefficientsACT,MATCH(T705&amp;":"&amp;O705,CoefficientsIndex,0))</f>
        <v>0</v>
      </c>
      <c r="AG705">
        <f>INDEX(CoefficientsIntercept,MATCH(T705&amp;":"&amp;O705,CoefficientsIndex,0))</f>
        <v>0</v>
      </c>
      <c r="AH705">
        <f>AE705*P705+(Q705-Z705)*AF705+AG705</f>
        <v>0</v>
      </c>
      <c r="AI705">
        <f>IF(ISNUMBER(AD705),AD705,AH705)</f>
        <v>0</v>
      </c>
      <c r="AJ705">
        <f>IF(ISNUMBER(AI705),IF(ISNUMBER(AE705),IF(AND(AE705=1,AF705=1,AG705=1),100,ROUND(100*EXP(AI705)/(1+EXP(AI705)),2)),ROUND(100*EXP(AI705)/(1+EXP(AI705)),2)),IF(ISTEXT(O705),IF(LEFT(O705,1)="2",100,"N/A"),"N/A"))</f>
        <v>0</v>
      </c>
      <c r="AK705">
        <f>IF(ISNUMBER(AJ705),IF(AJ705&gt;=99,IF(OR(R705=10,R705=11),MatchLabel,SureThingLabel),IF(AJ705&gt;=95,SecureLabel,IF(AJ705&gt;=80,SafetyLabel,IF(AJ705&gt;=50,MatchLabel,IF(AJ705&gt;=20,ReachLabel,IF(AJ705&gt;=10,LongshotLabel,HailMaryLabel)))))),"Other")</f>
        <v>0</v>
      </c>
      <c r="AL705">
        <f>IF(OR(I705="accepted",I705="cond. accept",I705="summer admit"),IF(J705="yes","CHOICE!","Accepted!"),IF(I705="denied","Denied",IF(K705=1,"Waitlist",IF(L705=1,"Deferred",IF(G705="pending","Pending",IF(OR(G705="initial materials submitted",G705="mid-year submitted",G705="final submitted"),"Submitted",IF(H705="interest","Interest","?")))))))</f>
        <v>0</v>
      </c>
      <c r="AM705">
        <f>IF(OR(AK705=ReachLabel,AK705=LongshotLabel,AK705=HailMaryLabel),1,0)</f>
        <v>0</v>
      </c>
      <c r="AN705">
        <f>IF(OR(AM705=1,AK705=MatchLabel),1,0)</f>
        <v>0</v>
      </c>
      <c r="AO705">
        <f>IF(OR(AK705=MatchLabel,AK705=SafetyLabel,AK705=SecureLabel,AK705=SureThingLabel),1,0)</f>
        <v>0</v>
      </c>
      <c r="AP705">
        <f>IF(OR(T705="H",T705="B"),IF(ISNUMBER(Y705),ROUND(Y705,2),0),IF(ISNUMBER(X705),ROUND(X705,2),0))</f>
        <v>0</v>
      </c>
      <c r="AQ705">
        <f>IF(AP705&gt;=U705,1,0)</f>
        <v>0</v>
      </c>
      <c r="AR705">
        <f>IF(AP705&gt;=V705,1,0)</f>
        <v>0</v>
      </c>
      <c r="AS705">
        <f>IF(AP705&lt;(U705-0.10),1,0)</f>
        <v>0</v>
      </c>
      <c r="AT705">
        <f>1-AJ705/100</f>
        <v>0</v>
      </c>
      <c r="AU705">
        <f>IF(AN705=1,AT705,1)</f>
        <v>0</v>
      </c>
      <c r="AV705">
        <f>IF(AM705=1,AT705,1)</f>
        <v>0</v>
      </c>
      <c r="AW705">
        <f>IF(AND(AQ705=1,ISNUMBER(AT705)),$AT705,1)</f>
        <v>0</v>
      </c>
      <c r="AX705">
        <f>IF(AND(AR705=1,ISNUMBER(AT705)),$AT705,1)</f>
        <v>0</v>
      </c>
      <c r="AY705">
        <f>IF(ISNUMBER(Y705),INDEX(AllCollegeMoney, MATCH(N705,AllCollegeNCES,0)),0)</f>
        <v>0</v>
      </c>
      <c r="AZ705">
        <f>IF(AND(AQ705=1,ISNUMBER(AT705),AY705=1),$AT705,1)</f>
        <v>0</v>
      </c>
      <c r="BA705">
        <f>IF(AND(AR705=1,ISNUMBER(AT705),AY705=1),$AT705,1)</f>
        <v>0</v>
      </c>
      <c r="BB705">
        <f>IF(ISNUMBER(Y705),INDEX(AllCollegeILPub, MATCH(N705,AllCollegeNCES,0)),0)</f>
        <v>0</v>
      </c>
      <c r="BC705">
        <f>IF(AK705=ReachLabel,AP705,0)</f>
        <v>0</v>
      </c>
      <c r="BD705">
        <f>IF(AK705=MatchLabel,AP705,0)</f>
        <v>0</v>
      </c>
      <c r="BE705">
        <f>IF(AK705=SafetyLabel,AP705,0)</f>
        <v>0</v>
      </c>
      <c r="BF705">
        <f>IF(AK705=SecureLabel,AP705,0)</f>
        <v>0</v>
      </c>
      <c r="BG705">
        <f>IF(AK705=SureThingLabel,AP705,0)</f>
        <v>0</v>
      </c>
      <c r="BH705">
        <f>MAX(BC705:BG705)</f>
        <v>0</v>
      </c>
      <c r="BI705">
        <f>MAX(BD705:BG705)</f>
        <v>0</v>
      </c>
      <c r="BJ705">
        <f>MAX(BE705:BG705)</f>
        <v>0</v>
      </c>
      <c r="BK705">
        <f>IF(AND(AK705=ReachLabel,AY705=1),AP705,0)</f>
        <v>0</v>
      </c>
      <c r="BL705">
        <f>IF(AND(AK705=MatchLabel,AY705=1),AP705,0)</f>
        <v>0</v>
      </c>
      <c r="BM705">
        <f>IF(AND(AK705=SafetyLabel,AY705=1),AP705,0)</f>
        <v>0</v>
      </c>
      <c r="BN705">
        <f>IF(AND(AK705=SecureLabel,AY705=1),AP705,0)</f>
        <v>0</v>
      </c>
      <c r="BO705">
        <f>IF(AND(AK705=SureThingLabel,AY705=1),AP705,0)</f>
        <v>0</v>
      </c>
      <c r="BP705">
        <f>MAX(BK705:BO705)</f>
        <v>0</v>
      </c>
      <c r="BQ705">
        <f>MAX(BL705:BO705)</f>
        <v>0</v>
      </c>
      <c r="BR705">
        <f>MAX(BM705:BO705)</f>
        <v>0</v>
      </c>
      <c r="BS705">
        <f>IF(ISNUMBER(Y705),INDEX(AllCollegeChicago, MATCH(N705,AllCollegeNCES,0))*AY705,0)</f>
        <v>0</v>
      </c>
      <c r="BT705">
        <f>IF(ISNUMBER(Y705),INDEX(AllCollegeMoneyCode, MATCH(N705,AllCollegeNCES,0)),"?")</f>
        <v>0</v>
      </c>
      <c r="BU705">
        <f>IF(OR(BT705="---",BT705="--",BT705="+/--",BT705="+/---"),1,0)</f>
        <v>0</v>
      </c>
      <c r="BV705">
        <f>AY705*AO705*AQ705</f>
        <v>0</v>
      </c>
    </row>
    <row r="706" spans="1:74">
      <c r="A706" t="s">
        <v>86</v>
      </c>
      <c r="B706">
        <v>30115187</v>
      </c>
      <c r="C706" t="s">
        <v>123</v>
      </c>
      <c r="D706" t="s">
        <v>124</v>
      </c>
      <c r="E706" t="s">
        <v>428</v>
      </c>
      <c r="F706" t="s">
        <v>585</v>
      </c>
      <c r="G706" t="s">
        <v>463</v>
      </c>
      <c r="H706" t="s">
        <v>431</v>
      </c>
      <c r="I706" t="s">
        <v>432</v>
      </c>
      <c r="J706" t="s">
        <v>432</v>
      </c>
      <c r="K706">
        <v>0</v>
      </c>
      <c r="L706" t="s">
        <v>428</v>
      </c>
      <c r="M706" t="s">
        <v>428</v>
      </c>
      <c r="N706">
        <v>209551</v>
      </c>
      <c r="O706">
        <f>INDEX(AllCollegeBarrons,MATCH(N706,AllCollegeNCES,0))</f>
        <v>0</v>
      </c>
      <c r="P706">
        <f>INDEX(KidGPAs,MATCH(B706,KidIDs,0))</f>
        <v>0</v>
      </c>
      <c r="Q706">
        <f>INDEX(KidACTs,MATCH(B706,KidIDs,0))</f>
        <v>0</v>
      </c>
      <c r="R706">
        <f>INDEX(Strats,MATCH(B706,KidIDs,0))</f>
        <v>0</v>
      </c>
      <c r="S706">
        <f>INDEX(KidRace,MATCH(B706,KidIDs,0))</f>
        <v>0</v>
      </c>
      <c r="T706">
        <f>IF(OR(S706="M",S706="I"),"H",S706)</f>
        <v>0</v>
      </c>
      <c r="U706">
        <f>INDEX(StudentTargets,MATCH(B706,KidIDs,0))</f>
        <v>0</v>
      </c>
      <c r="V706">
        <f>INDEX(ReachStudentTargets,MATCH(B706,KidIDs,0))</f>
        <v>0</v>
      </c>
      <c r="W706">
        <f>IF(OR(M706="Posse"),1,0)</f>
        <v>0</v>
      </c>
      <c r="X706">
        <f>IF(ISNUMBER(INDEX(AllCollegeGR, MATCH(N706,AllCollegeNCES,0))),ROUND(INDEX(AllCollegeGR, MATCH(N706,AllCollegeNCES,0))+W706*IF(INDEX(AllCollegeGR, MATCH(N706,AllCollegeNCES,0))&gt;0.7,(1-INDEX(AllCollegeGR, MATCH(N706,AllCollegeNCES,0)))/2,0.15),2),INDEX(AllCollegeGR, MATCH(N706,AllCollegeNCES,0)))</f>
        <v>0</v>
      </c>
      <c r="Y706">
        <f>IF(ISNUMBER(INDEX(AllCollegeAAHGR, MATCH(N706,AllCollegeNCES,0))),ROUND(INDEX(AllCollegeAAHGR, MATCH(N706,AllCollegeNCES,0))+W706*IF(INDEX(AllCollegeAAHGR, MATCH(N706,AllCollegeNCES,0))&gt;0.7,(1-INDEX(AllCollegeAAHGR, MATCH(N706,AllCollegeNCES,0)))/2,0.15),2),INDEX(AllCollegeAAHGR, MATCH(N706,AllCollegeNCES,0)))</f>
        <v>0</v>
      </c>
      <c r="Z706">
        <f>IF(OR(T706="H",T706="B"),INDEX(AllCollegeACT25, MATCH(N706,AllCollegeNCES,0)),INDEX(AllCollegeACT50, MATCH(N706,AllCollegeNCES,0)))</f>
        <v>0</v>
      </c>
      <c r="AA706">
        <f>INDEX(CustomWeightsGPA,MATCH(T706&amp;":"&amp;N706,CustomWeightsIndex,0))</f>
        <v>0</v>
      </c>
      <c r="AB706">
        <f>INDEX(CustomWeightsACT,MATCH(T706&amp;":"&amp;N706,CustomWeightsIndex,0))</f>
        <v>0</v>
      </c>
      <c r="AC706">
        <f>INDEX(CustomWeightsIntercept,MATCH(T706&amp;":"&amp;N706,CustomWeightsIndex,0))</f>
        <v>0</v>
      </c>
      <c r="AD706">
        <f>AA706*P706+AB706*Q706+AC706</f>
        <v>0</v>
      </c>
      <c r="AE706">
        <f>INDEX(CoefficientsGPA,MATCH(T706&amp;":"&amp;O706,CoefficientsIndex,0))</f>
        <v>0</v>
      </c>
      <c r="AF706">
        <f>INDEX(CoefficientsACT,MATCH(T706&amp;":"&amp;O706,CoefficientsIndex,0))</f>
        <v>0</v>
      </c>
      <c r="AG706">
        <f>INDEX(CoefficientsIntercept,MATCH(T706&amp;":"&amp;O706,CoefficientsIndex,0))</f>
        <v>0</v>
      </c>
      <c r="AH706">
        <f>AE706*P706+(Q706-Z706)*AF706+AG706</f>
        <v>0</v>
      </c>
      <c r="AI706">
        <f>IF(ISNUMBER(AD706),AD706,AH706)</f>
        <v>0</v>
      </c>
      <c r="AJ706">
        <f>IF(ISNUMBER(AI706),IF(ISNUMBER(AE706),IF(AND(AE706=1,AF706=1,AG706=1),100,ROUND(100*EXP(AI706)/(1+EXP(AI706)),2)),ROUND(100*EXP(AI706)/(1+EXP(AI706)),2)),IF(ISTEXT(O706),IF(LEFT(O706,1)="2",100,"N/A"),"N/A"))</f>
        <v>0</v>
      </c>
      <c r="AK706">
        <f>IF(ISNUMBER(AJ706),IF(AJ706&gt;=99,IF(OR(R706=10,R706=11),MatchLabel,SureThingLabel),IF(AJ706&gt;=95,SecureLabel,IF(AJ706&gt;=80,SafetyLabel,IF(AJ706&gt;=50,MatchLabel,IF(AJ706&gt;=20,ReachLabel,IF(AJ706&gt;=10,LongshotLabel,HailMaryLabel)))))),"Other")</f>
        <v>0</v>
      </c>
      <c r="AL706">
        <f>IF(OR(I706="accepted",I706="cond. accept",I706="summer admit"),IF(J706="yes","CHOICE!","Accepted!"),IF(I706="denied","Denied",IF(K706=1,"Waitlist",IF(L706=1,"Deferred",IF(G706="pending","Pending",IF(OR(G706="initial materials submitted",G706="mid-year submitted",G706="final submitted"),"Submitted",IF(H706="interest","Interest","?")))))))</f>
        <v>0</v>
      </c>
      <c r="AM706">
        <f>IF(OR(AK706=ReachLabel,AK706=LongshotLabel,AK706=HailMaryLabel),1,0)</f>
        <v>0</v>
      </c>
      <c r="AN706">
        <f>IF(OR(AM706=1,AK706=MatchLabel),1,0)</f>
        <v>0</v>
      </c>
      <c r="AO706">
        <f>IF(OR(AK706=MatchLabel,AK706=SafetyLabel,AK706=SecureLabel,AK706=SureThingLabel),1,0)</f>
        <v>0</v>
      </c>
      <c r="AP706">
        <f>IF(OR(T706="H",T706="B"),IF(ISNUMBER(Y706),ROUND(Y706,2),0),IF(ISNUMBER(X706),ROUND(X706,2),0))</f>
        <v>0</v>
      </c>
      <c r="AQ706">
        <f>IF(AP706&gt;=U706,1,0)</f>
        <v>0</v>
      </c>
      <c r="AR706">
        <f>IF(AP706&gt;=V706,1,0)</f>
        <v>0</v>
      </c>
      <c r="AS706">
        <f>IF(AP706&lt;(U706-0.10),1,0)</f>
        <v>0</v>
      </c>
      <c r="AT706">
        <f>1-AJ706/100</f>
        <v>0</v>
      </c>
      <c r="AU706">
        <f>IF(AN706=1,AT706,1)</f>
        <v>0</v>
      </c>
      <c r="AV706">
        <f>IF(AM706=1,AT706,1)</f>
        <v>0</v>
      </c>
      <c r="AW706">
        <f>IF(AND(AQ706=1,ISNUMBER(AT706)),$AT706,1)</f>
        <v>0</v>
      </c>
      <c r="AX706">
        <f>IF(AND(AR706=1,ISNUMBER(AT706)),$AT706,1)</f>
        <v>0</v>
      </c>
      <c r="AY706">
        <f>IF(ISNUMBER(Y706),INDEX(AllCollegeMoney, MATCH(N706,AllCollegeNCES,0)),0)</f>
        <v>0</v>
      </c>
      <c r="AZ706">
        <f>IF(AND(AQ706=1,ISNUMBER(AT706),AY706=1),$AT706,1)</f>
        <v>0</v>
      </c>
      <c r="BA706">
        <f>IF(AND(AR706=1,ISNUMBER(AT706),AY706=1),$AT706,1)</f>
        <v>0</v>
      </c>
      <c r="BB706">
        <f>IF(ISNUMBER(Y706),INDEX(AllCollegeILPub, MATCH(N706,AllCollegeNCES,0)),0)</f>
        <v>0</v>
      </c>
      <c r="BC706">
        <f>IF(AK706=ReachLabel,AP706,0)</f>
        <v>0</v>
      </c>
      <c r="BD706">
        <f>IF(AK706=MatchLabel,AP706,0)</f>
        <v>0</v>
      </c>
      <c r="BE706">
        <f>IF(AK706=SafetyLabel,AP706,0)</f>
        <v>0</v>
      </c>
      <c r="BF706">
        <f>IF(AK706=SecureLabel,AP706,0)</f>
        <v>0</v>
      </c>
      <c r="BG706">
        <f>IF(AK706=SureThingLabel,AP706,0)</f>
        <v>0</v>
      </c>
      <c r="BH706">
        <f>MAX(BC706:BG706)</f>
        <v>0</v>
      </c>
      <c r="BI706">
        <f>MAX(BD706:BG706)</f>
        <v>0</v>
      </c>
      <c r="BJ706">
        <f>MAX(BE706:BG706)</f>
        <v>0</v>
      </c>
      <c r="BK706">
        <f>IF(AND(AK706=ReachLabel,AY706=1),AP706,0)</f>
        <v>0</v>
      </c>
      <c r="BL706">
        <f>IF(AND(AK706=MatchLabel,AY706=1),AP706,0)</f>
        <v>0</v>
      </c>
      <c r="BM706">
        <f>IF(AND(AK706=SafetyLabel,AY706=1),AP706,0)</f>
        <v>0</v>
      </c>
      <c r="BN706">
        <f>IF(AND(AK706=SecureLabel,AY706=1),AP706,0)</f>
        <v>0</v>
      </c>
      <c r="BO706">
        <f>IF(AND(AK706=SureThingLabel,AY706=1),AP706,0)</f>
        <v>0</v>
      </c>
      <c r="BP706">
        <f>MAX(BK706:BO706)</f>
        <v>0</v>
      </c>
      <c r="BQ706">
        <f>MAX(BL706:BO706)</f>
        <v>0</v>
      </c>
      <c r="BR706">
        <f>MAX(BM706:BO706)</f>
        <v>0</v>
      </c>
      <c r="BS706">
        <f>IF(ISNUMBER(Y706),INDEX(AllCollegeChicago, MATCH(N706,AllCollegeNCES,0))*AY706,0)</f>
        <v>0</v>
      </c>
      <c r="BT706">
        <f>IF(ISNUMBER(Y706),INDEX(AllCollegeMoneyCode, MATCH(N706,AllCollegeNCES,0)),"?")</f>
        <v>0</v>
      </c>
      <c r="BU706">
        <f>IF(OR(BT706="---",BT706="--",BT706="+/--",BT706="+/---"),1,0)</f>
        <v>0</v>
      </c>
      <c r="BV706">
        <f>AY706*AO706*AQ706</f>
        <v>0</v>
      </c>
    </row>
    <row r="707" spans="1:74">
      <c r="A707" t="s">
        <v>86</v>
      </c>
      <c r="B707">
        <v>30115187</v>
      </c>
      <c r="C707" t="s">
        <v>123</v>
      </c>
      <c r="D707" t="s">
        <v>124</v>
      </c>
      <c r="E707" t="s">
        <v>428</v>
      </c>
      <c r="F707" t="s">
        <v>586</v>
      </c>
      <c r="G707" t="s">
        <v>463</v>
      </c>
      <c r="H707" t="s">
        <v>431</v>
      </c>
      <c r="I707" t="s">
        <v>432</v>
      </c>
      <c r="J707" t="s">
        <v>432</v>
      </c>
      <c r="K707">
        <v>0</v>
      </c>
      <c r="L707" t="s">
        <v>428</v>
      </c>
      <c r="M707" t="s">
        <v>428</v>
      </c>
      <c r="N707">
        <v>137847</v>
      </c>
      <c r="O707">
        <f>INDEX(AllCollegeBarrons,MATCH(N707,AllCollegeNCES,0))</f>
        <v>0</v>
      </c>
      <c r="P707">
        <f>INDEX(KidGPAs,MATCH(B707,KidIDs,0))</f>
        <v>0</v>
      </c>
      <c r="Q707">
        <f>INDEX(KidACTs,MATCH(B707,KidIDs,0))</f>
        <v>0</v>
      </c>
      <c r="R707">
        <f>INDEX(Strats,MATCH(B707,KidIDs,0))</f>
        <v>0</v>
      </c>
      <c r="S707">
        <f>INDEX(KidRace,MATCH(B707,KidIDs,0))</f>
        <v>0</v>
      </c>
      <c r="T707">
        <f>IF(OR(S707="M",S707="I"),"H",S707)</f>
        <v>0</v>
      </c>
      <c r="U707">
        <f>INDEX(StudentTargets,MATCH(B707,KidIDs,0))</f>
        <v>0</v>
      </c>
      <c r="V707">
        <f>INDEX(ReachStudentTargets,MATCH(B707,KidIDs,0))</f>
        <v>0</v>
      </c>
      <c r="W707">
        <f>IF(OR(M707="Posse"),1,0)</f>
        <v>0</v>
      </c>
      <c r="X707">
        <f>IF(ISNUMBER(INDEX(AllCollegeGR, MATCH(N707,AllCollegeNCES,0))),ROUND(INDEX(AllCollegeGR, MATCH(N707,AllCollegeNCES,0))+W707*IF(INDEX(AllCollegeGR, MATCH(N707,AllCollegeNCES,0))&gt;0.7,(1-INDEX(AllCollegeGR, MATCH(N707,AllCollegeNCES,0)))/2,0.15),2),INDEX(AllCollegeGR, MATCH(N707,AllCollegeNCES,0)))</f>
        <v>0</v>
      </c>
      <c r="Y707">
        <f>IF(ISNUMBER(INDEX(AllCollegeAAHGR, MATCH(N707,AllCollegeNCES,0))),ROUND(INDEX(AllCollegeAAHGR, MATCH(N707,AllCollegeNCES,0))+W707*IF(INDEX(AllCollegeAAHGR, MATCH(N707,AllCollegeNCES,0))&gt;0.7,(1-INDEX(AllCollegeAAHGR, MATCH(N707,AllCollegeNCES,0)))/2,0.15),2),INDEX(AllCollegeAAHGR, MATCH(N707,AllCollegeNCES,0)))</f>
        <v>0</v>
      </c>
      <c r="Z707">
        <f>IF(OR(T707="H",T707="B"),INDEX(AllCollegeACT25, MATCH(N707,AllCollegeNCES,0)),INDEX(AllCollegeACT50, MATCH(N707,AllCollegeNCES,0)))</f>
        <v>0</v>
      </c>
      <c r="AA707">
        <f>INDEX(CustomWeightsGPA,MATCH(T707&amp;":"&amp;N707,CustomWeightsIndex,0))</f>
        <v>0</v>
      </c>
      <c r="AB707">
        <f>INDEX(CustomWeightsACT,MATCH(T707&amp;":"&amp;N707,CustomWeightsIndex,0))</f>
        <v>0</v>
      </c>
      <c r="AC707">
        <f>INDEX(CustomWeightsIntercept,MATCH(T707&amp;":"&amp;N707,CustomWeightsIndex,0))</f>
        <v>0</v>
      </c>
      <c r="AD707">
        <f>AA707*P707+AB707*Q707+AC707</f>
        <v>0</v>
      </c>
      <c r="AE707">
        <f>INDEX(CoefficientsGPA,MATCH(T707&amp;":"&amp;O707,CoefficientsIndex,0))</f>
        <v>0</v>
      </c>
      <c r="AF707">
        <f>INDEX(CoefficientsACT,MATCH(T707&amp;":"&amp;O707,CoefficientsIndex,0))</f>
        <v>0</v>
      </c>
      <c r="AG707">
        <f>INDEX(CoefficientsIntercept,MATCH(T707&amp;":"&amp;O707,CoefficientsIndex,0))</f>
        <v>0</v>
      </c>
      <c r="AH707">
        <f>AE707*P707+(Q707-Z707)*AF707+AG707</f>
        <v>0</v>
      </c>
      <c r="AI707">
        <f>IF(ISNUMBER(AD707),AD707,AH707)</f>
        <v>0</v>
      </c>
      <c r="AJ707">
        <f>IF(ISNUMBER(AI707),IF(ISNUMBER(AE707),IF(AND(AE707=1,AF707=1,AG707=1),100,ROUND(100*EXP(AI707)/(1+EXP(AI707)),2)),ROUND(100*EXP(AI707)/(1+EXP(AI707)),2)),IF(ISTEXT(O707),IF(LEFT(O707,1)="2",100,"N/A"),"N/A"))</f>
        <v>0</v>
      </c>
      <c r="AK707">
        <f>IF(ISNUMBER(AJ707),IF(AJ707&gt;=99,IF(OR(R707=10,R707=11),MatchLabel,SureThingLabel),IF(AJ707&gt;=95,SecureLabel,IF(AJ707&gt;=80,SafetyLabel,IF(AJ707&gt;=50,MatchLabel,IF(AJ707&gt;=20,ReachLabel,IF(AJ707&gt;=10,LongshotLabel,HailMaryLabel)))))),"Other")</f>
        <v>0</v>
      </c>
      <c r="AL707">
        <f>IF(OR(I707="accepted",I707="cond. accept",I707="summer admit"),IF(J707="yes","CHOICE!","Accepted!"),IF(I707="denied","Denied",IF(K707=1,"Waitlist",IF(L707=1,"Deferred",IF(G707="pending","Pending",IF(OR(G707="initial materials submitted",G707="mid-year submitted",G707="final submitted"),"Submitted",IF(H707="interest","Interest","?")))))))</f>
        <v>0</v>
      </c>
      <c r="AM707">
        <f>IF(OR(AK707=ReachLabel,AK707=LongshotLabel,AK707=HailMaryLabel),1,0)</f>
        <v>0</v>
      </c>
      <c r="AN707">
        <f>IF(OR(AM707=1,AK707=MatchLabel),1,0)</f>
        <v>0</v>
      </c>
      <c r="AO707">
        <f>IF(OR(AK707=MatchLabel,AK707=SafetyLabel,AK707=SecureLabel,AK707=SureThingLabel),1,0)</f>
        <v>0</v>
      </c>
      <c r="AP707">
        <f>IF(OR(T707="H",T707="B"),IF(ISNUMBER(Y707),ROUND(Y707,2),0),IF(ISNUMBER(X707),ROUND(X707,2),0))</f>
        <v>0</v>
      </c>
      <c r="AQ707">
        <f>IF(AP707&gt;=U707,1,0)</f>
        <v>0</v>
      </c>
      <c r="AR707">
        <f>IF(AP707&gt;=V707,1,0)</f>
        <v>0</v>
      </c>
      <c r="AS707">
        <f>IF(AP707&lt;(U707-0.10),1,0)</f>
        <v>0</v>
      </c>
      <c r="AT707">
        <f>1-AJ707/100</f>
        <v>0</v>
      </c>
      <c r="AU707">
        <f>IF(AN707=1,AT707,1)</f>
        <v>0</v>
      </c>
      <c r="AV707">
        <f>IF(AM707=1,AT707,1)</f>
        <v>0</v>
      </c>
      <c r="AW707">
        <f>IF(AND(AQ707=1,ISNUMBER(AT707)),$AT707,1)</f>
        <v>0</v>
      </c>
      <c r="AX707">
        <f>IF(AND(AR707=1,ISNUMBER(AT707)),$AT707,1)</f>
        <v>0</v>
      </c>
      <c r="AY707">
        <f>IF(ISNUMBER(Y707),INDEX(AllCollegeMoney, MATCH(N707,AllCollegeNCES,0)),0)</f>
        <v>0</v>
      </c>
      <c r="AZ707">
        <f>IF(AND(AQ707=1,ISNUMBER(AT707),AY707=1),$AT707,1)</f>
        <v>0</v>
      </c>
      <c r="BA707">
        <f>IF(AND(AR707=1,ISNUMBER(AT707),AY707=1),$AT707,1)</f>
        <v>0</v>
      </c>
      <c r="BB707">
        <f>IF(ISNUMBER(Y707),INDEX(AllCollegeILPub, MATCH(N707,AllCollegeNCES,0)),0)</f>
        <v>0</v>
      </c>
      <c r="BC707">
        <f>IF(AK707=ReachLabel,AP707,0)</f>
        <v>0</v>
      </c>
      <c r="BD707">
        <f>IF(AK707=MatchLabel,AP707,0)</f>
        <v>0</v>
      </c>
      <c r="BE707">
        <f>IF(AK707=SafetyLabel,AP707,0)</f>
        <v>0</v>
      </c>
      <c r="BF707">
        <f>IF(AK707=SecureLabel,AP707,0)</f>
        <v>0</v>
      </c>
      <c r="BG707">
        <f>IF(AK707=SureThingLabel,AP707,0)</f>
        <v>0</v>
      </c>
      <c r="BH707">
        <f>MAX(BC707:BG707)</f>
        <v>0</v>
      </c>
      <c r="BI707">
        <f>MAX(BD707:BG707)</f>
        <v>0</v>
      </c>
      <c r="BJ707">
        <f>MAX(BE707:BG707)</f>
        <v>0</v>
      </c>
      <c r="BK707">
        <f>IF(AND(AK707=ReachLabel,AY707=1),AP707,0)</f>
        <v>0</v>
      </c>
      <c r="BL707">
        <f>IF(AND(AK707=MatchLabel,AY707=1),AP707,0)</f>
        <v>0</v>
      </c>
      <c r="BM707">
        <f>IF(AND(AK707=SafetyLabel,AY707=1),AP707,0)</f>
        <v>0</v>
      </c>
      <c r="BN707">
        <f>IF(AND(AK707=SecureLabel,AY707=1),AP707,0)</f>
        <v>0</v>
      </c>
      <c r="BO707">
        <f>IF(AND(AK707=SureThingLabel,AY707=1),AP707,0)</f>
        <v>0</v>
      </c>
      <c r="BP707">
        <f>MAX(BK707:BO707)</f>
        <v>0</v>
      </c>
      <c r="BQ707">
        <f>MAX(BL707:BO707)</f>
        <v>0</v>
      </c>
      <c r="BR707">
        <f>MAX(BM707:BO707)</f>
        <v>0</v>
      </c>
      <c r="BS707">
        <f>IF(ISNUMBER(Y707),INDEX(AllCollegeChicago, MATCH(N707,AllCollegeNCES,0))*AY707,0)</f>
        <v>0</v>
      </c>
      <c r="BT707">
        <f>IF(ISNUMBER(Y707),INDEX(AllCollegeMoneyCode, MATCH(N707,AllCollegeNCES,0)),"?")</f>
        <v>0</v>
      </c>
      <c r="BU707">
        <f>IF(OR(BT707="---",BT707="--",BT707="+/--",BT707="+/---"),1,0)</f>
        <v>0</v>
      </c>
      <c r="BV707">
        <f>AY707*AO707*AQ707</f>
        <v>0</v>
      </c>
    </row>
    <row r="708" spans="1:74">
      <c r="A708" t="s">
        <v>86</v>
      </c>
      <c r="B708">
        <v>30115187</v>
      </c>
      <c r="C708" t="s">
        <v>123</v>
      </c>
      <c r="D708" t="s">
        <v>124</v>
      </c>
      <c r="E708" t="s">
        <v>428</v>
      </c>
      <c r="F708" t="s">
        <v>447</v>
      </c>
      <c r="G708" t="s">
        <v>430</v>
      </c>
      <c r="H708" t="s">
        <v>431</v>
      </c>
      <c r="I708" t="s">
        <v>432</v>
      </c>
      <c r="J708" t="s">
        <v>432</v>
      </c>
      <c r="K708">
        <v>0</v>
      </c>
      <c r="L708" t="s">
        <v>428</v>
      </c>
      <c r="M708" t="s">
        <v>428</v>
      </c>
      <c r="N708">
        <v>145600</v>
      </c>
      <c r="O708">
        <f>INDEX(AllCollegeBarrons,MATCH(N708,AllCollegeNCES,0))</f>
        <v>0</v>
      </c>
      <c r="P708">
        <f>INDEX(KidGPAs,MATCH(B708,KidIDs,0))</f>
        <v>0</v>
      </c>
      <c r="Q708">
        <f>INDEX(KidACTs,MATCH(B708,KidIDs,0))</f>
        <v>0</v>
      </c>
      <c r="R708">
        <f>INDEX(Strats,MATCH(B708,KidIDs,0))</f>
        <v>0</v>
      </c>
      <c r="S708">
        <f>INDEX(KidRace,MATCH(B708,KidIDs,0))</f>
        <v>0</v>
      </c>
      <c r="T708">
        <f>IF(OR(S708="M",S708="I"),"H",S708)</f>
        <v>0</v>
      </c>
      <c r="U708">
        <f>INDEX(StudentTargets,MATCH(B708,KidIDs,0))</f>
        <v>0</v>
      </c>
      <c r="V708">
        <f>INDEX(ReachStudentTargets,MATCH(B708,KidIDs,0))</f>
        <v>0</v>
      </c>
      <c r="W708">
        <f>IF(OR(M708="Posse"),1,0)</f>
        <v>0</v>
      </c>
      <c r="X708">
        <f>IF(ISNUMBER(INDEX(AllCollegeGR, MATCH(N708,AllCollegeNCES,0))),ROUND(INDEX(AllCollegeGR, MATCH(N708,AllCollegeNCES,0))+W708*IF(INDEX(AllCollegeGR, MATCH(N708,AllCollegeNCES,0))&gt;0.7,(1-INDEX(AllCollegeGR, MATCH(N708,AllCollegeNCES,0)))/2,0.15),2),INDEX(AllCollegeGR, MATCH(N708,AllCollegeNCES,0)))</f>
        <v>0</v>
      </c>
      <c r="Y708">
        <f>IF(ISNUMBER(INDEX(AllCollegeAAHGR, MATCH(N708,AllCollegeNCES,0))),ROUND(INDEX(AllCollegeAAHGR, MATCH(N708,AllCollegeNCES,0))+W708*IF(INDEX(AllCollegeAAHGR, MATCH(N708,AllCollegeNCES,0))&gt;0.7,(1-INDEX(AllCollegeAAHGR, MATCH(N708,AllCollegeNCES,0)))/2,0.15),2),INDEX(AllCollegeAAHGR, MATCH(N708,AllCollegeNCES,0)))</f>
        <v>0</v>
      </c>
      <c r="Z708">
        <f>IF(OR(T708="H",T708="B"),INDEX(AllCollegeACT25, MATCH(N708,AllCollegeNCES,0)),INDEX(AllCollegeACT50, MATCH(N708,AllCollegeNCES,0)))</f>
        <v>0</v>
      </c>
      <c r="AA708">
        <f>INDEX(CustomWeightsGPA,MATCH(T708&amp;":"&amp;N708,CustomWeightsIndex,0))</f>
        <v>0</v>
      </c>
      <c r="AB708">
        <f>INDEX(CustomWeightsACT,MATCH(T708&amp;":"&amp;N708,CustomWeightsIndex,0))</f>
        <v>0</v>
      </c>
      <c r="AC708">
        <f>INDEX(CustomWeightsIntercept,MATCH(T708&amp;":"&amp;N708,CustomWeightsIndex,0))</f>
        <v>0</v>
      </c>
      <c r="AD708">
        <f>AA708*P708+AB708*Q708+AC708</f>
        <v>0</v>
      </c>
      <c r="AE708">
        <f>INDEX(CoefficientsGPA,MATCH(T708&amp;":"&amp;O708,CoefficientsIndex,0))</f>
        <v>0</v>
      </c>
      <c r="AF708">
        <f>INDEX(CoefficientsACT,MATCH(T708&amp;":"&amp;O708,CoefficientsIndex,0))</f>
        <v>0</v>
      </c>
      <c r="AG708">
        <f>INDEX(CoefficientsIntercept,MATCH(T708&amp;":"&amp;O708,CoefficientsIndex,0))</f>
        <v>0</v>
      </c>
      <c r="AH708">
        <f>AE708*P708+(Q708-Z708)*AF708+AG708</f>
        <v>0</v>
      </c>
      <c r="AI708">
        <f>IF(ISNUMBER(AD708),AD708,AH708)</f>
        <v>0</v>
      </c>
      <c r="AJ708">
        <f>IF(ISNUMBER(AI708),IF(ISNUMBER(AE708),IF(AND(AE708=1,AF708=1,AG708=1),100,ROUND(100*EXP(AI708)/(1+EXP(AI708)),2)),ROUND(100*EXP(AI708)/(1+EXP(AI708)),2)),IF(ISTEXT(O708),IF(LEFT(O708,1)="2",100,"N/A"),"N/A"))</f>
        <v>0</v>
      </c>
      <c r="AK708">
        <f>IF(ISNUMBER(AJ708),IF(AJ708&gt;=99,IF(OR(R708=10,R708=11),MatchLabel,SureThingLabel),IF(AJ708&gt;=95,SecureLabel,IF(AJ708&gt;=80,SafetyLabel,IF(AJ708&gt;=50,MatchLabel,IF(AJ708&gt;=20,ReachLabel,IF(AJ708&gt;=10,LongshotLabel,HailMaryLabel)))))),"Other")</f>
        <v>0</v>
      </c>
      <c r="AL708">
        <f>IF(OR(I708="accepted",I708="cond. accept",I708="summer admit"),IF(J708="yes","CHOICE!","Accepted!"),IF(I708="denied","Denied",IF(K708=1,"Waitlist",IF(L708=1,"Deferred",IF(G708="pending","Pending",IF(OR(G708="initial materials submitted",G708="mid-year submitted",G708="final submitted"),"Submitted",IF(H708="interest","Interest","?")))))))</f>
        <v>0</v>
      </c>
      <c r="AM708">
        <f>IF(OR(AK708=ReachLabel,AK708=LongshotLabel,AK708=HailMaryLabel),1,0)</f>
        <v>0</v>
      </c>
      <c r="AN708">
        <f>IF(OR(AM708=1,AK708=MatchLabel),1,0)</f>
        <v>0</v>
      </c>
      <c r="AO708">
        <f>IF(OR(AK708=MatchLabel,AK708=SafetyLabel,AK708=SecureLabel,AK708=SureThingLabel),1,0)</f>
        <v>0</v>
      </c>
      <c r="AP708">
        <f>IF(OR(T708="H",T708="B"),IF(ISNUMBER(Y708),ROUND(Y708,2),0),IF(ISNUMBER(X708),ROUND(X708,2),0))</f>
        <v>0</v>
      </c>
      <c r="AQ708">
        <f>IF(AP708&gt;=U708,1,0)</f>
        <v>0</v>
      </c>
      <c r="AR708">
        <f>IF(AP708&gt;=V708,1,0)</f>
        <v>0</v>
      </c>
      <c r="AS708">
        <f>IF(AP708&lt;(U708-0.10),1,0)</f>
        <v>0</v>
      </c>
      <c r="AT708">
        <f>1-AJ708/100</f>
        <v>0</v>
      </c>
      <c r="AU708">
        <f>IF(AN708=1,AT708,1)</f>
        <v>0</v>
      </c>
      <c r="AV708">
        <f>IF(AM708=1,AT708,1)</f>
        <v>0</v>
      </c>
      <c r="AW708">
        <f>IF(AND(AQ708=1,ISNUMBER(AT708)),$AT708,1)</f>
        <v>0</v>
      </c>
      <c r="AX708">
        <f>IF(AND(AR708=1,ISNUMBER(AT708)),$AT708,1)</f>
        <v>0</v>
      </c>
      <c r="AY708">
        <f>IF(ISNUMBER(Y708),INDEX(AllCollegeMoney, MATCH(N708,AllCollegeNCES,0)),0)</f>
        <v>0</v>
      </c>
      <c r="AZ708">
        <f>IF(AND(AQ708=1,ISNUMBER(AT708),AY708=1),$AT708,1)</f>
        <v>0</v>
      </c>
      <c r="BA708">
        <f>IF(AND(AR708=1,ISNUMBER(AT708),AY708=1),$AT708,1)</f>
        <v>0</v>
      </c>
      <c r="BB708">
        <f>IF(ISNUMBER(Y708),INDEX(AllCollegeILPub, MATCH(N708,AllCollegeNCES,0)),0)</f>
        <v>0</v>
      </c>
      <c r="BC708">
        <f>IF(AK708=ReachLabel,AP708,0)</f>
        <v>0</v>
      </c>
      <c r="BD708">
        <f>IF(AK708=MatchLabel,AP708,0)</f>
        <v>0</v>
      </c>
      <c r="BE708">
        <f>IF(AK708=SafetyLabel,AP708,0)</f>
        <v>0</v>
      </c>
      <c r="BF708">
        <f>IF(AK708=SecureLabel,AP708,0)</f>
        <v>0</v>
      </c>
      <c r="BG708">
        <f>IF(AK708=SureThingLabel,AP708,0)</f>
        <v>0</v>
      </c>
      <c r="BH708">
        <f>MAX(BC708:BG708)</f>
        <v>0</v>
      </c>
      <c r="BI708">
        <f>MAX(BD708:BG708)</f>
        <v>0</v>
      </c>
      <c r="BJ708">
        <f>MAX(BE708:BG708)</f>
        <v>0</v>
      </c>
      <c r="BK708">
        <f>IF(AND(AK708=ReachLabel,AY708=1),AP708,0)</f>
        <v>0</v>
      </c>
      <c r="BL708">
        <f>IF(AND(AK708=MatchLabel,AY708=1),AP708,0)</f>
        <v>0</v>
      </c>
      <c r="BM708">
        <f>IF(AND(AK708=SafetyLabel,AY708=1),AP708,0)</f>
        <v>0</v>
      </c>
      <c r="BN708">
        <f>IF(AND(AK708=SecureLabel,AY708=1),AP708,0)</f>
        <v>0</v>
      </c>
      <c r="BO708">
        <f>IF(AND(AK708=SureThingLabel,AY708=1),AP708,0)</f>
        <v>0</v>
      </c>
      <c r="BP708">
        <f>MAX(BK708:BO708)</f>
        <v>0</v>
      </c>
      <c r="BQ708">
        <f>MAX(BL708:BO708)</f>
        <v>0</v>
      </c>
      <c r="BR708">
        <f>MAX(BM708:BO708)</f>
        <v>0</v>
      </c>
      <c r="BS708">
        <f>IF(ISNUMBER(Y708),INDEX(AllCollegeChicago, MATCH(N708,AllCollegeNCES,0))*AY708,0)</f>
        <v>0</v>
      </c>
      <c r="BT708">
        <f>IF(ISNUMBER(Y708),INDEX(AllCollegeMoneyCode, MATCH(N708,AllCollegeNCES,0)),"?")</f>
        <v>0</v>
      </c>
      <c r="BU708">
        <f>IF(OR(BT708="---",BT708="--",BT708="+/--",BT708="+/---"),1,0)</f>
        <v>0</v>
      </c>
      <c r="BV708">
        <f>AY708*AO708*AQ708</f>
        <v>0</v>
      </c>
    </row>
    <row r="709" spans="1:74">
      <c r="A709" t="s">
        <v>86</v>
      </c>
      <c r="B709">
        <v>30144279</v>
      </c>
      <c r="C709" t="s">
        <v>323</v>
      </c>
      <c r="D709" t="s">
        <v>324</v>
      </c>
      <c r="E709" t="s">
        <v>428</v>
      </c>
      <c r="F709" t="s">
        <v>455</v>
      </c>
      <c r="G709" t="s">
        <v>430</v>
      </c>
      <c r="H709" t="s">
        <v>431</v>
      </c>
      <c r="I709" t="s">
        <v>432</v>
      </c>
      <c r="J709" t="s">
        <v>432</v>
      </c>
      <c r="K709">
        <v>0</v>
      </c>
      <c r="L709" t="s">
        <v>428</v>
      </c>
      <c r="M709" t="s">
        <v>428</v>
      </c>
      <c r="N709">
        <v>240444</v>
      </c>
      <c r="O709">
        <f>INDEX(AllCollegeBarrons,MATCH(N709,AllCollegeNCES,0))</f>
        <v>0</v>
      </c>
      <c r="P709">
        <f>INDEX(KidGPAs,MATCH(B709,KidIDs,0))</f>
        <v>0</v>
      </c>
      <c r="Q709">
        <f>INDEX(KidACTs,MATCH(B709,KidIDs,0))</f>
        <v>0</v>
      </c>
      <c r="R709">
        <f>INDEX(Strats,MATCH(B709,KidIDs,0))</f>
        <v>0</v>
      </c>
      <c r="S709">
        <f>INDEX(KidRace,MATCH(B709,KidIDs,0))</f>
        <v>0</v>
      </c>
      <c r="T709">
        <f>IF(OR(S709="M",S709="I"),"H",S709)</f>
        <v>0</v>
      </c>
      <c r="U709">
        <f>INDEX(StudentTargets,MATCH(B709,KidIDs,0))</f>
        <v>0</v>
      </c>
      <c r="V709">
        <f>INDEX(ReachStudentTargets,MATCH(B709,KidIDs,0))</f>
        <v>0</v>
      </c>
      <c r="W709">
        <f>IF(OR(M709="Posse"),1,0)</f>
        <v>0</v>
      </c>
      <c r="X709">
        <f>IF(ISNUMBER(INDEX(AllCollegeGR, MATCH(N709,AllCollegeNCES,0))),ROUND(INDEX(AllCollegeGR, MATCH(N709,AllCollegeNCES,0))+W709*IF(INDEX(AllCollegeGR, MATCH(N709,AllCollegeNCES,0))&gt;0.7,(1-INDEX(AllCollegeGR, MATCH(N709,AllCollegeNCES,0)))/2,0.15),2),INDEX(AllCollegeGR, MATCH(N709,AllCollegeNCES,0)))</f>
        <v>0</v>
      </c>
      <c r="Y709">
        <f>IF(ISNUMBER(INDEX(AllCollegeAAHGR, MATCH(N709,AllCollegeNCES,0))),ROUND(INDEX(AllCollegeAAHGR, MATCH(N709,AllCollegeNCES,0))+W709*IF(INDEX(AllCollegeAAHGR, MATCH(N709,AllCollegeNCES,0))&gt;0.7,(1-INDEX(AllCollegeAAHGR, MATCH(N709,AllCollegeNCES,0)))/2,0.15),2),INDEX(AllCollegeAAHGR, MATCH(N709,AllCollegeNCES,0)))</f>
        <v>0</v>
      </c>
      <c r="Z709">
        <f>IF(OR(T709="H",T709="B"),INDEX(AllCollegeACT25, MATCH(N709,AllCollegeNCES,0)),INDEX(AllCollegeACT50, MATCH(N709,AllCollegeNCES,0)))</f>
        <v>0</v>
      </c>
      <c r="AA709">
        <f>INDEX(CustomWeightsGPA,MATCH(T709&amp;":"&amp;N709,CustomWeightsIndex,0))</f>
        <v>0</v>
      </c>
      <c r="AB709">
        <f>INDEX(CustomWeightsACT,MATCH(T709&amp;":"&amp;N709,CustomWeightsIndex,0))</f>
        <v>0</v>
      </c>
      <c r="AC709">
        <f>INDEX(CustomWeightsIntercept,MATCH(T709&amp;":"&amp;N709,CustomWeightsIndex,0))</f>
        <v>0</v>
      </c>
      <c r="AD709">
        <f>AA709*P709+AB709*Q709+AC709</f>
        <v>0</v>
      </c>
      <c r="AE709">
        <f>INDEX(CoefficientsGPA,MATCH(T709&amp;":"&amp;O709,CoefficientsIndex,0))</f>
        <v>0</v>
      </c>
      <c r="AF709">
        <f>INDEX(CoefficientsACT,MATCH(T709&amp;":"&amp;O709,CoefficientsIndex,0))</f>
        <v>0</v>
      </c>
      <c r="AG709">
        <f>INDEX(CoefficientsIntercept,MATCH(T709&amp;":"&amp;O709,CoefficientsIndex,0))</f>
        <v>0</v>
      </c>
      <c r="AH709">
        <f>AE709*P709+(Q709-Z709)*AF709+AG709</f>
        <v>0</v>
      </c>
      <c r="AI709">
        <f>IF(ISNUMBER(AD709),AD709,AH709)</f>
        <v>0</v>
      </c>
      <c r="AJ709">
        <f>IF(ISNUMBER(AI709),IF(ISNUMBER(AE709),IF(AND(AE709=1,AF709=1,AG709=1),100,ROUND(100*EXP(AI709)/(1+EXP(AI709)),2)),ROUND(100*EXP(AI709)/(1+EXP(AI709)),2)),IF(ISTEXT(O709),IF(LEFT(O709,1)="2",100,"N/A"),"N/A"))</f>
        <v>0</v>
      </c>
      <c r="AK709">
        <f>IF(ISNUMBER(AJ709),IF(AJ709&gt;=99,IF(OR(R709=10,R709=11),MatchLabel,SureThingLabel),IF(AJ709&gt;=95,SecureLabel,IF(AJ709&gt;=80,SafetyLabel,IF(AJ709&gt;=50,MatchLabel,IF(AJ709&gt;=20,ReachLabel,IF(AJ709&gt;=10,LongshotLabel,HailMaryLabel)))))),"Other")</f>
        <v>0</v>
      </c>
      <c r="AL709">
        <f>IF(OR(I709="accepted",I709="cond. accept",I709="summer admit"),IF(J709="yes","CHOICE!","Accepted!"),IF(I709="denied","Denied",IF(K709=1,"Waitlist",IF(L709=1,"Deferred",IF(G709="pending","Pending",IF(OR(G709="initial materials submitted",G709="mid-year submitted",G709="final submitted"),"Submitted",IF(H709="interest","Interest","?")))))))</f>
        <v>0</v>
      </c>
      <c r="AM709">
        <f>IF(OR(AK709=ReachLabel,AK709=LongshotLabel,AK709=HailMaryLabel),1,0)</f>
        <v>0</v>
      </c>
      <c r="AN709">
        <f>IF(OR(AM709=1,AK709=MatchLabel),1,0)</f>
        <v>0</v>
      </c>
      <c r="AO709">
        <f>IF(OR(AK709=MatchLabel,AK709=SafetyLabel,AK709=SecureLabel,AK709=SureThingLabel),1,0)</f>
        <v>0</v>
      </c>
      <c r="AP709">
        <f>IF(OR(T709="H",T709="B"),IF(ISNUMBER(Y709),ROUND(Y709,2),0),IF(ISNUMBER(X709),ROUND(X709,2),0))</f>
        <v>0</v>
      </c>
      <c r="AQ709">
        <f>IF(AP709&gt;=U709,1,0)</f>
        <v>0</v>
      </c>
      <c r="AR709">
        <f>IF(AP709&gt;=V709,1,0)</f>
        <v>0</v>
      </c>
      <c r="AS709">
        <f>IF(AP709&lt;(U709-0.10),1,0)</f>
        <v>0</v>
      </c>
      <c r="AT709">
        <f>1-AJ709/100</f>
        <v>0</v>
      </c>
      <c r="AU709">
        <f>IF(AN709=1,AT709,1)</f>
        <v>0</v>
      </c>
      <c r="AV709">
        <f>IF(AM709=1,AT709,1)</f>
        <v>0</v>
      </c>
      <c r="AW709">
        <f>IF(AND(AQ709=1,ISNUMBER(AT709)),$AT709,1)</f>
        <v>0</v>
      </c>
      <c r="AX709">
        <f>IF(AND(AR709=1,ISNUMBER(AT709)),$AT709,1)</f>
        <v>0</v>
      </c>
      <c r="AY709">
        <f>IF(ISNUMBER(Y709),INDEX(AllCollegeMoney, MATCH(N709,AllCollegeNCES,0)),0)</f>
        <v>0</v>
      </c>
      <c r="AZ709">
        <f>IF(AND(AQ709=1,ISNUMBER(AT709),AY709=1),$AT709,1)</f>
        <v>0</v>
      </c>
      <c r="BA709">
        <f>IF(AND(AR709=1,ISNUMBER(AT709),AY709=1),$AT709,1)</f>
        <v>0</v>
      </c>
      <c r="BB709">
        <f>IF(ISNUMBER(Y709),INDEX(AllCollegeILPub, MATCH(N709,AllCollegeNCES,0)),0)</f>
        <v>0</v>
      </c>
      <c r="BC709">
        <f>IF(AK709=ReachLabel,AP709,0)</f>
        <v>0</v>
      </c>
      <c r="BD709">
        <f>IF(AK709=MatchLabel,AP709,0)</f>
        <v>0</v>
      </c>
      <c r="BE709">
        <f>IF(AK709=SafetyLabel,AP709,0)</f>
        <v>0</v>
      </c>
      <c r="BF709">
        <f>IF(AK709=SecureLabel,AP709,0)</f>
        <v>0</v>
      </c>
      <c r="BG709">
        <f>IF(AK709=SureThingLabel,AP709,0)</f>
        <v>0</v>
      </c>
      <c r="BH709">
        <f>MAX(BC709:BG709)</f>
        <v>0</v>
      </c>
      <c r="BI709">
        <f>MAX(BD709:BG709)</f>
        <v>0</v>
      </c>
      <c r="BJ709">
        <f>MAX(BE709:BG709)</f>
        <v>0</v>
      </c>
      <c r="BK709">
        <f>IF(AND(AK709=ReachLabel,AY709=1),AP709,0)</f>
        <v>0</v>
      </c>
      <c r="BL709">
        <f>IF(AND(AK709=MatchLabel,AY709=1),AP709,0)</f>
        <v>0</v>
      </c>
      <c r="BM709">
        <f>IF(AND(AK709=SafetyLabel,AY709=1),AP709,0)</f>
        <v>0</v>
      </c>
      <c r="BN709">
        <f>IF(AND(AK709=SecureLabel,AY709=1),AP709,0)</f>
        <v>0</v>
      </c>
      <c r="BO709">
        <f>IF(AND(AK709=SureThingLabel,AY709=1),AP709,0)</f>
        <v>0</v>
      </c>
      <c r="BP709">
        <f>MAX(BK709:BO709)</f>
        <v>0</v>
      </c>
      <c r="BQ709">
        <f>MAX(BL709:BO709)</f>
        <v>0</v>
      </c>
      <c r="BR709">
        <f>MAX(BM709:BO709)</f>
        <v>0</v>
      </c>
      <c r="BS709">
        <f>IF(ISNUMBER(Y709),INDEX(AllCollegeChicago, MATCH(N709,AllCollegeNCES,0))*AY709,0)</f>
        <v>0</v>
      </c>
      <c r="BT709">
        <f>IF(ISNUMBER(Y709),INDEX(AllCollegeMoneyCode, MATCH(N709,AllCollegeNCES,0)),"?")</f>
        <v>0</v>
      </c>
      <c r="BU709">
        <f>IF(OR(BT709="---",BT709="--",BT709="+/--",BT709="+/---"),1,0)</f>
        <v>0</v>
      </c>
      <c r="BV709">
        <f>AY709*AO709*AQ709</f>
        <v>0</v>
      </c>
    </row>
    <row r="710" spans="1:74">
      <c r="A710" t="s">
        <v>86</v>
      </c>
      <c r="B710">
        <v>30144279</v>
      </c>
      <c r="C710" t="s">
        <v>323</v>
      </c>
      <c r="D710" t="s">
        <v>324</v>
      </c>
      <c r="E710" t="s">
        <v>428</v>
      </c>
      <c r="F710" t="s">
        <v>457</v>
      </c>
      <c r="G710" t="s">
        <v>430</v>
      </c>
      <c r="H710" t="s">
        <v>431</v>
      </c>
      <c r="I710" t="s">
        <v>432</v>
      </c>
      <c r="J710" t="s">
        <v>432</v>
      </c>
      <c r="K710">
        <v>0</v>
      </c>
      <c r="L710" t="s">
        <v>428</v>
      </c>
      <c r="M710" t="s">
        <v>428</v>
      </c>
      <c r="N710">
        <v>145637</v>
      </c>
      <c r="O710">
        <f>INDEX(AllCollegeBarrons,MATCH(N710,AllCollegeNCES,0))</f>
        <v>0</v>
      </c>
      <c r="P710">
        <f>INDEX(KidGPAs,MATCH(B710,KidIDs,0))</f>
        <v>0</v>
      </c>
      <c r="Q710">
        <f>INDEX(KidACTs,MATCH(B710,KidIDs,0))</f>
        <v>0</v>
      </c>
      <c r="R710">
        <f>INDEX(Strats,MATCH(B710,KidIDs,0))</f>
        <v>0</v>
      </c>
      <c r="S710">
        <f>INDEX(KidRace,MATCH(B710,KidIDs,0))</f>
        <v>0</v>
      </c>
      <c r="T710">
        <f>IF(OR(S710="M",S710="I"),"H",S710)</f>
        <v>0</v>
      </c>
      <c r="U710">
        <f>INDEX(StudentTargets,MATCH(B710,KidIDs,0))</f>
        <v>0</v>
      </c>
      <c r="V710">
        <f>INDEX(ReachStudentTargets,MATCH(B710,KidIDs,0))</f>
        <v>0</v>
      </c>
      <c r="W710">
        <f>IF(OR(M710="Posse"),1,0)</f>
        <v>0</v>
      </c>
      <c r="X710">
        <f>IF(ISNUMBER(INDEX(AllCollegeGR, MATCH(N710,AllCollegeNCES,0))),ROUND(INDEX(AllCollegeGR, MATCH(N710,AllCollegeNCES,0))+W710*IF(INDEX(AllCollegeGR, MATCH(N710,AllCollegeNCES,0))&gt;0.7,(1-INDEX(AllCollegeGR, MATCH(N710,AllCollegeNCES,0)))/2,0.15),2),INDEX(AllCollegeGR, MATCH(N710,AllCollegeNCES,0)))</f>
        <v>0</v>
      </c>
      <c r="Y710">
        <f>IF(ISNUMBER(INDEX(AllCollegeAAHGR, MATCH(N710,AllCollegeNCES,0))),ROUND(INDEX(AllCollegeAAHGR, MATCH(N710,AllCollegeNCES,0))+W710*IF(INDEX(AllCollegeAAHGR, MATCH(N710,AllCollegeNCES,0))&gt;0.7,(1-INDEX(AllCollegeAAHGR, MATCH(N710,AllCollegeNCES,0)))/2,0.15),2),INDEX(AllCollegeAAHGR, MATCH(N710,AllCollegeNCES,0)))</f>
        <v>0</v>
      </c>
      <c r="Z710">
        <f>IF(OR(T710="H",T710="B"),INDEX(AllCollegeACT25, MATCH(N710,AllCollegeNCES,0)),INDEX(AllCollegeACT50, MATCH(N710,AllCollegeNCES,0)))</f>
        <v>0</v>
      </c>
      <c r="AA710">
        <f>INDEX(CustomWeightsGPA,MATCH(T710&amp;":"&amp;N710,CustomWeightsIndex,0))</f>
        <v>0</v>
      </c>
      <c r="AB710">
        <f>INDEX(CustomWeightsACT,MATCH(T710&amp;":"&amp;N710,CustomWeightsIndex,0))</f>
        <v>0</v>
      </c>
      <c r="AC710">
        <f>INDEX(CustomWeightsIntercept,MATCH(T710&amp;":"&amp;N710,CustomWeightsIndex,0))</f>
        <v>0</v>
      </c>
      <c r="AD710">
        <f>AA710*P710+AB710*Q710+AC710</f>
        <v>0</v>
      </c>
      <c r="AE710">
        <f>INDEX(CoefficientsGPA,MATCH(T710&amp;":"&amp;O710,CoefficientsIndex,0))</f>
        <v>0</v>
      </c>
      <c r="AF710">
        <f>INDEX(CoefficientsACT,MATCH(T710&amp;":"&amp;O710,CoefficientsIndex,0))</f>
        <v>0</v>
      </c>
      <c r="AG710">
        <f>INDEX(CoefficientsIntercept,MATCH(T710&amp;":"&amp;O710,CoefficientsIndex,0))</f>
        <v>0</v>
      </c>
      <c r="AH710">
        <f>AE710*P710+(Q710-Z710)*AF710+AG710</f>
        <v>0</v>
      </c>
      <c r="AI710">
        <f>IF(ISNUMBER(AD710),AD710,AH710)</f>
        <v>0</v>
      </c>
      <c r="AJ710">
        <f>IF(ISNUMBER(AI710),IF(ISNUMBER(AE710),IF(AND(AE710=1,AF710=1,AG710=1),100,ROUND(100*EXP(AI710)/(1+EXP(AI710)),2)),ROUND(100*EXP(AI710)/(1+EXP(AI710)),2)),IF(ISTEXT(O710),IF(LEFT(O710,1)="2",100,"N/A"),"N/A"))</f>
        <v>0</v>
      </c>
      <c r="AK710">
        <f>IF(ISNUMBER(AJ710),IF(AJ710&gt;=99,IF(OR(R710=10,R710=11),MatchLabel,SureThingLabel),IF(AJ710&gt;=95,SecureLabel,IF(AJ710&gt;=80,SafetyLabel,IF(AJ710&gt;=50,MatchLabel,IF(AJ710&gt;=20,ReachLabel,IF(AJ710&gt;=10,LongshotLabel,HailMaryLabel)))))),"Other")</f>
        <v>0</v>
      </c>
      <c r="AL710">
        <f>IF(OR(I710="accepted",I710="cond. accept",I710="summer admit"),IF(J710="yes","CHOICE!","Accepted!"),IF(I710="denied","Denied",IF(K710=1,"Waitlist",IF(L710=1,"Deferred",IF(G710="pending","Pending",IF(OR(G710="initial materials submitted",G710="mid-year submitted",G710="final submitted"),"Submitted",IF(H710="interest","Interest","?")))))))</f>
        <v>0</v>
      </c>
      <c r="AM710">
        <f>IF(OR(AK710=ReachLabel,AK710=LongshotLabel,AK710=HailMaryLabel),1,0)</f>
        <v>0</v>
      </c>
      <c r="AN710">
        <f>IF(OR(AM710=1,AK710=MatchLabel),1,0)</f>
        <v>0</v>
      </c>
      <c r="AO710">
        <f>IF(OR(AK710=MatchLabel,AK710=SafetyLabel,AK710=SecureLabel,AK710=SureThingLabel),1,0)</f>
        <v>0</v>
      </c>
      <c r="AP710">
        <f>IF(OR(T710="H",T710="B"),IF(ISNUMBER(Y710),ROUND(Y710,2),0),IF(ISNUMBER(X710),ROUND(X710,2),0))</f>
        <v>0</v>
      </c>
      <c r="AQ710">
        <f>IF(AP710&gt;=U710,1,0)</f>
        <v>0</v>
      </c>
      <c r="AR710">
        <f>IF(AP710&gt;=V710,1,0)</f>
        <v>0</v>
      </c>
      <c r="AS710">
        <f>IF(AP710&lt;(U710-0.10),1,0)</f>
        <v>0</v>
      </c>
      <c r="AT710">
        <f>1-AJ710/100</f>
        <v>0</v>
      </c>
      <c r="AU710">
        <f>IF(AN710=1,AT710,1)</f>
        <v>0</v>
      </c>
      <c r="AV710">
        <f>IF(AM710=1,AT710,1)</f>
        <v>0</v>
      </c>
      <c r="AW710">
        <f>IF(AND(AQ710=1,ISNUMBER(AT710)),$AT710,1)</f>
        <v>0</v>
      </c>
      <c r="AX710">
        <f>IF(AND(AR710=1,ISNUMBER(AT710)),$AT710,1)</f>
        <v>0</v>
      </c>
      <c r="AY710">
        <f>IF(ISNUMBER(Y710),INDEX(AllCollegeMoney, MATCH(N710,AllCollegeNCES,0)),0)</f>
        <v>0</v>
      </c>
      <c r="AZ710">
        <f>IF(AND(AQ710=1,ISNUMBER(AT710),AY710=1),$AT710,1)</f>
        <v>0</v>
      </c>
      <c r="BA710">
        <f>IF(AND(AR710=1,ISNUMBER(AT710),AY710=1),$AT710,1)</f>
        <v>0</v>
      </c>
      <c r="BB710">
        <f>IF(ISNUMBER(Y710),INDEX(AllCollegeILPub, MATCH(N710,AllCollegeNCES,0)),0)</f>
        <v>0</v>
      </c>
      <c r="BC710">
        <f>IF(AK710=ReachLabel,AP710,0)</f>
        <v>0</v>
      </c>
      <c r="BD710">
        <f>IF(AK710=MatchLabel,AP710,0)</f>
        <v>0</v>
      </c>
      <c r="BE710">
        <f>IF(AK710=SafetyLabel,AP710,0)</f>
        <v>0</v>
      </c>
      <c r="BF710">
        <f>IF(AK710=SecureLabel,AP710,0)</f>
        <v>0</v>
      </c>
      <c r="BG710">
        <f>IF(AK710=SureThingLabel,AP710,0)</f>
        <v>0</v>
      </c>
      <c r="BH710">
        <f>MAX(BC710:BG710)</f>
        <v>0</v>
      </c>
      <c r="BI710">
        <f>MAX(BD710:BG710)</f>
        <v>0</v>
      </c>
      <c r="BJ710">
        <f>MAX(BE710:BG710)</f>
        <v>0</v>
      </c>
      <c r="BK710">
        <f>IF(AND(AK710=ReachLabel,AY710=1),AP710,0)</f>
        <v>0</v>
      </c>
      <c r="BL710">
        <f>IF(AND(AK710=MatchLabel,AY710=1),AP710,0)</f>
        <v>0</v>
      </c>
      <c r="BM710">
        <f>IF(AND(AK710=SafetyLabel,AY710=1),AP710,0)</f>
        <v>0</v>
      </c>
      <c r="BN710">
        <f>IF(AND(AK710=SecureLabel,AY710=1),AP710,0)</f>
        <v>0</v>
      </c>
      <c r="BO710">
        <f>IF(AND(AK710=SureThingLabel,AY710=1),AP710,0)</f>
        <v>0</v>
      </c>
      <c r="BP710">
        <f>MAX(BK710:BO710)</f>
        <v>0</v>
      </c>
      <c r="BQ710">
        <f>MAX(BL710:BO710)</f>
        <v>0</v>
      </c>
      <c r="BR710">
        <f>MAX(BM710:BO710)</f>
        <v>0</v>
      </c>
      <c r="BS710">
        <f>IF(ISNUMBER(Y710),INDEX(AllCollegeChicago, MATCH(N710,AllCollegeNCES,0))*AY710,0)</f>
        <v>0</v>
      </c>
      <c r="BT710">
        <f>IF(ISNUMBER(Y710),INDEX(AllCollegeMoneyCode, MATCH(N710,AllCollegeNCES,0)),"?")</f>
        <v>0</v>
      </c>
      <c r="BU710">
        <f>IF(OR(BT710="---",BT710="--",BT710="+/--",BT710="+/---"),1,0)</f>
        <v>0</v>
      </c>
      <c r="BV710">
        <f>AY710*AO710*AQ710</f>
        <v>0</v>
      </c>
    </row>
    <row r="711" spans="1:74">
      <c r="A711" t="s">
        <v>86</v>
      </c>
      <c r="B711">
        <v>30144279</v>
      </c>
      <c r="C711" t="s">
        <v>323</v>
      </c>
      <c r="D711" t="s">
        <v>324</v>
      </c>
      <c r="E711" t="s">
        <v>428</v>
      </c>
      <c r="F711" t="s">
        <v>484</v>
      </c>
      <c r="G711" t="s">
        <v>430</v>
      </c>
      <c r="H711" t="s">
        <v>431</v>
      </c>
      <c r="I711" t="s">
        <v>432</v>
      </c>
      <c r="J711" t="s">
        <v>432</v>
      </c>
      <c r="K711">
        <v>0</v>
      </c>
      <c r="L711" t="s">
        <v>428</v>
      </c>
      <c r="M711" t="s">
        <v>428</v>
      </c>
      <c r="N711">
        <v>144740</v>
      </c>
      <c r="O711">
        <f>INDEX(AllCollegeBarrons,MATCH(N711,AllCollegeNCES,0))</f>
        <v>0</v>
      </c>
      <c r="P711">
        <f>INDEX(KidGPAs,MATCH(B711,KidIDs,0))</f>
        <v>0</v>
      </c>
      <c r="Q711">
        <f>INDEX(KidACTs,MATCH(B711,KidIDs,0))</f>
        <v>0</v>
      </c>
      <c r="R711">
        <f>INDEX(Strats,MATCH(B711,KidIDs,0))</f>
        <v>0</v>
      </c>
      <c r="S711">
        <f>INDEX(KidRace,MATCH(B711,KidIDs,0))</f>
        <v>0</v>
      </c>
      <c r="T711">
        <f>IF(OR(S711="M",S711="I"),"H",S711)</f>
        <v>0</v>
      </c>
      <c r="U711">
        <f>INDEX(StudentTargets,MATCH(B711,KidIDs,0))</f>
        <v>0</v>
      </c>
      <c r="V711">
        <f>INDEX(ReachStudentTargets,MATCH(B711,KidIDs,0))</f>
        <v>0</v>
      </c>
      <c r="W711">
        <f>IF(OR(M711="Posse"),1,0)</f>
        <v>0</v>
      </c>
      <c r="X711">
        <f>IF(ISNUMBER(INDEX(AllCollegeGR, MATCH(N711,AllCollegeNCES,0))),ROUND(INDEX(AllCollegeGR, MATCH(N711,AllCollegeNCES,0))+W711*IF(INDEX(AllCollegeGR, MATCH(N711,AllCollegeNCES,0))&gt;0.7,(1-INDEX(AllCollegeGR, MATCH(N711,AllCollegeNCES,0)))/2,0.15),2),INDEX(AllCollegeGR, MATCH(N711,AllCollegeNCES,0)))</f>
        <v>0</v>
      </c>
      <c r="Y711">
        <f>IF(ISNUMBER(INDEX(AllCollegeAAHGR, MATCH(N711,AllCollegeNCES,0))),ROUND(INDEX(AllCollegeAAHGR, MATCH(N711,AllCollegeNCES,0))+W711*IF(INDEX(AllCollegeAAHGR, MATCH(N711,AllCollegeNCES,0))&gt;0.7,(1-INDEX(AllCollegeAAHGR, MATCH(N711,AllCollegeNCES,0)))/2,0.15),2),INDEX(AllCollegeAAHGR, MATCH(N711,AllCollegeNCES,0)))</f>
        <v>0</v>
      </c>
      <c r="Z711">
        <f>IF(OR(T711="H",T711="B"),INDEX(AllCollegeACT25, MATCH(N711,AllCollegeNCES,0)),INDEX(AllCollegeACT50, MATCH(N711,AllCollegeNCES,0)))</f>
        <v>0</v>
      </c>
      <c r="AA711">
        <f>INDEX(CustomWeightsGPA,MATCH(T711&amp;":"&amp;N711,CustomWeightsIndex,0))</f>
        <v>0</v>
      </c>
      <c r="AB711">
        <f>INDEX(CustomWeightsACT,MATCH(T711&amp;":"&amp;N711,CustomWeightsIndex,0))</f>
        <v>0</v>
      </c>
      <c r="AC711">
        <f>INDEX(CustomWeightsIntercept,MATCH(T711&amp;":"&amp;N711,CustomWeightsIndex,0))</f>
        <v>0</v>
      </c>
      <c r="AD711">
        <f>AA711*P711+AB711*Q711+AC711</f>
        <v>0</v>
      </c>
      <c r="AE711">
        <f>INDEX(CoefficientsGPA,MATCH(T711&amp;":"&amp;O711,CoefficientsIndex,0))</f>
        <v>0</v>
      </c>
      <c r="AF711">
        <f>INDEX(CoefficientsACT,MATCH(T711&amp;":"&amp;O711,CoefficientsIndex,0))</f>
        <v>0</v>
      </c>
      <c r="AG711">
        <f>INDEX(CoefficientsIntercept,MATCH(T711&amp;":"&amp;O711,CoefficientsIndex,0))</f>
        <v>0</v>
      </c>
      <c r="AH711">
        <f>AE711*P711+(Q711-Z711)*AF711+AG711</f>
        <v>0</v>
      </c>
      <c r="AI711">
        <f>IF(ISNUMBER(AD711),AD711,AH711)</f>
        <v>0</v>
      </c>
      <c r="AJ711">
        <f>IF(ISNUMBER(AI711),IF(ISNUMBER(AE711),IF(AND(AE711=1,AF711=1,AG711=1),100,ROUND(100*EXP(AI711)/(1+EXP(AI711)),2)),ROUND(100*EXP(AI711)/(1+EXP(AI711)),2)),IF(ISTEXT(O711),IF(LEFT(O711,1)="2",100,"N/A"),"N/A"))</f>
        <v>0</v>
      </c>
      <c r="AK711">
        <f>IF(ISNUMBER(AJ711),IF(AJ711&gt;=99,IF(OR(R711=10,R711=11),MatchLabel,SureThingLabel),IF(AJ711&gt;=95,SecureLabel,IF(AJ711&gt;=80,SafetyLabel,IF(AJ711&gt;=50,MatchLabel,IF(AJ711&gt;=20,ReachLabel,IF(AJ711&gt;=10,LongshotLabel,HailMaryLabel)))))),"Other")</f>
        <v>0</v>
      </c>
      <c r="AL711">
        <f>IF(OR(I711="accepted",I711="cond. accept",I711="summer admit"),IF(J711="yes","CHOICE!","Accepted!"),IF(I711="denied","Denied",IF(K711=1,"Waitlist",IF(L711=1,"Deferred",IF(G711="pending","Pending",IF(OR(G711="initial materials submitted",G711="mid-year submitted",G711="final submitted"),"Submitted",IF(H711="interest","Interest","?")))))))</f>
        <v>0</v>
      </c>
      <c r="AM711">
        <f>IF(OR(AK711=ReachLabel,AK711=LongshotLabel,AK711=HailMaryLabel),1,0)</f>
        <v>0</v>
      </c>
      <c r="AN711">
        <f>IF(OR(AM711=1,AK711=MatchLabel),1,0)</f>
        <v>0</v>
      </c>
      <c r="AO711">
        <f>IF(OR(AK711=MatchLabel,AK711=SafetyLabel,AK711=SecureLabel,AK711=SureThingLabel),1,0)</f>
        <v>0</v>
      </c>
      <c r="AP711">
        <f>IF(OR(T711="H",T711="B"),IF(ISNUMBER(Y711),ROUND(Y711,2),0),IF(ISNUMBER(X711),ROUND(X711,2),0))</f>
        <v>0</v>
      </c>
      <c r="AQ711">
        <f>IF(AP711&gt;=U711,1,0)</f>
        <v>0</v>
      </c>
      <c r="AR711">
        <f>IF(AP711&gt;=V711,1,0)</f>
        <v>0</v>
      </c>
      <c r="AS711">
        <f>IF(AP711&lt;(U711-0.10),1,0)</f>
        <v>0</v>
      </c>
      <c r="AT711">
        <f>1-AJ711/100</f>
        <v>0</v>
      </c>
      <c r="AU711">
        <f>IF(AN711=1,AT711,1)</f>
        <v>0</v>
      </c>
      <c r="AV711">
        <f>IF(AM711=1,AT711,1)</f>
        <v>0</v>
      </c>
      <c r="AW711">
        <f>IF(AND(AQ711=1,ISNUMBER(AT711)),$AT711,1)</f>
        <v>0</v>
      </c>
      <c r="AX711">
        <f>IF(AND(AR711=1,ISNUMBER(AT711)),$AT711,1)</f>
        <v>0</v>
      </c>
      <c r="AY711">
        <f>IF(ISNUMBER(Y711),INDEX(AllCollegeMoney, MATCH(N711,AllCollegeNCES,0)),0)</f>
        <v>0</v>
      </c>
      <c r="AZ711">
        <f>IF(AND(AQ711=1,ISNUMBER(AT711),AY711=1),$AT711,1)</f>
        <v>0</v>
      </c>
      <c r="BA711">
        <f>IF(AND(AR711=1,ISNUMBER(AT711),AY711=1),$AT711,1)</f>
        <v>0</v>
      </c>
      <c r="BB711">
        <f>IF(ISNUMBER(Y711),INDEX(AllCollegeILPub, MATCH(N711,AllCollegeNCES,0)),0)</f>
        <v>0</v>
      </c>
      <c r="BC711">
        <f>IF(AK711=ReachLabel,AP711,0)</f>
        <v>0</v>
      </c>
      <c r="BD711">
        <f>IF(AK711=MatchLabel,AP711,0)</f>
        <v>0</v>
      </c>
      <c r="BE711">
        <f>IF(AK711=SafetyLabel,AP711,0)</f>
        <v>0</v>
      </c>
      <c r="BF711">
        <f>IF(AK711=SecureLabel,AP711,0)</f>
        <v>0</v>
      </c>
      <c r="BG711">
        <f>IF(AK711=SureThingLabel,AP711,0)</f>
        <v>0</v>
      </c>
      <c r="BH711">
        <f>MAX(BC711:BG711)</f>
        <v>0</v>
      </c>
      <c r="BI711">
        <f>MAX(BD711:BG711)</f>
        <v>0</v>
      </c>
      <c r="BJ711">
        <f>MAX(BE711:BG711)</f>
        <v>0</v>
      </c>
      <c r="BK711">
        <f>IF(AND(AK711=ReachLabel,AY711=1),AP711,0)</f>
        <v>0</v>
      </c>
      <c r="BL711">
        <f>IF(AND(AK711=MatchLabel,AY711=1),AP711,0)</f>
        <v>0</v>
      </c>
      <c r="BM711">
        <f>IF(AND(AK711=SafetyLabel,AY711=1),AP711,0)</f>
        <v>0</v>
      </c>
      <c r="BN711">
        <f>IF(AND(AK711=SecureLabel,AY711=1),AP711,0)</f>
        <v>0</v>
      </c>
      <c r="BO711">
        <f>IF(AND(AK711=SureThingLabel,AY711=1),AP711,0)</f>
        <v>0</v>
      </c>
      <c r="BP711">
        <f>MAX(BK711:BO711)</f>
        <v>0</v>
      </c>
      <c r="BQ711">
        <f>MAX(BL711:BO711)</f>
        <v>0</v>
      </c>
      <c r="BR711">
        <f>MAX(BM711:BO711)</f>
        <v>0</v>
      </c>
      <c r="BS711">
        <f>IF(ISNUMBER(Y711),INDEX(AllCollegeChicago, MATCH(N711,AllCollegeNCES,0))*AY711,0)</f>
        <v>0</v>
      </c>
      <c r="BT711">
        <f>IF(ISNUMBER(Y711),INDEX(AllCollegeMoneyCode, MATCH(N711,AllCollegeNCES,0)),"?")</f>
        <v>0</v>
      </c>
      <c r="BU711">
        <f>IF(OR(BT711="---",BT711="--",BT711="+/--",BT711="+/---"),1,0)</f>
        <v>0</v>
      </c>
      <c r="BV711">
        <f>AY711*AO711*AQ711</f>
        <v>0</v>
      </c>
    </row>
    <row r="712" spans="1:74">
      <c r="A712" t="s">
        <v>86</v>
      </c>
      <c r="B712">
        <v>30144279</v>
      </c>
      <c r="C712" t="s">
        <v>323</v>
      </c>
      <c r="D712" t="s">
        <v>324</v>
      </c>
      <c r="E712" t="s">
        <v>428</v>
      </c>
      <c r="F712" t="s">
        <v>518</v>
      </c>
      <c r="G712" t="s">
        <v>430</v>
      </c>
      <c r="H712" t="s">
        <v>431</v>
      </c>
      <c r="I712" t="s">
        <v>432</v>
      </c>
      <c r="J712" t="s">
        <v>432</v>
      </c>
      <c r="K712">
        <v>0</v>
      </c>
      <c r="L712" t="s">
        <v>428</v>
      </c>
      <c r="M712" t="s">
        <v>428</v>
      </c>
      <c r="N712">
        <v>146719</v>
      </c>
      <c r="O712">
        <f>INDEX(AllCollegeBarrons,MATCH(N712,AllCollegeNCES,0))</f>
        <v>0</v>
      </c>
      <c r="P712">
        <f>INDEX(KidGPAs,MATCH(B712,KidIDs,0))</f>
        <v>0</v>
      </c>
      <c r="Q712">
        <f>INDEX(KidACTs,MATCH(B712,KidIDs,0))</f>
        <v>0</v>
      </c>
      <c r="R712">
        <f>INDEX(Strats,MATCH(B712,KidIDs,0))</f>
        <v>0</v>
      </c>
      <c r="S712">
        <f>INDEX(KidRace,MATCH(B712,KidIDs,0))</f>
        <v>0</v>
      </c>
      <c r="T712">
        <f>IF(OR(S712="M",S712="I"),"H",S712)</f>
        <v>0</v>
      </c>
      <c r="U712">
        <f>INDEX(StudentTargets,MATCH(B712,KidIDs,0))</f>
        <v>0</v>
      </c>
      <c r="V712">
        <f>INDEX(ReachStudentTargets,MATCH(B712,KidIDs,0))</f>
        <v>0</v>
      </c>
      <c r="W712">
        <f>IF(OR(M712="Posse"),1,0)</f>
        <v>0</v>
      </c>
      <c r="X712">
        <f>IF(ISNUMBER(INDEX(AllCollegeGR, MATCH(N712,AllCollegeNCES,0))),ROUND(INDEX(AllCollegeGR, MATCH(N712,AllCollegeNCES,0))+W712*IF(INDEX(AllCollegeGR, MATCH(N712,AllCollegeNCES,0))&gt;0.7,(1-INDEX(AllCollegeGR, MATCH(N712,AllCollegeNCES,0)))/2,0.15),2),INDEX(AllCollegeGR, MATCH(N712,AllCollegeNCES,0)))</f>
        <v>0</v>
      </c>
      <c r="Y712">
        <f>IF(ISNUMBER(INDEX(AllCollegeAAHGR, MATCH(N712,AllCollegeNCES,0))),ROUND(INDEX(AllCollegeAAHGR, MATCH(N712,AllCollegeNCES,0))+W712*IF(INDEX(AllCollegeAAHGR, MATCH(N712,AllCollegeNCES,0))&gt;0.7,(1-INDEX(AllCollegeAAHGR, MATCH(N712,AllCollegeNCES,0)))/2,0.15),2),INDEX(AllCollegeAAHGR, MATCH(N712,AllCollegeNCES,0)))</f>
        <v>0</v>
      </c>
      <c r="Z712">
        <f>IF(OR(T712="H",T712="B"),INDEX(AllCollegeACT25, MATCH(N712,AllCollegeNCES,0)),INDEX(AllCollegeACT50, MATCH(N712,AllCollegeNCES,0)))</f>
        <v>0</v>
      </c>
      <c r="AA712">
        <f>INDEX(CustomWeightsGPA,MATCH(T712&amp;":"&amp;N712,CustomWeightsIndex,0))</f>
        <v>0</v>
      </c>
      <c r="AB712">
        <f>INDEX(CustomWeightsACT,MATCH(T712&amp;":"&amp;N712,CustomWeightsIndex,0))</f>
        <v>0</v>
      </c>
      <c r="AC712">
        <f>INDEX(CustomWeightsIntercept,MATCH(T712&amp;":"&amp;N712,CustomWeightsIndex,0))</f>
        <v>0</v>
      </c>
      <c r="AD712">
        <f>AA712*P712+AB712*Q712+AC712</f>
        <v>0</v>
      </c>
      <c r="AE712">
        <f>INDEX(CoefficientsGPA,MATCH(T712&amp;":"&amp;O712,CoefficientsIndex,0))</f>
        <v>0</v>
      </c>
      <c r="AF712">
        <f>INDEX(CoefficientsACT,MATCH(T712&amp;":"&amp;O712,CoefficientsIndex,0))</f>
        <v>0</v>
      </c>
      <c r="AG712">
        <f>INDEX(CoefficientsIntercept,MATCH(T712&amp;":"&amp;O712,CoefficientsIndex,0))</f>
        <v>0</v>
      </c>
      <c r="AH712">
        <f>AE712*P712+(Q712-Z712)*AF712+AG712</f>
        <v>0</v>
      </c>
      <c r="AI712">
        <f>IF(ISNUMBER(AD712),AD712,AH712)</f>
        <v>0</v>
      </c>
      <c r="AJ712">
        <f>IF(ISNUMBER(AI712),IF(ISNUMBER(AE712),IF(AND(AE712=1,AF712=1,AG712=1),100,ROUND(100*EXP(AI712)/(1+EXP(AI712)),2)),ROUND(100*EXP(AI712)/(1+EXP(AI712)),2)),IF(ISTEXT(O712),IF(LEFT(O712,1)="2",100,"N/A"),"N/A"))</f>
        <v>0</v>
      </c>
      <c r="AK712">
        <f>IF(ISNUMBER(AJ712),IF(AJ712&gt;=99,IF(OR(R712=10,R712=11),MatchLabel,SureThingLabel),IF(AJ712&gt;=95,SecureLabel,IF(AJ712&gt;=80,SafetyLabel,IF(AJ712&gt;=50,MatchLabel,IF(AJ712&gt;=20,ReachLabel,IF(AJ712&gt;=10,LongshotLabel,HailMaryLabel)))))),"Other")</f>
        <v>0</v>
      </c>
      <c r="AL712">
        <f>IF(OR(I712="accepted",I712="cond. accept",I712="summer admit"),IF(J712="yes","CHOICE!","Accepted!"),IF(I712="denied","Denied",IF(K712=1,"Waitlist",IF(L712=1,"Deferred",IF(G712="pending","Pending",IF(OR(G712="initial materials submitted",G712="mid-year submitted",G712="final submitted"),"Submitted",IF(H712="interest","Interest","?")))))))</f>
        <v>0</v>
      </c>
      <c r="AM712">
        <f>IF(OR(AK712=ReachLabel,AK712=LongshotLabel,AK712=HailMaryLabel),1,0)</f>
        <v>0</v>
      </c>
      <c r="AN712">
        <f>IF(OR(AM712=1,AK712=MatchLabel),1,0)</f>
        <v>0</v>
      </c>
      <c r="AO712">
        <f>IF(OR(AK712=MatchLabel,AK712=SafetyLabel,AK712=SecureLabel,AK712=SureThingLabel),1,0)</f>
        <v>0</v>
      </c>
      <c r="AP712">
        <f>IF(OR(T712="H",T712="B"),IF(ISNUMBER(Y712),ROUND(Y712,2),0),IF(ISNUMBER(X712),ROUND(X712,2),0))</f>
        <v>0</v>
      </c>
      <c r="AQ712">
        <f>IF(AP712&gt;=U712,1,0)</f>
        <v>0</v>
      </c>
      <c r="AR712">
        <f>IF(AP712&gt;=V712,1,0)</f>
        <v>0</v>
      </c>
      <c r="AS712">
        <f>IF(AP712&lt;(U712-0.10),1,0)</f>
        <v>0</v>
      </c>
      <c r="AT712">
        <f>1-AJ712/100</f>
        <v>0</v>
      </c>
      <c r="AU712">
        <f>IF(AN712=1,AT712,1)</f>
        <v>0</v>
      </c>
      <c r="AV712">
        <f>IF(AM712=1,AT712,1)</f>
        <v>0</v>
      </c>
      <c r="AW712">
        <f>IF(AND(AQ712=1,ISNUMBER(AT712)),$AT712,1)</f>
        <v>0</v>
      </c>
      <c r="AX712">
        <f>IF(AND(AR712=1,ISNUMBER(AT712)),$AT712,1)</f>
        <v>0</v>
      </c>
      <c r="AY712">
        <f>IF(ISNUMBER(Y712),INDEX(AllCollegeMoney, MATCH(N712,AllCollegeNCES,0)),0)</f>
        <v>0</v>
      </c>
      <c r="AZ712">
        <f>IF(AND(AQ712=1,ISNUMBER(AT712),AY712=1),$AT712,1)</f>
        <v>0</v>
      </c>
      <c r="BA712">
        <f>IF(AND(AR712=1,ISNUMBER(AT712),AY712=1),$AT712,1)</f>
        <v>0</v>
      </c>
      <c r="BB712">
        <f>IF(ISNUMBER(Y712),INDEX(AllCollegeILPub, MATCH(N712,AllCollegeNCES,0)),0)</f>
        <v>0</v>
      </c>
      <c r="BC712">
        <f>IF(AK712=ReachLabel,AP712,0)</f>
        <v>0</v>
      </c>
      <c r="BD712">
        <f>IF(AK712=MatchLabel,AP712,0)</f>
        <v>0</v>
      </c>
      <c r="BE712">
        <f>IF(AK712=SafetyLabel,AP712,0)</f>
        <v>0</v>
      </c>
      <c r="BF712">
        <f>IF(AK712=SecureLabel,AP712,0)</f>
        <v>0</v>
      </c>
      <c r="BG712">
        <f>IF(AK712=SureThingLabel,AP712,0)</f>
        <v>0</v>
      </c>
      <c r="BH712">
        <f>MAX(BC712:BG712)</f>
        <v>0</v>
      </c>
      <c r="BI712">
        <f>MAX(BD712:BG712)</f>
        <v>0</v>
      </c>
      <c r="BJ712">
        <f>MAX(BE712:BG712)</f>
        <v>0</v>
      </c>
      <c r="BK712">
        <f>IF(AND(AK712=ReachLabel,AY712=1),AP712,0)</f>
        <v>0</v>
      </c>
      <c r="BL712">
        <f>IF(AND(AK712=MatchLabel,AY712=1),AP712,0)</f>
        <v>0</v>
      </c>
      <c r="BM712">
        <f>IF(AND(AK712=SafetyLabel,AY712=1),AP712,0)</f>
        <v>0</v>
      </c>
      <c r="BN712">
        <f>IF(AND(AK712=SecureLabel,AY712=1),AP712,0)</f>
        <v>0</v>
      </c>
      <c r="BO712">
        <f>IF(AND(AK712=SureThingLabel,AY712=1),AP712,0)</f>
        <v>0</v>
      </c>
      <c r="BP712">
        <f>MAX(BK712:BO712)</f>
        <v>0</v>
      </c>
      <c r="BQ712">
        <f>MAX(BL712:BO712)</f>
        <v>0</v>
      </c>
      <c r="BR712">
        <f>MAX(BM712:BO712)</f>
        <v>0</v>
      </c>
      <c r="BS712">
        <f>IF(ISNUMBER(Y712),INDEX(AllCollegeChicago, MATCH(N712,AllCollegeNCES,0))*AY712,0)</f>
        <v>0</v>
      </c>
      <c r="BT712">
        <f>IF(ISNUMBER(Y712),INDEX(AllCollegeMoneyCode, MATCH(N712,AllCollegeNCES,0)),"?")</f>
        <v>0</v>
      </c>
      <c r="BU712">
        <f>IF(OR(BT712="---",BT712="--",BT712="+/--",BT712="+/---"),1,0)</f>
        <v>0</v>
      </c>
      <c r="BV712">
        <f>AY712*AO712*AQ712</f>
        <v>0</v>
      </c>
    </row>
    <row r="713" spans="1:74">
      <c r="A713" t="s">
        <v>86</v>
      </c>
      <c r="B713">
        <v>30144279</v>
      </c>
      <c r="C713" t="s">
        <v>323</v>
      </c>
      <c r="D713" t="s">
        <v>324</v>
      </c>
      <c r="E713" t="s">
        <v>428</v>
      </c>
      <c r="F713" t="s">
        <v>501</v>
      </c>
      <c r="G713" t="s">
        <v>430</v>
      </c>
      <c r="H713" t="s">
        <v>431</v>
      </c>
      <c r="I713" t="s">
        <v>432</v>
      </c>
      <c r="J713" t="s">
        <v>432</v>
      </c>
      <c r="K713">
        <v>0</v>
      </c>
      <c r="L713" t="s">
        <v>428</v>
      </c>
      <c r="M713" t="s">
        <v>428</v>
      </c>
      <c r="N713">
        <v>145725</v>
      </c>
      <c r="O713">
        <f>INDEX(AllCollegeBarrons,MATCH(N713,AllCollegeNCES,0))</f>
        <v>0</v>
      </c>
      <c r="P713">
        <f>INDEX(KidGPAs,MATCH(B713,KidIDs,0))</f>
        <v>0</v>
      </c>
      <c r="Q713">
        <f>INDEX(KidACTs,MATCH(B713,KidIDs,0))</f>
        <v>0</v>
      </c>
      <c r="R713">
        <f>INDEX(Strats,MATCH(B713,KidIDs,0))</f>
        <v>0</v>
      </c>
      <c r="S713">
        <f>INDEX(KidRace,MATCH(B713,KidIDs,0))</f>
        <v>0</v>
      </c>
      <c r="T713">
        <f>IF(OR(S713="M",S713="I"),"H",S713)</f>
        <v>0</v>
      </c>
      <c r="U713">
        <f>INDEX(StudentTargets,MATCH(B713,KidIDs,0))</f>
        <v>0</v>
      </c>
      <c r="V713">
        <f>INDEX(ReachStudentTargets,MATCH(B713,KidIDs,0))</f>
        <v>0</v>
      </c>
      <c r="W713">
        <f>IF(OR(M713="Posse"),1,0)</f>
        <v>0</v>
      </c>
      <c r="X713">
        <f>IF(ISNUMBER(INDEX(AllCollegeGR, MATCH(N713,AllCollegeNCES,0))),ROUND(INDEX(AllCollegeGR, MATCH(N713,AllCollegeNCES,0))+W713*IF(INDEX(AllCollegeGR, MATCH(N713,AllCollegeNCES,0))&gt;0.7,(1-INDEX(AllCollegeGR, MATCH(N713,AllCollegeNCES,0)))/2,0.15),2),INDEX(AllCollegeGR, MATCH(N713,AllCollegeNCES,0)))</f>
        <v>0</v>
      </c>
      <c r="Y713">
        <f>IF(ISNUMBER(INDEX(AllCollegeAAHGR, MATCH(N713,AllCollegeNCES,0))),ROUND(INDEX(AllCollegeAAHGR, MATCH(N713,AllCollegeNCES,0))+W713*IF(INDEX(AllCollegeAAHGR, MATCH(N713,AllCollegeNCES,0))&gt;0.7,(1-INDEX(AllCollegeAAHGR, MATCH(N713,AllCollegeNCES,0)))/2,0.15),2),INDEX(AllCollegeAAHGR, MATCH(N713,AllCollegeNCES,0)))</f>
        <v>0</v>
      </c>
      <c r="Z713">
        <f>IF(OR(T713="H",T713="B"),INDEX(AllCollegeACT25, MATCH(N713,AllCollegeNCES,0)),INDEX(AllCollegeACT50, MATCH(N713,AllCollegeNCES,0)))</f>
        <v>0</v>
      </c>
      <c r="AA713">
        <f>INDEX(CustomWeightsGPA,MATCH(T713&amp;":"&amp;N713,CustomWeightsIndex,0))</f>
        <v>0</v>
      </c>
      <c r="AB713">
        <f>INDEX(CustomWeightsACT,MATCH(T713&amp;":"&amp;N713,CustomWeightsIndex,0))</f>
        <v>0</v>
      </c>
      <c r="AC713">
        <f>INDEX(CustomWeightsIntercept,MATCH(T713&amp;":"&amp;N713,CustomWeightsIndex,0))</f>
        <v>0</v>
      </c>
      <c r="AD713">
        <f>AA713*P713+AB713*Q713+AC713</f>
        <v>0</v>
      </c>
      <c r="AE713">
        <f>INDEX(CoefficientsGPA,MATCH(T713&amp;":"&amp;O713,CoefficientsIndex,0))</f>
        <v>0</v>
      </c>
      <c r="AF713">
        <f>INDEX(CoefficientsACT,MATCH(T713&amp;":"&amp;O713,CoefficientsIndex,0))</f>
        <v>0</v>
      </c>
      <c r="AG713">
        <f>INDEX(CoefficientsIntercept,MATCH(T713&amp;":"&amp;O713,CoefficientsIndex,0))</f>
        <v>0</v>
      </c>
      <c r="AH713">
        <f>AE713*P713+(Q713-Z713)*AF713+AG713</f>
        <v>0</v>
      </c>
      <c r="AI713">
        <f>IF(ISNUMBER(AD713),AD713,AH713)</f>
        <v>0</v>
      </c>
      <c r="AJ713">
        <f>IF(ISNUMBER(AI713),IF(ISNUMBER(AE713),IF(AND(AE713=1,AF713=1,AG713=1),100,ROUND(100*EXP(AI713)/(1+EXP(AI713)),2)),ROUND(100*EXP(AI713)/(1+EXP(AI713)),2)),IF(ISTEXT(O713),IF(LEFT(O713,1)="2",100,"N/A"),"N/A"))</f>
        <v>0</v>
      </c>
      <c r="AK713">
        <f>IF(ISNUMBER(AJ713),IF(AJ713&gt;=99,IF(OR(R713=10,R713=11),MatchLabel,SureThingLabel),IF(AJ713&gt;=95,SecureLabel,IF(AJ713&gt;=80,SafetyLabel,IF(AJ713&gt;=50,MatchLabel,IF(AJ713&gt;=20,ReachLabel,IF(AJ713&gt;=10,LongshotLabel,HailMaryLabel)))))),"Other")</f>
        <v>0</v>
      </c>
      <c r="AL713">
        <f>IF(OR(I713="accepted",I713="cond. accept",I713="summer admit"),IF(J713="yes","CHOICE!","Accepted!"),IF(I713="denied","Denied",IF(K713=1,"Waitlist",IF(L713=1,"Deferred",IF(G713="pending","Pending",IF(OR(G713="initial materials submitted",G713="mid-year submitted",G713="final submitted"),"Submitted",IF(H713="interest","Interest","?")))))))</f>
        <v>0</v>
      </c>
      <c r="AM713">
        <f>IF(OR(AK713=ReachLabel,AK713=LongshotLabel,AK713=HailMaryLabel),1,0)</f>
        <v>0</v>
      </c>
      <c r="AN713">
        <f>IF(OR(AM713=1,AK713=MatchLabel),1,0)</f>
        <v>0</v>
      </c>
      <c r="AO713">
        <f>IF(OR(AK713=MatchLabel,AK713=SafetyLabel,AK713=SecureLabel,AK713=SureThingLabel),1,0)</f>
        <v>0</v>
      </c>
      <c r="AP713">
        <f>IF(OR(T713="H",T713="B"),IF(ISNUMBER(Y713),ROUND(Y713,2),0),IF(ISNUMBER(X713),ROUND(X713,2),0))</f>
        <v>0</v>
      </c>
      <c r="AQ713">
        <f>IF(AP713&gt;=U713,1,0)</f>
        <v>0</v>
      </c>
      <c r="AR713">
        <f>IF(AP713&gt;=V713,1,0)</f>
        <v>0</v>
      </c>
      <c r="AS713">
        <f>IF(AP713&lt;(U713-0.10),1,0)</f>
        <v>0</v>
      </c>
      <c r="AT713">
        <f>1-AJ713/100</f>
        <v>0</v>
      </c>
      <c r="AU713">
        <f>IF(AN713=1,AT713,1)</f>
        <v>0</v>
      </c>
      <c r="AV713">
        <f>IF(AM713=1,AT713,1)</f>
        <v>0</v>
      </c>
      <c r="AW713">
        <f>IF(AND(AQ713=1,ISNUMBER(AT713)),$AT713,1)</f>
        <v>0</v>
      </c>
      <c r="AX713">
        <f>IF(AND(AR713=1,ISNUMBER(AT713)),$AT713,1)</f>
        <v>0</v>
      </c>
      <c r="AY713">
        <f>IF(ISNUMBER(Y713),INDEX(AllCollegeMoney, MATCH(N713,AllCollegeNCES,0)),0)</f>
        <v>0</v>
      </c>
      <c r="AZ713">
        <f>IF(AND(AQ713=1,ISNUMBER(AT713),AY713=1),$AT713,1)</f>
        <v>0</v>
      </c>
      <c r="BA713">
        <f>IF(AND(AR713=1,ISNUMBER(AT713),AY713=1),$AT713,1)</f>
        <v>0</v>
      </c>
      <c r="BB713">
        <f>IF(ISNUMBER(Y713),INDEX(AllCollegeILPub, MATCH(N713,AllCollegeNCES,0)),0)</f>
        <v>0</v>
      </c>
      <c r="BC713">
        <f>IF(AK713=ReachLabel,AP713,0)</f>
        <v>0</v>
      </c>
      <c r="BD713">
        <f>IF(AK713=MatchLabel,AP713,0)</f>
        <v>0</v>
      </c>
      <c r="BE713">
        <f>IF(AK713=SafetyLabel,AP713,0)</f>
        <v>0</v>
      </c>
      <c r="BF713">
        <f>IF(AK713=SecureLabel,AP713,0)</f>
        <v>0</v>
      </c>
      <c r="BG713">
        <f>IF(AK713=SureThingLabel,AP713,0)</f>
        <v>0</v>
      </c>
      <c r="BH713">
        <f>MAX(BC713:BG713)</f>
        <v>0</v>
      </c>
      <c r="BI713">
        <f>MAX(BD713:BG713)</f>
        <v>0</v>
      </c>
      <c r="BJ713">
        <f>MAX(BE713:BG713)</f>
        <v>0</v>
      </c>
      <c r="BK713">
        <f>IF(AND(AK713=ReachLabel,AY713=1),AP713,0)</f>
        <v>0</v>
      </c>
      <c r="BL713">
        <f>IF(AND(AK713=MatchLabel,AY713=1),AP713,0)</f>
        <v>0</v>
      </c>
      <c r="BM713">
        <f>IF(AND(AK713=SafetyLabel,AY713=1),AP713,0)</f>
        <v>0</v>
      </c>
      <c r="BN713">
        <f>IF(AND(AK713=SecureLabel,AY713=1),AP713,0)</f>
        <v>0</v>
      </c>
      <c r="BO713">
        <f>IF(AND(AK713=SureThingLabel,AY713=1),AP713,0)</f>
        <v>0</v>
      </c>
      <c r="BP713">
        <f>MAX(BK713:BO713)</f>
        <v>0</v>
      </c>
      <c r="BQ713">
        <f>MAX(BL713:BO713)</f>
        <v>0</v>
      </c>
      <c r="BR713">
        <f>MAX(BM713:BO713)</f>
        <v>0</v>
      </c>
      <c r="BS713">
        <f>IF(ISNUMBER(Y713),INDEX(AllCollegeChicago, MATCH(N713,AllCollegeNCES,0))*AY713,0)</f>
        <v>0</v>
      </c>
      <c r="BT713">
        <f>IF(ISNUMBER(Y713),INDEX(AllCollegeMoneyCode, MATCH(N713,AllCollegeNCES,0)),"?")</f>
        <v>0</v>
      </c>
      <c r="BU713">
        <f>IF(OR(BT713="---",BT713="--",BT713="+/--",BT713="+/---"),1,0)</f>
        <v>0</v>
      </c>
      <c r="BV713">
        <f>AY713*AO713*AQ713</f>
        <v>0</v>
      </c>
    </row>
    <row r="714" spans="1:74">
      <c r="A714" t="s">
        <v>86</v>
      </c>
      <c r="B714">
        <v>30144279</v>
      </c>
      <c r="C714" t="s">
        <v>323</v>
      </c>
      <c r="D714" t="s">
        <v>324</v>
      </c>
      <c r="E714" t="s">
        <v>428</v>
      </c>
      <c r="F714" t="s">
        <v>433</v>
      </c>
      <c r="G714" t="s">
        <v>430</v>
      </c>
      <c r="H714" t="s">
        <v>431</v>
      </c>
      <c r="I714" t="s">
        <v>432</v>
      </c>
      <c r="J714" t="s">
        <v>432</v>
      </c>
      <c r="K714">
        <v>0</v>
      </c>
      <c r="L714" t="s">
        <v>428</v>
      </c>
      <c r="M714" t="s">
        <v>428</v>
      </c>
      <c r="N714">
        <v>148496</v>
      </c>
      <c r="O714">
        <f>INDEX(AllCollegeBarrons,MATCH(N714,AllCollegeNCES,0))</f>
        <v>0</v>
      </c>
      <c r="P714">
        <f>INDEX(KidGPAs,MATCH(B714,KidIDs,0))</f>
        <v>0</v>
      </c>
      <c r="Q714">
        <f>INDEX(KidACTs,MATCH(B714,KidIDs,0))</f>
        <v>0</v>
      </c>
      <c r="R714">
        <f>INDEX(Strats,MATCH(B714,KidIDs,0))</f>
        <v>0</v>
      </c>
      <c r="S714">
        <f>INDEX(KidRace,MATCH(B714,KidIDs,0))</f>
        <v>0</v>
      </c>
      <c r="T714">
        <f>IF(OR(S714="M",S714="I"),"H",S714)</f>
        <v>0</v>
      </c>
      <c r="U714">
        <f>INDEX(StudentTargets,MATCH(B714,KidIDs,0))</f>
        <v>0</v>
      </c>
      <c r="V714">
        <f>INDEX(ReachStudentTargets,MATCH(B714,KidIDs,0))</f>
        <v>0</v>
      </c>
      <c r="W714">
        <f>IF(OR(M714="Posse"),1,0)</f>
        <v>0</v>
      </c>
      <c r="X714">
        <f>IF(ISNUMBER(INDEX(AllCollegeGR, MATCH(N714,AllCollegeNCES,0))),ROUND(INDEX(AllCollegeGR, MATCH(N714,AllCollegeNCES,0))+W714*IF(INDEX(AllCollegeGR, MATCH(N714,AllCollegeNCES,0))&gt;0.7,(1-INDEX(AllCollegeGR, MATCH(N714,AllCollegeNCES,0)))/2,0.15),2),INDEX(AllCollegeGR, MATCH(N714,AllCollegeNCES,0)))</f>
        <v>0</v>
      </c>
      <c r="Y714">
        <f>IF(ISNUMBER(INDEX(AllCollegeAAHGR, MATCH(N714,AllCollegeNCES,0))),ROUND(INDEX(AllCollegeAAHGR, MATCH(N714,AllCollegeNCES,0))+W714*IF(INDEX(AllCollegeAAHGR, MATCH(N714,AllCollegeNCES,0))&gt;0.7,(1-INDEX(AllCollegeAAHGR, MATCH(N714,AllCollegeNCES,0)))/2,0.15),2),INDEX(AllCollegeAAHGR, MATCH(N714,AllCollegeNCES,0)))</f>
        <v>0</v>
      </c>
      <c r="Z714">
        <f>IF(OR(T714="H",T714="B"),INDEX(AllCollegeACT25, MATCH(N714,AllCollegeNCES,0)),INDEX(AllCollegeACT50, MATCH(N714,AllCollegeNCES,0)))</f>
        <v>0</v>
      </c>
      <c r="AA714">
        <f>INDEX(CustomWeightsGPA,MATCH(T714&amp;":"&amp;N714,CustomWeightsIndex,0))</f>
        <v>0</v>
      </c>
      <c r="AB714">
        <f>INDEX(CustomWeightsACT,MATCH(T714&amp;":"&amp;N714,CustomWeightsIndex,0))</f>
        <v>0</v>
      </c>
      <c r="AC714">
        <f>INDEX(CustomWeightsIntercept,MATCH(T714&amp;":"&amp;N714,CustomWeightsIndex,0))</f>
        <v>0</v>
      </c>
      <c r="AD714">
        <f>AA714*P714+AB714*Q714+AC714</f>
        <v>0</v>
      </c>
      <c r="AE714">
        <f>INDEX(CoefficientsGPA,MATCH(T714&amp;":"&amp;O714,CoefficientsIndex,0))</f>
        <v>0</v>
      </c>
      <c r="AF714">
        <f>INDEX(CoefficientsACT,MATCH(T714&amp;":"&amp;O714,CoefficientsIndex,0))</f>
        <v>0</v>
      </c>
      <c r="AG714">
        <f>INDEX(CoefficientsIntercept,MATCH(T714&amp;":"&amp;O714,CoefficientsIndex,0))</f>
        <v>0</v>
      </c>
      <c r="AH714">
        <f>AE714*P714+(Q714-Z714)*AF714+AG714</f>
        <v>0</v>
      </c>
      <c r="AI714">
        <f>IF(ISNUMBER(AD714),AD714,AH714)</f>
        <v>0</v>
      </c>
      <c r="AJ714">
        <f>IF(ISNUMBER(AI714),IF(ISNUMBER(AE714),IF(AND(AE714=1,AF714=1,AG714=1),100,ROUND(100*EXP(AI714)/(1+EXP(AI714)),2)),ROUND(100*EXP(AI714)/(1+EXP(AI714)),2)),IF(ISTEXT(O714),IF(LEFT(O714,1)="2",100,"N/A"),"N/A"))</f>
        <v>0</v>
      </c>
      <c r="AK714">
        <f>IF(ISNUMBER(AJ714),IF(AJ714&gt;=99,IF(OR(R714=10,R714=11),MatchLabel,SureThingLabel),IF(AJ714&gt;=95,SecureLabel,IF(AJ714&gt;=80,SafetyLabel,IF(AJ714&gt;=50,MatchLabel,IF(AJ714&gt;=20,ReachLabel,IF(AJ714&gt;=10,LongshotLabel,HailMaryLabel)))))),"Other")</f>
        <v>0</v>
      </c>
      <c r="AL714">
        <f>IF(OR(I714="accepted",I714="cond. accept",I714="summer admit"),IF(J714="yes","CHOICE!","Accepted!"),IF(I714="denied","Denied",IF(K714=1,"Waitlist",IF(L714=1,"Deferred",IF(G714="pending","Pending",IF(OR(G714="initial materials submitted",G714="mid-year submitted",G714="final submitted"),"Submitted",IF(H714="interest","Interest","?")))))))</f>
        <v>0</v>
      </c>
      <c r="AM714">
        <f>IF(OR(AK714=ReachLabel,AK714=LongshotLabel,AK714=HailMaryLabel),1,0)</f>
        <v>0</v>
      </c>
      <c r="AN714">
        <f>IF(OR(AM714=1,AK714=MatchLabel),1,0)</f>
        <v>0</v>
      </c>
      <c r="AO714">
        <f>IF(OR(AK714=MatchLabel,AK714=SafetyLabel,AK714=SecureLabel,AK714=SureThingLabel),1,0)</f>
        <v>0</v>
      </c>
      <c r="AP714">
        <f>IF(OR(T714="H",T714="B"),IF(ISNUMBER(Y714),ROUND(Y714,2),0),IF(ISNUMBER(X714),ROUND(X714,2),0))</f>
        <v>0</v>
      </c>
      <c r="AQ714">
        <f>IF(AP714&gt;=U714,1,0)</f>
        <v>0</v>
      </c>
      <c r="AR714">
        <f>IF(AP714&gt;=V714,1,0)</f>
        <v>0</v>
      </c>
      <c r="AS714">
        <f>IF(AP714&lt;(U714-0.10),1,0)</f>
        <v>0</v>
      </c>
      <c r="AT714">
        <f>1-AJ714/100</f>
        <v>0</v>
      </c>
      <c r="AU714">
        <f>IF(AN714=1,AT714,1)</f>
        <v>0</v>
      </c>
      <c r="AV714">
        <f>IF(AM714=1,AT714,1)</f>
        <v>0</v>
      </c>
      <c r="AW714">
        <f>IF(AND(AQ714=1,ISNUMBER(AT714)),$AT714,1)</f>
        <v>0</v>
      </c>
      <c r="AX714">
        <f>IF(AND(AR714=1,ISNUMBER(AT714)),$AT714,1)</f>
        <v>0</v>
      </c>
      <c r="AY714">
        <f>IF(ISNUMBER(Y714),INDEX(AllCollegeMoney, MATCH(N714,AllCollegeNCES,0)),0)</f>
        <v>0</v>
      </c>
      <c r="AZ714">
        <f>IF(AND(AQ714=1,ISNUMBER(AT714),AY714=1),$AT714,1)</f>
        <v>0</v>
      </c>
      <c r="BA714">
        <f>IF(AND(AR714=1,ISNUMBER(AT714),AY714=1),$AT714,1)</f>
        <v>0</v>
      </c>
      <c r="BB714">
        <f>IF(ISNUMBER(Y714),INDEX(AllCollegeILPub, MATCH(N714,AllCollegeNCES,0)),0)</f>
        <v>0</v>
      </c>
      <c r="BC714">
        <f>IF(AK714=ReachLabel,AP714,0)</f>
        <v>0</v>
      </c>
      <c r="BD714">
        <f>IF(AK714=MatchLabel,AP714,0)</f>
        <v>0</v>
      </c>
      <c r="BE714">
        <f>IF(AK714=SafetyLabel,AP714,0)</f>
        <v>0</v>
      </c>
      <c r="BF714">
        <f>IF(AK714=SecureLabel,AP714,0)</f>
        <v>0</v>
      </c>
      <c r="BG714">
        <f>IF(AK714=SureThingLabel,AP714,0)</f>
        <v>0</v>
      </c>
      <c r="BH714">
        <f>MAX(BC714:BG714)</f>
        <v>0</v>
      </c>
      <c r="BI714">
        <f>MAX(BD714:BG714)</f>
        <v>0</v>
      </c>
      <c r="BJ714">
        <f>MAX(BE714:BG714)</f>
        <v>0</v>
      </c>
      <c r="BK714">
        <f>IF(AND(AK714=ReachLabel,AY714=1),AP714,0)</f>
        <v>0</v>
      </c>
      <c r="BL714">
        <f>IF(AND(AK714=MatchLabel,AY714=1),AP714,0)</f>
        <v>0</v>
      </c>
      <c r="BM714">
        <f>IF(AND(AK714=SafetyLabel,AY714=1),AP714,0)</f>
        <v>0</v>
      </c>
      <c r="BN714">
        <f>IF(AND(AK714=SecureLabel,AY714=1),AP714,0)</f>
        <v>0</v>
      </c>
      <c r="BO714">
        <f>IF(AND(AK714=SureThingLabel,AY714=1),AP714,0)</f>
        <v>0</v>
      </c>
      <c r="BP714">
        <f>MAX(BK714:BO714)</f>
        <v>0</v>
      </c>
      <c r="BQ714">
        <f>MAX(BL714:BO714)</f>
        <v>0</v>
      </c>
      <c r="BR714">
        <f>MAX(BM714:BO714)</f>
        <v>0</v>
      </c>
      <c r="BS714">
        <f>IF(ISNUMBER(Y714),INDEX(AllCollegeChicago, MATCH(N714,AllCollegeNCES,0))*AY714,0)</f>
        <v>0</v>
      </c>
      <c r="BT714">
        <f>IF(ISNUMBER(Y714),INDEX(AllCollegeMoneyCode, MATCH(N714,AllCollegeNCES,0)),"?")</f>
        <v>0</v>
      </c>
      <c r="BU714">
        <f>IF(OR(BT714="---",BT714="--",BT714="+/--",BT714="+/---"),1,0)</f>
        <v>0</v>
      </c>
      <c r="BV714">
        <f>AY714*AO714*AQ714</f>
        <v>0</v>
      </c>
    </row>
    <row r="715" spans="1:74">
      <c r="A715" t="s">
        <v>86</v>
      </c>
      <c r="B715">
        <v>30144279</v>
      </c>
      <c r="C715" t="s">
        <v>323</v>
      </c>
      <c r="D715" t="s">
        <v>324</v>
      </c>
      <c r="E715" t="s">
        <v>428</v>
      </c>
      <c r="F715" t="s">
        <v>447</v>
      </c>
      <c r="G715" t="s">
        <v>430</v>
      </c>
      <c r="H715" t="s">
        <v>431</v>
      </c>
      <c r="I715" t="s">
        <v>432</v>
      </c>
      <c r="J715" t="s">
        <v>432</v>
      </c>
      <c r="K715">
        <v>0</v>
      </c>
      <c r="L715" t="s">
        <v>428</v>
      </c>
      <c r="M715" t="s">
        <v>428</v>
      </c>
      <c r="N715">
        <v>145600</v>
      </c>
      <c r="O715">
        <f>INDEX(AllCollegeBarrons,MATCH(N715,AllCollegeNCES,0))</f>
        <v>0</v>
      </c>
      <c r="P715">
        <f>INDEX(KidGPAs,MATCH(B715,KidIDs,0))</f>
        <v>0</v>
      </c>
      <c r="Q715">
        <f>INDEX(KidACTs,MATCH(B715,KidIDs,0))</f>
        <v>0</v>
      </c>
      <c r="R715">
        <f>INDEX(Strats,MATCH(B715,KidIDs,0))</f>
        <v>0</v>
      </c>
      <c r="S715">
        <f>INDEX(KidRace,MATCH(B715,KidIDs,0))</f>
        <v>0</v>
      </c>
      <c r="T715">
        <f>IF(OR(S715="M",S715="I"),"H",S715)</f>
        <v>0</v>
      </c>
      <c r="U715">
        <f>INDEX(StudentTargets,MATCH(B715,KidIDs,0))</f>
        <v>0</v>
      </c>
      <c r="V715">
        <f>INDEX(ReachStudentTargets,MATCH(B715,KidIDs,0))</f>
        <v>0</v>
      </c>
      <c r="W715">
        <f>IF(OR(M715="Posse"),1,0)</f>
        <v>0</v>
      </c>
      <c r="X715">
        <f>IF(ISNUMBER(INDEX(AllCollegeGR, MATCH(N715,AllCollegeNCES,0))),ROUND(INDEX(AllCollegeGR, MATCH(N715,AllCollegeNCES,0))+W715*IF(INDEX(AllCollegeGR, MATCH(N715,AllCollegeNCES,0))&gt;0.7,(1-INDEX(AllCollegeGR, MATCH(N715,AllCollegeNCES,0)))/2,0.15),2),INDEX(AllCollegeGR, MATCH(N715,AllCollegeNCES,0)))</f>
        <v>0</v>
      </c>
      <c r="Y715">
        <f>IF(ISNUMBER(INDEX(AllCollegeAAHGR, MATCH(N715,AllCollegeNCES,0))),ROUND(INDEX(AllCollegeAAHGR, MATCH(N715,AllCollegeNCES,0))+W715*IF(INDEX(AllCollegeAAHGR, MATCH(N715,AllCollegeNCES,0))&gt;0.7,(1-INDEX(AllCollegeAAHGR, MATCH(N715,AllCollegeNCES,0)))/2,0.15),2),INDEX(AllCollegeAAHGR, MATCH(N715,AllCollegeNCES,0)))</f>
        <v>0</v>
      </c>
      <c r="Z715">
        <f>IF(OR(T715="H",T715="B"),INDEX(AllCollegeACT25, MATCH(N715,AllCollegeNCES,0)),INDEX(AllCollegeACT50, MATCH(N715,AllCollegeNCES,0)))</f>
        <v>0</v>
      </c>
      <c r="AA715">
        <f>INDEX(CustomWeightsGPA,MATCH(T715&amp;":"&amp;N715,CustomWeightsIndex,0))</f>
        <v>0</v>
      </c>
      <c r="AB715">
        <f>INDEX(CustomWeightsACT,MATCH(T715&amp;":"&amp;N715,CustomWeightsIndex,0))</f>
        <v>0</v>
      </c>
      <c r="AC715">
        <f>INDEX(CustomWeightsIntercept,MATCH(T715&amp;":"&amp;N715,CustomWeightsIndex,0))</f>
        <v>0</v>
      </c>
      <c r="AD715">
        <f>AA715*P715+AB715*Q715+AC715</f>
        <v>0</v>
      </c>
      <c r="AE715">
        <f>INDEX(CoefficientsGPA,MATCH(T715&amp;":"&amp;O715,CoefficientsIndex,0))</f>
        <v>0</v>
      </c>
      <c r="AF715">
        <f>INDEX(CoefficientsACT,MATCH(T715&amp;":"&amp;O715,CoefficientsIndex,0))</f>
        <v>0</v>
      </c>
      <c r="AG715">
        <f>INDEX(CoefficientsIntercept,MATCH(T715&amp;":"&amp;O715,CoefficientsIndex,0))</f>
        <v>0</v>
      </c>
      <c r="AH715">
        <f>AE715*P715+(Q715-Z715)*AF715+AG715</f>
        <v>0</v>
      </c>
      <c r="AI715">
        <f>IF(ISNUMBER(AD715),AD715,AH715)</f>
        <v>0</v>
      </c>
      <c r="AJ715">
        <f>IF(ISNUMBER(AI715),IF(ISNUMBER(AE715),IF(AND(AE715=1,AF715=1,AG715=1),100,ROUND(100*EXP(AI715)/(1+EXP(AI715)),2)),ROUND(100*EXP(AI715)/(1+EXP(AI715)),2)),IF(ISTEXT(O715),IF(LEFT(O715,1)="2",100,"N/A"),"N/A"))</f>
        <v>0</v>
      </c>
      <c r="AK715">
        <f>IF(ISNUMBER(AJ715),IF(AJ715&gt;=99,IF(OR(R715=10,R715=11),MatchLabel,SureThingLabel),IF(AJ715&gt;=95,SecureLabel,IF(AJ715&gt;=80,SafetyLabel,IF(AJ715&gt;=50,MatchLabel,IF(AJ715&gt;=20,ReachLabel,IF(AJ715&gt;=10,LongshotLabel,HailMaryLabel)))))),"Other")</f>
        <v>0</v>
      </c>
      <c r="AL715">
        <f>IF(OR(I715="accepted",I715="cond. accept",I715="summer admit"),IF(J715="yes","CHOICE!","Accepted!"),IF(I715="denied","Denied",IF(K715=1,"Waitlist",IF(L715=1,"Deferred",IF(G715="pending","Pending",IF(OR(G715="initial materials submitted",G715="mid-year submitted",G715="final submitted"),"Submitted",IF(H715="interest","Interest","?")))))))</f>
        <v>0</v>
      </c>
      <c r="AM715">
        <f>IF(OR(AK715=ReachLabel,AK715=LongshotLabel,AK715=HailMaryLabel),1,0)</f>
        <v>0</v>
      </c>
      <c r="AN715">
        <f>IF(OR(AM715=1,AK715=MatchLabel),1,0)</f>
        <v>0</v>
      </c>
      <c r="AO715">
        <f>IF(OR(AK715=MatchLabel,AK715=SafetyLabel,AK715=SecureLabel,AK715=SureThingLabel),1,0)</f>
        <v>0</v>
      </c>
      <c r="AP715">
        <f>IF(OR(T715="H",T715="B"),IF(ISNUMBER(Y715),ROUND(Y715,2),0),IF(ISNUMBER(X715),ROUND(X715,2),0))</f>
        <v>0</v>
      </c>
      <c r="AQ715">
        <f>IF(AP715&gt;=U715,1,0)</f>
        <v>0</v>
      </c>
      <c r="AR715">
        <f>IF(AP715&gt;=V715,1,0)</f>
        <v>0</v>
      </c>
      <c r="AS715">
        <f>IF(AP715&lt;(U715-0.10),1,0)</f>
        <v>0</v>
      </c>
      <c r="AT715">
        <f>1-AJ715/100</f>
        <v>0</v>
      </c>
      <c r="AU715">
        <f>IF(AN715=1,AT715,1)</f>
        <v>0</v>
      </c>
      <c r="AV715">
        <f>IF(AM715=1,AT715,1)</f>
        <v>0</v>
      </c>
      <c r="AW715">
        <f>IF(AND(AQ715=1,ISNUMBER(AT715)),$AT715,1)</f>
        <v>0</v>
      </c>
      <c r="AX715">
        <f>IF(AND(AR715=1,ISNUMBER(AT715)),$AT715,1)</f>
        <v>0</v>
      </c>
      <c r="AY715">
        <f>IF(ISNUMBER(Y715),INDEX(AllCollegeMoney, MATCH(N715,AllCollegeNCES,0)),0)</f>
        <v>0</v>
      </c>
      <c r="AZ715">
        <f>IF(AND(AQ715=1,ISNUMBER(AT715),AY715=1),$AT715,1)</f>
        <v>0</v>
      </c>
      <c r="BA715">
        <f>IF(AND(AR715=1,ISNUMBER(AT715),AY715=1),$AT715,1)</f>
        <v>0</v>
      </c>
      <c r="BB715">
        <f>IF(ISNUMBER(Y715),INDEX(AllCollegeILPub, MATCH(N715,AllCollegeNCES,0)),0)</f>
        <v>0</v>
      </c>
      <c r="BC715">
        <f>IF(AK715=ReachLabel,AP715,0)</f>
        <v>0</v>
      </c>
      <c r="BD715">
        <f>IF(AK715=MatchLabel,AP715,0)</f>
        <v>0</v>
      </c>
      <c r="BE715">
        <f>IF(AK715=SafetyLabel,AP715,0)</f>
        <v>0</v>
      </c>
      <c r="BF715">
        <f>IF(AK715=SecureLabel,AP715,0)</f>
        <v>0</v>
      </c>
      <c r="BG715">
        <f>IF(AK715=SureThingLabel,AP715,0)</f>
        <v>0</v>
      </c>
      <c r="BH715">
        <f>MAX(BC715:BG715)</f>
        <v>0</v>
      </c>
      <c r="BI715">
        <f>MAX(BD715:BG715)</f>
        <v>0</v>
      </c>
      <c r="BJ715">
        <f>MAX(BE715:BG715)</f>
        <v>0</v>
      </c>
      <c r="BK715">
        <f>IF(AND(AK715=ReachLabel,AY715=1),AP715,0)</f>
        <v>0</v>
      </c>
      <c r="BL715">
        <f>IF(AND(AK715=MatchLabel,AY715=1),AP715,0)</f>
        <v>0</v>
      </c>
      <c r="BM715">
        <f>IF(AND(AK715=SafetyLabel,AY715=1),AP715,0)</f>
        <v>0</v>
      </c>
      <c r="BN715">
        <f>IF(AND(AK715=SecureLabel,AY715=1),AP715,0)</f>
        <v>0</v>
      </c>
      <c r="BO715">
        <f>IF(AND(AK715=SureThingLabel,AY715=1),AP715,0)</f>
        <v>0</v>
      </c>
      <c r="BP715">
        <f>MAX(BK715:BO715)</f>
        <v>0</v>
      </c>
      <c r="BQ715">
        <f>MAX(BL715:BO715)</f>
        <v>0</v>
      </c>
      <c r="BR715">
        <f>MAX(BM715:BO715)</f>
        <v>0</v>
      </c>
      <c r="BS715">
        <f>IF(ISNUMBER(Y715),INDEX(AllCollegeChicago, MATCH(N715,AllCollegeNCES,0))*AY715,0)</f>
        <v>0</v>
      </c>
      <c r="BT715">
        <f>IF(ISNUMBER(Y715),INDEX(AllCollegeMoneyCode, MATCH(N715,AllCollegeNCES,0)),"?")</f>
        <v>0</v>
      </c>
      <c r="BU715">
        <f>IF(OR(BT715="---",BT715="--",BT715="+/--",BT715="+/---"),1,0)</f>
        <v>0</v>
      </c>
      <c r="BV715">
        <f>AY715*AO715*AQ715</f>
        <v>0</v>
      </c>
    </row>
    <row r="716" spans="1:74">
      <c r="A716" t="s">
        <v>86</v>
      </c>
      <c r="B716">
        <v>30144279</v>
      </c>
      <c r="C716" t="s">
        <v>323</v>
      </c>
      <c r="D716" t="s">
        <v>324</v>
      </c>
      <c r="E716" t="s">
        <v>428</v>
      </c>
      <c r="F716" t="s">
        <v>438</v>
      </c>
      <c r="G716" t="s">
        <v>430</v>
      </c>
      <c r="H716" t="s">
        <v>431</v>
      </c>
      <c r="I716" t="s">
        <v>432</v>
      </c>
      <c r="J716" t="s">
        <v>432</v>
      </c>
      <c r="K716">
        <v>0</v>
      </c>
      <c r="L716" t="s">
        <v>428</v>
      </c>
      <c r="M716" t="s">
        <v>439</v>
      </c>
      <c r="N716">
        <v>150774</v>
      </c>
      <c r="O716">
        <f>INDEX(AllCollegeBarrons,MATCH(N716,AllCollegeNCES,0))</f>
        <v>0</v>
      </c>
      <c r="P716">
        <f>INDEX(KidGPAs,MATCH(B716,KidIDs,0))</f>
        <v>0</v>
      </c>
      <c r="Q716">
        <f>INDEX(KidACTs,MATCH(B716,KidIDs,0))</f>
        <v>0</v>
      </c>
      <c r="R716">
        <f>INDEX(Strats,MATCH(B716,KidIDs,0))</f>
        <v>0</v>
      </c>
      <c r="S716">
        <f>INDEX(KidRace,MATCH(B716,KidIDs,0))</f>
        <v>0</v>
      </c>
      <c r="T716">
        <f>IF(OR(S716="M",S716="I"),"H",S716)</f>
        <v>0</v>
      </c>
      <c r="U716">
        <f>INDEX(StudentTargets,MATCH(B716,KidIDs,0))</f>
        <v>0</v>
      </c>
      <c r="V716">
        <f>INDEX(ReachStudentTargets,MATCH(B716,KidIDs,0))</f>
        <v>0</v>
      </c>
      <c r="W716">
        <f>IF(OR(M716="Posse"),1,0)</f>
        <v>0</v>
      </c>
      <c r="X716">
        <f>IF(ISNUMBER(INDEX(AllCollegeGR, MATCH(N716,AllCollegeNCES,0))),ROUND(INDEX(AllCollegeGR, MATCH(N716,AllCollegeNCES,0))+W716*IF(INDEX(AllCollegeGR, MATCH(N716,AllCollegeNCES,0))&gt;0.7,(1-INDEX(AllCollegeGR, MATCH(N716,AllCollegeNCES,0)))/2,0.15),2),INDEX(AllCollegeGR, MATCH(N716,AllCollegeNCES,0)))</f>
        <v>0</v>
      </c>
      <c r="Y716">
        <f>IF(ISNUMBER(INDEX(AllCollegeAAHGR, MATCH(N716,AllCollegeNCES,0))),ROUND(INDEX(AllCollegeAAHGR, MATCH(N716,AllCollegeNCES,0))+W716*IF(INDEX(AllCollegeAAHGR, MATCH(N716,AllCollegeNCES,0))&gt;0.7,(1-INDEX(AllCollegeAAHGR, MATCH(N716,AllCollegeNCES,0)))/2,0.15),2),INDEX(AllCollegeAAHGR, MATCH(N716,AllCollegeNCES,0)))</f>
        <v>0</v>
      </c>
      <c r="Z716">
        <f>IF(OR(T716="H",T716="B"),INDEX(AllCollegeACT25, MATCH(N716,AllCollegeNCES,0)),INDEX(AllCollegeACT50, MATCH(N716,AllCollegeNCES,0)))</f>
        <v>0</v>
      </c>
      <c r="AA716">
        <f>INDEX(CustomWeightsGPA,MATCH(T716&amp;":"&amp;N716,CustomWeightsIndex,0))</f>
        <v>0</v>
      </c>
      <c r="AB716">
        <f>INDEX(CustomWeightsACT,MATCH(T716&amp;":"&amp;N716,CustomWeightsIndex,0))</f>
        <v>0</v>
      </c>
      <c r="AC716">
        <f>INDEX(CustomWeightsIntercept,MATCH(T716&amp;":"&amp;N716,CustomWeightsIndex,0))</f>
        <v>0</v>
      </c>
      <c r="AD716">
        <f>AA716*P716+AB716*Q716+AC716</f>
        <v>0</v>
      </c>
      <c r="AE716">
        <f>INDEX(CoefficientsGPA,MATCH(T716&amp;":"&amp;O716,CoefficientsIndex,0))</f>
        <v>0</v>
      </c>
      <c r="AF716">
        <f>INDEX(CoefficientsACT,MATCH(T716&amp;":"&amp;O716,CoefficientsIndex,0))</f>
        <v>0</v>
      </c>
      <c r="AG716">
        <f>INDEX(CoefficientsIntercept,MATCH(T716&amp;":"&amp;O716,CoefficientsIndex,0))</f>
        <v>0</v>
      </c>
      <c r="AH716">
        <f>AE716*P716+(Q716-Z716)*AF716+AG716</f>
        <v>0</v>
      </c>
      <c r="AI716">
        <f>IF(ISNUMBER(AD716),AD716,AH716)</f>
        <v>0</v>
      </c>
      <c r="AJ716">
        <f>IF(ISNUMBER(AI716),IF(ISNUMBER(AE716),IF(AND(AE716=1,AF716=1,AG716=1),100,ROUND(100*EXP(AI716)/(1+EXP(AI716)),2)),ROUND(100*EXP(AI716)/(1+EXP(AI716)),2)),IF(ISTEXT(O716),IF(LEFT(O716,1)="2",100,"N/A"),"N/A"))</f>
        <v>0</v>
      </c>
      <c r="AK716">
        <f>IF(ISNUMBER(AJ716),IF(AJ716&gt;=99,IF(OR(R716=10,R716=11),MatchLabel,SureThingLabel),IF(AJ716&gt;=95,SecureLabel,IF(AJ716&gt;=80,SafetyLabel,IF(AJ716&gt;=50,MatchLabel,IF(AJ716&gt;=20,ReachLabel,IF(AJ716&gt;=10,LongshotLabel,HailMaryLabel)))))),"Other")</f>
        <v>0</v>
      </c>
      <c r="AL716">
        <f>IF(OR(I716="accepted",I716="cond. accept",I716="summer admit"),IF(J716="yes","CHOICE!","Accepted!"),IF(I716="denied","Denied",IF(K716=1,"Waitlist",IF(L716=1,"Deferred",IF(G716="pending","Pending",IF(OR(G716="initial materials submitted",G716="mid-year submitted",G716="final submitted"),"Submitted",IF(H716="interest","Interest","?")))))))</f>
        <v>0</v>
      </c>
      <c r="AM716">
        <f>IF(OR(AK716=ReachLabel,AK716=LongshotLabel,AK716=HailMaryLabel),1,0)</f>
        <v>0</v>
      </c>
      <c r="AN716">
        <f>IF(OR(AM716=1,AK716=MatchLabel),1,0)</f>
        <v>0</v>
      </c>
      <c r="AO716">
        <f>IF(OR(AK716=MatchLabel,AK716=SafetyLabel,AK716=SecureLabel,AK716=SureThingLabel),1,0)</f>
        <v>0</v>
      </c>
      <c r="AP716">
        <f>IF(OR(T716="H",T716="B"),IF(ISNUMBER(Y716),ROUND(Y716,2),0),IF(ISNUMBER(X716),ROUND(X716,2),0))</f>
        <v>0</v>
      </c>
      <c r="AQ716">
        <f>IF(AP716&gt;=U716,1,0)</f>
        <v>0</v>
      </c>
      <c r="AR716">
        <f>IF(AP716&gt;=V716,1,0)</f>
        <v>0</v>
      </c>
      <c r="AS716">
        <f>IF(AP716&lt;(U716-0.10),1,0)</f>
        <v>0</v>
      </c>
      <c r="AT716">
        <f>1-AJ716/100</f>
        <v>0</v>
      </c>
      <c r="AU716">
        <f>IF(AN716=1,AT716,1)</f>
        <v>0</v>
      </c>
      <c r="AV716">
        <f>IF(AM716=1,AT716,1)</f>
        <v>0</v>
      </c>
      <c r="AW716">
        <f>IF(AND(AQ716=1,ISNUMBER(AT716)),$AT716,1)</f>
        <v>0</v>
      </c>
      <c r="AX716">
        <f>IF(AND(AR716=1,ISNUMBER(AT716)),$AT716,1)</f>
        <v>0</v>
      </c>
      <c r="AY716">
        <f>IF(ISNUMBER(Y716),INDEX(AllCollegeMoney, MATCH(N716,AllCollegeNCES,0)),0)</f>
        <v>0</v>
      </c>
      <c r="AZ716">
        <f>IF(AND(AQ716=1,ISNUMBER(AT716),AY716=1),$AT716,1)</f>
        <v>0</v>
      </c>
      <c r="BA716">
        <f>IF(AND(AR716=1,ISNUMBER(AT716),AY716=1),$AT716,1)</f>
        <v>0</v>
      </c>
      <c r="BB716">
        <f>IF(ISNUMBER(Y716),INDEX(AllCollegeILPub, MATCH(N716,AllCollegeNCES,0)),0)</f>
        <v>0</v>
      </c>
      <c r="BC716">
        <f>IF(AK716=ReachLabel,AP716,0)</f>
        <v>0</v>
      </c>
      <c r="BD716">
        <f>IF(AK716=MatchLabel,AP716,0)</f>
        <v>0</v>
      </c>
      <c r="BE716">
        <f>IF(AK716=SafetyLabel,AP716,0)</f>
        <v>0</v>
      </c>
      <c r="BF716">
        <f>IF(AK716=SecureLabel,AP716,0)</f>
        <v>0</v>
      </c>
      <c r="BG716">
        <f>IF(AK716=SureThingLabel,AP716,0)</f>
        <v>0</v>
      </c>
      <c r="BH716">
        <f>MAX(BC716:BG716)</f>
        <v>0</v>
      </c>
      <c r="BI716">
        <f>MAX(BD716:BG716)</f>
        <v>0</v>
      </c>
      <c r="BJ716">
        <f>MAX(BE716:BG716)</f>
        <v>0</v>
      </c>
      <c r="BK716">
        <f>IF(AND(AK716=ReachLabel,AY716=1),AP716,0)</f>
        <v>0</v>
      </c>
      <c r="BL716">
        <f>IF(AND(AK716=MatchLabel,AY716=1),AP716,0)</f>
        <v>0</v>
      </c>
      <c r="BM716">
        <f>IF(AND(AK716=SafetyLabel,AY716=1),AP716,0)</f>
        <v>0</v>
      </c>
      <c r="BN716">
        <f>IF(AND(AK716=SecureLabel,AY716=1),AP716,0)</f>
        <v>0</v>
      </c>
      <c r="BO716">
        <f>IF(AND(AK716=SureThingLabel,AY716=1),AP716,0)</f>
        <v>0</v>
      </c>
      <c r="BP716">
        <f>MAX(BK716:BO716)</f>
        <v>0</v>
      </c>
      <c r="BQ716">
        <f>MAX(BL716:BO716)</f>
        <v>0</v>
      </c>
      <c r="BR716">
        <f>MAX(BM716:BO716)</f>
        <v>0</v>
      </c>
      <c r="BS716">
        <f>IF(ISNUMBER(Y716),INDEX(AllCollegeChicago, MATCH(N716,AllCollegeNCES,0))*AY716,0)</f>
        <v>0</v>
      </c>
      <c r="BT716">
        <f>IF(ISNUMBER(Y716),INDEX(AllCollegeMoneyCode, MATCH(N716,AllCollegeNCES,0)),"?")</f>
        <v>0</v>
      </c>
      <c r="BU716">
        <f>IF(OR(BT716="---",BT716="--",BT716="+/--",BT716="+/---"),1,0)</f>
        <v>0</v>
      </c>
      <c r="BV716">
        <f>AY716*AO716*AQ716</f>
        <v>0</v>
      </c>
    </row>
    <row r="717" spans="1:74">
      <c r="A717" t="s">
        <v>86</v>
      </c>
      <c r="B717">
        <v>30280677</v>
      </c>
      <c r="C717" t="s">
        <v>296</v>
      </c>
      <c r="D717" t="s">
        <v>297</v>
      </c>
      <c r="E717" t="s">
        <v>428</v>
      </c>
      <c r="F717" t="s">
        <v>587</v>
      </c>
      <c r="G717" t="s">
        <v>430</v>
      </c>
      <c r="H717" t="s">
        <v>431</v>
      </c>
      <c r="I717" t="s">
        <v>432</v>
      </c>
      <c r="J717" t="s">
        <v>432</v>
      </c>
      <c r="K717">
        <v>0</v>
      </c>
      <c r="L717" t="s">
        <v>428</v>
      </c>
      <c r="M717" t="s">
        <v>428</v>
      </c>
      <c r="N717">
        <v>126614</v>
      </c>
      <c r="O717">
        <f>INDEX(AllCollegeBarrons,MATCH(N717,AllCollegeNCES,0))</f>
        <v>0</v>
      </c>
      <c r="P717">
        <f>INDEX(KidGPAs,MATCH(B717,KidIDs,0))</f>
        <v>0</v>
      </c>
      <c r="Q717">
        <f>INDEX(KidACTs,MATCH(B717,KidIDs,0))</f>
        <v>0</v>
      </c>
      <c r="R717">
        <f>INDEX(Strats,MATCH(B717,KidIDs,0))</f>
        <v>0</v>
      </c>
      <c r="S717">
        <f>INDEX(KidRace,MATCH(B717,KidIDs,0))</f>
        <v>0</v>
      </c>
      <c r="T717">
        <f>IF(OR(S717="M",S717="I"),"H",S717)</f>
        <v>0</v>
      </c>
      <c r="U717">
        <f>INDEX(StudentTargets,MATCH(B717,KidIDs,0))</f>
        <v>0</v>
      </c>
      <c r="V717">
        <f>INDEX(ReachStudentTargets,MATCH(B717,KidIDs,0))</f>
        <v>0</v>
      </c>
      <c r="W717">
        <f>IF(OR(M717="Posse"),1,0)</f>
        <v>0</v>
      </c>
      <c r="X717">
        <f>IF(ISNUMBER(INDEX(AllCollegeGR, MATCH(N717,AllCollegeNCES,0))),ROUND(INDEX(AllCollegeGR, MATCH(N717,AllCollegeNCES,0))+W717*IF(INDEX(AllCollegeGR, MATCH(N717,AllCollegeNCES,0))&gt;0.7,(1-INDEX(AllCollegeGR, MATCH(N717,AllCollegeNCES,0)))/2,0.15),2),INDEX(AllCollegeGR, MATCH(N717,AllCollegeNCES,0)))</f>
        <v>0</v>
      </c>
      <c r="Y717">
        <f>IF(ISNUMBER(INDEX(AllCollegeAAHGR, MATCH(N717,AllCollegeNCES,0))),ROUND(INDEX(AllCollegeAAHGR, MATCH(N717,AllCollegeNCES,0))+W717*IF(INDEX(AllCollegeAAHGR, MATCH(N717,AllCollegeNCES,0))&gt;0.7,(1-INDEX(AllCollegeAAHGR, MATCH(N717,AllCollegeNCES,0)))/2,0.15),2),INDEX(AllCollegeAAHGR, MATCH(N717,AllCollegeNCES,0)))</f>
        <v>0</v>
      </c>
      <c r="Z717">
        <f>IF(OR(T717="H",T717="B"),INDEX(AllCollegeACT25, MATCH(N717,AllCollegeNCES,0)),INDEX(AllCollegeACT50, MATCH(N717,AllCollegeNCES,0)))</f>
        <v>0</v>
      </c>
      <c r="AA717">
        <f>INDEX(CustomWeightsGPA,MATCH(T717&amp;":"&amp;N717,CustomWeightsIndex,0))</f>
        <v>0</v>
      </c>
      <c r="AB717">
        <f>INDEX(CustomWeightsACT,MATCH(T717&amp;":"&amp;N717,CustomWeightsIndex,0))</f>
        <v>0</v>
      </c>
      <c r="AC717">
        <f>INDEX(CustomWeightsIntercept,MATCH(T717&amp;":"&amp;N717,CustomWeightsIndex,0))</f>
        <v>0</v>
      </c>
      <c r="AD717">
        <f>AA717*P717+AB717*Q717+AC717</f>
        <v>0</v>
      </c>
      <c r="AE717">
        <f>INDEX(CoefficientsGPA,MATCH(T717&amp;":"&amp;O717,CoefficientsIndex,0))</f>
        <v>0</v>
      </c>
      <c r="AF717">
        <f>INDEX(CoefficientsACT,MATCH(T717&amp;":"&amp;O717,CoefficientsIndex,0))</f>
        <v>0</v>
      </c>
      <c r="AG717">
        <f>INDEX(CoefficientsIntercept,MATCH(T717&amp;":"&amp;O717,CoefficientsIndex,0))</f>
        <v>0</v>
      </c>
      <c r="AH717">
        <f>AE717*P717+(Q717-Z717)*AF717+AG717</f>
        <v>0</v>
      </c>
      <c r="AI717">
        <f>IF(ISNUMBER(AD717),AD717,AH717)</f>
        <v>0</v>
      </c>
      <c r="AJ717">
        <f>IF(ISNUMBER(AI717),IF(ISNUMBER(AE717),IF(AND(AE717=1,AF717=1,AG717=1),100,ROUND(100*EXP(AI717)/(1+EXP(AI717)),2)),ROUND(100*EXP(AI717)/(1+EXP(AI717)),2)),IF(ISTEXT(O717),IF(LEFT(O717,1)="2",100,"N/A"),"N/A"))</f>
        <v>0</v>
      </c>
      <c r="AK717">
        <f>IF(ISNUMBER(AJ717),IF(AJ717&gt;=99,IF(OR(R717=10,R717=11),MatchLabel,SureThingLabel),IF(AJ717&gt;=95,SecureLabel,IF(AJ717&gt;=80,SafetyLabel,IF(AJ717&gt;=50,MatchLabel,IF(AJ717&gt;=20,ReachLabel,IF(AJ717&gt;=10,LongshotLabel,HailMaryLabel)))))),"Other")</f>
        <v>0</v>
      </c>
      <c r="AL717">
        <f>IF(OR(I717="accepted",I717="cond. accept",I717="summer admit"),IF(J717="yes","CHOICE!","Accepted!"),IF(I717="denied","Denied",IF(K717=1,"Waitlist",IF(L717=1,"Deferred",IF(G717="pending","Pending",IF(OR(G717="initial materials submitted",G717="mid-year submitted",G717="final submitted"),"Submitted",IF(H717="interest","Interest","?")))))))</f>
        <v>0</v>
      </c>
      <c r="AM717">
        <f>IF(OR(AK717=ReachLabel,AK717=LongshotLabel,AK717=HailMaryLabel),1,0)</f>
        <v>0</v>
      </c>
      <c r="AN717">
        <f>IF(OR(AM717=1,AK717=MatchLabel),1,0)</f>
        <v>0</v>
      </c>
      <c r="AO717">
        <f>IF(OR(AK717=MatchLabel,AK717=SafetyLabel,AK717=SecureLabel,AK717=SureThingLabel),1,0)</f>
        <v>0</v>
      </c>
      <c r="AP717">
        <f>IF(OR(T717="H",T717="B"),IF(ISNUMBER(Y717),ROUND(Y717,2),0),IF(ISNUMBER(X717),ROUND(X717,2),0))</f>
        <v>0</v>
      </c>
      <c r="AQ717">
        <f>IF(AP717&gt;=U717,1,0)</f>
        <v>0</v>
      </c>
      <c r="AR717">
        <f>IF(AP717&gt;=V717,1,0)</f>
        <v>0</v>
      </c>
      <c r="AS717">
        <f>IF(AP717&lt;(U717-0.10),1,0)</f>
        <v>0</v>
      </c>
      <c r="AT717">
        <f>1-AJ717/100</f>
        <v>0</v>
      </c>
      <c r="AU717">
        <f>IF(AN717=1,AT717,1)</f>
        <v>0</v>
      </c>
      <c r="AV717">
        <f>IF(AM717=1,AT717,1)</f>
        <v>0</v>
      </c>
      <c r="AW717">
        <f>IF(AND(AQ717=1,ISNUMBER(AT717)),$AT717,1)</f>
        <v>0</v>
      </c>
      <c r="AX717">
        <f>IF(AND(AR717=1,ISNUMBER(AT717)),$AT717,1)</f>
        <v>0</v>
      </c>
      <c r="AY717">
        <f>IF(ISNUMBER(Y717),INDEX(AllCollegeMoney, MATCH(N717,AllCollegeNCES,0)),0)</f>
        <v>0</v>
      </c>
      <c r="AZ717">
        <f>IF(AND(AQ717=1,ISNUMBER(AT717),AY717=1),$AT717,1)</f>
        <v>0</v>
      </c>
      <c r="BA717">
        <f>IF(AND(AR717=1,ISNUMBER(AT717),AY717=1),$AT717,1)</f>
        <v>0</v>
      </c>
      <c r="BB717">
        <f>IF(ISNUMBER(Y717),INDEX(AllCollegeILPub, MATCH(N717,AllCollegeNCES,0)),0)</f>
        <v>0</v>
      </c>
      <c r="BC717">
        <f>IF(AK717=ReachLabel,AP717,0)</f>
        <v>0</v>
      </c>
      <c r="BD717">
        <f>IF(AK717=MatchLabel,AP717,0)</f>
        <v>0</v>
      </c>
      <c r="BE717">
        <f>IF(AK717=SafetyLabel,AP717,0)</f>
        <v>0</v>
      </c>
      <c r="BF717">
        <f>IF(AK717=SecureLabel,AP717,0)</f>
        <v>0</v>
      </c>
      <c r="BG717">
        <f>IF(AK717=SureThingLabel,AP717,0)</f>
        <v>0</v>
      </c>
      <c r="BH717">
        <f>MAX(BC717:BG717)</f>
        <v>0</v>
      </c>
      <c r="BI717">
        <f>MAX(BD717:BG717)</f>
        <v>0</v>
      </c>
      <c r="BJ717">
        <f>MAX(BE717:BG717)</f>
        <v>0</v>
      </c>
      <c r="BK717">
        <f>IF(AND(AK717=ReachLabel,AY717=1),AP717,0)</f>
        <v>0</v>
      </c>
      <c r="BL717">
        <f>IF(AND(AK717=MatchLabel,AY717=1),AP717,0)</f>
        <v>0</v>
      </c>
      <c r="BM717">
        <f>IF(AND(AK717=SafetyLabel,AY717=1),AP717,0)</f>
        <v>0</v>
      </c>
      <c r="BN717">
        <f>IF(AND(AK717=SecureLabel,AY717=1),AP717,0)</f>
        <v>0</v>
      </c>
      <c r="BO717">
        <f>IF(AND(AK717=SureThingLabel,AY717=1),AP717,0)</f>
        <v>0</v>
      </c>
      <c r="BP717">
        <f>MAX(BK717:BO717)</f>
        <v>0</v>
      </c>
      <c r="BQ717">
        <f>MAX(BL717:BO717)</f>
        <v>0</v>
      </c>
      <c r="BR717">
        <f>MAX(BM717:BO717)</f>
        <v>0</v>
      </c>
      <c r="BS717">
        <f>IF(ISNUMBER(Y717),INDEX(AllCollegeChicago, MATCH(N717,AllCollegeNCES,0))*AY717,0)</f>
        <v>0</v>
      </c>
      <c r="BT717">
        <f>IF(ISNUMBER(Y717),INDEX(AllCollegeMoneyCode, MATCH(N717,AllCollegeNCES,0)),"?")</f>
        <v>0</v>
      </c>
      <c r="BU717">
        <f>IF(OR(BT717="---",BT717="--",BT717="+/--",BT717="+/---"),1,0)</f>
        <v>0</v>
      </c>
      <c r="BV717">
        <f>AY717*AO717*AQ717</f>
        <v>0</v>
      </c>
    </row>
    <row r="718" spans="1:74">
      <c r="A718" t="s">
        <v>86</v>
      </c>
      <c r="B718">
        <v>30280677</v>
      </c>
      <c r="C718" t="s">
        <v>296</v>
      </c>
      <c r="D718" t="s">
        <v>297</v>
      </c>
      <c r="E718" t="s">
        <v>428</v>
      </c>
      <c r="F718" t="s">
        <v>447</v>
      </c>
      <c r="G718" t="s">
        <v>430</v>
      </c>
      <c r="H718" t="s">
        <v>431</v>
      </c>
      <c r="I718" t="s">
        <v>432</v>
      </c>
      <c r="J718" t="s">
        <v>432</v>
      </c>
      <c r="K718">
        <v>0</v>
      </c>
      <c r="L718" t="s">
        <v>428</v>
      </c>
      <c r="M718" t="s">
        <v>428</v>
      </c>
      <c r="N718">
        <v>145600</v>
      </c>
      <c r="O718">
        <f>INDEX(AllCollegeBarrons,MATCH(N718,AllCollegeNCES,0))</f>
        <v>0</v>
      </c>
      <c r="P718">
        <f>INDEX(KidGPAs,MATCH(B718,KidIDs,0))</f>
        <v>0</v>
      </c>
      <c r="Q718">
        <f>INDEX(KidACTs,MATCH(B718,KidIDs,0))</f>
        <v>0</v>
      </c>
      <c r="R718">
        <f>INDEX(Strats,MATCH(B718,KidIDs,0))</f>
        <v>0</v>
      </c>
      <c r="S718">
        <f>INDEX(KidRace,MATCH(B718,KidIDs,0))</f>
        <v>0</v>
      </c>
      <c r="T718">
        <f>IF(OR(S718="M",S718="I"),"H",S718)</f>
        <v>0</v>
      </c>
      <c r="U718">
        <f>INDEX(StudentTargets,MATCH(B718,KidIDs,0))</f>
        <v>0</v>
      </c>
      <c r="V718">
        <f>INDEX(ReachStudentTargets,MATCH(B718,KidIDs,0))</f>
        <v>0</v>
      </c>
      <c r="W718">
        <f>IF(OR(M718="Posse"),1,0)</f>
        <v>0</v>
      </c>
      <c r="X718">
        <f>IF(ISNUMBER(INDEX(AllCollegeGR, MATCH(N718,AllCollegeNCES,0))),ROUND(INDEX(AllCollegeGR, MATCH(N718,AllCollegeNCES,0))+W718*IF(INDEX(AllCollegeGR, MATCH(N718,AllCollegeNCES,0))&gt;0.7,(1-INDEX(AllCollegeGR, MATCH(N718,AllCollegeNCES,0)))/2,0.15),2),INDEX(AllCollegeGR, MATCH(N718,AllCollegeNCES,0)))</f>
        <v>0</v>
      </c>
      <c r="Y718">
        <f>IF(ISNUMBER(INDEX(AllCollegeAAHGR, MATCH(N718,AllCollegeNCES,0))),ROUND(INDEX(AllCollegeAAHGR, MATCH(N718,AllCollegeNCES,0))+W718*IF(INDEX(AllCollegeAAHGR, MATCH(N718,AllCollegeNCES,0))&gt;0.7,(1-INDEX(AllCollegeAAHGR, MATCH(N718,AllCollegeNCES,0)))/2,0.15),2),INDEX(AllCollegeAAHGR, MATCH(N718,AllCollegeNCES,0)))</f>
        <v>0</v>
      </c>
      <c r="Z718">
        <f>IF(OR(T718="H",T718="B"),INDEX(AllCollegeACT25, MATCH(N718,AllCollegeNCES,0)),INDEX(AllCollegeACT50, MATCH(N718,AllCollegeNCES,0)))</f>
        <v>0</v>
      </c>
      <c r="AA718">
        <f>INDEX(CustomWeightsGPA,MATCH(T718&amp;":"&amp;N718,CustomWeightsIndex,0))</f>
        <v>0</v>
      </c>
      <c r="AB718">
        <f>INDEX(CustomWeightsACT,MATCH(T718&amp;":"&amp;N718,CustomWeightsIndex,0))</f>
        <v>0</v>
      </c>
      <c r="AC718">
        <f>INDEX(CustomWeightsIntercept,MATCH(T718&amp;":"&amp;N718,CustomWeightsIndex,0))</f>
        <v>0</v>
      </c>
      <c r="AD718">
        <f>AA718*P718+AB718*Q718+AC718</f>
        <v>0</v>
      </c>
      <c r="AE718">
        <f>INDEX(CoefficientsGPA,MATCH(T718&amp;":"&amp;O718,CoefficientsIndex,0))</f>
        <v>0</v>
      </c>
      <c r="AF718">
        <f>INDEX(CoefficientsACT,MATCH(T718&amp;":"&amp;O718,CoefficientsIndex,0))</f>
        <v>0</v>
      </c>
      <c r="AG718">
        <f>INDEX(CoefficientsIntercept,MATCH(T718&amp;":"&amp;O718,CoefficientsIndex,0))</f>
        <v>0</v>
      </c>
      <c r="AH718">
        <f>AE718*P718+(Q718-Z718)*AF718+AG718</f>
        <v>0</v>
      </c>
      <c r="AI718">
        <f>IF(ISNUMBER(AD718),AD718,AH718)</f>
        <v>0</v>
      </c>
      <c r="AJ718">
        <f>IF(ISNUMBER(AI718),IF(ISNUMBER(AE718),IF(AND(AE718=1,AF718=1,AG718=1),100,ROUND(100*EXP(AI718)/(1+EXP(AI718)),2)),ROUND(100*EXP(AI718)/(1+EXP(AI718)),2)),IF(ISTEXT(O718),IF(LEFT(O718,1)="2",100,"N/A"),"N/A"))</f>
        <v>0</v>
      </c>
      <c r="AK718">
        <f>IF(ISNUMBER(AJ718),IF(AJ718&gt;=99,IF(OR(R718=10,R718=11),MatchLabel,SureThingLabel),IF(AJ718&gt;=95,SecureLabel,IF(AJ718&gt;=80,SafetyLabel,IF(AJ718&gt;=50,MatchLabel,IF(AJ718&gt;=20,ReachLabel,IF(AJ718&gt;=10,LongshotLabel,HailMaryLabel)))))),"Other")</f>
        <v>0</v>
      </c>
      <c r="AL718">
        <f>IF(OR(I718="accepted",I718="cond. accept",I718="summer admit"),IF(J718="yes","CHOICE!","Accepted!"),IF(I718="denied","Denied",IF(K718=1,"Waitlist",IF(L718=1,"Deferred",IF(G718="pending","Pending",IF(OR(G718="initial materials submitted",G718="mid-year submitted",G718="final submitted"),"Submitted",IF(H718="interest","Interest","?")))))))</f>
        <v>0</v>
      </c>
      <c r="AM718">
        <f>IF(OR(AK718=ReachLabel,AK718=LongshotLabel,AK718=HailMaryLabel),1,0)</f>
        <v>0</v>
      </c>
      <c r="AN718">
        <f>IF(OR(AM718=1,AK718=MatchLabel),1,0)</f>
        <v>0</v>
      </c>
      <c r="AO718">
        <f>IF(OR(AK718=MatchLabel,AK718=SafetyLabel,AK718=SecureLabel,AK718=SureThingLabel),1,0)</f>
        <v>0</v>
      </c>
      <c r="AP718">
        <f>IF(OR(T718="H",T718="B"),IF(ISNUMBER(Y718),ROUND(Y718,2),0),IF(ISNUMBER(X718),ROUND(X718,2),0))</f>
        <v>0</v>
      </c>
      <c r="AQ718">
        <f>IF(AP718&gt;=U718,1,0)</f>
        <v>0</v>
      </c>
      <c r="AR718">
        <f>IF(AP718&gt;=V718,1,0)</f>
        <v>0</v>
      </c>
      <c r="AS718">
        <f>IF(AP718&lt;(U718-0.10),1,0)</f>
        <v>0</v>
      </c>
      <c r="AT718">
        <f>1-AJ718/100</f>
        <v>0</v>
      </c>
      <c r="AU718">
        <f>IF(AN718=1,AT718,1)</f>
        <v>0</v>
      </c>
      <c r="AV718">
        <f>IF(AM718=1,AT718,1)</f>
        <v>0</v>
      </c>
      <c r="AW718">
        <f>IF(AND(AQ718=1,ISNUMBER(AT718)),$AT718,1)</f>
        <v>0</v>
      </c>
      <c r="AX718">
        <f>IF(AND(AR718=1,ISNUMBER(AT718)),$AT718,1)</f>
        <v>0</v>
      </c>
      <c r="AY718">
        <f>IF(ISNUMBER(Y718),INDEX(AllCollegeMoney, MATCH(N718,AllCollegeNCES,0)),0)</f>
        <v>0</v>
      </c>
      <c r="AZ718">
        <f>IF(AND(AQ718=1,ISNUMBER(AT718),AY718=1),$AT718,1)</f>
        <v>0</v>
      </c>
      <c r="BA718">
        <f>IF(AND(AR718=1,ISNUMBER(AT718),AY718=1),$AT718,1)</f>
        <v>0</v>
      </c>
      <c r="BB718">
        <f>IF(ISNUMBER(Y718),INDEX(AllCollegeILPub, MATCH(N718,AllCollegeNCES,0)),0)</f>
        <v>0</v>
      </c>
      <c r="BC718">
        <f>IF(AK718=ReachLabel,AP718,0)</f>
        <v>0</v>
      </c>
      <c r="BD718">
        <f>IF(AK718=MatchLabel,AP718,0)</f>
        <v>0</v>
      </c>
      <c r="BE718">
        <f>IF(AK718=SafetyLabel,AP718,0)</f>
        <v>0</v>
      </c>
      <c r="BF718">
        <f>IF(AK718=SecureLabel,AP718,0)</f>
        <v>0</v>
      </c>
      <c r="BG718">
        <f>IF(AK718=SureThingLabel,AP718,0)</f>
        <v>0</v>
      </c>
      <c r="BH718">
        <f>MAX(BC718:BG718)</f>
        <v>0</v>
      </c>
      <c r="BI718">
        <f>MAX(BD718:BG718)</f>
        <v>0</v>
      </c>
      <c r="BJ718">
        <f>MAX(BE718:BG718)</f>
        <v>0</v>
      </c>
      <c r="BK718">
        <f>IF(AND(AK718=ReachLabel,AY718=1),AP718,0)</f>
        <v>0</v>
      </c>
      <c r="BL718">
        <f>IF(AND(AK718=MatchLabel,AY718=1),AP718,0)</f>
        <v>0</v>
      </c>
      <c r="BM718">
        <f>IF(AND(AK718=SafetyLabel,AY718=1),AP718,0)</f>
        <v>0</v>
      </c>
      <c r="BN718">
        <f>IF(AND(AK718=SecureLabel,AY718=1),AP718,0)</f>
        <v>0</v>
      </c>
      <c r="BO718">
        <f>IF(AND(AK718=SureThingLabel,AY718=1),AP718,0)</f>
        <v>0</v>
      </c>
      <c r="BP718">
        <f>MAX(BK718:BO718)</f>
        <v>0</v>
      </c>
      <c r="BQ718">
        <f>MAX(BL718:BO718)</f>
        <v>0</v>
      </c>
      <c r="BR718">
        <f>MAX(BM718:BO718)</f>
        <v>0</v>
      </c>
      <c r="BS718">
        <f>IF(ISNUMBER(Y718),INDEX(AllCollegeChicago, MATCH(N718,AllCollegeNCES,0))*AY718,0)</f>
        <v>0</v>
      </c>
      <c r="BT718">
        <f>IF(ISNUMBER(Y718),INDEX(AllCollegeMoneyCode, MATCH(N718,AllCollegeNCES,0)),"?")</f>
        <v>0</v>
      </c>
      <c r="BU718">
        <f>IF(OR(BT718="---",BT718="--",BT718="+/--",BT718="+/---"),1,0)</f>
        <v>0</v>
      </c>
      <c r="BV718">
        <f>AY718*AO718*AQ718</f>
        <v>0</v>
      </c>
    </row>
    <row r="719" spans="1:74">
      <c r="A719" t="s">
        <v>86</v>
      </c>
      <c r="B719">
        <v>30280677</v>
      </c>
      <c r="C719" t="s">
        <v>296</v>
      </c>
      <c r="D719" t="s">
        <v>297</v>
      </c>
      <c r="E719" t="s">
        <v>428</v>
      </c>
      <c r="F719" t="s">
        <v>448</v>
      </c>
      <c r="G719" t="s">
        <v>430</v>
      </c>
      <c r="H719" t="s">
        <v>431</v>
      </c>
      <c r="I719" t="s">
        <v>432</v>
      </c>
      <c r="J719" t="s">
        <v>432</v>
      </c>
      <c r="K719">
        <v>0</v>
      </c>
      <c r="L719" t="s">
        <v>428</v>
      </c>
      <c r="M719" t="s">
        <v>428</v>
      </c>
      <c r="N719" t="s">
        <v>449</v>
      </c>
      <c r="O719">
        <f>INDEX(AllCollegeBarrons,MATCH(N719,AllCollegeNCES,0))</f>
        <v>0</v>
      </c>
      <c r="P719">
        <f>INDEX(KidGPAs,MATCH(B719,KidIDs,0))</f>
        <v>0</v>
      </c>
      <c r="Q719">
        <f>INDEX(KidACTs,MATCH(B719,KidIDs,0))</f>
        <v>0</v>
      </c>
      <c r="R719">
        <f>INDEX(Strats,MATCH(B719,KidIDs,0))</f>
        <v>0</v>
      </c>
      <c r="S719">
        <f>INDEX(KidRace,MATCH(B719,KidIDs,0))</f>
        <v>0</v>
      </c>
      <c r="T719">
        <f>IF(OR(S719="M",S719="I"),"H",S719)</f>
        <v>0</v>
      </c>
      <c r="U719">
        <f>INDEX(StudentTargets,MATCH(B719,KidIDs,0))</f>
        <v>0</v>
      </c>
      <c r="V719">
        <f>INDEX(ReachStudentTargets,MATCH(B719,KidIDs,0))</f>
        <v>0</v>
      </c>
      <c r="W719">
        <f>IF(OR(M719="Posse"),1,0)</f>
        <v>0</v>
      </c>
      <c r="X719">
        <f>IF(ISNUMBER(INDEX(AllCollegeGR, MATCH(N719,AllCollegeNCES,0))),ROUND(INDEX(AllCollegeGR, MATCH(N719,AllCollegeNCES,0))+W719*IF(INDEX(AllCollegeGR, MATCH(N719,AllCollegeNCES,0))&gt;0.7,(1-INDEX(AllCollegeGR, MATCH(N719,AllCollegeNCES,0)))/2,0.15),2),INDEX(AllCollegeGR, MATCH(N719,AllCollegeNCES,0)))</f>
        <v>0</v>
      </c>
      <c r="Y719">
        <f>IF(ISNUMBER(INDEX(AllCollegeAAHGR, MATCH(N719,AllCollegeNCES,0))),ROUND(INDEX(AllCollegeAAHGR, MATCH(N719,AllCollegeNCES,0))+W719*IF(INDEX(AllCollegeAAHGR, MATCH(N719,AllCollegeNCES,0))&gt;0.7,(1-INDEX(AllCollegeAAHGR, MATCH(N719,AllCollegeNCES,0)))/2,0.15),2),INDEX(AllCollegeAAHGR, MATCH(N719,AllCollegeNCES,0)))</f>
        <v>0</v>
      </c>
      <c r="Z719">
        <f>IF(OR(T719="H",T719="B"),INDEX(AllCollegeACT25, MATCH(N719,AllCollegeNCES,0)),INDEX(AllCollegeACT50, MATCH(N719,AllCollegeNCES,0)))</f>
        <v>0</v>
      </c>
      <c r="AA719">
        <f>INDEX(CustomWeightsGPA,MATCH(T719&amp;":"&amp;N719,CustomWeightsIndex,0))</f>
        <v>0</v>
      </c>
      <c r="AB719">
        <f>INDEX(CustomWeightsACT,MATCH(T719&amp;":"&amp;N719,CustomWeightsIndex,0))</f>
        <v>0</v>
      </c>
      <c r="AC719">
        <f>INDEX(CustomWeightsIntercept,MATCH(T719&amp;":"&amp;N719,CustomWeightsIndex,0))</f>
        <v>0</v>
      </c>
      <c r="AD719">
        <f>AA719*P719+AB719*Q719+AC719</f>
        <v>0</v>
      </c>
      <c r="AE719">
        <f>INDEX(CoefficientsGPA,MATCH(T719&amp;":"&amp;O719,CoefficientsIndex,0))</f>
        <v>0</v>
      </c>
      <c r="AF719">
        <f>INDEX(CoefficientsACT,MATCH(T719&amp;":"&amp;O719,CoefficientsIndex,0))</f>
        <v>0</v>
      </c>
      <c r="AG719">
        <f>INDEX(CoefficientsIntercept,MATCH(T719&amp;":"&amp;O719,CoefficientsIndex,0))</f>
        <v>0</v>
      </c>
      <c r="AH719">
        <f>AE719*P719+(Q719-Z719)*AF719+AG719</f>
        <v>0</v>
      </c>
      <c r="AI719">
        <f>IF(ISNUMBER(AD719),AD719,AH719)</f>
        <v>0</v>
      </c>
      <c r="AJ719">
        <f>IF(ISNUMBER(AI719),IF(ISNUMBER(AE719),IF(AND(AE719=1,AF719=1,AG719=1),100,ROUND(100*EXP(AI719)/(1+EXP(AI719)),2)),ROUND(100*EXP(AI719)/(1+EXP(AI719)),2)),IF(ISTEXT(O719),IF(LEFT(O719,1)="2",100,"N/A"),"N/A"))</f>
        <v>0</v>
      </c>
      <c r="AK719">
        <f>IF(ISNUMBER(AJ719),IF(AJ719&gt;=99,IF(OR(R719=10,R719=11),MatchLabel,SureThingLabel),IF(AJ719&gt;=95,SecureLabel,IF(AJ719&gt;=80,SafetyLabel,IF(AJ719&gt;=50,MatchLabel,IF(AJ719&gt;=20,ReachLabel,IF(AJ719&gt;=10,LongshotLabel,HailMaryLabel)))))),"Other")</f>
        <v>0</v>
      </c>
      <c r="AL719">
        <f>IF(OR(I719="accepted",I719="cond. accept",I719="summer admit"),IF(J719="yes","CHOICE!","Accepted!"),IF(I719="denied","Denied",IF(K719=1,"Waitlist",IF(L719=1,"Deferred",IF(G719="pending","Pending",IF(OR(G719="initial materials submitted",G719="mid-year submitted",G719="final submitted"),"Submitted",IF(H719="interest","Interest","?")))))))</f>
        <v>0</v>
      </c>
      <c r="AM719">
        <f>IF(OR(AK719=ReachLabel,AK719=LongshotLabel,AK719=HailMaryLabel),1,0)</f>
        <v>0</v>
      </c>
      <c r="AN719">
        <f>IF(OR(AM719=1,AK719=MatchLabel),1,0)</f>
        <v>0</v>
      </c>
      <c r="AO719">
        <f>IF(OR(AK719=MatchLabel,AK719=SafetyLabel,AK719=SecureLabel,AK719=SureThingLabel),1,0)</f>
        <v>0</v>
      </c>
      <c r="AP719">
        <f>IF(OR(T719="H",T719="B"),IF(ISNUMBER(Y719),ROUND(Y719,2),0),IF(ISNUMBER(X719),ROUND(X719,2),0))</f>
        <v>0</v>
      </c>
      <c r="AQ719">
        <f>IF(AP719&gt;=U719,1,0)</f>
        <v>0</v>
      </c>
      <c r="AR719">
        <f>IF(AP719&gt;=V719,1,0)</f>
        <v>0</v>
      </c>
      <c r="AS719">
        <f>IF(AP719&lt;(U719-0.10),1,0)</f>
        <v>0</v>
      </c>
      <c r="AT719">
        <f>1-AJ719/100</f>
        <v>0</v>
      </c>
      <c r="AU719">
        <f>IF(AN719=1,AT719,1)</f>
        <v>0</v>
      </c>
      <c r="AV719">
        <f>IF(AM719=1,AT719,1)</f>
        <v>0</v>
      </c>
      <c r="AW719">
        <f>IF(AND(AQ719=1,ISNUMBER(AT719)),$AT719,1)</f>
        <v>0</v>
      </c>
      <c r="AX719">
        <f>IF(AND(AR719=1,ISNUMBER(AT719)),$AT719,1)</f>
        <v>0</v>
      </c>
      <c r="AY719">
        <f>IF(ISNUMBER(Y719),INDEX(AllCollegeMoney, MATCH(N719,AllCollegeNCES,0)),0)</f>
        <v>0</v>
      </c>
      <c r="AZ719">
        <f>IF(AND(AQ719=1,ISNUMBER(AT719),AY719=1),$AT719,1)</f>
        <v>0</v>
      </c>
      <c r="BA719">
        <f>IF(AND(AR719=1,ISNUMBER(AT719),AY719=1),$AT719,1)</f>
        <v>0</v>
      </c>
      <c r="BB719">
        <f>IF(ISNUMBER(Y719),INDEX(AllCollegeILPub, MATCH(N719,AllCollegeNCES,0)),0)</f>
        <v>0</v>
      </c>
      <c r="BC719">
        <f>IF(AK719=ReachLabel,AP719,0)</f>
        <v>0</v>
      </c>
      <c r="BD719">
        <f>IF(AK719=MatchLabel,AP719,0)</f>
        <v>0</v>
      </c>
      <c r="BE719">
        <f>IF(AK719=SafetyLabel,AP719,0)</f>
        <v>0</v>
      </c>
      <c r="BF719">
        <f>IF(AK719=SecureLabel,AP719,0)</f>
        <v>0</v>
      </c>
      <c r="BG719">
        <f>IF(AK719=SureThingLabel,AP719,0)</f>
        <v>0</v>
      </c>
      <c r="BH719">
        <f>MAX(BC719:BG719)</f>
        <v>0</v>
      </c>
      <c r="BI719">
        <f>MAX(BD719:BG719)</f>
        <v>0</v>
      </c>
      <c r="BJ719">
        <f>MAX(BE719:BG719)</f>
        <v>0</v>
      </c>
      <c r="BK719">
        <f>IF(AND(AK719=ReachLabel,AY719=1),AP719,0)</f>
        <v>0</v>
      </c>
      <c r="BL719">
        <f>IF(AND(AK719=MatchLabel,AY719=1),AP719,0)</f>
        <v>0</v>
      </c>
      <c r="BM719">
        <f>IF(AND(AK719=SafetyLabel,AY719=1),AP719,0)</f>
        <v>0</v>
      </c>
      <c r="BN719">
        <f>IF(AND(AK719=SecureLabel,AY719=1),AP719,0)</f>
        <v>0</v>
      </c>
      <c r="BO719">
        <f>IF(AND(AK719=SureThingLabel,AY719=1),AP719,0)</f>
        <v>0</v>
      </c>
      <c r="BP719">
        <f>MAX(BK719:BO719)</f>
        <v>0</v>
      </c>
      <c r="BQ719">
        <f>MAX(BL719:BO719)</f>
        <v>0</v>
      </c>
      <c r="BR719">
        <f>MAX(BM719:BO719)</f>
        <v>0</v>
      </c>
      <c r="BS719">
        <f>IF(ISNUMBER(Y719),INDEX(AllCollegeChicago, MATCH(N719,AllCollegeNCES,0))*AY719,0)</f>
        <v>0</v>
      </c>
      <c r="BT719">
        <f>IF(ISNUMBER(Y719),INDEX(AllCollegeMoneyCode, MATCH(N719,AllCollegeNCES,0)),"?")</f>
        <v>0</v>
      </c>
      <c r="BU719">
        <f>IF(OR(BT719="---",BT719="--",BT719="+/--",BT719="+/---"),1,0)</f>
        <v>0</v>
      </c>
      <c r="BV719">
        <f>AY719*AO719*AQ719</f>
        <v>0</v>
      </c>
    </row>
    <row r="720" spans="1:74">
      <c r="A720" t="s">
        <v>86</v>
      </c>
      <c r="B720">
        <v>30280677</v>
      </c>
      <c r="C720" t="s">
        <v>296</v>
      </c>
      <c r="D720" t="s">
        <v>297</v>
      </c>
      <c r="E720" t="s">
        <v>428</v>
      </c>
      <c r="F720" t="s">
        <v>436</v>
      </c>
      <c r="G720" t="s">
        <v>430</v>
      </c>
      <c r="H720" t="s">
        <v>431</v>
      </c>
      <c r="I720" t="s">
        <v>432</v>
      </c>
      <c r="J720" t="s">
        <v>432</v>
      </c>
      <c r="K720">
        <v>0</v>
      </c>
      <c r="L720" t="s">
        <v>428</v>
      </c>
      <c r="M720" t="s">
        <v>428</v>
      </c>
      <c r="N720">
        <v>147536</v>
      </c>
      <c r="O720">
        <f>INDEX(AllCollegeBarrons,MATCH(N720,AllCollegeNCES,0))</f>
        <v>0</v>
      </c>
      <c r="P720">
        <f>INDEX(KidGPAs,MATCH(B720,KidIDs,0))</f>
        <v>0</v>
      </c>
      <c r="Q720">
        <f>INDEX(KidACTs,MATCH(B720,KidIDs,0))</f>
        <v>0</v>
      </c>
      <c r="R720">
        <f>INDEX(Strats,MATCH(B720,KidIDs,0))</f>
        <v>0</v>
      </c>
      <c r="S720">
        <f>INDEX(KidRace,MATCH(B720,KidIDs,0))</f>
        <v>0</v>
      </c>
      <c r="T720">
        <f>IF(OR(S720="M",S720="I"),"H",S720)</f>
        <v>0</v>
      </c>
      <c r="U720">
        <f>INDEX(StudentTargets,MATCH(B720,KidIDs,0))</f>
        <v>0</v>
      </c>
      <c r="V720">
        <f>INDEX(ReachStudentTargets,MATCH(B720,KidIDs,0))</f>
        <v>0</v>
      </c>
      <c r="W720">
        <f>IF(OR(M720="Posse"),1,0)</f>
        <v>0</v>
      </c>
      <c r="X720">
        <f>IF(ISNUMBER(INDEX(AllCollegeGR, MATCH(N720,AllCollegeNCES,0))),ROUND(INDEX(AllCollegeGR, MATCH(N720,AllCollegeNCES,0))+W720*IF(INDEX(AllCollegeGR, MATCH(N720,AllCollegeNCES,0))&gt;0.7,(1-INDEX(AllCollegeGR, MATCH(N720,AllCollegeNCES,0)))/2,0.15),2),INDEX(AllCollegeGR, MATCH(N720,AllCollegeNCES,0)))</f>
        <v>0</v>
      </c>
      <c r="Y720">
        <f>IF(ISNUMBER(INDEX(AllCollegeAAHGR, MATCH(N720,AllCollegeNCES,0))),ROUND(INDEX(AllCollegeAAHGR, MATCH(N720,AllCollegeNCES,0))+W720*IF(INDEX(AllCollegeAAHGR, MATCH(N720,AllCollegeNCES,0))&gt;0.7,(1-INDEX(AllCollegeAAHGR, MATCH(N720,AllCollegeNCES,0)))/2,0.15),2),INDEX(AllCollegeAAHGR, MATCH(N720,AllCollegeNCES,0)))</f>
        <v>0</v>
      </c>
      <c r="Z720">
        <f>IF(OR(T720="H",T720="B"),INDEX(AllCollegeACT25, MATCH(N720,AllCollegeNCES,0)),INDEX(AllCollegeACT50, MATCH(N720,AllCollegeNCES,0)))</f>
        <v>0</v>
      </c>
      <c r="AA720">
        <f>INDEX(CustomWeightsGPA,MATCH(T720&amp;":"&amp;N720,CustomWeightsIndex,0))</f>
        <v>0</v>
      </c>
      <c r="AB720">
        <f>INDEX(CustomWeightsACT,MATCH(T720&amp;":"&amp;N720,CustomWeightsIndex,0))</f>
        <v>0</v>
      </c>
      <c r="AC720">
        <f>INDEX(CustomWeightsIntercept,MATCH(T720&amp;":"&amp;N720,CustomWeightsIndex,0))</f>
        <v>0</v>
      </c>
      <c r="AD720">
        <f>AA720*P720+AB720*Q720+AC720</f>
        <v>0</v>
      </c>
      <c r="AE720">
        <f>INDEX(CoefficientsGPA,MATCH(T720&amp;":"&amp;O720,CoefficientsIndex,0))</f>
        <v>0</v>
      </c>
      <c r="AF720">
        <f>INDEX(CoefficientsACT,MATCH(T720&amp;":"&amp;O720,CoefficientsIndex,0))</f>
        <v>0</v>
      </c>
      <c r="AG720">
        <f>INDEX(CoefficientsIntercept,MATCH(T720&amp;":"&amp;O720,CoefficientsIndex,0))</f>
        <v>0</v>
      </c>
      <c r="AH720">
        <f>AE720*P720+(Q720-Z720)*AF720+AG720</f>
        <v>0</v>
      </c>
      <c r="AI720">
        <f>IF(ISNUMBER(AD720),AD720,AH720)</f>
        <v>0</v>
      </c>
      <c r="AJ720">
        <f>IF(ISNUMBER(AI720),IF(ISNUMBER(AE720),IF(AND(AE720=1,AF720=1,AG720=1),100,ROUND(100*EXP(AI720)/(1+EXP(AI720)),2)),ROUND(100*EXP(AI720)/(1+EXP(AI720)),2)),IF(ISTEXT(O720),IF(LEFT(O720,1)="2",100,"N/A"),"N/A"))</f>
        <v>0</v>
      </c>
      <c r="AK720">
        <f>IF(ISNUMBER(AJ720),IF(AJ720&gt;=99,IF(OR(R720=10,R720=11),MatchLabel,SureThingLabel),IF(AJ720&gt;=95,SecureLabel,IF(AJ720&gt;=80,SafetyLabel,IF(AJ720&gt;=50,MatchLabel,IF(AJ720&gt;=20,ReachLabel,IF(AJ720&gt;=10,LongshotLabel,HailMaryLabel)))))),"Other")</f>
        <v>0</v>
      </c>
      <c r="AL720">
        <f>IF(OR(I720="accepted",I720="cond. accept",I720="summer admit"),IF(J720="yes","CHOICE!","Accepted!"),IF(I720="denied","Denied",IF(K720=1,"Waitlist",IF(L720=1,"Deferred",IF(G720="pending","Pending",IF(OR(G720="initial materials submitted",G720="mid-year submitted",G720="final submitted"),"Submitted",IF(H720="interest","Interest","?")))))))</f>
        <v>0</v>
      </c>
      <c r="AM720">
        <f>IF(OR(AK720=ReachLabel,AK720=LongshotLabel,AK720=HailMaryLabel),1,0)</f>
        <v>0</v>
      </c>
      <c r="AN720">
        <f>IF(OR(AM720=1,AK720=MatchLabel),1,0)</f>
        <v>0</v>
      </c>
      <c r="AO720">
        <f>IF(OR(AK720=MatchLabel,AK720=SafetyLabel,AK720=SecureLabel,AK720=SureThingLabel),1,0)</f>
        <v>0</v>
      </c>
      <c r="AP720">
        <f>IF(OR(T720="H",T720="B"),IF(ISNUMBER(Y720),ROUND(Y720,2),0),IF(ISNUMBER(X720),ROUND(X720,2),0))</f>
        <v>0</v>
      </c>
      <c r="AQ720">
        <f>IF(AP720&gt;=U720,1,0)</f>
        <v>0</v>
      </c>
      <c r="AR720">
        <f>IF(AP720&gt;=V720,1,0)</f>
        <v>0</v>
      </c>
      <c r="AS720">
        <f>IF(AP720&lt;(U720-0.10),1,0)</f>
        <v>0</v>
      </c>
      <c r="AT720">
        <f>1-AJ720/100</f>
        <v>0</v>
      </c>
      <c r="AU720">
        <f>IF(AN720=1,AT720,1)</f>
        <v>0</v>
      </c>
      <c r="AV720">
        <f>IF(AM720=1,AT720,1)</f>
        <v>0</v>
      </c>
      <c r="AW720">
        <f>IF(AND(AQ720=1,ISNUMBER(AT720)),$AT720,1)</f>
        <v>0</v>
      </c>
      <c r="AX720">
        <f>IF(AND(AR720=1,ISNUMBER(AT720)),$AT720,1)</f>
        <v>0</v>
      </c>
      <c r="AY720">
        <f>IF(ISNUMBER(Y720),INDEX(AllCollegeMoney, MATCH(N720,AllCollegeNCES,0)),0)</f>
        <v>0</v>
      </c>
      <c r="AZ720">
        <f>IF(AND(AQ720=1,ISNUMBER(AT720),AY720=1),$AT720,1)</f>
        <v>0</v>
      </c>
      <c r="BA720">
        <f>IF(AND(AR720=1,ISNUMBER(AT720),AY720=1),$AT720,1)</f>
        <v>0</v>
      </c>
      <c r="BB720">
        <f>IF(ISNUMBER(Y720),INDEX(AllCollegeILPub, MATCH(N720,AllCollegeNCES,0)),0)</f>
        <v>0</v>
      </c>
      <c r="BC720">
        <f>IF(AK720=ReachLabel,AP720,0)</f>
        <v>0</v>
      </c>
      <c r="BD720">
        <f>IF(AK720=MatchLabel,AP720,0)</f>
        <v>0</v>
      </c>
      <c r="BE720">
        <f>IF(AK720=SafetyLabel,AP720,0)</f>
        <v>0</v>
      </c>
      <c r="BF720">
        <f>IF(AK720=SecureLabel,AP720,0)</f>
        <v>0</v>
      </c>
      <c r="BG720">
        <f>IF(AK720=SureThingLabel,AP720,0)</f>
        <v>0</v>
      </c>
      <c r="BH720">
        <f>MAX(BC720:BG720)</f>
        <v>0</v>
      </c>
      <c r="BI720">
        <f>MAX(BD720:BG720)</f>
        <v>0</v>
      </c>
      <c r="BJ720">
        <f>MAX(BE720:BG720)</f>
        <v>0</v>
      </c>
      <c r="BK720">
        <f>IF(AND(AK720=ReachLabel,AY720=1),AP720,0)</f>
        <v>0</v>
      </c>
      <c r="BL720">
        <f>IF(AND(AK720=MatchLabel,AY720=1),AP720,0)</f>
        <v>0</v>
      </c>
      <c r="BM720">
        <f>IF(AND(AK720=SafetyLabel,AY720=1),AP720,0)</f>
        <v>0</v>
      </c>
      <c r="BN720">
        <f>IF(AND(AK720=SecureLabel,AY720=1),AP720,0)</f>
        <v>0</v>
      </c>
      <c r="BO720">
        <f>IF(AND(AK720=SureThingLabel,AY720=1),AP720,0)</f>
        <v>0</v>
      </c>
      <c r="BP720">
        <f>MAX(BK720:BO720)</f>
        <v>0</v>
      </c>
      <c r="BQ720">
        <f>MAX(BL720:BO720)</f>
        <v>0</v>
      </c>
      <c r="BR720">
        <f>MAX(BM720:BO720)</f>
        <v>0</v>
      </c>
      <c r="BS720">
        <f>IF(ISNUMBER(Y720),INDEX(AllCollegeChicago, MATCH(N720,AllCollegeNCES,0))*AY720,0)</f>
        <v>0</v>
      </c>
      <c r="BT720">
        <f>IF(ISNUMBER(Y720),INDEX(AllCollegeMoneyCode, MATCH(N720,AllCollegeNCES,0)),"?")</f>
        <v>0</v>
      </c>
      <c r="BU720">
        <f>IF(OR(BT720="---",BT720="--",BT720="+/--",BT720="+/---"),1,0)</f>
        <v>0</v>
      </c>
      <c r="BV720">
        <f>AY720*AO720*AQ720</f>
        <v>0</v>
      </c>
    </row>
    <row r="721" spans="1:74">
      <c r="A721" t="s">
        <v>86</v>
      </c>
      <c r="B721">
        <v>30280677</v>
      </c>
      <c r="C721" t="s">
        <v>296</v>
      </c>
      <c r="D721" t="s">
        <v>297</v>
      </c>
      <c r="E721" t="s">
        <v>428</v>
      </c>
      <c r="F721" t="s">
        <v>588</v>
      </c>
      <c r="G721" t="s">
        <v>430</v>
      </c>
      <c r="H721" t="s">
        <v>431</v>
      </c>
      <c r="I721" t="s">
        <v>432</v>
      </c>
      <c r="J721" t="s">
        <v>432</v>
      </c>
      <c r="K721">
        <v>0</v>
      </c>
      <c r="L721" t="s">
        <v>428</v>
      </c>
      <c r="M721" t="s">
        <v>428</v>
      </c>
      <c r="N721">
        <v>126562</v>
      </c>
      <c r="O721">
        <f>INDEX(AllCollegeBarrons,MATCH(N721,AllCollegeNCES,0))</f>
        <v>0</v>
      </c>
      <c r="P721">
        <f>INDEX(KidGPAs,MATCH(B721,KidIDs,0))</f>
        <v>0</v>
      </c>
      <c r="Q721">
        <f>INDEX(KidACTs,MATCH(B721,KidIDs,0))</f>
        <v>0</v>
      </c>
      <c r="R721">
        <f>INDEX(Strats,MATCH(B721,KidIDs,0))</f>
        <v>0</v>
      </c>
      <c r="S721">
        <f>INDEX(KidRace,MATCH(B721,KidIDs,0))</f>
        <v>0</v>
      </c>
      <c r="T721">
        <f>IF(OR(S721="M",S721="I"),"H",S721)</f>
        <v>0</v>
      </c>
      <c r="U721">
        <f>INDEX(StudentTargets,MATCH(B721,KidIDs,0))</f>
        <v>0</v>
      </c>
      <c r="V721">
        <f>INDEX(ReachStudentTargets,MATCH(B721,KidIDs,0))</f>
        <v>0</v>
      </c>
      <c r="W721">
        <f>IF(OR(M721="Posse"),1,0)</f>
        <v>0</v>
      </c>
      <c r="X721">
        <f>IF(ISNUMBER(INDEX(AllCollegeGR, MATCH(N721,AllCollegeNCES,0))),ROUND(INDEX(AllCollegeGR, MATCH(N721,AllCollegeNCES,0))+W721*IF(INDEX(AllCollegeGR, MATCH(N721,AllCollegeNCES,0))&gt;0.7,(1-INDEX(AllCollegeGR, MATCH(N721,AllCollegeNCES,0)))/2,0.15),2),INDEX(AllCollegeGR, MATCH(N721,AllCollegeNCES,0)))</f>
        <v>0</v>
      </c>
      <c r="Y721">
        <f>IF(ISNUMBER(INDEX(AllCollegeAAHGR, MATCH(N721,AllCollegeNCES,0))),ROUND(INDEX(AllCollegeAAHGR, MATCH(N721,AllCollegeNCES,0))+W721*IF(INDEX(AllCollegeAAHGR, MATCH(N721,AllCollegeNCES,0))&gt;0.7,(1-INDEX(AllCollegeAAHGR, MATCH(N721,AllCollegeNCES,0)))/2,0.15),2),INDEX(AllCollegeAAHGR, MATCH(N721,AllCollegeNCES,0)))</f>
        <v>0</v>
      </c>
      <c r="Z721">
        <f>IF(OR(T721="H",T721="B"),INDEX(AllCollegeACT25, MATCH(N721,AllCollegeNCES,0)),INDEX(AllCollegeACT50, MATCH(N721,AllCollegeNCES,0)))</f>
        <v>0</v>
      </c>
      <c r="AA721">
        <f>INDEX(CustomWeightsGPA,MATCH(T721&amp;":"&amp;N721,CustomWeightsIndex,0))</f>
        <v>0</v>
      </c>
      <c r="AB721">
        <f>INDEX(CustomWeightsACT,MATCH(T721&amp;":"&amp;N721,CustomWeightsIndex,0))</f>
        <v>0</v>
      </c>
      <c r="AC721">
        <f>INDEX(CustomWeightsIntercept,MATCH(T721&amp;":"&amp;N721,CustomWeightsIndex,0))</f>
        <v>0</v>
      </c>
      <c r="AD721">
        <f>AA721*P721+AB721*Q721+AC721</f>
        <v>0</v>
      </c>
      <c r="AE721">
        <f>INDEX(CoefficientsGPA,MATCH(T721&amp;":"&amp;O721,CoefficientsIndex,0))</f>
        <v>0</v>
      </c>
      <c r="AF721">
        <f>INDEX(CoefficientsACT,MATCH(T721&amp;":"&amp;O721,CoefficientsIndex,0))</f>
        <v>0</v>
      </c>
      <c r="AG721">
        <f>INDEX(CoefficientsIntercept,MATCH(T721&amp;":"&amp;O721,CoefficientsIndex,0))</f>
        <v>0</v>
      </c>
      <c r="AH721">
        <f>AE721*P721+(Q721-Z721)*AF721+AG721</f>
        <v>0</v>
      </c>
      <c r="AI721">
        <f>IF(ISNUMBER(AD721),AD721,AH721)</f>
        <v>0</v>
      </c>
      <c r="AJ721">
        <f>IF(ISNUMBER(AI721),IF(ISNUMBER(AE721),IF(AND(AE721=1,AF721=1,AG721=1),100,ROUND(100*EXP(AI721)/(1+EXP(AI721)),2)),ROUND(100*EXP(AI721)/(1+EXP(AI721)),2)),IF(ISTEXT(O721),IF(LEFT(O721,1)="2",100,"N/A"),"N/A"))</f>
        <v>0</v>
      </c>
      <c r="AK721">
        <f>IF(ISNUMBER(AJ721),IF(AJ721&gt;=99,IF(OR(R721=10,R721=11),MatchLabel,SureThingLabel),IF(AJ721&gt;=95,SecureLabel,IF(AJ721&gt;=80,SafetyLabel,IF(AJ721&gt;=50,MatchLabel,IF(AJ721&gt;=20,ReachLabel,IF(AJ721&gt;=10,LongshotLabel,HailMaryLabel)))))),"Other")</f>
        <v>0</v>
      </c>
      <c r="AL721">
        <f>IF(OR(I721="accepted",I721="cond. accept",I721="summer admit"),IF(J721="yes","CHOICE!","Accepted!"),IF(I721="denied","Denied",IF(K721=1,"Waitlist",IF(L721=1,"Deferred",IF(G721="pending","Pending",IF(OR(G721="initial materials submitted",G721="mid-year submitted",G721="final submitted"),"Submitted",IF(H721="interest","Interest","?")))))))</f>
        <v>0</v>
      </c>
      <c r="AM721">
        <f>IF(OR(AK721=ReachLabel,AK721=LongshotLabel,AK721=HailMaryLabel),1,0)</f>
        <v>0</v>
      </c>
      <c r="AN721">
        <f>IF(OR(AM721=1,AK721=MatchLabel),1,0)</f>
        <v>0</v>
      </c>
      <c r="AO721">
        <f>IF(OR(AK721=MatchLabel,AK721=SafetyLabel,AK721=SecureLabel,AK721=SureThingLabel),1,0)</f>
        <v>0</v>
      </c>
      <c r="AP721">
        <f>IF(OR(T721="H",T721="B"),IF(ISNUMBER(Y721),ROUND(Y721,2),0),IF(ISNUMBER(X721),ROUND(X721,2),0))</f>
        <v>0</v>
      </c>
      <c r="AQ721">
        <f>IF(AP721&gt;=U721,1,0)</f>
        <v>0</v>
      </c>
      <c r="AR721">
        <f>IF(AP721&gt;=V721,1,0)</f>
        <v>0</v>
      </c>
      <c r="AS721">
        <f>IF(AP721&lt;(U721-0.10),1,0)</f>
        <v>0</v>
      </c>
      <c r="AT721">
        <f>1-AJ721/100</f>
        <v>0</v>
      </c>
      <c r="AU721">
        <f>IF(AN721=1,AT721,1)</f>
        <v>0</v>
      </c>
      <c r="AV721">
        <f>IF(AM721=1,AT721,1)</f>
        <v>0</v>
      </c>
      <c r="AW721">
        <f>IF(AND(AQ721=1,ISNUMBER(AT721)),$AT721,1)</f>
        <v>0</v>
      </c>
      <c r="AX721">
        <f>IF(AND(AR721=1,ISNUMBER(AT721)),$AT721,1)</f>
        <v>0</v>
      </c>
      <c r="AY721">
        <f>IF(ISNUMBER(Y721),INDEX(AllCollegeMoney, MATCH(N721,AllCollegeNCES,0)),0)</f>
        <v>0</v>
      </c>
      <c r="AZ721">
        <f>IF(AND(AQ721=1,ISNUMBER(AT721),AY721=1),$AT721,1)</f>
        <v>0</v>
      </c>
      <c r="BA721">
        <f>IF(AND(AR721=1,ISNUMBER(AT721),AY721=1),$AT721,1)</f>
        <v>0</v>
      </c>
      <c r="BB721">
        <f>IF(ISNUMBER(Y721),INDEX(AllCollegeILPub, MATCH(N721,AllCollegeNCES,0)),0)</f>
        <v>0</v>
      </c>
      <c r="BC721">
        <f>IF(AK721=ReachLabel,AP721,0)</f>
        <v>0</v>
      </c>
      <c r="BD721">
        <f>IF(AK721=MatchLabel,AP721,0)</f>
        <v>0</v>
      </c>
      <c r="BE721">
        <f>IF(AK721=SafetyLabel,AP721,0)</f>
        <v>0</v>
      </c>
      <c r="BF721">
        <f>IF(AK721=SecureLabel,AP721,0)</f>
        <v>0</v>
      </c>
      <c r="BG721">
        <f>IF(AK721=SureThingLabel,AP721,0)</f>
        <v>0</v>
      </c>
      <c r="BH721">
        <f>MAX(BC721:BG721)</f>
        <v>0</v>
      </c>
      <c r="BI721">
        <f>MAX(BD721:BG721)</f>
        <v>0</v>
      </c>
      <c r="BJ721">
        <f>MAX(BE721:BG721)</f>
        <v>0</v>
      </c>
      <c r="BK721">
        <f>IF(AND(AK721=ReachLabel,AY721=1),AP721,0)</f>
        <v>0</v>
      </c>
      <c r="BL721">
        <f>IF(AND(AK721=MatchLabel,AY721=1),AP721,0)</f>
        <v>0</v>
      </c>
      <c r="BM721">
        <f>IF(AND(AK721=SafetyLabel,AY721=1),AP721,0)</f>
        <v>0</v>
      </c>
      <c r="BN721">
        <f>IF(AND(AK721=SecureLabel,AY721=1),AP721,0)</f>
        <v>0</v>
      </c>
      <c r="BO721">
        <f>IF(AND(AK721=SureThingLabel,AY721=1),AP721,0)</f>
        <v>0</v>
      </c>
      <c r="BP721">
        <f>MAX(BK721:BO721)</f>
        <v>0</v>
      </c>
      <c r="BQ721">
        <f>MAX(BL721:BO721)</f>
        <v>0</v>
      </c>
      <c r="BR721">
        <f>MAX(BM721:BO721)</f>
        <v>0</v>
      </c>
      <c r="BS721">
        <f>IF(ISNUMBER(Y721),INDEX(AllCollegeChicago, MATCH(N721,AllCollegeNCES,0))*AY721,0)</f>
        <v>0</v>
      </c>
      <c r="BT721">
        <f>IF(ISNUMBER(Y721),INDEX(AllCollegeMoneyCode, MATCH(N721,AllCollegeNCES,0)),"?")</f>
        <v>0</v>
      </c>
      <c r="BU721">
        <f>IF(OR(BT721="---",BT721="--",BT721="+/--",BT721="+/---"),1,0)</f>
        <v>0</v>
      </c>
      <c r="BV721">
        <f>AY721*AO721*AQ721</f>
        <v>0</v>
      </c>
    </row>
    <row r="722" spans="1:74">
      <c r="A722" t="s">
        <v>86</v>
      </c>
      <c r="B722">
        <v>30280677</v>
      </c>
      <c r="C722" t="s">
        <v>296</v>
      </c>
      <c r="D722" t="s">
        <v>297</v>
      </c>
      <c r="E722" t="s">
        <v>428</v>
      </c>
      <c r="F722" t="s">
        <v>437</v>
      </c>
      <c r="G722" t="s">
        <v>430</v>
      </c>
      <c r="H722" t="s">
        <v>431</v>
      </c>
      <c r="I722" t="s">
        <v>432</v>
      </c>
      <c r="J722" t="s">
        <v>432</v>
      </c>
      <c r="K722">
        <v>0</v>
      </c>
      <c r="L722" t="s">
        <v>428</v>
      </c>
      <c r="M722" t="s">
        <v>428</v>
      </c>
      <c r="N722">
        <v>149772</v>
      </c>
      <c r="O722">
        <f>INDEX(AllCollegeBarrons,MATCH(N722,AllCollegeNCES,0))</f>
        <v>0</v>
      </c>
      <c r="P722">
        <f>INDEX(KidGPAs,MATCH(B722,KidIDs,0))</f>
        <v>0</v>
      </c>
      <c r="Q722">
        <f>INDEX(KidACTs,MATCH(B722,KidIDs,0))</f>
        <v>0</v>
      </c>
      <c r="R722">
        <f>INDEX(Strats,MATCH(B722,KidIDs,0))</f>
        <v>0</v>
      </c>
      <c r="S722">
        <f>INDEX(KidRace,MATCH(B722,KidIDs,0))</f>
        <v>0</v>
      </c>
      <c r="T722">
        <f>IF(OR(S722="M",S722="I"),"H",S722)</f>
        <v>0</v>
      </c>
      <c r="U722">
        <f>INDEX(StudentTargets,MATCH(B722,KidIDs,0))</f>
        <v>0</v>
      </c>
      <c r="V722">
        <f>INDEX(ReachStudentTargets,MATCH(B722,KidIDs,0))</f>
        <v>0</v>
      </c>
      <c r="W722">
        <f>IF(OR(M722="Posse"),1,0)</f>
        <v>0</v>
      </c>
      <c r="X722">
        <f>IF(ISNUMBER(INDEX(AllCollegeGR, MATCH(N722,AllCollegeNCES,0))),ROUND(INDEX(AllCollegeGR, MATCH(N722,AllCollegeNCES,0))+W722*IF(INDEX(AllCollegeGR, MATCH(N722,AllCollegeNCES,0))&gt;0.7,(1-INDEX(AllCollegeGR, MATCH(N722,AllCollegeNCES,0)))/2,0.15),2),INDEX(AllCollegeGR, MATCH(N722,AllCollegeNCES,0)))</f>
        <v>0</v>
      </c>
      <c r="Y722">
        <f>IF(ISNUMBER(INDEX(AllCollegeAAHGR, MATCH(N722,AllCollegeNCES,0))),ROUND(INDEX(AllCollegeAAHGR, MATCH(N722,AllCollegeNCES,0))+W722*IF(INDEX(AllCollegeAAHGR, MATCH(N722,AllCollegeNCES,0))&gt;0.7,(1-INDEX(AllCollegeAAHGR, MATCH(N722,AllCollegeNCES,0)))/2,0.15),2),INDEX(AllCollegeAAHGR, MATCH(N722,AllCollegeNCES,0)))</f>
        <v>0</v>
      </c>
      <c r="Z722">
        <f>IF(OR(T722="H",T722="B"),INDEX(AllCollegeACT25, MATCH(N722,AllCollegeNCES,0)),INDEX(AllCollegeACT50, MATCH(N722,AllCollegeNCES,0)))</f>
        <v>0</v>
      </c>
      <c r="AA722">
        <f>INDEX(CustomWeightsGPA,MATCH(T722&amp;":"&amp;N722,CustomWeightsIndex,0))</f>
        <v>0</v>
      </c>
      <c r="AB722">
        <f>INDEX(CustomWeightsACT,MATCH(T722&amp;":"&amp;N722,CustomWeightsIndex,0))</f>
        <v>0</v>
      </c>
      <c r="AC722">
        <f>INDEX(CustomWeightsIntercept,MATCH(T722&amp;":"&amp;N722,CustomWeightsIndex,0))</f>
        <v>0</v>
      </c>
      <c r="AD722">
        <f>AA722*P722+AB722*Q722+AC722</f>
        <v>0</v>
      </c>
      <c r="AE722">
        <f>INDEX(CoefficientsGPA,MATCH(T722&amp;":"&amp;O722,CoefficientsIndex,0))</f>
        <v>0</v>
      </c>
      <c r="AF722">
        <f>INDEX(CoefficientsACT,MATCH(T722&amp;":"&amp;O722,CoefficientsIndex,0))</f>
        <v>0</v>
      </c>
      <c r="AG722">
        <f>INDEX(CoefficientsIntercept,MATCH(T722&amp;":"&amp;O722,CoefficientsIndex,0))</f>
        <v>0</v>
      </c>
      <c r="AH722">
        <f>AE722*P722+(Q722-Z722)*AF722+AG722</f>
        <v>0</v>
      </c>
      <c r="AI722">
        <f>IF(ISNUMBER(AD722),AD722,AH722)</f>
        <v>0</v>
      </c>
      <c r="AJ722">
        <f>IF(ISNUMBER(AI722),IF(ISNUMBER(AE722),IF(AND(AE722=1,AF722=1,AG722=1),100,ROUND(100*EXP(AI722)/(1+EXP(AI722)),2)),ROUND(100*EXP(AI722)/(1+EXP(AI722)),2)),IF(ISTEXT(O722),IF(LEFT(O722,1)="2",100,"N/A"),"N/A"))</f>
        <v>0</v>
      </c>
      <c r="AK722">
        <f>IF(ISNUMBER(AJ722),IF(AJ722&gt;=99,IF(OR(R722=10,R722=11),MatchLabel,SureThingLabel),IF(AJ722&gt;=95,SecureLabel,IF(AJ722&gt;=80,SafetyLabel,IF(AJ722&gt;=50,MatchLabel,IF(AJ722&gt;=20,ReachLabel,IF(AJ722&gt;=10,LongshotLabel,HailMaryLabel)))))),"Other")</f>
        <v>0</v>
      </c>
      <c r="AL722">
        <f>IF(OR(I722="accepted",I722="cond. accept",I722="summer admit"),IF(J722="yes","CHOICE!","Accepted!"),IF(I722="denied","Denied",IF(K722=1,"Waitlist",IF(L722=1,"Deferred",IF(G722="pending","Pending",IF(OR(G722="initial materials submitted",G722="mid-year submitted",G722="final submitted"),"Submitted",IF(H722="interest","Interest","?")))))))</f>
        <v>0</v>
      </c>
      <c r="AM722">
        <f>IF(OR(AK722=ReachLabel,AK722=LongshotLabel,AK722=HailMaryLabel),1,0)</f>
        <v>0</v>
      </c>
      <c r="AN722">
        <f>IF(OR(AM722=1,AK722=MatchLabel),1,0)</f>
        <v>0</v>
      </c>
      <c r="AO722">
        <f>IF(OR(AK722=MatchLabel,AK722=SafetyLabel,AK722=SecureLabel,AK722=SureThingLabel),1,0)</f>
        <v>0</v>
      </c>
      <c r="AP722">
        <f>IF(OR(T722="H",T722="B"),IF(ISNUMBER(Y722),ROUND(Y722,2),0),IF(ISNUMBER(X722),ROUND(X722,2),0))</f>
        <v>0</v>
      </c>
      <c r="AQ722">
        <f>IF(AP722&gt;=U722,1,0)</f>
        <v>0</v>
      </c>
      <c r="AR722">
        <f>IF(AP722&gt;=V722,1,0)</f>
        <v>0</v>
      </c>
      <c r="AS722">
        <f>IF(AP722&lt;(U722-0.10),1,0)</f>
        <v>0</v>
      </c>
      <c r="AT722">
        <f>1-AJ722/100</f>
        <v>0</v>
      </c>
      <c r="AU722">
        <f>IF(AN722=1,AT722,1)</f>
        <v>0</v>
      </c>
      <c r="AV722">
        <f>IF(AM722=1,AT722,1)</f>
        <v>0</v>
      </c>
      <c r="AW722">
        <f>IF(AND(AQ722=1,ISNUMBER(AT722)),$AT722,1)</f>
        <v>0</v>
      </c>
      <c r="AX722">
        <f>IF(AND(AR722=1,ISNUMBER(AT722)),$AT722,1)</f>
        <v>0</v>
      </c>
      <c r="AY722">
        <f>IF(ISNUMBER(Y722),INDEX(AllCollegeMoney, MATCH(N722,AllCollegeNCES,0)),0)</f>
        <v>0</v>
      </c>
      <c r="AZ722">
        <f>IF(AND(AQ722=1,ISNUMBER(AT722),AY722=1),$AT722,1)</f>
        <v>0</v>
      </c>
      <c r="BA722">
        <f>IF(AND(AR722=1,ISNUMBER(AT722),AY722=1),$AT722,1)</f>
        <v>0</v>
      </c>
      <c r="BB722">
        <f>IF(ISNUMBER(Y722),INDEX(AllCollegeILPub, MATCH(N722,AllCollegeNCES,0)),0)</f>
        <v>0</v>
      </c>
      <c r="BC722">
        <f>IF(AK722=ReachLabel,AP722,0)</f>
        <v>0</v>
      </c>
      <c r="BD722">
        <f>IF(AK722=MatchLabel,AP722,0)</f>
        <v>0</v>
      </c>
      <c r="BE722">
        <f>IF(AK722=SafetyLabel,AP722,0)</f>
        <v>0</v>
      </c>
      <c r="BF722">
        <f>IF(AK722=SecureLabel,AP722,0)</f>
        <v>0</v>
      </c>
      <c r="BG722">
        <f>IF(AK722=SureThingLabel,AP722,0)</f>
        <v>0</v>
      </c>
      <c r="BH722">
        <f>MAX(BC722:BG722)</f>
        <v>0</v>
      </c>
      <c r="BI722">
        <f>MAX(BD722:BG722)</f>
        <v>0</v>
      </c>
      <c r="BJ722">
        <f>MAX(BE722:BG722)</f>
        <v>0</v>
      </c>
      <c r="BK722">
        <f>IF(AND(AK722=ReachLabel,AY722=1),AP722,0)</f>
        <v>0</v>
      </c>
      <c r="BL722">
        <f>IF(AND(AK722=MatchLabel,AY722=1),AP722,0)</f>
        <v>0</v>
      </c>
      <c r="BM722">
        <f>IF(AND(AK722=SafetyLabel,AY722=1),AP722,0)</f>
        <v>0</v>
      </c>
      <c r="BN722">
        <f>IF(AND(AK722=SecureLabel,AY722=1),AP722,0)</f>
        <v>0</v>
      </c>
      <c r="BO722">
        <f>IF(AND(AK722=SureThingLabel,AY722=1),AP722,0)</f>
        <v>0</v>
      </c>
      <c r="BP722">
        <f>MAX(BK722:BO722)</f>
        <v>0</v>
      </c>
      <c r="BQ722">
        <f>MAX(BL722:BO722)</f>
        <v>0</v>
      </c>
      <c r="BR722">
        <f>MAX(BM722:BO722)</f>
        <v>0</v>
      </c>
      <c r="BS722">
        <f>IF(ISNUMBER(Y722),INDEX(AllCollegeChicago, MATCH(N722,AllCollegeNCES,0))*AY722,0)</f>
        <v>0</v>
      </c>
      <c r="BT722">
        <f>IF(ISNUMBER(Y722),INDEX(AllCollegeMoneyCode, MATCH(N722,AllCollegeNCES,0)),"?")</f>
        <v>0</v>
      </c>
      <c r="BU722">
        <f>IF(OR(BT722="---",BT722="--",BT722="+/--",BT722="+/---"),1,0)</f>
        <v>0</v>
      </c>
      <c r="BV722">
        <f>AY722*AO722*AQ722</f>
        <v>0</v>
      </c>
    </row>
    <row r="723" spans="1:74">
      <c r="A723" t="s">
        <v>86</v>
      </c>
      <c r="B723">
        <v>30280677</v>
      </c>
      <c r="C723" t="s">
        <v>296</v>
      </c>
      <c r="D723" t="s">
        <v>297</v>
      </c>
      <c r="E723" t="s">
        <v>428</v>
      </c>
      <c r="F723" t="s">
        <v>438</v>
      </c>
      <c r="G723" t="s">
        <v>430</v>
      </c>
      <c r="H723" t="s">
        <v>431</v>
      </c>
      <c r="I723" t="s">
        <v>432</v>
      </c>
      <c r="J723" t="s">
        <v>432</v>
      </c>
      <c r="K723">
        <v>0</v>
      </c>
      <c r="L723" t="s">
        <v>428</v>
      </c>
      <c r="M723" t="s">
        <v>439</v>
      </c>
      <c r="N723">
        <v>150774</v>
      </c>
      <c r="O723">
        <f>INDEX(AllCollegeBarrons,MATCH(N723,AllCollegeNCES,0))</f>
        <v>0</v>
      </c>
      <c r="P723">
        <f>INDEX(KidGPAs,MATCH(B723,KidIDs,0))</f>
        <v>0</v>
      </c>
      <c r="Q723">
        <f>INDEX(KidACTs,MATCH(B723,KidIDs,0))</f>
        <v>0</v>
      </c>
      <c r="R723">
        <f>INDEX(Strats,MATCH(B723,KidIDs,0))</f>
        <v>0</v>
      </c>
      <c r="S723">
        <f>INDEX(KidRace,MATCH(B723,KidIDs,0))</f>
        <v>0</v>
      </c>
      <c r="T723">
        <f>IF(OR(S723="M",S723="I"),"H",S723)</f>
        <v>0</v>
      </c>
      <c r="U723">
        <f>INDEX(StudentTargets,MATCH(B723,KidIDs,0))</f>
        <v>0</v>
      </c>
      <c r="V723">
        <f>INDEX(ReachStudentTargets,MATCH(B723,KidIDs,0))</f>
        <v>0</v>
      </c>
      <c r="W723">
        <f>IF(OR(M723="Posse"),1,0)</f>
        <v>0</v>
      </c>
      <c r="X723">
        <f>IF(ISNUMBER(INDEX(AllCollegeGR, MATCH(N723,AllCollegeNCES,0))),ROUND(INDEX(AllCollegeGR, MATCH(N723,AllCollegeNCES,0))+W723*IF(INDEX(AllCollegeGR, MATCH(N723,AllCollegeNCES,0))&gt;0.7,(1-INDEX(AllCollegeGR, MATCH(N723,AllCollegeNCES,0)))/2,0.15),2),INDEX(AllCollegeGR, MATCH(N723,AllCollegeNCES,0)))</f>
        <v>0</v>
      </c>
      <c r="Y723">
        <f>IF(ISNUMBER(INDEX(AllCollegeAAHGR, MATCH(N723,AllCollegeNCES,0))),ROUND(INDEX(AllCollegeAAHGR, MATCH(N723,AllCollegeNCES,0))+W723*IF(INDEX(AllCollegeAAHGR, MATCH(N723,AllCollegeNCES,0))&gt;0.7,(1-INDEX(AllCollegeAAHGR, MATCH(N723,AllCollegeNCES,0)))/2,0.15),2),INDEX(AllCollegeAAHGR, MATCH(N723,AllCollegeNCES,0)))</f>
        <v>0</v>
      </c>
      <c r="Z723">
        <f>IF(OR(T723="H",T723="B"),INDEX(AllCollegeACT25, MATCH(N723,AllCollegeNCES,0)),INDEX(AllCollegeACT50, MATCH(N723,AllCollegeNCES,0)))</f>
        <v>0</v>
      </c>
      <c r="AA723">
        <f>INDEX(CustomWeightsGPA,MATCH(T723&amp;":"&amp;N723,CustomWeightsIndex,0))</f>
        <v>0</v>
      </c>
      <c r="AB723">
        <f>INDEX(CustomWeightsACT,MATCH(T723&amp;":"&amp;N723,CustomWeightsIndex,0))</f>
        <v>0</v>
      </c>
      <c r="AC723">
        <f>INDEX(CustomWeightsIntercept,MATCH(T723&amp;":"&amp;N723,CustomWeightsIndex,0))</f>
        <v>0</v>
      </c>
      <c r="AD723">
        <f>AA723*P723+AB723*Q723+AC723</f>
        <v>0</v>
      </c>
      <c r="AE723">
        <f>INDEX(CoefficientsGPA,MATCH(T723&amp;":"&amp;O723,CoefficientsIndex,0))</f>
        <v>0</v>
      </c>
      <c r="AF723">
        <f>INDEX(CoefficientsACT,MATCH(T723&amp;":"&amp;O723,CoefficientsIndex,0))</f>
        <v>0</v>
      </c>
      <c r="AG723">
        <f>INDEX(CoefficientsIntercept,MATCH(T723&amp;":"&amp;O723,CoefficientsIndex,0))</f>
        <v>0</v>
      </c>
      <c r="AH723">
        <f>AE723*P723+(Q723-Z723)*AF723+AG723</f>
        <v>0</v>
      </c>
      <c r="AI723">
        <f>IF(ISNUMBER(AD723),AD723,AH723)</f>
        <v>0</v>
      </c>
      <c r="AJ723">
        <f>IF(ISNUMBER(AI723),IF(ISNUMBER(AE723),IF(AND(AE723=1,AF723=1,AG723=1),100,ROUND(100*EXP(AI723)/(1+EXP(AI723)),2)),ROUND(100*EXP(AI723)/(1+EXP(AI723)),2)),IF(ISTEXT(O723),IF(LEFT(O723,1)="2",100,"N/A"),"N/A"))</f>
        <v>0</v>
      </c>
      <c r="AK723">
        <f>IF(ISNUMBER(AJ723),IF(AJ723&gt;=99,IF(OR(R723=10,R723=11),MatchLabel,SureThingLabel),IF(AJ723&gt;=95,SecureLabel,IF(AJ723&gt;=80,SafetyLabel,IF(AJ723&gt;=50,MatchLabel,IF(AJ723&gt;=20,ReachLabel,IF(AJ723&gt;=10,LongshotLabel,HailMaryLabel)))))),"Other")</f>
        <v>0</v>
      </c>
      <c r="AL723">
        <f>IF(OR(I723="accepted",I723="cond. accept",I723="summer admit"),IF(J723="yes","CHOICE!","Accepted!"),IF(I723="denied","Denied",IF(K723=1,"Waitlist",IF(L723=1,"Deferred",IF(G723="pending","Pending",IF(OR(G723="initial materials submitted",G723="mid-year submitted",G723="final submitted"),"Submitted",IF(H723="interest","Interest","?")))))))</f>
        <v>0</v>
      </c>
      <c r="AM723">
        <f>IF(OR(AK723=ReachLabel,AK723=LongshotLabel,AK723=HailMaryLabel),1,0)</f>
        <v>0</v>
      </c>
      <c r="AN723">
        <f>IF(OR(AM723=1,AK723=MatchLabel),1,0)</f>
        <v>0</v>
      </c>
      <c r="AO723">
        <f>IF(OR(AK723=MatchLabel,AK723=SafetyLabel,AK723=SecureLabel,AK723=SureThingLabel),1,0)</f>
        <v>0</v>
      </c>
      <c r="AP723">
        <f>IF(OR(T723="H",T723="B"),IF(ISNUMBER(Y723),ROUND(Y723,2),0),IF(ISNUMBER(X723),ROUND(X723,2),0))</f>
        <v>0</v>
      </c>
      <c r="AQ723">
        <f>IF(AP723&gt;=U723,1,0)</f>
        <v>0</v>
      </c>
      <c r="AR723">
        <f>IF(AP723&gt;=V723,1,0)</f>
        <v>0</v>
      </c>
      <c r="AS723">
        <f>IF(AP723&lt;(U723-0.10),1,0)</f>
        <v>0</v>
      </c>
      <c r="AT723">
        <f>1-AJ723/100</f>
        <v>0</v>
      </c>
      <c r="AU723">
        <f>IF(AN723=1,AT723,1)</f>
        <v>0</v>
      </c>
      <c r="AV723">
        <f>IF(AM723=1,AT723,1)</f>
        <v>0</v>
      </c>
      <c r="AW723">
        <f>IF(AND(AQ723=1,ISNUMBER(AT723)),$AT723,1)</f>
        <v>0</v>
      </c>
      <c r="AX723">
        <f>IF(AND(AR723=1,ISNUMBER(AT723)),$AT723,1)</f>
        <v>0</v>
      </c>
      <c r="AY723">
        <f>IF(ISNUMBER(Y723),INDEX(AllCollegeMoney, MATCH(N723,AllCollegeNCES,0)),0)</f>
        <v>0</v>
      </c>
      <c r="AZ723">
        <f>IF(AND(AQ723=1,ISNUMBER(AT723),AY723=1),$AT723,1)</f>
        <v>0</v>
      </c>
      <c r="BA723">
        <f>IF(AND(AR723=1,ISNUMBER(AT723),AY723=1),$AT723,1)</f>
        <v>0</v>
      </c>
      <c r="BB723">
        <f>IF(ISNUMBER(Y723),INDEX(AllCollegeILPub, MATCH(N723,AllCollegeNCES,0)),0)</f>
        <v>0</v>
      </c>
      <c r="BC723">
        <f>IF(AK723=ReachLabel,AP723,0)</f>
        <v>0</v>
      </c>
      <c r="BD723">
        <f>IF(AK723=MatchLabel,AP723,0)</f>
        <v>0</v>
      </c>
      <c r="BE723">
        <f>IF(AK723=SafetyLabel,AP723,0)</f>
        <v>0</v>
      </c>
      <c r="BF723">
        <f>IF(AK723=SecureLabel,AP723,0)</f>
        <v>0</v>
      </c>
      <c r="BG723">
        <f>IF(AK723=SureThingLabel,AP723,0)</f>
        <v>0</v>
      </c>
      <c r="BH723">
        <f>MAX(BC723:BG723)</f>
        <v>0</v>
      </c>
      <c r="BI723">
        <f>MAX(BD723:BG723)</f>
        <v>0</v>
      </c>
      <c r="BJ723">
        <f>MAX(BE723:BG723)</f>
        <v>0</v>
      </c>
      <c r="BK723">
        <f>IF(AND(AK723=ReachLabel,AY723=1),AP723,0)</f>
        <v>0</v>
      </c>
      <c r="BL723">
        <f>IF(AND(AK723=MatchLabel,AY723=1),AP723,0)</f>
        <v>0</v>
      </c>
      <c r="BM723">
        <f>IF(AND(AK723=SafetyLabel,AY723=1),AP723,0)</f>
        <v>0</v>
      </c>
      <c r="BN723">
        <f>IF(AND(AK723=SecureLabel,AY723=1),AP723,0)</f>
        <v>0</v>
      </c>
      <c r="BO723">
        <f>IF(AND(AK723=SureThingLabel,AY723=1),AP723,0)</f>
        <v>0</v>
      </c>
      <c r="BP723">
        <f>MAX(BK723:BO723)</f>
        <v>0</v>
      </c>
      <c r="BQ723">
        <f>MAX(BL723:BO723)</f>
        <v>0</v>
      </c>
      <c r="BR723">
        <f>MAX(BM723:BO723)</f>
        <v>0</v>
      </c>
      <c r="BS723">
        <f>IF(ISNUMBER(Y723),INDEX(AllCollegeChicago, MATCH(N723,AllCollegeNCES,0))*AY723,0)</f>
        <v>0</v>
      </c>
      <c r="BT723">
        <f>IF(ISNUMBER(Y723),INDEX(AllCollegeMoneyCode, MATCH(N723,AllCollegeNCES,0)),"?")</f>
        <v>0</v>
      </c>
      <c r="BU723">
        <f>IF(OR(BT723="---",BT723="--",BT723="+/--",BT723="+/---"),1,0)</f>
        <v>0</v>
      </c>
      <c r="BV723">
        <f>AY723*AO723*AQ723</f>
        <v>0</v>
      </c>
    </row>
    <row r="724" spans="1:74">
      <c r="A724" t="s">
        <v>86</v>
      </c>
      <c r="B724">
        <v>30280677</v>
      </c>
      <c r="C724" t="s">
        <v>296</v>
      </c>
      <c r="D724" t="s">
        <v>297</v>
      </c>
      <c r="E724" t="s">
        <v>428</v>
      </c>
      <c r="F724" t="s">
        <v>452</v>
      </c>
      <c r="G724" t="s">
        <v>430</v>
      </c>
      <c r="H724" t="s">
        <v>431</v>
      </c>
      <c r="I724" t="s">
        <v>432</v>
      </c>
      <c r="J724" t="s">
        <v>432</v>
      </c>
      <c r="K724">
        <v>0</v>
      </c>
      <c r="L724" t="s">
        <v>428</v>
      </c>
      <c r="M724" t="s">
        <v>439</v>
      </c>
      <c r="N724">
        <v>154493</v>
      </c>
      <c r="O724">
        <f>INDEX(AllCollegeBarrons,MATCH(N724,AllCollegeNCES,0))</f>
        <v>0</v>
      </c>
      <c r="P724">
        <f>INDEX(KidGPAs,MATCH(B724,KidIDs,0))</f>
        <v>0</v>
      </c>
      <c r="Q724">
        <f>INDEX(KidACTs,MATCH(B724,KidIDs,0))</f>
        <v>0</v>
      </c>
      <c r="R724">
        <f>INDEX(Strats,MATCH(B724,KidIDs,0))</f>
        <v>0</v>
      </c>
      <c r="S724">
        <f>INDEX(KidRace,MATCH(B724,KidIDs,0))</f>
        <v>0</v>
      </c>
      <c r="T724">
        <f>IF(OR(S724="M",S724="I"),"H",S724)</f>
        <v>0</v>
      </c>
      <c r="U724">
        <f>INDEX(StudentTargets,MATCH(B724,KidIDs,0))</f>
        <v>0</v>
      </c>
      <c r="V724">
        <f>INDEX(ReachStudentTargets,MATCH(B724,KidIDs,0))</f>
        <v>0</v>
      </c>
      <c r="W724">
        <f>IF(OR(M724="Posse"),1,0)</f>
        <v>0</v>
      </c>
      <c r="X724">
        <f>IF(ISNUMBER(INDEX(AllCollegeGR, MATCH(N724,AllCollegeNCES,0))),ROUND(INDEX(AllCollegeGR, MATCH(N724,AllCollegeNCES,0))+W724*IF(INDEX(AllCollegeGR, MATCH(N724,AllCollegeNCES,0))&gt;0.7,(1-INDEX(AllCollegeGR, MATCH(N724,AllCollegeNCES,0)))/2,0.15),2),INDEX(AllCollegeGR, MATCH(N724,AllCollegeNCES,0)))</f>
        <v>0</v>
      </c>
      <c r="Y724">
        <f>IF(ISNUMBER(INDEX(AllCollegeAAHGR, MATCH(N724,AllCollegeNCES,0))),ROUND(INDEX(AllCollegeAAHGR, MATCH(N724,AllCollegeNCES,0))+W724*IF(INDEX(AllCollegeAAHGR, MATCH(N724,AllCollegeNCES,0))&gt;0.7,(1-INDEX(AllCollegeAAHGR, MATCH(N724,AllCollegeNCES,0)))/2,0.15),2),INDEX(AllCollegeAAHGR, MATCH(N724,AllCollegeNCES,0)))</f>
        <v>0</v>
      </c>
      <c r="Z724">
        <f>IF(OR(T724="H",T724="B"),INDEX(AllCollegeACT25, MATCH(N724,AllCollegeNCES,0)),INDEX(AllCollegeACT50, MATCH(N724,AllCollegeNCES,0)))</f>
        <v>0</v>
      </c>
      <c r="AA724">
        <f>INDEX(CustomWeightsGPA,MATCH(T724&amp;":"&amp;N724,CustomWeightsIndex,0))</f>
        <v>0</v>
      </c>
      <c r="AB724">
        <f>INDEX(CustomWeightsACT,MATCH(T724&amp;":"&amp;N724,CustomWeightsIndex,0))</f>
        <v>0</v>
      </c>
      <c r="AC724">
        <f>INDEX(CustomWeightsIntercept,MATCH(T724&amp;":"&amp;N724,CustomWeightsIndex,0))</f>
        <v>0</v>
      </c>
      <c r="AD724">
        <f>AA724*P724+AB724*Q724+AC724</f>
        <v>0</v>
      </c>
      <c r="AE724">
        <f>INDEX(CoefficientsGPA,MATCH(T724&amp;":"&amp;O724,CoefficientsIndex,0))</f>
        <v>0</v>
      </c>
      <c r="AF724">
        <f>INDEX(CoefficientsACT,MATCH(T724&amp;":"&amp;O724,CoefficientsIndex,0))</f>
        <v>0</v>
      </c>
      <c r="AG724">
        <f>INDEX(CoefficientsIntercept,MATCH(T724&amp;":"&amp;O724,CoefficientsIndex,0))</f>
        <v>0</v>
      </c>
      <c r="AH724">
        <f>AE724*P724+(Q724-Z724)*AF724+AG724</f>
        <v>0</v>
      </c>
      <c r="AI724">
        <f>IF(ISNUMBER(AD724),AD724,AH724)</f>
        <v>0</v>
      </c>
      <c r="AJ724">
        <f>IF(ISNUMBER(AI724),IF(ISNUMBER(AE724),IF(AND(AE724=1,AF724=1,AG724=1),100,ROUND(100*EXP(AI724)/(1+EXP(AI724)),2)),ROUND(100*EXP(AI724)/(1+EXP(AI724)),2)),IF(ISTEXT(O724),IF(LEFT(O724,1)="2",100,"N/A"),"N/A"))</f>
        <v>0</v>
      </c>
      <c r="AK724">
        <f>IF(ISNUMBER(AJ724),IF(AJ724&gt;=99,IF(OR(R724=10,R724=11),MatchLabel,SureThingLabel),IF(AJ724&gt;=95,SecureLabel,IF(AJ724&gt;=80,SafetyLabel,IF(AJ724&gt;=50,MatchLabel,IF(AJ724&gt;=20,ReachLabel,IF(AJ724&gt;=10,LongshotLabel,HailMaryLabel)))))),"Other")</f>
        <v>0</v>
      </c>
      <c r="AL724">
        <f>IF(OR(I724="accepted",I724="cond. accept",I724="summer admit"),IF(J724="yes","CHOICE!","Accepted!"),IF(I724="denied","Denied",IF(K724=1,"Waitlist",IF(L724=1,"Deferred",IF(G724="pending","Pending",IF(OR(G724="initial materials submitted",G724="mid-year submitted",G724="final submitted"),"Submitted",IF(H724="interest","Interest","?")))))))</f>
        <v>0</v>
      </c>
      <c r="AM724">
        <f>IF(OR(AK724=ReachLabel,AK724=LongshotLabel,AK724=HailMaryLabel),1,0)</f>
        <v>0</v>
      </c>
      <c r="AN724">
        <f>IF(OR(AM724=1,AK724=MatchLabel),1,0)</f>
        <v>0</v>
      </c>
      <c r="AO724">
        <f>IF(OR(AK724=MatchLabel,AK724=SafetyLabel,AK724=SecureLabel,AK724=SureThingLabel),1,0)</f>
        <v>0</v>
      </c>
      <c r="AP724">
        <f>IF(OR(T724="H",T724="B"),IF(ISNUMBER(Y724),ROUND(Y724,2),0),IF(ISNUMBER(X724),ROUND(X724,2),0))</f>
        <v>0</v>
      </c>
      <c r="AQ724">
        <f>IF(AP724&gt;=U724,1,0)</f>
        <v>0</v>
      </c>
      <c r="AR724">
        <f>IF(AP724&gt;=V724,1,0)</f>
        <v>0</v>
      </c>
      <c r="AS724">
        <f>IF(AP724&lt;(U724-0.10),1,0)</f>
        <v>0</v>
      </c>
      <c r="AT724">
        <f>1-AJ724/100</f>
        <v>0</v>
      </c>
      <c r="AU724">
        <f>IF(AN724=1,AT724,1)</f>
        <v>0</v>
      </c>
      <c r="AV724">
        <f>IF(AM724=1,AT724,1)</f>
        <v>0</v>
      </c>
      <c r="AW724">
        <f>IF(AND(AQ724=1,ISNUMBER(AT724)),$AT724,1)</f>
        <v>0</v>
      </c>
      <c r="AX724">
        <f>IF(AND(AR724=1,ISNUMBER(AT724)),$AT724,1)</f>
        <v>0</v>
      </c>
      <c r="AY724">
        <f>IF(ISNUMBER(Y724),INDEX(AllCollegeMoney, MATCH(N724,AllCollegeNCES,0)),0)</f>
        <v>0</v>
      </c>
      <c r="AZ724">
        <f>IF(AND(AQ724=1,ISNUMBER(AT724),AY724=1),$AT724,1)</f>
        <v>0</v>
      </c>
      <c r="BA724">
        <f>IF(AND(AR724=1,ISNUMBER(AT724),AY724=1),$AT724,1)</f>
        <v>0</v>
      </c>
      <c r="BB724">
        <f>IF(ISNUMBER(Y724),INDEX(AllCollegeILPub, MATCH(N724,AllCollegeNCES,0)),0)</f>
        <v>0</v>
      </c>
      <c r="BC724">
        <f>IF(AK724=ReachLabel,AP724,0)</f>
        <v>0</v>
      </c>
      <c r="BD724">
        <f>IF(AK724=MatchLabel,AP724,0)</f>
        <v>0</v>
      </c>
      <c r="BE724">
        <f>IF(AK724=SafetyLabel,AP724,0)</f>
        <v>0</v>
      </c>
      <c r="BF724">
        <f>IF(AK724=SecureLabel,AP724,0)</f>
        <v>0</v>
      </c>
      <c r="BG724">
        <f>IF(AK724=SureThingLabel,AP724,0)</f>
        <v>0</v>
      </c>
      <c r="BH724">
        <f>MAX(BC724:BG724)</f>
        <v>0</v>
      </c>
      <c r="BI724">
        <f>MAX(BD724:BG724)</f>
        <v>0</v>
      </c>
      <c r="BJ724">
        <f>MAX(BE724:BG724)</f>
        <v>0</v>
      </c>
      <c r="BK724">
        <f>IF(AND(AK724=ReachLabel,AY724=1),AP724,0)</f>
        <v>0</v>
      </c>
      <c r="BL724">
        <f>IF(AND(AK724=MatchLabel,AY724=1),AP724,0)</f>
        <v>0</v>
      </c>
      <c r="BM724">
        <f>IF(AND(AK724=SafetyLabel,AY724=1),AP724,0)</f>
        <v>0</v>
      </c>
      <c r="BN724">
        <f>IF(AND(AK724=SecureLabel,AY724=1),AP724,0)</f>
        <v>0</v>
      </c>
      <c r="BO724">
        <f>IF(AND(AK724=SureThingLabel,AY724=1),AP724,0)</f>
        <v>0</v>
      </c>
      <c r="BP724">
        <f>MAX(BK724:BO724)</f>
        <v>0</v>
      </c>
      <c r="BQ724">
        <f>MAX(BL724:BO724)</f>
        <v>0</v>
      </c>
      <c r="BR724">
        <f>MAX(BM724:BO724)</f>
        <v>0</v>
      </c>
      <c r="BS724">
        <f>IF(ISNUMBER(Y724),INDEX(AllCollegeChicago, MATCH(N724,AllCollegeNCES,0))*AY724,0)</f>
        <v>0</v>
      </c>
      <c r="BT724">
        <f>IF(ISNUMBER(Y724),INDEX(AllCollegeMoneyCode, MATCH(N724,AllCollegeNCES,0)),"?")</f>
        <v>0</v>
      </c>
      <c r="BU724">
        <f>IF(OR(BT724="---",BT724="--",BT724="+/--",BT724="+/---"),1,0)</f>
        <v>0</v>
      </c>
      <c r="BV724">
        <f>AY724*AO724*AQ724</f>
        <v>0</v>
      </c>
    </row>
    <row r="725" spans="1:74">
      <c r="A725" t="s">
        <v>86</v>
      </c>
      <c r="B725">
        <v>30280677</v>
      </c>
      <c r="C725" t="s">
        <v>296</v>
      </c>
      <c r="D725" t="s">
        <v>297</v>
      </c>
      <c r="E725" t="s">
        <v>428</v>
      </c>
      <c r="F725" t="s">
        <v>488</v>
      </c>
      <c r="G725" t="s">
        <v>430</v>
      </c>
      <c r="H725" t="s">
        <v>431</v>
      </c>
      <c r="I725" t="s">
        <v>432</v>
      </c>
      <c r="J725" t="s">
        <v>432</v>
      </c>
      <c r="K725">
        <v>0</v>
      </c>
      <c r="L725" t="s">
        <v>428</v>
      </c>
      <c r="M725" t="s">
        <v>428</v>
      </c>
      <c r="N725">
        <v>149231</v>
      </c>
      <c r="O725">
        <f>INDEX(AllCollegeBarrons,MATCH(N725,AllCollegeNCES,0))</f>
        <v>0</v>
      </c>
      <c r="P725">
        <f>INDEX(KidGPAs,MATCH(B725,KidIDs,0))</f>
        <v>0</v>
      </c>
      <c r="Q725">
        <f>INDEX(KidACTs,MATCH(B725,KidIDs,0))</f>
        <v>0</v>
      </c>
      <c r="R725">
        <f>INDEX(Strats,MATCH(B725,KidIDs,0))</f>
        <v>0</v>
      </c>
      <c r="S725">
        <f>INDEX(KidRace,MATCH(B725,KidIDs,0))</f>
        <v>0</v>
      </c>
      <c r="T725">
        <f>IF(OR(S725="M",S725="I"),"H",S725)</f>
        <v>0</v>
      </c>
      <c r="U725">
        <f>INDEX(StudentTargets,MATCH(B725,KidIDs,0))</f>
        <v>0</v>
      </c>
      <c r="V725">
        <f>INDEX(ReachStudentTargets,MATCH(B725,KidIDs,0))</f>
        <v>0</v>
      </c>
      <c r="W725">
        <f>IF(OR(M725="Posse"),1,0)</f>
        <v>0</v>
      </c>
      <c r="X725">
        <f>IF(ISNUMBER(INDEX(AllCollegeGR, MATCH(N725,AllCollegeNCES,0))),ROUND(INDEX(AllCollegeGR, MATCH(N725,AllCollegeNCES,0))+W725*IF(INDEX(AllCollegeGR, MATCH(N725,AllCollegeNCES,0))&gt;0.7,(1-INDEX(AllCollegeGR, MATCH(N725,AllCollegeNCES,0)))/2,0.15),2),INDEX(AllCollegeGR, MATCH(N725,AllCollegeNCES,0)))</f>
        <v>0</v>
      </c>
      <c r="Y725">
        <f>IF(ISNUMBER(INDEX(AllCollegeAAHGR, MATCH(N725,AllCollegeNCES,0))),ROUND(INDEX(AllCollegeAAHGR, MATCH(N725,AllCollegeNCES,0))+W725*IF(INDEX(AllCollegeAAHGR, MATCH(N725,AllCollegeNCES,0))&gt;0.7,(1-INDEX(AllCollegeAAHGR, MATCH(N725,AllCollegeNCES,0)))/2,0.15),2),INDEX(AllCollegeAAHGR, MATCH(N725,AllCollegeNCES,0)))</f>
        <v>0</v>
      </c>
      <c r="Z725">
        <f>IF(OR(T725="H",T725="B"),INDEX(AllCollegeACT25, MATCH(N725,AllCollegeNCES,0)),INDEX(AllCollegeACT50, MATCH(N725,AllCollegeNCES,0)))</f>
        <v>0</v>
      </c>
      <c r="AA725">
        <f>INDEX(CustomWeightsGPA,MATCH(T725&amp;":"&amp;N725,CustomWeightsIndex,0))</f>
        <v>0</v>
      </c>
      <c r="AB725">
        <f>INDEX(CustomWeightsACT,MATCH(T725&amp;":"&amp;N725,CustomWeightsIndex,0))</f>
        <v>0</v>
      </c>
      <c r="AC725">
        <f>INDEX(CustomWeightsIntercept,MATCH(T725&amp;":"&amp;N725,CustomWeightsIndex,0))</f>
        <v>0</v>
      </c>
      <c r="AD725">
        <f>AA725*P725+AB725*Q725+AC725</f>
        <v>0</v>
      </c>
      <c r="AE725">
        <f>INDEX(CoefficientsGPA,MATCH(T725&amp;":"&amp;O725,CoefficientsIndex,0))</f>
        <v>0</v>
      </c>
      <c r="AF725">
        <f>INDEX(CoefficientsACT,MATCH(T725&amp;":"&amp;O725,CoefficientsIndex,0))</f>
        <v>0</v>
      </c>
      <c r="AG725">
        <f>INDEX(CoefficientsIntercept,MATCH(T725&amp;":"&amp;O725,CoefficientsIndex,0))</f>
        <v>0</v>
      </c>
      <c r="AH725">
        <f>AE725*P725+(Q725-Z725)*AF725+AG725</f>
        <v>0</v>
      </c>
      <c r="AI725">
        <f>IF(ISNUMBER(AD725),AD725,AH725)</f>
        <v>0</v>
      </c>
      <c r="AJ725">
        <f>IF(ISNUMBER(AI725),IF(ISNUMBER(AE725),IF(AND(AE725=1,AF725=1,AG725=1),100,ROUND(100*EXP(AI725)/(1+EXP(AI725)),2)),ROUND(100*EXP(AI725)/(1+EXP(AI725)),2)),IF(ISTEXT(O725),IF(LEFT(O725,1)="2",100,"N/A"),"N/A"))</f>
        <v>0</v>
      </c>
      <c r="AK725">
        <f>IF(ISNUMBER(AJ725),IF(AJ725&gt;=99,IF(OR(R725=10,R725=11),MatchLabel,SureThingLabel),IF(AJ725&gt;=95,SecureLabel,IF(AJ725&gt;=80,SafetyLabel,IF(AJ725&gt;=50,MatchLabel,IF(AJ725&gt;=20,ReachLabel,IF(AJ725&gt;=10,LongshotLabel,HailMaryLabel)))))),"Other")</f>
        <v>0</v>
      </c>
      <c r="AL725">
        <f>IF(OR(I725="accepted",I725="cond. accept",I725="summer admit"),IF(J725="yes","CHOICE!","Accepted!"),IF(I725="denied","Denied",IF(K725=1,"Waitlist",IF(L725=1,"Deferred",IF(G725="pending","Pending",IF(OR(G725="initial materials submitted",G725="mid-year submitted",G725="final submitted"),"Submitted",IF(H725="interest","Interest","?")))))))</f>
        <v>0</v>
      </c>
      <c r="AM725">
        <f>IF(OR(AK725=ReachLabel,AK725=LongshotLabel,AK725=HailMaryLabel),1,0)</f>
        <v>0</v>
      </c>
      <c r="AN725">
        <f>IF(OR(AM725=1,AK725=MatchLabel),1,0)</f>
        <v>0</v>
      </c>
      <c r="AO725">
        <f>IF(OR(AK725=MatchLabel,AK725=SafetyLabel,AK725=SecureLabel,AK725=SureThingLabel),1,0)</f>
        <v>0</v>
      </c>
      <c r="AP725">
        <f>IF(OR(T725="H",T725="B"),IF(ISNUMBER(Y725),ROUND(Y725,2),0),IF(ISNUMBER(X725),ROUND(X725,2),0))</f>
        <v>0</v>
      </c>
      <c r="AQ725">
        <f>IF(AP725&gt;=U725,1,0)</f>
        <v>0</v>
      </c>
      <c r="AR725">
        <f>IF(AP725&gt;=V725,1,0)</f>
        <v>0</v>
      </c>
      <c r="AS725">
        <f>IF(AP725&lt;(U725-0.10),1,0)</f>
        <v>0</v>
      </c>
      <c r="AT725">
        <f>1-AJ725/100</f>
        <v>0</v>
      </c>
      <c r="AU725">
        <f>IF(AN725=1,AT725,1)</f>
        <v>0</v>
      </c>
      <c r="AV725">
        <f>IF(AM725=1,AT725,1)</f>
        <v>0</v>
      </c>
      <c r="AW725">
        <f>IF(AND(AQ725=1,ISNUMBER(AT725)),$AT725,1)</f>
        <v>0</v>
      </c>
      <c r="AX725">
        <f>IF(AND(AR725=1,ISNUMBER(AT725)),$AT725,1)</f>
        <v>0</v>
      </c>
      <c r="AY725">
        <f>IF(ISNUMBER(Y725),INDEX(AllCollegeMoney, MATCH(N725,AllCollegeNCES,0)),0)</f>
        <v>0</v>
      </c>
      <c r="AZ725">
        <f>IF(AND(AQ725=1,ISNUMBER(AT725),AY725=1),$AT725,1)</f>
        <v>0</v>
      </c>
      <c r="BA725">
        <f>IF(AND(AR725=1,ISNUMBER(AT725),AY725=1),$AT725,1)</f>
        <v>0</v>
      </c>
      <c r="BB725">
        <f>IF(ISNUMBER(Y725),INDEX(AllCollegeILPub, MATCH(N725,AllCollegeNCES,0)),0)</f>
        <v>0</v>
      </c>
      <c r="BC725">
        <f>IF(AK725=ReachLabel,AP725,0)</f>
        <v>0</v>
      </c>
      <c r="BD725">
        <f>IF(AK725=MatchLabel,AP725,0)</f>
        <v>0</v>
      </c>
      <c r="BE725">
        <f>IF(AK725=SafetyLabel,AP725,0)</f>
        <v>0</v>
      </c>
      <c r="BF725">
        <f>IF(AK725=SecureLabel,AP725,0)</f>
        <v>0</v>
      </c>
      <c r="BG725">
        <f>IF(AK725=SureThingLabel,AP725,0)</f>
        <v>0</v>
      </c>
      <c r="BH725">
        <f>MAX(BC725:BG725)</f>
        <v>0</v>
      </c>
      <c r="BI725">
        <f>MAX(BD725:BG725)</f>
        <v>0</v>
      </c>
      <c r="BJ725">
        <f>MAX(BE725:BG725)</f>
        <v>0</v>
      </c>
      <c r="BK725">
        <f>IF(AND(AK725=ReachLabel,AY725=1),AP725,0)</f>
        <v>0</v>
      </c>
      <c r="BL725">
        <f>IF(AND(AK725=MatchLabel,AY725=1),AP725,0)</f>
        <v>0</v>
      </c>
      <c r="BM725">
        <f>IF(AND(AK725=SafetyLabel,AY725=1),AP725,0)</f>
        <v>0</v>
      </c>
      <c r="BN725">
        <f>IF(AND(AK725=SecureLabel,AY725=1),AP725,0)</f>
        <v>0</v>
      </c>
      <c r="BO725">
        <f>IF(AND(AK725=SureThingLabel,AY725=1),AP725,0)</f>
        <v>0</v>
      </c>
      <c r="BP725">
        <f>MAX(BK725:BO725)</f>
        <v>0</v>
      </c>
      <c r="BQ725">
        <f>MAX(BL725:BO725)</f>
        <v>0</v>
      </c>
      <c r="BR725">
        <f>MAX(BM725:BO725)</f>
        <v>0</v>
      </c>
      <c r="BS725">
        <f>IF(ISNUMBER(Y725),INDEX(AllCollegeChicago, MATCH(N725,AllCollegeNCES,0))*AY725,0)</f>
        <v>0</v>
      </c>
      <c r="BT725">
        <f>IF(ISNUMBER(Y725),INDEX(AllCollegeMoneyCode, MATCH(N725,AllCollegeNCES,0)),"?")</f>
        <v>0</v>
      </c>
      <c r="BU725">
        <f>IF(OR(BT725="---",BT725="--",BT725="+/--",BT725="+/---"),1,0)</f>
        <v>0</v>
      </c>
      <c r="BV725">
        <f>AY725*AO725*AQ725</f>
        <v>0</v>
      </c>
    </row>
    <row r="726" spans="1:74">
      <c r="A726" t="s">
        <v>86</v>
      </c>
      <c r="B726">
        <v>30280677</v>
      </c>
      <c r="C726" t="s">
        <v>296</v>
      </c>
      <c r="D726" t="s">
        <v>297</v>
      </c>
      <c r="E726" t="s">
        <v>428</v>
      </c>
      <c r="F726" t="s">
        <v>443</v>
      </c>
      <c r="G726" t="s">
        <v>430</v>
      </c>
      <c r="H726" t="s">
        <v>431</v>
      </c>
      <c r="I726" t="s">
        <v>432</v>
      </c>
      <c r="J726" t="s">
        <v>432</v>
      </c>
      <c r="K726">
        <v>0</v>
      </c>
      <c r="L726" t="s">
        <v>428</v>
      </c>
      <c r="M726" t="s">
        <v>428</v>
      </c>
      <c r="N726">
        <v>144209</v>
      </c>
      <c r="O726">
        <f>INDEX(AllCollegeBarrons,MATCH(N726,AllCollegeNCES,0))</f>
        <v>0</v>
      </c>
      <c r="P726">
        <f>INDEX(KidGPAs,MATCH(B726,KidIDs,0))</f>
        <v>0</v>
      </c>
      <c r="Q726">
        <f>INDEX(KidACTs,MATCH(B726,KidIDs,0))</f>
        <v>0</v>
      </c>
      <c r="R726">
        <f>INDEX(Strats,MATCH(B726,KidIDs,0))</f>
        <v>0</v>
      </c>
      <c r="S726">
        <f>INDEX(KidRace,MATCH(B726,KidIDs,0))</f>
        <v>0</v>
      </c>
      <c r="T726">
        <f>IF(OR(S726="M",S726="I"),"H",S726)</f>
        <v>0</v>
      </c>
      <c r="U726">
        <f>INDEX(StudentTargets,MATCH(B726,KidIDs,0))</f>
        <v>0</v>
      </c>
      <c r="V726">
        <f>INDEX(ReachStudentTargets,MATCH(B726,KidIDs,0))</f>
        <v>0</v>
      </c>
      <c r="W726">
        <f>IF(OR(M726="Posse"),1,0)</f>
        <v>0</v>
      </c>
      <c r="X726">
        <f>IF(ISNUMBER(INDEX(AllCollegeGR, MATCH(N726,AllCollegeNCES,0))),ROUND(INDEX(AllCollegeGR, MATCH(N726,AllCollegeNCES,0))+W726*IF(INDEX(AllCollegeGR, MATCH(N726,AllCollegeNCES,0))&gt;0.7,(1-INDEX(AllCollegeGR, MATCH(N726,AllCollegeNCES,0)))/2,0.15),2),INDEX(AllCollegeGR, MATCH(N726,AllCollegeNCES,0)))</f>
        <v>0</v>
      </c>
      <c r="Y726">
        <f>IF(ISNUMBER(INDEX(AllCollegeAAHGR, MATCH(N726,AllCollegeNCES,0))),ROUND(INDEX(AllCollegeAAHGR, MATCH(N726,AllCollegeNCES,0))+W726*IF(INDEX(AllCollegeAAHGR, MATCH(N726,AllCollegeNCES,0))&gt;0.7,(1-INDEX(AllCollegeAAHGR, MATCH(N726,AllCollegeNCES,0)))/2,0.15),2),INDEX(AllCollegeAAHGR, MATCH(N726,AllCollegeNCES,0)))</f>
        <v>0</v>
      </c>
      <c r="Z726">
        <f>IF(OR(T726="H",T726="B"),INDEX(AllCollegeACT25, MATCH(N726,AllCollegeNCES,0)),INDEX(AllCollegeACT50, MATCH(N726,AllCollegeNCES,0)))</f>
        <v>0</v>
      </c>
      <c r="AA726">
        <f>INDEX(CustomWeightsGPA,MATCH(T726&amp;":"&amp;N726,CustomWeightsIndex,0))</f>
        <v>0</v>
      </c>
      <c r="AB726">
        <f>INDEX(CustomWeightsACT,MATCH(T726&amp;":"&amp;N726,CustomWeightsIndex,0))</f>
        <v>0</v>
      </c>
      <c r="AC726">
        <f>INDEX(CustomWeightsIntercept,MATCH(T726&amp;":"&amp;N726,CustomWeightsIndex,0))</f>
        <v>0</v>
      </c>
      <c r="AD726">
        <f>AA726*P726+AB726*Q726+AC726</f>
        <v>0</v>
      </c>
      <c r="AE726">
        <f>INDEX(CoefficientsGPA,MATCH(T726&amp;":"&amp;O726,CoefficientsIndex,0))</f>
        <v>0</v>
      </c>
      <c r="AF726">
        <f>INDEX(CoefficientsACT,MATCH(T726&amp;":"&amp;O726,CoefficientsIndex,0))</f>
        <v>0</v>
      </c>
      <c r="AG726">
        <f>INDEX(CoefficientsIntercept,MATCH(T726&amp;":"&amp;O726,CoefficientsIndex,0))</f>
        <v>0</v>
      </c>
      <c r="AH726">
        <f>AE726*P726+(Q726-Z726)*AF726+AG726</f>
        <v>0</v>
      </c>
      <c r="AI726">
        <f>IF(ISNUMBER(AD726),AD726,AH726)</f>
        <v>0</v>
      </c>
      <c r="AJ726">
        <f>IF(ISNUMBER(AI726),IF(ISNUMBER(AE726),IF(AND(AE726=1,AF726=1,AG726=1),100,ROUND(100*EXP(AI726)/(1+EXP(AI726)),2)),ROUND(100*EXP(AI726)/(1+EXP(AI726)),2)),IF(ISTEXT(O726),IF(LEFT(O726,1)="2",100,"N/A"),"N/A"))</f>
        <v>0</v>
      </c>
      <c r="AK726">
        <f>IF(ISNUMBER(AJ726),IF(AJ726&gt;=99,IF(OR(R726=10,R726=11),MatchLabel,SureThingLabel),IF(AJ726&gt;=95,SecureLabel,IF(AJ726&gt;=80,SafetyLabel,IF(AJ726&gt;=50,MatchLabel,IF(AJ726&gt;=20,ReachLabel,IF(AJ726&gt;=10,LongshotLabel,HailMaryLabel)))))),"Other")</f>
        <v>0</v>
      </c>
      <c r="AL726">
        <f>IF(OR(I726="accepted",I726="cond. accept",I726="summer admit"),IF(J726="yes","CHOICE!","Accepted!"),IF(I726="denied","Denied",IF(K726=1,"Waitlist",IF(L726=1,"Deferred",IF(G726="pending","Pending",IF(OR(G726="initial materials submitted",G726="mid-year submitted",G726="final submitted"),"Submitted",IF(H726="interest","Interest","?")))))))</f>
        <v>0</v>
      </c>
      <c r="AM726">
        <f>IF(OR(AK726=ReachLabel,AK726=LongshotLabel,AK726=HailMaryLabel),1,0)</f>
        <v>0</v>
      </c>
      <c r="AN726">
        <f>IF(OR(AM726=1,AK726=MatchLabel),1,0)</f>
        <v>0</v>
      </c>
      <c r="AO726">
        <f>IF(OR(AK726=MatchLabel,AK726=SafetyLabel,AK726=SecureLabel,AK726=SureThingLabel),1,0)</f>
        <v>0</v>
      </c>
      <c r="AP726">
        <f>IF(OR(T726="H",T726="B"),IF(ISNUMBER(Y726),ROUND(Y726,2),0),IF(ISNUMBER(X726),ROUND(X726,2),0))</f>
        <v>0</v>
      </c>
      <c r="AQ726">
        <f>IF(AP726&gt;=U726,1,0)</f>
        <v>0</v>
      </c>
      <c r="AR726">
        <f>IF(AP726&gt;=V726,1,0)</f>
        <v>0</v>
      </c>
      <c r="AS726">
        <f>IF(AP726&lt;(U726-0.10),1,0)</f>
        <v>0</v>
      </c>
      <c r="AT726">
        <f>1-AJ726/100</f>
        <v>0</v>
      </c>
      <c r="AU726">
        <f>IF(AN726=1,AT726,1)</f>
        <v>0</v>
      </c>
      <c r="AV726">
        <f>IF(AM726=1,AT726,1)</f>
        <v>0</v>
      </c>
      <c r="AW726">
        <f>IF(AND(AQ726=1,ISNUMBER(AT726)),$AT726,1)</f>
        <v>0</v>
      </c>
      <c r="AX726">
        <f>IF(AND(AR726=1,ISNUMBER(AT726)),$AT726,1)</f>
        <v>0</v>
      </c>
      <c r="AY726">
        <f>IF(ISNUMBER(Y726),INDEX(AllCollegeMoney, MATCH(N726,AllCollegeNCES,0)),0)</f>
        <v>0</v>
      </c>
      <c r="AZ726">
        <f>IF(AND(AQ726=1,ISNUMBER(AT726),AY726=1),$AT726,1)</f>
        <v>0</v>
      </c>
      <c r="BA726">
        <f>IF(AND(AR726=1,ISNUMBER(AT726),AY726=1),$AT726,1)</f>
        <v>0</v>
      </c>
      <c r="BB726">
        <f>IF(ISNUMBER(Y726),INDEX(AllCollegeILPub, MATCH(N726,AllCollegeNCES,0)),0)</f>
        <v>0</v>
      </c>
      <c r="BC726">
        <f>IF(AK726=ReachLabel,AP726,0)</f>
        <v>0</v>
      </c>
      <c r="BD726">
        <f>IF(AK726=MatchLabel,AP726,0)</f>
        <v>0</v>
      </c>
      <c r="BE726">
        <f>IF(AK726=SafetyLabel,AP726,0)</f>
        <v>0</v>
      </c>
      <c r="BF726">
        <f>IF(AK726=SecureLabel,AP726,0)</f>
        <v>0</v>
      </c>
      <c r="BG726">
        <f>IF(AK726=SureThingLabel,AP726,0)</f>
        <v>0</v>
      </c>
      <c r="BH726">
        <f>MAX(BC726:BG726)</f>
        <v>0</v>
      </c>
      <c r="BI726">
        <f>MAX(BD726:BG726)</f>
        <v>0</v>
      </c>
      <c r="BJ726">
        <f>MAX(BE726:BG726)</f>
        <v>0</v>
      </c>
      <c r="BK726">
        <f>IF(AND(AK726=ReachLabel,AY726=1),AP726,0)</f>
        <v>0</v>
      </c>
      <c r="BL726">
        <f>IF(AND(AK726=MatchLabel,AY726=1),AP726,0)</f>
        <v>0</v>
      </c>
      <c r="BM726">
        <f>IF(AND(AK726=SafetyLabel,AY726=1),AP726,0)</f>
        <v>0</v>
      </c>
      <c r="BN726">
        <f>IF(AND(AK726=SecureLabel,AY726=1),AP726,0)</f>
        <v>0</v>
      </c>
      <c r="BO726">
        <f>IF(AND(AK726=SureThingLabel,AY726=1),AP726,0)</f>
        <v>0</v>
      </c>
      <c r="BP726">
        <f>MAX(BK726:BO726)</f>
        <v>0</v>
      </c>
      <c r="BQ726">
        <f>MAX(BL726:BO726)</f>
        <v>0</v>
      </c>
      <c r="BR726">
        <f>MAX(BM726:BO726)</f>
        <v>0</v>
      </c>
      <c r="BS726">
        <f>IF(ISNUMBER(Y726),INDEX(AllCollegeChicago, MATCH(N726,AllCollegeNCES,0))*AY726,0)</f>
        <v>0</v>
      </c>
      <c r="BT726">
        <f>IF(ISNUMBER(Y726),INDEX(AllCollegeMoneyCode, MATCH(N726,AllCollegeNCES,0)),"?")</f>
        <v>0</v>
      </c>
      <c r="BU726">
        <f>IF(OR(BT726="---",BT726="--",BT726="+/--",BT726="+/---"),1,0)</f>
        <v>0</v>
      </c>
      <c r="BV726">
        <f>AY726*AO726*AQ726</f>
        <v>0</v>
      </c>
    </row>
    <row r="727" spans="1:74">
      <c r="A727" t="s">
        <v>86</v>
      </c>
      <c r="B727">
        <v>30313392</v>
      </c>
      <c r="C727" t="s">
        <v>224</v>
      </c>
      <c r="D727" t="s">
        <v>225</v>
      </c>
      <c r="E727" t="s">
        <v>428</v>
      </c>
      <c r="F727" t="s">
        <v>433</v>
      </c>
      <c r="G727" t="s">
        <v>430</v>
      </c>
      <c r="H727" t="s">
        <v>431</v>
      </c>
      <c r="I727" t="s">
        <v>432</v>
      </c>
      <c r="J727" t="s">
        <v>432</v>
      </c>
      <c r="K727">
        <v>0</v>
      </c>
      <c r="L727" t="s">
        <v>428</v>
      </c>
      <c r="M727" t="s">
        <v>428</v>
      </c>
      <c r="N727">
        <v>148496</v>
      </c>
      <c r="O727">
        <f>INDEX(AllCollegeBarrons,MATCH(N727,AllCollegeNCES,0))</f>
        <v>0</v>
      </c>
      <c r="P727">
        <f>INDEX(KidGPAs,MATCH(B727,KidIDs,0))</f>
        <v>0</v>
      </c>
      <c r="Q727">
        <f>INDEX(KidACTs,MATCH(B727,KidIDs,0))</f>
        <v>0</v>
      </c>
      <c r="R727">
        <f>INDEX(Strats,MATCH(B727,KidIDs,0))</f>
        <v>0</v>
      </c>
      <c r="S727">
        <f>INDEX(KidRace,MATCH(B727,KidIDs,0))</f>
        <v>0</v>
      </c>
      <c r="T727">
        <f>IF(OR(S727="M",S727="I"),"H",S727)</f>
        <v>0</v>
      </c>
      <c r="U727">
        <f>INDEX(StudentTargets,MATCH(B727,KidIDs,0))</f>
        <v>0</v>
      </c>
      <c r="V727">
        <f>INDEX(ReachStudentTargets,MATCH(B727,KidIDs,0))</f>
        <v>0</v>
      </c>
      <c r="W727">
        <f>IF(OR(M727="Posse"),1,0)</f>
        <v>0</v>
      </c>
      <c r="X727">
        <f>IF(ISNUMBER(INDEX(AllCollegeGR, MATCH(N727,AllCollegeNCES,0))),ROUND(INDEX(AllCollegeGR, MATCH(N727,AllCollegeNCES,0))+W727*IF(INDEX(AllCollegeGR, MATCH(N727,AllCollegeNCES,0))&gt;0.7,(1-INDEX(AllCollegeGR, MATCH(N727,AllCollegeNCES,0)))/2,0.15),2),INDEX(AllCollegeGR, MATCH(N727,AllCollegeNCES,0)))</f>
        <v>0</v>
      </c>
      <c r="Y727">
        <f>IF(ISNUMBER(INDEX(AllCollegeAAHGR, MATCH(N727,AllCollegeNCES,0))),ROUND(INDEX(AllCollegeAAHGR, MATCH(N727,AllCollegeNCES,0))+W727*IF(INDEX(AllCollegeAAHGR, MATCH(N727,AllCollegeNCES,0))&gt;0.7,(1-INDEX(AllCollegeAAHGR, MATCH(N727,AllCollegeNCES,0)))/2,0.15),2),INDEX(AllCollegeAAHGR, MATCH(N727,AllCollegeNCES,0)))</f>
        <v>0</v>
      </c>
      <c r="Z727">
        <f>IF(OR(T727="H",T727="B"),INDEX(AllCollegeACT25, MATCH(N727,AllCollegeNCES,0)),INDEX(AllCollegeACT50, MATCH(N727,AllCollegeNCES,0)))</f>
        <v>0</v>
      </c>
      <c r="AA727">
        <f>INDEX(CustomWeightsGPA,MATCH(T727&amp;":"&amp;N727,CustomWeightsIndex,0))</f>
        <v>0</v>
      </c>
      <c r="AB727">
        <f>INDEX(CustomWeightsACT,MATCH(T727&amp;":"&amp;N727,CustomWeightsIndex,0))</f>
        <v>0</v>
      </c>
      <c r="AC727">
        <f>INDEX(CustomWeightsIntercept,MATCH(T727&amp;":"&amp;N727,CustomWeightsIndex,0))</f>
        <v>0</v>
      </c>
      <c r="AD727">
        <f>AA727*P727+AB727*Q727+AC727</f>
        <v>0</v>
      </c>
      <c r="AE727">
        <f>INDEX(CoefficientsGPA,MATCH(T727&amp;":"&amp;O727,CoefficientsIndex,0))</f>
        <v>0</v>
      </c>
      <c r="AF727">
        <f>INDEX(CoefficientsACT,MATCH(T727&amp;":"&amp;O727,CoefficientsIndex,0))</f>
        <v>0</v>
      </c>
      <c r="AG727">
        <f>INDEX(CoefficientsIntercept,MATCH(T727&amp;":"&amp;O727,CoefficientsIndex,0))</f>
        <v>0</v>
      </c>
      <c r="AH727">
        <f>AE727*P727+(Q727-Z727)*AF727+AG727</f>
        <v>0</v>
      </c>
      <c r="AI727">
        <f>IF(ISNUMBER(AD727),AD727,AH727)</f>
        <v>0</v>
      </c>
      <c r="AJ727">
        <f>IF(ISNUMBER(AI727),IF(ISNUMBER(AE727),IF(AND(AE727=1,AF727=1,AG727=1),100,ROUND(100*EXP(AI727)/(1+EXP(AI727)),2)),ROUND(100*EXP(AI727)/(1+EXP(AI727)),2)),IF(ISTEXT(O727),IF(LEFT(O727,1)="2",100,"N/A"),"N/A"))</f>
        <v>0</v>
      </c>
      <c r="AK727">
        <f>IF(ISNUMBER(AJ727),IF(AJ727&gt;=99,IF(OR(R727=10,R727=11),MatchLabel,SureThingLabel),IF(AJ727&gt;=95,SecureLabel,IF(AJ727&gt;=80,SafetyLabel,IF(AJ727&gt;=50,MatchLabel,IF(AJ727&gt;=20,ReachLabel,IF(AJ727&gt;=10,LongshotLabel,HailMaryLabel)))))),"Other")</f>
        <v>0</v>
      </c>
      <c r="AL727">
        <f>IF(OR(I727="accepted",I727="cond. accept",I727="summer admit"),IF(J727="yes","CHOICE!","Accepted!"),IF(I727="denied","Denied",IF(K727=1,"Waitlist",IF(L727=1,"Deferred",IF(G727="pending","Pending",IF(OR(G727="initial materials submitted",G727="mid-year submitted",G727="final submitted"),"Submitted",IF(H727="interest","Interest","?")))))))</f>
        <v>0</v>
      </c>
      <c r="AM727">
        <f>IF(OR(AK727=ReachLabel,AK727=LongshotLabel,AK727=HailMaryLabel),1,0)</f>
        <v>0</v>
      </c>
      <c r="AN727">
        <f>IF(OR(AM727=1,AK727=MatchLabel),1,0)</f>
        <v>0</v>
      </c>
      <c r="AO727">
        <f>IF(OR(AK727=MatchLabel,AK727=SafetyLabel,AK727=SecureLabel,AK727=SureThingLabel),1,0)</f>
        <v>0</v>
      </c>
      <c r="AP727">
        <f>IF(OR(T727="H",T727="B"),IF(ISNUMBER(Y727),ROUND(Y727,2),0),IF(ISNUMBER(X727),ROUND(X727,2),0))</f>
        <v>0</v>
      </c>
      <c r="AQ727">
        <f>IF(AP727&gt;=U727,1,0)</f>
        <v>0</v>
      </c>
      <c r="AR727">
        <f>IF(AP727&gt;=V727,1,0)</f>
        <v>0</v>
      </c>
      <c r="AS727">
        <f>IF(AP727&lt;(U727-0.10),1,0)</f>
        <v>0</v>
      </c>
      <c r="AT727">
        <f>1-AJ727/100</f>
        <v>0</v>
      </c>
      <c r="AU727">
        <f>IF(AN727=1,AT727,1)</f>
        <v>0</v>
      </c>
      <c r="AV727">
        <f>IF(AM727=1,AT727,1)</f>
        <v>0</v>
      </c>
      <c r="AW727">
        <f>IF(AND(AQ727=1,ISNUMBER(AT727)),$AT727,1)</f>
        <v>0</v>
      </c>
      <c r="AX727">
        <f>IF(AND(AR727=1,ISNUMBER(AT727)),$AT727,1)</f>
        <v>0</v>
      </c>
      <c r="AY727">
        <f>IF(ISNUMBER(Y727),INDEX(AllCollegeMoney, MATCH(N727,AllCollegeNCES,0)),0)</f>
        <v>0</v>
      </c>
      <c r="AZ727">
        <f>IF(AND(AQ727=1,ISNUMBER(AT727),AY727=1),$AT727,1)</f>
        <v>0</v>
      </c>
      <c r="BA727">
        <f>IF(AND(AR727=1,ISNUMBER(AT727),AY727=1),$AT727,1)</f>
        <v>0</v>
      </c>
      <c r="BB727">
        <f>IF(ISNUMBER(Y727),INDEX(AllCollegeILPub, MATCH(N727,AllCollegeNCES,0)),0)</f>
        <v>0</v>
      </c>
      <c r="BC727">
        <f>IF(AK727=ReachLabel,AP727,0)</f>
        <v>0</v>
      </c>
      <c r="BD727">
        <f>IF(AK727=MatchLabel,AP727,0)</f>
        <v>0</v>
      </c>
      <c r="BE727">
        <f>IF(AK727=SafetyLabel,AP727,0)</f>
        <v>0</v>
      </c>
      <c r="BF727">
        <f>IF(AK727=SecureLabel,AP727,0)</f>
        <v>0</v>
      </c>
      <c r="BG727">
        <f>IF(AK727=SureThingLabel,AP727,0)</f>
        <v>0</v>
      </c>
      <c r="BH727">
        <f>MAX(BC727:BG727)</f>
        <v>0</v>
      </c>
      <c r="BI727">
        <f>MAX(BD727:BG727)</f>
        <v>0</v>
      </c>
      <c r="BJ727">
        <f>MAX(BE727:BG727)</f>
        <v>0</v>
      </c>
      <c r="BK727">
        <f>IF(AND(AK727=ReachLabel,AY727=1),AP727,0)</f>
        <v>0</v>
      </c>
      <c r="BL727">
        <f>IF(AND(AK727=MatchLabel,AY727=1),AP727,0)</f>
        <v>0</v>
      </c>
      <c r="BM727">
        <f>IF(AND(AK727=SafetyLabel,AY727=1),AP727,0)</f>
        <v>0</v>
      </c>
      <c r="BN727">
        <f>IF(AND(AK727=SecureLabel,AY727=1),AP727,0)</f>
        <v>0</v>
      </c>
      <c r="BO727">
        <f>IF(AND(AK727=SureThingLabel,AY727=1),AP727,0)</f>
        <v>0</v>
      </c>
      <c r="BP727">
        <f>MAX(BK727:BO727)</f>
        <v>0</v>
      </c>
      <c r="BQ727">
        <f>MAX(BL727:BO727)</f>
        <v>0</v>
      </c>
      <c r="BR727">
        <f>MAX(BM727:BO727)</f>
        <v>0</v>
      </c>
      <c r="BS727">
        <f>IF(ISNUMBER(Y727),INDEX(AllCollegeChicago, MATCH(N727,AllCollegeNCES,0))*AY727,0)</f>
        <v>0</v>
      </c>
      <c r="BT727">
        <f>IF(ISNUMBER(Y727),INDEX(AllCollegeMoneyCode, MATCH(N727,AllCollegeNCES,0)),"?")</f>
        <v>0</v>
      </c>
      <c r="BU727">
        <f>IF(OR(BT727="---",BT727="--",BT727="+/--",BT727="+/---"),1,0)</f>
        <v>0</v>
      </c>
      <c r="BV727">
        <f>AY727*AO727*AQ727</f>
        <v>0</v>
      </c>
    </row>
    <row r="728" spans="1:74">
      <c r="A728" t="s">
        <v>86</v>
      </c>
      <c r="B728">
        <v>30313392</v>
      </c>
      <c r="C728" t="s">
        <v>224</v>
      </c>
      <c r="D728" t="s">
        <v>225</v>
      </c>
      <c r="E728" t="s">
        <v>428</v>
      </c>
      <c r="F728" t="s">
        <v>435</v>
      </c>
      <c r="G728" t="s">
        <v>430</v>
      </c>
      <c r="H728" t="s">
        <v>431</v>
      </c>
      <c r="I728" t="s">
        <v>432</v>
      </c>
      <c r="J728" t="s">
        <v>432</v>
      </c>
      <c r="K728">
        <v>0</v>
      </c>
      <c r="L728" t="s">
        <v>428</v>
      </c>
      <c r="M728" t="s">
        <v>428</v>
      </c>
      <c r="N728">
        <v>144892</v>
      </c>
      <c r="O728">
        <f>INDEX(AllCollegeBarrons,MATCH(N728,AllCollegeNCES,0))</f>
        <v>0</v>
      </c>
      <c r="P728">
        <f>INDEX(KidGPAs,MATCH(B728,KidIDs,0))</f>
        <v>0</v>
      </c>
      <c r="Q728">
        <f>INDEX(KidACTs,MATCH(B728,KidIDs,0))</f>
        <v>0</v>
      </c>
      <c r="R728">
        <f>INDEX(Strats,MATCH(B728,KidIDs,0))</f>
        <v>0</v>
      </c>
      <c r="S728">
        <f>INDEX(KidRace,MATCH(B728,KidIDs,0))</f>
        <v>0</v>
      </c>
      <c r="T728">
        <f>IF(OR(S728="M",S728="I"),"H",S728)</f>
        <v>0</v>
      </c>
      <c r="U728">
        <f>INDEX(StudentTargets,MATCH(B728,KidIDs,0))</f>
        <v>0</v>
      </c>
      <c r="V728">
        <f>INDEX(ReachStudentTargets,MATCH(B728,KidIDs,0))</f>
        <v>0</v>
      </c>
      <c r="W728">
        <f>IF(OR(M728="Posse"),1,0)</f>
        <v>0</v>
      </c>
      <c r="X728">
        <f>IF(ISNUMBER(INDEX(AllCollegeGR, MATCH(N728,AllCollegeNCES,0))),ROUND(INDEX(AllCollegeGR, MATCH(N728,AllCollegeNCES,0))+W728*IF(INDEX(AllCollegeGR, MATCH(N728,AllCollegeNCES,0))&gt;0.7,(1-INDEX(AllCollegeGR, MATCH(N728,AllCollegeNCES,0)))/2,0.15),2),INDEX(AllCollegeGR, MATCH(N728,AllCollegeNCES,0)))</f>
        <v>0</v>
      </c>
      <c r="Y728">
        <f>IF(ISNUMBER(INDEX(AllCollegeAAHGR, MATCH(N728,AllCollegeNCES,0))),ROUND(INDEX(AllCollegeAAHGR, MATCH(N728,AllCollegeNCES,0))+W728*IF(INDEX(AllCollegeAAHGR, MATCH(N728,AllCollegeNCES,0))&gt;0.7,(1-INDEX(AllCollegeAAHGR, MATCH(N728,AllCollegeNCES,0)))/2,0.15),2),INDEX(AllCollegeAAHGR, MATCH(N728,AllCollegeNCES,0)))</f>
        <v>0</v>
      </c>
      <c r="Z728">
        <f>IF(OR(T728="H",T728="B"),INDEX(AllCollegeACT25, MATCH(N728,AllCollegeNCES,0)),INDEX(AllCollegeACT50, MATCH(N728,AllCollegeNCES,0)))</f>
        <v>0</v>
      </c>
      <c r="AA728">
        <f>INDEX(CustomWeightsGPA,MATCH(T728&amp;":"&amp;N728,CustomWeightsIndex,0))</f>
        <v>0</v>
      </c>
      <c r="AB728">
        <f>INDEX(CustomWeightsACT,MATCH(T728&amp;":"&amp;N728,CustomWeightsIndex,0))</f>
        <v>0</v>
      </c>
      <c r="AC728">
        <f>INDEX(CustomWeightsIntercept,MATCH(T728&amp;":"&amp;N728,CustomWeightsIndex,0))</f>
        <v>0</v>
      </c>
      <c r="AD728">
        <f>AA728*P728+AB728*Q728+AC728</f>
        <v>0</v>
      </c>
      <c r="AE728">
        <f>INDEX(CoefficientsGPA,MATCH(T728&amp;":"&amp;O728,CoefficientsIndex,0))</f>
        <v>0</v>
      </c>
      <c r="AF728">
        <f>INDEX(CoefficientsACT,MATCH(T728&amp;":"&amp;O728,CoefficientsIndex,0))</f>
        <v>0</v>
      </c>
      <c r="AG728">
        <f>INDEX(CoefficientsIntercept,MATCH(T728&amp;":"&amp;O728,CoefficientsIndex,0))</f>
        <v>0</v>
      </c>
      <c r="AH728">
        <f>AE728*P728+(Q728-Z728)*AF728+AG728</f>
        <v>0</v>
      </c>
      <c r="AI728">
        <f>IF(ISNUMBER(AD728),AD728,AH728)</f>
        <v>0</v>
      </c>
      <c r="AJ728">
        <f>IF(ISNUMBER(AI728),IF(ISNUMBER(AE728),IF(AND(AE728=1,AF728=1,AG728=1),100,ROUND(100*EXP(AI728)/(1+EXP(AI728)),2)),ROUND(100*EXP(AI728)/(1+EXP(AI728)),2)),IF(ISTEXT(O728),IF(LEFT(O728,1)="2",100,"N/A"),"N/A"))</f>
        <v>0</v>
      </c>
      <c r="AK728">
        <f>IF(ISNUMBER(AJ728),IF(AJ728&gt;=99,IF(OR(R728=10,R728=11),MatchLabel,SureThingLabel),IF(AJ728&gt;=95,SecureLabel,IF(AJ728&gt;=80,SafetyLabel,IF(AJ728&gt;=50,MatchLabel,IF(AJ728&gt;=20,ReachLabel,IF(AJ728&gt;=10,LongshotLabel,HailMaryLabel)))))),"Other")</f>
        <v>0</v>
      </c>
      <c r="AL728">
        <f>IF(OR(I728="accepted",I728="cond. accept",I728="summer admit"),IF(J728="yes","CHOICE!","Accepted!"),IF(I728="denied","Denied",IF(K728=1,"Waitlist",IF(L728=1,"Deferred",IF(G728="pending","Pending",IF(OR(G728="initial materials submitted",G728="mid-year submitted",G728="final submitted"),"Submitted",IF(H728="interest","Interest","?")))))))</f>
        <v>0</v>
      </c>
      <c r="AM728">
        <f>IF(OR(AK728=ReachLabel,AK728=LongshotLabel,AK728=HailMaryLabel),1,0)</f>
        <v>0</v>
      </c>
      <c r="AN728">
        <f>IF(OR(AM728=1,AK728=MatchLabel),1,0)</f>
        <v>0</v>
      </c>
      <c r="AO728">
        <f>IF(OR(AK728=MatchLabel,AK728=SafetyLabel,AK728=SecureLabel,AK728=SureThingLabel),1,0)</f>
        <v>0</v>
      </c>
      <c r="AP728">
        <f>IF(OR(T728="H",T728="B"),IF(ISNUMBER(Y728),ROUND(Y728,2),0),IF(ISNUMBER(X728),ROUND(X728,2),0))</f>
        <v>0</v>
      </c>
      <c r="AQ728">
        <f>IF(AP728&gt;=U728,1,0)</f>
        <v>0</v>
      </c>
      <c r="AR728">
        <f>IF(AP728&gt;=V728,1,0)</f>
        <v>0</v>
      </c>
      <c r="AS728">
        <f>IF(AP728&lt;(U728-0.10),1,0)</f>
        <v>0</v>
      </c>
      <c r="AT728">
        <f>1-AJ728/100</f>
        <v>0</v>
      </c>
      <c r="AU728">
        <f>IF(AN728=1,AT728,1)</f>
        <v>0</v>
      </c>
      <c r="AV728">
        <f>IF(AM728=1,AT728,1)</f>
        <v>0</v>
      </c>
      <c r="AW728">
        <f>IF(AND(AQ728=1,ISNUMBER(AT728)),$AT728,1)</f>
        <v>0</v>
      </c>
      <c r="AX728">
        <f>IF(AND(AR728=1,ISNUMBER(AT728)),$AT728,1)</f>
        <v>0</v>
      </c>
      <c r="AY728">
        <f>IF(ISNUMBER(Y728),INDEX(AllCollegeMoney, MATCH(N728,AllCollegeNCES,0)),0)</f>
        <v>0</v>
      </c>
      <c r="AZ728">
        <f>IF(AND(AQ728=1,ISNUMBER(AT728),AY728=1),$AT728,1)</f>
        <v>0</v>
      </c>
      <c r="BA728">
        <f>IF(AND(AR728=1,ISNUMBER(AT728),AY728=1),$AT728,1)</f>
        <v>0</v>
      </c>
      <c r="BB728">
        <f>IF(ISNUMBER(Y728),INDEX(AllCollegeILPub, MATCH(N728,AllCollegeNCES,0)),0)</f>
        <v>0</v>
      </c>
      <c r="BC728">
        <f>IF(AK728=ReachLabel,AP728,0)</f>
        <v>0</v>
      </c>
      <c r="BD728">
        <f>IF(AK728=MatchLabel,AP728,0)</f>
        <v>0</v>
      </c>
      <c r="BE728">
        <f>IF(AK728=SafetyLabel,AP728,0)</f>
        <v>0</v>
      </c>
      <c r="BF728">
        <f>IF(AK728=SecureLabel,AP728,0)</f>
        <v>0</v>
      </c>
      <c r="BG728">
        <f>IF(AK728=SureThingLabel,AP728,0)</f>
        <v>0</v>
      </c>
      <c r="BH728">
        <f>MAX(BC728:BG728)</f>
        <v>0</v>
      </c>
      <c r="BI728">
        <f>MAX(BD728:BG728)</f>
        <v>0</v>
      </c>
      <c r="BJ728">
        <f>MAX(BE728:BG728)</f>
        <v>0</v>
      </c>
      <c r="BK728">
        <f>IF(AND(AK728=ReachLabel,AY728=1),AP728,0)</f>
        <v>0</v>
      </c>
      <c r="BL728">
        <f>IF(AND(AK728=MatchLabel,AY728=1),AP728,0)</f>
        <v>0</v>
      </c>
      <c r="BM728">
        <f>IF(AND(AK728=SafetyLabel,AY728=1),AP728,0)</f>
        <v>0</v>
      </c>
      <c r="BN728">
        <f>IF(AND(AK728=SecureLabel,AY728=1),AP728,0)</f>
        <v>0</v>
      </c>
      <c r="BO728">
        <f>IF(AND(AK728=SureThingLabel,AY728=1),AP728,0)</f>
        <v>0</v>
      </c>
      <c r="BP728">
        <f>MAX(BK728:BO728)</f>
        <v>0</v>
      </c>
      <c r="BQ728">
        <f>MAX(BL728:BO728)</f>
        <v>0</v>
      </c>
      <c r="BR728">
        <f>MAX(BM728:BO728)</f>
        <v>0</v>
      </c>
      <c r="BS728">
        <f>IF(ISNUMBER(Y728),INDEX(AllCollegeChicago, MATCH(N728,AllCollegeNCES,0))*AY728,0)</f>
        <v>0</v>
      </c>
      <c r="BT728">
        <f>IF(ISNUMBER(Y728),INDEX(AllCollegeMoneyCode, MATCH(N728,AllCollegeNCES,0)),"?")</f>
        <v>0</v>
      </c>
      <c r="BU728">
        <f>IF(OR(BT728="---",BT728="--",BT728="+/--",BT728="+/---"),1,0)</f>
        <v>0</v>
      </c>
      <c r="BV728">
        <f>AY728*AO728*AQ728</f>
        <v>0</v>
      </c>
    </row>
    <row r="729" spans="1:74">
      <c r="A729" t="s">
        <v>86</v>
      </c>
      <c r="B729">
        <v>30313392</v>
      </c>
      <c r="C729" t="s">
        <v>224</v>
      </c>
      <c r="D729" t="s">
        <v>225</v>
      </c>
      <c r="E729" t="s">
        <v>428</v>
      </c>
      <c r="F729" t="s">
        <v>436</v>
      </c>
      <c r="G729" t="s">
        <v>430</v>
      </c>
      <c r="H729" t="s">
        <v>431</v>
      </c>
      <c r="I729" t="s">
        <v>432</v>
      </c>
      <c r="J729" t="s">
        <v>432</v>
      </c>
      <c r="K729">
        <v>0</v>
      </c>
      <c r="L729" t="s">
        <v>428</v>
      </c>
      <c r="M729" t="s">
        <v>428</v>
      </c>
      <c r="N729">
        <v>147536</v>
      </c>
      <c r="O729">
        <f>INDEX(AllCollegeBarrons,MATCH(N729,AllCollegeNCES,0))</f>
        <v>0</v>
      </c>
      <c r="P729">
        <f>INDEX(KidGPAs,MATCH(B729,KidIDs,0))</f>
        <v>0</v>
      </c>
      <c r="Q729">
        <f>INDEX(KidACTs,MATCH(B729,KidIDs,0))</f>
        <v>0</v>
      </c>
      <c r="R729">
        <f>INDEX(Strats,MATCH(B729,KidIDs,0))</f>
        <v>0</v>
      </c>
      <c r="S729">
        <f>INDEX(KidRace,MATCH(B729,KidIDs,0))</f>
        <v>0</v>
      </c>
      <c r="T729">
        <f>IF(OR(S729="M",S729="I"),"H",S729)</f>
        <v>0</v>
      </c>
      <c r="U729">
        <f>INDEX(StudentTargets,MATCH(B729,KidIDs,0))</f>
        <v>0</v>
      </c>
      <c r="V729">
        <f>INDEX(ReachStudentTargets,MATCH(B729,KidIDs,0))</f>
        <v>0</v>
      </c>
      <c r="W729">
        <f>IF(OR(M729="Posse"),1,0)</f>
        <v>0</v>
      </c>
      <c r="X729">
        <f>IF(ISNUMBER(INDEX(AllCollegeGR, MATCH(N729,AllCollegeNCES,0))),ROUND(INDEX(AllCollegeGR, MATCH(N729,AllCollegeNCES,0))+W729*IF(INDEX(AllCollegeGR, MATCH(N729,AllCollegeNCES,0))&gt;0.7,(1-INDEX(AllCollegeGR, MATCH(N729,AllCollegeNCES,0)))/2,0.15),2),INDEX(AllCollegeGR, MATCH(N729,AllCollegeNCES,0)))</f>
        <v>0</v>
      </c>
      <c r="Y729">
        <f>IF(ISNUMBER(INDEX(AllCollegeAAHGR, MATCH(N729,AllCollegeNCES,0))),ROUND(INDEX(AllCollegeAAHGR, MATCH(N729,AllCollegeNCES,0))+W729*IF(INDEX(AllCollegeAAHGR, MATCH(N729,AllCollegeNCES,0))&gt;0.7,(1-INDEX(AllCollegeAAHGR, MATCH(N729,AllCollegeNCES,0)))/2,0.15),2),INDEX(AllCollegeAAHGR, MATCH(N729,AllCollegeNCES,0)))</f>
        <v>0</v>
      </c>
      <c r="Z729">
        <f>IF(OR(T729="H",T729="B"),INDEX(AllCollegeACT25, MATCH(N729,AllCollegeNCES,0)),INDEX(AllCollegeACT50, MATCH(N729,AllCollegeNCES,0)))</f>
        <v>0</v>
      </c>
      <c r="AA729">
        <f>INDEX(CustomWeightsGPA,MATCH(T729&amp;":"&amp;N729,CustomWeightsIndex,0))</f>
        <v>0</v>
      </c>
      <c r="AB729">
        <f>INDEX(CustomWeightsACT,MATCH(T729&amp;":"&amp;N729,CustomWeightsIndex,0))</f>
        <v>0</v>
      </c>
      <c r="AC729">
        <f>INDEX(CustomWeightsIntercept,MATCH(T729&amp;":"&amp;N729,CustomWeightsIndex,0))</f>
        <v>0</v>
      </c>
      <c r="AD729">
        <f>AA729*P729+AB729*Q729+AC729</f>
        <v>0</v>
      </c>
      <c r="AE729">
        <f>INDEX(CoefficientsGPA,MATCH(T729&amp;":"&amp;O729,CoefficientsIndex,0))</f>
        <v>0</v>
      </c>
      <c r="AF729">
        <f>INDEX(CoefficientsACT,MATCH(T729&amp;":"&amp;O729,CoefficientsIndex,0))</f>
        <v>0</v>
      </c>
      <c r="AG729">
        <f>INDEX(CoefficientsIntercept,MATCH(T729&amp;":"&amp;O729,CoefficientsIndex,0))</f>
        <v>0</v>
      </c>
      <c r="AH729">
        <f>AE729*P729+(Q729-Z729)*AF729+AG729</f>
        <v>0</v>
      </c>
      <c r="AI729">
        <f>IF(ISNUMBER(AD729),AD729,AH729)</f>
        <v>0</v>
      </c>
      <c r="AJ729">
        <f>IF(ISNUMBER(AI729),IF(ISNUMBER(AE729),IF(AND(AE729=1,AF729=1,AG729=1),100,ROUND(100*EXP(AI729)/(1+EXP(AI729)),2)),ROUND(100*EXP(AI729)/(1+EXP(AI729)),2)),IF(ISTEXT(O729),IF(LEFT(O729,1)="2",100,"N/A"),"N/A"))</f>
        <v>0</v>
      </c>
      <c r="AK729">
        <f>IF(ISNUMBER(AJ729),IF(AJ729&gt;=99,IF(OR(R729=10,R729=11),MatchLabel,SureThingLabel),IF(AJ729&gt;=95,SecureLabel,IF(AJ729&gt;=80,SafetyLabel,IF(AJ729&gt;=50,MatchLabel,IF(AJ729&gt;=20,ReachLabel,IF(AJ729&gt;=10,LongshotLabel,HailMaryLabel)))))),"Other")</f>
        <v>0</v>
      </c>
      <c r="AL729">
        <f>IF(OR(I729="accepted",I729="cond. accept",I729="summer admit"),IF(J729="yes","CHOICE!","Accepted!"),IF(I729="denied","Denied",IF(K729=1,"Waitlist",IF(L729=1,"Deferred",IF(G729="pending","Pending",IF(OR(G729="initial materials submitted",G729="mid-year submitted",G729="final submitted"),"Submitted",IF(H729="interest","Interest","?")))))))</f>
        <v>0</v>
      </c>
      <c r="AM729">
        <f>IF(OR(AK729=ReachLabel,AK729=LongshotLabel,AK729=HailMaryLabel),1,0)</f>
        <v>0</v>
      </c>
      <c r="AN729">
        <f>IF(OR(AM729=1,AK729=MatchLabel),1,0)</f>
        <v>0</v>
      </c>
      <c r="AO729">
        <f>IF(OR(AK729=MatchLabel,AK729=SafetyLabel,AK729=SecureLabel,AK729=SureThingLabel),1,0)</f>
        <v>0</v>
      </c>
      <c r="AP729">
        <f>IF(OR(T729="H",T729="B"),IF(ISNUMBER(Y729),ROUND(Y729,2),0),IF(ISNUMBER(X729),ROUND(X729,2),0))</f>
        <v>0</v>
      </c>
      <c r="AQ729">
        <f>IF(AP729&gt;=U729,1,0)</f>
        <v>0</v>
      </c>
      <c r="AR729">
        <f>IF(AP729&gt;=V729,1,0)</f>
        <v>0</v>
      </c>
      <c r="AS729">
        <f>IF(AP729&lt;(U729-0.10),1,0)</f>
        <v>0</v>
      </c>
      <c r="AT729">
        <f>1-AJ729/100</f>
        <v>0</v>
      </c>
      <c r="AU729">
        <f>IF(AN729=1,AT729,1)</f>
        <v>0</v>
      </c>
      <c r="AV729">
        <f>IF(AM729=1,AT729,1)</f>
        <v>0</v>
      </c>
      <c r="AW729">
        <f>IF(AND(AQ729=1,ISNUMBER(AT729)),$AT729,1)</f>
        <v>0</v>
      </c>
      <c r="AX729">
        <f>IF(AND(AR729=1,ISNUMBER(AT729)),$AT729,1)</f>
        <v>0</v>
      </c>
      <c r="AY729">
        <f>IF(ISNUMBER(Y729),INDEX(AllCollegeMoney, MATCH(N729,AllCollegeNCES,0)),0)</f>
        <v>0</v>
      </c>
      <c r="AZ729">
        <f>IF(AND(AQ729=1,ISNUMBER(AT729),AY729=1),$AT729,1)</f>
        <v>0</v>
      </c>
      <c r="BA729">
        <f>IF(AND(AR729=1,ISNUMBER(AT729),AY729=1),$AT729,1)</f>
        <v>0</v>
      </c>
      <c r="BB729">
        <f>IF(ISNUMBER(Y729),INDEX(AllCollegeILPub, MATCH(N729,AllCollegeNCES,0)),0)</f>
        <v>0</v>
      </c>
      <c r="BC729">
        <f>IF(AK729=ReachLabel,AP729,0)</f>
        <v>0</v>
      </c>
      <c r="BD729">
        <f>IF(AK729=MatchLabel,AP729,0)</f>
        <v>0</v>
      </c>
      <c r="BE729">
        <f>IF(AK729=SafetyLabel,AP729,0)</f>
        <v>0</v>
      </c>
      <c r="BF729">
        <f>IF(AK729=SecureLabel,AP729,0)</f>
        <v>0</v>
      </c>
      <c r="BG729">
        <f>IF(AK729=SureThingLabel,AP729,0)</f>
        <v>0</v>
      </c>
      <c r="BH729">
        <f>MAX(BC729:BG729)</f>
        <v>0</v>
      </c>
      <c r="BI729">
        <f>MAX(BD729:BG729)</f>
        <v>0</v>
      </c>
      <c r="BJ729">
        <f>MAX(BE729:BG729)</f>
        <v>0</v>
      </c>
      <c r="BK729">
        <f>IF(AND(AK729=ReachLabel,AY729=1),AP729,0)</f>
        <v>0</v>
      </c>
      <c r="BL729">
        <f>IF(AND(AK729=MatchLabel,AY729=1),AP729,0)</f>
        <v>0</v>
      </c>
      <c r="BM729">
        <f>IF(AND(AK729=SafetyLabel,AY729=1),AP729,0)</f>
        <v>0</v>
      </c>
      <c r="BN729">
        <f>IF(AND(AK729=SecureLabel,AY729=1),AP729,0)</f>
        <v>0</v>
      </c>
      <c r="BO729">
        <f>IF(AND(AK729=SureThingLabel,AY729=1),AP729,0)</f>
        <v>0</v>
      </c>
      <c r="BP729">
        <f>MAX(BK729:BO729)</f>
        <v>0</v>
      </c>
      <c r="BQ729">
        <f>MAX(BL729:BO729)</f>
        <v>0</v>
      </c>
      <c r="BR729">
        <f>MAX(BM729:BO729)</f>
        <v>0</v>
      </c>
      <c r="BS729">
        <f>IF(ISNUMBER(Y729),INDEX(AllCollegeChicago, MATCH(N729,AllCollegeNCES,0))*AY729,0)</f>
        <v>0</v>
      </c>
      <c r="BT729">
        <f>IF(ISNUMBER(Y729),INDEX(AllCollegeMoneyCode, MATCH(N729,AllCollegeNCES,0)),"?")</f>
        <v>0</v>
      </c>
      <c r="BU729">
        <f>IF(OR(BT729="---",BT729="--",BT729="+/--",BT729="+/---"),1,0)</f>
        <v>0</v>
      </c>
      <c r="BV729">
        <f>AY729*AO729*AQ729</f>
        <v>0</v>
      </c>
    </row>
    <row r="730" spans="1:74">
      <c r="A730" t="s">
        <v>86</v>
      </c>
      <c r="B730">
        <v>30313392</v>
      </c>
      <c r="C730" t="s">
        <v>224</v>
      </c>
      <c r="D730" t="s">
        <v>225</v>
      </c>
      <c r="E730" t="s">
        <v>428</v>
      </c>
      <c r="F730" t="s">
        <v>489</v>
      </c>
      <c r="G730" t="s">
        <v>430</v>
      </c>
      <c r="H730" t="s">
        <v>431</v>
      </c>
      <c r="I730" t="s">
        <v>432</v>
      </c>
      <c r="J730" t="s">
        <v>432</v>
      </c>
      <c r="K730">
        <v>0</v>
      </c>
      <c r="L730" t="s">
        <v>428</v>
      </c>
      <c r="M730" t="s">
        <v>428</v>
      </c>
      <c r="N730">
        <v>147679</v>
      </c>
      <c r="O730">
        <f>INDEX(AllCollegeBarrons,MATCH(N730,AllCollegeNCES,0))</f>
        <v>0</v>
      </c>
      <c r="P730">
        <f>INDEX(KidGPAs,MATCH(B730,KidIDs,0))</f>
        <v>0</v>
      </c>
      <c r="Q730">
        <f>INDEX(KidACTs,MATCH(B730,KidIDs,0))</f>
        <v>0</v>
      </c>
      <c r="R730">
        <f>INDEX(Strats,MATCH(B730,KidIDs,0))</f>
        <v>0</v>
      </c>
      <c r="S730">
        <f>INDEX(KidRace,MATCH(B730,KidIDs,0))</f>
        <v>0</v>
      </c>
      <c r="T730">
        <f>IF(OR(S730="M",S730="I"),"H",S730)</f>
        <v>0</v>
      </c>
      <c r="U730">
        <f>INDEX(StudentTargets,MATCH(B730,KidIDs,0))</f>
        <v>0</v>
      </c>
      <c r="V730">
        <f>INDEX(ReachStudentTargets,MATCH(B730,KidIDs,0))</f>
        <v>0</v>
      </c>
      <c r="W730">
        <f>IF(OR(M730="Posse"),1,0)</f>
        <v>0</v>
      </c>
      <c r="X730">
        <f>IF(ISNUMBER(INDEX(AllCollegeGR, MATCH(N730,AllCollegeNCES,0))),ROUND(INDEX(AllCollegeGR, MATCH(N730,AllCollegeNCES,0))+W730*IF(INDEX(AllCollegeGR, MATCH(N730,AllCollegeNCES,0))&gt;0.7,(1-INDEX(AllCollegeGR, MATCH(N730,AllCollegeNCES,0)))/2,0.15),2),INDEX(AllCollegeGR, MATCH(N730,AllCollegeNCES,0)))</f>
        <v>0</v>
      </c>
      <c r="Y730">
        <f>IF(ISNUMBER(INDEX(AllCollegeAAHGR, MATCH(N730,AllCollegeNCES,0))),ROUND(INDEX(AllCollegeAAHGR, MATCH(N730,AllCollegeNCES,0))+W730*IF(INDEX(AllCollegeAAHGR, MATCH(N730,AllCollegeNCES,0))&gt;0.7,(1-INDEX(AllCollegeAAHGR, MATCH(N730,AllCollegeNCES,0)))/2,0.15),2),INDEX(AllCollegeAAHGR, MATCH(N730,AllCollegeNCES,0)))</f>
        <v>0</v>
      </c>
      <c r="Z730">
        <f>IF(OR(T730="H",T730="B"),INDEX(AllCollegeACT25, MATCH(N730,AllCollegeNCES,0)),INDEX(AllCollegeACT50, MATCH(N730,AllCollegeNCES,0)))</f>
        <v>0</v>
      </c>
      <c r="AA730">
        <f>INDEX(CustomWeightsGPA,MATCH(T730&amp;":"&amp;N730,CustomWeightsIndex,0))</f>
        <v>0</v>
      </c>
      <c r="AB730">
        <f>INDEX(CustomWeightsACT,MATCH(T730&amp;":"&amp;N730,CustomWeightsIndex,0))</f>
        <v>0</v>
      </c>
      <c r="AC730">
        <f>INDEX(CustomWeightsIntercept,MATCH(T730&amp;":"&amp;N730,CustomWeightsIndex,0))</f>
        <v>0</v>
      </c>
      <c r="AD730">
        <f>AA730*P730+AB730*Q730+AC730</f>
        <v>0</v>
      </c>
      <c r="AE730">
        <f>INDEX(CoefficientsGPA,MATCH(T730&amp;":"&amp;O730,CoefficientsIndex,0))</f>
        <v>0</v>
      </c>
      <c r="AF730">
        <f>INDEX(CoefficientsACT,MATCH(T730&amp;":"&amp;O730,CoefficientsIndex,0))</f>
        <v>0</v>
      </c>
      <c r="AG730">
        <f>INDEX(CoefficientsIntercept,MATCH(T730&amp;":"&amp;O730,CoefficientsIndex,0))</f>
        <v>0</v>
      </c>
      <c r="AH730">
        <f>AE730*P730+(Q730-Z730)*AF730+AG730</f>
        <v>0</v>
      </c>
      <c r="AI730">
        <f>IF(ISNUMBER(AD730),AD730,AH730)</f>
        <v>0</v>
      </c>
      <c r="AJ730">
        <f>IF(ISNUMBER(AI730),IF(ISNUMBER(AE730),IF(AND(AE730=1,AF730=1,AG730=1),100,ROUND(100*EXP(AI730)/(1+EXP(AI730)),2)),ROUND(100*EXP(AI730)/(1+EXP(AI730)),2)),IF(ISTEXT(O730),IF(LEFT(O730,1)="2",100,"N/A"),"N/A"))</f>
        <v>0</v>
      </c>
      <c r="AK730">
        <f>IF(ISNUMBER(AJ730),IF(AJ730&gt;=99,IF(OR(R730=10,R730=11),MatchLabel,SureThingLabel),IF(AJ730&gt;=95,SecureLabel,IF(AJ730&gt;=80,SafetyLabel,IF(AJ730&gt;=50,MatchLabel,IF(AJ730&gt;=20,ReachLabel,IF(AJ730&gt;=10,LongshotLabel,HailMaryLabel)))))),"Other")</f>
        <v>0</v>
      </c>
      <c r="AL730">
        <f>IF(OR(I730="accepted",I730="cond. accept",I730="summer admit"),IF(J730="yes","CHOICE!","Accepted!"),IF(I730="denied","Denied",IF(K730=1,"Waitlist",IF(L730=1,"Deferred",IF(G730="pending","Pending",IF(OR(G730="initial materials submitted",G730="mid-year submitted",G730="final submitted"),"Submitted",IF(H730="interest","Interest","?")))))))</f>
        <v>0</v>
      </c>
      <c r="AM730">
        <f>IF(OR(AK730=ReachLabel,AK730=LongshotLabel,AK730=HailMaryLabel),1,0)</f>
        <v>0</v>
      </c>
      <c r="AN730">
        <f>IF(OR(AM730=1,AK730=MatchLabel),1,0)</f>
        <v>0</v>
      </c>
      <c r="AO730">
        <f>IF(OR(AK730=MatchLabel,AK730=SafetyLabel,AK730=SecureLabel,AK730=SureThingLabel),1,0)</f>
        <v>0</v>
      </c>
      <c r="AP730">
        <f>IF(OR(T730="H",T730="B"),IF(ISNUMBER(Y730),ROUND(Y730,2),0),IF(ISNUMBER(X730),ROUND(X730,2),0))</f>
        <v>0</v>
      </c>
      <c r="AQ730">
        <f>IF(AP730&gt;=U730,1,0)</f>
        <v>0</v>
      </c>
      <c r="AR730">
        <f>IF(AP730&gt;=V730,1,0)</f>
        <v>0</v>
      </c>
      <c r="AS730">
        <f>IF(AP730&lt;(U730-0.10),1,0)</f>
        <v>0</v>
      </c>
      <c r="AT730">
        <f>1-AJ730/100</f>
        <v>0</v>
      </c>
      <c r="AU730">
        <f>IF(AN730=1,AT730,1)</f>
        <v>0</v>
      </c>
      <c r="AV730">
        <f>IF(AM730=1,AT730,1)</f>
        <v>0</v>
      </c>
      <c r="AW730">
        <f>IF(AND(AQ730=1,ISNUMBER(AT730)),$AT730,1)</f>
        <v>0</v>
      </c>
      <c r="AX730">
        <f>IF(AND(AR730=1,ISNUMBER(AT730)),$AT730,1)</f>
        <v>0</v>
      </c>
      <c r="AY730">
        <f>IF(ISNUMBER(Y730),INDEX(AllCollegeMoney, MATCH(N730,AllCollegeNCES,0)),0)</f>
        <v>0</v>
      </c>
      <c r="AZ730">
        <f>IF(AND(AQ730=1,ISNUMBER(AT730),AY730=1),$AT730,1)</f>
        <v>0</v>
      </c>
      <c r="BA730">
        <f>IF(AND(AR730=1,ISNUMBER(AT730),AY730=1),$AT730,1)</f>
        <v>0</v>
      </c>
      <c r="BB730">
        <f>IF(ISNUMBER(Y730),INDEX(AllCollegeILPub, MATCH(N730,AllCollegeNCES,0)),0)</f>
        <v>0</v>
      </c>
      <c r="BC730">
        <f>IF(AK730=ReachLabel,AP730,0)</f>
        <v>0</v>
      </c>
      <c r="BD730">
        <f>IF(AK730=MatchLabel,AP730,0)</f>
        <v>0</v>
      </c>
      <c r="BE730">
        <f>IF(AK730=SafetyLabel,AP730,0)</f>
        <v>0</v>
      </c>
      <c r="BF730">
        <f>IF(AK730=SecureLabel,AP730,0)</f>
        <v>0</v>
      </c>
      <c r="BG730">
        <f>IF(AK730=SureThingLabel,AP730,0)</f>
        <v>0</v>
      </c>
      <c r="BH730">
        <f>MAX(BC730:BG730)</f>
        <v>0</v>
      </c>
      <c r="BI730">
        <f>MAX(BD730:BG730)</f>
        <v>0</v>
      </c>
      <c r="BJ730">
        <f>MAX(BE730:BG730)</f>
        <v>0</v>
      </c>
      <c r="BK730">
        <f>IF(AND(AK730=ReachLabel,AY730=1),AP730,0)</f>
        <v>0</v>
      </c>
      <c r="BL730">
        <f>IF(AND(AK730=MatchLabel,AY730=1),AP730,0)</f>
        <v>0</v>
      </c>
      <c r="BM730">
        <f>IF(AND(AK730=SafetyLabel,AY730=1),AP730,0)</f>
        <v>0</v>
      </c>
      <c r="BN730">
        <f>IF(AND(AK730=SecureLabel,AY730=1),AP730,0)</f>
        <v>0</v>
      </c>
      <c r="BO730">
        <f>IF(AND(AK730=SureThingLabel,AY730=1),AP730,0)</f>
        <v>0</v>
      </c>
      <c r="BP730">
        <f>MAX(BK730:BO730)</f>
        <v>0</v>
      </c>
      <c r="BQ730">
        <f>MAX(BL730:BO730)</f>
        <v>0</v>
      </c>
      <c r="BR730">
        <f>MAX(BM730:BO730)</f>
        <v>0</v>
      </c>
      <c r="BS730">
        <f>IF(ISNUMBER(Y730),INDEX(AllCollegeChicago, MATCH(N730,AllCollegeNCES,0))*AY730,0)</f>
        <v>0</v>
      </c>
      <c r="BT730">
        <f>IF(ISNUMBER(Y730),INDEX(AllCollegeMoneyCode, MATCH(N730,AllCollegeNCES,0)),"?")</f>
        <v>0</v>
      </c>
      <c r="BU730">
        <f>IF(OR(BT730="---",BT730="--",BT730="+/--",BT730="+/---"),1,0)</f>
        <v>0</v>
      </c>
      <c r="BV730">
        <f>AY730*AO730*AQ730</f>
        <v>0</v>
      </c>
    </row>
    <row r="731" spans="1:74">
      <c r="A731" t="s">
        <v>86</v>
      </c>
      <c r="B731">
        <v>30313392</v>
      </c>
      <c r="C731" t="s">
        <v>224</v>
      </c>
      <c r="D731" t="s">
        <v>225</v>
      </c>
      <c r="E731" t="s">
        <v>428</v>
      </c>
      <c r="F731" t="s">
        <v>437</v>
      </c>
      <c r="G731" t="s">
        <v>430</v>
      </c>
      <c r="H731" t="s">
        <v>431</v>
      </c>
      <c r="I731" t="s">
        <v>432</v>
      </c>
      <c r="J731" t="s">
        <v>432</v>
      </c>
      <c r="K731">
        <v>0</v>
      </c>
      <c r="L731" t="s">
        <v>428</v>
      </c>
      <c r="M731" t="s">
        <v>428</v>
      </c>
      <c r="N731">
        <v>149772</v>
      </c>
      <c r="O731">
        <f>INDEX(AllCollegeBarrons,MATCH(N731,AllCollegeNCES,0))</f>
        <v>0</v>
      </c>
      <c r="P731">
        <f>INDEX(KidGPAs,MATCH(B731,KidIDs,0))</f>
        <v>0</v>
      </c>
      <c r="Q731">
        <f>INDEX(KidACTs,MATCH(B731,KidIDs,0))</f>
        <v>0</v>
      </c>
      <c r="R731">
        <f>INDEX(Strats,MATCH(B731,KidIDs,0))</f>
        <v>0</v>
      </c>
      <c r="S731">
        <f>INDEX(KidRace,MATCH(B731,KidIDs,0))</f>
        <v>0</v>
      </c>
      <c r="T731">
        <f>IF(OR(S731="M",S731="I"),"H",S731)</f>
        <v>0</v>
      </c>
      <c r="U731">
        <f>INDEX(StudentTargets,MATCH(B731,KidIDs,0))</f>
        <v>0</v>
      </c>
      <c r="V731">
        <f>INDEX(ReachStudentTargets,MATCH(B731,KidIDs,0))</f>
        <v>0</v>
      </c>
      <c r="W731">
        <f>IF(OR(M731="Posse"),1,0)</f>
        <v>0</v>
      </c>
      <c r="X731">
        <f>IF(ISNUMBER(INDEX(AllCollegeGR, MATCH(N731,AllCollegeNCES,0))),ROUND(INDEX(AllCollegeGR, MATCH(N731,AllCollegeNCES,0))+W731*IF(INDEX(AllCollegeGR, MATCH(N731,AllCollegeNCES,0))&gt;0.7,(1-INDEX(AllCollegeGR, MATCH(N731,AllCollegeNCES,0)))/2,0.15),2),INDEX(AllCollegeGR, MATCH(N731,AllCollegeNCES,0)))</f>
        <v>0</v>
      </c>
      <c r="Y731">
        <f>IF(ISNUMBER(INDEX(AllCollegeAAHGR, MATCH(N731,AllCollegeNCES,0))),ROUND(INDEX(AllCollegeAAHGR, MATCH(N731,AllCollegeNCES,0))+W731*IF(INDEX(AllCollegeAAHGR, MATCH(N731,AllCollegeNCES,0))&gt;0.7,(1-INDEX(AllCollegeAAHGR, MATCH(N731,AllCollegeNCES,0)))/2,0.15),2),INDEX(AllCollegeAAHGR, MATCH(N731,AllCollegeNCES,0)))</f>
        <v>0</v>
      </c>
      <c r="Z731">
        <f>IF(OR(T731="H",T731="B"),INDEX(AllCollegeACT25, MATCH(N731,AllCollegeNCES,0)),INDEX(AllCollegeACT50, MATCH(N731,AllCollegeNCES,0)))</f>
        <v>0</v>
      </c>
      <c r="AA731">
        <f>INDEX(CustomWeightsGPA,MATCH(T731&amp;":"&amp;N731,CustomWeightsIndex,0))</f>
        <v>0</v>
      </c>
      <c r="AB731">
        <f>INDEX(CustomWeightsACT,MATCH(T731&amp;":"&amp;N731,CustomWeightsIndex,0))</f>
        <v>0</v>
      </c>
      <c r="AC731">
        <f>INDEX(CustomWeightsIntercept,MATCH(T731&amp;":"&amp;N731,CustomWeightsIndex,0))</f>
        <v>0</v>
      </c>
      <c r="AD731">
        <f>AA731*P731+AB731*Q731+AC731</f>
        <v>0</v>
      </c>
      <c r="AE731">
        <f>INDEX(CoefficientsGPA,MATCH(T731&amp;":"&amp;O731,CoefficientsIndex,0))</f>
        <v>0</v>
      </c>
      <c r="AF731">
        <f>INDEX(CoefficientsACT,MATCH(T731&amp;":"&amp;O731,CoefficientsIndex,0))</f>
        <v>0</v>
      </c>
      <c r="AG731">
        <f>INDEX(CoefficientsIntercept,MATCH(T731&amp;":"&amp;O731,CoefficientsIndex,0))</f>
        <v>0</v>
      </c>
      <c r="AH731">
        <f>AE731*P731+(Q731-Z731)*AF731+AG731</f>
        <v>0</v>
      </c>
      <c r="AI731">
        <f>IF(ISNUMBER(AD731),AD731,AH731)</f>
        <v>0</v>
      </c>
      <c r="AJ731">
        <f>IF(ISNUMBER(AI731),IF(ISNUMBER(AE731),IF(AND(AE731=1,AF731=1,AG731=1),100,ROUND(100*EXP(AI731)/(1+EXP(AI731)),2)),ROUND(100*EXP(AI731)/(1+EXP(AI731)),2)),IF(ISTEXT(O731),IF(LEFT(O731,1)="2",100,"N/A"),"N/A"))</f>
        <v>0</v>
      </c>
      <c r="AK731">
        <f>IF(ISNUMBER(AJ731),IF(AJ731&gt;=99,IF(OR(R731=10,R731=11),MatchLabel,SureThingLabel),IF(AJ731&gt;=95,SecureLabel,IF(AJ731&gt;=80,SafetyLabel,IF(AJ731&gt;=50,MatchLabel,IF(AJ731&gt;=20,ReachLabel,IF(AJ731&gt;=10,LongshotLabel,HailMaryLabel)))))),"Other")</f>
        <v>0</v>
      </c>
      <c r="AL731">
        <f>IF(OR(I731="accepted",I731="cond. accept",I731="summer admit"),IF(J731="yes","CHOICE!","Accepted!"),IF(I731="denied","Denied",IF(K731=1,"Waitlist",IF(L731=1,"Deferred",IF(G731="pending","Pending",IF(OR(G731="initial materials submitted",G731="mid-year submitted",G731="final submitted"),"Submitted",IF(H731="interest","Interest","?")))))))</f>
        <v>0</v>
      </c>
      <c r="AM731">
        <f>IF(OR(AK731=ReachLabel,AK731=LongshotLabel,AK731=HailMaryLabel),1,0)</f>
        <v>0</v>
      </c>
      <c r="AN731">
        <f>IF(OR(AM731=1,AK731=MatchLabel),1,0)</f>
        <v>0</v>
      </c>
      <c r="AO731">
        <f>IF(OR(AK731=MatchLabel,AK731=SafetyLabel,AK731=SecureLabel,AK731=SureThingLabel),1,0)</f>
        <v>0</v>
      </c>
      <c r="AP731">
        <f>IF(OR(T731="H",T731="B"),IF(ISNUMBER(Y731),ROUND(Y731,2),0),IF(ISNUMBER(X731),ROUND(X731,2),0))</f>
        <v>0</v>
      </c>
      <c r="AQ731">
        <f>IF(AP731&gt;=U731,1,0)</f>
        <v>0</v>
      </c>
      <c r="AR731">
        <f>IF(AP731&gt;=V731,1,0)</f>
        <v>0</v>
      </c>
      <c r="AS731">
        <f>IF(AP731&lt;(U731-0.10),1,0)</f>
        <v>0</v>
      </c>
      <c r="AT731">
        <f>1-AJ731/100</f>
        <v>0</v>
      </c>
      <c r="AU731">
        <f>IF(AN731=1,AT731,1)</f>
        <v>0</v>
      </c>
      <c r="AV731">
        <f>IF(AM731=1,AT731,1)</f>
        <v>0</v>
      </c>
      <c r="AW731">
        <f>IF(AND(AQ731=1,ISNUMBER(AT731)),$AT731,1)</f>
        <v>0</v>
      </c>
      <c r="AX731">
        <f>IF(AND(AR731=1,ISNUMBER(AT731)),$AT731,1)</f>
        <v>0</v>
      </c>
      <c r="AY731">
        <f>IF(ISNUMBER(Y731),INDEX(AllCollegeMoney, MATCH(N731,AllCollegeNCES,0)),0)</f>
        <v>0</v>
      </c>
      <c r="AZ731">
        <f>IF(AND(AQ731=1,ISNUMBER(AT731),AY731=1),$AT731,1)</f>
        <v>0</v>
      </c>
      <c r="BA731">
        <f>IF(AND(AR731=1,ISNUMBER(AT731),AY731=1),$AT731,1)</f>
        <v>0</v>
      </c>
      <c r="BB731">
        <f>IF(ISNUMBER(Y731),INDEX(AllCollegeILPub, MATCH(N731,AllCollegeNCES,0)),0)</f>
        <v>0</v>
      </c>
      <c r="BC731">
        <f>IF(AK731=ReachLabel,AP731,0)</f>
        <v>0</v>
      </c>
      <c r="BD731">
        <f>IF(AK731=MatchLabel,AP731,0)</f>
        <v>0</v>
      </c>
      <c r="BE731">
        <f>IF(AK731=SafetyLabel,AP731,0)</f>
        <v>0</v>
      </c>
      <c r="BF731">
        <f>IF(AK731=SecureLabel,AP731,0)</f>
        <v>0</v>
      </c>
      <c r="BG731">
        <f>IF(AK731=SureThingLabel,AP731,0)</f>
        <v>0</v>
      </c>
      <c r="BH731">
        <f>MAX(BC731:BG731)</f>
        <v>0</v>
      </c>
      <c r="BI731">
        <f>MAX(BD731:BG731)</f>
        <v>0</v>
      </c>
      <c r="BJ731">
        <f>MAX(BE731:BG731)</f>
        <v>0</v>
      </c>
      <c r="BK731">
        <f>IF(AND(AK731=ReachLabel,AY731=1),AP731,0)</f>
        <v>0</v>
      </c>
      <c r="BL731">
        <f>IF(AND(AK731=MatchLabel,AY731=1),AP731,0)</f>
        <v>0</v>
      </c>
      <c r="BM731">
        <f>IF(AND(AK731=SafetyLabel,AY731=1),AP731,0)</f>
        <v>0</v>
      </c>
      <c r="BN731">
        <f>IF(AND(AK731=SecureLabel,AY731=1),AP731,0)</f>
        <v>0</v>
      </c>
      <c r="BO731">
        <f>IF(AND(AK731=SureThingLabel,AY731=1),AP731,0)</f>
        <v>0</v>
      </c>
      <c r="BP731">
        <f>MAX(BK731:BO731)</f>
        <v>0</v>
      </c>
      <c r="BQ731">
        <f>MAX(BL731:BO731)</f>
        <v>0</v>
      </c>
      <c r="BR731">
        <f>MAX(BM731:BO731)</f>
        <v>0</v>
      </c>
      <c r="BS731">
        <f>IF(ISNUMBER(Y731),INDEX(AllCollegeChicago, MATCH(N731,AllCollegeNCES,0))*AY731,0)</f>
        <v>0</v>
      </c>
      <c r="BT731">
        <f>IF(ISNUMBER(Y731),INDEX(AllCollegeMoneyCode, MATCH(N731,AllCollegeNCES,0)),"?")</f>
        <v>0</v>
      </c>
      <c r="BU731">
        <f>IF(OR(BT731="---",BT731="--",BT731="+/--",BT731="+/---"),1,0)</f>
        <v>0</v>
      </c>
      <c r="BV731">
        <f>AY731*AO731*AQ731</f>
        <v>0</v>
      </c>
    </row>
    <row r="732" spans="1:74">
      <c r="A732" t="s">
        <v>86</v>
      </c>
      <c r="B732">
        <v>30313392</v>
      </c>
      <c r="C732" t="s">
        <v>224</v>
      </c>
      <c r="D732" t="s">
        <v>225</v>
      </c>
      <c r="E732" t="s">
        <v>428</v>
      </c>
      <c r="F732" t="s">
        <v>438</v>
      </c>
      <c r="G732" t="s">
        <v>430</v>
      </c>
      <c r="H732" t="s">
        <v>431</v>
      </c>
      <c r="I732" t="s">
        <v>432</v>
      </c>
      <c r="J732" t="s">
        <v>432</v>
      </c>
      <c r="K732">
        <v>0</v>
      </c>
      <c r="L732" t="s">
        <v>428</v>
      </c>
      <c r="M732" t="s">
        <v>439</v>
      </c>
      <c r="N732">
        <v>150774</v>
      </c>
      <c r="O732">
        <f>INDEX(AllCollegeBarrons,MATCH(N732,AllCollegeNCES,0))</f>
        <v>0</v>
      </c>
      <c r="P732">
        <f>INDEX(KidGPAs,MATCH(B732,KidIDs,0))</f>
        <v>0</v>
      </c>
      <c r="Q732">
        <f>INDEX(KidACTs,MATCH(B732,KidIDs,0))</f>
        <v>0</v>
      </c>
      <c r="R732">
        <f>INDEX(Strats,MATCH(B732,KidIDs,0))</f>
        <v>0</v>
      </c>
      <c r="S732">
        <f>INDEX(KidRace,MATCH(B732,KidIDs,0))</f>
        <v>0</v>
      </c>
      <c r="T732">
        <f>IF(OR(S732="M",S732="I"),"H",S732)</f>
        <v>0</v>
      </c>
      <c r="U732">
        <f>INDEX(StudentTargets,MATCH(B732,KidIDs,0))</f>
        <v>0</v>
      </c>
      <c r="V732">
        <f>INDEX(ReachStudentTargets,MATCH(B732,KidIDs,0))</f>
        <v>0</v>
      </c>
      <c r="W732">
        <f>IF(OR(M732="Posse"),1,0)</f>
        <v>0</v>
      </c>
      <c r="X732">
        <f>IF(ISNUMBER(INDEX(AllCollegeGR, MATCH(N732,AllCollegeNCES,0))),ROUND(INDEX(AllCollegeGR, MATCH(N732,AllCollegeNCES,0))+W732*IF(INDEX(AllCollegeGR, MATCH(N732,AllCollegeNCES,0))&gt;0.7,(1-INDEX(AllCollegeGR, MATCH(N732,AllCollegeNCES,0)))/2,0.15),2),INDEX(AllCollegeGR, MATCH(N732,AllCollegeNCES,0)))</f>
        <v>0</v>
      </c>
      <c r="Y732">
        <f>IF(ISNUMBER(INDEX(AllCollegeAAHGR, MATCH(N732,AllCollegeNCES,0))),ROUND(INDEX(AllCollegeAAHGR, MATCH(N732,AllCollegeNCES,0))+W732*IF(INDEX(AllCollegeAAHGR, MATCH(N732,AllCollegeNCES,0))&gt;0.7,(1-INDEX(AllCollegeAAHGR, MATCH(N732,AllCollegeNCES,0)))/2,0.15),2),INDEX(AllCollegeAAHGR, MATCH(N732,AllCollegeNCES,0)))</f>
        <v>0</v>
      </c>
      <c r="Z732">
        <f>IF(OR(T732="H",T732="B"),INDEX(AllCollegeACT25, MATCH(N732,AllCollegeNCES,0)),INDEX(AllCollegeACT50, MATCH(N732,AllCollegeNCES,0)))</f>
        <v>0</v>
      </c>
      <c r="AA732">
        <f>INDEX(CustomWeightsGPA,MATCH(T732&amp;":"&amp;N732,CustomWeightsIndex,0))</f>
        <v>0</v>
      </c>
      <c r="AB732">
        <f>INDEX(CustomWeightsACT,MATCH(T732&amp;":"&amp;N732,CustomWeightsIndex,0))</f>
        <v>0</v>
      </c>
      <c r="AC732">
        <f>INDEX(CustomWeightsIntercept,MATCH(T732&amp;":"&amp;N732,CustomWeightsIndex,0))</f>
        <v>0</v>
      </c>
      <c r="AD732">
        <f>AA732*P732+AB732*Q732+AC732</f>
        <v>0</v>
      </c>
      <c r="AE732">
        <f>INDEX(CoefficientsGPA,MATCH(T732&amp;":"&amp;O732,CoefficientsIndex,0))</f>
        <v>0</v>
      </c>
      <c r="AF732">
        <f>INDEX(CoefficientsACT,MATCH(T732&amp;":"&amp;O732,CoefficientsIndex,0))</f>
        <v>0</v>
      </c>
      <c r="AG732">
        <f>INDEX(CoefficientsIntercept,MATCH(T732&amp;":"&amp;O732,CoefficientsIndex,0))</f>
        <v>0</v>
      </c>
      <c r="AH732">
        <f>AE732*P732+(Q732-Z732)*AF732+AG732</f>
        <v>0</v>
      </c>
      <c r="AI732">
        <f>IF(ISNUMBER(AD732),AD732,AH732)</f>
        <v>0</v>
      </c>
      <c r="AJ732">
        <f>IF(ISNUMBER(AI732),IF(ISNUMBER(AE732),IF(AND(AE732=1,AF732=1,AG732=1),100,ROUND(100*EXP(AI732)/(1+EXP(AI732)),2)),ROUND(100*EXP(AI732)/(1+EXP(AI732)),2)),IF(ISTEXT(O732),IF(LEFT(O732,1)="2",100,"N/A"),"N/A"))</f>
        <v>0</v>
      </c>
      <c r="AK732">
        <f>IF(ISNUMBER(AJ732),IF(AJ732&gt;=99,IF(OR(R732=10,R732=11),MatchLabel,SureThingLabel),IF(AJ732&gt;=95,SecureLabel,IF(AJ732&gt;=80,SafetyLabel,IF(AJ732&gt;=50,MatchLabel,IF(AJ732&gt;=20,ReachLabel,IF(AJ732&gt;=10,LongshotLabel,HailMaryLabel)))))),"Other")</f>
        <v>0</v>
      </c>
      <c r="AL732">
        <f>IF(OR(I732="accepted",I732="cond. accept",I732="summer admit"),IF(J732="yes","CHOICE!","Accepted!"),IF(I732="denied","Denied",IF(K732=1,"Waitlist",IF(L732=1,"Deferred",IF(G732="pending","Pending",IF(OR(G732="initial materials submitted",G732="mid-year submitted",G732="final submitted"),"Submitted",IF(H732="interest","Interest","?")))))))</f>
        <v>0</v>
      </c>
      <c r="AM732">
        <f>IF(OR(AK732=ReachLabel,AK732=LongshotLabel,AK732=HailMaryLabel),1,0)</f>
        <v>0</v>
      </c>
      <c r="AN732">
        <f>IF(OR(AM732=1,AK732=MatchLabel),1,0)</f>
        <v>0</v>
      </c>
      <c r="AO732">
        <f>IF(OR(AK732=MatchLabel,AK732=SafetyLabel,AK732=SecureLabel,AK732=SureThingLabel),1,0)</f>
        <v>0</v>
      </c>
      <c r="AP732">
        <f>IF(OR(T732="H",T732="B"),IF(ISNUMBER(Y732),ROUND(Y732,2),0),IF(ISNUMBER(X732),ROUND(X732,2),0))</f>
        <v>0</v>
      </c>
      <c r="AQ732">
        <f>IF(AP732&gt;=U732,1,0)</f>
        <v>0</v>
      </c>
      <c r="AR732">
        <f>IF(AP732&gt;=V732,1,0)</f>
        <v>0</v>
      </c>
      <c r="AS732">
        <f>IF(AP732&lt;(U732-0.10),1,0)</f>
        <v>0</v>
      </c>
      <c r="AT732">
        <f>1-AJ732/100</f>
        <v>0</v>
      </c>
      <c r="AU732">
        <f>IF(AN732=1,AT732,1)</f>
        <v>0</v>
      </c>
      <c r="AV732">
        <f>IF(AM732=1,AT732,1)</f>
        <v>0</v>
      </c>
      <c r="AW732">
        <f>IF(AND(AQ732=1,ISNUMBER(AT732)),$AT732,1)</f>
        <v>0</v>
      </c>
      <c r="AX732">
        <f>IF(AND(AR732=1,ISNUMBER(AT732)),$AT732,1)</f>
        <v>0</v>
      </c>
      <c r="AY732">
        <f>IF(ISNUMBER(Y732),INDEX(AllCollegeMoney, MATCH(N732,AllCollegeNCES,0)),0)</f>
        <v>0</v>
      </c>
      <c r="AZ732">
        <f>IF(AND(AQ732=1,ISNUMBER(AT732),AY732=1),$AT732,1)</f>
        <v>0</v>
      </c>
      <c r="BA732">
        <f>IF(AND(AR732=1,ISNUMBER(AT732),AY732=1),$AT732,1)</f>
        <v>0</v>
      </c>
      <c r="BB732">
        <f>IF(ISNUMBER(Y732),INDEX(AllCollegeILPub, MATCH(N732,AllCollegeNCES,0)),0)</f>
        <v>0</v>
      </c>
      <c r="BC732">
        <f>IF(AK732=ReachLabel,AP732,0)</f>
        <v>0</v>
      </c>
      <c r="BD732">
        <f>IF(AK732=MatchLabel,AP732,0)</f>
        <v>0</v>
      </c>
      <c r="BE732">
        <f>IF(AK732=SafetyLabel,AP732,0)</f>
        <v>0</v>
      </c>
      <c r="BF732">
        <f>IF(AK732=SecureLabel,AP732,0)</f>
        <v>0</v>
      </c>
      <c r="BG732">
        <f>IF(AK732=SureThingLabel,AP732,0)</f>
        <v>0</v>
      </c>
      <c r="BH732">
        <f>MAX(BC732:BG732)</f>
        <v>0</v>
      </c>
      <c r="BI732">
        <f>MAX(BD732:BG732)</f>
        <v>0</v>
      </c>
      <c r="BJ732">
        <f>MAX(BE732:BG732)</f>
        <v>0</v>
      </c>
      <c r="BK732">
        <f>IF(AND(AK732=ReachLabel,AY732=1),AP732,0)</f>
        <v>0</v>
      </c>
      <c r="BL732">
        <f>IF(AND(AK732=MatchLabel,AY732=1),AP732,0)</f>
        <v>0</v>
      </c>
      <c r="BM732">
        <f>IF(AND(AK732=SafetyLabel,AY732=1),AP732,0)</f>
        <v>0</v>
      </c>
      <c r="BN732">
        <f>IF(AND(AK732=SecureLabel,AY732=1),AP732,0)</f>
        <v>0</v>
      </c>
      <c r="BO732">
        <f>IF(AND(AK732=SureThingLabel,AY732=1),AP732,0)</f>
        <v>0</v>
      </c>
      <c r="BP732">
        <f>MAX(BK732:BO732)</f>
        <v>0</v>
      </c>
      <c r="BQ732">
        <f>MAX(BL732:BO732)</f>
        <v>0</v>
      </c>
      <c r="BR732">
        <f>MAX(BM732:BO732)</f>
        <v>0</v>
      </c>
      <c r="BS732">
        <f>IF(ISNUMBER(Y732),INDEX(AllCollegeChicago, MATCH(N732,AllCollegeNCES,0))*AY732,0)</f>
        <v>0</v>
      </c>
      <c r="BT732">
        <f>IF(ISNUMBER(Y732),INDEX(AllCollegeMoneyCode, MATCH(N732,AllCollegeNCES,0)),"?")</f>
        <v>0</v>
      </c>
      <c r="BU732">
        <f>IF(OR(BT732="---",BT732="--",BT732="+/--",BT732="+/---"),1,0)</f>
        <v>0</v>
      </c>
      <c r="BV732">
        <f>AY732*AO732*AQ732</f>
        <v>0</v>
      </c>
    </row>
    <row r="733" spans="1:74">
      <c r="A733" t="s">
        <v>86</v>
      </c>
      <c r="B733">
        <v>30313392</v>
      </c>
      <c r="C733" t="s">
        <v>224</v>
      </c>
      <c r="D733" t="s">
        <v>225</v>
      </c>
      <c r="E733" t="s">
        <v>428</v>
      </c>
      <c r="F733" t="s">
        <v>487</v>
      </c>
      <c r="G733" t="s">
        <v>430</v>
      </c>
      <c r="H733" t="s">
        <v>431</v>
      </c>
      <c r="I733" t="s">
        <v>432</v>
      </c>
      <c r="J733" t="s">
        <v>432</v>
      </c>
      <c r="K733">
        <v>0</v>
      </c>
      <c r="L733" t="s">
        <v>428</v>
      </c>
      <c r="M733" t="s">
        <v>428</v>
      </c>
      <c r="N733">
        <v>144351</v>
      </c>
      <c r="O733">
        <f>INDEX(AllCollegeBarrons,MATCH(N733,AllCollegeNCES,0))</f>
        <v>0</v>
      </c>
      <c r="P733">
        <f>INDEX(KidGPAs,MATCH(B733,KidIDs,0))</f>
        <v>0</v>
      </c>
      <c r="Q733">
        <f>INDEX(KidACTs,MATCH(B733,KidIDs,0))</f>
        <v>0</v>
      </c>
      <c r="R733">
        <f>INDEX(Strats,MATCH(B733,KidIDs,0))</f>
        <v>0</v>
      </c>
      <c r="S733">
        <f>INDEX(KidRace,MATCH(B733,KidIDs,0))</f>
        <v>0</v>
      </c>
      <c r="T733">
        <f>IF(OR(S733="M",S733="I"),"H",S733)</f>
        <v>0</v>
      </c>
      <c r="U733">
        <f>INDEX(StudentTargets,MATCH(B733,KidIDs,0))</f>
        <v>0</v>
      </c>
      <c r="V733">
        <f>INDEX(ReachStudentTargets,MATCH(B733,KidIDs,0))</f>
        <v>0</v>
      </c>
      <c r="W733">
        <f>IF(OR(M733="Posse"),1,0)</f>
        <v>0</v>
      </c>
      <c r="X733">
        <f>IF(ISNUMBER(INDEX(AllCollegeGR, MATCH(N733,AllCollegeNCES,0))),ROUND(INDEX(AllCollegeGR, MATCH(N733,AllCollegeNCES,0))+W733*IF(INDEX(AllCollegeGR, MATCH(N733,AllCollegeNCES,0))&gt;0.7,(1-INDEX(AllCollegeGR, MATCH(N733,AllCollegeNCES,0)))/2,0.15),2),INDEX(AllCollegeGR, MATCH(N733,AllCollegeNCES,0)))</f>
        <v>0</v>
      </c>
      <c r="Y733">
        <f>IF(ISNUMBER(INDEX(AllCollegeAAHGR, MATCH(N733,AllCollegeNCES,0))),ROUND(INDEX(AllCollegeAAHGR, MATCH(N733,AllCollegeNCES,0))+W733*IF(INDEX(AllCollegeAAHGR, MATCH(N733,AllCollegeNCES,0))&gt;0.7,(1-INDEX(AllCollegeAAHGR, MATCH(N733,AllCollegeNCES,0)))/2,0.15),2),INDEX(AllCollegeAAHGR, MATCH(N733,AllCollegeNCES,0)))</f>
        <v>0</v>
      </c>
      <c r="Z733">
        <f>IF(OR(T733="H",T733="B"),INDEX(AllCollegeACT25, MATCH(N733,AllCollegeNCES,0)),INDEX(AllCollegeACT50, MATCH(N733,AllCollegeNCES,0)))</f>
        <v>0</v>
      </c>
      <c r="AA733">
        <f>INDEX(CustomWeightsGPA,MATCH(T733&amp;":"&amp;N733,CustomWeightsIndex,0))</f>
        <v>0</v>
      </c>
      <c r="AB733">
        <f>INDEX(CustomWeightsACT,MATCH(T733&amp;":"&amp;N733,CustomWeightsIndex,0))</f>
        <v>0</v>
      </c>
      <c r="AC733">
        <f>INDEX(CustomWeightsIntercept,MATCH(T733&amp;":"&amp;N733,CustomWeightsIndex,0))</f>
        <v>0</v>
      </c>
      <c r="AD733">
        <f>AA733*P733+AB733*Q733+AC733</f>
        <v>0</v>
      </c>
      <c r="AE733">
        <f>INDEX(CoefficientsGPA,MATCH(T733&amp;":"&amp;O733,CoefficientsIndex,0))</f>
        <v>0</v>
      </c>
      <c r="AF733">
        <f>INDEX(CoefficientsACT,MATCH(T733&amp;":"&amp;O733,CoefficientsIndex,0))</f>
        <v>0</v>
      </c>
      <c r="AG733">
        <f>INDEX(CoefficientsIntercept,MATCH(T733&amp;":"&amp;O733,CoefficientsIndex,0))</f>
        <v>0</v>
      </c>
      <c r="AH733">
        <f>AE733*P733+(Q733-Z733)*AF733+AG733</f>
        <v>0</v>
      </c>
      <c r="AI733">
        <f>IF(ISNUMBER(AD733),AD733,AH733)</f>
        <v>0</v>
      </c>
      <c r="AJ733">
        <f>IF(ISNUMBER(AI733),IF(ISNUMBER(AE733),IF(AND(AE733=1,AF733=1,AG733=1),100,ROUND(100*EXP(AI733)/(1+EXP(AI733)),2)),ROUND(100*EXP(AI733)/(1+EXP(AI733)),2)),IF(ISTEXT(O733),IF(LEFT(O733,1)="2",100,"N/A"),"N/A"))</f>
        <v>0</v>
      </c>
      <c r="AK733">
        <f>IF(ISNUMBER(AJ733),IF(AJ733&gt;=99,IF(OR(R733=10,R733=11),MatchLabel,SureThingLabel),IF(AJ733&gt;=95,SecureLabel,IF(AJ733&gt;=80,SafetyLabel,IF(AJ733&gt;=50,MatchLabel,IF(AJ733&gt;=20,ReachLabel,IF(AJ733&gt;=10,LongshotLabel,HailMaryLabel)))))),"Other")</f>
        <v>0</v>
      </c>
      <c r="AL733">
        <f>IF(OR(I733="accepted",I733="cond. accept",I733="summer admit"),IF(J733="yes","CHOICE!","Accepted!"),IF(I733="denied","Denied",IF(K733=1,"Waitlist",IF(L733=1,"Deferred",IF(G733="pending","Pending",IF(OR(G733="initial materials submitted",G733="mid-year submitted",G733="final submitted"),"Submitted",IF(H733="interest","Interest","?")))))))</f>
        <v>0</v>
      </c>
      <c r="AM733">
        <f>IF(OR(AK733=ReachLabel,AK733=LongshotLabel,AK733=HailMaryLabel),1,0)</f>
        <v>0</v>
      </c>
      <c r="AN733">
        <f>IF(OR(AM733=1,AK733=MatchLabel),1,0)</f>
        <v>0</v>
      </c>
      <c r="AO733">
        <f>IF(OR(AK733=MatchLabel,AK733=SafetyLabel,AK733=SecureLabel,AK733=SureThingLabel),1,0)</f>
        <v>0</v>
      </c>
      <c r="AP733">
        <f>IF(OR(T733="H",T733="B"),IF(ISNUMBER(Y733),ROUND(Y733,2),0),IF(ISNUMBER(X733),ROUND(X733,2),0))</f>
        <v>0</v>
      </c>
      <c r="AQ733">
        <f>IF(AP733&gt;=U733,1,0)</f>
        <v>0</v>
      </c>
      <c r="AR733">
        <f>IF(AP733&gt;=V733,1,0)</f>
        <v>0</v>
      </c>
      <c r="AS733">
        <f>IF(AP733&lt;(U733-0.10),1,0)</f>
        <v>0</v>
      </c>
      <c r="AT733">
        <f>1-AJ733/100</f>
        <v>0</v>
      </c>
      <c r="AU733">
        <f>IF(AN733=1,AT733,1)</f>
        <v>0</v>
      </c>
      <c r="AV733">
        <f>IF(AM733=1,AT733,1)</f>
        <v>0</v>
      </c>
      <c r="AW733">
        <f>IF(AND(AQ733=1,ISNUMBER(AT733)),$AT733,1)</f>
        <v>0</v>
      </c>
      <c r="AX733">
        <f>IF(AND(AR733=1,ISNUMBER(AT733)),$AT733,1)</f>
        <v>0</v>
      </c>
      <c r="AY733">
        <f>IF(ISNUMBER(Y733),INDEX(AllCollegeMoney, MATCH(N733,AllCollegeNCES,0)),0)</f>
        <v>0</v>
      </c>
      <c r="AZ733">
        <f>IF(AND(AQ733=1,ISNUMBER(AT733),AY733=1),$AT733,1)</f>
        <v>0</v>
      </c>
      <c r="BA733">
        <f>IF(AND(AR733=1,ISNUMBER(AT733),AY733=1),$AT733,1)</f>
        <v>0</v>
      </c>
      <c r="BB733">
        <f>IF(ISNUMBER(Y733),INDEX(AllCollegeILPub, MATCH(N733,AllCollegeNCES,0)),0)</f>
        <v>0</v>
      </c>
      <c r="BC733">
        <f>IF(AK733=ReachLabel,AP733,0)</f>
        <v>0</v>
      </c>
      <c r="BD733">
        <f>IF(AK733=MatchLabel,AP733,0)</f>
        <v>0</v>
      </c>
      <c r="BE733">
        <f>IF(AK733=SafetyLabel,AP733,0)</f>
        <v>0</v>
      </c>
      <c r="BF733">
        <f>IF(AK733=SecureLabel,AP733,0)</f>
        <v>0</v>
      </c>
      <c r="BG733">
        <f>IF(AK733=SureThingLabel,AP733,0)</f>
        <v>0</v>
      </c>
      <c r="BH733">
        <f>MAX(BC733:BG733)</f>
        <v>0</v>
      </c>
      <c r="BI733">
        <f>MAX(BD733:BG733)</f>
        <v>0</v>
      </c>
      <c r="BJ733">
        <f>MAX(BE733:BG733)</f>
        <v>0</v>
      </c>
      <c r="BK733">
        <f>IF(AND(AK733=ReachLabel,AY733=1),AP733,0)</f>
        <v>0</v>
      </c>
      <c r="BL733">
        <f>IF(AND(AK733=MatchLabel,AY733=1),AP733,0)</f>
        <v>0</v>
      </c>
      <c r="BM733">
        <f>IF(AND(AK733=SafetyLabel,AY733=1),AP733,0)</f>
        <v>0</v>
      </c>
      <c r="BN733">
        <f>IF(AND(AK733=SecureLabel,AY733=1),AP733,0)</f>
        <v>0</v>
      </c>
      <c r="BO733">
        <f>IF(AND(AK733=SureThingLabel,AY733=1),AP733,0)</f>
        <v>0</v>
      </c>
      <c r="BP733">
        <f>MAX(BK733:BO733)</f>
        <v>0</v>
      </c>
      <c r="BQ733">
        <f>MAX(BL733:BO733)</f>
        <v>0</v>
      </c>
      <c r="BR733">
        <f>MAX(BM733:BO733)</f>
        <v>0</v>
      </c>
      <c r="BS733">
        <f>IF(ISNUMBER(Y733),INDEX(AllCollegeChicago, MATCH(N733,AllCollegeNCES,0))*AY733,0)</f>
        <v>0</v>
      </c>
      <c r="BT733">
        <f>IF(ISNUMBER(Y733),INDEX(AllCollegeMoneyCode, MATCH(N733,AllCollegeNCES,0)),"?")</f>
        <v>0</v>
      </c>
      <c r="BU733">
        <f>IF(OR(BT733="---",BT733="--",BT733="+/--",BT733="+/---"),1,0)</f>
        <v>0</v>
      </c>
      <c r="BV733">
        <f>AY733*AO733*AQ733</f>
        <v>0</v>
      </c>
    </row>
    <row r="734" spans="1:74">
      <c r="A734" t="s">
        <v>86</v>
      </c>
      <c r="B734">
        <v>30313392</v>
      </c>
      <c r="C734" t="s">
        <v>224</v>
      </c>
      <c r="D734" t="s">
        <v>225</v>
      </c>
      <c r="E734" t="s">
        <v>428</v>
      </c>
      <c r="F734" t="s">
        <v>445</v>
      </c>
      <c r="G734" t="s">
        <v>430</v>
      </c>
      <c r="H734" t="s">
        <v>431</v>
      </c>
      <c r="I734" t="s">
        <v>432</v>
      </c>
      <c r="J734" t="s">
        <v>432</v>
      </c>
      <c r="K734">
        <v>0</v>
      </c>
      <c r="L734" t="s">
        <v>428</v>
      </c>
      <c r="M734" t="s">
        <v>428</v>
      </c>
      <c r="N734">
        <v>147776</v>
      </c>
      <c r="O734">
        <f>INDEX(AllCollegeBarrons,MATCH(N734,AllCollegeNCES,0))</f>
        <v>0</v>
      </c>
      <c r="P734">
        <f>INDEX(KidGPAs,MATCH(B734,KidIDs,0))</f>
        <v>0</v>
      </c>
      <c r="Q734">
        <f>INDEX(KidACTs,MATCH(B734,KidIDs,0))</f>
        <v>0</v>
      </c>
      <c r="R734">
        <f>INDEX(Strats,MATCH(B734,KidIDs,0))</f>
        <v>0</v>
      </c>
      <c r="S734">
        <f>INDEX(KidRace,MATCH(B734,KidIDs,0))</f>
        <v>0</v>
      </c>
      <c r="T734">
        <f>IF(OR(S734="M",S734="I"),"H",S734)</f>
        <v>0</v>
      </c>
      <c r="U734">
        <f>INDEX(StudentTargets,MATCH(B734,KidIDs,0))</f>
        <v>0</v>
      </c>
      <c r="V734">
        <f>INDEX(ReachStudentTargets,MATCH(B734,KidIDs,0))</f>
        <v>0</v>
      </c>
      <c r="W734">
        <f>IF(OR(M734="Posse"),1,0)</f>
        <v>0</v>
      </c>
      <c r="X734">
        <f>IF(ISNUMBER(INDEX(AllCollegeGR, MATCH(N734,AllCollegeNCES,0))),ROUND(INDEX(AllCollegeGR, MATCH(N734,AllCollegeNCES,0))+W734*IF(INDEX(AllCollegeGR, MATCH(N734,AllCollegeNCES,0))&gt;0.7,(1-INDEX(AllCollegeGR, MATCH(N734,AllCollegeNCES,0)))/2,0.15),2),INDEX(AllCollegeGR, MATCH(N734,AllCollegeNCES,0)))</f>
        <v>0</v>
      </c>
      <c r="Y734">
        <f>IF(ISNUMBER(INDEX(AllCollegeAAHGR, MATCH(N734,AllCollegeNCES,0))),ROUND(INDEX(AllCollegeAAHGR, MATCH(N734,AllCollegeNCES,0))+W734*IF(INDEX(AllCollegeAAHGR, MATCH(N734,AllCollegeNCES,0))&gt;0.7,(1-INDEX(AllCollegeAAHGR, MATCH(N734,AllCollegeNCES,0)))/2,0.15),2),INDEX(AllCollegeAAHGR, MATCH(N734,AllCollegeNCES,0)))</f>
        <v>0</v>
      </c>
      <c r="Z734">
        <f>IF(OR(T734="H",T734="B"),INDEX(AllCollegeACT25, MATCH(N734,AllCollegeNCES,0)),INDEX(AllCollegeACT50, MATCH(N734,AllCollegeNCES,0)))</f>
        <v>0</v>
      </c>
      <c r="AA734">
        <f>INDEX(CustomWeightsGPA,MATCH(T734&amp;":"&amp;N734,CustomWeightsIndex,0))</f>
        <v>0</v>
      </c>
      <c r="AB734">
        <f>INDEX(CustomWeightsACT,MATCH(T734&amp;":"&amp;N734,CustomWeightsIndex,0))</f>
        <v>0</v>
      </c>
      <c r="AC734">
        <f>INDEX(CustomWeightsIntercept,MATCH(T734&amp;":"&amp;N734,CustomWeightsIndex,0))</f>
        <v>0</v>
      </c>
      <c r="AD734">
        <f>AA734*P734+AB734*Q734+AC734</f>
        <v>0</v>
      </c>
      <c r="AE734">
        <f>INDEX(CoefficientsGPA,MATCH(T734&amp;":"&amp;O734,CoefficientsIndex,0))</f>
        <v>0</v>
      </c>
      <c r="AF734">
        <f>INDEX(CoefficientsACT,MATCH(T734&amp;":"&amp;O734,CoefficientsIndex,0))</f>
        <v>0</v>
      </c>
      <c r="AG734">
        <f>INDEX(CoefficientsIntercept,MATCH(T734&amp;":"&amp;O734,CoefficientsIndex,0))</f>
        <v>0</v>
      </c>
      <c r="AH734">
        <f>AE734*P734+(Q734-Z734)*AF734+AG734</f>
        <v>0</v>
      </c>
      <c r="AI734">
        <f>IF(ISNUMBER(AD734),AD734,AH734)</f>
        <v>0</v>
      </c>
      <c r="AJ734">
        <f>IF(ISNUMBER(AI734),IF(ISNUMBER(AE734),IF(AND(AE734=1,AF734=1,AG734=1),100,ROUND(100*EXP(AI734)/(1+EXP(AI734)),2)),ROUND(100*EXP(AI734)/(1+EXP(AI734)),2)),IF(ISTEXT(O734),IF(LEFT(O734,1)="2",100,"N/A"),"N/A"))</f>
        <v>0</v>
      </c>
      <c r="AK734">
        <f>IF(ISNUMBER(AJ734),IF(AJ734&gt;=99,IF(OR(R734=10,R734=11),MatchLabel,SureThingLabel),IF(AJ734&gt;=95,SecureLabel,IF(AJ734&gt;=80,SafetyLabel,IF(AJ734&gt;=50,MatchLabel,IF(AJ734&gt;=20,ReachLabel,IF(AJ734&gt;=10,LongshotLabel,HailMaryLabel)))))),"Other")</f>
        <v>0</v>
      </c>
      <c r="AL734">
        <f>IF(OR(I734="accepted",I734="cond. accept",I734="summer admit"),IF(J734="yes","CHOICE!","Accepted!"),IF(I734="denied","Denied",IF(K734=1,"Waitlist",IF(L734=1,"Deferred",IF(G734="pending","Pending",IF(OR(G734="initial materials submitted",G734="mid-year submitted",G734="final submitted"),"Submitted",IF(H734="interest","Interest","?")))))))</f>
        <v>0</v>
      </c>
      <c r="AM734">
        <f>IF(OR(AK734=ReachLabel,AK734=LongshotLabel,AK734=HailMaryLabel),1,0)</f>
        <v>0</v>
      </c>
      <c r="AN734">
        <f>IF(OR(AM734=1,AK734=MatchLabel),1,0)</f>
        <v>0</v>
      </c>
      <c r="AO734">
        <f>IF(OR(AK734=MatchLabel,AK734=SafetyLabel,AK734=SecureLabel,AK734=SureThingLabel),1,0)</f>
        <v>0</v>
      </c>
      <c r="AP734">
        <f>IF(OR(T734="H",T734="B"),IF(ISNUMBER(Y734),ROUND(Y734,2),0),IF(ISNUMBER(X734),ROUND(X734,2),0))</f>
        <v>0</v>
      </c>
      <c r="AQ734">
        <f>IF(AP734&gt;=U734,1,0)</f>
        <v>0</v>
      </c>
      <c r="AR734">
        <f>IF(AP734&gt;=V734,1,0)</f>
        <v>0</v>
      </c>
      <c r="AS734">
        <f>IF(AP734&lt;(U734-0.10),1,0)</f>
        <v>0</v>
      </c>
      <c r="AT734">
        <f>1-AJ734/100</f>
        <v>0</v>
      </c>
      <c r="AU734">
        <f>IF(AN734=1,AT734,1)</f>
        <v>0</v>
      </c>
      <c r="AV734">
        <f>IF(AM734=1,AT734,1)</f>
        <v>0</v>
      </c>
      <c r="AW734">
        <f>IF(AND(AQ734=1,ISNUMBER(AT734)),$AT734,1)</f>
        <v>0</v>
      </c>
      <c r="AX734">
        <f>IF(AND(AR734=1,ISNUMBER(AT734)),$AT734,1)</f>
        <v>0</v>
      </c>
      <c r="AY734">
        <f>IF(ISNUMBER(Y734),INDEX(AllCollegeMoney, MATCH(N734,AllCollegeNCES,0)),0)</f>
        <v>0</v>
      </c>
      <c r="AZ734">
        <f>IF(AND(AQ734=1,ISNUMBER(AT734),AY734=1),$AT734,1)</f>
        <v>0</v>
      </c>
      <c r="BA734">
        <f>IF(AND(AR734=1,ISNUMBER(AT734),AY734=1),$AT734,1)</f>
        <v>0</v>
      </c>
      <c r="BB734">
        <f>IF(ISNUMBER(Y734),INDEX(AllCollegeILPub, MATCH(N734,AllCollegeNCES,0)),0)</f>
        <v>0</v>
      </c>
      <c r="BC734">
        <f>IF(AK734=ReachLabel,AP734,0)</f>
        <v>0</v>
      </c>
      <c r="BD734">
        <f>IF(AK734=MatchLabel,AP734,0)</f>
        <v>0</v>
      </c>
      <c r="BE734">
        <f>IF(AK734=SafetyLabel,AP734,0)</f>
        <v>0</v>
      </c>
      <c r="BF734">
        <f>IF(AK734=SecureLabel,AP734,0)</f>
        <v>0</v>
      </c>
      <c r="BG734">
        <f>IF(AK734=SureThingLabel,AP734,0)</f>
        <v>0</v>
      </c>
      <c r="BH734">
        <f>MAX(BC734:BG734)</f>
        <v>0</v>
      </c>
      <c r="BI734">
        <f>MAX(BD734:BG734)</f>
        <v>0</v>
      </c>
      <c r="BJ734">
        <f>MAX(BE734:BG734)</f>
        <v>0</v>
      </c>
      <c r="BK734">
        <f>IF(AND(AK734=ReachLabel,AY734=1),AP734,0)</f>
        <v>0</v>
      </c>
      <c r="BL734">
        <f>IF(AND(AK734=MatchLabel,AY734=1),AP734,0)</f>
        <v>0</v>
      </c>
      <c r="BM734">
        <f>IF(AND(AK734=SafetyLabel,AY734=1),AP734,0)</f>
        <v>0</v>
      </c>
      <c r="BN734">
        <f>IF(AND(AK734=SecureLabel,AY734=1),AP734,0)</f>
        <v>0</v>
      </c>
      <c r="BO734">
        <f>IF(AND(AK734=SureThingLabel,AY734=1),AP734,0)</f>
        <v>0</v>
      </c>
      <c r="BP734">
        <f>MAX(BK734:BO734)</f>
        <v>0</v>
      </c>
      <c r="BQ734">
        <f>MAX(BL734:BO734)</f>
        <v>0</v>
      </c>
      <c r="BR734">
        <f>MAX(BM734:BO734)</f>
        <v>0</v>
      </c>
      <c r="BS734">
        <f>IF(ISNUMBER(Y734),INDEX(AllCollegeChicago, MATCH(N734,AllCollegeNCES,0))*AY734,0)</f>
        <v>0</v>
      </c>
      <c r="BT734">
        <f>IF(ISNUMBER(Y734),INDEX(AllCollegeMoneyCode, MATCH(N734,AllCollegeNCES,0)),"?")</f>
        <v>0</v>
      </c>
      <c r="BU734">
        <f>IF(OR(BT734="---",BT734="--",BT734="+/--",BT734="+/---"),1,0)</f>
        <v>0</v>
      </c>
      <c r="BV734">
        <f>AY734*AO734*AQ734</f>
        <v>0</v>
      </c>
    </row>
    <row r="735" spans="1:74">
      <c r="A735" t="s">
        <v>86</v>
      </c>
      <c r="B735">
        <v>30313392</v>
      </c>
      <c r="C735" t="s">
        <v>224</v>
      </c>
      <c r="D735" t="s">
        <v>225</v>
      </c>
      <c r="E735" t="s">
        <v>428</v>
      </c>
      <c r="F735" t="s">
        <v>589</v>
      </c>
      <c r="G735" t="s">
        <v>430</v>
      </c>
      <c r="H735" t="s">
        <v>431</v>
      </c>
      <c r="I735" t="s">
        <v>432</v>
      </c>
      <c r="J735" t="s">
        <v>432</v>
      </c>
      <c r="K735">
        <v>0</v>
      </c>
      <c r="L735" t="s">
        <v>428</v>
      </c>
      <c r="M735" t="s">
        <v>428</v>
      </c>
      <c r="N735">
        <v>146393</v>
      </c>
      <c r="O735">
        <f>INDEX(AllCollegeBarrons,MATCH(N735,AllCollegeNCES,0))</f>
        <v>0</v>
      </c>
      <c r="P735">
        <f>INDEX(KidGPAs,MATCH(B735,KidIDs,0))</f>
        <v>0</v>
      </c>
      <c r="Q735">
        <f>INDEX(KidACTs,MATCH(B735,KidIDs,0))</f>
        <v>0</v>
      </c>
      <c r="R735">
        <f>INDEX(Strats,MATCH(B735,KidIDs,0))</f>
        <v>0</v>
      </c>
      <c r="S735">
        <f>INDEX(KidRace,MATCH(B735,KidIDs,0))</f>
        <v>0</v>
      </c>
      <c r="T735">
        <f>IF(OR(S735="M",S735="I"),"H",S735)</f>
        <v>0</v>
      </c>
      <c r="U735">
        <f>INDEX(StudentTargets,MATCH(B735,KidIDs,0))</f>
        <v>0</v>
      </c>
      <c r="V735">
        <f>INDEX(ReachStudentTargets,MATCH(B735,KidIDs,0))</f>
        <v>0</v>
      </c>
      <c r="W735">
        <f>IF(OR(M735="Posse"),1,0)</f>
        <v>0</v>
      </c>
      <c r="X735">
        <f>IF(ISNUMBER(INDEX(AllCollegeGR, MATCH(N735,AllCollegeNCES,0))),ROUND(INDEX(AllCollegeGR, MATCH(N735,AllCollegeNCES,0))+W735*IF(INDEX(AllCollegeGR, MATCH(N735,AllCollegeNCES,0))&gt;0.7,(1-INDEX(AllCollegeGR, MATCH(N735,AllCollegeNCES,0)))/2,0.15),2),INDEX(AllCollegeGR, MATCH(N735,AllCollegeNCES,0)))</f>
        <v>0</v>
      </c>
      <c r="Y735">
        <f>IF(ISNUMBER(INDEX(AllCollegeAAHGR, MATCH(N735,AllCollegeNCES,0))),ROUND(INDEX(AllCollegeAAHGR, MATCH(N735,AllCollegeNCES,0))+W735*IF(INDEX(AllCollegeAAHGR, MATCH(N735,AllCollegeNCES,0))&gt;0.7,(1-INDEX(AllCollegeAAHGR, MATCH(N735,AllCollegeNCES,0)))/2,0.15),2),INDEX(AllCollegeAAHGR, MATCH(N735,AllCollegeNCES,0)))</f>
        <v>0</v>
      </c>
      <c r="Z735">
        <f>IF(OR(T735="H",T735="B"),INDEX(AllCollegeACT25, MATCH(N735,AllCollegeNCES,0)),INDEX(AllCollegeACT50, MATCH(N735,AllCollegeNCES,0)))</f>
        <v>0</v>
      </c>
      <c r="AA735">
        <f>INDEX(CustomWeightsGPA,MATCH(T735&amp;":"&amp;N735,CustomWeightsIndex,0))</f>
        <v>0</v>
      </c>
      <c r="AB735">
        <f>INDEX(CustomWeightsACT,MATCH(T735&amp;":"&amp;N735,CustomWeightsIndex,0))</f>
        <v>0</v>
      </c>
      <c r="AC735">
        <f>INDEX(CustomWeightsIntercept,MATCH(T735&amp;":"&amp;N735,CustomWeightsIndex,0))</f>
        <v>0</v>
      </c>
      <c r="AD735">
        <f>AA735*P735+AB735*Q735+AC735</f>
        <v>0</v>
      </c>
      <c r="AE735">
        <f>INDEX(CoefficientsGPA,MATCH(T735&amp;":"&amp;O735,CoefficientsIndex,0))</f>
        <v>0</v>
      </c>
      <c r="AF735">
        <f>INDEX(CoefficientsACT,MATCH(T735&amp;":"&amp;O735,CoefficientsIndex,0))</f>
        <v>0</v>
      </c>
      <c r="AG735">
        <f>INDEX(CoefficientsIntercept,MATCH(T735&amp;":"&amp;O735,CoefficientsIndex,0))</f>
        <v>0</v>
      </c>
      <c r="AH735">
        <f>AE735*P735+(Q735-Z735)*AF735+AG735</f>
        <v>0</v>
      </c>
      <c r="AI735">
        <f>IF(ISNUMBER(AD735),AD735,AH735)</f>
        <v>0</v>
      </c>
      <c r="AJ735">
        <f>IF(ISNUMBER(AI735),IF(ISNUMBER(AE735),IF(AND(AE735=1,AF735=1,AG735=1),100,ROUND(100*EXP(AI735)/(1+EXP(AI735)),2)),ROUND(100*EXP(AI735)/(1+EXP(AI735)),2)),IF(ISTEXT(O735),IF(LEFT(O735,1)="2",100,"N/A"),"N/A"))</f>
        <v>0</v>
      </c>
      <c r="AK735">
        <f>IF(ISNUMBER(AJ735),IF(AJ735&gt;=99,IF(OR(R735=10,R735=11),MatchLabel,SureThingLabel),IF(AJ735&gt;=95,SecureLabel,IF(AJ735&gt;=80,SafetyLabel,IF(AJ735&gt;=50,MatchLabel,IF(AJ735&gt;=20,ReachLabel,IF(AJ735&gt;=10,LongshotLabel,HailMaryLabel)))))),"Other")</f>
        <v>0</v>
      </c>
      <c r="AL735">
        <f>IF(OR(I735="accepted",I735="cond. accept",I735="summer admit"),IF(J735="yes","CHOICE!","Accepted!"),IF(I735="denied","Denied",IF(K735=1,"Waitlist",IF(L735=1,"Deferred",IF(G735="pending","Pending",IF(OR(G735="initial materials submitted",G735="mid-year submitted",G735="final submitted"),"Submitted",IF(H735="interest","Interest","?")))))))</f>
        <v>0</v>
      </c>
      <c r="AM735">
        <f>IF(OR(AK735=ReachLabel,AK735=LongshotLabel,AK735=HailMaryLabel),1,0)</f>
        <v>0</v>
      </c>
      <c r="AN735">
        <f>IF(OR(AM735=1,AK735=MatchLabel),1,0)</f>
        <v>0</v>
      </c>
      <c r="AO735">
        <f>IF(OR(AK735=MatchLabel,AK735=SafetyLabel,AK735=SecureLabel,AK735=SureThingLabel),1,0)</f>
        <v>0</v>
      </c>
      <c r="AP735">
        <f>IF(OR(T735="H",T735="B"),IF(ISNUMBER(Y735),ROUND(Y735,2),0),IF(ISNUMBER(X735),ROUND(X735,2),0))</f>
        <v>0</v>
      </c>
      <c r="AQ735">
        <f>IF(AP735&gt;=U735,1,0)</f>
        <v>0</v>
      </c>
      <c r="AR735">
        <f>IF(AP735&gt;=V735,1,0)</f>
        <v>0</v>
      </c>
      <c r="AS735">
        <f>IF(AP735&lt;(U735-0.10),1,0)</f>
        <v>0</v>
      </c>
      <c r="AT735">
        <f>1-AJ735/100</f>
        <v>0</v>
      </c>
      <c r="AU735">
        <f>IF(AN735=1,AT735,1)</f>
        <v>0</v>
      </c>
      <c r="AV735">
        <f>IF(AM735=1,AT735,1)</f>
        <v>0</v>
      </c>
      <c r="AW735">
        <f>IF(AND(AQ735=1,ISNUMBER(AT735)),$AT735,1)</f>
        <v>0</v>
      </c>
      <c r="AX735">
        <f>IF(AND(AR735=1,ISNUMBER(AT735)),$AT735,1)</f>
        <v>0</v>
      </c>
      <c r="AY735">
        <f>IF(ISNUMBER(Y735),INDEX(AllCollegeMoney, MATCH(N735,AllCollegeNCES,0)),0)</f>
        <v>0</v>
      </c>
      <c r="AZ735">
        <f>IF(AND(AQ735=1,ISNUMBER(AT735),AY735=1),$AT735,1)</f>
        <v>0</v>
      </c>
      <c r="BA735">
        <f>IF(AND(AR735=1,ISNUMBER(AT735),AY735=1),$AT735,1)</f>
        <v>0</v>
      </c>
      <c r="BB735">
        <f>IF(ISNUMBER(Y735),INDEX(AllCollegeILPub, MATCH(N735,AllCollegeNCES,0)),0)</f>
        <v>0</v>
      </c>
      <c r="BC735">
        <f>IF(AK735=ReachLabel,AP735,0)</f>
        <v>0</v>
      </c>
      <c r="BD735">
        <f>IF(AK735=MatchLabel,AP735,0)</f>
        <v>0</v>
      </c>
      <c r="BE735">
        <f>IF(AK735=SafetyLabel,AP735,0)</f>
        <v>0</v>
      </c>
      <c r="BF735">
        <f>IF(AK735=SecureLabel,AP735,0)</f>
        <v>0</v>
      </c>
      <c r="BG735">
        <f>IF(AK735=SureThingLabel,AP735,0)</f>
        <v>0</v>
      </c>
      <c r="BH735">
        <f>MAX(BC735:BG735)</f>
        <v>0</v>
      </c>
      <c r="BI735">
        <f>MAX(BD735:BG735)</f>
        <v>0</v>
      </c>
      <c r="BJ735">
        <f>MAX(BE735:BG735)</f>
        <v>0</v>
      </c>
      <c r="BK735">
        <f>IF(AND(AK735=ReachLabel,AY735=1),AP735,0)</f>
        <v>0</v>
      </c>
      <c r="BL735">
        <f>IF(AND(AK735=MatchLabel,AY735=1),AP735,0)</f>
        <v>0</v>
      </c>
      <c r="BM735">
        <f>IF(AND(AK735=SafetyLabel,AY735=1),AP735,0)</f>
        <v>0</v>
      </c>
      <c r="BN735">
        <f>IF(AND(AK735=SecureLabel,AY735=1),AP735,0)</f>
        <v>0</v>
      </c>
      <c r="BO735">
        <f>IF(AND(AK735=SureThingLabel,AY735=1),AP735,0)</f>
        <v>0</v>
      </c>
      <c r="BP735">
        <f>MAX(BK735:BO735)</f>
        <v>0</v>
      </c>
      <c r="BQ735">
        <f>MAX(BL735:BO735)</f>
        <v>0</v>
      </c>
      <c r="BR735">
        <f>MAX(BM735:BO735)</f>
        <v>0</v>
      </c>
      <c r="BS735">
        <f>IF(ISNUMBER(Y735),INDEX(AllCollegeChicago, MATCH(N735,AllCollegeNCES,0))*AY735,0)</f>
        <v>0</v>
      </c>
      <c r="BT735">
        <f>IF(ISNUMBER(Y735),INDEX(AllCollegeMoneyCode, MATCH(N735,AllCollegeNCES,0)),"?")</f>
        <v>0</v>
      </c>
      <c r="BU735">
        <f>IF(OR(BT735="---",BT735="--",BT735="+/--",BT735="+/---"),1,0)</f>
        <v>0</v>
      </c>
      <c r="BV735">
        <f>AY735*AO735*AQ735</f>
        <v>0</v>
      </c>
    </row>
    <row r="736" spans="1:74">
      <c r="A736" t="s">
        <v>86</v>
      </c>
      <c r="B736">
        <v>30316543</v>
      </c>
      <c r="C736" t="s">
        <v>272</v>
      </c>
      <c r="D736" t="s">
        <v>273</v>
      </c>
      <c r="E736" t="s">
        <v>428</v>
      </c>
      <c r="F736" t="s">
        <v>455</v>
      </c>
      <c r="G736" t="s">
        <v>430</v>
      </c>
      <c r="H736" t="s">
        <v>431</v>
      </c>
      <c r="I736" t="s">
        <v>432</v>
      </c>
      <c r="J736" t="s">
        <v>432</v>
      </c>
      <c r="K736">
        <v>0</v>
      </c>
      <c r="L736" t="s">
        <v>428</v>
      </c>
      <c r="M736" t="s">
        <v>428</v>
      </c>
      <c r="N736">
        <v>240444</v>
      </c>
      <c r="O736">
        <f>INDEX(AllCollegeBarrons,MATCH(N736,AllCollegeNCES,0))</f>
        <v>0</v>
      </c>
      <c r="P736">
        <f>INDEX(KidGPAs,MATCH(B736,KidIDs,0))</f>
        <v>0</v>
      </c>
      <c r="Q736">
        <f>INDEX(KidACTs,MATCH(B736,KidIDs,0))</f>
        <v>0</v>
      </c>
      <c r="R736">
        <f>INDEX(Strats,MATCH(B736,KidIDs,0))</f>
        <v>0</v>
      </c>
      <c r="S736">
        <f>INDEX(KidRace,MATCH(B736,KidIDs,0))</f>
        <v>0</v>
      </c>
      <c r="T736">
        <f>IF(OR(S736="M",S736="I"),"H",S736)</f>
        <v>0</v>
      </c>
      <c r="U736">
        <f>INDEX(StudentTargets,MATCH(B736,KidIDs,0))</f>
        <v>0</v>
      </c>
      <c r="V736">
        <f>INDEX(ReachStudentTargets,MATCH(B736,KidIDs,0))</f>
        <v>0</v>
      </c>
      <c r="W736">
        <f>IF(OR(M736="Posse"),1,0)</f>
        <v>0</v>
      </c>
      <c r="X736">
        <f>IF(ISNUMBER(INDEX(AllCollegeGR, MATCH(N736,AllCollegeNCES,0))),ROUND(INDEX(AllCollegeGR, MATCH(N736,AllCollegeNCES,0))+W736*IF(INDEX(AllCollegeGR, MATCH(N736,AllCollegeNCES,0))&gt;0.7,(1-INDEX(AllCollegeGR, MATCH(N736,AllCollegeNCES,0)))/2,0.15),2),INDEX(AllCollegeGR, MATCH(N736,AllCollegeNCES,0)))</f>
        <v>0</v>
      </c>
      <c r="Y736">
        <f>IF(ISNUMBER(INDEX(AllCollegeAAHGR, MATCH(N736,AllCollegeNCES,0))),ROUND(INDEX(AllCollegeAAHGR, MATCH(N736,AllCollegeNCES,0))+W736*IF(INDEX(AllCollegeAAHGR, MATCH(N736,AllCollegeNCES,0))&gt;0.7,(1-INDEX(AllCollegeAAHGR, MATCH(N736,AllCollegeNCES,0)))/2,0.15),2),INDEX(AllCollegeAAHGR, MATCH(N736,AllCollegeNCES,0)))</f>
        <v>0</v>
      </c>
      <c r="Z736">
        <f>IF(OR(T736="H",T736="B"),INDEX(AllCollegeACT25, MATCH(N736,AllCollegeNCES,0)),INDEX(AllCollegeACT50, MATCH(N736,AllCollegeNCES,0)))</f>
        <v>0</v>
      </c>
      <c r="AA736">
        <f>INDEX(CustomWeightsGPA,MATCH(T736&amp;":"&amp;N736,CustomWeightsIndex,0))</f>
        <v>0</v>
      </c>
      <c r="AB736">
        <f>INDEX(CustomWeightsACT,MATCH(T736&amp;":"&amp;N736,CustomWeightsIndex,0))</f>
        <v>0</v>
      </c>
      <c r="AC736">
        <f>INDEX(CustomWeightsIntercept,MATCH(T736&amp;":"&amp;N736,CustomWeightsIndex,0))</f>
        <v>0</v>
      </c>
      <c r="AD736">
        <f>AA736*P736+AB736*Q736+AC736</f>
        <v>0</v>
      </c>
      <c r="AE736">
        <f>INDEX(CoefficientsGPA,MATCH(T736&amp;":"&amp;O736,CoefficientsIndex,0))</f>
        <v>0</v>
      </c>
      <c r="AF736">
        <f>INDEX(CoefficientsACT,MATCH(T736&amp;":"&amp;O736,CoefficientsIndex,0))</f>
        <v>0</v>
      </c>
      <c r="AG736">
        <f>INDEX(CoefficientsIntercept,MATCH(T736&amp;":"&amp;O736,CoefficientsIndex,0))</f>
        <v>0</v>
      </c>
      <c r="AH736">
        <f>AE736*P736+(Q736-Z736)*AF736+AG736</f>
        <v>0</v>
      </c>
      <c r="AI736">
        <f>IF(ISNUMBER(AD736),AD736,AH736)</f>
        <v>0</v>
      </c>
      <c r="AJ736">
        <f>IF(ISNUMBER(AI736),IF(ISNUMBER(AE736),IF(AND(AE736=1,AF736=1,AG736=1),100,ROUND(100*EXP(AI736)/(1+EXP(AI736)),2)),ROUND(100*EXP(AI736)/(1+EXP(AI736)),2)),IF(ISTEXT(O736),IF(LEFT(O736,1)="2",100,"N/A"),"N/A"))</f>
        <v>0</v>
      </c>
      <c r="AK736">
        <f>IF(ISNUMBER(AJ736),IF(AJ736&gt;=99,IF(OR(R736=10,R736=11),MatchLabel,SureThingLabel),IF(AJ736&gt;=95,SecureLabel,IF(AJ736&gt;=80,SafetyLabel,IF(AJ736&gt;=50,MatchLabel,IF(AJ736&gt;=20,ReachLabel,IF(AJ736&gt;=10,LongshotLabel,HailMaryLabel)))))),"Other")</f>
        <v>0</v>
      </c>
      <c r="AL736">
        <f>IF(OR(I736="accepted",I736="cond. accept",I736="summer admit"),IF(J736="yes","CHOICE!","Accepted!"),IF(I736="denied","Denied",IF(K736=1,"Waitlist",IF(L736=1,"Deferred",IF(G736="pending","Pending",IF(OR(G736="initial materials submitted",G736="mid-year submitted",G736="final submitted"),"Submitted",IF(H736="interest","Interest","?")))))))</f>
        <v>0</v>
      </c>
      <c r="AM736">
        <f>IF(OR(AK736=ReachLabel,AK736=LongshotLabel,AK736=HailMaryLabel),1,0)</f>
        <v>0</v>
      </c>
      <c r="AN736">
        <f>IF(OR(AM736=1,AK736=MatchLabel),1,0)</f>
        <v>0</v>
      </c>
      <c r="AO736">
        <f>IF(OR(AK736=MatchLabel,AK736=SafetyLabel,AK736=SecureLabel,AK736=SureThingLabel),1,0)</f>
        <v>0</v>
      </c>
      <c r="AP736">
        <f>IF(OR(T736="H",T736="B"),IF(ISNUMBER(Y736),ROUND(Y736,2),0),IF(ISNUMBER(X736),ROUND(X736,2),0))</f>
        <v>0</v>
      </c>
      <c r="AQ736">
        <f>IF(AP736&gt;=U736,1,0)</f>
        <v>0</v>
      </c>
      <c r="AR736">
        <f>IF(AP736&gt;=V736,1,0)</f>
        <v>0</v>
      </c>
      <c r="AS736">
        <f>IF(AP736&lt;(U736-0.10),1,0)</f>
        <v>0</v>
      </c>
      <c r="AT736">
        <f>1-AJ736/100</f>
        <v>0</v>
      </c>
      <c r="AU736">
        <f>IF(AN736=1,AT736,1)</f>
        <v>0</v>
      </c>
      <c r="AV736">
        <f>IF(AM736=1,AT736,1)</f>
        <v>0</v>
      </c>
      <c r="AW736">
        <f>IF(AND(AQ736=1,ISNUMBER(AT736)),$AT736,1)</f>
        <v>0</v>
      </c>
      <c r="AX736">
        <f>IF(AND(AR736=1,ISNUMBER(AT736)),$AT736,1)</f>
        <v>0</v>
      </c>
      <c r="AY736">
        <f>IF(ISNUMBER(Y736),INDEX(AllCollegeMoney, MATCH(N736,AllCollegeNCES,0)),0)</f>
        <v>0</v>
      </c>
      <c r="AZ736">
        <f>IF(AND(AQ736=1,ISNUMBER(AT736),AY736=1),$AT736,1)</f>
        <v>0</v>
      </c>
      <c r="BA736">
        <f>IF(AND(AR736=1,ISNUMBER(AT736),AY736=1),$AT736,1)</f>
        <v>0</v>
      </c>
      <c r="BB736">
        <f>IF(ISNUMBER(Y736),INDEX(AllCollegeILPub, MATCH(N736,AllCollegeNCES,0)),0)</f>
        <v>0</v>
      </c>
      <c r="BC736">
        <f>IF(AK736=ReachLabel,AP736,0)</f>
        <v>0</v>
      </c>
      <c r="BD736">
        <f>IF(AK736=MatchLabel,AP736,0)</f>
        <v>0</v>
      </c>
      <c r="BE736">
        <f>IF(AK736=SafetyLabel,AP736,0)</f>
        <v>0</v>
      </c>
      <c r="BF736">
        <f>IF(AK736=SecureLabel,AP736,0)</f>
        <v>0</v>
      </c>
      <c r="BG736">
        <f>IF(AK736=SureThingLabel,AP736,0)</f>
        <v>0</v>
      </c>
      <c r="BH736">
        <f>MAX(BC736:BG736)</f>
        <v>0</v>
      </c>
      <c r="BI736">
        <f>MAX(BD736:BG736)</f>
        <v>0</v>
      </c>
      <c r="BJ736">
        <f>MAX(BE736:BG736)</f>
        <v>0</v>
      </c>
      <c r="BK736">
        <f>IF(AND(AK736=ReachLabel,AY736=1),AP736,0)</f>
        <v>0</v>
      </c>
      <c r="BL736">
        <f>IF(AND(AK736=MatchLabel,AY736=1),AP736,0)</f>
        <v>0</v>
      </c>
      <c r="BM736">
        <f>IF(AND(AK736=SafetyLabel,AY736=1),AP736,0)</f>
        <v>0</v>
      </c>
      <c r="BN736">
        <f>IF(AND(AK736=SecureLabel,AY736=1),AP736,0)</f>
        <v>0</v>
      </c>
      <c r="BO736">
        <f>IF(AND(AK736=SureThingLabel,AY736=1),AP736,0)</f>
        <v>0</v>
      </c>
      <c r="BP736">
        <f>MAX(BK736:BO736)</f>
        <v>0</v>
      </c>
      <c r="BQ736">
        <f>MAX(BL736:BO736)</f>
        <v>0</v>
      </c>
      <c r="BR736">
        <f>MAX(BM736:BO736)</f>
        <v>0</v>
      </c>
      <c r="BS736">
        <f>IF(ISNUMBER(Y736),INDEX(AllCollegeChicago, MATCH(N736,AllCollegeNCES,0))*AY736,0)</f>
        <v>0</v>
      </c>
      <c r="BT736">
        <f>IF(ISNUMBER(Y736),INDEX(AllCollegeMoneyCode, MATCH(N736,AllCollegeNCES,0)),"?")</f>
        <v>0</v>
      </c>
      <c r="BU736">
        <f>IF(OR(BT736="---",BT736="--",BT736="+/--",BT736="+/---"),1,0)</f>
        <v>0</v>
      </c>
      <c r="BV736">
        <f>AY736*AO736*AQ736</f>
        <v>0</v>
      </c>
    </row>
    <row r="737" spans="1:74">
      <c r="A737" t="s">
        <v>86</v>
      </c>
      <c r="B737">
        <v>30316543</v>
      </c>
      <c r="C737" t="s">
        <v>272</v>
      </c>
      <c r="D737" t="s">
        <v>273</v>
      </c>
      <c r="E737" t="s">
        <v>428</v>
      </c>
      <c r="F737" t="s">
        <v>457</v>
      </c>
      <c r="G737" t="s">
        <v>430</v>
      </c>
      <c r="H737" t="s">
        <v>431</v>
      </c>
      <c r="I737" t="s">
        <v>432</v>
      </c>
      <c r="J737" t="s">
        <v>432</v>
      </c>
      <c r="K737">
        <v>0</v>
      </c>
      <c r="L737" t="s">
        <v>428</v>
      </c>
      <c r="M737" t="s">
        <v>428</v>
      </c>
      <c r="N737">
        <v>145637</v>
      </c>
      <c r="O737">
        <f>INDEX(AllCollegeBarrons,MATCH(N737,AllCollegeNCES,0))</f>
        <v>0</v>
      </c>
      <c r="P737">
        <f>INDEX(KidGPAs,MATCH(B737,KidIDs,0))</f>
        <v>0</v>
      </c>
      <c r="Q737">
        <f>INDEX(KidACTs,MATCH(B737,KidIDs,0))</f>
        <v>0</v>
      </c>
      <c r="R737">
        <f>INDEX(Strats,MATCH(B737,KidIDs,0))</f>
        <v>0</v>
      </c>
      <c r="S737">
        <f>INDEX(KidRace,MATCH(B737,KidIDs,0))</f>
        <v>0</v>
      </c>
      <c r="T737">
        <f>IF(OR(S737="M",S737="I"),"H",S737)</f>
        <v>0</v>
      </c>
      <c r="U737">
        <f>INDEX(StudentTargets,MATCH(B737,KidIDs,0))</f>
        <v>0</v>
      </c>
      <c r="V737">
        <f>INDEX(ReachStudentTargets,MATCH(B737,KidIDs,0))</f>
        <v>0</v>
      </c>
      <c r="W737">
        <f>IF(OR(M737="Posse"),1,0)</f>
        <v>0</v>
      </c>
      <c r="X737">
        <f>IF(ISNUMBER(INDEX(AllCollegeGR, MATCH(N737,AllCollegeNCES,0))),ROUND(INDEX(AllCollegeGR, MATCH(N737,AllCollegeNCES,0))+W737*IF(INDEX(AllCollegeGR, MATCH(N737,AllCollegeNCES,0))&gt;0.7,(1-INDEX(AllCollegeGR, MATCH(N737,AllCollegeNCES,0)))/2,0.15),2),INDEX(AllCollegeGR, MATCH(N737,AllCollegeNCES,0)))</f>
        <v>0</v>
      </c>
      <c r="Y737">
        <f>IF(ISNUMBER(INDEX(AllCollegeAAHGR, MATCH(N737,AllCollegeNCES,0))),ROUND(INDEX(AllCollegeAAHGR, MATCH(N737,AllCollegeNCES,0))+W737*IF(INDEX(AllCollegeAAHGR, MATCH(N737,AllCollegeNCES,0))&gt;0.7,(1-INDEX(AllCollegeAAHGR, MATCH(N737,AllCollegeNCES,0)))/2,0.15),2),INDEX(AllCollegeAAHGR, MATCH(N737,AllCollegeNCES,0)))</f>
        <v>0</v>
      </c>
      <c r="Z737">
        <f>IF(OR(T737="H",T737="B"),INDEX(AllCollegeACT25, MATCH(N737,AllCollegeNCES,0)),INDEX(AllCollegeACT50, MATCH(N737,AllCollegeNCES,0)))</f>
        <v>0</v>
      </c>
      <c r="AA737">
        <f>INDEX(CustomWeightsGPA,MATCH(T737&amp;":"&amp;N737,CustomWeightsIndex,0))</f>
        <v>0</v>
      </c>
      <c r="AB737">
        <f>INDEX(CustomWeightsACT,MATCH(T737&amp;":"&amp;N737,CustomWeightsIndex,0))</f>
        <v>0</v>
      </c>
      <c r="AC737">
        <f>INDEX(CustomWeightsIntercept,MATCH(T737&amp;":"&amp;N737,CustomWeightsIndex,0))</f>
        <v>0</v>
      </c>
      <c r="AD737">
        <f>AA737*P737+AB737*Q737+AC737</f>
        <v>0</v>
      </c>
      <c r="AE737">
        <f>INDEX(CoefficientsGPA,MATCH(T737&amp;":"&amp;O737,CoefficientsIndex,0))</f>
        <v>0</v>
      </c>
      <c r="AF737">
        <f>INDEX(CoefficientsACT,MATCH(T737&amp;":"&amp;O737,CoefficientsIndex,0))</f>
        <v>0</v>
      </c>
      <c r="AG737">
        <f>INDEX(CoefficientsIntercept,MATCH(T737&amp;":"&amp;O737,CoefficientsIndex,0))</f>
        <v>0</v>
      </c>
      <c r="AH737">
        <f>AE737*P737+(Q737-Z737)*AF737+AG737</f>
        <v>0</v>
      </c>
      <c r="AI737">
        <f>IF(ISNUMBER(AD737),AD737,AH737)</f>
        <v>0</v>
      </c>
      <c r="AJ737">
        <f>IF(ISNUMBER(AI737),IF(ISNUMBER(AE737),IF(AND(AE737=1,AF737=1,AG737=1),100,ROUND(100*EXP(AI737)/(1+EXP(AI737)),2)),ROUND(100*EXP(AI737)/(1+EXP(AI737)),2)),IF(ISTEXT(O737),IF(LEFT(O737,1)="2",100,"N/A"),"N/A"))</f>
        <v>0</v>
      </c>
      <c r="AK737">
        <f>IF(ISNUMBER(AJ737),IF(AJ737&gt;=99,IF(OR(R737=10,R737=11),MatchLabel,SureThingLabel),IF(AJ737&gt;=95,SecureLabel,IF(AJ737&gt;=80,SafetyLabel,IF(AJ737&gt;=50,MatchLabel,IF(AJ737&gt;=20,ReachLabel,IF(AJ737&gt;=10,LongshotLabel,HailMaryLabel)))))),"Other")</f>
        <v>0</v>
      </c>
      <c r="AL737">
        <f>IF(OR(I737="accepted",I737="cond. accept",I737="summer admit"),IF(J737="yes","CHOICE!","Accepted!"),IF(I737="denied","Denied",IF(K737=1,"Waitlist",IF(L737=1,"Deferred",IF(G737="pending","Pending",IF(OR(G737="initial materials submitted",G737="mid-year submitted",G737="final submitted"),"Submitted",IF(H737="interest","Interest","?")))))))</f>
        <v>0</v>
      </c>
      <c r="AM737">
        <f>IF(OR(AK737=ReachLabel,AK737=LongshotLabel,AK737=HailMaryLabel),1,0)</f>
        <v>0</v>
      </c>
      <c r="AN737">
        <f>IF(OR(AM737=1,AK737=MatchLabel),1,0)</f>
        <v>0</v>
      </c>
      <c r="AO737">
        <f>IF(OR(AK737=MatchLabel,AK737=SafetyLabel,AK737=SecureLabel,AK737=SureThingLabel),1,0)</f>
        <v>0</v>
      </c>
      <c r="AP737">
        <f>IF(OR(T737="H",T737="B"),IF(ISNUMBER(Y737),ROUND(Y737,2),0),IF(ISNUMBER(X737),ROUND(X737,2),0))</f>
        <v>0</v>
      </c>
      <c r="AQ737">
        <f>IF(AP737&gt;=U737,1,0)</f>
        <v>0</v>
      </c>
      <c r="AR737">
        <f>IF(AP737&gt;=V737,1,0)</f>
        <v>0</v>
      </c>
      <c r="AS737">
        <f>IF(AP737&lt;(U737-0.10),1,0)</f>
        <v>0</v>
      </c>
      <c r="AT737">
        <f>1-AJ737/100</f>
        <v>0</v>
      </c>
      <c r="AU737">
        <f>IF(AN737=1,AT737,1)</f>
        <v>0</v>
      </c>
      <c r="AV737">
        <f>IF(AM737=1,AT737,1)</f>
        <v>0</v>
      </c>
      <c r="AW737">
        <f>IF(AND(AQ737=1,ISNUMBER(AT737)),$AT737,1)</f>
        <v>0</v>
      </c>
      <c r="AX737">
        <f>IF(AND(AR737=1,ISNUMBER(AT737)),$AT737,1)</f>
        <v>0</v>
      </c>
      <c r="AY737">
        <f>IF(ISNUMBER(Y737),INDEX(AllCollegeMoney, MATCH(N737,AllCollegeNCES,0)),0)</f>
        <v>0</v>
      </c>
      <c r="AZ737">
        <f>IF(AND(AQ737=1,ISNUMBER(AT737),AY737=1),$AT737,1)</f>
        <v>0</v>
      </c>
      <c r="BA737">
        <f>IF(AND(AR737=1,ISNUMBER(AT737),AY737=1),$AT737,1)</f>
        <v>0</v>
      </c>
      <c r="BB737">
        <f>IF(ISNUMBER(Y737),INDEX(AllCollegeILPub, MATCH(N737,AllCollegeNCES,0)),0)</f>
        <v>0</v>
      </c>
      <c r="BC737">
        <f>IF(AK737=ReachLabel,AP737,0)</f>
        <v>0</v>
      </c>
      <c r="BD737">
        <f>IF(AK737=MatchLabel,AP737,0)</f>
        <v>0</v>
      </c>
      <c r="BE737">
        <f>IF(AK737=SafetyLabel,AP737,0)</f>
        <v>0</v>
      </c>
      <c r="BF737">
        <f>IF(AK737=SecureLabel,AP737,0)</f>
        <v>0</v>
      </c>
      <c r="BG737">
        <f>IF(AK737=SureThingLabel,AP737,0)</f>
        <v>0</v>
      </c>
      <c r="BH737">
        <f>MAX(BC737:BG737)</f>
        <v>0</v>
      </c>
      <c r="BI737">
        <f>MAX(BD737:BG737)</f>
        <v>0</v>
      </c>
      <c r="BJ737">
        <f>MAX(BE737:BG737)</f>
        <v>0</v>
      </c>
      <c r="BK737">
        <f>IF(AND(AK737=ReachLabel,AY737=1),AP737,0)</f>
        <v>0</v>
      </c>
      <c r="BL737">
        <f>IF(AND(AK737=MatchLabel,AY737=1),AP737,0)</f>
        <v>0</v>
      </c>
      <c r="BM737">
        <f>IF(AND(AK737=SafetyLabel,AY737=1),AP737,0)</f>
        <v>0</v>
      </c>
      <c r="BN737">
        <f>IF(AND(AK737=SecureLabel,AY737=1),AP737,0)</f>
        <v>0</v>
      </c>
      <c r="BO737">
        <f>IF(AND(AK737=SureThingLabel,AY737=1),AP737,0)</f>
        <v>0</v>
      </c>
      <c r="BP737">
        <f>MAX(BK737:BO737)</f>
        <v>0</v>
      </c>
      <c r="BQ737">
        <f>MAX(BL737:BO737)</f>
        <v>0</v>
      </c>
      <c r="BR737">
        <f>MAX(BM737:BO737)</f>
        <v>0</v>
      </c>
      <c r="BS737">
        <f>IF(ISNUMBER(Y737),INDEX(AllCollegeChicago, MATCH(N737,AllCollegeNCES,0))*AY737,0)</f>
        <v>0</v>
      </c>
      <c r="BT737">
        <f>IF(ISNUMBER(Y737),INDEX(AllCollegeMoneyCode, MATCH(N737,AllCollegeNCES,0)),"?")</f>
        <v>0</v>
      </c>
      <c r="BU737">
        <f>IF(OR(BT737="---",BT737="--",BT737="+/--",BT737="+/---"),1,0)</f>
        <v>0</v>
      </c>
      <c r="BV737">
        <f>AY737*AO737*AQ737</f>
        <v>0</v>
      </c>
    </row>
    <row r="738" spans="1:74">
      <c r="A738" t="s">
        <v>86</v>
      </c>
      <c r="B738">
        <v>30316543</v>
      </c>
      <c r="C738" t="s">
        <v>272</v>
      </c>
      <c r="D738" t="s">
        <v>273</v>
      </c>
      <c r="E738" t="s">
        <v>428</v>
      </c>
      <c r="F738" t="s">
        <v>458</v>
      </c>
      <c r="G738" t="s">
        <v>430</v>
      </c>
      <c r="H738" t="s">
        <v>431</v>
      </c>
      <c r="I738" t="s">
        <v>432</v>
      </c>
      <c r="J738" t="s">
        <v>432</v>
      </c>
      <c r="K738">
        <v>0</v>
      </c>
      <c r="L738" t="s">
        <v>428</v>
      </c>
      <c r="M738" t="s">
        <v>428</v>
      </c>
      <c r="N738">
        <v>202523</v>
      </c>
      <c r="O738">
        <f>INDEX(AllCollegeBarrons,MATCH(N738,AllCollegeNCES,0))</f>
        <v>0</v>
      </c>
      <c r="P738">
        <f>INDEX(KidGPAs,MATCH(B738,KidIDs,0))</f>
        <v>0</v>
      </c>
      <c r="Q738">
        <f>INDEX(KidACTs,MATCH(B738,KidIDs,0))</f>
        <v>0</v>
      </c>
      <c r="R738">
        <f>INDEX(Strats,MATCH(B738,KidIDs,0))</f>
        <v>0</v>
      </c>
      <c r="S738">
        <f>INDEX(KidRace,MATCH(B738,KidIDs,0))</f>
        <v>0</v>
      </c>
      <c r="T738">
        <f>IF(OR(S738="M",S738="I"),"H",S738)</f>
        <v>0</v>
      </c>
      <c r="U738">
        <f>INDEX(StudentTargets,MATCH(B738,KidIDs,0))</f>
        <v>0</v>
      </c>
      <c r="V738">
        <f>INDEX(ReachStudentTargets,MATCH(B738,KidIDs,0))</f>
        <v>0</v>
      </c>
      <c r="W738">
        <f>IF(OR(M738="Posse"),1,0)</f>
        <v>0</v>
      </c>
      <c r="X738">
        <f>IF(ISNUMBER(INDEX(AllCollegeGR, MATCH(N738,AllCollegeNCES,0))),ROUND(INDEX(AllCollegeGR, MATCH(N738,AllCollegeNCES,0))+W738*IF(INDEX(AllCollegeGR, MATCH(N738,AllCollegeNCES,0))&gt;0.7,(1-INDEX(AllCollegeGR, MATCH(N738,AllCollegeNCES,0)))/2,0.15),2),INDEX(AllCollegeGR, MATCH(N738,AllCollegeNCES,0)))</f>
        <v>0</v>
      </c>
      <c r="Y738">
        <f>IF(ISNUMBER(INDEX(AllCollegeAAHGR, MATCH(N738,AllCollegeNCES,0))),ROUND(INDEX(AllCollegeAAHGR, MATCH(N738,AllCollegeNCES,0))+W738*IF(INDEX(AllCollegeAAHGR, MATCH(N738,AllCollegeNCES,0))&gt;0.7,(1-INDEX(AllCollegeAAHGR, MATCH(N738,AllCollegeNCES,0)))/2,0.15),2),INDEX(AllCollegeAAHGR, MATCH(N738,AllCollegeNCES,0)))</f>
        <v>0</v>
      </c>
      <c r="Z738">
        <f>IF(OR(T738="H",T738="B"),INDEX(AllCollegeACT25, MATCH(N738,AllCollegeNCES,0)),INDEX(AllCollegeACT50, MATCH(N738,AllCollegeNCES,0)))</f>
        <v>0</v>
      </c>
      <c r="AA738">
        <f>INDEX(CustomWeightsGPA,MATCH(T738&amp;":"&amp;N738,CustomWeightsIndex,0))</f>
        <v>0</v>
      </c>
      <c r="AB738">
        <f>INDEX(CustomWeightsACT,MATCH(T738&amp;":"&amp;N738,CustomWeightsIndex,0))</f>
        <v>0</v>
      </c>
      <c r="AC738">
        <f>INDEX(CustomWeightsIntercept,MATCH(T738&amp;":"&amp;N738,CustomWeightsIndex,0))</f>
        <v>0</v>
      </c>
      <c r="AD738">
        <f>AA738*P738+AB738*Q738+AC738</f>
        <v>0</v>
      </c>
      <c r="AE738">
        <f>INDEX(CoefficientsGPA,MATCH(T738&amp;":"&amp;O738,CoefficientsIndex,0))</f>
        <v>0</v>
      </c>
      <c r="AF738">
        <f>INDEX(CoefficientsACT,MATCH(T738&amp;":"&amp;O738,CoefficientsIndex,0))</f>
        <v>0</v>
      </c>
      <c r="AG738">
        <f>INDEX(CoefficientsIntercept,MATCH(T738&amp;":"&amp;O738,CoefficientsIndex,0))</f>
        <v>0</v>
      </c>
      <c r="AH738">
        <f>AE738*P738+(Q738-Z738)*AF738+AG738</f>
        <v>0</v>
      </c>
      <c r="AI738">
        <f>IF(ISNUMBER(AD738),AD738,AH738)</f>
        <v>0</v>
      </c>
      <c r="AJ738">
        <f>IF(ISNUMBER(AI738),IF(ISNUMBER(AE738),IF(AND(AE738=1,AF738=1,AG738=1),100,ROUND(100*EXP(AI738)/(1+EXP(AI738)),2)),ROUND(100*EXP(AI738)/(1+EXP(AI738)),2)),IF(ISTEXT(O738),IF(LEFT(O738,1)="2",100,"N/A"),"N/A"))</f>
        <v>0</v>
      </c>
      <c r="AK738">
        <f>IF(ISNUMBER(AJ738),IF(AJ738&gt;=99,IF(OR(R738=10,R738=11),MatchLabel,SureThingLabel),IF(AJ738&gt;=95,SecureLabel,IF(AJ738&gt;=80,SafetyLabel,IF(AJ738&gt;=50,MatchLabel,IF(AJ738&gt;=20,ReachLabel,IF(AJ738&gt;=10,LongshotLabel,HailMaryLabel)))))),"Other")</f>
        <v>0</v>
      </c>
      <c r="AL738">
        <f>IF(OR(I738="accepted",I738="cond. accept",I738="summer admit"),IF(J738="yes","CHOICE!","Accepted!"),IF(I738="denied","Denied",IF(K738=1,"Waitlist",IF(L738=1,"Deferred",IF(G738="pending","Pending",IF(OR(G738="initial materials submitted",G738="mid-year submitted",G738="final submitted"),"Submitted",IF(H738="interest","Interest","?")))))))</f>
        <v>0</v>
      </c>
      <c r="AM738">
        <f>IF(OR(AK738=ReachLabel,AK738=LongshotLabel,AK738=HailMaryLabel),1,0)</f>
        <v>0</v>
      </c>
      <c r="AN738">
        <f>IF(OR(AM738=1,AK738=MatchLabel),1,0)</f>
        <v>0</v>
      </c>
      <c r="AO738">
        <f>IF(OR(AK738=MatchLabel,AK738=SafetyLabel,AK738=SecureLabel,AK738=SureThingLabel),1,0)</f>
        <v>0</v>
      </c>
      <c r="AP738">
        <f>IF(OR(T738="H",T738="B"),IF(ISNUMBER(Y738),ROUND(Y738,2),0),IF(ISNUMBER(X738),ROUND(X738,2),0))</f>
        <v>0</v>
      </c>
      <c r="AQ738">
        <f>IF(AP738&gt;=U738,1,0)</f>
        <v>0</v>
      </c>
      <c r="AR738">
        <f>IF(AP738&gt;=V738,1,0)</f>
        <v>0</v>
      </c>
      <c r="AS738">
        <f>IF(AP738&lt;(U738-0.10),1,0)</f>
        <v>0</v>
      </c>
      <c r="AT738">
        <f>1-AJ738/100</f>
        <v>0</v>
      </c>
      <c r="AU738">
        <f>IF(AN738=1,AT738,1)</f>
        <v>0</v>
      </c>
      <c r="AV738">
        <f>IF(AM738=1,AT738,1)</f>
        <v>0</v>
      </c>
      <c r="AW738">
        <f>IF(AND(AQ738=1,ISNUMBER(AT738)),$AT738,1)</f>
        <v>0</v>
      </c>
      <c r="AX738">
        <f>IF(AND(AR738=1,ISNUMBER(AT738)),$AT738,1)</f>
        <v>0</v>
      </c>
      <c r="AY738">
        <f>IF(ISNUMBER(Y738),INDEX(AllCollegeMoney, MATCH(N738,AllCollegeNCES,0)),0)</f>
        <v>0</v>
      </c>
      <c r="AZ738">
        <f>IF(AND(AQ738=1,ISNUMBER(AT738),AY738=1),$AT738,1)</f>
        <v>0</v>
      </c>
      <c r="BA738">
        <f>IF(AND(AR738=1,ISNUMBER(AT738),AY738=1),$AT738,1)</f>
        <v>0</v>
      </c>
      <c r="BB738">
        <f>IF(ISNUMBER(Y738),INDEX(AllCollegeILPub, MATCH(N738,AllCollegeNCES,0)),0)</f>
        <v>0</v>
      </c>
      <c r="BC738">
        <f>IF(AK738=ReachLabel,AP738,0)</f>
        <v>0</v>
      </c>
      <c r="BD738">
        <f>IF(AK738=MatchLabel,AP738,0)</f>
        <v>0</v>
      </c>
      <c r="BE738">
        <f>IF(AK738=SafetyLabel,AP738,0)</f>
        <v>0</v>
      </c>
      <c r="BF738">
        <f>IF(AK738=SecureLabel,AP738,0)</f>
        <v>0</v>
      </c>
      <c r="BG738">
        <f>IF(AK738=SureThingLabel,AP738,0)</f>
        <v>0</v>
      </c>
      <c r="BH738">
        <f>MAX(BC738:BG738)</f>
        <v>0</v>
      </c>
      <c r="BI738">
        <f>MAX(BD738:BG738)</f>
        <v>0</v>
      </c>
      <c r="BJ738">
        <f>MAX(BE738:BG738)</f>
        <v>0</v>
      </c>
      <c r="BK738">
        <f>IF(AND(AK738=ReachLabel,AY738=1),AP738,0)</f>
        <v>0</v>
      </c>
      <c r="BL738">
        <f>IF(AND(AK738=MatchLabel,AY738=1),AP738,0)</f>
        <v>0</v>
      </c>
      <c r="BM738">
        <f>IF(AND(AK738=SafetyLabel,AY738=1),AP738,0)</f>
        <v>0</v>
      </c>
      <c r="BN738">
        <f>IF(AND(AK738=SecureLabel,AY738=1),AP738,0)</f>
        <v>0</v>
      </c>
      <c r="BO738">
        <f>IF(AND(AK738=SureThingLabel,AY738=1),AP738,0)</f>
        <v>0</v>
      </c>
      <c r="BP738">
        <f>MAX(BK738:BO738)</f>
        <v>0</v>
      </c>
      <c r="BQ738">
        <f>MAX(BL738:BO738)</f>
        <v>0</v>
      </c>
      <c r="BR738">
        <f>MAX(BM738:BO738)</f>
        <v>0</v>
      </c>
      <c r="BS738">
        <f>IF(ISNUMBER(Y738),INDEX(AllCollegeChicago, MATCH(N738,AllCollegeNCES,0))*AY738,0)</f>
        <v>0</v>
      </c>
      <c r="BT738">
        <f>IF(ISNUMBER(Y738),INDEX(AllCollegeMoneyCode, MATCH(N738,AllCollegeNCES,0)),"?")</f>
        <v>0</v>
      </c>
      <c r="BU738">
        <f>IF(OR(BT738="---",BT738="--",BT738="+/--",BT738="+/---"),1,0)</f>
        <v>0</v>
      </c>
      <c r="BV738">
        <f>AY738*AO738*AQ738</f>
        <v>0</v>
      </c>
    </row>
    <row r="739" spans="1:74">
      <c r="A739" t="s">
        <v>86</v>
      </c>
      <c r="B739">
        <v>30316543</v>
      </c>
      <c r="C739" t="s">
        <v>272</v>
      </c>
      <c r="D739" t="s">
        <v>273</v>
      </c>
      <c r="E739" t="s">
        <v>428</v>
      </c>
      <c r="F739" t="s">
        <v>459</v>
      </c>
      <c r="G739" t="s">
        <v>430</v>
      </c>
      <c r="H739" t="s">
        <v>431</v>
      </c>
      <c r="I739" t="s">
        <v>432</v>
      </c>
      <c r="J739" t="s">
        <v>432</v>
      </c>
      <c r="K739">
        <v>0</v>
      </c>
      <c r="L739" t="s">
        <v>428</v>
      </c>
      <c r="M739" t="s">
        <v>428</v>
      </c>
      <c r="N739">
        <v>146427</v>
      </c>
      <c r="O739">
        <f>INDEX(AllCollegeBarrons,MATCH(N739,AllCollegeNCES,0))</f>
        <v>0</v>
      </c>
      <c r="P739">
        <f>INDEX(KidGPAs,MATCH(B739,KidIDs,0))</f>
        <v>0</v>
      </c>
      <c r="Q739">
        <f>INDEX(KidACTs,MATCH(B739,KidIDs,0))</f>
        <v>0</v>
      </c>
      <c r="R739">
        <f>INDEX(Strats,MATCH(B739,KidIDs,0))</f>
        <v>0</v>
      </c>
      <c r="S739">
        <f>INDEX(KidRace,MATCH(B739,KidIDs,0))</f>
        <v>0</v>
      </c>
      <c r="T739">
        <f>IF(OR(S739="M",S739="I"),"H",S739)</f>
        <v>0</v>
      </c>
      <c r="U739">
        <f>INDEX(StudentTargets,MATCH(B739,KidIDs,0))</f>
        <v>0</v>
      </c>
      <c r="V739">
        <f>INDEX(ReachStudentTargets,MATCH(B739,KidIDs,0))</f>
        <v>0</v>
      </c>
      <c r="W739">
        <f>IF(OR(M739="Posse"),1,0)</f>
        <v>0</v>
      </c>
      <c r="X739">
        <f>IF(ISNUMBER(INDEX(AllCollegeGR, MATCH(N739,AllCollegeNCES,0))),ROUND(INDEX(AllCollegeGR, MATCH(N739,AllCollegeNCES,0))+W739*IF(INDEX(AllCollegeGR, MATCH(N739,AllCollegeNCES,0))&gt;0.7,(1-INDEX(AllCollegeGR, MATCH(N739,AllCollegeNCES,0)))/2,0.15),2),INDEX(AllCollegeGR, MATCH(N739,AllCollegeNCES,0)))</f>
        <v>0</v>
      </c>
      <c r="Y739">
        <f>IF(ISNUMBER(INDEX(AllCollegeAAHGR, MATCH(N739,AllCollegeNCES,0))),ROUND(INDEX(AllCollegeAAHGR, MATCH(N739,AllCollegeNCES,0))+W739*IF(INDEX(AllCollegeAAHGR, MATCH(N739,AllCollegeNCES,0))&gt;0.7,(1-INDEX(AllCollegeAAHGR, MATCH(N739,AllCollegeNCES,0)))/2,0.15),2),INDEX(AllCollegeAAHGR, MATCH(N739,AllCollegeNCES,0)))</f>
        <v>0</v>
      </c>
      <c r="Z739">
        <f>IF(OR(T739="H",T739="B"),INDEX(AllCollegeACT25, MATCH(N739,AllCollegeNCES,0)),INDEX(AllCollegeACT50, MATCH(N739,AllCollegeNCES,0)))</f>
        <v>0</v>
      </c>
      <c r="AA739">
        <f>INDEX(CustomWeightsGPA,MATCH(T739&amp;":"&amp;N739,CustomWeightsIndex,0))</f>
        <v>0</v>
      </c>
      <c r="AB739">
        <f>INDEX(CustomWeightsACT,MATCH(T739&amp;":"&amp;N739,CustomWeightsIndex,0))</f>
        <v>0</v>
      </c>
      <c r="AC739">
        <f>INDEX(CustomWeightsIntercept,MATCH(T739&amp;":"&amp;N739,CustomWeightsIndex,0))</f>
        <v>0</v>
      </c>
      <c r="AD739">
        <f>AA739*P739+AB739*Q739+AC739</f>
        <v>0</v>
      </c>
      <c r="AE739">
        <f>INDEX(CoefficientsGPA,MATCH(T739&amp;":"&amp;O739,CoefficientsIndex,0))</f>
        <v>0</v>
      </c>
      <c r="AF739">
        <f>INDEX(CoefficientsACT,MATCH(T739&amp;":"&amp;O739,CoefficientsIndex,0))</f>
        <v>0</v>
      </c>
      <c r="AG739">
        <f>INDEX(CoefficientsIntercept,MATCH(T739&amp;":"&amp;O739,CoefficientsIndex,0))</f>
        <v>0</v>
      </c>
      <c r="AH739">
        <f>AE739*P739+(Q739-Z739)*AF739+AG739</f>
        <v>0</v>
      </c>
      <c r="AI739">
        <f>IF(ISNUMBER(AD739),AD739,AH739)</f>
        <v>0</v>
      </c>
      <c r="AJ739">
        <f>IF(ISNUMBER(AI739),IF(ISNUMBER(AE739),IF(AND(AE739=1,AF739=1,AG739=1),100,ROUND(100*EXP(AI739)/(1+EXP(AI739)),2)),ROUND(100*EXP(AI739)/(1+EXP(AI739)),2)),IF(ISTEXT(O739),IF(LEFT(O739,1)="2",100,"N/A"),"N/A"))</f>
        <v>0</v>
      </c>
      <c r="AK739">
        <f>IF(ISNUMBER(AJ739),IF(AJ739&gt;=99,IF(OR(R739=10,R739=11),MatchLabel,SureThingLabel),IF(AJ739&gt;=95,SecureLabel,IF(AJ739&gt;=80,SafetyLabel,IF(AJ739&gt;=50,MatchLabel,IF(AJ739&gt;=20,ReachLabel,IF(AJ739&gt;=10,LongshotLabel,HailMaryLabel)))))),"Other")</f>
        <v>0</v>
      </c>
      <c r="AL739">
        <f>IF(OR(I739="accepted",I739="cond. accept",I739="summer admit"),IF(J739="yes","CHOICE!","Accepted!"),IF(I739="denied","Denied",IF(K739=1,"Waitlist",IF(L739=1,"Deferred",IF(G739="pending","Pending",IF(OR(G739="initial materials submitted",G739="mid-year submitted",G739="final submitted"),"Submitted",IF(H739="interest","Interest","?")))))))</f>
        <v>0</v>
      </c>
      <c r="AM739">
        <f>IF(OR(AK739=ReachLabel,AK739=LongshotLabel,AK739=HailMaryLabel),1,0)</f>
        <v>0</v>
      </c>
      <c r="AN739">
        <f>IF(OR(AM739=1,AK739=MatchLabel),1,0)</f>
        <v>0</v>
      </c>
      <c r="AO739">
        <f>IF(OR(AK739=MatchLabel,AK739=SafetyLabel,AK739=SecureLabel,AK739=SureThingLabel),1,0)</f>
        <v>0</v>
      </c>
      <c r="AP739">
        <f>IF(OR(T739="H",T739="B"),IF(ISNUMBER(Y739),ROUND(Y739,2),0),IF(ISNUMBER(X739),ROUND(X739,2),0))</f>
        <v>0</v>
      </c>
      <c r="AQ739">
        <f>IF(AP739&gt;=U739,1,0)</f>
        <v>0</v>
      </c>
      <c r="AR739">
        <f>IF(AP739&gt;=V739,1,0)</f>
        <v>0</v>
      </c>
      <c r="AS739">
        <f>IF(AP739&lt;(U739-0.10),1,0)</f>
        <v>0</v>
      </c>
      <c r="AT739">
        <f>1-AJ739/100</f>
        <v>0</v>
      </c>
      <c r="AU739">
        <f>IF(AN739=1,AT739,1)</f>
        <v>0</v>
      </c>
      <c r="AV739">
        <f>IF(AM739=1,AT739,1)</f>
        <v>0</v>
      </c>
      <c r="AW739">
        <f>IF(AND(AQ739=1,ISNUMBER(AT739)),$AT739,1)</f>
        <v>0</v>
      </c>
      <c r="AX739">
        <f>IF(AND(AR739=1,ISNUMBER(AT739)),$AT739,1)</f>
        <v>0</v>
      </c>
      <c r="AY739">
        <f>IF(ISNUMBER(Y739),INDEX(AllCollegeMoney, MATCH(N739,AllCollegeNCES,0)),0)</f>
        <v>0</v>
      </c>
      <c r="AZ739">
        <f>IF(AND(AQ739=1,ISNUMBER(AT739),AY739=1),$AT739,1)</f>
        <v>0</v>
      </c>
      <c r="BA739">
        <f>IF(AND(AR739=1,ISNUMBER(AT739),AY739=1),$AT739,1)</f>
        <v>0</v>
      </c>
      <c r="BB739">
        <f>IF(ISNUMBER(Y739),INDEX(AllCollegeILPub, MATCH(N739,AllCollegeNCES,0)),0)</f>
        <v>0</v>
      </c>
      <c r="BC739">
        <f>IF(AK739=ReachLabel,AP739,0)</f>
        <v>0</v>
      </c>
      <c r="BD739">
        <f>IF(AK739=MatchLabel,AP739,0)</f>
        <v>0</v>
      </c>
      <c r="BE739">
        <f>IF(AK739=SafetyLabel,AP739,0)</f>
        <v>0</v>
      </c>
      <c r="BF739">
        <f>IF(AK739=SecureLabel,AP739,0)</f>
        <v>0</v>
      </c>
      <c r="BG739">
        <f>IF(AK739=SureThingLabel,AP739,0)</f>
        <v>0</v>
      </c>
      <c r="BH739">
        <f>MAX(BC739:BG739)</f>
        <v>0</v>
      </c>
      <c r="BI739">
        <f>MAX(BD739:BG739)</f>
        <v>0</v>
      </c>
      <c r="BJ739">
        <f>MAX(BE739:BG739)</f>
        <v>0</v>
      </c>
      <c r="BK739">
        <f>IF(AND(AK739=ReachLabel,AY739=1),AP739,0)</f>
        <v>0</v>
      </c>
      <c r="BL739">
        <f>IF(AND(AK739=MatchLabel,AY739=1),AP739,0)</f>
        <v>0</v>
      </c>
      <c r="BM739">
        <f>IF(AND(AK739=SafetyLabel,AY739=1),AP739,0)</f>
        <v>0</v>
      </c>
      <c r="BN739">
        <f>IF(AND(AK739=SecureLabel,AY739=1),AP739,0)</f>
        <v>0</v>
      </c>
      <c r="BO739">
        <f>IF(AND(AK739=SureThingLabel,AY739=1),AP739,0)</f>
        <v>0</v>
      </c>
      <c r="BP739">
        <f>MAX(BK739:BO739)</f>
        <v>0</v>
      </c>
      <c r="BQ739">
        <f>MAX(BL739:BO739)</f>
        <v>0</v>
      </c>
      <c r="BR739">
        <f>MAX(BM739:BO739)</f>
        <v>0</v>
      </c>
      <c r="BS739">
        <f>IF(ISNUMBER(Y739),INDEX(AllCollegeChicago, MATCH(N739,AllCollegeNCES,0))*AY739,0)</f>
        <v>0</v>
      </c>
      <c r="BT739">
        <f>IF(ISNUMBER(Y739),INDEX(AllCollegeMoneyCode, MATCH(N739,AllCollegeNCES,0)),"?")</f>
        <v>0</v>
      </c>
      <c r="BU739">
        <f>IF(OR(BT739="---",BT739="--",BT739="+/--",BT739="+/---"),1,0)</f>
        <v>0</v>
      </c>
      <c r="BV739">
        <f>AY739*AO739*AQ739</f>
        <v>0</v>
      </c>
    </row>
    <row r="740" spans="1:74">
      <c r="A740" t="s">
        <v>86</v>
      </c>
      <c r="B740">
        <v>30316543</v>
      </c>
      <c r="C740" t="s">
        <v>272</v>
      </c>
      <c r="D740" t="s">
        <v>273</v>
      </c>
      <c r="E740" t="s">
        <v>428</v>
      </c>
      <c r="F740" t="s">
        <v>508</v>
      </c>
      <c r="G740" t="s">
        <v>430</v>
      </c>
      <c r="H740" t="s">
        <v>431</v>
      </c>
      <c r="I740" t="s">
        <v>432</v>
      </c>
      <c r="J740" t="s">
        <v>432</v>
      </c>
      <c r="K740">
        <v>0</v>
      </c>
      <c r="L740" t="s">
        <v>428</v>
      </c>
      <c r="M740" t="s">
        <v>428</v>
      </c>
      <c r="N740">
        <v>209056</v>
      </c>
      <c r="O740">
        <f>INDEX(AllCollegeBarrons,MATCH(N740,AllCollegeNCES,0))</f>
        <v>0</v>
      </c>
      <c r="P740">
        <f>INDEX(KidGPAs,MATCH(B740,KidIDs,0))</f>
        <v>0</v>
      </c>
      <c r="Q740">
        <f>INDEX(KidACTs,MATCH(B740,KidIDs,0))</f>
        <v>0</v>
      </c>
      <c r="R740">
        <f>INDEX(Strats,MATCH(B740,KidIDs,0))</f>
        <v>0</v>
      </c>
      <c r="S740">
        <f>INDEX(KidRace,MATCH(B740,KidIDs,0))</f>
        <v>0</v>
      </c>
      <c r="T740">
        <f>IF(OR(S740="M",S740="I"),"H",S740)</f>
        <v>0</v>
      </c>
      <c r="U740">
        <f>INDEX(StudentTargets,MATCH(B740,KidIDs,0))</f>
        <v>0</v>
      </c>
      <c r="V740">
        <f>INDEX(ReachStudentTargets,MATCH(B740,KidIDs,0))</f>
        <v>0</v>
      </c>
      <c r="W740">
        <f>IF(OR(M740="Posse"),1,0)</f>
        <v>0</v>
      </c>
      <c r="X740">
        <f>IF(ISNUMBER(INDEX(AllCollegeGR, MATCH(N740,AllCollegeNCES,0))),ROUND(INDEX(AllCollegeGR, MATCH(N740,AllCollegeNCES,0))+W740*IF(INDEX(AllCollegeGR, MATCH(N740,AllCollegeNCES,0))&gt;0.7,(1-INDEX(AllCollegeGR, MATCH(N740,AllCollegeNCES,0)))/2,0.15),2),INDEX(AllCollegeGR, MATCH(N740,AllCollegeNCES,0)))</f>
        <v>0</v>
      </c>
      <c r="Y740">
        <f>IF(ISNUMBER(INDEX(AllCollegeAAHGR, MATCH(N740,AllCollegeNCES,0))),ROUND(INDEX(AllCollegeAAHGR, MATCH(N740,AllCollegeNCES,0))+W740*IF(INDEX(AllCollegeAAHGR, MATCH(N740,AllCollegeNCES,0))&gt;0.7,(1-INDEX(AllCollegeAAHGR, MATCH(N740,AllCollegeNCES,0)))/2,0.15),2),INDEX(AllCollegeAAHGR, MATCH(N740,AllCollegeNCES,0)))</f>
        <v>0</v>
      </c>
      <c r="Z740">
        <f>IF(OR(T740="H",T740="B"),INDEX(AllCollegeACT25, MATCH(N740,AllCollegeNCES,0)),INDEX(AllCollegeACT50, MATCH(N740,AllCollegeNCES,0)))</f>
        <v>0</v>
      </c>
      <c r="AA740">
        <f>INDEX(CustomWeightsGPA,MATCH(T740&amp;":"&amp;N740,CustomWeightsIndex,0))</f>
        <v>0</v>
      </c>
      <c r="AB740">
        <f>INDEX(CustomWeightsACT,MATCH(T740&amp;":"&amp;N740,CustomWeightsIndex,0))</f>
        <v>0</v>
      </c>
      <c r="AC740">
        <f>INDEX(CustomWeightsIntercept,MATCH(T740&amp;":"&amp;N740,CustomWeightsIndex,0))</f>
        <v>0</v>
      </c>
      <c r="AD740">
        <f>AA740*P740+AB740*Q740+AC740</f>
        <v>0</v>
      </c>
      <c r="AE740">
        <f>INDEX(CoefficientsGPA,MATCH(T740&amp;":"&amp;O740,CoefficientsIndex,0))</f>
        <v>0</v>
      </c>
      <c r="AF740">
        <f>INDEX(CoefficientsACT,MATCH(T740&amp;":"&amp;O740,CoefficientsIndex,0))</f>
        <v>0</v>
      </c>
      <c r="AG740">
        <f>INDEX(CoefficientsIntercept,MATCH(T740&amp;":"&amp;O740,CoefficientsIndex,0))</f>
        <v>0</v>
      </c>
      <c r="AH740">
        <f>AE740*P740+(Q740-Z740)*AF740+AG740</f>
        <v>0</v>
      </c>
      <c r="AI740">
        <f>IF(ISNUMBER(AD740),AD740,AH740)</f>
        <v>0</v>
      </c>
      <c r="AJ740">
        <f>IF(ISNUMBER(AI740),IF(ISNUMBER(AE740),IF(AND(AE740=1,AF740=1,AG740=1),100,ROUND(100*EXP(AI740)/(1+EXP(AI740)),2)),ROUND(100*EXP(AI740)/(1+EXP(AI740)),2)),IF(ISTEXT(O740),IF(LEFT(O740,1)="2",100,"N/A"),"N/A"))</f>
        <v>0</v>
      </c>
      <c r="AK740">
        <f>IF(ISNUMBER(AJ740),IF(AJ740&gt;=99,IF(OR(R740=10,R740=11),MatchLabel,SureThingLabel),IF(AJ740&gt;=95,SecureLabel,IF(AJ740&gt;=80,SafetyLabel,IF(AJ740&gt;=50,MatchLabel,IF(AJ740&gt;=20,ReachLabel,IF(AJ740&gt;=10,LongshotLabel,HailMaryLabel)))))),"Other")</f>
        <v>0</v>
      </c>
      <c r="AL740">
        <f>IF(OR(I740="accepted",I740="cond. accept",I740="summer admit"),IF(J740="yes","CHOICE!","Accepted!"),IF(I740="denied","Denied",IF(K740=1,"Waitlist",IF(L740=1,"Deferred",IF(G740="pending","Pending",IF(OR(G740="initial materials submitted",G740="mid-year submitted",G740="final submitted"),"Submitted",IF(H740="interest","Interest","?")))))))</f>
        <v>0</v>
      </c>
      <c r="AM740">
        <f>IF(OR(AK740=ReachLabel,AK740=LongshotLabel,AK740=HailMaryLabel),1,0)</f>
        <v>0</v>
      </c>
      <c r="AN740">
        <f>IF(OR(AM740=1,AK740=MatchLabel),1,0)</f>
        <v>0</v>
      </c>
      <c r="AO740">
        <f>IF(OR(AK740=MatchLabel,AK740=SafetyLabel,AK740=SecureLabel,AK740=SureThingLabel),1,0)</f>
        <v>0</v>
      </c>
      <c r="AP740">
        <f>IF(OR(T740="H",T740="B"),IF(ISNUMBER(Y740),ROUND(Y740,2),0),IF(ISNUMBER(X740),ROUND(X740,2),0))</f>
        <v>0</v>
      </c>
      <c r="AQ740">
        <f>IF(AP740&gt;=U740,1,0)</f>
        <v>0</v>
      </c>
      <c r="AR740">
        <f>IF(AP740&gt;=V740,1,0)</f>
        <v>0</v>
      </c>
      <c r="AS740">
        <f>IF(AP740&lt;(U740-0.10),1,0)</f>
        <v>0</v>
      </c>
      <c r="AT740">
        <f>1-AJ740/100</f>
        <v>0</v>
      </c>
      <c r="AU740">
        <f>IF(AN740=1,AT740,1)</f>
        <v>0</v>
      </c>
      <c r="AV740">
        <f>IF(AM740=1,AT740,1)</f>
        <v>0</v>
      </c>
      <c r="AW740">
        <f>IF(AND(AQ740=1,ISNUMBER(AT740)),$AT740,1)</f>
        <v>0</v>
      </c>
      <c r="AX740">
        <f>IF(AND(AR740=1,ISNUMBER(AT740)),$AT740,1)</f>
        <v>0</v>
      </c>
      <c r="AY740">
        <f>IF(ISNUMBER(Y740),INDEX(AllCollegeMoney, MATCH(N740,AllCollegeNCES,0)),0)</f>
        <v>0</v>
      </c>
      <c r="AZ740">
        <f>IF(AND(AQ740=1,ISNUMBER(AT740),AY740=1),$AT740,1)</f>
        <v>0</v>
      </c>
      <c r="BA740">
        <f>IF(AND(AR740=1,ISNUMBER(AT740),AY740=1),$AT740,1)</f>
        <v>0</v>
      </c>
      <c r="BB740">
        <f>IF(ISNUMBER(Y740),INDEX(AllCollegeILPub, MATCH(N740,AllCollegeNCES,0)),0)</f>
        <v>0</v>
      </c>
      <c r="BC740">
        <f>IF(AK740=ReachLabel,AP740,0)</f>
        <v>0</v>
      </c>
      <c r="BD740">
        <f>IF(AK740=MatchLabel,AP740,0)</f>
        <v>0</v>
      </c>
      <c r="BE740">
        <f>IF(AK740=SafetyLabel,AP740,0)</f>
        <v>0</v>
      </c>
      <c r="BF740">
        <f>IF(AK740=SecureLabel,AP740,0)</f>
        <v>0</v>
      </c>
      <c r="BG740">
        <f>IF(AK740=SureThingLabel,AP740,0)</f>
        <v>0</v>
      </c>
      <c r="BH740">
        <f>MAX(BC740:BG740)</f>
        <v>0</v>
      </c>
      <c r="BI740">
        <f>MAX(BD740:BG740)</f>
        <v>0</v>
      </c>
      <c r="BJ740">
        <f>MAX(BE740:BG740)</f>
        <v>0</v>
      </c>
      <c r="BK740">
        <f>IF(AND(AK740=ReachLabel,AY740=1),AP740,0)</f>
        <v>0</v>
      </c>
      <c r="BL740">
        <f>IF(AND(AK740=MatchLabel,AY740=1),AP740,0)</f>
        <v>0</v>
      </c>
      <c r="BM740">
        <f>IF(AND(AK740=SafetyLabel,AY740=1),AP740,0)</f>
        <v>0</v>
      </c>
      <c r="BN740">
        <f>IF(AND(AK740=SecureLabel,AY740=1),AP740,0)</f>
        <v>0</v>
      </c>
      <c r="BO740">
        <f>IF(AND(AK740=SureThingLabel,AY740=1),AP740,0)</f>
        <v>0</v>
      </c>
      <c r="BP740">
        <f>MAX(BK740:BO740)</f>
        <v>0</v>
      </c>
      <c r="BQ740">
        <f>MAX(BL740:BO740)</f>
        <v>0</v>
      </c>
      <c r="BR740">
        <f>MAX(BM740:BO740)</f>
        <v>0</v>
      </c>
      <c r="BS740">
        <f>IF(ISNUMBER(Y740),INDEX(AllCollegeChicago, MATCH(N740,AllCollegeNCES,0))*AY740,0)</f>
        <v>0</v>
      </c>
      <c r="BT740">
        <f>IF(ISNUMBER(Y740),INDEX(AllCollegeMoneyCode, MATCH(N740,AllCollegeNCES,0)),"?")</f>
        <v>0</v>
      </c>
      <c r="BU740">
        <f>IF(OR(BT740="---",BT740="--",BT740="+/--",BT740="+/---"),1,0)</f>
        <v>0</v>
      </c>
      <c r="BV740">
        <f>AY740*AO740*AQ740</f>
        <v>0</v>
      </c>
    </row>
    <row r="741" spans="1:74">
      <c r="A741" t="s">
        <v>86</v>
      </c>
      <c r="B741">
        <v>30316543</v>
      </c>
      <c r="C741" t="s">
        <v>272</v>
      </c>
      <c r="D741" t="s">
        <v>273</v>
      </c>
      <c r="E741" t="s">
        <v>428</v>
      </c>
      <c r="F741" t="s">
        <v>470</v>
      </c>
      <c r="G741" t="s">
        <v>430</v>
      </c>
      <c r="H741" t="s">
        <v>431</v>
      </c>
      <c r="I741" t="s">
        <v>432</v>
      </c>
      <c r="J741" t="s">
        <v>432</v>
      </c>
      <c r="K741">
        <v>0</v>
      </c>
      <c r="L741" t="s">
        <v>428</v>
      </c>
      <c r="M741" t="s">
        <v>428</v>
      </c>
      <c r="N741">
        <v>206589</v>
      </c>
      <c r="O741">
        <f>INDEX(AllCollegeBarrons,MATCH(N741,AllCollegeNCES,0))</f>
        <v>0</v>
      </c>
      <c r="P741">
        <f>INDEX(KidGPAs,MATCH(B741,KidIDs,0))</f>
        <v>0</v>
      </c>
      <c r="Q741">
        <f>INDEX(KidACTs,MATCH(B741,KidIDs,0))</f>
        <v>0</v>
      </c>
      <c r="R741">
        <f>INDEX(Strats,MATCH(B741,KidIDs,0))</f>
        <v>0</v>
      </c>
      <c r="S741">
        <f>INDEX(KidRace,MATCH(B741,KidIDs,0))</f>
        <v>0</v>
      </c>
      <c r="T741">
        <f>IF(OR(S741="M",S741="I"),"H",S741)</f>
        <v>0</v>
      </c>
      <c r="U741">
        <f>INDEX(StudentTargets,MATCH(B741,KidIDs,0))</f>
        <v>0</v>
      </c>
      <c r="V741">
        <f>INDEX(ReachStudentTargets,MATCH(B741,KidIDs,0))</f>
        <v>0</v>
      </c>
      <c r="W741">
        <f>IF(OR(M741="Posse"),1,0)</f>
        <v>0</v>
      </c>
      <c r="X741">
        <f>IF(ISNUMBER(INDEX(AllCollegeGR, MATCH(N741,AllCollegeNCES,0))),ROUND(INDEX(AllCollegeGR, MATCH(N741,AllCollegeNCES,0))+W741*IF(INDEX(AllCollegeGR, MATCH(N741,AllCollegeNCES,0))&gt;0.7,(1-INDEX(AllCollegeGR, MATCH(N741,AllCollegeNCES,0)))/2,0.15),2),INDEX(AllCollegeGR, MATCH(N741,AllCollegeNCES,0)))</f>
        <v>0</v>
      </c>
      <c r="Y741">
        <f>IF(ISNUMBER(INDEX(AllCollegeAAHGR, MATCH(N741,AllCollegeNCES,0))),ROUND(INDEX(AllCollegeAAHGR, MATCH(N741,AllCollegeNCES,0))+W741*IF(INDEX(AllCollegeAAHGR, MATCH(N741,AllCollegeNCES,0))&gt;0.7,(1-INDEX(AllCollegeAAHGR, MATCH(N741,AllCollegeNCES,0)))/2,0.15),2),INDEX(AllCollegeAAHGR, MATCH(N741,AllCollegeNCES,0)))</f>
        <v>0</v>
      </c>
      <c r="Z741">
        <f>IF(OR(T741="H",T741="B"),INDEX(AllCollegeACT25, MATCH(N741,AllCollegeNCES,0)),INDEX(AllCollegeACT50, MATCH(N741,AllCollegeNCES,0)))</f>
        <v>0</v>
      </c>
      <c r="AA741">
        <f>INDEX(CustomWeightsGPA,MATCH(T741&amp;":"&amp;N741,CustomWeightsIndex,0))</f>
        <v>0</v>
      </c>
      <c r="AB741">
        <f>INDEX(CustomWeightsACT,MATCH(T741&amp;":"&amp;N741,CustomWeightsIndex,0))</f>
        <v>0</v>
      </c>
      <c r="AC741">
        <f>INDEX(CustomWeightsIntercept,MATCH(T741&amp;":"&amp;N741,CustomWeightsIndex,0))</f>
        <v>0</v>
      </c>
      <c r="AD741">
        <f>AA741*P741+AB741*Q741+AC741</f>
        <v>0</v>
      </c>
      <c r="AE741">
        <f>INDEX(CoefficientsGPA,MATCH(T741&amp;":"&amp;O741,CoefficientsIndex,0))</f>
        <v>0</v>
      </c>
      <c r="AF741">
        <f>INDEX(CoefficientsACT,MATCH(T741&amp;":"&amp;O741,CoefficientsIndex,0))</f>
        <v>0</v>
      </c>
      <c r="AG741">
        <f>INDEX(CoefficientsIntercept,MATCH(T741&amp;":"&amp;O741,CoefficientsIndex,0))</f>
        <v>0</v>
      </c>
      <c r="AH741">
        <f>AE741*P741+(Q741-Z741)*AF741+AG741</f>
        <v>0</v>
      </c>
      <c r="AI741">
        <f>IF(ISNUMBER(AD741),AD741,AH741)</f>
        <v>0</v>
      </c>
      <c r="AJ741">
        <f>IF(ISNUMBER(AI741),IF(ISNUMBER(AE741),IF(AND(AE741=1,AF741=1,AG741=1),100,ROUND(100*EXP(AI741)/(1+EXP(AI741)),2)),ROUND(100*EXP(AI741)/(1+EXP(AI741)),2)),IF(ISTEXT(O741),IF(LEFT(O741,1)="2",100,"N/A"),"N/A"))</f>
        <v>0</v>
      </c>
      <c r="AK741">
        <f>IF(ISNUMBER(AJ741),IF(AJ741&gt;=99,IF(OR(R741=10,R741=11),MatchLabel,SureThingLabel),IF(AJ741&gt;=95,SecureLabel,IF(AJ741&gt;=80,SafetyLabel,IF(AJ741&gt;=50,MatchLabel,IF(AJ741&gt;=20,ReachLabel,IF(AJ741&gt;=10,LongshotLabel,HailMaryLabel)))))),"Other")</f>
        <v>0</v>
      </c>
      <c r="AL741">
        <f>IF(OR(I741="accepted",I741="cond. accept",I741="summer admit"),IF(J741="yes","CHOICE!","Accepted!"),IF(I741="denied","Denied",IF(K741=1,"Waitlist",IF(L741=1,"Deferred",IF(G741="pending","Pending",IF(OR(G741="initial materials submitted",G741="mid-year submitted",G741="final submitted"),"Submitted",IF(H741="interest","Interest","?")))))))</f>
        <v>0</v>
      </c>
      <c r="AM741">
        <f>IF(OR(AK741=ReachLabel,AK741=LongshotLabel,AK741=HailMaryLabel),1,0)</f>
        <v>0</v>
      </c>
      <c r="AN741">
        <f>IF(OR(AM741=1,AK741=MatchLabel),1,0)</f>
        <v>0</v>
      </c>
      <c r="AO741">
        <f>IF(OR(AK741=MatchLabel,AK741=SafetyLabel,AK741=SecureLabel,AK741=SureThingLabel),1,0)</f>
        <v>0</v>
      </c>
      <c r="AP741">
        <f>IF(OR(T741="H",T741="B"),IF(ISNUMBER(Y741),ROUND(Y741,2),0),IF(ISNUMBER(X741),ROUND(X741,2),0))</f>
        <v>0</v>
      </c>
      <c r="AQ741">
        <f>IF(AP741&gt;=U741,1,0)</f>
        <v>0</v>
      </c>
      <c r="AR741">
        <f>IF(AP741&gt;=V741,1,0)</f>
        <v>0</v>
      </c>
      <c r="AS741">
        <f>IF(AP741&lt;(U741-0.10),1,0)</f>
        <v>0</v>
      </c>
      <c r="AT741">
        <f>1-AJ741/100</f>
        <v>0</v>
      </c>
      <c r="AU741">
        <f>IF(AN741=1,AT741,1)</f>
        <v>0</v>
      </c>
      <c r="AV741">
        <f>IF(AM741=1,AT741,1)</f>
        <v>0</v>
      </c>
      <c r="AW741">
        <f>IF(AND(AQ741=1,ISNUMBER(AT741)),$AT741,1)</f>
        <v>0</v>
      </c>
      <c r="AX741">
        <f>IF(AND(AR741=1,ISNUMBER(AT741)),$AT741,1)</f>
        <v>0</v>
      </c>
      <c r="AY741">
        <f>IF(ISNUMBER(Y741),INDEX(AllCollegeMoney, MATCH(N741,AllCollegeNCES,0)),0)</f>
        <v>0</v>
      </c>
      <c r="AZ741">
        <f>IF(AND(AQ741=1,ISNUMBER(AT741),AY741=1),$AT741,1)</f>
        <v>0</v>
      </c>
      <c r="BA741">
        <f>IF(AND(AR741=1,ISNUMBER(AT741),AY741=1),$AT741,1)</f>
        <v>0</v>
      </c>
      <c r="BB741">
        <f>IF(ISNUMBER(Y741),INDEX(AllCollegeILPub, MATCH(N741,AllCollegeNCES,0)),0)</f>
        <v>0</v>
      </c>
      <c r="BC741">
        <f>IF(AK741=ReachLabel,AP741,0)</f>
        <v>0</v>
      </c>
      <c r="BD741">
        <f>IF(AK741=MatchLabel,AP741,0)</f>
        <v>0</v>
      </c>
      <c r="BE741">
        <f>IF(AK741=SafetyLabel,AP741,0)</f>
        <v>0</v>
      </c>
      <c r="BF741">
        <f>IF(AK741=SecureLabel,AP741,0)</f>
        <v>0</v>
      </c>
      <c r="BG741">
        <f>IF(AK741=SureThingLabel,AP741,0)</f>
        <v>0</v>
      </c>
      <c r="BH741">
        <f>MAX(BC741:BG741)</f>
        <v>0</v>
      </c>
      <c r="BI741">
        <f>MAX(BD741:BG741)</f>
        <v>0</v>
      </c>
      <c r="BJ741">
        <f>MAX(BE741:BG741)</f>
        <v>0</v>
      </c>
      <c r="BK741">
        <f>IF(AND(AK741=ReachLabel,AY741=1),AP741,0)</f>
        <v>0</v>
      </c>
      <c r="BL741">
        <f>IF(AND(AK741=MatchLabel,AY741=1),AP741,0)</f>
        <v>0</v>
      </c>
      <c r="BM741">
        <f>IF(AND(AK741=SafetyLabel,AY741=1),AP741,0)</f>
        <v>0</v>
      </c>
      <c r="BN741">
        <f>IF(AND(AK741=SecureLabel,AY741=1),AP741,0)</f>
        <v>0</v>
      </c>
      <c r="BO741">
        <f>IF(AND(AK741=SureThingLabel,AY741=1),AP741,0)</f>
        <v>0</v>
      </c>
      <c r="BP741">
        <f>MAX(BK741:BO741)</f>
        <v>0</v>
      </c>
      <c r="BQ741">
        <f>MAX(BL741:BO741)</f>
        <v>0</v>
      </c>
      <c r="BR741">
        <f>MAX(BM741:BO741)</f>
        <v>0</v>
      </c>
      <c r="BS741">
        <f>IF(ISNUMBER(Y741),INDEX(AllCollegeChicago, MATCH(N741,AllCollegeNCES,0))*AY741,0)</f>
        <v>0</v>
      </c>
      <c r="BT741">
        <f>IF(ISNUMBER(Y741),INDEX(AllCollegeMoneyCode, MATCH(N741,AllCollegeNCES,0)),"?")</f>
        <v>0</v>
      </c>
      <c r="BU741">
        <f>IF(OR(BT741="---",BT741="--",BT741="+/--",BT741="+/---"),1,0)</f>
        <v>0</v>
      </c>
      <c r="BV741">
        <f>AY741*AO741*AQ741</f>
        <v>0</v>
      </c>
    </row>
    <row r="742" spans="1:74">
      <c r="A742" t="s">
        <v>86</v>
      </c>
      <c r="B742">
        <v>30316543</v>
      </c>
      <c r="C742" t="s">
        <v>272</v>
      </c>
      <c r="D742" t="s">
        <v>273</v>
      </c>
      <c r="E742" t="s">
        <v>428</v>
      </c>
      <c r="F742" t="s">
        <v>471</v>
      </c>
      <c r="G742" t="s">
        <v>463</v>
      </c>
      <c r="H742" t="s">
        <v>431</v>
      </c>
      <c r="I742" t="s">
        <v>432</v>
      </c>
      <c r="J742" t="s">
        <v>432</v>
      </c>
      <c r="K742">
        <v>0</v>
      </c>
      <c r="L742" t="s">
        <v>428</v>
      </c>
      <c r="M742" t="s">
        <v>428</v>
      </c>
      <c r="N742">
        <v>170301</v>
      </c>
      <c r="O742">
        <f>INDEX(AllCollegeBarrons,MATCH(N742,AllCollegeNCES,0))</f>
        <v>0</v>
      </c>
      <c r="P742">
        <f>INDEX(KidGPAs,MATCH(B742,KidIDs,0))</f>
        <v>0</v>
      </c>
      <c r="Q742">
        <f>INDEX(KidACTs,MATCH(B742,KidIDs,0))</f>
        <v>0</v>
      </c>
      <c r="R742">
        <f>INDEX(Strats,MATCH(B742,KidIDs,0))</f>
        <v>0</v>
      </c>
      <c r="S742">
        <f>INDEX(KidRace,MATCH(B742,KidIDs,0))</f>
        <v>0</v>
      </c>
      <c r="T742">
        <f>IF(OR(S742="M",S742="I"),"H",S742)</f>
        <v>0</v>
      </c>
      <c r="U742">
        <f>INDEX(StudentTargets,MATCH(B742,KidIDs,0))</f>
        <v>0</v>
      </c>
      <c r="V742">
        <f>INDEX(ReachStudentTargets,MATCH(B742,KidIDs,0))</f>
        <v>0</v>
      </c>
      <c r="W742">
        <f>IF(OR(M742="Posse"),1,0)</f>
        <v>0</v>
      </c>
      <c r="X742">
        <f>IF(ISNUMBER(INDEX(AllCollegeGR, MATCH(N742,AllCollegeNCES,0))),ROUND(INDEX(AllCollegeGR, MATCH(N742,AllCollegeNCES,0))+W742*IF(INDEX(AllCollegeGR, MATCH(N742,AllCollegeNCES,0))&gt;0.7,(1-INDEX(AllCollegeGR, MATCH(N742,AllCollegeNCES,0)))/2,0.15),2),INDEX(AllCollegeGR, MATCH(N742,AllCollegeNCES,0)))</f>
        <v>0</v>
      </c>
      <c r="Y742">
        <f>IF(ISNUMBER(INDEX(AllCollegeAAHGR, MATCH(N742,AllCollegeNCES,0))),ROUND(INDEX(AllCollegeAAHGR, MATCH(N742,AllCollegeNCES,0))+W742*IF(INDEX(AllCollegeAAHGR, MATCH(N742,AllCollegeNCES,0))&gt;0.7,(1-INDEX(AllCollegeAAHGR, MATCH(N742,AllCollegeNCES,0)))/2,0.15),2),INDEX(AllCollegeAAHGR, MATCH(N742,AllCollegeNCES,0)))</f>
        <v>0</v>
      </c>
      <c r="Z742">
        <f>IF(OR(T742="H",T742="B"),INDEX(AllCollegeACT25, MATCH(N742,AllCollegeNCES,0)),INDEX(AllCollegeACT50, MATCH(N742,AllCollegeNCES,0)))</f>
        <v>0</v>
      </c>
      <c r="AA742">
        <f>INDEX(CustomWeightsGPA,MATCH(T742&amp;":"&amp;N742,CustomWeightsIndex,0))</f>
        <v>0</v>
      </c>
      <c r="AB742">
        <f>INDEX(CustomWeightsACT,MATCH(T742&amp;":"&amp;N742,CustomWeightsIndex,0))</f>
        <v>0</v>
      </c>
      <c r="AC742">
        <f>INDEX(CustomWeightsIntercept,MATCH(T742&amp;":"&amp;N742,CustomWeightsIndex,0))</f>
        <v>0</v>
      </c>
      <c r="AD742">
        <f>AA742*P742+AB742*Q742+AC742</f>
        <v>0</v>
      </c>
      <c r="AE742">
        <f>INDEX(CoefficientsGPA,MATCH(T742&amp;":"&amp;O742,CoefficientsIndex,0))</f>
        <v>0</v>
      </c>
      <c r="AF742">
        <f>INDEX(CoefficientsACT,MATCH(T742&amp;":"&amp;O742,CoefficientsIndex,0))</f>
        <v>0</v>
      </c>
      <c r="AG742">
        <f>INDEX(CoefficientsIntercept,MATCH(T742&amp;":"&amp;O742,CoefficientsIndex,0))</f>
        <v>0</v>
      </c>
      <c r="AH742">
        <f>AE742*P742+(Q742-Z742)*AF742+AG742</f>
        <v>0</v>
      </c>
      <c r="AI742">
        <f>IF(ISNUMBER(AD742),AD742,AH742)</f>
        <v>0</v>
      </c>
      <c r="AJ742">
        <f>IF(ISNUMBER(AI742),IF(ISNUMBER(AE742),IF(AND(AE742=1,AF742=1,AG742=1),100,ROUND(100*EXP(AI742)/(1+EXP(AI742)),2)),ROUND(100*EXP(AI742)/(1+EXP(AI742)),2)),IF(ISTEXT(O742),IF(LEFT(O742,1)="2",100,"N/A"),"N/A"))</f>
        <v>0</v>
      </c>
      <c r="AK742">
        <f>IF(ISNUMBER(AJ742),IF(AJ742&gt;=99,IF(OR(R742=10,R742=11),MatchLabel,SureThingLabel),IF(AJ742&gt;=95,SecureLabel,IF(AJ742&gt;=80,SafetyLabel,IF(AJ742&gt;=50,MatchLabel,IF(AJ742&gt;=20,ReachLabel,IF(AJ742&gt;=10,LongshotLabel,HailMaryLabel)))))),"Other")</f>
        <v>0</v>
      </c>
      <c r="AL742">
        <f>IF(OR(I742="accepted",I742="cond. accept",I742="summer admit"),IF(J742="yes","CHOICE!","Accepted!"),IF(I742="denied","Denied",IF(K742=1,"Waitlist",IF(L742=1,"Deferred",IF(G742="pending","Pending",IF(OR(G742="initial materials submitted",G742="mid-year submitted",G742="final submitted"),"Submitted",IF(H742="interest","Interest","?")))))))</f>
        <v>0</v>
      </c>
      <c r="AM742">
        <f>IF(OR(AK742=ReachLabel,AK742=LongshotLabel,AK742=HailMaryLabel),1,0)</f>
        <v>0</v>
      </c>
      <c r="AN742">
        <f>IF(OR(AM742=1,AK742=MatchLabel),1,0)</f>
        <v>0</v>
      </c>
      <c r="AO742">
        <f>IF(OR(AK742=MatchLabel,AK742=SafetyLabel,AK742=SecureLabel,AK742=SureThingLabel),1,0)</f>
        <v>0</v>
      </c>
      <c r="AP742">
        <f>IF(OR(T742="H",T742="B"),IF(ISNUMBER(Y742),ROUND(Y742,2),0),IF(ISNUMBER(X742),ROUND(X742,2),0))</f>
        <v>0</v>
      </c>
      <c r="AQ742">
        <f>IF(AP742&gt;=U742,1,0)</f>
        <v>0</v>
      </c>
      <c r="AR742">
        <f>IF(AP742&gt;=V742,1,0)</f>
        <v>0</v>
      </c>
      <c r="AS742">
        <f>IF(AP742&lt;(U742-0.10),1,0)</f>
        <v>0</v>
      </c>
      <c r="AT742">
        <f>1-AJ742/100</f>
        <v>0</v>
      </c>
      <c r="AU742">
        <f>IF(AN742=1,AT742,1)</f>
        <v>0</v>
      </c>
      <c r="AV742">
        <f>IF(AM742=1,AT742,1)</f>
        <v>0</v>
      </c>
      <c r="AW742">
        <f>IF(AND(AQ742=1,ISNUMBER(AT742)),$AT742,1)</f>
        <v>0</v>
      </c>
      <c r="AX742">
        <f>IF(AND(AR742=1,ISNUMBER(AT742)),$AT742,1)</f>
        <v>0</v>
      </c>
      <c r="AY742">
        <f>IF(ISNUMBER(Y742),INDEX(AllCollegeMoney, MATCH(N742,AllCollegeNCES,0)),0)</f>
        <v>0</v>
      </c>
      <c r="AZ742">
        <f>IF(AND(AQ742=1,ISNUMBER(AT742),AY742=1),$AT742,1)</f>
        <v>0</v>
      </c>
      <c r="BA742">
        <f>IF(AND(AR742=1,ISNUMBER(AT742),AY742=1),$AT742,1)</f>
        <v>0</v>
      </c>
      <c r="BB742">
        <f>IF(ISNUMBER(Y742),INDEX(AllCollegeILPub, MATCH(N742,AllCollegeNCES,0)),0)</f>
        <v>0</v>
      </c>
      <c r="BC742">
        <f>IF(AK742=ReachLabel,AP742,0)</f>
        <v>0</v>
      </c>
      <c r="BD742">
        <f>IF(AK742=MatchLabel,AP742,0)</f>
        <v>0</v>
      </c>
      <c r="BE742">
        <f>IF(AK742=SafetyLabel,AP742,0)</f>
        <v>0</v>
      </c>
      <c r="BF742">
        <f>IF(AK742=SecureLabel,AP742,0)</f>
        <v>0</v>
      </c>
      <c r="BG742">
        <f>IF(AK742=SureThingLabel,AP742,0)</f>
        <v>0</v>
      </c>
      <c r="BH742">
        <f>MAX(BC742:BG742)</f>
        <v>0</v>
      </c>
      <c r="BI742">
        <f>MAX(BD742:BG742)</f>
        <v>0</v>
      </c>
      <c r="BJ742">
        <f>MAX(BE742:BG742)</f>
        <v>0</v>
      </c>
      <c r="BK742">
        <f>IF(AND(AK742=ReachLabel,AY742=1),AP742,0)</f>
        <v>0</v>
      </c>
      <c r="BL742">
        <f>IF(AND(AK742=MatchLabel,AY742=1),AP742,0)</f>
        <v>0</v>
      </c>
      <c r="BM742">
        <f>IF(AND(AK742=SafetyLabel,AY742=1),AP742,0)</f>
        <v>0</v>
      </c>
      <c r="BN742">
        <f>IF(AND(AK742=SecureLabel,AY742=1),AP742,0)</f>
        <v>0</v>
      </c>
      <c r="BO742">
        <f>IF(AND(AK742=SureThingLabel,AY742=1),AP742,0)</f>
        <v>0</v>
      </c>
      <c r="BP742">
        <f>MAX(BK742:BO742)</f>
        <v>0</v>
      </c>
      <c r="BQ742">
        <f>MAX(BL742:BO742)</f>
        <v>0</v>
      </c>
      <c r="BR742">
        <f>MAX(BM742:BO742)</f>
        <v>0</v>
      </c>
      <c r="BS742">
        <f>IF(ISNUMBER(Y742),INDEX(AllCollegeChicago, MATCH(N742,AllCollegeNCES,0))*AY742,0)</f>
        <v>0</v>
      </c>
      <c r="BT742">
        <f>IF(ISNUMBER(Y742),INDEX(AllCollegeMoneyCode, MATCH(N742,AllCollegeNCES,0)),"?")</f>
        <v>0</v>
      </c>
      <c r="BU742">
        <f>IF(OR(BT742="---",BT742="--",BT742="+/--",BT742="+/---"),1,0)</f>
        <v>0</v>
      </c>
      <c r="BV742">
        <f>AY742*AO742*AQ742</f>
        <v>0</v>
      </c>
    </row>
    <row r="743" spans="1:74">
      <c r="A743" t="s">
        <v>86</v>
      </c>
      <c r="B743">
        <v>30316543</v>
      </c>
      <c r="C743" t="s">
        <v>272</v>
      </c>
      <c r="D743" t="s">
        <v>273</v>
      </c>
      <c r="E743" t="s">
        <v>428</v>
      </c>
      <c r="F743" t="s">
        <v>460</v>
      </c>
      <c r="G743" t="s">
        <v>430</v>
      </c>
      <c r="H743" t="s">
        <v>431</v>
      </c>
      <c r="I743" t="s">
        <v>432</v>
      </c>
      <c r="J743" t="s">
        <v>432</v>
      </c>
      <c r="K743">
        <v>0</v>
      </c>
      <c r="L743" t="s">
        <v>428</v>
      </c>
      <c r="M743" t="s">
        <v>428</v>
      </c>
      <c r="N743">
        <v>221519</v>
      </c>
      <c r="O743">
        <f>INDEX(AllCollegeBarrons,MATCH(N743,AllCollegeNCES,0))</f>
        <v>0</v>
      </c>
      <c r="P743">
        <f>INDEX(KidGPAs,MATCH(B743,KidIDs,0))</f>
        <v>0</v>
      </c>
      <c r="Q743">
        <f>INDEX(KidACTs,MATCH(B743,KidIDs,0))</f>
        <v>0</v>
      </c>
      <c r="R743">
        <f>INDEX(Strats,MATCH(B743,KidIDs,0))</f>
        <v>0</v>
      </c>
      <c r="S743">
        <f>INDEX(KidRace,MATCH(B743,KidIDs,0))</f>
        <v>0</v>
      </c>
      <c r="T743">
        <f>IF(OR(S743="M",S743="I"),"H",S743)</f>
        <v>0</v>
      </c>
      <c r="U743">
        <f>INDEX(StudentTargets,MATCH(B743,KidIDs,0))</f>
        <v>0</v>
      </c>
      <c r="V743">
        <f>INDEX(ReachStudentTargets,MATCH(B743,KidIDs,0))</f>
        <v>0</v>
      </c>
      <c r="W743">
        <f>IF(OR(M743="Posse"),1,0)</f>
        <v>0</v>
      </c>
      <c r="X743">
        <f>IF(ISNUMBER(INDEX(AllCollegeGR, MATCH(N743,AllCollegeNCES,0))),ROUND(INDEX(AllCollegeGR, MATCH(N743,AllCollegeNCES,0))+W743*IF(INDEX(AllCollegeGR, MATCH(N743,AllCollegeNCES,0))&gt;0.7,(1-INDEX(AllCollegeGR, MATCH(N743,AllCollegeNCES,0)))/2,0.15),2),INDEX(AllCollegeGR, MATCH(N743,AllCollegeNCES,0)))</f>
        <v>0</v>
      </c>
      <c r="Y743">
        <f>IF(ISNUMBER(INDEX(AllCollegeAAHGR, MATCH(N743,AllCollegeNCES,0))),ROUND(INDEX(AllCollegeAAHGR, MATCH(N743,AllCollegeNCES,0))+W743*IF(INDEX(AllCollegeAAHGR, MATCH(N743,AllCollegeNCES,0))&gt;0.7,(1-INDEX(AllCollegeAAHGR, MATCH(N743,AllCollegeNCES,0)))/2,0.15),2),INDEX(AllCollegeAAHGR, MATCH(N743,AllCollegeNCES,0)))</f>
        <v>0</v>
      </c>
      <c r="Z743">
        <f>IF(OR(T743="H",T743="B"),INDEX(AllCollegeACT25, MATCH(N743,AllCollegeNCES,0)),INDEX(AllCollegeACT50, MATCH(N743,AllCollegeNCES,0)))</f>
        <v>0</v>
      </c>
      <c r="AA743">
        <f>INDEX(CustomWeightsGPA,MATCH(T743&amp;":"&amp;N743,CustomWeightsIndex,0))</f>
        <v>0</v>
      </c>
      <c r="AB743">
        <f>INDEX(CustomWeightsACT,MATCH(T743&amp;":"&amp;N743,CustomWeightsIndex,0))</f>
        <v>0</v>
      </c>
      <c r="AC743">
        <f>INDEX(CustomWeightsIntercept,MATCH(T743&amp;":"&amp;N743,CustomWeightsIndex,0))</f>
        <v>0</v>
      </c>
      <c r="AD743">
        <f>AA743*P743+AB743*Q743+AC743</f>
        <v>0</v>
      </c>
      <c r="AE743">
        <f>INDEX(CoefficientsGPA,MATCH(T743&amp;":"&amp;O743,CoefficientsIndex,0))</f>
        <v>0</v>
      </c>
      <c r="AF743">
        <f>INDEX(CoefficientsACT,MATCH(T743&amp;":"&amp;O743,CoefficientsIndex,0))</f>
        <v>0</v>
      </c>
      <c r="AG743">
        <f>INDEX(CoefficientsIntercept,MATCH(T743&amp;":"&amp;O743,CoefficientsIndex,0))</f>
        <v>0</v>
      </c>
      <c r="AH743">
        <f>AE743*P743+(Q743-Z743)*AF743+AG743</f>
        <v>0</v>
      </c>
      <c r="AI743">
        <f>IF(ISNUMBER(AD743),AD743,AH743)</f>
        <v>0</v>
      </c>
      <c r="AJ743">
        <f>IF(ISNUMBER(AI743),IF(ISNUMBER(AE743),IF(AND(AE743=1,AF743=1,AG743=1),100,ROUND(100*EXP(AI743)/(1+EXP(AI743)),2)),ROUND(100*EXP(AI743)/(1+EXP(AI743)),2)),IF(ISTEXT(O743),IF(LEFT(O743,1)="2",100,"N/A"),"N/A"))</f>
        <v>0</v>
      </c>
      <c r="AK743">
        <f>IF(ISNUMBER(AJ743),IF(AJ743&gt;=99,IF(OR(R743=10,R743=11),MatchLabel,SureThingLabel),IF(AJ743&gt;=95,SecureLabel,IF(AJ743&gt;=80,SafetyLabel,IF(AJ743&gt;=50,MatchLabel,IF(AJ743&gt;=20,ReachLabel,IF(AJ743&gt;=10,LongshotLabel,HailMaryLabel)))))),"Other")</f>
        <v>0</v>
      </c>
      <c r="AL743">
        <f>IF(OR(I743="accepted",I743="cond. accept",I743="summer admit"),IF(J743="yes","CHOICE!","Accepted!"),IF(I743="denied","Denied",IF(K743=1,"Waitlist",IF(L743=1,"Deferred",IF(G743="pending","Pending",IF(OR(G743="initial materials submitted",G743="mid-year submitted",G743="final submitted"),"Submitted",IF(H743="interest","Interest","?")))))))</f>
        <v>0</v>
      </c>
      <c r="AM743">
        <f>IF(OR(AK743=ReachLabel,AK743=LongshotLabel,AK743=HailMaryLabel),1,0)</f>
        <v>0</v>
      </c>
      <c r="AN743">
        <f>IF(OR(AM743=1,AK743=MatchLabel),1,0)</f>
        <v>0</v>
      </c>
      <c r="AO743">
        <f>IF(OR(AK743=MatchLabel,AK743=SafetyLabel,AK743=SecureLabel,AK743=SureThingLabel),1,0)</f>
        <v>0</v>
      </c>
      <c r="AP743">
        <f>IF(OR(T743="H",T743="B"),IF(ISNUMBER(Y743),ROUND(Y743,2),0),IF(ISNUMBER(X743),ROUND(X743,2),0))</f>
        <v>0</v>
      </c>
      <c r="AQ743">
        <f>IF(AP743&gt;=U743,1,0)</f>
        <v>0</v>
      </c>
      <c r="AR743">
        <f>IF(AP743&gt;=V743,1,0)</f>
        <v>0</v>
      </c>
      <c r="AS743">
        <f>IF(AP743&lt;(U743-0.10),1,0)</f>
        <v>0</v>
      </c>
      <c r="AT743">
        <f>1-AJ743/100</f>
        <v>0</v>
      </c>
      <c r="AU743">
        <f>IF(AN743=1,AT743,1)</f>
        <v>0</v>
      </c>
      <c r="AV743">
        <f>IF(AM743=1,AT743,1)</f>
        <v>0</v>
      </c>
      <c r="AW743">
        <f>IF(AND(AQ743=1,ISNUMBER(AT743)),$AT743,1)</f>
        <v>0</v>
      </c>
      <c r="AX743">
        <f>IF(AND(AR743=1,ISNUMBER(AT743)),$AT743,1)</f>
        <v>0</v>
      </c>
      <c r="AY743">
        <f>IF(ISNUMBER(Y743),INDEX(AllCollegeMoney, MATCH(N743,AllCollegeNCES,0)),0)</f>
        <v>0</v>
      </c>
      <c r="AZ743">
        <f>IF(AND(AQ743=1,ISNUMBER(AT743),AY743=1),$AT743,1)</f>
        <v>0</v>
      </c>
      <c r="BA743">
        <f>IF(AND(AR743=1,ISNUMBER(AT743),AY743=1),$AT743,1)</f>
        <v>0</v>
      </c>
      <c r="BB743">
        <f>IF(ISNUMBER(Y743),INDEX(AllCollegeILPub, MATCH(N743,AllCollegeNCES,0)),0)</f>
        <v>0</v>
      </c>
      <c r="BC743">
        <f>IF(AK743=ReachLabel,AP743,0)</f>
        <v>0</v>
      </c>
      <c r="BD743">
        <f>IF(AK743=MatchLabel,AP743,0)</f>
        <v>0</v>
      </c>
      <c r="BE743">
        <f>IF(AK743=SafetyLabel,AP743,0)</f>
        <v>0</v>
      </c>
      <c r="BF743">
        <f>IF(AK743=SecureLabel,AP743,0)</f>
        <v>0</v>
      </c>
      <c r="BG743">
        <f>IF(AK743=SureThingLabel,AP743,0)</f>
        <v>0</v>
      </c>
      <c r="BH743">
        <f>MAX(BC743:BG743)</f>
        <v>0</v>
      </c>
      <c r="BI743">
        <f>MAX(BD743:BG743)</f>
        <v>0</v>
      </c>
      <c r="BJ743">
        <f>MAX(BE743:BG743)</f>
        <v>0</v>
      </c>
      <c r="BK743">
        <f>IF(AND(AK743=ReachLabel,AY743=1),AP743,0)</f>
        <v>0</v>
      </c>
      <c r="BL743">
        <f>IF(AND(AK743=MatchLabel,AY743=1),AP743,0)</f>
        <v>0</v>
      </c>
      <c r="BM743">
        <f>IF(AND(AK743=SafetyLabel,AY743=1),AP743,0)</f>
        <v>0</v>
      </c>
      <c r="BN743">
        <f>IF(AND(AK743=SecureLabel,AY743=1),AP743,0)</f>
        <v>0</v>
      </c>
      <c r="BO743">
        <f>IF(AND(AK743=SureThingLabel,AY743=1),AP743,0)</f>
        <v>0</v>
      </c>
      <c r="BP743">
        <f>MAX(BK743:BO743)</f>
        <v>0</v>
      </c>
      <c r="BQ743">
        <f>MAX(BL743:BO743)</f>
        <v>0</v>
      </c>
      <c r="BR743">
        <f>MAX(BM743:BO743)</f>
        <v>0</v>
      </c>
      <c r="BS743">
        <f>IF(ISNUMBER(Y743),INDEX(AllCollegeChicago, MATCH(N743,AllCollegeNCES,0))*AY743,0)</f>
        <v>0</v>
      </c>
      <c r="BT743">
        <f>IF(ISNUMBER(Y743),INDEX(AllCollegeMoneyCode, MATCH(N743,AllCollegeNCES,0)),"?")</f>
        <v>0</v>
      </c>
      <c r="BU743">
        <f>IF(OR(BT743="---",BT743="--",BT743="+/--",BT743="+/---"),1,0)</f>
        <v>0</v>
      </c>
      <c r="BV743">
        <f>AY743*AO743*AQ743</f>
        <v>0</v>
      </c>
    </row>
    <row r="744" spans="1:74">
      <c r="A744" t="s">
        <v>86</v>
      </c>
      <c r="B744">
        <v>30316543</v>
      </c>
      <c r="C744" t="s">
        <v>272</v>
      </c>
      <c r="D744" t="s">
        <v>273</v>
      </c>
      <c r="E744" t="s">
        <v>428</v>
      </c>
      <c r="F744" t="s">
        <v>462</v>
      </c>
      <c r="G744" t="s">
        <v>430</v>
      </c>
      <c r="H744" t="s">
        <v>431</v>
      </c>
      <c r="I744" t="s">
        <v>432</v>
      </c>
      <c r="J744" t="s">
        <v>432</v>
      </c>
      <c r="K744">
        <v>0</v>
      </c>
      <c r="L744" t="s">
        <v>428</v>
      </c>
      <c r="M744" t="s">
        <v>428</v>
      </c>
      <c r="N744">
        <v>168546</v>
      </c>
      <c r="O744">
        <f>INDEX(AllCollegeBarrons,MATCH(N744,AllCollegeNCES,0))</f>
        <v>0</v>
      </c>
      <c r="P744">
        <f>INDEX(KidGPAs,MATCH(B744,KidIDs,0))</f>
        <v>0</v>
      </c>
      <c r="Q744">
        <f>INDEX(KidACTs,MATCH(B744,KidIDs,0))</f>
        <v>0</v>
      </c>
      <c r="R744">
        <f>INDEX(Strats,MATCH(B744,KidIDs,0))</f>
        <v>0</v>
      </c>
      <c r="S744">
        <f>INDEX(KidRace,MATCH(B744,KidIDs,0))</f>
        <v>0</v>
      </c>
      <c r="T744">
        <f>IF(OR(S744="M",S744="I"),"H",S744)</f>
        <v>0</v>
      </c>
      <c r="U744">
        <f>INDEX(StudentTargets,MATCH(B744,KidIDs,0))</f>
        <v>0</v>
      </c>
      <c r="V744">
        <f>INDEX(ReachStudentTargets,MATCH(B744,KidIDs,0))</f>
        <v>0</v>
      </c>
      <c r="W744">
        <f>IF(OR(M744="Posse"),1,0)</f>
        <v>0</v>
      </c>
      <c r="X744">
        <f>IF(ISNUMBER(INDEX(AllCollegeGR, MATCH(N744,AllCollegeNCES,0))),ROUND(INDEX(AllCollegeGR, MATCH(N744,AllCollegeNCES,0))+W744*IF(INDEX(AllCollegeGR, MATCH(N744,AllCollegeNCES,0))&gt;0.7,(1-INDEX(AllCollegeGR, MATCH(N744,AllCollegeNCES,0)))/2,0.15),2),INDEX(AllCollegeGR, MATCH(N744,AllCollegeNCES,0)))</f>
        <v>0</v>
      </c>
      <c r="Y744">
        <f>IF(ISNUMBER(INDEX(AllCollegeAAHGR, MATCH(N744,AllCollegeNCES,0))),ROUND(INDEX(AllCollegeAAHGR, MATCH(N744,AllCollegeNCES,0))+W744*IF(INDEX(AllCollegeAAHGR, MATCH(N744,AllCollegeNCES,0))&gt;0.7,(1-INDEX(AllCollegeAAHGR, MATCH(N744,AllCollegeNCES,0)))/2,0.15),2),INDEX(AllCollegeAAHGR, MATCH(N744,AllCollegeNCES,0)))</f>
        <v>0</v>
      </c>
      <c r="Z744">
        <f>IF(OR(T744="H",T744="B"),INDEX(AllCollegeACT25, MATCH(N744,AllCollegeNCES,0)),INDEX(AllCollegeACT50, MATCH(N744,AllCollegeNCES,0)))</f>
        <v>0</v>
      </c>
      <c r="AA744">
        <f>INDEX(CustomWeightsGPA,MATCH(T744&amp;":"&amp;N744,CustomWeightsIndex,0))</f>
        <v>0</v>
      </c>
      <c r="AB744">
        <f>INDEX(CustomWeightsACT,MATCH(T744&amp;":"&amp;N744,CustomWeightsIndex,0))</f>
        <v>0</v>
      </c>
      <c r="AC744">
        <f>INDEX(CustomWeightsIntercept,MATCH(T744&amp;":"&amp;N744,CustomWeightsIndex,0))</f>
        <v>0</v>
      </c>
      <c r="AD744">
        <f>AA744*P744+AB744*Q744+AC744</f>
        <v>0</v>
      </c>
      <c r="AE744">
        <f>INDEX(CoefficientsGPA,MATCH(T744&amp;":"&amp;O744,CoefficientsIndex,0))</f>
        <v>0</v>
      </c>
      <c r="AF744">
        <f>INDEX(CoefficientsACT,MATCH(T744&amp;":"&amp;O744,CoefficientsIndex,0))</f>
        <v>0</v>
      </c>
      <c r="AG744">
        <f>INDEX(CoefficientsIntercept,MATCH(T744&amp;":"&amp;O744,CoefficientsIndex,0))</f>
        <v>0</v>
      </c>
      <c r="AH744">
        <f>AE744*P744+(Q744-Z744)*AF744+AG744</f>
        <v>0</v>
      </c>
      <c r="AI744">
        <f>IF(ISNUMBER(AD744),AD744,AH744)</f>
        <v>0</v>
      </c>
      <c r="AJ744">
        <f>IF(ISNUMBER(AI744),IF(ISNUMBER(AE744),IF(AND(AE744=1,AF744=1,AG744=1),100,ROUND(100*EXP(AI744)/(1+EXP(AI744)),2)),ROUND(100*EXP(AI744)/(1+EXP(AI744)),2)),IF(ISTEXT(O744),IF(LEFT(O744,1)="2",100,"N/A"),"N/A"))</f>
        <v>0</v>
      </c>
      <c r="AK744">
        <f>IF(ISNUMBER(AJ744),IF(AJ744&gt;=99,IF(OR(R744=10,R744=11),MatchLabel,SureThingLabel),IF(AJ744&gt;=95,SecureLabel,IF(AJ744&gt;=80,SafetyLabel,IF(AJ744&gt;=50,MatchLabel,IF(AJ744&gt;=20,ReachLabel,IF(AJ744&gt;=10,LongshotLabel,HailMaryLabel)))))),"Other")</f>
        <v>0</v>
      </c>
      <c r="AL744">
        <f>IF(OR(I744="accepted",I744="cond. accept",I744="summer admit"),IF(J744="yes","CHOICE!","Accepted!"),IF(I744="denied","Denied",IF(K744=1,"Waitlist",IF(L744=1,"Deferred",IF(G744="pending","Pending",IF(OR(G744="initial materials submitted",G744="mid-year submitted",G744="final submitted"),"Submitted",IF(H744="interest","Interest","?")))))))</f>
        <v>0</v>
      </c>
      <c r="AM744">
        <f>IF(OR(AK744=ReachLabel,AK744=LongshotLabel,AK744=HailMaryLabel),1,0)</f>
        <v>0</v>
      </c>
      <c r="AN744">
        <f>IF(OR(AM744=1,AK744=MatchLabel),1,0)</f>
        <v>0</v>
      </c>
      <c r="AO744">
        <f>IF(OR(AK744=MatchLabel,AK744=SafetyLabel,AK744=SecureLabel,AK744=SureThingLabel),1,0)</f>
        <v>0</v>
      </c>
      <c r="AP744">
        <f>IF(OR(T744="H",T744="B"),IF(ISNUMBER(Y744),ROUND(Y744,2),0),IF(ISNUMBER(X744),ROUND(X744,2),0))</f>
        <v>0</v>
      </c>
      <c r="AQ744">
        <f>IF(AP744&gt;=U744,1,0)</f>
        <v>0</v>
      </c>
      <c r="AR744">
        <f>IF(AP744&gt;=V744,1,0)</f>
        <v>0</v>
      </c>
      <c r="AS744">
        <f>IF(AP744&lt;(U744-0.10),1,0)</f>
        <v>0</v>
      </c>
      <c r="AT744">
        <f>1-AJ744/100</f>
        <v>0</v>
      </c>
      <c r="AU744">
        <f>IF(AN744=1,AT744,1)</f>
        <v>0</v>
      </c>
      <c r="AV744">
        <f>IF(AM744=1,AT744,1)</f>
        <v>0</v>
      </c>
      <c r="AW744">
        <f>IF(AND(AQ744=1,ISNUMBER(AT744)),$AT744,1)</f>
        <v>0</v>
      </c>
      <c r="AX744">
        <f>IF(AND(AR744=1,ISNUMBER(AT744)),$AT744,1)</f>
        <v>0</v>
      </c>
      <c r="AY744">
        <f>IF(ISNUMBER(Y744),INDEX(AllCollegeMoney, MATCH(N744,AllCollegeNCES,0)),0)</f>
        <v>0</v>
      </c>
      <c r="AZ744">
        <f>IF(AND(AQ744=1,ISNUMBER(AT744),AY744=1),$AT744,1)</f>
        <v>0</v>
      </c>
      <c r="BA744">
        <f>IF(AND(AR744=1,ISNUMBER(AT744),AY744=1),$AT744,1)</f>
        <v>0</v>
      </c>
      <c r="BB744">
        <f>IF(ISNUMBER(Y744),INDEX(AllCollegeILPub, MATCH(N744,AllCollegeNCES,0)),0)</f>
        <v>0</v>
      </c>
      <c r="BC744">
        <f>IF(AK744=ReachLabel,AP744,0)</f>
        <v>0</v>
      </c>
      <c r="BD744">
        <f>IF(AK744=MatchLabel,AP744,0)</f>
        <v>0</v>
      </c>
      <c r="BE744">
        <f>IF(AK744=SafetyLabel,AP744,0)</f>
        <v>0</v>
      </c>
      <c r="BF744">
        <f>IF(AK744=SecureLabel,AP744,0)</f>
        <v>0</v>
      </c>
      <c r="BG744">
        <f>IF(AK744=SureThingLabel,AP744,0)</f>
        <v>0</v>
      </c>
      <c r="BH744">
        <f>MAX(BC744:BG744)</f>
        <v>0</v>
      </c>
      <c r="BI744">
        <f>MAX(BD744:BG744)</f>
        <v>0</v>
      </c>
      <c r="BJ744">
        <f>MAX(BE744:BG744)</f>
        <v>0</v>
      </c>
      <c r="BK744">
        <f>IF(AND(AK744=ReachLabel,AY744=1),AP744,0)</f>
        <v>0</v>
      </c>
      <c r="BL744">
        <f>IF(AND(AK744=MatchLabel,AY744=1),AP744,0)</f>
        <v>0</v>
      </c>
      <c r="BM744">
        <f>IF(AND(AK744=SafetyLabel,AY744=1),AP744,0)</f>
        <v>0</v>
      </c>
      <c r="BN744">
        <f>IF(AND(AK744=SecureLabel,AY744=1),AP744,0)</f>
        <v>0</v>
      </c>
      <c r="BO744">
        <f>IF(AND(AK744=SureThingLabel,AY744=1),AP744,0)</f>
        <v>0</v>
      </c>
      <c r="BP744">
        <f>MAX(BK744:BO744)</f>
        <v>0</v>
      </c>
      <c r="BQ744">
        <f>MAX(BL744:BO744)</f>
        <v>0</v>
      </c>
      <c r="BR744">
        <f>MAX(BM744:BO744)</f>
        <v>0</v>
      </c>
      <c r="BS744">
        <f>IF(ISNUMBER(Y744),INDEX(AllCollegeChicago, MATCH(N744,AllCollegeNCES,0))*AY744,0)</f>
        <v>0</v>
      </c>
      <c r="BT744">
        <f>IF(ISNUMBER(Y744),INDEX(AllCollegeMoneyCode, MATCH(N744,AllCollegeNCES,0)),"?")</f>
        <v>0</v>
      </c>
      <c r="BU744">
        <f>IF(OR(BT744="---",BT744="--",BT744="+/--",BT744="+/---"),1,0)</f>
        <v>0</v>
      </c>
      <c r="BV744">
        <f>AY744*AO744*AQ744</f>
        <v>0</v>
      </c>
    </row>
    <row r="745" spans="1:74">
      <c r="A745" t="s">
        <v>86</v>
      </c>
      <c r="B745">
        <v>30316543</v>
      </c>
      <c r="C745" t="s">
        <v>272</v>
      </c>
      <c r="D745" t="s">
        <v>273</v>
      </c>
      <c r="E745" t="s">
        <v>428</v>
      </c>
      <c r="F745" t="s">
        <v>433</v>
      </c>
      <c r="G745" t="s">
        <v>430</v>
      </c>
      <c r="H745" t="s">
        <v>431</v>
      </c>
      <c r="I745" t="s">
        <v>432</v>
      </c>
      <c r="J745" t="s">
        <v>432</v>
      </c>
      <c r="K745">
        <v>0</v>
      </c>
      <c r="L745" t="s">
        <v>428</v>
      </c>
      <c r="M745" t="s">
        <v>428</v>
      </c>
      <c r="N745">
        <v>148496</v>
      </c>
      <c r="O745">
        <f>INDEX(AllCollegeBarrons,MATCH(N745,AllCollegeNCES,0))</f>
        <v>0</v>
      </c>
      <c r="P745">
        <f>INDEX(KidGPAs,MATCH(B745,KidIDs,0))</f>
        <v>0</v>
      </c>
      <c r="Q745">
        <f>INDEX(KidACTs,MATCH(B745,KidIDs,0))</f>
        <v>0</v>
      </c>
      <c r="R745">
        <f>INDEX(Strats,MATCH(B745,KidIDs,0))</f>
        <v>0</v>
      </c>
      <c r="S745">
        <f>INDEX(KidRace,MATCH(B745,KidIDs,0))</f>
        <v>0</v>
      </c>
      <c r="T745">
        <f>IF(OR(S745="M",S745="I"),"H",S745)</f>
        <v>0</v>
      </c>
      <c r="U745">
        <f>INDEX(StudentTargets,MATCH(B745,KidIDs,0))</f>
        <v>0</v>
      </c>
      <c r="V745">
        <f>INDEX(ReachStudentTargets,MATCH(B745,KidIDs,0))</f>
        <v>0</v>
      </c>
      <c r="W745">
        <f>IF(OR(M745="Posse"),1,0)</f>
        <v>0</v>
      </c>
      <c r="X745">
        <f>IF(ISNUMBER(INDEX(AllCollegeGR, MATCH(N745,AllCollegeNCES,0))),ROUND(INDEX(AllCollegeGR, MATCH(N745,AllCollegeNCES,0))+W745*IF(INDEX(AllCollegeGR, MATCH(N745,AllCollegeNCES,0))&gt;0.7,(1-INDEX(AllCollegeGR, MATCH(N745,AllCollegeNCES,0)))/2,0.15),2),INDEX(AllCollegeGR, MATCH(N745,AllCollegeNCES,0)))</f>
        <v>0</v>
      </c>
      <c r="Y745">
        <f>IF(ISNUMBER(INDEX(AllCollegeAAHGR, MATCH(N745,AllCollegeNCES,0))),ROUND(INDEX(AllCollegeAAHGR, MATCH(N745,AllCollegeNCES,0))+W745*IF(INDEX(AllCollegeAAHGR, MATCH(N745,AllCollegeNCES,0))&gt;0.7,(1-INDEX(AllCollegeAAHGR, MATCH(N745,AllCollegeNCES,0)))/2,0.15),2),INDEX(AllCollegeAAHGR, MATCH(N745,AllCollegeNCES,0)))</f>
        <v>0</v>
      </c>
      <c r="Z745">
        <f>IF(OR(T745="H",T745="B"),INDEX(AllCollegeACT25, MATCH(N745,AllCollegeNCES,0)),INDEX(AllCollegeACT50, MATCH(N745,AllCollegeNCES,0)))</f>
        <v>0</v>
      </c>
      <c r="AA745">
        <f>INDEX(CustomWeightsGPA,MATCH(T745&amp;":"&amp;N745,CustomWeightsIndex,0))</f>
        <v>0</v>
      </c>
      <c r="AB745">
        <f>INDEX(CustomWeightsACT,MATCH(T745&amp;":"&amp;N745,CustomWeightsIndex,0))</f>
        <v>0</v>
      </c>
      <c r="AC745">
        <f>INDEX(CustomWeightsIntercept,MATCH(T745&amp;":"&amp;N745,CustomWeightsIndex,0))</f>
        <v>0</v>
      </c>
      <c r="AD745">
        <f>AA745*P745+AB745*Q745+AC745</f>
        <v>0</v>
      </c>
      <c r="AE745">
        <f>INDEX(CoefficientsGPA,MATCH(T745&amp;":"&amp;O745,CoefficientsIndex,0))</f>
        <v>0</v>
      </c>
      <c r="AF745">
        <f>INDEX(CoefficientsACT,MATCH(T745&amp;":"&amp;O745,CoefficientsIndex,0))</f>
        <v>0</v>
      </c>
      <c r="AG745">
        <f>INDEX(CoefficientsIntercept,MATCH(T745&amp;":"&amp;O745,CoefficientsIndex,0))</f>
        <v>0</v>
      </c>
      <c r="AH745">
        <f>AE745*P745+(Q745-Z745)*AF745+AG745</f>
        <v>0</v>
      </c>
      <c r="AI745">
        <f>IF(ISNUMBER(AD745),AD745,AH745)</f>
        <v>0</v>
      </c>
      <c r="AJ745">
        <f>IF(ISNUMBER(AI745),IF(ISNUMBER(AE745),IF(AND(AE745=1,AF745=1,AG745=1),100,ROUND(100*EXP(AI745)/(1+EXP(AI745)),2)),ROUND(100*EXP(AI745)/(1+EXP(AI745)),2)),IF(ISTEXT(O745),IF(LEFT(O745,1)="2",100,"N/A"),"N/A"))</f>
        <v>0</v>
      </c>
      <c r="AK745">
        <f>IF(ISNUMBER(AJ745),IF(AJ745&gt;=99,IF(OR(R745=10,R745=11),MatchLabel,SureThingLabel),IF(AJ745&gt;=95,SecureLabel,IF(AJ745&gt;=80,SafetyLabel,IF(AJ745&gt;=50,MatchLabel,IF(AJ745&gt;=20,ReachLabel,IF(AJ745&gt;=10,LongshotLabel,HailMaryLabel)))))),"Other")</f>
        <v>0</v>
      </c>
      <c r="AL745">
        <f>IF(OR(I745="accepted",I745="cond. accept",I745="summer admit"),IF(J745="yes","CHOICE!","Accepted!"),IF(I745="denied","Denied",IF(K745=1,"Waitlist",IF(L745=1,"Deferred",IF(G745="pending","Pending",IF(OR(G745="initial materials submitted",G745="mid-year submitted",G745="final submitted"),"Submitted",IF(H745="interest","Interest","?")))))))</f>
        <v>0</v>
      </c>
      <c r="AM745">
        <f>IF(OR(AK745=ReachLabel,AK745=LongshotLabel,AK745=HailMaryLabel),1,0)</f>
        <v>0</v>
      </c>
      <c r="AN745">
        <f>IF(OR(AM745=1,AK745=MatchLabel),1,0)</f>
        <v>0</v>
      </c>
      <c r="AO745">
        <f>IF(OR(AK745=MatchLabel,AK745=SafetyLabel,AK745=SecureLabel,AK745=SureThingLabel),1,0)</f>
        <v>0</v>
      </c>
      <c r="AP745">
        <f>IF(OR(T745="H",T745="B"),IF(ISNUMBER(Y745),ROUND(Y745,2),0),IF(ISNUMBER(X745),ROUND(X745,2),0))</f>
        <v>0</v>
      </c>
      <c r="AQ745">
        <f>IF(AP745&gt;=U745,1,0)</f>
        <v>0</v>
      </c>
      <c r="AR745">
        <f>IF(AP745&gt;=V745,1,0)</f>
        <v>0</v>
      </c>
      <c r="AS745">
        <f>IF(AP745&lt;(U745-0.10),1,0)</f>
        <v>0</v>
      </c>
      <c r="AT745">
        <f>1-AJ745/100</f>
        <v>0</v>
      </c>
      <c r="AU745">
        <f>IF(AN745=1,AT745,1)</f>
        <v>0</v>
      </c>
      <c r="AV745">
        <f>IF(AM745=1,AT745,1)</f>
        <v>0</v>
      </c>
      <c r="AW745">
        <f>IF(AND(AQ745=1,ISNUMBER(AT745)),$AT745,1)</f>
        <v>0</v>
      </c>
      <c r="AX745">
        <f>IF(AND(AR745=1,ISNUMBER(AT745)),$AT745,1)</f>
        <v>0</v>
      </c>
      <c r="AY745">
        <f>IF(ISNUMBER(Y745),INDEX(AllCollegeMoney, MATCH(N745,AllCollegeNCES,0)),0)</f>
        <v>0</v>
      </c>
      <c r="AZ745">
        <f>IF(AND(AQ745=1,ISNUMBER(AT745),AY745=1),$AT745,1)</f>
        <v>0</v>
      </c>
      <c r="BA745">
        <f>IF(AND(AR745=1,ISNUMBER(AT745),AY745=1),$AT745,1)</f>
        <v>0</v>
      </c>
      <c r="BB745">
        <f>IF(ISNUMBER(Y745),INDEX(AllCollegeILPub, MATCH(N745,AllCollegeNCES,0)),0)</f>
        <v>0</v>
      </c>
      <c r="BC745">
        <f>IF(AK745=ReachLabel,AP745,0)</f>
        <v>0</v>
      </c>
      <c r="BD745">
        <f>IF(AK745=MatchLabel,AP745,0)</f>
        <v>0</v>
      </c>
      <c r="BE745">
        <f>IF(AK745=SafetyLabel,AP745,0)</f>
        <v>0</v>
      </c>
      <c r="BF745">
        <f>IF(AK745=SecureLabel,AP745,0)</f>
        <v>0</v>
      </c>
      <c r="BG745">
        <f>IF(AK745=SureThingLabel,AP745,0)</f>
        <v>0</v>
      </c>
      <c r="BH745">
        <f>MAX(BC745:BG745)</f>
        <v>0</v>
      </c>
      <c r="BI745">
        <f>MAX(BD745:BG745)</f>
        <v>0</v>
      </c>
      <c r="BJ745">
        <f>MAX(BE745:BG745)</f>
        <v>0</v>
      </c>
      <c r="BK745">
        <f>IF(AND(AK745=ReachLabel,AY745=1),AP745,0)</f>
        <v>0</v>
      </c>
      <c r="BL745">
        <f>IF(AND(AK745=MatchLabel,AY745=1),AP745,0)</f>
        <v>0</v>
      </c>
      <c r="BM745">
        <f>IF(AND(AK745=SafetyLabel,AY745=1),AP745,0)</f>
        <v>0</v>
      </c>
      <c r="BN745">
        <f>IF(AND(AK745=SecureLabel,AY745=1),AP745,0)</f>
        <v>0</v>
      </c>
      <c r="BO745">
        <f>IF(AND(AK745=SureThingLabel,AY745=1),AP745,0)</f>
        <v>0</v>
      </c>
      <c r="BP745">
        <f>MAX(BK745:BO745)</f>
        <v>0</v>
      </c>
      <c r="BQ745">
        <f>MAX(BL745:BO745)</f>
        <v>0</v>
      </c>
      <c r="BR745">
        <f>MAX(BM745:BO745)</f>
        <v>0</v>
      </c>
      <c r="BS745">
        <f>IF(ISNUMBER(Y745),INDEX(AllCollegeChicago, MATCH(N745,AllCollegeNCES,0))*AY745,0)</f>
        <v>0</v>
      </c>
      <c r="BT745">
        <f>IF(ISNUMBER(Y745),INDEX(AllCollegeMoneyCode, MATCH(N745,AllCollegeNCES,0)),"?")</f>
        <v>0</v>
      </c>
      <c r="BU745">
        <f>IF(OR(BT745="---",BT745="--",BT745="+/--",BT745="+/---"),1,0)</f>
        <v>0</v>
      </c>
      <c r="BV745">
        <f>AY745*AO745*AQ745</f>
        <v>0</v>
      </c>
    </row>
    <row r="746" spans="1:74">
      <c r="A746" t="s">
        <v>86</v>
      </c>
      <c r="B746">
        <v>30316543</v>
      </c>
      <c r="C746" t="s">
        <v>272</v>
      </c>
      <c r="D746" t="s">
        <v>273</v>
      </c>
      <c r="E746" t="s">
        <v>428</v>
      </c>
      <c r="F746" t="s">
        <v>502</v>
      </c>
      <c r="G746" t="s">
        <v>430</v>
      </c>
      <c r="H746" t="s">
        <v>431</v>
      </c>
      <c r="I746" t="s">
        <v>432</v>
      </c>
      <c r="J746" t="s">
        <v>432</v>
      </c>
      <c r="K746">
        <v>0</v>
      </c>
      <c r="L746" t="s">
        <v>428</v>
      </c>
      <c r="M746" t="s">
        <v>428</v>
      </c>
      <c r="N746">
        <v>145813</v>
      </c>
      <c r="O746">
        <f>INDEX(AllCollegeBarrons,MATCH(N746,AllCollegeNCES,0))</f>
        <v>0</v>
      </c>
      <c r="P746">
        <f>INDEX(KidGPAs,MATCH(B746,KidIDs,0))</f>
        <v>0</v>
      </c>
      <c r="Q746">
        <f>INDEX(KidACTs,MATCH(B746,KidIDs,0))</f>
        <v>0</v>
      </c>
      <c r="R746">
        <f>INDEX(Strats,MATCH(B746,KidIDs,0))</f>
        <v>0</v>
      </c>
      <c r="S746">
        <f>INDEX(KidRace,MATCH(B746,KidIDs,0))</f>
        <v>0</v>
      </c>
      <c r="T746">
        <f>IF(OR(S746="M",S746="I"),"H",S746)</f>
        <v>0</v>
      </c>
      <c r="U746">
        <f>INDEX(StudentTargets,MATCH(B746,KidIDs,0))</f>
        <v>0</v>
      </c>
      <c r="V746">
        <f>INDEX(ReachStudentTargets,MATCH(B746,KidIDs,0))</f>
        <v>0</v>
      </c>
      <c r="W746">
        <f>IF(OR(M746="Posse"),1,0)</f>
        <v>0</v>
      </c>
      <c r="X746">
        <f>IF(ISNUMBER(INDEX(AllCollegeGR, MATCH(N746,AllCollegeNCES,0))),ROUND(INDEX(AllCollegeGR, MATCH(N746,AllCollegeNCES,0))+W746*IF(INDEX(AllCollegeGR, MATCH(N746,AllCollegeNCES,0))&gt;0.7,(1-INDEX(AllCollegeGR, MATCH(N746,AllCollegeNCES,0)))/2,0.15),2),INDEX(AllCollegeGR, MATCH(N746,AllCollegeNCES,0)))</f>
        <v>0</v>
      </c>
      <c r="Y746">
        <f>IF(ISNUMBER(INDEX(AllCollegeAAHGR, MATCH(N746,AllCollegeNCES,0))),ROUND(INDEX(AllCollegeAAHGR, MATCH(N746,AllCollegeNCES,0))+W746*IF(INDEX(AllCollegeAAHGR, MATCH(N746,AllCollegeNCES,0))&gt;0.7,(1-INDEX(AllCollegeAAHGR, MATCH(N746,AllCollegeNCES,0)))/2,0.15),2),INDEX(AllCollegeAAHGR, MATCH(N746,AllCollegeNCES,0)))</f>
        <v>0</v>
      </c>
      <c r="Z746">
        <f>IF(OR(T746="H",T746="B"),INDEX(AllCollegeACT25, MATCH(N746,AllCollegeNCES,0)),INDEX(AllCollegeACT50, MATCH(N746,AllCollegeNCES,0)))</f>
        <v>0</v>
      </c>
      <c r="AA746">
        <f>INDEX(CustomWeightsGPA,MATCH(T746&amp;":"&amp;N746,CustomWeightsIndex,0))</f>
        <v>0</v>
      </c>
      <c r="AB746">
        <f>INDEX(CustomWeightsACT,MATCH(T746&amp;":"&amp;N746,CustomWeightsIndex,0))</f>
        <v>0</v>
      </c>
      <c r="AC746">
        <f>INDEX(CustomWeightsIntercept,MATCH(T746&amp;":"&amp;N746,CustomWeightsIndex,0))</f>
        <v>0</v>
      </c>
      <c r="AD746">
        <f>AA746*P746+AB746*Q746+AC746</f>
        <v>0</v>
      </c>
      <c r="AE746">
        <f>INDEX(CoefficientsGPA,MATCH(T746&amp;":"&amp;O746,CoefficientsIndex,0))</f>
        <v>0</v>
      </c>
      <c r="AF746">
        <f>INDEX(CoefficientsACT,MATCH(T746&amp;":"&amp;O746,CoefficientsIndex,0))</f>
        <v>0</v>
      </c>
      <c r="AG746">
        <f>INDEX(CoefficientsIntercept,MATCH(T746&amp;":"&amp;O746,CoefficientsIndex,0))</f>
        <v>0</v>
      </c>
      <c r="AH746">
        <f>AE746*P746+(Q746-Z746)*AF746+AG746</f>
        <v>0</v>
      </c>
      <c r="AI746">
        <f>IF(ISNUMBER(AD746),AD746,AH746)</f>
        <v>0</v>
      </c>
      <c r="AJ746">
        <f>IF(ISNUMBER(AI746),IF(ISNUMBER(AE746),IF(AND(AE746=1,AF746=1,AG746=1),100,ROUND(100*EXP(AI746)/(1+EXP(AI746)),2)),ROUND(100*EXP(AI746)/(1+EXP(AI746)),2)),IF(ISTEXT(O746),IF(LEFT(O746,1)="2",100,"N/A"),"N/A"))</f>
        <v>0</v>
      </c>
      <c r="AK746">
        <f>IF(ISNUMBER(AJ746),IF(AJ746&gt;=99,IF(OR(R746=10,R746=11),MatchLabel,SureThingLabel),IF(AJ746&gt;=95,SecureLabel,IF(AJ746&gt;=80,SafetyLabel,IF(AJ746&gt;=50,MatchLabel,IF(AJ746&gt;=20,ReachLabel,IF(AJ746&gt;=10,LongshotLabel,HailMaryLabel)))))),"Other")</f>
        <v>0</v>
      </c>
      <c r="AL746">
        <f>IF(OR(I746="accepted",I746="cond. accept",I746="summer admit"),IF(J746="yes","CHOICE!","Accepted!"),IF(I746="denied","Denied",IF(K746=1,"Waitlist",IF(L746=1,"Deferred",IF(G746="pending","Pending",IF(OR(G746="initial materials submitted",G746="mid-year submitted",G746="final submitted"),"Submitted",IF(H746="interest","Interest","?")))))))</f>
        <v>0</v>
      </c>
      <c r="AM746">
        <f>IF(OR(AK746=ReachLabel,AK746=LongshotLabel,AK746=HailMaryLabel),1,0)</f>
        <v>0</v>
      </c>
      <c r="AN746">
        <f>IF(OR(AM746=1,AK746=MatchLabel),1,0)</f>
        <v>0</v>
      </c>
      <c r="AO746">
        <f>IF(OR(AK746=MatchLabel,AK746=SafetyLabel,AK746=SecureLabel,AK746=SureThingLabel),1,0)</f>
        <v>0</v>
      </c>
      <c r="AP746">
        <f>IF(OR(T746="H",T746="B"),IF(ISNUMBER(Y746),ROUND(Y746,2),0),IF(ISNUMBER(X746),ROUND(X746,2),0))</f>
        <v>0</v>
      </c>
      <c r="AQ746">
        <f>IF(AP746&gt;=U746,1,0)</f>
        <v>0</v>
      </c>
      <c r="AR746">
        <f>IF(AP746&gt;=V746,1,0)</f>
        <v>0</v>
      </c>
      <c r="AS746">
        <f>IF(AP746&lt;(U746-0.10),1,0)</f>
        <v>0</v>
      </c>
      <c r="AT746">
        <f>1-AJ746/100</f>
        <v>0</v>
      </c>
      <c r="AU746">
        <f>IF(AN746=1,AT746,1)</f>
        <v>0</v>
      </c>
      <c r="AV746">
        <f>IF(AM746=1,AT746,1)</f>
        <v>0</v>
      </c>
      <c r="AW746">
        <f>IF(AND(AQ746=1,ISNUMBER(AT746)),$AT746,1)</f>
        <v>0</v>
      </c>
      <c r="AX746">
        <f>IF(AND(AR746=1,ISNUMBER(AT746)),$AT746,1)</f>
        <v>0</v>
      </c>
      <c r="AY746">
        <f>IF(ISNUMBER(Y746),INDEX(AllCollegeMoney, MATCH(N746,AllCollegeNCES,0)),0)</f>
        <v>0</v>
      </c>
      <c r="AZ746">
        <f>IF(AND(AQ746=1,ISNUMBER(AT746),AY746=1),$AT746,1)</f>
        <v>0</v>
      </c>
      <c r="BA746">
        <f>IF(AND(AR746=1,ISNUMBER(AT746),AY746=1),$AT746,1)</f>
        <v>0</v>
      </c>
      <c r="BB746">
        <f>IF(ISNUMBER(Y746),INDEX(AllCollegeILPub, MATCH(N746,AllCollegeNCES,0)),0)</f>
        <v>0</v>
      </c>
      <c r="BC746">
        <f>IF(AK746=ReachLabel,AP746,0)</f>
        <v>0</v>
      </c>
      <c r="BD746">
        <f>IF(AK746=MatchLabel,AP746,0)</f>
        <v>0</v>
      </c>
      <c r="BE746">
        <f>IF(AK746=SafetyLabel,AP746,0)</f>
        <v>0</v>
      </c>
      <c r="BF746">
        <f>IF(AK746=SecureLabel,AP746,0)</f>
        <v>0</v>
      </c>
      <c r="BG746">
        <f>IF(AK746=SureThingLabel,AP746,0)</f>
        <v>0</v>
      </c>
      <c r="BH746">
        <f>MAX(BC746:BG746)</f>
        <v>0</v>
      </c>
      <c r="BI746">
        <f>MAX(BD746:BG746)</f>
        <v>0</v>
      </c>
      <c r="BJ746">
        <f>MAX(BE746:BG746)</f>
        <v>0</v>
      </c>
      <c r="BK746">
        <f>IF(AND(AK746=ReachLabel,AY746=1),AP746,0)</f>
        <v>0</v>
      </c>
      <c r="BL746">
        <f>IF(AND(AK746=MatchLabel,AY746=1),AP746,0)</f>
        <v>0</v>
      </c>
      <c r="BM746">
        <f>IF(AND(AK746=SafetyLabel,AY746=1),AP746,0)</f>
        <v>0</v>
      </c>
      <c r="BN746">
        <f>IF(AND(AK746=SecureLabel,AY746=1),AP746,0)</f>
        <v>0</v>
      </c>
      <c r="BO746">
        <f>IF(AND(AK746=SureThingLabel,AY746=1),AP746,0)</f>
        <v>0</v>
      </c>
      <c r="BP746">
        <f>MAX(BK746:BO746)</f>
        <v>0</v>
      </c>
      <c r="BQ746">
        <f>MAX(BL746:BO746)</f>
        <v>0</v>
      </c>
      <c r="BR746">
        <f>MAX(BM746:BO746)</f>
        <v>0</v>
      </c>
      <c r="BS746">
        <f>IF(ISNUMBER(Y746),INDEX(AllCollegeChicago, MATCH(N746,AllCollegeNCES,0))*AY746,0)</f>
        <v>0</v>
      </c>
      <c r="BT746">
        <f>IF(ISNUMBER(Y746),INDEX(AllCollegeMoneyCode, MATCH(N746,AllCollegeNCES,0)),"?")</f>
        <v>0</v>
      </c>
      <c r="BU746">
        <f>IF(OR(BT746="---",BT746="--",BT746="+/--",BT746="+/---"),1,0)</f>
        <v>0</v>
      </c>
      <c r="BV746">
        <f>AY746*AO746*AQ746</f>
        <v>0</v>
      </c>
    </row>
    <row r="747" spans="1:74">
      <c r="A747" t="s">
        <v>86</v>
      </c>
      <c r="B747">
        <v>30323072</v>
      </c>
      <c r="C747" t="s">
        <v>136</v>
      </c>
      <c r="D747" t="s">
        <v>137</v>
      </c>
      <c r="E747" t="s">
        <v>428</v>
      </c>
      <c r="F747" t="s">
        <v>465</v>
      </c>
      <c r="G747" t="s">
        <v>430</v>
      </c>
      <c r="H747" t="s">
        <v>431</v>
      </c>
      <c r="I747" t="s">
        <v>432</v>
      </c>
      <c r="J747" t="s">
        <v>432</v>
      </c>
      <c r="K747">
        <v>0</v>
      </c>
      <c r="L747" t="s">
        <v>428</v>
      </c>
      <c r="M747" t="s">
        <v>428</v>
      </c>
      <c r="N747">
        <v>212577</v>
      </c>
      <c r="O747">
        <f>INDEX(AllCollegeBarrons,MATCH(N747,AllCollegeNCES,0))</f>
        <v>0</v>
      </c>
      <c r="P747">
        <f>INDEX(KidGPAs,MATCH(B747,KidIDs,0))</f>
        <v>0</v>
      </c>
      <c r="Q747">
        <f>INDEX(KidACTs,MATCH(B747,KidIDs,0))</f>
        <v>0</v>
      </c>
      <c r="R747">
        <f>INDEX(Strats,MATCH(B747,KidIDs,0))</f>
        <v>0</v>
      </c>
      <c r="S747">
        <f>INDEX(KidRace,MATCH(B747,KidIDs,0))</f>
        <v>0</v>
      </c>
      <c r="T747">
        <f>IF(OR(S747="M",S747="I"),"H",S747)</f>
        <v>0</v>
      </c>
      <c r="U747">
        <f>INDEX(StudentTargets,MATCH(B747,KidIDs,0))</f>
        <v>0</v>
      </c>
      <c r="V747">
        <f>INDEX(ReachStudentTargets,MATCH(B747,KidIDs,0))</f>
        <v>0</v>
      </c>
      <c r="W747">
        <f>IF(OR(M747="Posse"),1,0)</f>
        <v>0</v>
      </c>
      <c r="X747">
        <f>IF(ISNUMBER(INDEX(AllCollegeGR, MATCH(N747,AllCollegeNCES,0))),ROUND(INDEX(AllCollegeGR, MATCH(N747,AllCollegeNCES,0))+W747*IF(INDEX(AllCollegeGR, MATCH(N747,AllCollegeNCES,0))&gt;0.7,(1-INDEX(AllCollegeGR, MATCH(N747,AllCollegeNCES,0)))/2,0.15),2),INDEX(AllCollegeGR, MATCH(N747,AllCollegeNCES,0)))</f>
        <v>0</v>
      </c>
      <c r="Y747">
        <f>IF(ISNUMBER(INDEX(AllCollegeAAHGR, MATCH(N747,AllCollegeNCES,0))),ROUND(INDEX(AllCollegeAAHGR, MATCH(N747,AllCollegeNCES,0))+W747*IF(INDEX(AllCollegeAAHGR, MATCH(N747,AllCollegeNCES,0))&gt;0.7,(1-INDEX(AllCollegeAAHGR, MATCH(N747,AllCollegeNCES,0)))/2,0.15),2),INDEX(AllCollegeAAHGR, MATCH(N747,AllCollegeNCES,0)))</f>
        <v>0</v>
      </c>
      <c r="Z747">
        <f>IF(OR(T747="H",T747="B"),INDEX(AllCollegeACT25, MATCH(N747,AllCollegeNCES,0)),INDEX(AllCollegeACT50, MATCH(N747,AllCollegeNCES,0)))</f>
        <v>0</v>
      </c>
      <c r="AA747">
        <f>INDEX(CustomWeightsGPA,MATCH(T747&amp;":"&amp;N747,CustomWeightsIndex,0))</f>
        <v>0</v>
      </c>
      <c r="AB747">
        <f>INDEX(CustomWeightsACT,MATCH(T747&amp;":"&amp;N747,CustomWeightsIndex,0))</f>
        <v>0</v>
      </c>
      <c r="AC747">
        <f>INDEX(CustomWeightsIntercept,MATCH(T747&amp;":"&amp;N747,CustomWeightsIndex,0))</f>
        <v>0</v>
      </c>
      <c r="AD747">
        <f>AA747*P747+AB747*Q747+AC747</f>
        <v>0</v>
      </c>
      <c r="AE747">
        <f>INDEX(CoefficientsGPA,MATCH(T747&amp;":"&amp;O747,CoefficientsIndex,0))</f>
        <v>0</v>
      </c>
      <c r="AF747">
        <f>INDEX(CoefficientsACT,MATCH(T747&amp;":"&amp;O747,CoefficientsIndex,0))</f>
        <v>0</v>
      </c>
      <c r="AG747">
        <f>INDEX(CoefficientsIntercept,MATCH(T747&amp;":"&amp;O747,CoefficientsIndex,0))</f>
        <v>0</v>
      </c>
      <c r="AH747">
        <f>AE747*P747+(Q747-Z747)*AF747+AG747</f>
        <v>0</v>
      </c>
      <c r="AI747">
        <f>IF(ISNUMBER(AD747),AD747,AH747)</f>
        <v>0</v>
      </c>
      <c r="AJ747">
        <f>IF(ISNUMBER(AI747),IF(ISNUMBER(AE747),IF(AND(AE747=1,AF747=1,AG747=1),100,ROUND(100*EXP(AI747)/(1+EXP(AI747)),2)),ROUND(100*EXP(AI747)/(1+EXP(AI747)),2)),IF(ISTEXT(O747),IF(LEFT(O747,1)="2",100,"N/A"),"N/A"))</f>
        <v>0</v>
      </c>
      <c r="AK747">
        <f>IF(ISNUMBER(AJ747),IF(AJ747&gt;=99,IF(OR(R747=10,R747=11),MatchLabel,SureThingLabel),IF(AJ747&gt;=95,SecureLabel,IF(AJ747&gt;=80,SafetyLabel,IF(AJ747&gt;=50,MatchLabel,IF(AJ747&gt;=20,ReachLabel,IF(AJ747&gt;=10,LongshotLabel,HailMaryLabel)))))),"Other")</f>
        <v>0</v>
      </c>
      <c r="AL747">
        <f>IF(OR(I747="accepted",I747="cond. accept",I747="summer admit"),IF(J747="yes","CHOICE!","Accepted!"),IF(I747="denied","Denied",IF(K747=1,"Waitlist",IF(L747=1,"Deferred",IF(G747="pending","Pending",IF(OR(G747="initial materials submitted",G747="mid-year submitted",G747="final submitted"),"Submitted",IF(H747="interest","Interest","?")))))))</f>
        <v>0</v>
      </c>
      <c r="AM747">
        <f>IF(OR(AK747=ReachLabel,AK747=LongshotLabel,AK747=HailMaryLabel),1,0)</f>
        <v>0</v>
      </c>
      <c r="AN747">
        <f>IF(OR(AM747=1,AK747=MatchLabel),1,0)</f>
        <v>0</v>
      </c>
      <c r="AO747">
        <f>IF(OR(AK747=MatchLabel,AK747=SafetyLabel,AK747=SecureLabel,AK747=SureThingLabel),1,0)</f>
        <v>0</v>
      </c>
      <c r="AP747">
        <f>IF(OR(T747="H",T747="B"),IF(ISNUMBER(Y747),ROUND(Y747,2),0),IF(ISNUMBER(X747),ROUND(X747,2),0))</f>
        <v>0</v>
      </c>
      <c r="AQ747">
        <f>IF(AP747&gt;=U747,1,0)</f>
        <v>0</v>
      </c>
      <c r="AR747">
        <f>IF(AP747&gt;=V747,1,0)</f>
        <v>0</v>
      </c>
      <c r="AS747">
        <f>IF(AP747&lt;(U747-0.10),1,0)</f>
        <v>0</v>
      </c>
      <c r="AT747">
        <f>1-AJ747/100</f>
        <v>0</v>
      </c>
      <c r="AU747">
        <f>IF(AN747=1,AT747,1)</f>
        <v>0</v>
      </c>
      <c r="AV747">
        <f>IF(AM747=1,AT747,1)</f>
        <v>0</v>
      </c>
      <c r="AW747">
        <f>IF(AND(AQ747=1,ISNUMBER(AT747)),$AT747,1)</f>
        <v>0</v>
      </c>
      <c r="AX747">
        <f>IF(AND(AR747=1,ISNUMBER(AT747)),$AT747,1)</f>
        <v>0</v>
      </c>
      <c r="AY747">
        <f>IF(ISNUMBER(Y747),INDEX(AllCollegeMoney, MATCH(N747,AllCollegeNCES,0)),0)</f>
        <v>0</v>
      </c>
      <c r="AZ747">
        <f>IF(AND(AQ747=1,ISNUMBER(AT747),AY747=1),$AT747,1)</f>
        <v>0</v>
      </c>
      <c r="BA747">
        <f>IF(AND(AR747=1,ISNUMBER(AT747),AY747=1),$AT747,1)</f>
        <v>0</v>
      </c>
      <c r="BB747">
        <f>IF(ISNUMBER(Y747),INDEX(AllCollegeILPub, MATCH(N747,AllCollegeNCES,0)),0)</f>
        <v>0</v>
      </c>
      <c r="BC747">
        <f>IF(AK747=ReachLabel,AP747,0)</f>
        <v>0</v>
      </c>
      <c r="BD747">
        <f>IF(AK747=MatchLabel,AP747,0)</f>
        <v>0</v>
      </c>
      <c r="BE747">
        <f>IF(AK747=SafetyLabel,AP747,0)</f>
        <v>0</v>
      </c>
      <c r="BF747">
        <f>IF(AK747=SecureLabel,AP747,0)</f>
        <v>0</v>
      </c>
      <c r="BG747">
        <f>IF(AK747=SureThingLabel,AP747,0)</f>
        <v>0</v>
      </c>
      <c r="BH747">
        <f>MAX(BC747:BG747)</f>
        <v>0</v>
      </c>
      <c r="BI747">
        <f>MAX(BD747:BG747)</f>
        <v>0</v>
      </c>
      <c r="BJ747">
        <f>MAX(BE747:BG747)</f>
        <v>0</v>
      </c>
      <c r="BK747">
        <f>IF(AND(AK747=ReachLabel,AY747=1),AP747,0)</f>
        <v>0</v>
      </c>
      <c r="BL747">
        <f>IF(AND(AK747=MatchLabel,AY747=1),AP747,0)</f>
        <v>0</v>
      </c>
      <c r="BM747">
        <f>IF(AND(AK747=SafetyLabel,AY747=1),AP747,0)</f>
        <v>0</v>
      </c>
      <c r="BN747">
        <f>IF(AND(AK747=SecureLabel,AY747=1),AP747,0)</f>
        <v>0</v>
      </c>
      <c r="BO747">
        <f>IF(AND(AK747=SureThingLabel,AY747=1),AP747,0)</f>
        <v>0</v>
      </c>
      <c r="BP747">
        <f>MAX(BK747:BO747)</f>
        <v>0</v>
      </c>
      <c r="BQ747">
        <f>MAX(BL747:BO747)</f>
        <v>0</v>
      </c>
      <c r="BR747">
        <f>MAX(BM747:BO747)</f>
        <v>0</v>
      </c>
      <c r="BS747">
        <f>IF(ISNUMBER(Y747),INDEX(AllCollegeChicago, MATCH(N747,AllCollegeNCES,0))*AY747,0)</f>
        <v>0</v>
      </c>
      <c r="BT747">
        <f>IF(ISNUMBER(Y747),INDEX(AllCollegeMoneyCode, MATCH(N747,AllCollegeNCES,0)),"?")</f>
        <v>0</v>
      </c>
      <c r="BU747">
        <f>IF(OR(BT747="---",BT747="--",BT747="+/--",BT747="+/---"),1,0)</f>
        <v>0</v>
      </c>
      <c r="BV747">
        <f>AY747*AO747*AQ747</f>
        <v>0</v>
      </c>
    </row>
    <row r="748" spans="1:74">
      <c r="A748" t="s">
        <v>86</v>
      </c>
      <c r="B748">
        <v>30323072</v>
      </c>
      <c r="C748" t="s">
        <v>136</v>
      </c>
      <c r="D748" t="s">
        <v>137</v>
      </c>
      <c r="E748" t="s">
        <v>428</v>
      </c>
      <c r="F748" t="s">
        <v>495</v>
      </c>
      <c r="G748" t="s">
        <v>430</v>
      </c>
      <c r="H748" t="s">
        <v>431</v>
      </c>
      <c r="I748" t="s">
        <v>432</v>
      </c>
      <c r="J748" t="s">
        <v>432</v>
      </c>
      <c r="K748">
        <v>0</v>
      </c>
      <c r="L748" t="s">
        <v>428</v>
      </c>
      <c r="M748" t="s">
        <v>428</v>
      </c>
      <c r="N748">
        <v>195526</v>
      </c>
      <c r="O748">
        <f>INDEX(AllCollegeBarrons,MATCH(N748,AllCollegeNCES,0))</f>
        <v>0</v>
      </c>
      <c r="P748">
        <f>INDEX(KidGPAs,MATCH(B748,KidIDs,0))</f>
        <v>0</v>
      </c>
      <c r="Q748">
        <f>INDEX(KidACTs,MATCH(B748,KidIDs,0))</f>
        <v>0</v>
      </c>
      <c r="R748">
        <f>INDEX(Strats,MATCH(B748,KidIDs,0))</f>
        <v>0</v>
      </c>
      <c r="S748">
        <f>INDEX(KidRace,MATCH(B748,KidIDs,0))</f>
        <v>0</v>
      </c>
      <c r="T748">
        <f>IF(OR(S748="M",S748="I"),"H",S748)</f>
        <v>0</v>
      </c>
      <c r="U748">
        <f>INDEX(StudentTargets,MATCH(B748,KidIDs,0))</f>
        <v>0</v>
      </c>
      <c r="V748">
        <f>INDEX(ReachStudentTargets,MATCH(B748,KidIDs,0))</f>
        <v>0</v>
      </c>
      <c r="W748">
        <f>IF(OR(M748="Posse"),1,0)</f>
        <v>0</v>
      </c>
      <c r="X748">
        <f>IF(ISNUMBER(INDEX(AllCollegeGR, MATCH(N748,AllCollegeNCES,0))),ROUND(INDEX(AllCollegeGR, MATCH(N748,AllCollegeNCES,0))+W748*IF(INDEX(AllCollegeGR, MATCH(N748,AllCollegeNCES,0))&gt;0.7,(1-INDEX(AllCollegeGR, MATCH(N748,AllCollegeNCES,0)))/2,0.15),2),INDEX(AllCollegeGR, MATCH(N748,AllCollegeNCES,0)))</f>
        <v>0</v>
      </c>
      <c r="Y748">
        <f>IF(ISNUMBER(INDEX(AllCollegeAAHGR, MATCH(N748,AllCollegeNCES,0))),ROUND(INDEX(AllCollegeAAHGR, MATCH(N748,AllCollegeNCES,0))+W748*IF(INDEX(AllCollegeAAHGR, MATCH(N748,AllCollegeNCES,0))&gt;0.7,(1-INDEX(AllCollegeAAHGR, MATCH(N748,AllCollegeNCES,0)))/2,0.15),2),INDEX(AllCollegeAAHGR, MATCH(N748,AllCollegeNCES,0)))</f>
        <v>0</v>
      </c>
      <c r="Z748">
        <f>IF(OR(T748="H",T748="B"),INDEX(AllCollegeACT25, MATCH(N748,AllCollegeNCES,0)),INDEX(AllCollegeACT50, MATCH(N748,AllCollegeNCES,0)))</f>
        <v>0</v>
      </c>
      <c r="AA748">
        <f>INDEX(CustomWeightsGPA,MATCH(T748&amp;":"&amp;N748,CustomWeightsIndex,0))</f>
        <v>0</v>
      </c>
      <c r="AB748">
        <f>INDEX(CustomWeightsACT,MATCH(T748&amp;":"&amp;N748,CustomWeightsIndex,0))</f>
        <v>0</v>
      </c>
      <c r="AC748">
        <f>INDEX(CustomWeightsIntercept,MATCH(T748&amp;":"&amp;N748,CustomWeightsIndex,0))</f>
        <v>0</v>
      </c>
      <c r="AD748">
        <f>AA748*P748+AB748*Q748+AC748</f>
        <v>0</v>
      </c>
      <c r="AE748">
        <f>INDEX(CoefficientsGPA,MATCH(T748&amp;":"&amp;O748,CoefficientsIndex,0))</f>
        <v>0</v>
      </c>
      <c r="AF748">
        <f>INDEX(CoefficientsACT,MATCH(T748&amp;":"&amp;O748,CoefficientsIndex,0))</f>
        <v>0</v>
      </c>
      <c r="AG748">
        <f>INDEX(CoefficientsIntercept,MATCH(T748&amp;":"&amp;O748,CoefficientsIndex,0))</f>
        <v>0</v>
      </c>
      <c r="AH748">
        <f>AE748*P748+(Q748-Z748)*AF748+AG748</f>
        <v>0</v>
      </c>
      <c r="AI748">
        <f>IF(ISNUMBER(AD748),AD748,AH748)</f>
        <v>0</v>
      </c>
      <c r="AJ748">
        <f>IF(ISNUMBER(AI748),IF(ISNUMBER(AE748),IF(AND(AE748=1,AF748=1,AG748=1),100,ROUND(100*EXP(AI748)/(1+EXP(AI748)),2)),ROUND(100*EXP(AI748)/(1+EXP(AI748)),2)),IF(ISTEXT(O748),IF(LEFT(O748,1)="2",100,"N/A"),"N/A"))</f>
        <v>0</v>
      </c>
      <c r="AK748">
        <f>IF(ISNUMBER(AJ748),IF(AJ748&gt;=99,IF(OR(R748=10,R748=11),MatchLabel,SureThingLabel),IF(AJ748&gt;=95,SecureLabel,IF(AJ748&gt;=80,SafetyLabel,IF(AJ748&gt;=50,MatchLabel,IF(AJ748&gt;=20,ReachLabel,IF(AJ748&gt;=10,LongshotLabel,HailMaryLabel)))))),"Other")</f>
        <v>0</v>
      </c>
      <c r="AL748">
        <f>IF(OR(I748="accepted",I748="cond. accept",I748="summer admit"),IF(J748="yes","CHOICE!","Accepted!"),IF(I748="denied","Denied",IF(K748=1,"Waitlist",IF(L748=1,"Deferred",IF(G748="pending","Pending",IF(OR(G748="initial materials submitted",G748="mid-year submitted",G748="final submitted"),"Submitted",IF(H748="interest","Interest","?")))))))</f>
        <v>0</v>
      </c>
      <c r="AM748">
        <f>IF(OR(AK748=ReachLabel,AK748=LongshotLabel,AK748=HailMaryLabel),1,0)</f>
        <v>0</v>
      </c>
      <c r="AN748">
        <f>IF(OR(AM748=1,AK748=MatchLabel),1,0)</f>
        <v>0</v>
      </c>
      <c r="AO748">
        <f>IF(OR(AK748=MatchLabel,AK748=SafetyLabel,AK748=SecureLabel,AK748=SureThingLabel),1,0)</f>
        <v>0</v>
      </c>
      <c r="AP748">
        <f>IF(OR(T748="H",T748="B"),IF(ISNUMBER(Y748),ROUND(Y748,2),0),IF(ISNUMBER(X748),ROUND(X748,2),0))</f>
        <v>0</v>
      </c>
      <c r="AQ748">
        <f>IF(AP748&gt;=U748,1,0)</f>
        <v>0</v>
      </c>
      <c r="AR748">
        <f>IF(AP748&gt;=V748,1,0)</f>
        <v>0</v>
      </c>
      <c r="AS748">
        <f>IF(AP748&lt;(U748-0.10),1,0)</f>
        <v>0</v>
      </c>
      <c r="AT748">
        <f>1-AJ748/100</f>
        <v>0</v>
      </c>
      <c r="AU748">
        <f>IF(AN748=1,AT748,1)</f>
        <v>0</v>
      </c>
      <c r="AV748">
        <f>IF(AM748=1,AT748,1)</f>
        <v>0</v>
      </c>
      <c r="AW748">
        <f>IF(AND(AQ748=1,ISNUMBER(AT748)),$AT748,1)</f>
        <v>0</v>
      </c>
      <c r="AX748">
        <f>IF(AND(AR748=1,ISNUMBER(AT748)),$AT748,1)</f>
        <v>0</v>
      </c>
      <c r="AY748">
        <f>IF(ISNUMBER(Y748),INDEX(AllCollegeMoney, MATCH(N748,AllCollegeNCES,0)),0)</f>
        <v>0</v>
      </c>
      <c r="AZ748">
        <f>IF(AND(AQ748=1,ISNUMBER(AT748),AY748=1),$AT748,1)</f>
        <v>0</v>
      </c>
      <c r="BA748">
        <f>IF(AND(AR748=1,ISNUMBER(AT748),AY748=1),$AT748,1)</f>
        <v>0</v>
      </c>
      <c r="BB748">
        <f>IF(ISNUMBER(Y748),INDEX(AllCollegeILPub, MATCH(N748,AllCollegeNCES,0)),0)</f>
        <v>0</v>
      </c>
      <c r="BC748">
        <f>IF(AK748=ReachLabel,AP748,0)</f>
        <v>0</v>
      </c>
      <c r="BD748">
        <f>IF(AK748=MatchLabel,AP748,0)</f>
        <v>0</v>
      </c>
      <c r="BE748">
        <f>IF(AK748=SafetyLabel,AP748,0)</f>
        <v>0</v>
      </c>
      <c r="BF748">
        <f>IF(AK748=SecureLabel,AP748,0)</f>
        <v>0</v>
      </c>
      <c r="BG748">
        <f>IF(AK748=SureThingLabel,AP748,0)</f>
        <v>0</v>
      </c>
      <c r="BH748">
        <f>MAX(BC748:BG748)</f>
        <v>0</v>
      </c>
      <c r="BI748">
        <f>MAX(BD748:BG748)</f>
        <v>0</v>
      </c>
      <c r="BJ748">
        <f>MAX(BE748:BG748)</f>
        <v>0</v>
      </c>
      <c r="BK748">
        <f>IF(AND(AK748=ReachLabel,AY748=1),AP748,0)</f>
        <v>0</v>
      </c>
      <c r="BL748">
        <f>IF(AND(AK748=MatchLabel,AY748=1),AP748,0)</f>
        <v>0</v>
      </c>
      <c r="BM748">
        <f>IF(AND(AK748=SafetyLabel,AY748=1),AP748,0)</f>
        <v>0</v>
      </c>
      <c r="BN748">
        <f>IF(AND(AK748=SecureLabel,AY748=1),AP748,0)</f>
        <v>0</v>
      </c>
      <c r="BO748">
        <f>IF(AND(AK748=SureThingLabel,AY748=1),AP748,0)</f>
        <v>0</v>
      </c>
      <c r="BP748">
        <f>MAX(BK748:BO748)</f>
        <v>0</v>
      </c>
      <c r="BQ748">
        <f>MAX(BL748:BO748)</f>
        <v>0</v>
      </c>
      <c r="BR748">
        <f>MAX(BM748:BO748)</f>
        <v>0</v>
      </c>
      <c r="BS748">
        <f>IF(ISNUMBER(Y748),INDEX(AllCollegeChicago, MATCH(N748,AllCollegeNCES,0))*AY748,0)</f>
        <v>0</v>
      </c>
      <c r="BT748">
        <f>IF(ISNUMBER(Y748),INDEX(AllCollegeMoneyCode, MATCH(N748,AllCollegeNCES,0)),"?")</f>
        <v>0</v>
      </c>
      <c r="BU748">
        <f>IF(OR(BT748="---",BT748="--",BT748="+/--",BT748="+/---"),1,0)</f>
        <v>0</v>
      </c>
      <c r="BV748">
        <f>AY748*AO748*AQ748</f>
        <v>0</v>
      </c>
    </row>
    <row r="749" spans="1:74">
      <c r="A749" t="s">
        <v>86</v>
      </c>
      <c r="B749">
        <v>30323072</v>
      </c>
      <c r="C749" t="s">
        <v>136</v>
      </c>
      <c r="D749" t="s">
        <v>137</v>
      </c>
      <c r="E749" t="s">
        <v>428</v>
      </c>
      <c r="F749" t="s">
        <v>568</v>
      </c>
      <c r="G749" t="s">
        <v>430</v>
      </c>
      <c r="H749" t="s">
        <v>431</v>
      </c>
      <c r="I749" t="s">
        <v>432</v>
      </c>
      <c r="J749" t="s">
        <v>432</v>
      </c>
      <c r="K749">
        <v>0</v>
      </c>
      <c r="L749" t="s">
        <v>428</v>
      </c>
      <c r="M749" t="s">
        <v>428</v>
      </c>
      <c r="N749">
        <v>128902</v>
      </c>
      <c r="O749">
        <f>INDEX(AllCollegeBarrons,MATCH(N749,AllCollegeNCES,0))</f>
        <v>0</v>
      </c>
      <c r="P749">
        <f>INDEX(KidGPAs,MATCH(B749,KidIDs,0))</f>
        <v>0</v>
      </c>
      <c r="Q749">
        <f>INDEX(KidACTs,MATCH(B749,KidIDs,0))</f>
        <v>0</v>
      </c>
      <c r="R749">
        <f>INDEX(Strats,MATCH(B749,KidIDs,0))</f>
        <v>0</v>
      </c>
      <c r="S749">
        <f>INDEX(KidRace,MATCH(B749,KidIDs,0))</f>
        <v>0</v>
      </c>
      <c r="T749">
        <f>IF(OR(S749="M",S749="I"),"H",S749)</f>
        <v>0</v>
      </c>
      <c r="U749">
        <f>INDEX(StudentTargets,MATCH(B749,KidIDs,0))</f>
        <v>0</v>
      </c>
      <c r="V749">
        <f>INDEX(ReachStudentTargets,MATCH(B749,KidIDs,0))</f>
        <v>0</v>
      </c>
      <c r="W749">
        <f>IF(OR(M749="Posse"),1,0)</f>
        <v>0</v>
      </c>
      <c r="X749">
        <f>IF(ISNUMBER(INDEX(AllCollegeGR, MATCH(N749,AllCollegeNCES,0))),ROUND(INDEX(AllCollegeGR, MATCH(N749,AllCollegeNCES,0))+W749*IF(INDEX(AllCollegeGR, MATCH(N749,AllCollegeNCES,0))&gt;0.7,(1-INDEX(AllCollegeGR, MATCH(N749,AllCollegeNCES,0)))/2,0.15),2),INDEX(AllCollegeGR, MATCH(N749,AllCollegeNCES,0)))</f>
        <v>0</v>
      </c>
      <c r="Y749">
        <f>IF(ISNUMBER(INDEX(AllCollegeAAHGR, MATCH(N749,AllCollegeNCES,0))),ROUND(INDEX(AllCollegeAAHGR, MATCH(N749,AllCollegeNCES,0))+W749*IF(INDEX(AllCollegeAAHGR, MATCH(N749,AllCollegeNCES,0))&gt;0.7,(1-INDEX(AllCollegeAAHGR, MATCH(N749,AllCollegeNCES,0)))/2,0.15),2),INDEX(AllCollegeAAHGR, MATCH(N749,AllCollegeNCES,0)))</f>
        <v>0</v>
      </c>
      <c r="Z749">
        <f>IF(OR(T749="H",T749="B"),INDEX(AllCollegeACT25, MATCH(N749,AllCollegeNCES,0)),INDEX(AllCollegeACT50, MATCH(N749,AllCollegeNCES,0)))</f>
        <v>0</v>
      </c>
      <c r="AA749">
        <f>INDEX(CustomWeightsGPA,MATCH(T749&amp;":"&amp;N749,CustomWeightsIndex,0))</f>
        <v>0</v>
      </c>
      <c r="AB749">
        <f>INDEX(CustomWeightsACT,MATCH(T749&amp;":"&amp;N749,CustomWeightsIndex,0))</f>
        <v>0</v>
      </c>
      <c r="AC749">
        <f>INDEX(CustomWeightsIntercept,MATCH(T749&amp;":"&amp;N749,CustomWeightsIndex,0))</f>
        <v>0</v>
      </c>
      <c r="AD749">
        <f>AA749*P749+AB749*Q749+AC749</f>
        <v>0</v>
      </c>
      <c r="AE749">
        <f>INDEX(CoefficientsGPA,MATCH(T749&amp;":"&amp;O749,CoefficientsIndex,0))</f>
        <v>0</v>
      </c>
      <c r="AF749">
        <f>INDEX(CoefficientsACT,MATCH(T749&amp;":"&amp;O749,CoefficientsIndex,0))</f>
        <v>0</v>
      </c>
      <c r="AG749">
        <f>INDEX(CoefficientsIntercept,MATCH(T749&amp;":"&amp;O749,CoefficientsIndex,0))</f>
        <v>0</v>
      </c>
      <c r="AH749">
        <f>AE749*P749+(Q749-Z749)*AF749+AG749</f>
        <v>0</v>
      </c>
      <c r="AI749">
        <f>IF(ISNUMBER(AD749),AD749,AH749)</f>
        <v>0</v>
      </c>
      <c r="AJ749">
        <f>IF(ISNUMBER(AI749),IF(ISNUMBER(AE749),IF(AND(AE749=1,AF749=1,AG749=1),100,ROUND(100*EXP(AI749)/(1+EXP(AI749)),2)),ROUND(100*EXP(AI749)/(1+EXP(AI749)),2)),IF(ISTEXT(O749),IF(LEFT(O749,1)="2",100,"N/A"),"N/A"))</f>
        <v>0</v>
      </c>
      <c r="AK749">
        <f>IF(ISNUMBER(AJ749),IF(AJ749&gt;=99,IF(OR(R749=10,R749=11),MatchLabel,SureThingLabel),IF(AJ749&gt;=95,SecureLabel,IF(AJ749&gt;=80,SafetyLabel,IF(AJ749&gt;=50,MatchLabel,IF(AJ749&gt;=20,ReachLabel,IF(AJ749&gt;=10,LongshotLabel,HailMaryLabel)))))),"Other")</f>
        <v>0</v>
      </c>
      <c r="AL749">
        <f>IF(OR(I749="accepted",I749="cond. accept",I749="summer admit"),IF(J749="yes","CHOICE!","Accepted!"),IF(I749="denied","Denied",IF(K749=1,"Waitlist",IF(L749=1,"Deferred",IF(G749="pending","Pending",IF(OR(G749="initial materials submitted",G749="mid-year submitted",G749="final submitted"),"Submitted",IF(H749="interest","Interest","?")))))))</f>
        <v>0</v>
      </c>
      <c r="AM749">
        <f>IF(OR(AK749=ReachLabel,AK749=LongshotLabel,AK749=HailMaryLabel),1,0)</f>
        <v>0</v>
      </c>
      <c r="AN749">
        <f>IF(OR(AM749=1,AK749=MatchLabel),1,0)</f>
        <v>0</v>
      </c>
      <c r="AO749">
        <f>IF(OR(AK749=MatchLabel,AK749=SafetyLabel,AK749=SecureLabel,AK749=SureThingLabel),1,0)</f>
        <v>0</v>
      </c>
      <c r="AP749">
        <f>IF(OR(T749="H",T749="B"),IF(ISNUMBER(Y749),ROUND(Y749,2),0),IF(ISNUMBER(X749),ROUND(X749,2),0))</f>
        <v>0</v>
      </c>
      <c r="AQ749">
        <f>IF(AP749&gt;=U749,1,0)</f>
        <v>0</v>
      </c>
      <c r="AR749">
        <f>IF(AP749&gt;=V749,1,0)</f>
        <v>0</v>
      </c>
      <c r="AS749">
        <f>IF(AP749&lt;(U749-0.10),1,0)</f>
        <v>0</v>
      </c>
      <c r="AT749">
        <f>1-AJ749/100</f>
        <v>0</v>
      </c>
      <c r="AU749">
        <f>IF(AN749=1,AT749,1)</f>
        <v>0</v>
      </c>
      <c r="AV749">
        <f>IF(AM749=1,AT749,1)</f>
        <v>0</v>
      </c>
      <c r="AW749">
        <f>IF(AND(AQ749=1,ISNUMBER(AT749)),$AT749,1)</f>
        <v>0</v>
      </c>
      <c r="AX749">
        <f>IF(AND(AR749=1,ISNUMBER(AT749)),$AT749,1)</f>
        <v>0</v>
      </c>
      <c r="AY749">
        <f>IF(ISNUMBER(Y749),INDEX(AllCollegeMoney, MATCH(N749,AllCollegeNCES,0)),0)</f>
        <v>0</v>
      </c>
      <c r="AZ749">
        <f>IF(AND(AQ749=1,ISNUMBER(AT749),AY749=1),$AT749,1)</f>
        <v>0</v>
      </c>
      <c r="BA749">
        <f>IF(AND(AR749=1,ISNUMBER(AT749),AY749=1),$AT749,1)</f>
        <v>0</v>
      </c>
      <c r="BB749">
        <f>IF(ISNUMBER(Y749),INDEX(AllCollegeILPub, MATCH(N749,AllCollegeNCES,0)),0)</f>
        <v>0</v>
      </c>
      <c r="BC749">
        <f>IF(AK749=ReachLabel,AP749,0)</f>
        <v>0</v>
      </c>
      <c r="BD749">
        <f>IF(AK749=MatchLabel,AP749,0)</f>
        <v>0</v>
      </c>
      <c r="BE749">
        <f>IF(AK749=SafetyLabel,AP749,0)</f>
        <v>0</v>
      </c>
      <c r="BF749">
        <f>IF(AK749=SecureLabel,AP749,0)</f>
        <v>0</v>
      </c>
      <c r="BG749">
        <f>IF(AK749=SureThingLabel,AP749,0)</f>
        <v>0</v>
      </c>
      <c r="BH749">
        <f>MAX(BC749:BG749)</f>
        <v>0</v>
      </c>
      <c r="BI749">
        <f>MAX(BD749:BG749)</f>
        <v>0</v>
      </c>
      <c r="BJ749">
        <f>MAX(BE749:BG749)</f>
        <v>0</v>
      </c>
      <c r="BK749">
        <f>IF(AND(AK749=ReachLabel,AY749=1),AP749,0)</f>
        <v>0</v>
      </c>
      <c r="BL749">
        <f>IF(AND(AK749=MatchLabel,AY749=1),AP749,0)</f>
        <v>0</v>
      </c>
      <c r="BM749">
        <f>IF(AND(AK749=SafetyLabel,AY749=1),AP749,0)</f>
        <v>0</v>
      </c>
      <c r="BN749">
        <f>IF(AND(AK749=SecureLabel,AY749=1),AP749,0)</f>
        <v>0</v>
      </c>
      <c r="BO749">
        <f>IF(AND(AK749=SureThingLabel,AY749=1),AP749,0)</f>
        <v>0</v>
      </c>
      <c r="BP749">
        <f>MAX(BK749:BO749)</f>
        <v>0</v>
      </c>
      <c r="BQ749">
        <f>MAX(BL749:BO749)</f>
        <v>0</v>
      </c>
      <c r="BR749">
        <f>MAX(BM749:BO749)</f>
        <v>0</v>
      </c>
      <c r="BS749">
        <f>IF(ISNUMBER(Y749),INDEX(AllCollegeChicago, MATCH(N749,AllCollegeNCES,0))*AY749,0)</f>
        <v>0</v>
      </c>
      <c r="BT749">
        <f>IF(ISNUMBER(Y749),INDEX(AllCollegeMoneyCode, MATCH(N749,AllCollegeNCES,0)),"?")</f>
        <v>0</v>
      </c>
      <c r="BU749">
        <f>IF(OR(BT749="---",BT749="--",BT749="+/--",BT749="+/---"),1,0)</f>
        <v>0</v>
      </c>
      <c r="BV749">
        <f>AY749*AO749*AQ749</f>
        <v>0</v>
      </c>
    </row>
    <row r="750" spans="1:74">
      <c r="A750" t="s">
        <v>86</v>
      </c>
      <c r="B750">
        <v>30323072</v>
      </c>
      <c r="C750" t="s">
        <v>136</v>
      </c>
      <c r="D750" t="s">
        <v>137</v>
      </c>
      <c r="E750" t="s">
        <v>428</v>
      </c>
      <c r="F750" t="s">
        <v>536</v>
      </c>
      <c r="G750" t="s">
        <v>430</v>
      </c>
      <c r="H750" t="s">
        <v>431</v>
      </c>
      <c r="I750" t="s">
        <v>432</v>
      </c>
      <c r="J750" t="s">
        <v>432</v>
      </c>
      <c r="K750">
        <v>0</v>
      </c>
      <c r="L750" t="s">
        <v>428</v>
      </c>
      <c r="M750" t="s">
        <v>428</v>
      </c>
      <c r="N750">
        <v>211291</v>
      </c>
      <c r="O750">
        <f>INDEX(AllCollegeBarrons,MATCH(N750,AllCollegeNCES,0))</f>
        <v>0</v>
      </c>
      <c r="P750">
        <f>INDEX(KidGPAs,MATCH(B750,KidIDs,0))</f>
        <v>0</v>
      </c>
      <c r="Q750">
        <f>INDEX(KidACTs,MATCH(B750,KidIDs,0))</f>
        <v>0</v>
      </c>
      <c r="R750">
        <f>INDEX(Strats,MATCH(B750,KidIDs,0))</f>
        <v>0</v>
      </c>
      <c r="S750">
        <f>INDEX(KidRace,MATCH(B750,KidIDs,0))</f>
        <v>0</v>
      </c>
      <c r="T750">
        <f>IF(OR(S750="M",S750="I"),"H",S750)</f>
        <v>0</v>
      </c>
      <c r="U750">
        <f>INDEX(StudentTargets,MATCH(B750,KidIDs,0))</f>
        <v>0</v>
      </c>
      <c r="V750">
        <f>INDEX(ReachStudentTargets,MATCH(B750,KidIDs,0))</f>
        <v>0</v>
      </c>
      <c r="W750">
        <f>IF(OR(M750="Posse"),1,0)</f>
        <v>0</v>
      </c>
      <c r="X750">
        <f>IF(ISNUMBER(INDEX(AllCollegeGR, MATCH(N750,AllCollegeNCES,0))),ROUND(INDEX(AllCollegeGR, MATCH(N750,AllCollegeNCES,0))+W750*IF(INDEX(AllCollegeGR, MATCH(N750,AllCollegeNCES,0))&gt;0.7,(1-INDEX(AllCollegeGR, MATCH(N750,AllCollegeNCES,0)))/2,0.15),2),INDEX(AllCollegeGR, MATCH(N750,AllCollegeNCES,0)))</f>
        <v>0</v>
      </c>
      <c r="Y750">
        <f>IF(ISNUMBER(INDEX(AllCollegeAAHGR, MATCH(N750,AllCollegeNCES,0))),ROUND(INDEX(AllCollegeAAHGR, MATCH(N750,AllCollegeNCES,0))+W750*IF(INDEX(AllCollegeAAHGR, MATCH(N750,AllCollegeNCES,0))&gt;0.7,(1-INDEX(AllCollegeAAHGR, MATCH(N750,AllCollegeNCES,0)))/2,0.15),2),INDEX(AllCollegeAAHGR, MATCH(N750,AllCollegeNCES,0)))</f>
        <v>0</v>
      </c>
      <c r="Z750">
        <f>IF(OR(T750="H",T750="B"),INDEX(AllCollegeACT25, MATCH(N750,AllCollegeNCES,0)),INDEX(AllCollegeACT50, MATCH(N750,AllCollegeNCES,0)))</f>
        <v>0</v>
      </c>
      <c r="AA750">
        <f>INDEX(CustomWeightsGPA,MATCH(T750&amp;":"&amp;N750,CustomWeightsIndex,0))</f>
        <v>0</v>
      </c>
      <c r="AB750">
        <f>INDEX(CustomWeightsACT,MATCH(T750&amp;":"&amp;N750,CustomWeightsIndex,0))</f>
        <v>0</v>
      </c>
      <c r="AC750">
        <f>INDEX(CustomWeightsIntercept,MATCH(T750&amp;":"&amp;N750,CustomWeightsIndex,0))</f>
        <v>0</v>
      </c>
      <c r="AD750">
        <f>AA750*P750+AB750*Q750+AC750</f>
        <v>0</v>
      </c>
      <c r="AE750">
        <f>INDEX(CoefficientsGPA,MATCH(T750&amp;":"&amp;O750,CoefficientsIndex,0))</f>
        <v>0</v>
      </c>
      <c r="AF750">
        <f>INDEX(CoefficientsACT,MATCH(T750&amp;":"&amp;O750,CoefficientsIndex,0))</f>
        <v>0</v>
      </c>
      <c r="AG750">
        <f>INDEX(CoefficientsIntercept,MATCH(T750&amp;":"&amp;O750,CoefficientsIndex,0))</f>
        <v>0</v>
      </c>
      <c r="AH750">
        <f>AE750*P750+(Q750-Z750)*AF750+AG750</f>
        <v>0</v>
      </c>
      <c r="AI750">
        <f>IF(ISNUMBER(AD750),AD750,AH750)</f>
        <v>0</v>
      </c>
      <c r="AJ750">
        <f>IF(ISNUMBER(AI750),IF(ISNUMBER(AE750),IF(AND(AE750=1,AF750=1,AG750=1),100,ROUND(100*EXP(AI750)/(1+EXP(AI750)),2)),ROUND(100*EXP(AI750)/(1+EXP(AI750)),2)),IF(ISTEXT(O750),IF(LEFT(O750,1)="2",100,"N/A"),"N/A"))</f>
        <v>0</v>
      </c>
      <c r="AK750">
        <f>IF(ISNUMBER(AJ750),IF(AJ750&gt;=99,IF(OR(R750=10,R750=11),MatchLabel,SureThingLabel),IF(AJ750&gt;=95,SecureLabel,IF(AJ750&gt;=80,SafetyLabel,IF(AJ750&gt;=50,MatchLabel,IF(AJ750&gt;=20,ReachLabel,IF(AJ750&gt;=10,LongshotLabel,HailMaryLabel)))))),"Other")</f>
        <v>0</v>
      </c>
      <c r="AL750">
        <f>IF(OR(I750="accepted",I750="cond. accept",I750="summer admit"),IF(J750="yes","CHOICE!","Accepted!"),IF(I750="denied","Denied",IF(K750=1,"Waitlist",IF(L750=1,"Deferred",IF(G750="pending","Pending",IF(OR(G750="initial materials submitted",G750="mid-year submitted",G750="final submitted"),"Submitted",IF(H750="interest","Interest","?")))))))</f>
        <v>0</v>
      </c>
      <c r="AM750">
        <f>IF(OR(AK750=ReachLabel,AK750=LongshotLabel,AK750=HailMaryLabel),1,0)</f>
        <v>0</v>
      </c>
      <c r="AN750">
        <f>IF(OR(AM750=1,AK750=MatchLabel),1,0)</f>
        <v>0</v>
      </c>
      <c r="AO750">
        <f>IF(OR(AK750=MatchLabel,AK750=SafetyLabel,AK750=SecureLabel,AK750=SureThingLabel),1,0)</f>
        <v>0</v>
      </c>
      <c r="AP750">
        <f>IF(OR(T750="H",T750="B"),IF(ISNUMBER(Y750),ROUND(Y750,2),0),IF(ISNUMBER(X750),ROUND(X750,2),0))</f>
        <v>0</v>
      </c>
      <c r="AQ750">
        <f>IF(AP750&gt;=U750,1,0)</f>
        <v>0</v>
      </c>
      <c r="AR750">
        <f>IF(AP750&gt;=V750,1,0)</f>
        <v>0</v>
      </c>
      <c r="AS750">
        <f>IF(AP750&lt;(U750-0.10),1,0)</f>
        <v>0</v>
      </c>
      <c r="AT750">
        <f>1-AJ750/100</f>
        <v>0</v>
      </c>
      <c r="AU750">
        <f>IF(AN750=1,AT750,1)</f>
        <v>0</v>
      </c>
      <c r="AV750">
        <f>IF(AM750=1,AT750,1)</f>
        <v>0</v>
      </c>
      <c r="AW750">
        <f>IF(AND(AQ750=1,ISNUMBER(AT750)),$AT750,1)</f>
        <v>0</v>
      </c>
      <c r="AX750">
        <f>IF(AND(AR750=1,ISNUMBER(AT750)),$AT750,1)</f>
        <v>0</v>
      </c>
      <c r="AY750">
        <f>IF(ISNUMBER(Y750),INDEX(AllCollegeMoney, MATCH(N750,AllCollegeNCES,0)),0)</f>
        <v>0</v>
      </c>
      <c r="AZ750">
        <f>IF(AND(AQ750=1,ISNUMBER(AT750),AY750=1),$AT750,1)</f>
        <v>0</v>
      </c>
      <c r="BA750">
        <f>IF(AND(AR750=1,ISNUMBER(AT750),AY750=1),$AT750,1)</f>
        <v>0</v>
      </c>
      <c r="BB750">
        <f>IF(ISNUMBER(Y750),INDEX(AllCollegeILPub, MATCH(N750,AllCollegeNCES,0)),0)</f>
        <v>0</v>
      </c>
      <c r="BC750">
        <f>IF(AK750=ReachLabel,AP750,0)</f>
        <v>0</v>
      </c>
      <c r="BD750">
        <f>IF(AK750=MatchLabel,AP750,0)</f>
        <v>0</v>
      </c>
      <c r="BE750">
        <f>IF(AK750=SafetyLabel,AP750,0)</f>
        <v>0</v>
      </c>
      <c r="BF750">
        <f>IF(AK750=SecureLabel,AP750,0)</f>
        <v>0</v>
      </c>
      <c r="BG750">
        <f>IF(AK750=SureThingLabel,AP750,0)</f>
        <v>0</v>
      </c>
      <c r="BH750">
        <f>MAX(BC750:BG750)</f>
        <v>0</v>
      </c>
      <c r="BI750">
        <f>MAX(BD750:BG750)</f>
        <v>0</v>
      </c>
      <c r="BJ750">
        <f>MAX(BE750:BG750)</f>
        <v>0</v>
      </c>
      <c r="BK750">
        <f>IF(AND(AK750=ReachLabel,AY750=1),AP750,0)</f>
        <v>0</v>
      </c>
      <c r="BL750">
        <f>IF(AND(AK750=MatchLabel,AY750=1),AP750,0)</f>
        <v>0</v>
      </c>
      <c r="BM750">
        <f>IF(AND(AK750=SafetyLabel,AY750=1),AP750,0)</f>
        <v>0</v>
      </c>
      <c r="BN750">
        <f>IF(AND(AK750=SecureLabel,AY750=1),AP750,0)</f>
        <v>0</v>
      </c>
      <c r="BO750">
        <f>IF(AND(AK750=SureThingLabel,AY750=1),AP750,0)</f>
        <v>0</v>
      </c>
      <c r="BP750">
        <f>MAX(BK750:BO750)</f>
        <v>0</v>
      </c>
      <c r="BQ750">
        <f>MAX(BL750:BO750)</f>
        <v>0</v>
      </c>
      <c r="BR750">
        <f>MAX(BM750:BO750)</f>
        <v>0</v>
      </c>
      <c r="BS750">
        <f>IF(ISNUMBER(Y750),INDEX(AllCollegeChicago, MATCH(N750,AllCollegeNCES,0))*AY750,0)</f>
        <v>0</v>
      </c>
      <c r="BT750">
        <f>IF(ISNUMBER(Y750),INDEX(AllCollegeMoneyCode, MATCH(N750,AllCollegeNCES,0)),"?")</f>
        <v>0</v>
      </c>
      <c r="BU750">
        <f>IF(OR(BT750="---",BT750="--",BT750="+/--",BT750="+/---"),1,0)</f>
        <v>0</v>
      </c>
      <c r="BV750">
        <f>AY750*AO750*AQ750</f>
        <v>0</v>
      </c>
    </row>
    <row r="751" spans="1:74">
      <c r="A751" t="s">
        <v>86</v>
      </c>
      <c r="B751">
        <v>30323072</v>
      </c>
      <c r="C751" t="s">
        <v>136</v>
      </c>
      <c r="D751" t="s">
        <v>137</v>
      </c>
      <c r="E751" t="s">
        <v>428</v>
      </c>
      <c r="F751" t="s">
        <v>466</v>
      </c>
      <c r="G751" t="s">
        <v>430</v>
      </c>
      <c r="H751" t="s">
        <v>431</v>
      </c>
      <c r="I751" t="s">
        <v>432</v>
      </c>
      <c r="J751" t="s">
        <v>432</v>
      </c>
      <c r="K751">
        <v>0</v>
      </c>
      <c r="L751" t="s">
        <v>428</v>
      </c>
      <c r="M751" t="s">
        <v>428</v>
      </c>
      <c r="N751">
        <v>213385</v>
      </c>
      <c r="O751">
        <f>INDEX(AllCollegeBarrons,MATCH(N751,AllCollegeNCES,0))</f>
        <v>0</v>
      </c>
      <c r="P751">
        <f>INDEX(KidGPAs,MATCH(B751,KidIDs,0))</f>
        <v>0</v>
      </c>
      <c r="Q751">
        <f>INDEX(KidACTs,MATCH(B751,KidIDs,0))</f>
        <v>0</v>
      </c>
      <c r="R751">
        <f>INDEX(Strats,MATCH(B751,KidIDs,0))</f>
        <v>0</v>
      </c>
      <c r="S751">
        <f>INDEX(KidRace,MATCH(B751,KidIDs,0))</f>
        <v>0</v>
      </c>
      <c r="T751">
        <f>IF(OR(S751="M",S751="I"),"H",S751)</f>
        <v>0</v>
      </c>
      <c r="U751">
        <f>INDEX(StudentTargets,MATCH(B751,KidIDs,0))</f>
        <v>0</v>
      </c>
      <c r="V751">
        <f>INDEX(ReachStudentTargets,MATCH(B751,KidIDs,0))</f>
        <v>0</v>
      </c>
      <c r="W751">
        <f>IF(OR(M751="Posse"),1,0)</f>
        <v>0</v>
      </c>
      <c r="X751">
        <f>IF(ISNUMBER(INDEX(AllCollegeGR, MATCH(N751,AllCollegeNCES,0))),ROUND(INDEX(AllCollegeGR, MATCH(N751,AllCollegeNCES,0))+W751*IF(INDEX(AllCollegeGR, MATCH(N751,AllCollegeNCES,0))&gt;0.7,(1-INDEX(AllCollegeGR, MATCH(N751,AllCollegeNCES,0)))/2,0.15),2),INDEX(AllCollegeGR, MATCH(N751,AllCollegeNCES,0)))</f>
        <v>0</v>
      </c>
      <c r="Y751">
        <f>IF(ISNUMBER(INDEX(AllCollegeAAHGR, MATCH(N751,AllCollegeNCES,0))),ROUND(INDEX(AllCollegeAAHGR, MATCH(N751,AllCollegeNCES,0))+W751*IF(INDEX(AllCollegeAAHGR, MATCH(N751,AllCollegeNCES,0))&gt;0.7,(1-INDEX(AllCollegeAAHGR, MATCH(N751,AllCollegeNCES,0)))/2,0.15),2),INDEX(AllCollegeAAHGR, MATCH(N751,AllCollegeNCES,0)))</f>
        <v>0</v>
      </c>
      <c r="Z751">
        <f>IF(OR(T751="H",T751="B"),INDEX(AllCollegeACT25, MATCH(N751,AllCollegeNCES,0)),INDEX(AllCollegeACT50, MATCH(N751,AllCollegeNCES,0)))</f>
        <v>0</v>
      </c>
      <c r="AA751">
        <f>INDEX(CustomWeightsGPA,MATCH(T751&amp;":"&amp;N751,CustomWeightsIndex,0))</f>
        <v>0</v>
      </c>
      <c r="AB751">
        <f>INDEX(CustomWeightsACT,MATCH(T751&amp;":"&amp;N751,CustomWeightsIndex,0))</f>
        <v>0</v>
      </c>
      <c r="AC751">
        <f>INDEX(CustomWeightsIntercept,MATCH(T751&amp;":"&amp;N751,CustomWeightsIndex,0))</f>
        <v>0</v>
      </c>
      <c r="AD751">
        <f>AA751*P751+AB751*Q751+AC751</f>
        <v>0</v>
      </c>
      <c r="AE751">
        <f>INDEX(CoefficientsGPA,MATCH(T751&amp;":"&amp;O751,CoefficientsIndex,0))</f>
        <v>0</v>
      </c>
      <c r="AF751">
        <f>INDEX(CoefficientsACT,MATCH(T751&amp;":"&amp;O751,CoefficientsIndex,0))</f>
        <v>0</v>
      </c>
      <c r="AG751">
        <f>INDEX(CoefficientsIntercept,MATCH(T751&amp;":"&amp;O751,CoefficientsIndex,0))</f>
        <v>0</v>
      </c>
      <c r="AH751">
        <f>AE751*P751+(Q751-Z751)*AF751+AG751</f>
        <v>0</v>
      </c>
      <c r="AI751">
        <f>IF(ISNUMBER(AD751),AD751,AH751)</f>
        <v>0</v>
      </c>
      <c r="AJ751">
        <f>IF(ISNUMBER(AI751),IF(ISNUMBER(AE751),IF(AND(AE751=1,AF751=1,AG751=1),100,ROUND(100*EXP(AI751)/(1+EXP(AI751)),2)),ROUND(100*EXP(AI751)/(1+EXP(AI751)),2)),IF(ISTEXT(O751),IF(LEFT(O751,1)="2",100,"N/A"),"N/A"))</f>
        <v>0</v>
      </c>
      <c r="AK751">
        <f>IF(ISNUMBER(AJ751),IF(AJ751&gt;=99,IF(OR(R751=10,R751=11),MatchLabel,SureThingLabel),IF(AJ751&gt;=95,SecureLabel,IF(AJ751&gt;=80,SafetyLabel,IF(AJ751&gt;=50,MatchLabel,IF(AJ751&gt;=20,ReachLabel,IF(AJ751&gt;=10,LongshotLabel,HailMaryLabel)))))),"Other")</f>
        <v>0</v>
      </c>
      <c r="AL751">
        <f>IF(OR(I751="accepted",I751="cond. accept",I751="summer admit"),IF(J751="yes","CHOICE!","Accepted!"),IF(I751="denied","Denied",IF(K751=1,"Waitlist",IF(L751=1,"Deferred",IF(G751="pending","Pending",IF(OR(G751="initial materials submitted",G751="mid-year submitted",G751="final submitted"),"Submitted",IF(H751="interest","Interest","?")))))))</f>
        <v>0</v>
      </c>
      <c r="AM751">
        <f>IF(OR(AK751=ReachLabel,AK751=LongshotLabel,AK751=HailMaryLabel),1,0)</f>
        <v>0</v>
      </c>
      <c r="AN751">
        <f>IF(OR(AM751=1,AK751=MatchLabel),1,0)</f>
        <v>0</v>
      </c>
      <c r="AO751">
        <f>IF(OR(AK751=MatchLabel,AK751=SafetyLabel,AK751=SecureLabel,AK751=SureThingLabel),1,0)</f>
        <v>0</v>
      </c>
      <c r="AP751">
        <f>IF(OR(T751="H",T751="B"),IF(ISNUMBER(Y751),ROUND(Y751,2),0),IF(ISNUMBER(X751),ROUND(X751,2),0))</f>
        <v>0</v>
      </c>
      <c r="AQ751">
        <f>IF(AP751&gt;=U751,1,0)</f>
        <v>0</v>
      </c>
      <c r="AR751">
        <f>IF(AP751&gt;=V751,1,0)</f>
        <v>0</v>
      </c>
      <c r="AS751">
        <f>IF(AP751&lt;(U751-0.10),1,0)</f>
        <v>0</v>
      </c>
      <c r="AT751">
        <f>1-AJ751/100</f>
        <v>0</v>
      </c>
      <c r="AU751">
        <f>IF(AN751=1,AT751,1)</f>
        <v>0</v>
      </c>
      <c r="AV751">
        <f>IF(AM751=1,AT751,1)</f>
        <v>0</v>
      </c>
      <c r="AW751">
        <f>IF(AND(AQ751=1,ISNUMBER(AT751)),$AT751,1)</f>
        <v>0</v>
      </c>
      <c r="AX751">
        <f>IF(AND(AR751=1,ISNUMBER(AT751)),$AT751,1)</f>
        <v>0</v>
      </c>
      <c r="AY751">
        <f>IF(ISNUMBER(Y751),INDEX(AllCollegeMoney, MATCH(N751,AllCollegeNCES,0)),0)</f>
        <v>0</v>
      </c>
      <c r="AZ751">
        <f>IF(AND(AQ751=1,ISNUMBER(AT751),AY751=1),$AT751,1)</f>
        <v>0</v>
      </c>
      <c r="BA751">
        <f>IF(AND(AR751=1,ISNUMBER(AT751),AY751=1),$AT751,1)</f>
        <v>0</v>
      </c>
      <c r="BB751">
        <f>IF(ISNUMBER(Y751),INDEX(AllCollegeILPub, MATCH(N751,AllCollegeNCES,0)),0)</f>
        <v>0</v>
      </c>
      <c r="BC751">
        <f>IF(AK751=ReachLabel,AP751,0)</f>
        <v>0</v>
      </c>
      <c r="BD751">
        <f>IF(AK751=MatchLabel,AP751,0)</f>
        <v>0</v>
      </c>
      <c r="BE751">
        <f>IF(AK751=SafetyLabel,AP751,0)</f>
        <v>0</v>
      </c>
      <c r="BF751">
        <f>IF(AK751=SecureLabel,AP751,0)</f>
        <v>0</v>
      </c>
      <c r="BG751">
        <f>IF(AK751=SureThingLabel,AP751,0)</f>
        <v>0</v>
      </c>
      <c r="BH751">
        <f>MAX(BC751:BG751)</f>
        <v>0</v>
      </c>
      <c r="BI751">
        <f>MAX(BD751:BG751)</f>
        <v>0</v>
      </c>
      <c r="BJ751">
        <f>MAX(BE751:BG751)</f>
        <v>0</v>
      </c>
      <c r="BK751">
        <f>IF(AND(AK751=ReachLabel,AY751=1),AP751,0)</f>
        <v>0</v>
      </c>
      <c r="BL751">
        <f>IF(AND(AK751=MatchLabel,AY751=1),AP751,0)</f>
        <v>0</v>
      </c>
      <c r="BM751">
        <f>IF(AND(AK751=SafetyLabel,AY751=1),AP751,0)</f>
        <v>0</v>
      </c>
      <c r="BN751">
        <f>IF(AND(AK751=SecureLabel,AY751=1),AP751,0)</f>
        <v>0</v>
      </c>
      <c r="BO751">
        <f>IF(AND(AK751=SureThingLabel,AY751=1),AP751,0)</f>
        <v>0</v>
      </c>
      <c r="BP751">
        <f>MAX(BK751:BO751)</f>
        <v>0</v>
      </c>
      <c r="BQ751">
        <f>MAX(BL751:BO751)</f>
        <v>0</v>
      </c>
      <c r="BR751">
        <f>MAX(BM751:BO751)</f>
        <v>0</v>
      </c>
      <c r="BS751">
        <f>IF(ISNUMBER(Y751),INDEX(AllCollegeChicago, MATCH(N751,AllCollegeNCES,0))*AY751,0)</f>
        <v>0</v>
      </c>
      <c r="BT751">
        <f>IF(ISNUMBER(Y751),INDEX(AllCollegeMoneyCode, MATCH(N751,AllCollegeNCES,0)),"?")</f>
        <v>0</v>
      </c>
      <c r="BU751">
        <f>IF(OR(BT751="---",BT751="--",BT751="+/--",BT751="+/---"),1,0)</f>
        <v>0</v>
      </c>
      <c r="BV751">
        <f>AY751*AO751*AQ751</f>
        <v>0</v>
      </c>
    </row>
    <row r="752" spans="1:74">
      <c r="A752" t="s">
        <v>86</v>
      </c>
      <c r="B752">
        <v>30323072</v>
      </c>
      <c r="C752" t="s">
        <v>136</v>
      </c>
      <c r="D752" t="s">
        <v>137</v>
      </c>
      <c r="E752" t="s">
        <v>428</v>
      </c>
      <c r="F752" t="s">
        <v>467</v>
      </c>
      <c r="G752" t="s">
        <v>430</v>
      </c>
      <c r="H752" t="s">
        <v>431</v>
      </c>
      <c r="I752" t="s">
        <v>432</v>
      </c>
      <c r="J752" t="s">
        <v>432</v>
      </c>
      <c r="K752">
        <v>0</v>
      </c>
      <c r="L752" t="s">
        <v>428</v>
      </c>
      <c r="M752" t="s">
        <v>428</v>
      </c>
      <c r="N752">
        <v>170976</v>
      </c>
      <c r="O752">
        <f>INDEX(AllCollegeBarrons,MATCH(N752,AllCollegeNCES,0))</f>
        <v>0</v>
      </c>
      <c r="P752">
        <f>INDEX(KidGPAs,MATCH(B752,KidIDs,0))</f>
        <v>0</v>
      </c>
      <c r="Q752">
        <f>INDEX(KidACTs,MATCH(B752,KidIDs,0))</f>
        <v>0</v>
      </c>
      <c r="R752">
        <f>INDEX(Strats,MATCH(B752,KidIDs,0))</f>
        <v>0</v>
      </c>
      <c r="S752">
        <f>INDEX(KidRace,MATCH(B752,KidIDs,0))</f>
        <v>0</v>
      </c>
      <c r="T752">
        <f>IF(OR(S752="M",S752="I"),"H",S752)</f>
        <v>0</v>
      </c>
      <c r="U752">
        <f>INDEX(StudentTargets,MATCH(B752,KidIDs,0))</f>
        <v>0</v>
      </c>
      <c r="V752">
        <f>INDEX(ReachStudentTargets,MATCH(B752,KidIDs,0))</f>
        <v>0</v>
      </c>
      <c r="W752">
        <f>IF(OR(M752="Posse"),1,0)</f>
        <v>0</v>
      </c>
      <c r="X752">
        <f>IF(ISNUMBER(INDEX(AllCollegeGR, MATCH(N752,AllCollegeNCES,0))),ROUND(INDEX(AllCollegeGR, MATCH(N752,AllCollegeNCES,0))+W752*IF(INDEX(AllCollegeGR, MATCH(N752,AllCollegeNCES,0))&gt;0.7,(1-INDEX(AllCollegeGR, MATCH(N752,AllCollegeNCES,0)))/2,0.15),2),INDEX(AllCollegeGR, MATCH(N752,AllCollegeNCES,0)))</f>
        <v>0</v>
      </c>
      <c r="Y752">
        <f>IF(ISNUMBER(INDEX(AllCollegeAAHGR, MATCH(N752,AllCollegeNCES,0))),ROUND(INDEX(AllCollegeAAHGR, MATCH(N752,AllCollegeNCES,0))+W752*IF(INDEX(AllCollegeAAHGR, MATCH(N752,AllCollegeNCES,0))&gt;0.7,(1-INDEX(AllCollegeAAHGR, MATCH(N752,AllCollegeNCES,0)))/2,0.15),2),INDEX(AllCollegeAAHGR, MATCH(N752,AllCollegeNCES,0)))</f>
        <v>0</v>
      </c>
      <c r="Z752">
        <f>IF(OR(T752="H",T752="B"),INDEX(AllCollegeACT25, MATCH(N752,AllCollegeNCES,0)),INDEX(AllCollegeACT50, MATCH(N752,AllCollegeNCES,0)))</f>
        <v>0</v>
      </c>
      <c r="AA752">
        <f>INDEX(CustomWeightsGPA,MATCH(T752&amp;":"&amp;N752,CustomWeightsIndex,0))</f>
        <v>0</v>
      </c>
      <c r="AB752">
        <f>INDEX(CustomWeightsACT,MATCH(T752&amp;":"&amp;N752,CustomWeightsIndex,0))</f>
        <v>0</v>
      </c>
      <c r="AC752">
        <f>INDEX(CustomWeightsIntercept,MATCH(T752&amp;":"&amp;N752,CustomWeightsIndex,0))</f>
        <v>0</v>
      </c>
      <c r="AD752">
        <f>AA752*P752+AB752*Q752+AC752</f>
        <v>0</v>
      </c>
      <c r="AE752">
        <f>INDEX(CoefficientsGPA,MATCH(T752&amp;":"&amp;O752,CoefficientsIndex,0))</f>
        <v>0</v>
      </c>
      <c r="AF752">
        <f>INDEX(CoefficientsACT,MATCH(T752&amp;":"&amp;O752,CoefficientsIndex,0))</f>
        <v>0</v>
      </c>
      <c r="AG752">
        <f>INDEX(CoefficientsIntercept,MATCH(T752&amp;":"&amp;O752,CoefficientsIndex,0))</f>
        <v>0</v>
      </c>
      <c r="AH752">
        <f>AE752*P752+(Q752-Z752)*AF752+AG752</f>
        <v>0</v>
      </c>
      <c r="AI752">
        <f>IF(ISNUMBER(AD752),AD752,AH752)</f>
        <v>0</v>
      </c>
      <c r="AJ752">
        <f>IF(ISNUMBER(AI752),IF(ISNUMBER(AE752),IF(AND(AE752=1,AF752=1,AG752=1),100,ROUND(100*EXP(AI752)/(1+EXP(AI752)),2)),ROUND(100*EXP(AI752)/(1+EXP(AI752)),2)),IF(ISTEXT(O752),IF(LEFT(O752,1)="2",100,"N/A"),"N/A"))</f>
        <v>0</v>
      </c>
      <c r="AK752">
        <f>IF(ISNUMBER(AJ752),IF(AJ752&gt;=99,IF(OR(R752=10,R752=11),MatchLabel,SureThingLabel),IF(AJ752&gt;=95,SecureLabel,IF(AJ752&gt;=80,SafetyLabel,IF(AJ752&gt;=50,MatchLabel,IF(AJ752&gt;=20,ReachLabel,IF(AJ752&gt;=10,LongshotLabel,HailMaryLabel)))))),"Other")</f>
        <v>0</v>
      </c>
      <c r="AL752">
        <f>IF(OR(I752="accepted",I752="cond. accept",I752="summer admit"),IF(J752="yes","CHOICE!","Accepted!"),IF(I752="denied","Denied",IF(K752=1,"Waitlist",IF(L752=1,"Deferred",IF(G752="pending","Pending",IF(OR(G752="initial materials submitted",G752="mid-year submitted",G752="final submitted"),"Submitted",IF(H752="interest","Interest","?")))))))</f>
        <v>0</v>
      </c>
      <c r="AM752">
        <f>IF(OR(AK752=ReachLabel,AK752=LongshotLabel,AK752=HailMaryLabel),1,0)</f>
        <v>0</v>
      </c>
      <c r="AN752">
        <f>IF(OR(AM752=1,AK752=MatchLabel),1,0)</f>
        <v>0</v>
      </c>
      <c r="AO752">
        <f>IF(OR(AK752=MatchLabel,AK752=SafetyLabel,AK752=SecureLabel,AK752=SureThingLabel),1,0)</f>
        <v>0</v>
      </c>
      <c r="AP752">
        <f>IF(OR(T752="H",T752="B"),IF(ISNUMBER(Y752),ROUND(Y752,2),0),IF(ISNUMBER(X752),ROUND(X752,2),0))</f>
        <v>0</v>
      </c>
      <c r="AQ752">
        <f>IF(AP752&gt;=U752,1,0)</f>
        <v>0</v>
      </c>
      <c r="AR752">
        <f>IF(AP752&gt;=V752,1,0)</f>
        <v>0</v>
      </c>
      <c r="AS752">
        <f>IF(AP752&lt;(U752-0.10),1,0)</f>
        <v>0</v>
      </c>
      <c r="AT752">
        <f>1-AJ752/100</f>
        <v>0</v>
      </c>
      <c r="AU752">
        <f>IF(AN752=1,AT752,1)</f>
        <v>0</v>
      </c>
      <c r="AV752">
        <f>IF(AM752=1,AT752,1)</f>
        <v>0</v>
      </c>
      <c r="AW752">
        <f>IF(AND(AQ752=1,ISNUMBER(AT752)),$AT752,1)</f>
        <v>0</v>
      </c>
      <c r="AX752">
        <f>IF(AND(AR752=1,ISNUMBER(AT752)),$AT752,1)</f>
        <v>0</v>
      </c>
      <c r="AY752">
        <f>IF(ISNUMBER(Y752),INDEX(AllCollegeMoney, MATCH(N752,AllCollegeNCES,0)),0)</f>
        <v>0</v>
      </c>
      <c r="AZ752">
        <f>IF(AND(AQ752=1,ISNUMBER(AT752),AY752=1),$AT752,1)</f>
        <v>0</v>
      </c>
      <c r="BA752">
        <f>IF(AND(AR752=1,ISNUMBER(AT752),AY752=1),$AT752,1)</f>
        <v>0</v>
      </c>
      <c r="BB752">
        <f>IF(ISNUMBER(Y752),INDEX(AllCollegeILPub, MATCH(N752,AllCollegeNCES,0)),0)</f>
        <v>0</v>
      </c>
      <c r="BC752">
        <f>IF(AK752=ReachLabel,AP752,0)</f>
        <v>0</v>
      </c>
      <c r="BD752">
        <f>IF(AK752=MatchLabel,AP752,0)</f>
        <v>0</v>
      </c>
      <c r="BE752">
        <f>IF(AK752=SafetyLabel,AP752,0)</f>
        <v>0</v>
      </c>
      <c r="BF752">
        <f>IF(AK752=SecureLabel,AP752,0)</f>
        <v>0</v>
      </c>
      <c r="BG752">
        <f>IF(AK752=SureThingLabel,AP752,0)</f>
        <v>0</v>
      </c>
      <c r="BH752">
        <f>MAX(BC752:BG752)</f>
        <v>0</v>
      </c>
      <c r="BI752">
        <f>MAX(BD752:BG752)</f>
        <v>0</v>
      </c>
      <c r="BJ752">
        <f>MAX(BE752:BG752)</f>
        <v>0</v>
      </c>
      <c r="BK752">
        <f>IF(AND(AK752=ReachLabel,AY752=1),AP752,0)</f>
        <v>0</v>
      </c>
      <c r="BL752">
        <f>IF(AND(AK752=MatchLabel,AY752=1),AP752,0)</f>
        <v>0</v>
      </c>
      <c r="BM752">
        <f>IF(AND(AK752=SafetyLabel,AY752=1),AP752,0)</f>
        <v>0</v>
      </c>
      <c r="BN752">
        <f>IF(AND(AK752=SecureLabel,AY752=1),AP752,0)</f>
        <v>0</v>
      </c>
      <c r="BO752">
        <f>IF(AND(AK752=SureThingLabel,AY752=1),AP752,0)</f>
        <v>0</v>
      </c>
      <c r="BP752">
        <f>MAX(BK752:BO752)</f>
        <v>0</v>
      </c>
      <c r="BQ752">
        <f>MAX(BL752:BO752)</f>
        <v>0</v>
      </c>
      <c r="BR752">
        <f>MAX(BM752:BO752)</f>
        <v>0</v>
      </c>
      <c r="BS752">
        <f>IF(ISNUMBER(Y752),INDEX(AllCollegeChicago, MATCH(N752,AllCollegeNCES,0))*AY752,0)</f>
        <v>0</v>
      </c>
      <c r="BT752">
        <f>IF(ISNUMBER(Y752),INDEX(AllCollegeMoneyCode, MATCH(N752,AllCollegeNCES,0)),"?")</f>
        <v>0</v>
      </c>
      <c r="BU752">
        <f>IF(OR(BT752="---",BT752="--",BT752="+/--",BT752="+/---"),1,0)</f>
        <v>0</v>
      </c>
      <c r="BV752">
        <f>AY752*AO752*AQ752</f>
        <v>0</v>
      </c>
    </row>
    <row r="753" spans="1:74">
      <c r="A753" t="s">
        <v>86</v>
      </c>
      <c r="B753">
        <v>30323072</v>
      </c>
      <c r="C753" t="s">
        <v>136</v>
      </c>
      <c r="D753" t="s">
        <v>137</v>
      </c>
      <c r="E753" t="s">
        <v>428</v>
      </c>
      <c r="F753" t="s">
        <v>482</v>
      </c>
      <c r="G753" t="s">
        <v>430</v>
      </c>
      <c r="H753" t="s">
        <v>431</v>
      </c>
      <c r="I753" t="s">
        <v>432</v>
      </c>
      <c r="J753" t="s">
        <v>432</v>
      </c>
      <c r="K753">
        <v>0</v>
      </c>
      <c r="L753" t="s">
        <v>428</v>
      </c>
      <c r="M753" t="s">
        <v>428</v>
      </c>
      <c r="N753">
        <v>173902</v>
      </c>
      <c r="O753">
        <f>INDEX(AllCollegeBarrons,MATCH(N753,AllCollegeNCES,0))</f>
        <v>0</v>
      </c>
      <c r="P753">
        <f>INDEX(KidGPAs,MATCH(B753,KidIDs,0))</f>
        <v>0</v>
      </c>
      <c r="Q753">
        <f>INDEX(KidACTs,MATCH(B753,KidIDs,0))</f>
        <v>0</v>
      </c>
      <c r="R753">
        <f>INDEX(Strats,MATCH(B753,KidIDs,0))</f>
        <v>0</v>
      </c>
      <c r="S753">
        <f>INDEX(KidRace,MATCH(B753,KidIDs,0))</f>
        <v>0</v>
      </c>
      <c r="T753">
        <f>IF(OR(S753="M",S753="I"),"H",S753)</f>
        <v>0</v>
      </c>
      <c r="U753">
        <f>INDEX(StudentTargets,MATCH(B753,KidIDs,0))</f>
        <v>0</v>
      </c>
      <c r="V753">
        <f>INDEX(ReachStudentTargets,MATCH(B753,KidIDs,0))</f>
        <v>0</v>
      </c>
      <c r="W753">
        <f>IF(OR(M753="Posse"),1,0)</f>
        <v>0</v>
      </c>
      <c r="X753">
        <f>IF(ISNUMBER(INDEX(AllCollegeGR, MATCH(N753,AllCollegeNCES,0))),ROUND(INDEX(AllCollegeGR, MATCH(N753,AllCollegeNCES,0))+W753*IF(INDEX(AllCollegeGR, MATCH(N753,AllCollegeNCES,0))&gt;0.7,(1-INDEX(AllCollegeGR, MATCH(N753,AllCollegeNCES,0)))/2,0.15),2),INDEX(AllCollegeGR, MATCH(N753,AllCollegeNCES,0)))</f>
        <v>0</v>
      </c>
      <c r="Y753">
        <f>IF(ISNUMBER(INDEX(AllCollegeAAHGR, MATCH(N753,AllCollegeNCES,0))),ROUND(INDEX(AllCollegeAAHGR, MATCH(N753,AllCollegeNCES,0))+W753*IF(INDEX(AllCollegeAAHGR, MATCH(N753,AllCollegeNCES,0))&gt;0.7,(1-INDEX(AllCollegeAAHGR, MATCH(N753,AllCollegeNCES,0)))/2,0.15),2),INDEX(AllCollegeAAHGR, MATCH(N753,AllCollegeNCES,0)))</f>
        <v>0</v>
      </c>
      <c r="Z753">
        <f>IF(OR(T753="H",T753="B"),INDEX(AllCollegeACT25, MATCH(N753,AllCollegeNCES,0)),INDEX(AllCollegeACT50, MATCH(N753,AllCollegeNCES,0)))</f>
        <v>0</v>
      </c>
      <c r="AA753">
        <f>INDEX(CustomWeightsGPA,MATCH(T753&amp;":"&amp;N753,CustomWeightsIndex,0))</f>
        <v>0</v>
      </c>
      <c r="AB753">
        <f>INDEX(CustomWeightsACT,MATCH(T753&amp;":"&amp;N753,CustomWeightsIndex,0))</f>
        <v>0</v>
      </c>
      <c r="AC753">
        <f>INDEX(CustomWeightsIntercept,MATCH(T753&amp;":"&amp;N753,CustomWeightsIndex,0))</f>
        <v>0</v>
      </c>
      <c r="AD753">
        <f>AA753*P753+AB753*Q753+AC753</f>
        <v>0</v>
      </c>
      <c r="AE753">
        <f>INDEX(CoefficientsGPA,MATCH(T753&amp;":"&amp;O753,CoefficientsIndex,0))</f>
        <v>0</v>
      </c>
      <c r="AF753">
        <f>INDEX(CoefficientsACT,MATCH(T753&amp;":"&amp;O753,CoefficientsIndex,0))</f>
        <v>0</v>
      </c>
      <c r="AG753">
        <f>INDEX(CoefficientsIntercept,MATCH(T753&amp;":"&amp;O753,CoefficientsIndex,0))</f>
        <v>0</v>
      </c>
      <c r="AH753">
        <f>AE753*P753+(Q753-Z753)*AF753+AG753</f>
        <v>0</v>
      </c>
      <c r="AI753">
        <f>IF(ISNUMBER(AD753),AD753,AH753)</f>
        <v>0</v>
      </c>
      <c r="AJ753">
        <f>IF(ISNUMBER(AI753),IF(ISNUMBER(AE753),IF(AND(AE753=1,AF753=1,AG753=1),100,ROUND(100*EXP(AI753)/(1+EXP(AI753)),2)),ROUND(100*EXP(AI753)/(1+EXP(AI753)),2)),IF(ISTEXT(O753),IF(LEFT(O753,1)="2",100,"N/A"),"N/A"))</f>
        <v>0</v>
      </c>
      <c r="AK753">
        <f>IF(ISNUMBER(AJ753),IF(AJ753&gt;=99,IF(OR(R753=10,R753=11),MatchLabel,SureThingLabel),IF(AJ753&gt;=95,SecureLabel,IF(AJ753&gt;=80,SafetyLabel,IF(AJ753&gt;=50,MatchLabel,IF(AJ753&gt;=20,ReachLabel,IF(AJ753&gt;=10,LongshotLabel,HailMaryLabel)))))),"Other")</f>
        <v>0</v>
      </c>
      <c r="AL753">
        <f>IF(OR(I753="accepted",I753="cond. accept",I753="summer admit"),IF(J753="yes","CHOICE!","Accepted!"),IF(I753="denied","Denied",IF(K753=1,"Waitlist",IF(L753=1,"Deferred",IF(G753="pending","Pending",IF(OR(G753="initial materials submitted",G753="mid-year submitted",G753="final submitted"),"Submitted",IF(H753="interest","Interest","?")))))))</f>
        <v>0</v>
      </c>
      <c r="AM753">
        <f>IF(OR(AK753=ReachLabel,AK753=LongshotLabel,AK753=HailMaryLabel),1,0)</f>
        <v>0</v>
      </c>
      <c r="AN753">
        <f>IF(OR(AM753=1,AK753=MatchLabel),1,0)</f>
        <v>0</v>
      </c>
      <c r="AO753">
        <f>IF(OR(AK753=MatchLabel,AK753=SafetyLabel,AK753=SecureLabel,AK753=SureThingLabel),1,0)</f>
        <v>0</v>
      </c>
      <c r="AP753">
        <f>IF(OR(T753="H",T753="B"),IF(ISNUMBER(Y753),ROUND(Y753,2),0),IF(ISNUMBER(X753),ROUND(X753,2),0))</f>
        <v>0</v>
      </c>
      <c r="AQ753">
        <f>IF(AP753&gt;=U753,1,0)</f>
        <v>0</v>
      </c>
      <c r="AR753">
        <f>IF(AP753&gt;=V753,1,0)</f>
        <v>0</v>
      </c>
      <c r="AS753">
        <f>IF(AP753&lt;(U753-0.10),1,0)</f>
        <v>0</v>
      </c>
      <c r="AT753">
        <f>1-AJ753/100</f>
        <v>0</v>
      </c>
      <c r="AU753">
        <f>IF(AN753=1,AT753,1)</f>
        <v>0</v>
      </c>
      <c r="AV753">
        <f>IF(AM753=1,AT753,1)</f>
        <v>0</v>
      </c>
      <c r="AW753">
        <f>IF(AND(AQ753=1,ISNUMBER(AT753)),$AT753,1)</f>
        <v>0</v>
      </c>
      <c r="AX753">
        <f>IF(AND(AR753=1,ISNUMBER(AT753)),$AT753,1)</f>
        <v>0</v>
      </c>
      <c r="AY753">
        <f>IF(ISNUMBER(Y753),INDEX(AllCollegeMoney, MATCH(N753,AllCollegeNCES,0)),0)</f>
        <v>0</v>
      </c>
      <c r="AZ753">
        <f>IF(AND(AQ753=1,ISNUMBER(AT753),AY753=1),$AT753,1)</f>
        <v>0</v>
      </c>
      <c r="BA753">
        <f>IF(AND(AR753=1,ISNUMBER(AT753),AY753=1),$AT753,1)</f>
        <v>0</v>
      </c>
      <c r="BB753">
        <f>IF(ISNUMBER(Y753),INDEX(AllCollegeILPub, MATCH(N753,AllCollegeNCES,0)),0)</f>
        <v>0</v>
      </c>
      <c r="BC753">
        <f>IF(AK753=ReachLabel,AP753,0)</f>
        <v>0</v>
      </c>
      <c r="BD753">
        <f>IF(AK753=MatchLabel,AP753,0)</f>
        <v>0</v>
      </c>
      <c r="BE753">
        <f>IF(AK753=SafetyLabel,AP753,0)</f>
        <v>0</v>
      </c>
      <c r="BF753">
        <f>IF(AK753=SecureLabel,AP753,0)</f>
        <v>0</v>
      </c>
      <c r="BG753">
        <f>IF(AK753=SureThingLabel,AP753,0)</f>
        <v>0</v>
      </c>
      <c r="BH753">
        <f>MAX(BC753:BG753)</f>
        <v>0</v>
      </c>
      <c r="BI753">
        <f>MAX(BD753:BG753)</f>
        <v>0</v>
      </c>
      <c r="BJ753">
        <f>MAX(BE753:BG753)</f>
        <v>0</v>
      </c>
      <c r="BK753">
        <f>IF(AND(AK753=ReachLabel,AY753=1),AP753,0)</f>
        <v>0</v>
      </c>
      <c r="BL753">
        <f>IF(AND(AK753=MatchLabel,AY753=1),AP753,0)</f>
        <v>0</v>
      </c>
      <c r="BM753">
        <f>IF(AND(AK753=SafetyLabel,AY753=1),AP753,0)</f>
        <v>0</v>
      </c>
      <c r="BN753">
        <f>IF(AND(AK753=SecureLabel,AY753=1),AP753,0)</f>
        <v>0</v>
      </c>
      <c r="BO753">
        <f>IF(AND(AK753=SureThingLabel,AY753=1),AP753,0)</f>
        <v>0</v>
      </c>
      <c r="BP753">
        <f>MAX(BK753:BO753)</f>
        <v>0</v>
      </c>
      <c r="BQ753">
        <f>MAX(BL753:BO753)</f>
        <v>0</v>
      </c>
      <c r="BR753">
        <f>MAX(BM753:BO753)</f>
        <v>0</v>
      </c>
      <c r="BS753">
        <f>IF(ISNUMBER(Y753),INDEX(AllCollegeChicago, MATCH(N753,AllCollegeNCES,0))*AY753,0)</f>
        <v>0</v>
      </c>
      <c r="BT753">
        <f>IF(ISNUMBER(Y753),INDEX(AllCollegeMoneyCode, MATCH(N753,AllCollegeNCES,0)),"?")</f>
        <v>0</v>
      </c>
      <c r="BU753">
        <f>IF(OR(BT753="---",BT753="--",BT753="+/--",BT753="+/---"),1,0)</f>
        <v>0</v>
      </c>
      <c r="BV753">
        <f>AY753*AO753*AQ753</f>
        <v>0</v>
      </c>
    </row>
    <row r="754" spans="1:74">
      <c r="A754" t="s">
        <v>86</v>
      </c>
      <c r="B754">
        <v>30323072</v>
      </c>
      <c r="C754" t="s">
        <v>136</v>
      </c>
      <c r="D754" t="s">
        <v>137</v>
      </c>
      <c r="E754" t="s">
        <v>428</v>
      </c>
      <c r="F754" t="s">
        <v>453</v>
      </c>
      <c r="G754" t="s">
        <v>430</v>
      </c>
      <c r="H754" t="s">
        <v>431</v>
      </c>
      <c r="I754" t="s">
        <v>432</v>
      </c>
      <c r="J754" t="s">
        <v>432</v>
      </c>
      <c r="K754">
        <v>0</v>
      </c>
      <c r="L754" t="s">
        <v>428</v>
      </c>
      <c r="M754" t="s">
        <v>428</v>
      </c>
      <c r="N754">
        <v>212674</v>
      </c>
      <c r="O754">
        <f>INDEX(AllCollegeBarrons,MATCH(N754,AllCollegeNCES,0))</f>
        <v>0</v>
      </c>
      <c r="P754">
        <f>INDEX(KidGPAs,MATCH(B754,KidIDs,0))</f>
        <v>0</v>
      </c>
      <c r="Q754">
        <f>INDEX(KidACTs,MATCH(B754,KidIDs,0))</f>
        <v>0</v>
      </c>
      <c r="R754">
        <f>INDEX(Strats,MATCH(B754,KidIDs,0))</f>
        <v>0</v>
      </c>
      <c r="S754">
        <f>INDEX(KidRace,MATCH(B754,KidIDs,0))</f>
        <v>0</v>
      </c>
      <c r="T754">
        <f>IF(OR(S754="M",S754="I"),"H",S754)</f>
        <v>0</v>
      </c>
      <c r="U754">
        <f>INDEX(StudentTargets,MATCH(B754,KidIDs,0))</f>
        <v>0</v>
      </c>
      <c r="V754">
        <f>INDEX(ReachStudentTargets,MATCH(B754,KidIDs,0))</f>
        <v>0</v>
      </c>
      <c r="W754">
        <f>IF(OR(M754="Posse"),1,0)</f>
        <v>0</v>
      </c>
      <c r="X754">
        <f>IF(ISNUMBER(INDEX(AllCollegeGR, MATCH(N754,AllCollegeNCES,0))),ROUND(INDEX(AllCollegeGR, MATCH(N754,AllCollegeNCES,0))+W754*IF(INDEX(AllCollegeGR, MATCH(N754,AllCollegeNCES,0))&gt;0.7,(1-INDEX(AllCollegeGR, MATCH(N754,AllCollegeNCES,0)))/2,0.15),2),INDEX(AllCollegeGR, MATCH(N754,AllCollegeNCES,0)))</f>
        <v>0</v>
      </c>
      <c r="Y754">
        <f>IF(ISNUMBER(INDEX(AllCollegeAAHGR, MATCH(N754,AllCollegeNCES,0))),ROUND(INDEX(AllCollegeAAHGR, MATCH(N754,AllCollegeNCES,0))+W754*IF(INDEX(AllCollegeAAHGR, MATCH(N754,AllCollegeNCES,0))&gt;0.7,(1-INDEX(AllCollegeAAHGR, MATCH(N754,AllCollegeNCES,0)))/2,0.15),2),INDEX(AllCollegeAAHGR, MATCH(N754,AllCollegeNCES,0)))</f>
        <v>0</v>
      </c>
      <c r="Z754">
        <f>IF(OR(T754="H",T754="B"),INDEX(AllCollegeACT25, MATCH(N754,AllCollegeNCES,0)),INDEX(AllCollegeACT50, MATCH(N754,AllCollegeNCES,0)))</f>
        <v>0</v>
      </c>
      <c r="AA754">
        <f>INDEX(CustomWeightsGPA,MATCH(T754&amp;":"&amp;N754,CustomWeightsIndex,0))</f>
        <v>0</v>
      </c>
      <c r="AB754">
        <f>INDEX(CustomWeightsACT,MATCH(T754&amp;":"&amp;N754,CustomWeightsIndex,0))</f>
        <v>0</v>
      </c>
      <c r="AC754">
        <f>INDEX(CustomWeightsIntercept,MATCH(T754&amp;":"&amp;N754,CustomWeightsIndex,0))</f>
        <v>0</v>
      </c>
      <c r="AD754">
        <f>AA754*P754+AB754*Q754+AC754</f>
        <v>0</v>
      </c>
      <c r="AE754">
        <f>INDEX(CoefficientsGPA,MATCH(T754&amp;":"&amp;O754,CoefficientsIndex,0))</f>
        <v>0</v>
      </c>
      <c r="AF754">
        <f>INDEX(CoefficientsACT,MATCH(T754&amp;":"&amp;O754,CoefficientsIndex,0))</f>
        <v>0</v>
      </c>
      <c r="AG754">
        <f>INDEX(CoefficientsIntercept,MATCH(T754&amp;":"&amp;O754,CoefficientsIndex,0))</f>
        <v>0</v>
      </c>
      <c r="AH754">
        <f>AE754*P754+(Q754-Z754)*AF754+AG754</f>
        <v>0</v>
      </c>
      <c r="AI754">
        <f>IF(ISNUMBER(AD754),AD754,AH754)</f>
        <v>0</v>
      </c>
      <c r="AJ754">
        <f>IF(ISNUMBER(AI754),IF(ISNUMBER(AE754),IF(AND(AE754=1,AF754=1,AG754=1),100,ROUND(100*EXP(AI754)/(1+EXP(AI754)),2)),ROUND(100*EXP(AI754)/(1+EXP(AI754)),2)),IF(ISTEXT(O754),IF(LEFT(O754,1)="2",100,"N/A"),"N/A"))</f>
        <v>0</v>
      </c>
      <c r="AK754">
        <f>IF(ISNUMBER(AJ754),IF(AJ754&gt;=99,IF(OR(R754=10,R754=11),MatchLabel,SureThingLabel),IF(AJ754&gt;=95,SecureLabel,IF(AJ754&gt;=80,SafetyLabel,IF(AJ754&gt;=50,MatchLabel,IF(AJ754&gt;=20,ReachLabel,IF(AJ754&gt;=10,LongshotLabel,HailMaryLabel)))))),"Other")</f>
        <v>0</v>
      </c>
      <c r="AL754">
        <f>IF(OR(I754="accepted",I754="cond. accept",I754="summer admit"),IF(J754="yes","CHOICE!","Accepted!"),IF(I754="denied","Denied",IF(K754=1,"Waitlist",IF(L754=1,"Deferred",IF(G754="pending","Pending",IF(OR(G754="initial materials submitted",G754="mid-year submitted",G754="final submitted"),"Submitted",IF(H754="interest","Interest","?")))))))</f>
        <v>0</v>
      </c>
      <c r="AM754">
        <f>IF(OR(AK754=ReachLabel,AK754=LongshotLabel,AK754=HailMaryLabel),1,0)</f>
        <v>0</v>
      </c>
      <c r="AN754">
        <f>IF(OR(AM754=1,AK754=MatchLabel),1,0)</f>
        <v>0</v>
      </c>
      <c r="AO754">
        <f>IF(OR(AK754=MatchLabel,AK754=SafetyLabel,AK754=SecureLabel,AK754=SureThingLabel),1,0)</f>
        <v>0</v>
      </c>
      <c r="AP754">
        <f>IF(OR(T754="H",T754="B"),IF(ISNUMBER(Y754),ROUND(Y754,2),0),IF(ISNUMBER(X754),ROUND(X754,2),0))</f>
        <v>0</v>
      </c>
      <c r="AQ754">
        <f>IF(AP754&gt;=U754,1,0)</f>
        <v>0</v>
      </c>
      <c r="AR754">
        <f>IF(AP754&gt;=V754,1,0)</f>
        <v>0</v>
      </c>
      <c r="AS754">
        <f>IF(AP754&lt;(U754-0.10),1,0)</f>
        <v>0</v>
      </c>
      <c r="AT754">
        <f>1-AJ754/100</f>
        <v>0</v>
      </c>
      <c r="AU754">
        <f>IF(AN754=1,AT754,1)</f>
        <v>0</v>
      </c>
      <c r="AV754">
        <f>IF(AM754=1,AT754,1)</f>
        <v>0</v>
      </c>
      <c r="AW754">
        <f>IF(AND(AQ754=1,ISNUMBER(AT754)),$AT754,1)</f>
        <v>0</v>
      </c>
      <c r="AX754">
        <f>IF(AND(AR754=1,ISNUMBER(AT754)),$AT754,1)</f>
        <v>0</v>
      </c>
      <c r="AY754">
        <f>IF(ISNUMBER(Y754),INDEX(AllCollegeMoney, MATCH(N754,AllCollegeNCES,0)),0)</f>
        <v>0</v>
      </c>
      <c r="AZ754">
        <f>IF(AND(AQ754=1,ISNUMBER(AT754),AY754=1),$AT754,1)</f>
        <v>0</v>
      </c>
      <c r="BA754">
        <f>IF(AND(AR754=1,ISNUMBER(AT754),AY754=1),$AT754,1)</f>
        <v>0</v>
      </c>
      <c r="BB754">
        <f>IF(ISNUMBER(Y754),INDEX(AllCollegeILPub, MATCH(N754,AllCollegeNCES,0)),0)</f>
        <v>0</v>
      </c>
      <c r="BC754">
        <f>IF(AK754=ReachLabel,AP754,0)</f>
        <v>0</v>
      </c>
      <c r="BD754">
        <f>IF(AK754=MatchLabel,AP754,0)</f>
        <v>0</v>
      </c>
      <c r="BE754">
        <f>IF(AK754=SafetyLabel,AP754,0)</f>
        <v>0</v>
      </c>
      <c r="BF754">
        <f>IF(AK754=SecureLabel,AP754,0)</f>
        <v>0</v>
      </c>
      <c r="BG754">
        <f>IF(AK754=SureThingLabel,AP754,0)</f>
        <v>0</v>
      </c>
      <c r="BH754">
        <f>MAX(BC754:BG754)</f>
        <v>0</v>
      </c>
      <c r="BI754">
        <f>MAX(BD754:BG754)</f>
        <v>0</v>
      </c>
      <c r="BJ754">
        <f>MAX(BE754:BG754)</f>
        <v>0</v>
      </c>
      <c r="BK754">
        <f>IF(AND(AK754=ReachLabel,AY754=1),AP754,0)</f>
        <v>0</v>
      </c>
      <c r="BL754">
        <f>IF(AND(AK754=MatchLabel,AY754=1),AP754,0)</f>
        <v>0</v>
      </c>
      <c r="BM754">
        <f>IF(AND(AK754=SafetyLabel,AY754=1),AP754,0)</f>
        <v>0</v>
      </c>
      <c r="BN754">
        <f>IF(AND(AK754=SecureLabel,AY754=1),AP754,0)</f>
        <v>0</v>
      </c>
      <c r="BO754">
        <f>IF(AND(AK754=SureThingLabel,AY754=1),AP754,0)</f>
        <v>0</v>
      </c>
      <c r="BP754">
        <f>MAX(BK754:BO754)</f>
        <v>0</v>
      </c>
      <c r="BQ754">
        <f>MAX(BL754:BO754)</f>
        <v>0</v>
      </c>
      <c r="BR754">
        <f>MAX(BM754:BO754)</f>
        <v>0</v>
      </c>
      <c r="BS754">
        <f>IF(ISNUMBER(Y754),INDEX(AllCollegeChicago, MATCH(N754,AllCollegeNCES,0))*AY754,0)</f>
        <v>0</v>
      </c>
      <c r="BT754">
        <f>IF(ISNUMBER(Y754),INDEX(AllCollegeMoneyCode, MATCH(N754,AllCollegeNCES,0)),"?")</f>
        <v>0</v>
      </c>
      <c r="BU754">
        <f>IF(OR(BT754="---",BT754="--",BT754="+/--",BT754="+/---"),1,0)</f>
        <v>0</v>
      </c>
      <c r="BV754">
        <f>AY754*AO754*AQ754</f>
        <v>0</v>
      </c>
    </row>
    <row r="755" spans="1:74">
      <c r="A755" t="s">
        <v>86</v>
      </c>
      <c r="B755">
        <v>30323072</v>
      </c>
      <c r="C755" t="s">
        <v>136</v>
      </c>
      <c r="D755" t="s">
        <v>137</v>
      </c>
      <c r="E755" t="s">
        <v>428</v>
      </c>
      <c r="F755" t="s">
        <v>455</v>
      </c>
      <c r="G755" t="s">
        <v>430</v>
      </c>
      <c r="H755" t="s">
        <v>431</v>
      </c>
      <c r="I755" t="s">
        <v>432</v>
      </c>
      <c r="J755" t="s">
        <v>432</v>
      </c>
      <c r="K755">
        <v>0</v>
      </c>
      <c r="L755" t="s">
        <v>428</v>
      </c>
      <c r="M755" t="s">
        <v>428</v>
      </c>
      <c r="N755">
        <v>240444</v>
      </c>
      <c r="O755">
        <f>INDEX(AllCollegeBarrons,MATCH(N755,AllCollegeNCES,0))</f>
        <v>0</v>
      </c>
      <c r="P755">
        <f>INDEX(KidGPAs,MATCH(B755,KidIDs,0))</f>
        <v>0</v>
      </c>
      <c r="Q755">
        <f>INDEX(KidACTs,MATCH(B755,KidIDs,0))</f>
        <v>0</v>
      </c>
      <c r="R755">
        <f>INDEX(Strats,MATCH(B755,KidIDs,0))</f>
        <v>0</v>
      </c>
      <c r="S755">
        <f>INDEX(KidRace,MATCH(B755,KidIDs,0))</f>
        <v>0</v>
      </c>
      <c r="T755">
        <f>IF(OR(S755="M",S755="I"),"H",S755)</f>
        <v>0</v>
      </c>
      <c r="U755">
        <f>INDEX(StudentTargets,MATCH(B755,KidIDs,0))</f>
        <v>0</v>
      </c>
      <c r="V755">
        <f>INDEX(ReachStudentTargets,MATCH(B755,KidIDs,0))</f>
        <v>0</v>
      </c>
      <c r="W755">
        <f>IF(OR(M755="Posse"),1,0)</f>
        <v>0</v>
      </c>
      <c r="X755">
        <f>IF(ISNUMBER(INDEX(AllCollegeGR, MATCH(N755,AllCollegeNCES,0))),ROUND(INDEX(AllCollegeGR, MATCH(N755,AllCollegeNCES,0))+W755*IF(INDEX(AllCollegeGR, MATCH(N755,AllCollegeNCES,0))&gt;0.7,(1-INDEX(AllCollegeGR, MATCH(N755,AllCollegeNCES,0)))/2,0.15),2),INDEX(AllCollegeGR, MATCH(N755,AllCollegeNCES,0)))</f>
        <v>0</v>
      </c>
      <c r="Y755">
        <f>IF(ISNUMBER(INDEX(AllCollegeAAHGR, MATCH(N755,AllCollegeNCES,0))),ROUND(INDEX(AllCollegeAAHGR, MATCH(N755,AllCollegeNCES,0))+W755*IF(INDEX(AllCollegeAAHGR, MATCH(N755,AllCollegeNCES,0))&gt;0.7,(1-INDEX(AllCollegeAAHGR, MATCH(N755,AllCollegeNCES,0)))/2,0.15),2),INDEX(AllCollegeAAHGR, MATCH(N755,AllCollegeNCES,0)))</f>
        <v>0</v>
      </c>
      <c r="Z755">
        <f>IF(OR(T755="H",T755="B"),INDEX(AllCollegeACT25, MATCH(N755,AllCollegeNCES,0)),INDEX(AllCollegeACT50, MATCH(N755,AllCollegeNCES,0)))</f>
        <v>0</v>
      </c>
      <c r="AA755">
        <f>INDEX(CustomWeightsGPA,MATCH(T755&amp;":"&amp;N755,CustomWeightsIndex,0))</f>
        <v>0</v>
      </c>
      <c r="AB755">
        <f>INDEX(CustomWeightsACT,MATCH(T755&amp;":"&amp;N755,CustomWeightsIndex,0))</f>
        <v>0</v>
      </c>
      <c r="AC755">
        <f>INDEX(CustomWeightsIntercept,MATCH(T755&amp;":"&amp;N755,CustomWeightsIndex,0))</f>
        <v>0</v>
      </c>
      <c r="AD755">
        <f>AA755*P755+AB755*Q755+AC755</f>
        <v>0</v>
      </c>
      <c r="AE755">
        <f>INDEX(CoefficientsGPA,MATCH(T755&amp;":"&amp;O755,CoefficientsIndex,0))</f>
        <v>0</v>
      </c>
      <c r="AF755">
        <f>INDEX(CoefficientsACT,MATCH(T755&amp;":"&amp;O755,CoefficientsIndex,0))</f>
        <v>0</v>
      </c>
      <c r="AG755">
        <f>INDEX(CoefficientsIntercept,MATCH(T755&amp;":"&amp;O755,CoefficientsIndex,0))</f>
        <v>0</v>
      </c>
      <c r="AH755">
        <f>AE755*P755+(Q755-Z755)*AF755+AG755</f>
        <v>0</v>
      </c>
      <c r="AI755">
        <f>IF(ISNUMBER(AD755),AD755,AH755)</f>
        <v>0</v>
      </c>
      <c r="AJ755">
        <f>IF(ISNUMBER(AI755),IF(ISNUMBER(AE755),IF(AND(AE755=1,AF755=1,AG755=1),100,ROUND(100*EXP(AI755)/(1+EXP(AI755)),2)),ROUND(100*EXP(AI755)/(1+EXP(AI755)),2)),IF(ISTEXT(O755),IF(LEFT(O755,1)="2",100,"N/A"),"N/A"))</f>
        <v>0</v>
      </c>
      <c r="AK755">
        <f>IF(ISNUMBER(AJ755),IF(AJ755&gt;=99,IF(OR(R755=10,R755=11),MatchLabel,SureThingLabel),IF(AJ755&gt;=95,SecureLabel,IF(AJ755&gt;=80,SafetyLabel,IF(AJ755&gt;=50,MatchLabel,IF(AJ755&gt;=20,ReachLabel,IF(AJ755&gt;=10,LongshotLabel,HailMaryLabel)))))),"Other")</f>
        <v>0</v>
      </c>
      <c r="AL755">
        <f>IF(OR(I755="accepted",I755="cond. accept",I755="summer admit"),IF(J755="yes","CHOICE!","Accepted!"),IF(I755="denied","Denied",IF(K755=1,"Waitlist",IF(L755=1,"Deferred",IF(G755="pending","Pending",IF(OR(G755="initial materials submitted",G755="mid-year submitted",G755="final submitted"),"Submitted",IF(H755="interest","Interest","?")))))))</f>
        <v>0</v>
      </c>
      <c r="AM755">
        <f>IF(OR(AK755=ReachLabel,AK755=LongshotLabel,AK755=HailMaryLabel),1,0)</f>
        <v>0</v>
      </c>
      <c r="AN755">
        <f>IF(OR(AM755=1,AK755=MatchLabel),1,0)</f>
        <v>0</v>
      </c>
      <c r="AO755">
        <f>IF(OR(AK755=MatchLabel,AK755=SafetyLabel,AK755=SecureLabel,AK755=SureThingLabel),1,0)</f>
        <v>0</v>
      </c>
      <c r="AP755">
        <f>IF(OR(T755="H",T755="B"),IF(ISNUMBER(Y755),ROUND(Y755,2),0),IF(ISNUMBER(X755),ROUND(X755,2),0))</f>
        <v>0</v>
      </c>
      <c r="AQ755">
        <f>IF(AP755&gt;=U755,1,0)</f>
        <v>0</v>
      </c>
      <c r="AR755">
        <f>IF(AP755&gt;=V755,1,0)</f>
        <v>0</v>
      </c>
      <c r="AS755">
        <f>IF(AP755&lt;(U755-0.10),1,0)</f>
        <v>0</v>
      </c>
      <c r="AT755">
        <f>1-AJ755/100</f>
        <v>0</v>
      </c>
      <c r="AU755">
        <f>IF(AN755=1,AT755,1)</f>
        <v>0</v>
      </c>
      <c r="AV755">
        <f>IF(AM755=1,AT755,1)</f>
        <v>0</v>
      </c>
      <c r="AW755">
        <f>IF(AND(AQ755=1,ISNUMBER(AT755)),$AT755,1)</f>
        <v>0</v>
      </c>
      <c r="AX755">
        <f>IF(AND(AR755=1,ISNUMBER(AT755)),$AT755,1)</f>
        <v>0</v>
      </c>
      <c r="AY755">
        <f>IF(ISNUMBER(Y755),INDEX(AllCollegeMoney, MATCH(N755,AllCollegeNCES,0)),0)</f>
        <v>0</v>
      </c>
      <c r="AZ755">
        <f>IF(AND(AQ755=1,ISNUMBER(AT755),AY755=1),$AT755,1)</f>
        <v>0</v>
      </c>
      <c r="BA755">
        <f>IF(AND(AR755=1,ISNUMBER(AT755),AY755=1),$AT755,1)</f>
        <v>0</v>
      </c>
      <c r="BB755">
        <f>IF(ISNUMBER(Y755),INDEX(AllCollegeILPub, MATCH(N755,AllCollegeNCES,0)),0)</f>
        <v>0</v>
      </c>
      <c r="BC755">
        <f>IF(AK755=ReachLabel,AP755,0)</f>
        <v>0</v>
      </c>
      <c r="BD755">
        <f>IF(AK755=MatchLabel,AP755,0)</f>
        <v>0</v>
      </c>
      <c r="BE755">
        <f>IF(AK755=SafetyLabel,AP755,0)</f>
        <v>0</v>
      </c>
      <c r="BF755">
        <f>IF(AK755=SecureLabel,AP755,0)</f>
        <v>0</v>
      </c>
      <c r="BG755">
        <f>IF(AK755=SureThingLabel,AP755,0)</f>
        <v>0</v>
      </c>
      <c r="BH755">
        <f>MAX(BC755:BG755)</f>
        <v>0</v>
      </c>
      <c r="BI755">
        <f>MAX(BD755:BG755)</f>
        <v>0</v>
      </c>
      <c r="BJ755">
        <f>MAX(BE755:BG755)</f>
        <v>0</v>
      </c>
      <c r="BK755">
        <f>IF(AND(AK755=ReachLabel,AY755=1),AP755,0)</f>
        <v>0</v>
      </c>
      <c r="BL755">
        <f>IF(AND(AK755=MatchLabel,AY755=1),AP755,0)</f>
        <v>0</v>
      </c>
      <c r="BM755">
        <f>IF(AND(AK755=SafetyLabel,AY755=1),AP755,0)</f>
        <v>0</v>
      </c>
      <c r="BN755">
        <f>IF(AND(AK755=SecureLabel,AY755=1),AP755,0)</f>
        <v>0</v>
      </c>
      <c r="BO755">
        <f>IF(AND(AK755=SureThingLabel,AY755=1),AP755,0)</f>
        <v>0</v>
      </c>
      <c r="BP755">
        <f>MAX(BK755:BO755)</f>
        <v>0</v>
      </c>
      <c r="BQ755">
        <f>MAX(BL755:BO755)</f>
        <v>0</v>
      </c>
      <c r="BR755">
        <f>MAX(BM755:BO755)</f>
        <v>0</v>
      </c>
      <c r="BS755">
        <f>IF(ISNUMBER(Y755),INDEX(AllCollegeChicago, MATCH(N755,AllCollegeNCES,0))*AY755,0)</f>
        <v>0</v>
      </c>
      <c r="BT755">
        <f>IF(ISNUMBER(Y755),INDEX(AllCollegeMoneyCode, MATCH(N755,AllCollegeNCES,0)),"?")</f>
        <v>0</v>
      </c>
      <c r="BU755">
        <f>IF(OR(BT755="---",BT755="--",BT755="+/--",BT755="+/---"),1,0)</f>
        <v>0</v>
      </c>
      <c r="BV755">
        <f>AY755*AO755*AQ755</f>
        <v>0</v>
      </c>
    </row>
    <row r="756" spans="1:74">
      <c r="A756" t="s">
        <v>86</v>
      </c>
      <c r="B756">
        <v>30323072</v>
      </c>
      <c r="C756" t="s">
        <v>136</v>
      </c>
      <c r="D756" t="s">
        <v>137</v>
      </c>
      <c r="E756" t="s">
        <v>428</v>
      </c>
      <c r="F756" t="s">
        <v>483</v>
      </c>
      <c r="G756" t="s">
        <v>430</v>
      </c>
      <c r="H756" t="s">
        <v>431</v>
      </c>
      <c r="I756" t="s">
        <v>432</v>
      </c>
      <c r="J756" t="s">
        <v>432</v>
      </c>
      <c r="K756">
        <v>0</v>
      </c>
      <c r="L756" t="s">
        <v>428</v>
      </c>
      <c r="M756" t="s">
        <v>428</v>
      </c>
      <c r="N756">
        <v>153384</v>
      </c>
      <c r="O756">
        <f>INDEX(AllCollegeBarrons,MATCH(N756,AllCollegeNCES,0))</f>
        <v>0</v>
      </c>
      <c r="P756">
        <f>INDEX(KidGPAs,MATCH(B756,KidIDs,0))</f>
        <v>0</v>
      </c>
      <c r="Q756">
        <f>INDEX(KidACTs,MATCH(B756,KidIDs,0))</f>
        <v>0</v>
      </c>
      <c r="R756">
        <f>INDEX(Strats,MATCH(B756,KidIDs,0))</f>
        <v>0</v>
      </c>
      <c r="S756">
        <f>INDEX(KidRace,MATCH(B756,KidIDs,0))</f>
        <v>0</v>
      </c>
      <c r="T756">
        <f>IF(OR(S756="M",S756="I"),"H",S756)</f>
        <v>0</v>
      </c>
      <c r="U756">
        <f>INDEX(StudentTargets,MATCH(B756,KidIDs,0))</f>
        <v>0</v>
      </c>
      <c r="V756">
        <f>INDEX(ReachStudentTargets,MATCH(B756,KidIDs,0))</f>
        <v>0</v>
      </c>
      <c r="W756">
        <f>IF(OR(M756="Posse"),1,0)</f>
        <v>0</v>
      </c>
      <c r="X756">
        <f>IF(ISNUMBER(INDEX(AllCollegeGR, MATCH(N756,AllCollegeNCES,0))),ROUND(INDEX(AllCollegeGR, MATCH(N756,AllCollegeNCES,0))+W756*IF(INDEX(AllCollegeGR, MATCH(N756,AllCollegeNCES,0))&gt;0.7,(1-INDEX(AllCollegeGR, MATCH(N756,AllCollegeNCES,0)))/2,0.15),2),INDEX(AllCollegeGR, MATCH(N756,AllCollegeNCES,0)))</f>
        <v>0</v>
      </c>
      <c r="Y756">
        <f>IF(ISNUMBER(INDEX(AllCollegeAAHGR, MATCH(N756,AllCollegeNCES,0))),ROUND(INDEX(AllCollegeAAHGR, MATCH(N756,AllCollegeNCES,0))+W756*IF(INDEX(AllCollegeAAHGR, MATCH(N756,AllCollegeNCES,0))&gt;0.7,(1-INDEX(AllCollegeAAHGR, MATCH(N756,AllCollegeNCES,0)))/2,0.15),2),INDEX(AllCollegeAAHGR, MATCH(N756,AllCollegeNCES,0)))</f>
        <v>0</v>
      </c>
      <c r="Z756">
        <f>IF(OR(T756="H",T756="B"),INDEX(AllCollegeACT25, MATCH(N756,AllCollegeNCES,0)),INDEX(AllCollegeACT50, MATCH(N756,AllCollegeNCES,0)))</f>
        <v>0</v>
      </c>
      <c r="AA756">
        <f>INDEX(CustomWeightsGPA,MATCH(T756&amp;":"&amp;N756,CustomWeightsIndex,0))</f>
        <v>0</v>
      </c>
      <c r="AB756">
        <f>INDEX(CustomWeightsACT,MATCH(T756&amp;":"&amp;N756,CustomWeightsIndex,0))</f>
        <v>0</v>
      </c>
      <c r="AC756">
        <f>INDEX(CustomWeightsIntercept,MATCH(T756&amp;":"&amp;N756,CustomWeightsIndex,0))</f>
        <v>0</v>
      </c>
      <c r="AD756">
        <f>AA756*P756+AB756*Q756+AC756</f>
        <v>0</v>
      </c>
      <c r="AE756">
        <f>INDEX(CoefficientsGPA,MATCH(T756&amp;":"&amp;O756,CoefficientsIndex,0))</f>
        <v>0</v>
      </c>
      <c r="AF756">
        <f>INDEX(CoefficientsACT,MATCH(T756&amp;":"&amp;O756,CoefficientsIndex,0))</f>
        <v>0</v>
      </c>
      <c r="AG756">
        <f>INDEX(CoefficientsIntercept,MATCH(T756&amp;":"&amp;O756,CoefficientsIndex,0))</f>
        <v>0</v>
      </c>
      <c r="AH756">
        <f>AE756*P756+(Q756-Z756)*AF756+AG756</f>
        <v>0</v>
      </c>
      <c r="AI756">
        <f>IF(ISNUMBER(AD756),AD756,AH756)</f>
        <v>0</v>
      </c>
      <c r="AJ756">
        <f>IF(ISNUMBER(AI756),IF(ISNUMBER(AE756),IF(AND(AE756=1,AF756=1,AG756=1),100,ROUND(100*EXP(AI756)/(1+EXP(AI756)),2)),ROUND(100*EXP(AI756)/(1+EXP(AI756)),2)),IF(ISTEXT(O756),IF(LEFT(O756,1)="2",100,"N/A"),"N/A"))</f>
        <v>0</v>
      </c>
      <c r="AK756">
        <f>IF(ISNUMBER(AJ756),IF(AJ756&gt;=99,IF(OR(R756=10,R756=11),MatchLabel,SureThingLabel),IF(AJ756&gt;=95,SecureLabel,IF(AJ756&gt;=80,SafetyLabel,IF(AJ756&gt;=50,MatchLabel,IF(AJ756&gt;=20,ReachLabel,IF(AJ756&gt;=10,LongshotLabel,HailMaryLabel)))))),"Other")</f>
        <v>0</v>
      </c>
      <c r="AL756">
        <f>IF(OR(I756="accepted",I756="cond. accept",I756="summer admit"),IF(J756="yes","CHOICE!","Accepted!"),IF(I756="denied","Denied",IF(K756=1,"Waitlist",IF(L756=1,"Deferred",IF(G756="pending","Pending",IF(OR(G756="initial materials submitted",G756="mid-year submitted",G756="final submitted"),"Submitted",IF(H756="interest","Interest","?")))))))</f>
        <v>0</v>
      </c>
      <c r="AM756">
        <f>IF(OR(AK756=ReachLabel,AK756=LongshotLabel,AK756=HailMaryLabel),1,0)</f>
        <v>0</v>
      </c>
      <c r="AN756">
        <f>IF(OR(AM756=1,AK756=MatchLabel),1,0)</f>
        <v>0</v>
      </c>
      <c r="AO756">
        <f>IF(OR(AK756=MatchLabel,AK756=SafetyLabel,AK756=SecureLabel,AK756=SureThingLabel),1,0)</f>
        <v>0</v>
      </c>
      <c r="AP756">
        <f>IF(OR(T756="H",T756="B"),IF(ISNUMBER(Y756),ROUND(Y756,2),0),IF(ISNUMBER(X756),ROUND(X756,2),0))</f>
        <v>0</v>
      </c>
      <c r="AQ756">
        <f>IF(AP756&gt;=U756,1,0)</f>
        <v>0</v>
      </c>
      <c r="AR756">
        <f>IF(AP756&gt;=V756,1,0)</f>
        <v>0</v>
      </c>
      <c r="AS756">
        <f>IF(AP756&lt;(U756-0.10),1,0)</f>
        <v>0</v>
      </c>
      <c r="AT756">
        <f>1-AJ756/100</f>
        <v>0</v>
      </c>
      <c r="AU756">
        <f>IF(AN756=1,AT756,1)</f>
        <v>0</v>
      </c>
      <c r="AV756">
        <f>IF(AM756=1,AT756,1)</f>
        <v>0</v>
      </c>
      <c r="AW756">
        <f>IF(AND(AQ756=1,ISNUMBER(AT756)),$AT756,1)</f>
        <v>0</v>
      </c>
      <c r="AX756">
        <f>IF(AND(AR756=1,ISNUMBER(AT756)),$AT756,1)</f>
        <v>0</v>
      </c>
      <c r="AY756">
        <f>IF(ISNUMBER(Y756),INDEX(AllCollegeMoney, MATCH(N756,AllCollegeNCES,0)),0)</f>
        <v>0</v>
      </c>
      <c r="AZ756">
        <f>IF(AND(AQ756=1,ISNUMBER(AT756),AY756=1),$AT756,1)</f>
        <v>0</v>
      </c>
      <c r="BA756">
        <f>IF(AND(AR756=1,ISNUMBER(AT756),AY756=1),$AT756,1)</f>
        <v>0</v>
      </c>
      <c r="BB756">
        <f>IF(ISNUMBER(Y756),INDEX(AllCollegeILPub, MATCH(N756,AllCollegeNCES,0)),0)</f>
        <v>0</v>
      </c>
      <c r="BC756">
        <f>IF(AK756=ReachLabel,AP756,0)</f>
        <v>0</v>
      </c>
      <c r="BD756">
        <f>IF(AK756=MatchLabel,AP756,0)</f>
        <v>0</v>
      </c>
      <c r="BE756">
        <f>IF(AK756=SafetyLabel,AP756,0)</f>
        <v>0</v>
      </c>
      <c r="BF756">
        <f>IF(AK756=SecureLabel,AP756,0)</f>
        <v>0</v>
      </c>
      <c r="BG756">
        <f>IF(AK756=SureThingLabel,AP756,0)</f>
        <v>0</v>
      </c>
      <c r="BH756">
        <f>MAX(BC756:BG756)</f>
        <v>0</v>
      </c>
      <c r="BI756">
        <f>MAX(BD756:BG756)</f>
        <v>0</v>
      </c>
      <c r="BJ756">
        <f>MAX(BE756:BG756)</f>
        <v>0</v>
      </c>
      <c r="BK756">
        <f>IF(AND(AK756=ReachLabel,AY756=1),AP756,0)</f>
        <v>0</v>
      </c>
      <c r="BL756">
        <f>IF(AND(AK756=MatchLabel,AY756=1),AP756,0)</f>
        <v>0</v>
      </c>
      <c r="BM756">
        <f>IF(AND(AK756=SafetyLabel,AY756=1),AP756,0)</f>
        <v>0</v>
      </c>
      <c r="BN756">
        <f>IF(AND(AK756=SecureLabel,AY756=1),AP756,0)</f>
        <v>0</v>
      </c>
      <c r="BO756">
        <f>IF(AND(AK756=SureThingLabel,AY756=1),AP756,0)</f>
        <v>0</v>
      </c>
      <c r="BP756">
        <f>MAX(BK756:BO756)</f>
        <v>0</v>
      </c>
      <c r="BQ756">
        <f>MAX(BL756:BO756)</f>
        <v>0</v>
      </c>
      <c r="BR756">
        <f>MAX(BM756:BO756)</f>
        <v>0</v>
      </c>
      <c r="BS756">
        <f>IF(ISNUMBER(Y756),INDEX(AllCollegeChicago, MATCH(N756,AllCollegeNCES,0))*AY756,0)</f>
        <v>0</v>
      </c>
      <c r="BT756">
        <f>IF(ISNUMBER(Y756),INDEX(AllCollegeMoneyCode, MATCH(N756,AllCollegeNCES,0)),"?")</f>
        <v>0</v>
      </c>
      <c r="BU756">
        <f>IF(OR(BT756="---",BT756="--",BT756="+/--",BT756="+/---"),1,0)</f>
        <v>0</v>
      </c>
      <c r="BV756">
        <f>AY756*AO756*AQ756</f>
        <v>0</v>
      </c>
    </row>
    <row r="757" spans="1:74">
      <c r="A757" t="s">
        <v>86</v>
      </c>
      <c r="B757">
        <v>30323072</v>
      </c>
      <c r="C757" t="s">
        <v>136</v>
      </c>
      <c r="D757" t="s">
        <v>137</v>
      </c>
      <c r="E757" t="s">
        <v>428</v>
      </c>
      <c r="F757" t="s">
        <v>469</v>
      </c>
      <c r="G757" t="s">
        <v>430</v>
      </c>
      <c r="H757" t="s">
        <v>431</v>
      </c>
      <c r="I757" t="s">
        <v>432</v>
      </c>
      <c r="J757" t="s">
        <v>432</v>
      </c>
      <c r="K757">
        <v>0</v>
      </c>
      <c r="L757" t="s">
        <v>428</v>
      </c>
      <c r="M757" t="s">
        <v>428</v>
      </c>
      <c r="N757">
        <v>174844</v>
      </c>
      <c r="O757">
        <f>INDEX(AllCollegeBarrons,MATCH(N757,AllCollegeNCES,0))</f>
        <v>0</v>
      </c>
      <c r="P757">
        <f>INDEX(KidGPAs,MATCH(B757,KidIDs,0))</f>
        <v>0</v>
      </c>
      <c r="Q757">
        <f>INDEX(KidACTs,MATCH(B757,KidIDs,0))</f>
        <v>0</v>
      </c>
      <c r="R757">
        <f>INDEX(Strats,MATCH(B757,KidIDs,0))</f>
        <v>0</v>
      </c>
      <c r="S757">
        <f>INDEX(KidRace,MATCH(B757,KidIDs,0))</f>
        <v>0</v>
      </c>
      <c r="T757">
        <f>IF(OR(S757="M",S757="I"),"H",S757)</f>
        <v>0</v>
      </c>
      <c r="U757">
        <f>INDEX(StudentTargets,MATCH(B757,KidIDs,0))</f>
        <v>0</v>
      </c>
      <c r="V757">
        <f>INDEX(ReachStudentTargets,MATCH(B757,KidIDs,0))</f>
        <v>0</v>
      </c>
      <c r="W757">
        <f>IF(OR(M757="Posse"),1,0)</f>
        <v>0</v>
      </c>
      <c r="X757">
        <f>IF(ISNUMBER(INDEX(AllCollegeGR, MATCH(N757,AllCollegeNCES,0))),ROUND(INDEX(AllCollegeGR, MATCH(N757,AllCollegeNCES,0))+W757*IF(INDEX(AllCollegeGR, MATCH(N757,AllCollegeNCES,0))&gt;0.7,(1-INDEX(AllCollegeGR, MATCH(N757,AllCollegeNCES,0)))/2,0.15),2),INDEX(AllCollegeGR, MATCH(N757,AllCollegeNCES,0)))</f>
        <v>0</v>
      </c>
      <c r="Y757">
        <f>IF(ISNUMBER(INDEX(AllCollegeAAHGR, MATCH(N757,AllCollegeNCES,0))),ROUND(INDEX(AllCollegeAAHGR, MATCH(N757,AllCollegeNCES,0))+W757*IF(INDEX(AllCollegeAAHGR, MATCH(N757,AllCollegeNCES,0))&gt;0.7,(1-INDEX(AllCollegeAAHGR, MATCH(N757,AllCollegeNCES,0)))/2,0.15),2),INDEX(AllCollegeAAHGR, MATCH(N757,AllCollegeNCES,0)))</f>
        <v>0</v>
      </c>
      <c r="Z757">
        <f>IF(OR(T757="H",T757="B"),INDEX(AllCollegeACT25, MATCH(N757,AllCollegeNCES,0)),INDEX(AllCollegeACT50, MATCH(N757,AllCollegeNCES,0)))</f>
        <v>0</v>
      </c>
      <c r="AA757">
        <f>INDEX(CustomWeightsGPA,MATCH(T757&amp;":"&amp;N757,CustomWeightsIndex,0))</f>
        <v>0</v>
      </c>
      <c r="AB757">
        <f>INDEX(CustomWeightsACT,MATCH(T757&amp;":"&amp;N757,CustomWeightsIndex,0))</f>
        <v>0</v>
      </c>
      <c r="AC757">
        <f>INDEX(CustomWeightsIntercept,MATCH(T757&amp;":"&amp;N757,CustomWeightsIndex,0))</f>
        <v>0</v>
      </c>
      <c r="AD757">
        <f>AA757*P757+AB757*Q757+AC757</f>
        <v>0</v>
      </c>
      <c r="AE757">
        <f>INDEX(CoefficientsGPA,MATCH(T757&amp;":"&amp;O757,CoefficientsIndex,0))</f>
        <v>0</v>
      </c>
      <c r="AF757">
        <f>INDEX(CoefficientsACT,MATCH(T757&amp;":"&amp;O757,CoefficientsIndex,0))</f>
        <v>0</v>
      </c>
      <c r="AG757">
        <f>INDEX(CoefficientsIntercept,MATCH(T757&amp;":"&amp;O757,CoefficientsIndex,0))</f>
        <v>0</v>
      </c>
      <c r="AH757">
        <f>AE757*P757+(Q757-Z757)*AF757+AG757</f>
        <v>0</v>
      </c>
      <c r="AI757">
        <f>IF(ISNUMBER(AD757),AD757,AH757)</f>
        <v>0</v>
      </c>
      <c r="AJ757">
        <f>IF(ISNUMBER(AI757),IF(ISNUMBER(AE757),IF(AND(AE757=1,AF757=1,AG757=1),100,ROUND(100*EXP(AI757)/(1+EXP(AI757)),2)),ROUND(100*EXP(AI757)/(1+EXP(AI757)),2)),IF(ISTEXT(O757),IF(LEFT(O757,1)="2",100,"N/A"),"N/A"))</f>
        <v>0</v>
      </c>
      <c r="AK757">
        <f>IF(ISNUMBER(AJ757),IF(AJ757&gt;=99,IF(OR(R757=10,R757=11),MatchLabel,SureThingLabel),IF(AJ757&gt;=95,SecureLabel,IF(AJ757&gt;=80,SafetyLabel,IF(AJ757&gt;=50,MatchLabel,IF(AJ757&gt;=20,ReachLabel,IF(AJ757&gt;=10,LongshotLabel,HailMaryLabel)))))),"Other")</f>
        <v>0</v>
      </c>
      <c r="AL757">
        <f>IF(OR(I757="accepted",I757="cond. accept",I757="summer admit"),IF(J757="yes","CHOICE!","Accepted!"),IF(I757="denied","Denied",IF(K757=1,"Waitlist",IF(L757=1,"Deferred",IF(G757="pending","Pending",IF(OR(G757="initial materials submitted",G757="mid-year submitted",G757="final submitted"),"Submitted",IF(H757="interest","Interest","?")))))))</f>
        <v>0</v>
      </c>
      <c r="AM757">
        <f>IF(OR(AK757=ReachLabel,AK757=LongshotLabel,AK757=HailMaryLabel),1,0)</f>
        <v>0</v>
      </c>
      <c r="AN757">
        <f>IF(OR(AM757=1,AK757=MatchLabel),1,0)</f>
        <v>0</v>
      </c>
      <c r="AO757">
        <f>IF(OR(AK757=MatchLabel,AK757=SafetyLabel,AK757=SecureLabel,AK757=SureThingLabel),1,0)</f>
        <v>0</v>
      </c>
      <c r="AP757">
        <f>IF(OR(T757="H",T757="B"),IF(ISNUMBER(Y757),ROUND(Y757,2),0),IF(ISNUMBER(X757),ROUND(X757,2),0))</f>
        <v>0</v>
      </c>
      <c r="AQ757">
        <f>IF(AP757&gt;=U757,1,0)</f>
        <v>0</v>
      </c>
      <c r="AR757">
        <f>IF(AP757&gt;=V757,1,0)</f>
        <v>0</v>
      </c>
      <c r="AS757">
        <f>IF(AP757&lt;(U757-0.10),1,0)</f>
        <v>0</v>
      </c>
      <c r="AT757">
        <f>1-AJ757/100</f>
        <v>0</v>
      </c>
      <c r="AU757">
        <f>IF(AN757=1,AT757,1)</f>
        <v>0</v>
      </c>
      <c r="AV757">
        <f>IF(AM757=1,AT757,1)</f>
        <v>0</v>
      </c>
      <c r="AW757">
        <f>IF(AND(AQ757=1,ISNUMBER(AT757)),$AT757,1)</f>
        <v>0</v>
      </c>
      <c r="AX757">
        <f>IF(AND(AR757=1,ISNUMBER(AT757)),$AT757,1)</f>
        <v>0</v>
      </c>
      <c r="AY757">
        <f>IF(ISNUMBER(Y757),INDEX(AllCollegeMoney, MATCH(N757,AllCollegeNCES,0)),0)</f>
        <v>0</v>
      </c>
      <c r="AZ757">
        <f>IF(AND(AQ757=1,ISNUMBER(AT757),AY757=1),$AT757,1)</f>
        <v>0</v>
      </c>
      <c r="BA757">
        <f>IF(AND(AR757=1,ISNUMBER(AT757),AY757=1),$AT757,1)</f>
        <v>0</v>
      </c>
      <c r="BB757">
        <f>IF(ISNUMBER(Y757),INDEX(AllCollegeILPub, MATCH(N757,AllCollegeNCES,0)),0)</f>
        <v>0</v>
      </c>
      <c r="BC757">
        <f>IF(AK757=ReachLabel,AP757,0)</f>
        <v>0</v>
      </c>
      <c r="BD757">
        <f>IF(AK757=MatchLabel,AP757,0)</f>
        <v>0</v>
      </c>
      <c r="BE757">
        <f>IF(AK757=SafetyLabel,AP757,0)</f>
        <v>0</v>
      </c>
      <c r="BF757">
        <f>IF(AK757=SecureLabel,AP757,0)</f>
        <v>0</v>
      </c>
      <c r="BG757">
        <f>IF(AK757=SureThingLabel,AP757,0)</f>
        <v>0</v>
      </c>
      <c r="BH757">
        <f>MAX(BC757:BG757)</f>
        <v>0</v>
      </c>
      <c r="BI757">
        <f>MAX(BD757:BG757)</f>
        <v>0</v>
      </c>
      <c r="BJ757">
        <f>MAX(BE757:BG757)</f>
        <v>0</v>
      </c>
      <c r="BK757">
        <f>IF(AND(AK757=ReachLabel,AY757=1),AP757,0)</f>
        <v>0</v>
      </c>
      <c r="BL757">
        <f>IF(AND(AK757=MatchLabel,AY757=1),AP757,0)</f>
        <v>0</v>
      </c>
      <c r="BM757">
        <f>IF(AND(AK757=SafetyLabel,AY757=1),AP757,0)</f>
        <v>0</v>
      </c>
      <c r="BN757">
        <f>IF(AND(AK757=SecureLabel,AY757=1),AP757,0)</f>
        <v>0</v>
      </c>
      <c r="BO757">
        <f>IF(AND(AK757=SureThingLabel,AY757=1),AP757,0)</f>
        <v>0</v>
      </c>
      <c r="BP757">
        <f>MAX(BK757:BO757)</f>
        <v>0</v>
      </c>
      <c r="BQ757">
        <f>MAX(BL757:BO757)</f>
        <v>0</v>
      </c>
      <c r="BR757">
        <f>MAX(BM757:BO757)</f>
        <v>0</v>
      </c>
      <c r="BS757">
        <f>IF(ISNUMBER(Y757),INDEX(AllCollegeChicago, MATCH(N757,AllCollegeNCES,0))*AY757,0)</f>
        <v>0</v>
      </c>
      <c r="BT757">
        <f>IF(ISNUMBER(Y757),INDEX(AllCollegeMoneyCode, MATCH(N757,AllCollegeNCES,0)),"?")</f>
        <v>0</v>
      </c>
      <c r="BU757">
        <f>IF(OR(BT757="---",BT757="--",BT757="+/--",BT757="+/---"),1,0)</f>
        <v>0</v>
      </c>
      <c r="BV757">
        <f>AY757*AO757*AQ757</f>
        <v>0</v>
      </c>
    </row>
    <row r="758" spans="1:74">
      <c r="A758" t="s">
        <v>86</v>
      </c>
      <c r="B758">
        <v>30323072</v>
      </c>
      <c r="C758" t="s">
        <v>136</v>
      </c>
      <c r="D758" t="s">
        <v>137</v>
      </c>
      <c r="E758" t="s">
        <v>428</v>
      </c>
      <c r="F758" t="s">
        <v>457</v>
      </c>
      <c r="G758" t="s">
        <v>430</v>
      </c>
      <c r="H758" t="s">
        <v>431</v>
      </c>
      <c r="I758" t="s">
        <v>432</v>
      </c>
      <c r="J758" t="s">
        <v>432</v>
      </c>
      <c r="K758">
        <v>0</v>
      </c>
      <c r="L758" t="s">
        <v>428</v>
      </c>
      <c r="M758" t="s">
        <v>428</v>
      </c>
      <c r="N758">
        <v>145637</v>
      </c>
      <c r="O758">
        <f>INDEX(AllCollegeBarrons,MATCH(N758,AllCollegeNCES,0))</f>
        <v>0</v>
      </c>
      <c r="P758">
        <f>INDEX(KidGPAs,MATCH(B758,KidIDs,0))</f>
        <v>0</v>
      </c>
      <c r="Q758">
        <f>INDEX(KidACTs,MATCH(B758,KidIDs,0))</f>
        <v>0</v>
      </c>
      <c r="R758">
        <f>INDEX(Strats,MATCH(B758,KidIDs,0))</f>
        <v>0</v>
      </c>
      <c r="S758">
        <f>INDEX(KidRace,MATCH(B758,KidIDs,0))</f>
        <v>0</v>
      </c>
      <c r="T758">
        <f>IF(OR(S758="M",S758="I"),"H",S758)</f>
        <v>0</v>
      </c>
      <c r="U758">
        <f>INDEX(StudentTargets,MATCH(B758,KidIDs,0))</f>
        <v>0</v>
      </c>
      <c r="V758">
        <f>INDEX(ReachStudentTargets,MATCH(B758,KidIDs,0))</f>
        <v>0</v>
      </c>
      <c r="W758">
        <f>IF(OR(M758="Posse"),1,0)</f>
        <v>0</v>
      </c>
      <c r="X758">
        <f>IF(ISNUMBER(INDEX(AllCollegeGR, MATCH(N758,AllCollegeNCES,0))),ROUND(INDEX(AllCollegeGR, MATCH(N758,AllCollegeNCES,0))+W758*IF(INDEX(AllCollegeGR, MATCH(N758,AllCollegeNCES,0))&gt;0.7,(1-INDEX(AllCollegeGR, MATCH(N758,AllCollegeNCES,0)))/2,0.15),2),INDEX(AllCollegeGR, MATCH(N758,AllCollegeNCES,0)))</f>
        <v>0</v>
      </c>
      <c r="Y758">
        <f>IF(ISNUMBER(INDEX(AllCollegeAAHGR, MATCH(N758,AllCollegeNCES,0))),ROUND(INDEX(AllCollegeAAHGR, MATCH(N758,AllCollegeNCES,0))+W758*IF(INDEX(AllCollegeAAHGR, MATCH(N758,AllCollegeNCES,0))&gt;0.7,(1-INDEX(AllCollegeAAHGR, MATCH(N758,AllCollegeNCES,0)))/2,0.15),2),INDEX(AllCollegeAAHGR, MATCH(N758,AllCollegeNCES,0)))</f>
        <v>0</v>
      </c>
      <c r="Z758">
        <f>IF(OR(T758="H",T758="B"),INDEX(AllCollegeACT25, MATCH(N758,AllCollegeNCES,0)),INDEX(AllCollegeACT50, MATCH(N758,AllCollegeNCES,0)))</f>
        <v>0</v>
      </c>
      <c r="AA758">
        <f>INDEX(CustomWeightsGPA,MATCH(T758&amp;":"&amp;N758,CustomWeightsIndex,0))</f>
        <v>0</v>
      </c>
      <c r="AB758">
        <f>INDEX(CustomWeightsACT,MATCH(T758&amp;":"&amp;N758,CustomWeightsIndex,0))</f>
        <v>0</v>
      </c>
      <c r="AC758">
        <f>INDEX(CustomWeightsIntercept,MATCH(T758&amp;":"&amp;N758,CustomWeightsIndex,0))</f>
        <v>0</v>
      </c>
      <c r="AD758">
        <f>AA758*P758+AB758*Q758+AC758</f>
        <v>0</v>
      </c>
      <c r="AE758">
        <f>INDEX(CoefficientsGPA,MATCH(T758&amp;":"&amp;O758,CoefficientsIndex,0))</f>
        <v>0</v>
      </c>
      <c r="AF758">
        <f>INDEX(CoefficientsACT,MATCH(T758&amp;":"&amp;O758,CoefficientsIndex,0))</f>
        <v>0</v>
      </c>
      <c r="AG758">
        <f>INDEX(CoefficientsIntercept,MATCH(T758&amp;":"&amp;O758,CoefficientsIndex,0))</f>
        <v>0</v>
      </c>
      <c r="AH758">
        <f>AE758*P758+(Q758-Z758)*AF758+AG758</f>
        <v>0</v>
      </c>
      <c r="AI758">
        <f>IF(ISNUMBER(AD758),AD758,AH758)</f>
        <v>0</v>
      </c>
      <c r="AJ758">
        <f>IF(ISNUMBER(AI758),IF(ISNUMBER(AE758),IF(AND(AE758=1,AF758=1,AG758=1),100,ROUND(100*EXP(AI758)/(1+EXP(AI758)),2)),ROUND(100*EXP(AI758)/(1+EXP(AI758)),2)),IF(ISTEXT(O758),IF(LEFT(O758,1)="2",100,"N/A"),"N/A"))</f>
        <v>0</v>
      </c>
      <c r="AK758">
        <f>IF(ISNUMBER(AJ758),IF(AJ758&gt;=99,IF(OR(R758=10,R758=11),MatchLabel,SureThingLabel),IF(AJ758&gt;=95,SecureLabel,IF(AJ758&gt;=80,SafetyLabel,IF(AJ758&gt;=50,MatchLabel,IF(AJ758&gt;=20,ReachLabel,IF(AJ758&gt;=10,LongshotLabel,HailMaryLabel)))))),"Other")</f>
        <v>0</v>
      </c>
      <c r="AL758">
        <f>IF(OR(I758="accepted",I758="cond. accept",I758="summer admit"),IF(J758="yes","CHOICE!","Accepted!"),IF(I758="denied","Denied",IF(K758=1,"Waitlist",IF(L758=1,"Deferred",IF(G758="pending","Pending",IF(OR(G758="initial materials submitted",G758="mid-year submitted",G758="final submitted"),"Submitted",IF(H758="interest","Interest","?")))))))</f>
        <v>0</v>
      </c>
      <c r="AM758">
        <f>IF(OR(AK758=ReachLabel,AK758=LongshotLabel,AK758=HailMaryLabel),1,0)</f>
        <v>0</v>
      </c>
      <c r="AN758">
        <f>IF(OR(AM758=1,AK758=MatchLabel),1,0)</f>
        <v>0</v>
      </c>
      <c r="AO758">
        <f>IF(OR(AK758=MatchLabel,AK758=SafetyLabel,AK758=SecureLabel,AK758=SureThingLabel),1,0)</f>
        <v>0</v>
      </c>
      <c r="AP758">
        <f>IF(OR(T758="H",T758="B"),IF(ISNUMBER(Y758),ROUND(Y758,2),0),IF(ISNUMBER(X758),ROUND(X758,2),0))</f>
        <v>0</v>
      </c>
      <c r="AQ758">
        <f>IF(AP758&gt;=U758,1,0)</f>
        <v>0</v>
      </c>
      <c r="AR758">
        <f>IF(AP758&gt;=V758,1,0)</f>
        <v>0</v>
      </c>
      <c r="AS758">
        <f>IF(AP758&lt;(U758-0.10),1,0)</f>
        <v>0</v>
      </c>
      <c r="AT758">
        <f>1-AJ758/100</f>
        <v>0</v>
      </c>
      <c r="AU758">
        <f>IF(AN758=1,AT758,1)</f>
        <v>0</v>
      </c>
      <c r="AV758">
        <f>IF(AM758=1,AT758,1)</f>
        <v>0</v>
      </c>
      <c r="AW758">
        <f>IF(AND(AQ758=1,ISNUMBER(AT758)),$AT758,1)</f>
        <v>0</v>
      </c>
      <c r="AX758">
        <f>IF(AND(AR758=1,ISNUMBER(AT758)),$AT758,1)</f>
        <v>0</v>
      </c>
      <c r="AY758">
        <f>IF(ISNUMBER(Y758),INDEX(AllCollegeMoney, MATCH(N758,AllCollegeNCES,0)),0)</f>
        <v>0</v>
      </c>
      <c r="AZ758">
        <f>IF(AND(AQ758=1,ISNUMBER(AT758),AY758=1),$AT758,1)</f>
        <v>0</v>
      </c>
      <c r="BA758">
        <f>IF(AND(AR758=1,ISNUMBER(AT758),AY758=1),$AT758,1)</f>
        <v>0</v>
      </c>
      <c r="BB758">
        <f>IF(ISNUMBER(Y758),INDEX(AllCollegeILPub, MATCH(N758,AllCollegeNCES,0)),0)</f>
        <v>0</v>
      </c>
      <c r="BC758">
        <f>IF(AK758=ReachLabel,AP758,0)</f>
        <v>0</v>
      </c>
      <c r="BD758">
        <f>IF(AK758=MatchLabel,AP758,0)</f>
        <v>0</v>
      </c>
      <c r="BE758">
        <f>IF(AK758=SafetyLabel,AP758,0)</f>
        <v>0</v>
      </c>
      <c r="BF758">
        <f>IF(AK758=SecureLabel,AP758,0)</f>
        <v>0</v>
      </c>
      <c r="BG758">
        <f>IF(AK758=SureThingLabel,AP758,0)</f>
        <v>0</v>
      </c>
      <c r="BH758">
        <f>MAX(BC758:BG758)</f>
        <v>0</v>
      </c>
      <c r="BI758">
        <f>MAX(BD758:BG758)</f>
        <v>0</v>
      </c>
      <c r="BJ758">
        <f>MAX(BE758:BG758)</f>
        <v>0</v>
      </c>
      <c r="BK758">
        <f>IF(AND(AK758=ReachLabel,AY758=1),AP758,0)</f>
        <v>0</v>
      </c>
      <c r="BL758">
        <f>IF(AND(AK758=MatchLabel,AY758=1),AP758,0)</f>
        <v>0</v>
      </c>
      <c r="BM758">
        <f>IF(AND(AK758=SafetyLabel,AY758=1),AP758,0)</f>
        <v>0</v>
      </c>
      <c r="BN758">
        <f>IF(AND(AK758=SecureLabel,AY758=1),AP758,0)</f>
        <v>0</v>
      </c>
      <c r="BO758">
        <f>IF(AND(AK758=SureThingLabel,AY758=1),AP758,0)</f>
        <v>0</v>
      </c>
      <c r="BP758">
        <f>MAX(BK758:BO758)</f>
        <v>0</v>
      </c>
      <c r="BQ758">
        <f>MAX(BL758:BO758)</f>
        <v>0</v>
      </c>
      <c r="BR758">
        <f>MAX(BM758:BO758)</f>
        <v>0</v>
      </c>
      <c r="BS758">
        <f>IF(ISNUMBER(Y758),INDEX(AllCollegeChicago, MATCH(N758,AllCollegeNCES,0))*AY758,0)</f>
        <v>0</v>
      </c>
      <c r="BT758">
        <f>IF(ISNUMBER(Y758),INDEX(AllCollegeMoneyCode, MATCH(N758,AllCollegeNCES,0)),"?")</f>
        <v>0</v>
      </c>
      <c r="BU758">
        <f>IF(OR(BT758="---",BT758="--",BT758="+/--",BT758="+/---"),1,0)</f>
        <v>0</v>
      </c>
      <c r="BV758">
        <f>AY758*AO758*AQ758</f>
        <v>0</v>
      </c>
    </row>
    <row r="759" spans="1:74">
      <c r="A759" t="s">
        <v>86</v>
      </c>
      <c r="B759">
        <v>30323072</v>
      </c>
      <c r="C759" t="s">
        <v>136</v>
      </c>
      <c r="D759" t="s">
        <v>137</v>
      </c>
      <c r="E759" t="s">
        <v>428</v>
      </c>
      <c r="F759" t="s">
        <v>458</v>
      </c>
      <c r="G759" t="s">
        <v>463</v>
      </c>
      <c r="H759" t="s">
        <v>431</v>
      </c>
      <c r="I759" t="s">
        <v>432</v>
      </c>
      <c r="J759" t="s">
        <v>432</v>
      </c>
      <c r="K759">
        <v>0</v>
      </c>
      <c r="L759" t="s">
        <v>428</v>
      </c>
      <c r="M759" t="s">
        <v>428</v>
      </c>
      <c r="N759">
        <v>202523</v>
      </c>
      <c r="O759">
        <f>INDEX(AllCollegeBarrons,MATCH(N759,AllCollegeNCES,0))</f>
        <v>0</v>
      </c>
      <c r="P759">
        <f>INDEX(KidGPAs,MATCH(B759,KidIDs,0))</f>
        <v>0</v>
      </c>
      <c r="Q759">
        <f>INDEX(KidACTs,MATCH(B759,KidIDs,0))</f>
        <v>0</v>
      </c>
      <c r="R759">
        <f>INDEX(Strats,MATCH(B759,KidIDs,0))</f>
        <v>0</v>
      </c>
      <c r="S759">
        <f>INDEX(KidRace,MATCH(B759,KidIDs,0))</f>
        <v>0</v>
      </c>
      <c r="T759">
        <f>IF(OR(S759="M",S759="I"),"H",S759)</f>
        <v>0</v>
      </c>
      <c r="U759">
        <f>INDEX(StudentTargets,MATCH(B759,KidIDs,0))</f>
        <v>0</v>
      </c>
      <c r="V759">
        <f>INDEX(ReachStudentTargets,MATCH(B759,KidIDs,0))</f>
        <v>0</v>
      </c>
      <c r="W759">
        <f>IF(OR(M759="Posse"),1,0)</f>
        <v>0</v>
      </c>
      <c r="X759">
        <f>IF(ISNUMBER(INDEX(AllCollegeGR, MATCH(N759,AllCollegeNCES,0))),ROUND(INDEX(AllCollegeGR, MATCH(N759,AllCollegeNCES,0))+W759*IF(INDEX(AllCollegeGR, MATCH(N759,AllCollegeNCES,0))&gt;0.7,(1-INDEX(AllCollegeGR, MATCH(N759,AllCollegeNCES,0)))/2,0.15),2),INDEX(AllCollegeGR, MATCH(N759,AllCollegeNCES,0)))</f>
        <v>0</v>
      </c>
      <c r="Y759">
        <f>IF(ISNUMBER(INDEX(AllCollegeAAHGR, MATCH(N759,AllCollegeNCES,0))),ROUND(INDEX(AllCollegeAAHGR, MATCH(N759,AllCollegeNCES,0))+W759*IF(INDEX(AllCollegeAAHGR, MATCH(N759,AllCollegeNCES,0))&gt;0.7,(1-INDEX(AllCollegeAAHGR, MATCH(N759,AllCollegeNCES,0)))/2,0.15),2),INDEX(AllCollegeAAHGR, MATCH(N759,AllCollegeNCES,0)))</f>
        <v>0</v>
      </c>
      <c r="Z759">
        <f>IF(OR(T759="H",T759="B"),INDEX(AllCollegeACT25, MATCH(N759,AllCollegeNCES,0)),INDEX(AllCollegeACT50, MATCH(N759,AllCollegeNCES,0)))</f>
        <v>0</v>
      </c>
      <c r="AA759">
        <f>INDEX(CustomWeightsGPA,MATCH(T759&amp;":"&amp;N759,CustomWeightsIndex,0))</f>
        <v>0</v>
      </c>
      <c r="AB759">
        <f>INDEX(CustomWeightsACT,MATCH(T759&amp;":"&amp;N759,CustomWeightsIndex,0))</f>
        <v>0</v>
      </c>
      <c r="AC759">
        <f>INDEX(CustomWeightsIntercept,MATCH(T759&amp;":"&amp;N759,CustomWeightsIndex,0))</f>
        <v>0</v>
      </c>
      <c r="AD759">
        <f>AA759*P759+AB759*Q759+AC759</f>
        <v>0</v>
      </c>
      <c r="AE759">
        <f>INDEX(CoefficientsGPA,MATCH(T759&amp;":"&amp;O759,CoefficientsIndex,0))</f>
        <v>0</v>
      </c>
      <c r="AF759">
        <f>INDEX(CoefficientsACT,MATCH(T759&amp;":"&amp;O759,CoefficientsIndex,0))</f>
        <v>0</v>
      </c>
      <c r="AG759">
        <f>INDEX(CoefficientsIntercept,MATCH(T759&amp;":"&amp;O759,CoefficientsIndex,0))</f>
        <v>0</v>
      </c>
      <c r="AH759">
        <f>AE759*P759+(Q759-Z759)*AF759+AG759</f>
        <v>0</v>
      </c>
      <c r="AI759">
        <f>IF(ISNUMBER(AD759),AD759,AH759)</f>
        <v>0</v>
      </c>
      <c r="AJ759">
        <f>IF(ISNUMBER(AI759),IF(ISNUMBER(AE759),IF(AND(AE759=1,AF759=1,AG759=1),100,ROUND(100*EXP(AI759)/(1+EXP(AI759)),2)),ROUND(100*EXP(AI759)/(1+EXP(AI759)),2)),IF(ISTEXT(O759),IF(LEFT(O759,1)="2",100,"N/A"),"N/A"))</f>
        <v>0</v>
      </c>
      <c r="AK759">
        <f>IF(ISNUMBER(AJ759),IF(AJ759&gt;=99,IF(OR(R759=10,R759=11),MatchLabel,SureThingLabel),IF(AJ759&gt;=95,SecureLabel,IF(AJ759&gt;=80,SafetyLabel,IF(AJ759&gt;=50,MatchLabel,IF(AJ759&gt;=20,ReachLabel,IF(AJ759&gt;=10,LongshotLabel,HailMaryLabel)))))),"Other")</f>
        <v>0</v>
      </c>
      <c r="AL759">
        <f>IF(OR(I759="accepted",I759="cond. accept",I759="summer admit"),IF(J759="yes","CHOICE!","Accepted!"),IF(I759="denied","Denied",IF(K759=1,"Waitlist",IF(L759=1,"Deferred",IF(G759="pending","Pending",IF(OR(G759="initial materials submitted",G759="mid-year submitted",G759="final submitted"),"Submitted",IF(H759="interest","Interest","?")))))))</f>
        <v>0</v>
      </c>
      <c r="AM759">
        <f>IF(OR(AK759=ReachLabel,AK759=LongshotLabel,AK759=HailMaryLabel),1,0)</f>
        <v>0</v>
      </c>
      <c r="AN759">
        <f>IF(OR(AM759=1,AK759=MatchLabel),1,0)</f>
        <v>0</v>
      </c>
      <c r="AO759">
        <f>IF(OR(AK759=MatchLabel,AK759=SafetyLabel,AK759=SecureLabel,AK759=SureThingLabel),1,0)</f>
        <v>0</v>
      </c>
      <c r="AP759">
        <f>IF(OR(T759="H",T759="B"),IF(ISNUMBER(Y759),ROUND(Y759,2),0),IF(ISNUMBER(X759),ROUND(X759,2),0))</f>
        <v>0</v>
      </c>
      <c r="AQ759">
        <f>IF(AP759&gt;=U759,1,0)</f>
        <v>0</v>
      </c>
      <c r="AR759">
        <f>IF(AP759&gt;=V759,1,0)</f>
        <v>0</v>
      </c>
      <c r="AS759">
        <f>IF(AP759&lt;(U759-0.10),1,0)</f>
        <v>0</v>
      </c>
      <c r="AT759">
        <f>1-AJ759/100</f>
        <v>0</v>
      </c>
      <c r="AU759">
        <f>IF(AN759=1,AT759,1)</f>
        <v>0</v>
      </c>
      <c r="AV759">
        <f>IF(AM759=1,AT759,1)</f>
        <v>0</v>
      </c>
      <c r="AW759">
        <f>IF(AND(AQ759=1,ISNUMBER(AT759)),$AT759,1)</f>
        <v>0</v>
      </c>
      <c r="AX759">
        <f>IF(AND(AR759=1,ISNUMBER(AT759)),$AT759,1)</f>
        <v>0</v>
      </c>
      <c r="AY759">
        <f>IF(ISNUMBER(Y759),INDEX(AllCollegeMoney, MATCH(N759,AllCollegeNCES,0)),0)</f>
        <v>0</v>
      </c>
      <c r="AZ759">
        <f>IF(AND(AQ759=1,ISNUMBER(AT759),AY759=1),$AT759,1)</f>
        <v>0</v>
      </c>
      <c r="BA759">
        <f>IF(AND(AR759=1,ISNUMBER(AT759),AY759=1),$AT759,1)</f>
        <v>0</v>
      </c>
      <c r="BB759">
        <f>IF(ISNUMBER(Y759),INDEX(AllCollegeILPub, MATCH(N759,AllCollegeNCES,0)),0)</f>
        <v>0</v>
      </c>
      <c r="BC759">
        <f>IF(AK759=ReachLabel,AP759,0)</f>
        <v>0</v>
      </c>
      <c r="BD759">
        <f>IF(AK759=MatchLabel,AP759,0)</f>
        <v>0</v>
      </c>
      <c r="BE759">
        <f>IF(AK759=SafetyLabel,AP759,0)</f>
        <v>0</v>
      </c>
      <c r="BF759">
        <f>IF(AK759=SecureLabel,AP759,0)</f>
        <v>0</v>
      </c>
      <c r="BG759">
        <f>IF(AK759=SureThingLabel,AP759,0)</f>
        <v>0</v>
      </c>
      <c r="BH759">
        <f>MAX(BC759:BG759)</f>
        <v>0</v>
      </c>
      <c r="BI759">
        <f>MAX(BD759:BG759)</f>
        <v>0</v>
      </c>
      <c r="BJ759">
        <f>MAX(BE759:BG759)</f>
        <v>0</v>
      </c>
      <c r="BK759">
        <f>IF(AND(AK759=ReachLabel,AY759=1),AP759,0)</f>
        <v>0</v>
      </c>
      <c r="BL759">
        <f>IF(AND(AK759=MatchLabel,AY759=1),AP759,0)</f>
        <v>0</v>
      </c>
      <c r="BM759">
        <f>IF(AND(AK759=SafetyLabel,AY759=1),AP759,0)</f>
        <v>0</v>
      </c>
      <c r="BN759">
        <f>IF(AND(AK759=SecureLabel,AY759=1),AP759,0)</f>
        <v>0</v>
      </c>
      <c r="BO759">
        <f>IF(AND(AK759=SureThingLabel,AY759=1),AP759,0)</f>
        <v>0</v>
      </c>
      <c r="BP759">
        <f>MAX(BK759:BO759)</f>
        <v>0</v>
      </c>
      <c r="BQ759">
        <f>MAX(BL759:BO759)</f>
        <v>0</v>
      </c>
      <c r="BR759">
        <f>MAX(BM759:BO759)</f>
        <v>0</v>
      </c>
      <c r="BS759">
        <f>IF(ISNUMBER(Y759),INDEX(AllCollegeChicago, MATCH(N759,AllCollegeNCES,0))*AY759,0)</f>
        <v>0</v>
      </c>
      <c r="BT759">
        <f>IF(ISNUMBER(Y759),INDEX(AllCollegeMoneyCode, MATCH(N759,AllCollegeNCES,0)),"?")</f>
        <v>0</v>
      </c>
      <c r="BU759">
        <f>IF(OR(BT759="---",BT759="--",BT759="+/--",BT759="+/---"),1,0)</f>
        <v>0</v>
      </c>
      <c r="BV759">
        <f>AY759*AO759*AQ759</f>
        <v>0</v>
      </c>
    </row>
    <row r="760" spans="1:74">
      <c r="A760" t="s">
        <v>86</v>
      </c>
      <c r="B760">
        <v>30323072</v>
      </c>
      <c r="C760" t="s">
        <v>136</v>
      </c>
      <c r="D760" t="s">
        <v>137</v>
      </c>
      <c r="E760" t="s">
        <v>428</v>
      </c>
      <c r="F760" t="s">
        <v>459</v>
      </c>
      <c r="G760" t="s">
        <v>430</v>
      </c>
      <c r="H760" t="s">
        <v>431</v>
      </c>
      <c r="I760" t="s">
        <v>432</v>
      </c>
      <c r="J760" t="s">
        <v>432</v>
      </c>
      <c r="K760">
        <v>0</v>
      </c>
      <c r="L760" t="s">
        <v>428</v>
      </c>
      <c r="M760" t="s">
        <v>428</v>
      </c>
      <c r="N760">
        <v>146427</v>
      </c>
      <c r="O760">
        <f>INDEX(AllCollegeBarrons,MATCH(N760,AllCollegeNCES,0))</f>
        <v>0</v>
      </c>
      <c r="P760">
        <f>INDEX(KidGPAs,MATCH(B760,KidIDs,0))</f>
        <v>0</v>
      </c>
      <c r="Q760">
        <f>INDEX(KidACTs,MATCH(B760,KidIDs,0))</f>
        <v>0</v>
      </c>
      <c r="R760">
        <f>INDEX(Strats,MATCH(B760,KidIDs,0))</f>
        <v>0</v>
      </c>
      <c r="S760">
        <f>INDEX(KidRace,MATCH(B760,KidIDs,0))</f>
        <v>0</v>
      </c>
      <c r="T760">
        <f>IF(OR(S760="M",S760="I"),"H",S760)</f>
        <v>0</v>
      </c>
      <c r="U760">
        <f>INDEX(StudentTargets,MATCH(B760,KidIDs,0))</f>
        <v>0</v>
      </c>
      <c r="V760">
        <f>INDEX(ReachStudentTargets,MATCH(B760,KidIDs,0))</f>
        <v>0</v>
      </c>
      <c r="W760">
        <f>IF(OR(M760="Posse"),1,0)</f>
        <v>0</v>
      </c>
      <c r="X760">
        <f>IF(ISNUMBER(INDEX(AllCollegeGR, MATCH(N760,AllCollegeNCES,0))),ROUND(INDEX(AllCollegeGR, MATCH(N760,AllCollegeNCES,0))+W760*IF(INDEX(AllCollegeGR, MATCH(N760,AllCollegeNCES,0))&gt;0.7,(1-INDEX(AllCollegeGR, MATCH(N760,AllCollegeNCES,0)))/2,0.15),2),INDEX(AllCollegeGR, MATCH(N760,AllCollegeNCES,0)))</f>
        <v>0</v>
      </c>
      <c r="Y760">
        <f>IF(ISNUMBER(INDEX(AllCollegeAAHGR, MATCH(N760,AllCollegeNCES,0))),ROUND(INDEX(AllCollegeAAHGR, MATCH(N760,AllCollegeNCES,0))+W760*IF(INDEX(AllCollegeAAHGR, MATCH(N760,AllCollegeNCES,0))&gt;0.7,(1-INDEX(AllCollegeAAHGR, MATCH(N760,AllCollegeNCES,0)))/2,0.15),2),INDEX(AllCollegeAAHGR, MATCH(N760,AllCollegeNCES,0)))</f>
        <v>0</v>
      </c>
      <c r="Z760">
        <f>IF(OR(T760="H",T760="B"),INDEX(AllCollegeACT25, MATCH(N760,AllCollegeNCES,0)),INDEX(AllCollegeACT50, MATCH(N760,AllCollegeNCES,0)))</f>
        <v>0</v>
      </c>
      <c r="AA760">
        <f>INDEX(CustomWeightsGPA,MATCH(T760&amp;":"&amp;N760,CustomWeightsIndex,0))</f>
        <v>0</v>
      </c>
      <c r="AB760">
        <f>INDEX(CustomWeightsACT,MATCH(T760&amp;":"&amp;N760,CustomWeightsIndex,0))</f>
        <v>0</v>
      </c>
      <c r="AC760">
        <f>INDEX(CustomWeightsIntercept,MATCH(T760&amp;":"&amp;N760,CustomWeightsIndex,0))</f>
        <v>0</v>
      </c>
      <c r="AD760">
        <f>AA760*P760+AB760*Q760+AC760</f>
        <v>0</v>
      </c>
      <c r="AE760">
        <f>INDEX(CoefficientsGPA,MATCH(T760&amp;":"&amp;O760,CoefficientsIndex,0))</f>
        <v>0</v>
      </c>
      <c r="AF760">
        <f>INDEX(CoefficientsACT,MATCH(T760&amp;":"&amp;O760,CoefficientsIndex,0))</f>
        <v>0</v>
      </c>
      <c r="AG760">
        <f>INDEX(CoefficientsIntercept,MATCH(T760&amp;":"&amp;O760,CoefficientsIndex,0))</f>
        <v>0</v>
      </c>
      <c r="AH760">
        <f>AE760*P760+(Q760-Z760)*AF760+AG760</f>
        <v>0</v>
      </c>
      <c r="AI760">
        <f>IF(ISNUMBER(AD760),AD760,AH760)</f>
        <v>0</v>
      </c>
      <c r="AJ760">
        <f>IF(ISNUMBER(AI760),IF(ISNUMBER(AE760),IF(AND(AE760=1,AF760=1,AG760=1),100,ROUND(100*EXP(AI760)/(1+EXP(AI760)),2)),ROUND(100*EXP(AI760)/(1+EXP(AI760)),2)),IF(ISTEXT(O760),IF(LEFT(O760,1)="2",100,"N/A"),"N/A"))</f>
        <v>0</v>
      </c>
      <c r="AK760">
        <f>IF(ISNUMBER(AJ760),IF(AJ760&gt;=99,IF(OR(R760=10,R760=11),MatchLabel,SureThingLabel),IF(AJ760&gt;=95,SecureLabel,IF(AJ760&gt;=80,SafetyLabel,IF(AJ760&gt;=50,MatchLabel,IF(AJ760&gt;=20,ReachLabel,IF(AJ760&gt;=10,LongshotLabel,HailMaryLabel)))))),"Other")</f>
        <v>0</v>
      </c>
      <c r="AL760">
        <f>IF(OR(I760="accepted",I760="cond. accept",I760="summer admit"),IF(J760="yes","CHOICE!","Accepted!"),IF(I760="denied","Denied",IF(K760=1,"Waitlist",IF(L760=1,"Deferred",IF(G760="pending","Pending",IF(OR(G760="initial materials submitted",G760="mid-year submitted",G760="final submitted"),"Submitted",IF(H760="interest","Interest","?")))))))</f>
        <v>0</v>
      </c>
      <c r="AM760">
        <f>IF(OR(AK760=ReachLabel,AK760=LongshotLabel,AK760=HailMaryLabel),1,0)</f>
        <v>0</v>
      </c>
      <c r="AN760">
        <f>IF(OR(AM760=1,AK760=MatchLabel),1,0)</f>
        <v>0</v>
      </c>
      <c r="AO760">
        <f>IF(OR(AK760=MatchLabel,AK760=SafetyLabel,AK760=SecureLabel,AK760=SureThingLabel),1,0)</f>
        <v>0</v>
      </c>
      <c r="AP760">
        <f>IF(OR(T760="H",T760="B"),IF(ISNUMBER(Y760),ROUND(Y760,2),0),IF(ISNUMBER(X760),ROUND(X760,2),0))</f>
        <v>0</v>
      </c>
      <c r="AQ760">
        <f>IF(AP760&gt;=U760,1,0)</f>
        <v>0</v>
      </c>
      <c r="AR760">
        <f>IF(AP760&gt;=V760,1,0)</f>
        <v>0</v>
      </c>
      <c r="AS760">
        <f>IF(AP760&lt;(U760-0.10),1,0)</f>
        <v>0</v>
      </c>
      <c r="AT760">
        <f>1-AJ760/100</f>
        <v>0</v>
      </c>
      <c r="AU760">
        <f>IF(AN760=1,AT760,1)</f>
        <v>0</v>
      </c>
      <c r="AV760">
        <f>IF(AM760=1,AT760,1)</f>
        <v>0</v>
      </c>
      <c r="AW760">
        <f>IF(AND(AQ760=1,ISNUMBER(AT760)),$AT760,1)</f>
        <v>0</v>
      </c>
      <c r="AX760">
        <f>IF(AND(AR760=1,ISNUMBER(AT760)),$AT760,1)</f>
        <v>0</v>
      </c>
      <c r="AY760">
        <f>IF(ISNUMBER(Y760),INDEX(AllCollegeMoney, MATCH(N760,AllCollegeNCES,0)),0)</f>
        <v>0</v>
      </c>
      <c r="AZ760">
        <f>IF(AND(AQ760=1,ISNUMBER(AT760),AY760=1),$AT760,1)</f>
        <v>0</v>
      </c>
      <c r="BA760">
        <f>IF(AND(AR760=1,ISNUMBER(AT760),AY760=1),$AT760,1)</f>
        <v>0</v>
      </c>
      <c r="BB760">
        <f>IF(ISNUMBER(Y760),INDEX(AllCollegeILPub, MATCH(N760,AllCollegeNCES,0)),0)</f>
        <v>0</v>
      </c>
      <c r="BC760">
        <f>IF(AK760=ReachLabel,AP760,0)</f>
        <v>0</v>
      </c>
      <c r="BD760">
        <f>IF(AK760=MatchLabel,AP760,0)</f>
        <v>0</v>
      </c>
      <c r="BE760">
        <f>IF(AK760=SafetyLabel,AP760,0)</f>
        <v>0</v>
      </c>
      <c r="BF760">
        <f>IF(AK760=SecureLabel,AP760,0)</f>
        <v>0</v>
      </c>
      <c r="BG760">
        <f>IF(AK760=SureThingLabel,AP760,0)</f>
        <v>0</v>
      </c>
      <c r="BH760">
        <f>MAX(BC760:BG760)</f>
        <v>0</v>
      </c>
      <c r="BI760">
        <f>MAX(BD760:BG760)</f>
        <v>0</v>
      </c>
      <c r="BJ760">
        <f>MAX(BE760:BG760)</f>
        <v>0</v>
      </c>
      <c r="BK760">
        <f>IF(AND(AK760=ReachLabel,AY760=1),AP760,0)</f>
        <v>0</v>
      </c>
      <c r="BL760">
        <f>IF(AND(AK760=MatchLabel,AY760=1),AP760,0)</f>
        <v>0</v>
      </c>
      <c r="BM760">
        <f>IF(AND(AK760=SafetyLabel,AY760=1),AP760,0)</f>
        <v>0</v>
      </c>
      <c r="BN760">
        <f>IF(AND(AK760=SecureLabel,AY760=1),AP760,0)</f>
        <v>0</v>
      </c>
      <c r="BO760">
        <f>IF(AND(AK760=SureThingLabel,AY760=1),AP760,0)</f>
        <v>0</v>
      </c>
      <c r="BP760">
        <f>MAX(BK760:BO760)</f>
        <v>0</v>
      </c>
      <c r="BQ760">
        <f>MAX(BL760:BO760)</f>
        <v>0</v>
      </c>
      <c r="BR760">
        <f>MAX(BM760:BO760)</f>
        <v>0</v>
      </c>
      <c r="BS760">
        <f>IF(ISNUMBER(Y760),INDEX(AllCollegeChicago, MATCH(N760,AllCollegeNCES,0))*AY760,0)</f>
        <v>0</v>
      </c>
      <c r="BT760">
        <f>IF(ISNUMBER(Y760),INDEX(AllCollegeMoneyCode, MATCH(N760,AllCollegeNCES,0)),"?")</f>
        <v>0</v>
      </c>
      <c r="BU760">
        <f>IF(OR(BT760="---",BT760="--",BT760="+/--",BT760="+/---"),1,0)</f>
        <v>0</v>
      </c>
      <c r="BV760">
        <f>AY760*AO760*AQ760</f>
        <v>0</v>
      </c>
    </row>
    <row r="761" spans="1:74">
      <c r="A761" t="s">
        <v>86</v>
      </c>
      <c r="B761">
        <v>30323072</v>
      </c>
      <c r="C761" t="s">
        <v>136</v>
      </c>
      <c r="D761" t="s">
        <v>137</v>
      </c>
      <c r="E761" t="s">
        <v>428</v>
      </c>
      <c r="F761" t="s">
        <v>460</v>
      </c>
      <c r="G761" t="s">
        <v>430</v>
      </c>
      <c r="H761" t="s">
        <v>431</v>
      </c>
      <c r="I761" t="s">
        <v>432</v>
      </c>
      <c r="J761" t="s">
        <v>432</v>
      </c>
      <c r="K761">
        <v>0</v>
      </c>
      <c r="L761" t="s">
        <v>428</v>
      </c>
      <c r="M761" t="s">
        <v>428</v>
      </c>
      <c r="N761">
        <v>221519</v>
      </c>
      <c r="O761">
        <f>INDEX(AllCollegeBarrons,MATCH(N761,AllCollegeNCES,0))</f>
        <v>0</v>
      </c>
      <c r="P761">
        <f>INDEX(KidGPAs,MATCH(B761,KidIDs,0))</f>
        <v>0</v>
      </c>
      <c r="Q761">
        <f>INDEX(KidACTs,MATCH(B761,KidIDs,0))</f>
        <v>0</v>
      </c>
      <c r="R761">
        <f>INDEX(Strats,MATCH(B761,KidIDs,0))</f>
        <v>0</v>
      </c>
      <c r="S761">
        <f>INDEX(KidRace,MATCH(B761,KidIDs,0))</f>
        <v>0</v>
      </c>
      <c r="T761">
        <f>IF(OR(S761="M",S761="I"),"H",S761)</f>
        <v>0</v>
      </c>
      <c r="U761">
        <f>INDEX(StudentTargets,MATCH(B761,KidIDs,0))</f>
        <v>0</v>
      </c>
      <c r="V761">
        <f>INDEX(ReachStudentTargets,MATCH(B761,KidIDs,0))</f>
        <v>0</v>
      </c>
      <c r="W761">
        <f>IF(OR(M761="Posse"),1,0)</f>
        <v>0</v>
      </c>
      <c r="X761">
        <f>IF(ISNUMBER(INDEX(AllCollegeGR, MATCH(N761,AllCollegeNCES,0))),ROUND(INDEX(AllCollegeGR, MATCH(N761,AllCollegeNCES,0))+W761*IF(INDEX(AllCollegeGR, MATCH(N761,AllCollegeNCES,0))&gt;0.7,(1-INDEX(AllCollegeGR, MATCH(N761,AllCollegeNCES,0)))/2,0.15),2),INDEX(AllCollegeGR, MATCH(N761,AllCollegeNCES,0)))</f>
        <v>0</v>
      </c>
      <c r="Y761">
        <f>IF(ISNUMBER(INDEX(AllCollegeAAHGR, MATCH(N761,AllCollegeNCES,0))),ROUND(INDEX(AllCollegeAAHGR, MATCH(N761,AllCollegeNCES,0))+W761*IF(INDEX(AllCollegeAAHGR, MATCH(N761,AllCollegeNCES,0))&gt;0.7,(1-INDEX(AllCollegeAAHGR, MATCH(N761,AllCollegeNCES,0)))/2,0.15),2),INDEX(AllCollegeAAHGR, MATCH(N761,AllCollegeNCES,0)))</f>
        <v>0</v>
      </c>
      <c r="Z761">
        <f>IF(OR(T761="H",T761="B"),INDEX(AllCollegeACT25, MATCH(N761,AllCollegeNCES,0)),INDEX(AllCollegeACT50, MATCH(N761,AllCollegeNCES,0)))</f>
        <v>0</v>
      </c>
      <c r="AA761">
        <f>INDEX(CustomWeightsGPA,MATCH(T761&amp;":"&amp;N761,CustomWeightsIndex,0))</f>
        <v>0</v>
      </c>
      <c r="AB761">
        <f>INDEX(CustomWeightsACT,MATCH(T761&amp;":"&amp;N761,CustomWeightsIndex,0))</f>
        <v>0</v>
      </c>
      <c r="AC761">
        <f>INDEX(CustomWeightsIntercept,MATCH(T761&amp;":"&amp;N761,CustomWeightsIndex,0))</f>
        <v>0</v>
      </c>
      <c r="AD761">
        <f>AA761*P761+AB761*Q761+AC761</f>
        <v>0</v>
      </c>
      <c r="AE761">
        <f>INDEX(CoefficientsGPA,MATCH(T761&amp;":"&amp;O761,CoefficientsIndex,0))</f>
        <v>0</v>
      </c>
      <c r="AF761">
        <f>INDEX(CoefficientsACT,MATCH(T761&amp;":"&amp;O761,CoefficientsIndex,0))</f>
        <v>0</v>
      </c>
      <c r="AG761">
        <f>INDEX(CoefficientsIntercept,MATCH(T761&amp;":"&amp;O761,CoefficientsIndex,0))</f>
        <v>0</v>
      </c>
      <c r="AH761">
        <f>AE761*P761+(Q761-Z761)*AF761+AG761</f>
        <v>0</v>
      </c>
      <c r="AI761">
        <f>IF(ISNUMBER(AD761),AD761,AH761)</f>
        <v>0</v>
      </c>
      <c r="AJ761">
        <f>IF(ISNUMBER(AI761),IF(ISNUMBER(AE761),IF(AND(AE761=1,AF761=1,AG761=1),100,ROUND(100*EXP(AI761)/(1+EXP(AI761)),2)),ROUND(100*EXP(AI761)/(1+EXP(AI761)),2)),IF(ISTEXT(O761),IF(LEFT(O761,1)="2",100,"N/A"),"N/A"))</f>
        <v>0</v>
      </c>
      <c r="AK761">
        <f>IF(ISNUMBER(AJ761),IF(AJ761&gt;=99,IF(OR(R761=10,R761=11),MatchLabel,SureThingLabel),IF(AJ761&gt;=95,SecureLabel,IF(AJ761&gt;=80,SafetyLabel,IF(AJ761&gt;=50,MatchLabel,IF(AJ761&gt;=20,ReachLabel,IF(AJ761&gt;=10,LongshotLabel,HailMaryLabel)))))),"Other")</f>
        <v>0</v>
      </c>
      <c r="AL761">
        <f>IF(OR(I761="accepted",I761="cond. accept",I761="summer admit"),IF(J761="yes","CHOICE!","Accepted!"),IF(I761="denied","Denied",IF(K761=1,"Waitlist",IF(L761=1,"Deferred",IF(G761="pending","Pending",IF(OR(G761="initial materials submitted",G761="mid-year submitted",G761="final submitted"),"Submitted",IF(H761="interest","Interest","?")))))))</f>
        <v>0</v>
      </c>
      <c r="AM761">
        <f>IF(OR(AK761=ReachLabel,AK761=LongshotLabel,AK761=HailMaryLabel),1,0)</f>
        <v>0</v>
      </c>
      <c r="AN761">
        <f>IF(OR(AM761=1,AK761=MatchLabel),1,0)</f>
        <v>0</v>
      </c>
      <c r="AO761">
        <f>IF(OR(AK761=MatchLabel,AK761=SafetyLabel,AK761=SecureLabel,AK761=SureThingLabel),1,0)</f>
        <v>0</v>
      </c>
      <c r="AP761">
        <f>IF(OR(T761="H",T761="B"),IF(ISNUMBER(Y761),ROUND(Y761,2),0),IF(ISNUMBER(X761),ROUND(X761,2),0))</f>
        <v>0</v>
      </c>
      <c r="AQ761">
        <f>IF(AP761&gt;=U761,1,0)</f>
        <v>0</v>
      </c>
      <c r="AR761">
        <f>IF(AP761&gt;=V761,1,0)</f>
        <v>0</v>
      </c>
      <c r="AS761">
        <f>IF(AP761&lt;(U761-0.10),1,0)</f>
        <v>0</v>
      </c>
      <c r="AT761">
        <f>1-AJ761/100</f>
        <v>0</v>
      </c>
      <c r="AU761">
        <f>IF(AN761=1,AT761,1)</f>
        <v>0</v>
      </c>
      <c r="AV761">
        <f>IF(AM761=1,AT761,1)</f>
        <v>0</v>
      </c>
      <c r="AW761">
        <f>IF(AND(AQ761=1,ISNUMBER(AT761)),$AT761,1)</f>
        <v>0</v>
      </c>
      <c r="AX761">
        <f>IF(AND(AR761=1,ISNUMBER(AT761)),$AT761,1)</f>
        <v>0</v>
      </c>
      <c r="AY761">
        <f>IF(ISNUMBER(Y761),INDEX(AllCollegeMoney, MATCH(N761,AllCollegeNCES,0)),0)</f>
        <v>0</v>
      </c>
      <c r="AZ761">
        <f>IF(AND(AQ761=1,ISNUMBER(AT761),AY761=1),$AT761,1)</f>
        <v>0</v>
      </c>
      <c r="BA761">
        <f>IF(AND(AR761=1,ISNUMBER(AT761),AY761=1),$AT761,1)</f>
        <v>0</v>
      </c>
      <c r="BB761">
        <f>IF(ISNUMBER(Y761),INDEX(AllCollegeILPub, MATCH(N761,AllCollegeNCES,0)),0)</f>
        <v>0</v>
      </c>
      <c r="BC761">
        <f>IF(AK761=ReachLabel,AP761,0)</f>
        <v>0</v>
      </c>
      <c r="BD761">
        <f>IF(AK761=MatchLabel,AP761,0)</f>
        <v>0</v>
      </c>
      <c r="BE761">
        <f>IF(AK761=SafetyLabel,AP761,0)</f>
        <v>0</v>
      </c>
      <c r="BF761">
        <f>IF(AK761=SecureLabel,AP761,0)</f>
        <v>0</v>
      </c>
      <c r="BG761">
        <f>IF(AK761=SureThingLabel,AP761,0)</f>
        <v>0</v>
      </c>
      <c r="BH761">
        <f>MAX(BC761:BG761)</f>
        <v>0</v>
      </c>
      <c r="BI761">
        <f>MAX(BD761:BG761)</f>
        <v>0</v>
      </c>
      <c r="BJ761">
        <f>MAX(BE761:BG761)</f>
        <v>0</v>
      </c>
      <c r="BK761">
        <f>IF(AND(AK761=ReachLabel,AY761=1),AP761,0)</f>
        <v>0</v>
      </c>
      <c r="BL761">
        <f>IF(AND(AK761=MatchLabel,AY761=1),AP761,0)</f>
        <v>0</v>
      </c>
      <c r="BM761">
        <f>IF(AND(AK761=SafetyLabel,AY761=1),AP761,0)</f>
        <v>0</v>
      </c>
      <c r="BN761">
        <f>IF(AND(AK761=SecureLabel,AY761=1),AP761,0)</f>
        <v>0</v>
      </c>
      <c r="BO761">
        <f>IF(AND(AK761=SureThingLabel,AY761=1),AP761,0)</f>
        <v>0</v>
      </c>
      <c r="BP761">
        <f>MAX(BK761:BO761)</f>
        <v>0</v>
      </c>
      <c r="BQ761">
        <f>MAX(BL761:BO761)</f>
        <v>0</v>
      </c>
      <c r="BR761">
        <f>MAX(BM761:BO761)</f>
        <v>0</v>
      </c>
      <c r="BS761">
        <f>IF(ISNUMBER(Y761),INDEX(AllCollegeChicago, MATCH(N761,AllCollegeNCES,0))*AY761,0)</f>
        <v>0</v>
      </c>
      <c r="BT761">
        <f>IF(ISNUMBER(Y761),INDEX(AllCollegeMoneyCode, MATCH(N761,AllCollegeNCES,0)),"?")</f>
        <v>0</v>
      </c>
      <c r="BU761">
        <f>IF(OR(BT761="---",BT761="--",BT761="+/--",BT761="+/---"),1,0)</f>
        <v>0</v>
      </c>
      <c r="BV761">
        <f>AY761*AO761*AQ761</f>
        <v>0</v>
      </c>
    </row>
    <row r="762" spans="1:74">
      <c r="A762" t="s">
        <v>86</v>
      </c>
      <c r="B762">
        <v>30323075</v>
      </c>
      <c r="C762" t="s">
        <v>218</v>
      </c>
      <c r="D762" t="s">
        <v>219</v>
      </c>
      <c r="E762" t="s">
        <v>428</v>
      </c>
      <c r="F762" t="s">
        <v>455</v>
      </c>
      <c r="G762" t="s">
        <v>463</v>
      </c>
      <c r="H762" t="s">
        <v>431</v>
      </c>
      <c r="I762" t="s">
        <v>432</v>
      </c>
      <c r="J762" t="s">
        <v>432</v>
      </c>
      <c r="K762">
        <v>0</v>
      </c>
      <c r="L762" t="s">
        <v>428</v>
      </c>
      <c r="M762" t="s">
        <v>428</v>
      </c>
      <c r="N762">
        <v>240444</v>
      </c>
      <c r="O762">
        <f>INDEX(AllCollegeBarrons,MATCH(N762,AllCollegeNCES,0))</f>
        <v>0</v>
      </c>
      <c r="P762">
        <f>INDEX(KidGPAs,MATCH(B762,KidIDs,0))</f>
        <v>0</v>
      </c>
      <c r="Q762">
        <f>INDEX(KidACTs,MATCH(B762,KidIDs,0))</f>
        <v>0</v>
      </c>
      <c r="R762">
        <f>INDEX(Strats,MATCH(B762,KidIDs,0))</f>
        <v>0</v>
      </c>
      <c r="S762">
        <f>INDEX(KidRace,MATCH(B762,KidIDs,0))</f>
        <v>0</v>
      </c>
      <c r="T762">
        <f>IF(OR(S762="M",S762="I"),"H",S762)</f>
        <v>0</v>
      </c>
      <c r="U762">
        <f>INDEX(StudentTargets,MATCH(B762,KidIDs,0))</f>
        <v>0</v>
      </c>
      <c r="V762">
        <f>INDEX(ReachStudentTargets,MATCH(B762,KidIDs,0))</f>
        <v>0</v>
      </c>
      <c r="W762">
        <f>IF(OR(M762="Posse"),1,0)</f>
        <v>0</v>
      </c>
      <c r="X762">
        <f>IF(ISNUMBER(INDEX(AllCollegeGR, MATCH(N762,AllCollegeNCES,0))),ROUND(INDEX(AllCollegeGR, MATCH(N762,AllCollegeNCES,0))+W762*IF(INDEX(AllCollegeGR, MATCH(N762,AllCollegeNCES,0))&gt;0.7,(1-INDEX(AllCollegeGR, MATCH(N762,AllCollegeNCES,0)))/2,0.15),2),INDEX(AllCollegeGR, MATCH(N762,AllCollegeNCES,0)))</f>
        <v>0</v>
      </c>
      <c r="Y762">
        <f>IF(ISNUMBER(INDEX(AllCollegeAAHGR, MATCH(N762,AllCollegeNCES,0))),ROUND(INDEX(AllCollegeAAHGR, MATCH(N762,AllCollegeNCES,0))+W762*IF(INDEX(AllCollegeAAHGR, MATCH(N762,AllCollegeNCES,0))&gt;0.7,(1-INDEX(AllCollegeAAHGR, MATCH(N762,AllCollegeNCES,0)))/2,0.15),2),INDEX(AllCollegeAAHGR, MATCH(N762,AllCollegeNCES,0)))</f>
        <v>0</v>
      </c>
      <c r="Z762">
        <f>IF(OR(T762="H",T762="B"),INDEX(AllCollegeACT25, MATCH(N762,AllCollegeNCES,0)),INDEX(AllCollegeACT50, MATCH(N762,AllCollegeNCES,0)))</f>
        <v>0</v>
      </c>
      <c r="AA762">
        <f>INDEX(CustomWeightsGPA,MATCH(T762&amp;":"&amp;N762,CustomWeightsIndex,0))</f>
        <v>0</v>
      </c>
      <c r="AB762">
        <f>INDEX(CustomWeightsACT,MATCH(T762&amp;":"&amp;N762,CustomWeightsIndex,0))</f>
        <v>0</v>
      </c>
      <c r="AC762">
        <f>INDEX(CustomWeightsIntercept,MATCH(T762&amp;":"&amp;N762,CustomWeightsIndex,0))</f>
        <v>0</v>
      </c>
      <c r="AD762">
        <f>AA762*P762+AB762*Q762+AC762</f>
        <v>0</v>
      </c>
      <c r="AE762">
        <f>INDEX(CoefficientsGPA,MATCH(T762&amp;":"&amp;O762,CoefficientsIndex,0))</f>
        <v>0</v>
      </c>
      <c r="AF762">
        <f>INDEX(CoefficientsACT,MATCH(T762&amp;":"&amp;O762,CoefficientsIndex,0))</f>
        <v>0</v>
      </c>
      <c r="AG762">
        <f>INDEX(CoefficientsIntercept,MATCH(T762&amp;":"&amp;O762,CoefficientsIndex,0))</f>
        <v>0</v>
      </c>
      <c r="AH762">
        <f>AE762*P762+(Q762-Z762)*AF762+AG762</f>
        <v>0</v>
      </c>
      <c r="AI762">
        <f>IF(ISNUMBER(AD762),AD762,AH762)</f>
        <v>0</v>
      </c>
      <c r="AJ762">
        <f>IF(ISNUMBER(AI762),IF(ISNUMBER(AE762),IF(AND(AE762=1,AF762=1,AG762=1),100,ROUND(100*EXP(AI762)/(1+EXP(AI762)),2)),ROUND(100*EXP(AI762)/(1+EXP(AI762)),2)),IF(ISTEXT(O762),IF(LEFT(O762,1)="2",100,"N/A"),"N/A"))</f>
        <v>0</v>
      </c>
      <c r="AK762">
        <f>IF(ISNUMBER(AJ762),IF(AJ762&gt;=99,IF(OR(R762=10,R762=11),MatchLabel,SureThingLabel),IF(AJ762&gt;=95,SecureLabel,IF(AJ762&gt;=80,SafetyLabel,IF(AJ762&gt;=50,MatchLabel,IF(AJ762&gt;=20,ReachLabel,IF(AJ762&gt;=10,LongshotLabel,HailMaryLabel)))))),"Other")</f>
        <v>0</v>
      </c>
      <c r="AL762">
        <f>IF(OR(I762="accepted",I762="cond. accept",I762="summer admit"),IF(J762="yes","CHOICE!","Accepted!"),IF(I762="denied","Denied",IF(K762=1,"Waitlist",IF(L762=1,"Deferred",IF(G762="pending","Pending",IF(OR(G762="initial materials submitted",G762="mid-year submitted",G762="final submitted"),"Submitted",IF(H762="interest","Interest","?")))))))</f>
        <v>0</v>
      </c>
      <c r="AM762">
        <f>IF(OR(AK762=ReachLabel,AK762=LongshotLabel,AK762=HailMaryLabel),1,0)</f>
        <v>0</v>
      </c>
      <c r="AN762">
        <f>IF(OR(AM762=1,AK762=MatchLabel),1,0)</f>
        <v>0</v>
      </c>
      <c r="AO762">
        <f>IF(OR(AK762=MatchLabel,AK762=SafetyLabel,AK762=SecureLabel,AK762=SureThingLabel),1,0)</f>
        <v>0</v>
      </c>
      <c r="AP762">
        <f>IF(OR(T762="H",T762="B"),IF(ISNUMBER(Y762),ROUND(Y762,2),0),IF(ISNUMBER(X762),ROUND(X762,2),0))</f>
        <v>0</v>
      </c>
      <c r="AQ762">
        <f>IF(AP762&gt;=U762,1,0)</f>
        <v>0</v>
      </c>
      <c r="AR762">
        <f>IF(AP762&gt;=V762,1,0)</f>
        <v>0</v>
      </c>
      <c r="AS762">
        <f>IF(AP762&lt;(U762-0.10),1,0)</f>
        <v>0</v>
      </c>
      <c r="AT762">
        <f>1-AJ762/100</f>
        <v>0</v>
      </c>
      <c r="AU762">
        <f>IF(AN762=1,AT762,1)</f>
        <v>0</v>
      </c>
      <c r="AV762">
        <f>IF(AM762=1,AT762,1)</f>
        <v>0</v>
      </c>
      <c r="AW762">
        <f>IF(AND(AQ762=1,ISNUMBER(AT762)),$AT762,1)</f>
        <v>0</v>
      </c>
      <c r="AX762">
        <f>IF(AND(AR762=1,ISNUMBER(AT762)),$AT762,1)</f>
        <v>0</v>
      </c>
      <c r="AY762">
        <f>IF(ISNUMBER(Y762),INDEX(AllCollegeMoney, MATCH(N762,AllCollegeNCES,0)),0)</f>
        <v>0</v>
      </c>
      <c r="AZ762">
        <f>IF(AND(AQ762=1,ISNUMBER(AT762),AY762=1),$AT762,1)</f>
        <v>0</v>
      </c>
      <c r="BA762">
        <f>IF(AND(AR762=1,ISNUMBER(AT762),AY762=1),$AT762,1)</f>
        <v>0</v>
      </c>
      <c r="BB762">
        <f>IF(ISNUMBER(Y762),INDEX(AllCollegeILPub, MATCH(N762,AllCollegeNCES,0)),0)</f>
        <v>0</v>
      </c>
      <c r="BC762">
        <f>IF(AK762=ReachLabel,AP762,0)</f>
        <v>0</v>
      </c>
      <c r="BD762">
        <f>IF(AK762=MatchLabel,AP762,0)</f>
        <v>0</v>
      </c>
      <c r="BE762">
        <f>IF(AK762=SafetyLabel,AP762,0)</f>
        <v>0</v>
      </c>
      <c r="BF762">
        <f>IF(AK762=SecureLabel,AP762,0)</f>
        <v>0</v>
      </c>
      <c r="BG762">
        <f>IF(AK762=SureThingLabel,AP762,0)</f>
        <v>0</v>
      </c>
      <c r="BH762">
        <f>MAX(BC762:BG762)</f>
        <v>0</v>
      </c>
      <c r="BI762">
        <f>MAX(BD762:BG762)</f>
        <v>0</v>
      </c>
      <c r="BJ762">
        <f>MAX(BE762:BG762)</f>
        <v>0</v>
      </c>
      <c r="BK762">
        <f>IF(AND(AK762=ReachLabel,AY762=1),AP762,0)</f>
        <v>0</v>
      </c>
      <c r="BL762">
        <f>IF(AND(AK762=MatchLabel,AY762=1),AP762,0)</f>
        <v>0</v>
      </c>
      <c r="BM762">
        <f>IF(AND(AK762=SafetyLabel,AY762=1),AP762,0)</f>
        <v>0</v>
      </c>
      <c r="BN762">
        <f>IF(AND(AK762=SecureLabel,AY762=1),AP762,0)</f>
        <v>0</v>
      </c>
      <c r="BO762">
        <f>IF(AND(AK762=SureThingLabel,AY762=1),AP762,0)</f>
        <v>0</v>
      </c>
      <c r="BP762">
        <f>MAX(BK762:BO762)</f>
        <v>0</v>
      </c>
      <c r="BQ762">
        <f>MAX(BL762:BO762)</f>
        <v>0</v>
      </c>
      <c r="BR762">
        <f>MAX(BM762:BO762)</f>
        <v>0</v>
      </c>
      <c r="BS762">
        <f>IF(ISNUMBER(Y762),INDEX(AllCollegeChicago, MATCH(N762,AllCollegeNCES,0))*AY762,0)</f>
        <v>0</v>
      </c>
      <c r="BT762">
        <f>IF(ISNUMBER(Y762),INDEX(AllCollegeMoneyCode, MATCH(N762,AllCollegeNCES,0)),"?")</f>
        <v>0</v>
      </c>
      <c r="BU762">
        <f>IF(OR(BT762="---",BT762="--",BT762="+/--",BT762="+/---"),1,0)</f>
        <v>0</v>
      </c>
      <c r="BV762">
        <f>AY762*AO762*AQ762</f>
        <v>0</v>
      </c>
    </row>
    <row r="763" spans="1:74">
      <c r="A763" t="s">
        <v>86</v>
      </c>
      <c r="B763">
        <v>30323075</v>
      </c>
      <c r="C763" t="s">
        <v>218</v>
      </c>
      <c r="D763" t="s">
        <v>219</v>
      </c>
      <c r="E763" t="s">
        <v>428</v>
      </c>
      <c r="F763" t="s">
        <v>457</v>
      </c>
      <c r="G763" t="s">
        <v>463</v>
      </c>
      <c r="H763" t="s">
        <v>431</v>
      </c>
      <c r="I763" t="s">
        <v>432</v>
      </c>
      <c r="J763" t="s">
        <v>432</v>
      </c>
      <c r="K763">
        <v>0</v>
      </c>
      <c r="L763" t="s">
        <v>428</v>
      </c>
      <c r="M763" t="s">
        <v>428</v>
      </c>
      <c r="N763">
        <v>145637</v>
      </c>
      <c r="O763">
        <f>INDEX(AllCollegeBarrons,MATCH(N763,AllCollegeNCES,0))</f>
        <v>0</v>
      </c>
      <c r="P763">
        <f>INDEX(KidGPAs,MATCH(B763,KidIDs,0))</f>
        <v>0</v>
      </c>
      <c r="Q763">
        <f>INDEX(KidACTs,MATCH(B763,KidIDs,0))</f>
        <v>0</v>
      </c>
      <c r="R763">
        <f>INDEX(Strats,MATCH(B763,KidIDs,0))</f>
        <v>0</v>
      </c>
      <c r="S763">
        <f>INDEX(KidRace,MATCH(B763,KidIDs,0))</f>
        <v>0</v>
      </c>
      <c r="T763">
        <f>IF(OR(S763="M",S763="I"),"H",S763)</f>
        <v>0</v>
      </c>
      <c r="U763">
        <f>INDEX(StudentTargets,MATCH(B763,KidIDs,0))</f>
        <v>0</v>
      </c>
      <c r="V763">
        <f>INDEX(ReachStudentTargets,MATCH(B763,KidIDs,0))</f>
        <v>0</v>
      </c>
      <c r="W763">
        <f>IF(OR(M763="Posse"),1,0)</f>
        <v>0</v>
      </c>
      <c r="X763">
        <f>IF(ISNUMBER(INDEX(AllCollegeGR, MATCH(N763,AllCollegeNCES,0))),ROUND(INDEX(AllCollegeGR, MATCH(N763,AllCollegeNCES,0))+W763*IF(INDEX(AllCollegeGR, MATCH(N763,AllCollegeNCES,0))&gt;0.7,(1-INDEX(AllCollegeGR, MATCH(N763,AllCollegeNCES,0)))/2,0.15),2),INDEX(AllCollegeGR, MATCH(N763,AllCollegeNCES,0)))</f>
        <v>0</v>
      </c>
      <c r="Y763">
        <f>IF(ISNUMBER(INDEX(AllCollegeAAHGR, MATCH(N763,AllCollegeNCES,0))),ROUND(INDEX(AllCollegeAAHGR, MATCH(N763,AllCollegeNCES,0))+W763*IF(INDEX(AllCollegeAAHGR, MATCH(N763,AllCollegeNCES,0))&gt;0.7,(1-INDEX(AllCollegeAAHGR, MATCH(N763,AllCollegeNCES,0)))/2,0.15),2),INDEX(AllCollegeAAHGR, MATCH(N763,AllCollegeNCES,0)))</f>
        <v>0</v>
      </c>
      <c r="Z763">
        <f>IF(OR(T763="H",T763="B"),INDEX(AllCollegeACT25, MATCH(N763,AllCollegeNCES,0)),INDEX(AllCollegeACT50, MATCH(N763,AllCollegeNCES,0)))</f>
        <v>0</v>
      </c>
      <c r="AA763">
        <f>INDEX(CustomWeightsGPA,MATCH(T763&amp;":"&amp;N763,CustomWeightsIndex,0))</f>
        <v>0</v>
      </c>
      <c r="AB763">
        <f>INDEX(CustomWeightsACT,MATCH(T763&amp;":"&amp;N763,CustomWeightsIndex,0))</f>
        <v>0</v>
      </c>
      <c r="AC763">
        <f>INDEX(CustomWeightsIntercept,MATCH(T763&amp;":"&amp;N763,CustomWeightsIndex,0))</f>
        <v>0</v>
      </c>
      <c r="AD763">
        <f>AA763*P763+AB763*Q763+AC763</f>
        <v>0</v>
      </c>
      <c r="AE763">
        <f>INDEX(CoefficientsGPA,MATCH(T763&amp;":"&amp;O763,CoefficientsIndex,0))</f>
        <v>0</v>
      </c>
      <c r="AF763">
        <f>INDEX(CoefficientsACT,MATCH(T763&amp;":"&amp;O763,CoefficientsIndex,0))</f>
        <v>0</v>
      </c>
      <c r="AG763">
        <f>INDEX(CoefficientsIntercept,MATCH(T763&amp;":"&amp;O763,CoefficientsIndex,0))</f>
        <v>0</v>
      </c>
      <c r="AH763">
        <f>AE763*P763+(Q763-Z763)*AF763+AG763</f>
        <v>0</v>
      </c>
      <c r="AI763">
        <f>IF(ISNUMBER(AD763),AD763,AH763)</f>
        <v>0</v>
      </c>
      <c r="AJ763">
        <f>IF(ISNUMBER(AI763),IF(ISNUMBER(AE763),IF(AND(AE763=1,AF763=1,AG763=1),100,ROUND(100*EXP(AI763)/(1+EXP(AI763)),2)),ROUND(100*EXP(AI763)/(1+EXP(AI763)),2)),IF(ISTEXT(O763),IF(LEFT(O763,1)="2",100,"N/A"),"N/A"))</f>
        <v>0</v>
      </c>
      <c r="AK763">
        <f>IF(ISNUMBER(AJ763),IF(AJ763&gt;=99,IF(OR(R763=10,R763=11),MatchLabel,SureThingLabel),IF(AJ763&gt;=95,SecureLabel,IF(AJ763&gt;=80,SafetyLabel,IF(AJ763&gt;=50,MatchLabel,IF(AJ763&gt;=20,ReachLabel,IF(AJ763&gt;=10,LongshotLabel,HailMaryLabel)))))),"Other")</f>
        <v>0</v>
      </c>
      <c r="AL763">
        <f>IF(OR(I763="accepted",I763="cond. accept",I763="summer admit"),IF(J763="yes","CHOICE!","Accepted!"),IF(I763="denied","Denied",IF(K763=1,"Waitlist",IF(L763=1,"Deferred",IF(G763="pending","Pending",IF(OR(G763="initial materials submitted",G763="mid-year submitted",G763="final submitted"),"Submitted",IF(H763="interest","Interest","?")))))))</f>
        <v>0</v>
      </c>
      <c r="AM763">
        <f>IF(OR(AK763=ReachLabel,AK763=LongshotLabel,AK763=HailMaryLabel),1,0)</f>
        <v>0</v>
      </c>
      <c r="AN763">
        <f>IF(OR(AM763=1,AK763=MatchLabel),1,0)</f>
        <v>0</v>
      </c>
      <c r="AO763">
        <f>IF(OR(AK763=MatchLabel,AK763=SafetyLabel,AK763=SecureLabel,AK763=SureThingLabel),1,0)</f>
        <v>0</v>
      </c>
      <c r="AP763">
        <f>IF(OR(T763="H",T763="B"),IF(ISNUMBER(Y763),ROUND(Y763,2),0),IF(ISNUMBER(X763),ROUND(X763,2),0))</f>
        <v>0</v>
      </c>
      <c r="AQ763">
        <f>IF(AP763&gt;=U763,1,0)</f>
        <v>0</v>
      </c>
      <c r="AR763">
        <f>IF(AP763&gt;=V763,1,0)</f>
        <v>0</v>
      </c>
      <c r="AS763">
        <f>IF(AP763&lt;(U763-0.10),1,0)</f>
        <v>0</v>
      </c>
      <c r="AT763">
        <f>1-AJ763/100</f>
        <v>0</v>
      </c>
      <c r="AU763">
        <f>IF(AN763=1,AT763,1)</f>
        <v>0</v>
      </c>
      <c r="AV763">
        <f>IF(AM763=1,AT763,1)</f>
        <v>0</v>
      </c>
      <c r="AW763">
        <f>IF(AND(AQ763=1,ISNUMBER(AT763)),$AT763,1)</f>
        <v>0</v>
      </c>
      <c r="AX763">
        <f>IF(AND(AR763=1,ISNUMBER(AT763)),$AT763,1)</f>
        <v>0</v>
      </c>
      <c r="AY763">
        <f>IF(ISNUMBER(Y763),INDEX(AllCollegeMoney, MATCH(N763,AllCollegeNCES,0)),0)</f>
        <v>0</v>
      </c>
      <c r="AZ763">
        <f>IF(AND(AQ763=1,ISNUMBER(AT763),AY763=1),$AT763,1)</f>
        <v>0</v>
      </c>
      <c r="BA763">
        <f>IF(AND(AR763=1,ISNUMBER(AT763),AY763=1),$AT763,1)</f>
        <v>0</v>
      </c>
      <c r="BB763">
        <f>IF(ISNUMBER(Y763),INDEX(AllCollegeILPub, MATCH(N763,AllCollegeNCES,0)),0)</f>
        <v>0</v>
      </c>
      <c r="BC763">
        <f>IF(AK763=ReachLabel,AP763,0)</f>
        <v>0</v>
      </c>
      <c r="BD763">
        <f>IF(AK763=MatchLabel,AP763,0)</f>
        <v>0</v>
      </c>
      <c r="BE763">
        <f>IF(AK763=SafetyLabel,AP763,0)</f>
        <v>0</v>
      </c>
      <c r="BF763">
        <f>IF(AK763=SecureLabel,AP763,0)</f>
        <v>0</v>
      </c>
      <c r="BG763">
        <f>IF(AK763=SureThingLabel,AP763,0)</f>
        <v>0</v>
      </c>
      <c r="BH763">
        <f>MAX(BC763:BG763)</f>
        <v>0</v>
      </c>
      <c r="BI763">
        <f>MAX(BD763:BG763)</f>
        <v>0</v>
      </c>
      <c r="BJ763">
        <f>MAX(BE763:BG763)</f>
        <v>0</v>
      </c>
      <c r="BK763">
        <f>IF(AND(AK763=ReachLabel,AY763=1),AP763,0)</f>
        <v>0</v>
      </c>
      <c r="BL763">
        <f>IF(AND(AK763=MatchLabel,AY763=1),AP763,0)</f>
        <v>0</v>
      </c>
      <c r="BM763">
        <f>IF(AND(AK763=SafetyLabel,AY763=1),AP763,0)</f>
        <v>0</v>
      </c>
      <c r="BN763">
        <f>IF(AND(AK763=SecureLabel,AY763=1),AP763,0)</f>
        <v>0</v>
      </c>
      <c r="BO763">
        <f>IF(AND(AK763=SureThingLabel,AY763=1),AP763,0)</f>
        <v>0</v>
      </c>
      <c r="BP763">
        <f>MAX(BK763:BO763)</f>
        <v>0</v>
      </c>
      <c r="BQ763">
        <f>MAX(BL763:BO763)</f>
        <v>0</v>
      </c>
      <c r="BR763">
        <f>MAX(BM763:BO763)</f>
        <v>0</v>
      </c>
      <c r="BS763">
        <f>IF(ISNUMBER(Y763),INDEX(AllCollegeChicago, MATCH(N763,AllCollegeNCES,0))*AY763,0)</f>
        <v>0</v>
      </c>
      <c r="BT763">
        <f>IF(ISNUMBER(Y763),INDEX(AllCollegeMoneyCode, MATCH(N763,AllCollegeNCES,0)),"?")</f>
        <v>0</v>
      </c>
      <c r="BU763">
        <f>IF(OR(BT763="---",BT763="--",BT763="+/--",BT763="+/---"),1,0)</f>
        <v>0</v>
      </c>
      <c r="BV763">
        <f>AY763*AO763*AQ763</f>
        <v>0</v>
      </c>
    </row>
    <row r="764" spans="1:74">
      <c r="A764" t="s">
        <v>86</v>
      </c>
      <c r="B764">
        <v>30323075</v>
      </c>
      <c r="C764" t="s">
        <v>218</v>
      </c>
      <c r="D764" t="s">
        <v>219</v>
      </c>
      <c r="E764" t="s">
        <v>428</v>
      </c>
      <c r="F764" t="s">
        <v>458</v>
      </c>
      <c r="G764" t="s">
        <v>463</v>
      </c>
      <c r="H764" t="s">
        <v>431</v>
      </c>
      <c r="I764" t="s">
        <v>432</v>
      </c>
      <c r="J764" t="s">
        <v>432</v>
      </c>
      <c r="K764">
        <v>0</v>
      </c>
      <c r="L764" t="s">
        <v>428</v>
      </c>
      <c r="M764" t="s">
        <v>428</v>
      </c>
      <c r="N764">
        <v>202523</v>
      </c>
      <c r="O764">
        <f>INDEX(AllCollegeBarrons,MATCH(N764,AllCollegeNCES,0))</f>
        <v>0</v>
      </c>
      <c r="P764">
        <f>INDEX(KidGPAs,MATCH(B764,KidIDs,0))</f>
        <v>0</v>
      </c>
      <c r="Q764">
        <f>INDEX(KidACTs,MATCH(B764,KidIDs,0))</f>
        <v>0</v>
      </c>
      <c r="R764">
        <f>INDEX(Strats,MATCH(B764,KidIDs,0))</f>
        <v>0</v>
      </c>
      <c r="S764">
        <f>INDEX(KidRace,MATCH(B764,KidIDs,0))</f>
        <v>0</v>
      </c>
      <c r="T764">
        <f>IF(OR(S764="M",S764="I"),"H",S764)</f>
        <v>0</v>
      </c>
      <c r="U764">
        <f>INDEX(StudentTargets,MATCH(B764,KidIDs,0))</f>
        <v>0</v>
      </c>
      <c r="V764">
        <f>INDEX(ReachStudentTargets,MATCH(B764,KidIDs,0))</f>
        <v>0</v>
      </c>
      <c r="W764">
        <f>IF(OR(M764="Posse"),1,0)</f>
        <v>0</v>
      </c>
      <c r="X764">
        <f>IF(ISNUMBER(INDEX(AllCollegeGR, MATCH(N764,AllCollegeNCES,0))),ROUND(INDEX(AllCollegeGR, MATCH(N764,AllCollegeNCES,0))+W764*IF(INDEX(AllCollegeGR, MATCH(N764,AllCollegeNCES,0))&gt;0.7,(1-INDEX(AllCollegeGR, MATCH(N764,AllCollegeNCES,0)))/2,0.15),2),INDEX(AllCollegeGR, MATCH(N764,AllCollegeNCES,0)))</f>
        <v>0</v>
      </c>
      <c r="Y764">
        <f>IF(ISNUMBER(INDEX(AllCollegeAAHGR, MATCH(N764,AllCollegeNCES,0))),ROUND(INDEX(AllCollegeAAHGR, MATCH(N764,AllCollegeNCES,0))+W764*IF(INDEX(AllCollegeAAHGR, MATCH(N764,AllCollegeNCES,0))&gt;0.7,(1-INDEX(AllCollegeAAHGR, MATCH(N764,AllCollegeNCES,0)))/2,0.15),2),INDEX(AllCollegeAAHGR, MATCH(N764,AllCollegeNCES,0)))</f>
        <v>0</v>
      </c>
      <c r="Z764">
        <f>IF(OR(T764="H",T764="B"),INDEX(AllCollegeACT25, MATCH(N764,AllCollegeNCES,0)),INDEX(AllCollegeACT50, MATCH(N764,AllCollegeNCES,0)))</f>
        <v>0</v>
      </c>
      <c r="AA764">
        <f>INDEX(CustomWeightsGPA,MATCH(T764&amp;":"&amp;N764,CustomWeightsIndex,0))</f>
        <v>0</v>
      </c>
      <c r="AB764">
        <f>INDEX(CustomWeightsACT,MATCH(T764&amp;":"&amp;N764,CustomWeightsIndex,0))</f>
        <v>0</v>
      </c>
      <c r="AC764">
        <f>INDEX(CustomWeightsIntercept,MATCH(T764&amp;":"&amp;N764,CustomWeightsIndex,0))</f>
        <v>0</v>
      </c>
      <c r="AD764">
        <f>AA764*P764+AB764*Q764+AC764</f>
        <v>0</v>
      </c>
      <c r="AE764">
        <f>INDEX(CoefficientsGPA,MATCH(T764&amp;":"&amp;O764,CoefficientsIndex,0))</f>
        <v>0</v>
      </c>
      <c r="AF764">
        <f>INDEX(CoefficientsACT,MATCH(T764&amp;":"&amp;O764,CoefficientsIndex,0))</f>
        <v>0</v>
      </c>
      <c r="AG764">
        <f>INDEX(CoefficientsIntercept,MATCH(T764&amp;":"&amp;O764,CoefficientsIndex,0))</f>
        <v>0</v>
      </c>
      <c r="AH764">
        <f>AE764*P764+(Q764-Z764)*AF764+AG764</f>
        <v>0</v>
      </c>
      <c r="AI764">
        <f>IF(ISNUMBER(AD764),AD764,AH764)</f>
        <v>0</v>
      </c>
      <c r="AJ764">
        <f>IF(ISNUMBER(AI764),IF(ISNUMBER(AE764),IF(AND(AE764=1,AF764=1,AG764=1),100,ROUND(100*EXP(AI764)/(1+EXP(AI764)),2)),ROUND(100*EXP(AI764)/(1+EXP(AI764)),2)),IF(ISTEXT(O764),IF(LEFT(O764,1)="2",100,"N/A"),"N/A"))</f>
        <v>0</v>
      </c>
      <c r="AK764">
        <f>IF(ISNUMBER(AJ764),IF(AJ764&gt;=99,IF(OR(R764=10,R764=11),MatchLabel,SureThingLabel),IF(AJ764&gt;=95,SecureLabel,IF(AJ764&gt;=80,SafetyLabel,IF(AJ764&gt;=50,MatchLabel,IF(AJ764&gt;=20,ReachLabel,IF(AJ764&gt;=10,LongshotLabel,HailMaryLabel)))))),"Other")</f>
        <v>0</v>
      </c>
      <c r="AL764">
        <f>IF(OR(I764="accepted",I764="cond. accept",I764="summer admit"),IF(J764="yes","CHOICE!","Accepted!"),IF(I764="denied","Denied",IF(K764=1,"Waitlist",IF(L764=1,"Deferred",IF(G764="pending","Pending",IF(OR(G764="initial materials submitted",G764="mid-year submitted",G764="final submitted"),"Submitted",IF(H764="interest","Interest","?")))))))</f>
        <v>0</v>
      </c>
      <c r="AM764">
        <f>IF(OR(AK764=ReachLabel,AK764=LongshotLabel,AK764=HailMaryLabel),1,0)</f>
        <v>0</v>
      </c>
      <c r="AN764">
        <f>IF(OR(AM764=1,AK764=MatchLabel),1,0)</f>
        <v>0</v>
      </c>
      <c r="AO764">
        <f>IF(OR(AK764=MatchLabel,AK764=SafetyLabel,AK764=SecureLabel,AK764=SureThingLabel),1,0)</f>
        <v>0</v>
      </c>
      <c r="AP764">
        <f>IF(OR(T764="H",T764="B"),IF(ISNUMBER(Y764),ROUND(Y764,2),0),IF(ISNUMBER(X764),ROUND(X764,2),0))</f>
        <v>0</v>
      </c>
      <c r="AQ764">
        <f>IF(AP764&gt;=U764,1,0)</f>
        <v>0</v>
      </c>
      <c r="AR764">
        <f>IF(AP764&gt;=V764,1,0)</f>
        <v>0</v>
      </c>
      <c r="AS764">
        <f>IF(AP764&lt;(U764-0.10),1,0)</f>
        <v>0</v>
      </c>
      <c r="AT764">
        <f>1-AJ764/100</f>
        <v>0</v>
      </c>
      <c r="AU764">
        <f>IF(AN764=1,AT764,1)</f>
        <v>0</v>
      </c>
      <c r="AV764">
        <f>IF(AM764=1,AT764,1)</f>
        <v>0</v>
      </c>
      <c r="AW764">
        <f>IF(AND(AQ764=1,ISNUMBER(AT764)),$AT764,1)</f>
        <v>0</v>
      </c>
      <c r="AX764">
        <f>IF(AND(AR764=1,ISNUMBER(AT764)),$AT764,1)</f>
        <v>0</v>
      </c>
      <c r="AY764">
        <f>IF(ISNUMBER(Y764),INDEX(AllCollegeMoney, MATCH(N764,AllCollegeNCES,0)),0)</f>
        <v>0</v>
      </c>
      <c r="AZ764">
        <f>IF(AND(AQ764=1,ISNUMBER(AT764),AY764=1),$AT764,1)</f>
        <v>0</v>
      </c>
      <c r="BA764">
        <f>IF(AND(AR764=1,ISNUMBER(AT764),AY764=1),$AT764,1)</f>
        <v>0</v>
      </c>
      <c r="BB764">
        <f>IF(ISNUMBER(Y764),INDEX(AllCollegeILPub, MATCH(N764,AllCollegeNCES,0)),0)</f>
        <v>0</v>
      </c>
      <c r="BC764">
        <f>IF(AK764=ReachLabel,AP764,0)</f>
        <v>0</v>
      </c>
      <c r="BD764">
        <f>IF(AK764=MatchLabel,AP764,0)</f>
        <v>0</v>
      </c>
      <c r="BE764">
        <f>IF(AK764=SafetyLabel,AP764,0)</f>
        <v>0</v>
      </c>
      <c r="BF764">
        <f>IF(AK764=SecureLabel,AP764,0)</f>
        <v>0</v>
      </c>
      <c r="BG764">
        <f>IF(AK764=SureThingLabel,AP764,0)</f>
        <v>0</v>
      </c>
      <c r="BH764">
        <f>MAX(BC764:BG764)</f>
        <v>0</v>
      </c>
      <c r="BI764">
        <f>MAX(BD764:BG764)</f>
        <v>0</v>
      </c>
      <c r="BJ764">
        <f>MAX(BE764:BG764)</f>
        <v>0</v>
      </c>
      <c r="BK764">
        <f>IF(AND(AK764=ReachLabel,AY764=1),AP764,0)</f>
        <v>0</v>
      </c>
      <c r="BL764">
        <f>IF(AND(AK764=MatchLabel,AY764=1),AP764,0)</f>
        <v>0</v>
      </c>
      <c r="BM764">
        <f>IF(AND(AK764=SafetyLabel,AY764=1),AP764,0)</f>
        <v>0</v>
      </c>
      <c r="BN764">
        <f>IF(AND(AK764=SecureLabel,AY764=1),AP764,0)</f>
        <v>0</v>
      </c>
      <c r="BO764">
        <f>IF(AND(AK764=SureThingLabel,AY764=1),AP764,0)</f>
        <v>0</v>
      </c>
      <c r="BP764">
        <f>MAX(BK764:BO764)</f>
        <v>0</v>
      </c>
      <c r="BQ764">
        <f>MAX(BL764:BO764)</f>
        <v>0</v>
      </c>
      <c r="BR764">
        <f>MAX(BM764:BO764)</f>
        <v>0</v>
      </c>
      <c r="BS764">
        <f>IF(ISNUMBER(Y764),INDEX(AllCollegeChicago, MATCH(N764,AllCollegeNCES,0))*AY764,0)</f>
        <v>0</v>
      </c>
      <c r="BT764">
        <f>IF(ISNUMBER(Y764),INDEX(AllCollegeMoneyCode, MATCH(N764,AllCollegeNCES,0)),"?")</f>
        <v>0</v>
      </c>
      <c r="BU764">
        <f>IF(OR(BT764="---",BT764="--",BT764="+/--",BT764="+/---"),1,0)</f>
        <v>0</v>
      </c>
      <c r="BV764">
        <f>AY764*AO764*AQ764</f>
        <v>0</v>
      </c>
    </row>
    <row r="765" spans="1:74">
      <c r="A765" t="s">
        <v>86</v>
      </c>
      <c r="B765">
        <v>30323075</v>
      </c>
      <c r="C765" t="s">
        <v>218</v>
      </c>
      <c r="D765" t="s">
        <v>219</v>
      </c>
      <c r="E765" t="s">
        <v>428</v>
      </c>
      <c r="F765" t="s">
        <v>459</v>
      </c>
      <c r="G765" t="s">
        <v>430</v>
      </c>
      <c r="H765" t="s">
        <v>431</v>
      </c>
      <c r="I765" t="s">
        <v>432</v>
      </c>
      <c r="J765" t="s">
        <v>432</v>
      </c>
      <c r="K765">
        <v>0</v>
      </c>
      <c r="L765" t="s">
        <v>428</v>
      </c>
      <c r="M765" t="s">
        <v>428</v>
      </c>
      <c r="N765">
        <v>146427</v>
      </c>
      <c r="O765">
        <f>INDEX(AllCollegeBarrons,MATCH(N765,AllCollegeNCES,0))</f>
        <v>0</v>
      </c>
      <c r="P765">
        <f>INDEX(KidGPAs,MATCH(B765,KidIDs,0))</f>
        <v>0</v>
      </c>
      <c r="Q765">
        <f>INDEX(KidACTs,MATCH(B765,KidIDs,0))</f>
        <v>0</v>
      </c>
      <c r="R765">
        <f>INDEX(Strats,MATCH(B765,KidIDs,0))</f>
        <v>0</v>
      </c>
      <c r="S765">
        <f>INDEX(KidRace,MATCH(B765,KidIDs,0))</f>
        <v>0</v>
      </c>
      <c r="T765">
        <f>IF(OR(S765="M",S765="I"),"H",S765)</f>
        <v>0</v>
      </c>
      <c r="U765">
        <f>INDEX(StudentTargets,MATCH(B765,KidIDs,0))</f>
        <v>0</v>
      </c>
      <c r="V765">
        <f>INDEX(ReachStudentTargets,MATCH(B765,KidIDs,0))</f>
        <v>0</v>
      </c>
      <c r="W765">
        <f>IF(OR(M765="Posse"),1,0)</f>
        <v>0</v>
      </c>
      <c r="X765">
        <f>IF(ISNUMBER(INDEX(AllCollegeGR, MATCH(N765,AllCollegeNCES,0))),ROUND(INDEX(AllCollegeGR, MATCH(N765,AllCollegeNCES,0))+W765*IF(INDEX(AllCollegeGR, MATCH(N765,AllCollegeNCES,0))&gt;0.7,(1-INDEX(AllCollegeGR, MATCH(N765,AllCollegeNCES,0)))/2,0.15),2),INDEX(AllCollegeGR, MATCH(N765,AllCollegeNCES,0)))</f>
        <v>0</v>
      </c>
      <c r="Y765">
        <f>IF(ISNUMBER(INDEX(AllCollegeAAHGR, MATCH(N765,AllCollegeNCES,0))),ROUND(INDEX(AllCollegeAAHGR, MATCH(N765,AllCollegeNCES,0))+W765*IF(INDEX(AllCollegeAAHGR, MATCH(N765,AllCollegeNCES,0))&gt;0.7,(1-INDEX(AllCollegeAAHGR, MATCH(N765,AllCollegeNCES,0)))/2,0.15),2),INDEX(AllCollegeAAHGR, MATCH(N765,AllCollegeNCES,0)))</f>
        <v>0</v>
      </c>
      <c r="Z765">
        <f>IF(OR(T765="H",T765="B"),INDEX(AllCollegeACT25, MATCH(N765,AllCollegeNCES,0)),INDEX(AllCollegeACT50, MATCH(N765,AllCollegeNCES,0)))</f>
        <v>0</v>
      </c>
      <c r="AA765">
        <f>INDEX(CustomWeightsGPA,MATCH(T765&amp;":"&amp;N765,CustomWeightsIndex,0))</f>
        <v>0</v>
      </c>
      <c r="AB765">
        <f>INDEX(CustomWeightsACT,MATCH(T765&amp;":"&amp;N765,CustomWeightsIndex,0))</f>
        <v>0</v>
      </c>
      <c r="AC765">
        <f>INDEX(CustomWeightsIntercept,MATCH(T765&amp;":"&amp;N765,CustomWeightsIndex,0))</f>
        <v>0</v>
      </c>
      <c r="AD765">
        <f>AA765*P765+AB765*Q765+AC765</f>
        <v>0</v>
      </c>
      <c r="AE765">
        <f>INDEX(CoefficientsGPA,MATCH(T765&amp;":"&amp;O765,CoefficientsIndex,0))</f>
        <v>0</v>
      </c>
      <c r="AF765">
        <f>INDEX(CoefficientsACT,MATCH(T765&amp;":"&amp;O765,CoefficientsIndex,0))</f>
        <v>0</v>
      </c>
      <c r="AG765">
        <f>INDEX(CoefficientsIntercept,MATCH(T765&amp;":"&amp;O765,CoefficientsIndex,0))</f>
        <v>0</v>
      </c>
      <c r="AH765">
        <f>AE765*P765+(Q765-Z765)*AF765+AG765</f>
        <v>0</v>
      </c>
      <c r="AI765">
        <f>IF(ISNUMBER(AD765),AD765,AH765)</f>
        <v>0</v>
      </c>
      <c r="AJ765">
        <f>IF(ISNUMBER(AI765),IF(ISNUMBER(AE765),IF(AND(AE765=1,AF765=1,AG765=1),100,ROUND(100*EXP(AI765)/(1+EXP(AI765)),2)),ROUND(100*EXP(AI765)/(1+EXP(AI765)),2)),IF(ISTEXT(O765),IF(LEFT(O765,1)="2",100,"N/A"),"N/A"))</f>
        <v>0</v>
      </c>
      <c r="AK765">
        <f>IF(ISNUMBER(AJ765),IF(AJ765&gt;=99,IF(OR(R765=10,R765=11),MatchLabel,SureThingLabel),IF(AJ765&gt;=95,SecureLabel,IF(AJ765&gt;=80,SafetyLabel,IF(AJ765&gt;=50,MatchLabel,IF(AJ765&gt;=20,ReachLabel,IF(AJ765&gt;=10,LongshotLabel,HailMaryLabel)))))),"Other")</f>
        <v>0</v>
      </c>
      <c r="AL765">
        <f>IF(OR(I765="accepted",I765="cond. accept",I765="summer admit"),IF(J765="yes","CHOICE!","Accepted!"),IF(I765="denied","Denied",IF(K765=1,"Waitlist",IF(L765=1,"Deferred",IF(G765="pending","Pending",IF(OR(G765="initial materials submitted",G765="mid-year submitted",G765="final submitted"),"Submitted",IF(H765="interest","Interest","?")))))))</f>
        <v>0</v>
      </c>
      <c r="AM765">
        <f>IF(OR(AK765=ReachLabel,AK765=LongshotLabel,AK765=HailMaryLabel),1,0)</f>
        <v>0</v>
      </c>
      <c r="AN765">
        <f>IF(OR(AM765=1,AK765=MatchLabel),1,0)</f>
        <v>0</v>
      </c>
      <c r="AO765">
        <f>IF(OR(AK765=MatchLabel,AK765=SafetyLabel,AK765=SecureLabel,AK765=SureThingLabel),1,0)</f>
        <v>0</v>
      </c>
      <c r="AP765">
        <f>IF(OR(T765="H",T765="B"),IF(ISNUMBER(Y765),ROUND(Y765,2),0),IF(ISNUMBER(X765),ROUND(X765,2),0))</f>
        <v>0</v>
      </c>
      <c r="AQ765">
        <f>IF(AP765&gt;=U765,1,0)</f>
        <v>0</v>
      </c>
      <c r="AR765">
        <f>IF(AP765&gt;=V765,1,0)</f>
        <v>0</v>
      </c>
      <c r="AS765">
        <f>IF(AP765&lt;(U765-0.10),1,0)</f>
        <v>0</v>
      </c>
      <c r="AT765">
        <f>1-AJ765/100</f>
        <v>0</v>
      </c>
      <c r="AU765">
        <f>IF(AN765=1,AT765,1)</f>
        <v>0</v>
      </c>
      <c r="AV765">
        <f>IF(AM765=1,AT765,1)</f>
        <v>0</v>
      </c>
      <c r="AW765">
        <f>IF(AND(AQ765=1,ISNUMBER(AT765)),$AT765,1)</f>
        <v>0</v>
      </c>
      <c r="AX765">
        <f>IF(AND(AR765=1,ISNUMBER(AT765)),$AT765,1)</f>
        <v>0</v>
      </c>
      <c r="AY765">
        <f>IF(ISNUMBER(Y765),INDEX(AllCollegeMoney, MATCH(N765,AllCollegeNCES,0)),0)</f>
        <v>0</v>
      </c>
      <c r="AZ765">
        <f>IF(AND(AQ765=1,ISNUMBER(AT765),AY765=1),$AT765,1)</f>
        <v>0</v>
      </c>
      <c r="BA765">
        <f>IF(AND(AR765=1,ISNUMBER(AT765),AY765=1),$AT765,1)</f>
        <v>0</v>
      </c>
      <c r="BB765">
        <f>IF(ISNUMBER(Y765),INDEX(AllCollegeILPub, MATCH(N765,AllCollegeNCES,0)),0)</f>
        <v>0</v>
      </c>
      <c r="BC765">
        <f>IF(AK765=ReachLabel,AP765,0)</f>
        <v>0</v>
      </c>
      <c r="BD765">
        <f>IF(AK765=MatchLabel,AP765,0)</f>
        <v>0</v>
      </c>
      <c r="BE765">
        <f>IF(AK765=SafetyLabel,AP765,0)</f>
        <v>0</v>
      </c>
      <c r="BF765">
        <f>IF(AK765=SecureLabel,AP765,0)</f>
        <v>0</v>
      </c>
      <c r="BG765">
        <f>IF(AK765=SureThingLabel,AP765,0)</f>
        <v>0</v>
      </c>
      <c r="BH765">
        <f>MAX(BC765:BG765)</f>
        <v>0</v>
      </c>
      <c r="BI765">
        <f>MAX(BD765:BG765)</f>
        <v>0</v>
      </c>
      <c r="BJ765">
        <f>MAX(BE765:BG765)</f>
        <v>0</v>
      </c>
      <c r="BK765">
        <f>IF(AND(AK765=ReachLabel,AY765=1),AP765,0)</f>
        <v>0</v>
      </c>
      <c r="BL765">
        <f>IF(AND(AK765=MatchLabel,AY765=1),AP765,0)</f>
        <v>0</v>
      </c>
      <c r="BM765">
        <f>IF(AND(AK765=SafetyLabel,AY765=1),AP765,0)</f>
        <v>0</v>
      </c>
      <c r="BN765">
        <f>IF(AND(AK765=SecureLabel,AY765=1),AP765,0)</f>
        <v>0</v>
      </c>
      <c r="BO765">
        <f>IF(AND(AK765=SureThingLabel,AY765=1),AP765,0)</f>
        <v>0</v>
      </c>
      <c r="BP765">
        <f>MAX(BK765:BO765)</f>
        <v>0</v>
      </c>
      <c r="BQ765">
        <f>MAX(BL765:BO765)</f>
        <v>0</v>
      </c>
      <c r="BR765">
        <f>MAX(BM765:BO765)</f>
        <v>0</v>
      </c>
      <c r="BS765">
        <f>IF(ISNUMBER(Y765),INDEX(AllCollegeChicago, MATCH(N765,AllCollegeNCES,0))*AY765,0)</f>
        <v>0</v>
      </c>
      <c r="BT765">
        <f>IF(ISNUMBER(Y765),INDEX(AllCollegeMoneyCode, MATCH(N765,AllCollegeNCES,0)),"?")</f>
        <v>0</v>
      </c>
      <c r="BU765">
        <f>IF(OR(BT765="---",BT765="--",BT765="+/--",BT765="+/---"),1,0)</f>
        <v>0</v>
      </c>
      <c r="BV765">
        <f>AY765*AO765*AQ765</f>
        <v>0</v>
      </c>
    </row>
    <row r="766" spans="1:74">
      <c r="A766" t="s">
        <v>86</v>
      </c>
      <c r="B766">
        <v>30323075</v>
      </c>
      <c r="C766" t="s">
        <v>218</v>
      </c>
      <c r="D766" t="s">
        <v>219</v>
      </c>
      <c r="E766" t="s">
        <v>428</v>
      </c>
      <c r="F766" t="s">
        <v>590</v>
      </c>
      <c r="G766" t="s">
        <v>463</v>
      </c>
      <c r="H766" t="s">
        <v>431</v>
      </c>
      <c r="I766" t="s">
        <v>432</v>
      </c>
      <c r="J766" t="s">
        <v>432</v>
      </c>
      <c r="K766">
        <v>0</v>
      </c>
      <c r="L766" t="s">
        <v>428</v>
      </c>
      <c r="M766" t="s">
        <v>428</v>
      </c>
      <c r="N766">
        <v>221351</v>
      </c>
      <c r="O766">
        <f>INDEX(AllCollegeBarrons,MATCH(N766,AllCollegeNCES,0))</f>
        <v>0</v>
      </c>
      <c r="P766">
        <f>INDEX(KidGPAs,MATCH(B766,KidIDs,0))</f>
        <v>0</v>
      </c>
      <c r="Q766">
        <f>INDEX(KidACTs,MATCH(B766,KidIDs,0))</f>
        <v>0</v>
      </c>
      <c r="R766">
        <f>INDEX(Strats,MATCH(B766,KidIDs,0))</f>
        <v>0</v>
      </c>
      <c r="S766">
        <f>INDEX(KidRace,MATCH(B766,KidIDs,0))</f>
        <v>0</v>
      </c>
      <c r="T766">
        <f>IF(OR(S766="M",S766="I"),"H",S766)</f>
        <v>0</v>
      </c>
      <c r="U766">
        <f>INDEX(StudentTargets,MATCH(B766,KidIDs,0))</f>
        <v>0</v>
      </c>
      <c r="V766">
        <f>INDEX(ReachStudentTargets,MATCH(B766,KidIDs,0))</f>
        <v>0</v>
      </c>
      <c r="W766">
        <f>IF(OR(M766="Posse"),1,0)</f>
        <v>0</v>
      </c>
      <c r="X766">
        <f>IF(ISNUMBER(INDEX(AllCollegeGR, MATCH(N766,AllCollegeNCES,0))),ROUND(INDEX(AllCollegeGR, MATCH(N766,AllCollegeNCES,0))+W766*IF(INDEX(AllCollegeGR, MATCH(N766,AllCollegeNCES,0))&gt;0.7,(1-INDEX(AllCollegeGR, MATCH(N766,AllCollegeNCES,0)))/2,0.15),2),INDEX(AllCollegeGR, MATCH(N766,AllCollegeNCES,0)))</f>
        <v>0</v>
      </c>
      <c r="Y766">
        <f>IF(ISNUMBER(INDEX(AllCollegeAAHGR, MATCH(N766,AllCollegeNCES,0))),ROUND(INDEX(AllCollegeAAHGR, MATCH(N766,AllCollegeNCES,0))+W766*IF(INDEX(AllCollegeAAHGR, MATCH(N766,AllCollegeNCES,0))&gt;0.7,(1-INDEX(AllCollegeAAHGR, MATCH(N766,AllCollegeNCES,0)))/2,0.15),2),INDEX(AllCollegeAAHGR, MATCH(N766,AllCollegeNCES,0)))</f>
        <v>0</v>
      </c>
      <c r="Z766">
        <f>IF(OR(T766="H",T766="B"),INDEX(AllCollegeACT25, MATCH(N766,AllCollegeNCES,0)),INDEX(AllCollegeACT50, MATCH(N766,AllCollegeNCES,0)))</f>
        <v>0</v>
      </c>
      <c r="AA766">
        <f>INDEX(CustomWeightsGPA,MATCH(T766&amp;":"&amp;N766,CustomWeightsIndex,0))</f>
        <v>0</v>
      </c>
      <c r="AB766">
        <f>INDEX(CustomWeightsACT,MATCH(T766&amp;":"&amp;N766,CustomWeightsIndex,0))</f>
        <v>0</v>
      </c>
      <c r="AC766">
        <f>INDEX(CustomWeightsIntercept,MATCH(T766&amp;":"&amp;N766,CustomWeightsIndex,0))</f>
        <v>0</v>
      </c>
      <c r="AD766">
        <f>AA766*P766+AB766*Q766+AC766</f>
        <v>0</v>
      </c>
      <c r="AE766">
        <f>INDEX(CoefficientsGPA,MATCH(T766&amp;":"&amp;O766,CoefficientsIndex,0))</f>
        <v>0</v>
      </c>
      <c r="AF766">
        <f>INDEX(CoefficientsACT,MATCH(T766&amp;":"&amp;O766,CoefficientsIndex,0))</f>
        <v>0</v>
      </c>
      <c r="AG766">
        <f>INDEX(CoefficientsIntercept,MATCH(T766&amp;":"&amp;O766,CoefficientsIndex,0))</f>
        <v>0</v>
      </c>
      <c r="AH766">
        <f>AE766*P766+(Q766-Z766)*AF766+AG766</f>
        <v>0</v>
      </c>
      <c r="AI766">
        <f>IF(ISNUMBER(AD766),AD766,AH766)</f>
        <v>0</v>
      </c>
      <c r="AJ766">
        <f>IF(ISNUMBER(AI766),IF(ISNUMBER(AE766),IF(AND(AE766=1,AF766=1,AG766=1),100,ROUND(100*EXP(AI766)/(1+EXP(AI766)),2)),ROUND(100*EXP(AI766)/(1+EXP(AI766)),2)),IF(ISTEXT(O766),IF(LEFT(O766,1)="2",100,"N/A"),"N/A"))</f>
        <v>0</v>
      </c>
      <c r="AK766">
        <f>IF(ISNUMBER(AJ766),IF(AJ766&gt;=99,IF(OR(R766=10,R766=11),MatchLabel,SureThingLabel),IF(AJ766&gt;=95,SecureLabel,IF(AJ766&gt;=80,SafetyLabel,IF(AJ766&gt;=50,MatchLabel,IF(AJ766&gt;=20,ReachLabel,IF(AJ766&gt;=10,LongshotLabel,HailMaryLabel)))))),"Other")</f>
        <v>0</v>
      </c>
      <c r="AL766">
        <f>IF(OR(I766="accepted",I766="cond. accept",I766="summer admit"),IF(J766="yes","CHOICE!","Accepted!"),IF(I766="denied","Denied",IF(K766=1,"Waitlist",IF(L766=1,"Deferred",IF(G766="pending","Pending",IF(OR(G766="initial materials submitted",G766="mid-year submitted",G766="final submitted"),"Submitted",IF(H766="interest","Interest","?")))))))</f>
        <v>0</v>
      </c>
      <c r="AM766">
        <f>IF(OR(AK766=ReachLabel,AK766=LongshotLabel,AK766=HailMaryLabel),1,0)</f>
        <v>0</v>
      </c>
      <c r="AN766">
        <f>IF(OR(AM766=1,AK766=MatchLabel),1,0)</f>
        <v>0</v>
      </c>
      <c r="AO766">
        <f>IF(OR(AK766=MatchLabel,AK766=SafetyLabel,AK766=SecureLabel,AK766=SureThingLabel),1,0)</f>
        <v>0</v>
      </c>
      <c r="AP766">
        <f>IF(OR(T766="H",T766="B"),IF(ISNUMBER(Y766),ROUND(Y766,2),0),IF(ISNUMBER(X766),ROUND(X766,2),0))</f>
        <v>0</v>
      </c>
      <c r="AQ766">
        <f>IF(AP766&gt;=U766,1,0)</f>
        <v>0</v>
      </c>
      <c r="AR766">
        <f>IF(AP766&gt;=V766,1,0)</f>
        <v>0</v>
      </c>
      <c r="AS766">
        <f>IF(AP766&lt;(U766-0.10),1,0)</f>
        <v>0</v>
      </c>
      <c r="AT766">
        <f>1-AJ766/100</f>
        <v>0</v>
      </c>
      <c r="AU766">
        <f>IF(AN766=1,AT766,1)</f>
        <v>0</v>
      </c>
      <c r="AV766">
        <f>IF(AM766=1,AT766,1)</f>
        <v>0</v>
      </c>
      <c r="AW766">
        <f>IF(AND(AQ766=1,ISNUMBER(AT766)),$AT766,1)</f>
        <v>0</v>
      </c>
      <c r="AX766">
        <f>IF(AND(AR766=1,ISNUMBER(AT766)),$AT766,1)</f>
        <v>0</v>
      </c>
      <c r="AY766">
        <f>IF(ISNUMBER(Y766),INDEX(AllCollegeMoney, MATCH(N766,AllCollegeNCES,0)),0)</f>
        <v>0</v>
      </c>
      <c r="AZ766">
        <f>IF(AND(AQ766=1,ISNUMBER(AT766),AY766=1),$AT766,1)</f>
        <v>0</v>
      </c>
      <c r="BA766">
        <f>IF(AND(AR766=1,ISNUMBER(AT766),AY766=1),$AT766,1)</f>
        <v>0</v>
      </c>
      <c r="BB766">
        <f>IF(ISNUMBER(Y766),INDEX(AllCollegeILPub, MATCH(N766,AllCollegeNCES,0)),0)</f>
        <v>0</v>
      </c>
      <c r="BC766">
        <f>IF(AK766=ReachLabel,AP766,0)</f>
        <v>0</v>
      </c>
      <c r="BD766">
        <f>IF(AK766=MatchLabel,AP766,0)</f>
        <v>0</v>
      </c>
      <c r="BE766">
        <f>IF(AK766=SafetyLabel,AP766,0)</f>
        <v>0</v>
      </c>
      <c r="BF766">
        <f>IF(AK766=SecureLabel,AP766,0)</f>
        <v>0</v>
      </c>
      <c r="BG766">
        <f>IF(AK766=SureThingLabel,AP766,0)</f>
        <v>0</v>
      </c>
      <c r="BH766">
        <f>MAX(BC766:BG766)</f>
        <v>0</v>
      </c>
      <c r="BI766">
        <f>MAX(BD766:BG766)</f>
        <v>0</v>
      </c>
      <c r="BJ766">
        <f>MAX(BE766:BG766)</f>
        <v>0</v>
      </c>
      <c r="BK766">
        <f>IF(AND(AK766=ReachLabel,AY766=1),AP766,0)</f>
        <v>0</v>
      </c>
      <c r="BL766">
        <f>IF(AND(AK766=MatchLabel,AY766=1),AP766,0)</f>
        <v>0</v>
      </c>
      <c r="BM766">
        <f>IF(AND(AK766=SafetyLabel,AY766=1),AP766,0)</f>
        <v>0</v>
      </c>
      <c r="BN766">
        <f>IF(AND(AK766=SecureLabel,AY766=1),AP766,0)</f>
        <v>0</v>
      </c>
      <c r="BO766">
        <f>IF(AND(AK766=SureThingLabel,AY766=1),AP766,0)</f>
        <v>0</v>
      </c>
      <c r="BP766">
        <f>MAX(BK766:BO766)</f>
        <v>0</v>
      </c>
      <c r="BQ766">
        <f>MAX(BL766:BO766)</f>
        <v>0</v>
      </c>
      <c r="BR766">
        <f>MAX(BM766:BO766)</f>
        <v>0</v>
      </c>
      <c r="BS766">
        <f>IF(ISNUMBER(Y766),INDEX(AllCollegeChicago, MATCH(N766,AllCollegeNCES,0))*AY766,0)</f>
        <v>0</v>
      </c>
      <c r="BT766">
        <f>IF(ISNUMBER(Y766),INDEX(AllCollegeMoneyCode, MATCH(N766,AllCollegeNCES,0)),"?")</f>
        <v>0</v>
      </c>
      <c r="BU766">
        <f>IF(OR(BT766="---",BT766="--",BT766="+/--",BT766="+/---"),1,0)</f>
        <v>0</v>
      </c>
      <c r="BV766">
        <f>AY766*AO766*AQ766</f>
        <v>0</v>
      </c>
    </row>
    <row r="767" spans="1:74">
      <c r="A767" t="s">
        <v>86</v>
      </c>
      <c r="B767">
        <v>30323075</v>
      </c>
      <c r="C767" t="s">
        <v>218</v>
      </c>
      <c r="D767" t="s">
        <v>219</v>
      </c>
      <c r="E767" t="s">
        <v>428</v>
      </c>
      <c r="F767" t="s">
        <v>471</v>
      </c>
      <c r="G767" t="s">
        <v>463</v>
      </c>
      <c r="H767" t="s">
        <v>431</v>
      </c>
      <c r="I767" t="s">
        <v>432</v>
      </c>
      <c r="J767" t="s">
        <v>432</v>
      </c>
      <c r="K767">
        <v>0</v>
      </c>
      <c r="L767" t="s">
        <v>428</v>
      </c>
      <c r="M767" t="s">
        <v>428</v>
      </c>
      <c r="N767">
        <v>170301</v>
      </c>
      <c r="O767">
        <f>INDEX(AllCollegeBarrons,MATCH(N767,AllCollegeNCES,0))</f>
        <v>0</v>
      </c>
      <c r="P767">
        <f>INDEX(KidGPAs,MATCH(B767,KidIDs,0))</f>
        <v>0</v>
      </c>
      <c r="Q767">
        <f>INDEX(KidACTs,MATCH(B767,KidIDs,0))</f>
        <v>0</v>
      </c>
      <c r="R767">
        <f>INDEX(Strats,MATCH(B767,KidIDs,0))</f>
        <v>0</v>
      </c>
      <c r="S767">
        <f>INDEX(KidRace,MATCH(B767,KidIDs,0))</f>
        <v>0</v>
      </c>
      <c r="T767">
        <f>IF(OR(S767="M",S767="I"),"H",S767)</f>
        <v>0</v>
      </c>
      <c r="U767">
        <f>INDEX(StudentTargets,MATCH(B767,KidIDs,0))</f>
        <v>0</v>
      </c>
      <c r="V767">
        <f>INDEX(ReachStudentTargets,MATCH(B767,KidIDs,0))</f>
        <v>0</v>
      </c>
      <c r="W767">
        <f>IF(OR(M767="Posse"),1,0)</f>
        <v>0</v>
      </c>
      <c r="X767">
        <f>IF(ISNUMBER(INDEX(AllCollegeGR, MATCH(N767,AllCollegeNCES,0))),ROUND(INDEX(AllCollegeGR, MATCH(N767,AllCollegeNCES,0))+W767*IF(INDEX(AllCollegeGR, MATCH(N767,AllCollegeNCES,0))&gt;0.7,(1-INDEX(AllCollegeGR, MATCH(N767,AllCollegeNCES,0)))/2,0.15),2),INDEX(AllCollegeGR, MATCH(N767,AllCollegeNCES,0)))</f>
        <v>0</v>
      </c>
      <c r="Y767">
        <f>IF(ISNUMBER(INDEX(AllCollegeAAHGR, MATCH(N767,AllCollegeNCES,0))),ROUND(INDEX(AllCollegeAAHGR, MATCH(N767,AllCollegeNCES,0))+W767*IF(INDEX(AllCollegeAAHGR, MATCH(N767,AllCollegeNCES,0))&gt;0.7,(1-INDEX(AllCollegeAAHGR, MATCH(N767,AllCollegeNCES,0)))/2,0.15),2),INDEX(AllCollegeAAHGR, MATCH(N767,AllCollegeNCES,0)))</f>
        <v>0</v>
      </c>
      <c r="Z767">
        <f>IF(OR(T767="H",T767="B"),INDEX(AllCollegeACT25, MATCH(N767,AllCollegeNCES,0)),INDEX(AllCollegeACT50, MATCH(N767,AllCollegeNCES,0)))</f>
        <v>0</v>
      </c>
      <c r="AA767">
        <f>INDEX(CustomWeightsGPA,MATCH(T767&amp;":"&amp;N767,CustomWeightsIndex,0))</f>
        <v>0</v>
      </c>
      <c r="AB767">
        <f>INDEX(CustomWeightsACT,MATCH(T767&amp;":"&amp;N767,CustomWeightsIndex,0))</f>
        <v>0</v>
      </c>
      <c r="AC767">
        <f>INDEX(CustomWeightsIntercept,MATCH(T767&amp;":"&amp;N767,CustomWeightsIndex,0))</f>
        <v>0</v>
      </c>
      <c r="AD767">
        <f>AA767*P767+AB767*Q767+AC767</f>
        <v>0</v>
      </c>
      <c r="AE767">
        <f>INDEX(CoefficientsGPA,MATCH(T767&amp;":"&amp;O767,CoefficientsIndex,0))</f>
        <v>0</v>
      </c>
      <c r="AF767">
        <f>INDEX(CoefficientsACT,MATCH(T767&amp;":"&amp;O767,CoefficientsIndex,0))</f>
        <v>0</v>
      </c>
      <c r="AG767">
        <f>INDEX(CoefficientsIntercept,MATCH(T767&amp;":"&amp;O767,CoefficientsIndex,0))</f>
        <v>0</v>
      </c>
      <c r="AH767">
        <f>AE767*P767+(Q767-Z767)*AF767+AG767</f>
        <v>0</v>
      </c>
      <c r="AI767">
        <f>IF(ISNUMBER(AD767),AD767,AH767)</f>
        <v>0</v>
      </c>
      <c r="AJ767">
        <f>IF(ISNUMBER(AI767),IF(ISNUMBER(AE767),IF(AND(AE767=1,AF767=1,AG767=1),100,ROUND(100*EXP(AI767)/(1+EXP(AI767)),2)),ROUND(100*EXP(AI767)/(1+EXP(AI767)),2)),IF(ISTEXT(O767),IF(LEFT(O767,1)="2",100,"N/A"),"N/A"))</f>
        <v>0</v>
      </c>
      <c r="AK767">
        <f>IF(ISNUMBER(AJ767),IF(AJ767&gt;=99,IF(OR(R767=10,R767=11),MatchLabel,SureThingLabel),IF(AJ767&gt;=95,SecureLabel,IF(AJ767&gt;=80,SafetyLabel,IF(AJ767&gt;=50,MatchLabel,IF(AJ767&gt;=20,ReachLabel,IF(AJ767&gt;=10,LongshotLabel,HailMaryLabel)))))),"Other")</f>
        <v>0</v>
      </c>
      <c r="AL767">
        <f>IF(OR(I767="accepted",I767="cond. accept",I767="summer admit"),IF(J767="yes","CHOICE!","Accepted!"),IF(I767="denied","Denied",IF(K767=1,"Waitlist",IF(L767=1,"Deferred",IF(G767="pending","Pending",IF(OR(G767="initial materials submitted",G767="mid-year submitted",G767="final submitted"),"Submitted",IF(H767="interest","Interest","?")))))))</f>
        <v>0</v>
      </c>
      <c r="AM767">
        <f>IF(OR(AK767=ReachLabel,AK767=LongshotLabel,AK767=HailMaryLabel),1,0)</f>
        <v>0</v>
      </c>
      <c r="AN767">
        <f>IF(OR(AM767=1,AK767=MatchLabel),1,0)</f>
        <v>0</v>
      </c>
      <c r="AO767">
        <f>IF(OR(AK767=MatchLabel,AK767=SafetyLabel,AK767=SecureLabel,AK767=SureThingLabel),1,0)</f>
        <v>0</v>
      </c>
      <c r="AP767">
        <f>IF(OR(T767="H",T767="B"),IF(ISNUMBER(Y767),ROUND(Y767,2),0),IF(ISNUMBER(X767),ROUND(X767,2),0))</f>
        <v>0</v>
      </c>
      <c r="AQ767">
        <f>IF(AP767&gt;=U767,1,0)</f>
        <v>0</v>
      </c>
      <c r="AR767">
        <f>IF(AP767&gt;=V767,1,0)</f>
        <v>0</v>
      </c>
      <c r="AS767">
        <f>IF(AP767&lt;(U767-0.10),1,0)</f>
        <v>0</v>
      </c>
      <c r="AT767">
        <f>1-AJ767/100</f>
        <v>0</v>
      </c>
      <c r="AU767">
        <f>IF(AN767=1,AT767,1)</f>
        <v>0</v>
      </c>
      <c r="AV767">
        <f>IF(AM767=1,AT767,1)</f>
        <v>0</v>
      </c>
      <c r="AW767">
        <f>IF(AND(AQ767=1,ISNUMBER(AT767)),$AT767,1)</f>
        <v>0</v>
      </c>
      <c r="AX767">
        <f>IF(AND(AR767=1,ISNUMBER(AT767)),$AT767,1)</f>
        <v>0</v>
      </c>
      <c r="AY767">
        <f>IF(ISNUMBER(Y767),INDEX(AllCollegeMoney, MATCH(N767,AllCollegeNCES,0)),0)</f>
        <v>0</v>
      </c>
      <c r="AZ767">
        <f>IF(AND(AQ767=1,ISNUMBER(AT767),AY767=1),$AT767,1)</f>
        <v>0</v>
      </c>
      <c r="BA767">
        <f>IF(AND(AR767=1,ISNUMBER(AT767),AY767=1),$AT767,1)</f>
        <v>0</v>
      </c>
      <c r="BB767">
        <f>IF(ISNUMBER(Y767),INDEX(AllCollegeILPub, MATCH(N767,AllCollegeNCES,0)),0)</f>
        <v>0</v>
      </c>
      <c r="BC767">
        <f>IF(AK767=ReachLabel,AP767,0)</f>
        <v>0</v>
      </c>
      <c r="BD767">
        <f>IF(AK767=MatchLabel,AP767,0)</f>
        <v>0</v>
      </c>
      <c r="BE767">
        <f>IF(AK767=SafetyLabel,AP767,0)</f>
        <v>0</v>
      </c>
      <c r="BF767">
        <f>IF(AK767=SecureLabel,AP767,0)</f>
        <v>0</v>
      </c>
      <c r="BG767">
        <f>IF(AK767=SureThingLabel,AP767,0)</f>
        <v>0</v>
      </c>
      <c r="BH767">
        <f>MAX(BC767:BG767)</f>
        <v>0</v>
      </c>
      <c r="BI767">
        <f>MAX(BD767:BG767)</f>
        <v>0</v>
      </c>
      <c r="BJ767">
        <f>MAX(BE767:BG767)</f>
        <v>0</v>
      </c>
      <c r="BK767">
        <f>IF(AND(AK767=ReachLabel,AY767=1),AP767,0)</f>
        <v>0</v>
      </c>
      <c r="BL767">
        <f>IF(AND(AK767=MatchLabel,AY767=1),AP767,0)</f>
        <v>0</v>
      </c>
      <c r="BM767">
        <f>IF(AND(AK767=SafetyLabel,AY767=1),AP767,0)</f>
        <v>0</v>
      </c>
      <c r="BN767">
        <f>IF(AND(AK767=SecureLabel,AY767=1),AP767,0)</f>
        <v>0</v>
      </c>
      <c r="BO767">
        <f>IF(AND(AK767=SureThingLabel,AY767=1),AP767,0)</f>
        <v>0</v>
      </c>
      <c r="BP767">
        <f>MAX(BK767:BO767)</f>
        <v>0</v>
      </c>
      <c r="BQ767">
        <f>MAX(BL767:BO767)</f>
        <v>0</v>
      </c>
      <c r="BR767">
        <f>MAX(BM767:BO767)</f>
        <v>0</v>
      </c>
      <c r="BS767">
        <f>IF(ISNUMBER(Y767),INDEX(AllCollegeChicago, MATCH(N767,AllCollegeNCES,0))*AY767,0)</f>
        <v>0</v>
      </c>
      <c r="BT767">
        <f>IF(ISNUMBER(Y767),INDEX(AllCollegeMoneyCode, MATCH(N767,AllCollegeNCES,0)),"?")</f>
        <v>0</v>
      </c>
      <c r="BU767">
        <f>IF(OR(BT767="---",BT767="--",BT767="+/--",BT767="+/---"),1,0)</f>
        <v>0</v>
      </c>
      <c r="BV767">
        <f>AY767*AO767*AQ767</f>
        <v>0</v>
      </c>
    </row>
    <row r="768" spans="1:74">
      <c r="A768" t="s">
        <v>86</v>
      </c>
      <c r="B768">
        <v>30323075</v>
      </c>
      <c r="C768" t="s">
        <v>218</v>
      </c>
      <c r="D768" t="s">
        <v>219</v>
      </c>
      <c r="E768" t="s">
        <v>428</v>
      </c>
      <c r="F768" t="s">
        <v>484</v>
      </c>
      <c r="G768" t="s">
        <v>463</v>
      </c>
      <c r="H768" t="s">
        <v>431</v>
      </c>
      <c r="I768" t="s">
        <v>432</v>
      </c>
      <c r="J768" t="s">
        <v>432</v>
      </c>
      <c r="K768">
        <v>0</v>
      </c>
      <c r="L768" t="s">
        <v>428</v>
      </c>
      <c r="M768" t="s">
        <v>428</v>
      </c>
      <c r="N768">
        <v>144740</v>
      </c>
      <c r="O768">
        <f>INDEX(AllCollegeBarrons,MATCH(N768,AllCollegeNCES,0))</f>
        <v>0</v>
      </c>
      <c r="P768">
        <f>INDEX(KidGPAs,MATCH(B768,KidIDs,0))</f>
        <v>0</v>
      </c>
      <c r="Q768">
        <f>INDEX(KidACTs,MATCH(B768,KidIDs,0))</f>
        <v>0</v>
      </c>
      <c r="R768">
        <f>INDEX(Strats,MATCH(B768,KidIDs,0))</f>
        <v>0</v>
      </c>
      <c r="S768">
        <f>INDEX(KidRace,MATCH(B768,KidIDs,0))</f>
        <v>0</v>
      </c>
      <c r="T768">
        <f>IF(OR(S768="M",S768="I"),"H",S768)</f>
        <v>0</v>
      </c>
      <c r="U768">
        <f>INDEX(StudentTargets,MATCH(B768,KidIDs,0))</f>
        <v>0</v>
      </c>
      <c r="V768">
        <f>INDEX(ReachStudentTargets,MATCH(B768,KidIDs,0))</f>
        <v>0</v>
      </c>
      <c r="W768">
        <f>IF(OR(M768="Posse"),1,0)</f>
        <v>0</v>
      </c>
      <c r="X768">
        <f>IF(ISNUMBER(INDEX(AllCollegeGR, MATCH(N768,AllCollegeNCES,0))),ROUND(INDEX(AllCollegeGR, MATCH(N768,AllCollegeNCES,0))+W768*IF(INDEX(AllCollegeGR, MATCH(N768,AllCollegeNCES,0))&gt;0.7,(1-INDEX(AllCollegeGR, MATCH(N768,AllCollegeNCES,0)))/2,0.15),2),INDEX(AllCollegeGR, MATCH(N768,AllCollegeNCES,0)))</f>
        <v>0</v>
      </c>
      <c r="Y768">
        <f>IF(ISNUMBER(INDEX(AllCollegeAAHGR, MATCH(N768,AllCollegeNCES,0))),ROUND(INDEX(AllCollegeAAHGR, MATCH(N768,AllCollegeNCES,0))+W768*IF(INDEX(AllCollegeAAHGR, MATCH(N768,AllCollegeNCES,0))&gt;0.7,(1-INDEX(AllCollegeAAHGR, MATCH(N768,AllCollegeNCES,0)))/2,0.15),2),INDEX(AllCollegeAAHGR, MATCH(N768,AllCollegeNCES,0)))</f>
        <v>0</v>
      </c>
      <c r="Z768">
        <f>IF(OR(T768="H",T768="B"),INDEX(AllCollegeACT25, MATCH(N768,AllCollegeNCES,0)),INDEX(AllCollegeACT50, MATCH(N768,AllCollegeNCES,0)))</f>
        <v>0</v>
      </c>
      <c r="AA768">
        <f>INDEX(CustomWeightsGPA,MATCH(T768&amp;":"&amp;N768,CustomWeightsIndex,0))</f>
        <v>0</v>
      </c>
      <c r="AB768">
        <f>INDEX(CustomWeightsACT,MATCH(T768&amp;":"&amp;N768,CustomWeightsIndex,0))</f>
        <v>0</v>
      </c>
      <c r="AC768">
        <f>INDEX(CustomWeightsIntercept,MATCH(T768&amp;":"&amp;N768,CustomWeightsIndex,0))</f>
        <v>0</v>
      </c>
      <c r="AD768">
        <f>AA768*P768+AB768*Q768+AC768</f>
        <v>0</v>
      </c>
      <c r="AE768">
        <f>INDEX(CoefficientsGPA,MATCH(T768&amp;":"&amp;O768,CoefficientsIndex,0))</f>
        <v>0</v>
      </c>
      <c r="AF768">
        <f>INDEX(CoefficientsACT,MATCH(T768&amp;":"&amp;O768,CoefficientsIndex,0))</f>
        <v>0</v>
      </c>
      <c r="AG768">
        <f>INDEX(CoefficientsIntercept,MATCH(T768&amp;":"&amp;O768,CoefficientsIndex,0))</f>
        <v>0</v>
      </c>
      <c r="AH768">
        <f>AE768*P768+(Q768-Z768)*AF768+AG768</f>
        <v>0</v>
      </c>
      <c r="AI768">
        <f>IF(ISNUMBER(AD768),AD768,AH768)</f>
        <v>0</v>
      </c>
      <c r="AJ768">
        <f>IF(ISNUMBER(AI768),IF(ISNUMBER(AE768),IF(AND(AE768=1,AF768=1,AG768=1),100,ROUND(100*EXP(AI768)/(1+EXP(AI768)),2)),ROUND(100*EXP(AI768)/(1+EXP(AI768)),2)),IF(ISTEXT(O768),IF(LEFT(O768,1)="2",100,"N/A"),"N/A"))</f>
        <v>0</v>
      </c>
      <c r="AK768">
        <f>IF(ISNUMBER(AJ768),IF(AJ768&gt;=99,IF(OR(R768=10,R768=11),MatchLabel,SureThingLabel),IF(AJ768&gt;=95,SecureLabel,IF(AJ768&gt;=80,SafetyLabel,IF(AJ768&gt;=50,MatchLabel,IF(AJ768&gt;=20,ReachLabel,IF(AJ768&gt;=10,LongshotLabel,HailMaryLabel)))))),"Other")</f>
        <v>0</v>
      </c>
      <c r="AL768">
        <f>IF(OR(I768="accepted",I768="cond. accept",I768="summer admit"),IF(J768="yes","CHOICE!","Accepted!"),IF(I768="denied","Denied",IF(K768=1,"Waitlist",IF(L768=1,"Deferred",IF(G768="pending","Pending",IF(OR(G768="initial materials submitted",G768="mid-year submitted",G768="final submitted"),"Submitted",IF(H768="interest","Interest","?")))))))</f>
        <v>0</v>
      </c>
      <c r="AM768">
        <f>IF(OR(AK768=ReachLabel,AK768=LongshotLabel,AK768=HailMaryLabel),1,0)</f>
        <v>0</v>
      </c>
      <c r="AN768">
        <f>IF(OR(AM768=1,AK768=MatchLabel),1,0)</f>
        <v>0</v>
      </c>
      <c r="AO768">
        <f>IF(OR(AK768=MatchLabel,AK768=SafetyLabel,AK768=SecureLabel,AK768=SureThingLabel),1,0)</f>
        <v>0</v>
      </c>
      <c r="AP768">
        <f>IF(OR(T768="H",T768="B"),IF(ISNUMBER(Y768),ROUND(Y768,2),0),IF(ISNUMBER(X768),ROUND(X768,2),0))</f>
        <v>0</v>
      </c>
      <c r="AQ768">
        <f>IF(AP768&gt;=U768,1,0)</f>
        <v>0</v>
      </c>
      <c r="AR768">
        <f>IF(AP768&gt;=V768,1,0)</f>
        <v>0</v>
      </c>
      <c r="AS768">
        <f>IF(AP768&lt;(U768-0.10),1,0)</f>
        <v>0</v>
      </c>
      <c r="AT768">
        <f>1-AJ768/100</f>
        <v>0</v>
      </c>
      <c r="AU768">
        <f>IF(AN768=1,AT768,1)</f>
        <v>0</v>
      </c>
      <c r="AV768">
        <f>IF(AM768=1,AT768,1)</f>
        <v>0</v>
      </c>
      <c r="AW768">
        <f>IF(AND(AQ768=1,ISNUMBER(AT768)),$AT768,1)</f>
        <v>0</v>
      </c>
      <c r="AX768">
        <f>IF(AND(AR768=1,ISNUMBER(AT768)),$AT768,1)</f>
        <v>0</v>
      </c>
      <c r="AY768">
        <f>IF(ISNUMBER(Y768),INDEX(AllCollegeMoney, MATCH(N768,AllCollegeNCES,0)),0)</f>
        <v>0</v>
      </c>
      <c r="AZ768">
        <f>IF(AND(AQ768=1,ISNUMBER(AT768),AY768=1),$AT768,1)</f>
        <v>0</v>
      </c>
      <c r="BA768">
        <f>IF(AND(AR768=1,ISNUMBER(AT768),AY768=1),$AT768,1)</f>
        <v>0</v>
      </c>
      <c r="BB768">
        <f>IF(ISNUMBER(Y768),INDEX(AllCollegeILPub, MATCH(N768,AllCollegeNCES,0)),0)</f>
        <v>0</v>
      </c>
      <c r="BC768">
        <f>IF(AK768=ReachLabel,AP768,0)</f>
        <v>0</v>
      </c>
      <c r="BD768">
        <f>IF(AK768=MatchLabel,AP768,0)</f>
        <v>0</v>
      </c>
      <c r="BE768">
        <f>IF(AK768=SafetyLabel,AP768,0)</f>
        <v>0</v>
      </c>
      <c r="BF768">
        <f>IF(AK768=SecureLabel,AP768,0)</f>
        <v>0</v>
      </c>
      <c r="BG768">
        <f>IF(AK768=SureThingLabel,AP768,0)</f>
        <v>0</v>
      </c>
      <c r="BH768">
        <f>MAX(BC768:BG768)</f>
        <v>0</v>
      </c>
      <c r="BI768">
        <f>MAX(BD768:BG768)</f>
        <v>0</v>
      </c>
      <c r="BJ768">
        <f>MAX(BE768:BG768)</f>
        <v>0</v>
      </c>
      <c r="BK768">
        <f>IF(AND(AK768=ReachLabel,AY768=1),AP768,0)</f>
        <v>0</v>
      </c>
      <c r="BL768">
        <f>IF(AND(AK768=MatchLabel,AY768=1),AP768,0)</f>
        <v>0</v>
      </c>
      <c r="BM768">
        <f>IF(AND(AK768=SafetyLabel,AY768=1),AP768,0)</f>
        <v>0</v>
      </c>
      <c r="BN768">
        <f>IF(AND(AK768=SecureLabel,AY768=1),AP768,0)</f>
        <v>0</v>
      </c>
      <c r="BO768">
        <f>IF(AND(AK768=SureThingLabel,AY768=1),AP768,0)</f>
        <v>0</v>
      </c>
      <c r="BP768">
        <f>MAX(BK768:BO768)</f>
        <v>0</v>
      </c>
      <c r="BQ768">
        <f>MAX(BL768:BO768)</f>
        <v>0</v>
      </c>
      <c r="BR768">
        <f>MAX(BM768:BO768)</f>
        <v>0</v>
      </c>
      <c r="BS768">
        <f>IF(ISNUMBER(Y768),INDEX(AllCollegeChicago, MATCH(N768,AllCollegeNCES,0))*AY768,0)</f>
        <v>0</v>
      </c>
      <c r="BT768">
        <f>IF(ISNUMBER(Y768),INDEX(AllCollegeMoneyCode, MATCH(N768,AllCollegeNCES,0)),"?")</f>
        <v>0</v>
      </c>
      <c r="BU768">
        <f>IF(OR(BT768="---",BT768="--",BT768="+/--",BT768="+/---"),1,0)</f>
        <v>0</v>
      </c>
      <c r="BV768">
        <f>AY768*AO768*AQ768</f>
        <v>0</v>
      </c>
    </row>
    <row r="769" spans="1:74">
      <c r="A769" t="s">
        <v>86</v>
      </c>
      <c r="B769">
        <v>30323075</v>
      </c>
      <c r="C769" t="s">
        <v>218</v>
      </c>
      <c r="D769" t="s">
        <v>219</v>
      </c>
      <c r="E769" t="s">
        <v>428</v>
      </c>
      <c r="F769" t="s">
        <v>447</v>
      </c>
      <c r="G769" t="s">
        <v>463</v>
      </c>
      <c r="H769" t="s">
        <v>431</v>
      </c>
      <c r="I769" t="s">
        <v>432</v>
      </c>
      <c r="J769" t="s">
        <v>432</v>
      </c>
      <c r="K769">
        <v>0</v>
      </c>
      <c r="L769" t="s">
        <v>428</v>
      </c>
      <c r="M769" t="s">
        <v>428</v>
      </c>
      <c r="N769">
        <v>145600</v>
      </c>
      <c r="O769">
        <f>INDEX(AllCollegeBarrons,MATCH(N769,AllCollegeNCES,0))</f>
        <v>0</v>
      </c>
      <c r="P769">
        <f>INDEX(KidGPAs,MATCH(B769,KidIDs,0))</f>
        <v>0</v>
      </c>
      <c r="Q769">
        <f>INDEX(KidACTs,MATCH(B769,KidIDs,0))</f>
        <v>0</v>
      </c>
      <c r="R769">
        <f>INDEX(Strats,MATCH(B769,KidIDs,0))</f>
        <v>0</v>
      </c>
      <c r="S769">
        <f>INDEX(KidRace,MATCH(B769,KidIDs,0))</f>
        <v>0</v>
      </c>
      <c r="T769">
        <f>IF(OR(S769="M",S769="I"),"H",S769)</f>
        <v>0</v>
      </c>
      <c r="U769">
        <f>INDEX(StudentTargets,MATCH(B769,KidIDs,0))</f>
        <v>0</v>
      </c>
      <c r="V769">
        <f>INDEX(ReachStudentTargets,MATCH(B769,KidIDs,0))</f>
        <v>0</v>
      </c>
      <c r="W769">
        <f>IF(OR(M769="Posse"),1,0)</f>
        <v>0</v>
      </c>
      <c r="X769">
        <f>IF(ISNUMBER(INDEX(AllCollegeGR, MATCH(N769,AllCollegeNCES,0))),ROUND(INDEX(AllCollegeGR, MATCH(N769,AllCollegeNCES,0))+W769*IF(INDEX(AllCollegeGR, MATCH(N769,AllCollegeNCES,0))&gt;0.7,(1-INDEX(AllCollegeGR, MATCH(N769,AllCollegeNCES,0)))/2,0.15),2),INDEX(AllCollegeGR, MATCH(N769,AllCollegeNCES,0)))</f>
        <v>0</v>
      </c>
      <c r="Y769">
        <f>IF(ISNUMBER(INDEX(AllCollegeAAHGR, MATCH(N769,AllCollegeNCES,0))),ROUND(INDEX(AllCollegeAAHGR, MATCH(N769,AllCollegeNCES,0))+W769*IF(INDEX(AllCollegeAAHGR, MATCH(N769,AllCollegeNCES,0))&gt;0.7,(1-INDEX(AllCollegeAAHGR, MATCH(N769,AllCollegeNCES,0)))/2,0.15),2),INDEX(AllCollegeAAHGR, MATCH(N769,AllCollegeNCES,0)))</f>
        <v>0</v>
      </c>
      <c r="Z769">
        <f>IF(OR(T769="H",T769="B"),INDEX(AllCollegeACT25, MATCH(N769,AllCollegeNCES,0)),INDEX(AllCollegeACT50, MATCH(N769,AllCollegeNCES,0)))</f>
        <v>0</v>
      </c>
      <c r="AA769">
        <f>INDEX(CustomWeightsGPA,MATCH(T769&amp;":"&amp;N769,CustomWeightsIndex,0))</f>
        <v>0</v>
      </c>
      <c r="AB769">
        <f>INDEX(CustomWeightsACT,MATCH(T769&amp;":"&amp;N769,CustomWeightsIndex,0))</f>
        <v>0</v>
      </c>
      <c r="AC769">
        <f>INDEX(CustomWeightsIntercept,MATCH(T769&amp;":"&amp;N769,CustomWeightsIndex,0))</f>
        <v>0</v>
      </c>
      <c r="AD769">
        <f>AA769*P769+AB769*Q769+AC769</f>
        <v>0</v>
      </c>
      <c r="AE769">
        <f>INDEX(CoefficientsGPA,MATCH(T769&amp;":"&amp;O769,CoefficientsIndex,0))</f>
        <v>0</v>
      </c>
      <c r="AF769">
        <f>INDEX(CoefficientsACT,MATCH(T769&amp;":"&amp;O769,CoefficientsIndex,0))</f>
        <v>0</v>
      </c>
      <c r="AG769">
        <f>INDEX(CoefficientsIntercept,MATCH(T769&amp;":"&amp;O769,CoefficientsIndex,0))</f>
        <v>0</v>
      </c>
      <c r="AH769">
        <f>AE769*P769+(Q769-Z769)*AF769+AG769</f>
        <v>0</v>
      </c>
      <c r="AI769">
        <f>IF(ISNUMBER(AD769),AD769,AH769)</f>
        <v>0</v>
      </c>
      <c r="AJ769">
        <f>IF(ISNUMBER(AI769),IF(ISNUMBER(AE769),IF(AND(AE769=1,AF769=1,AG769=1),100,ROUND(100*EXP(AI769)/(1+EXP(AI769)),2)),ROUND(100*EXP(AI769)/(1+EXP(AI769)),2)),IF(ISTEXT(O769),IF(LEFT(O769,1)="2",100,"N/A"),"N/A"))</f>
        <v>0</v>
      </c>
      <c r="AK769">
        <f>IF(ISNUMBER(AJ769),IF(AJ769&gt;=99,IF(OR(R769=10,R769=11),MatchLabel,SureThingLabel),IF(AJ769&gt;=95,SecureLabel,IF(AJ769&gt;=80,SafetyLabel,IF(AJ769&gt;=50,MatchLabel,IF(AJ769&gt;=20,ReachLabel,IF(AJ769&gt;=10,LongshotLabel,HailMaryLabel)))))),"Other")</f>
        <v>0</v>
      </c>
      <c r="AL769">
        <f>IF(OR(I769="accepted",I769="cond. accept",I769="summer admit"),IF(J769="yes","CHOICE!","Accepted!"),IF(I769="denied","Denied",IF(K769=1,"Waitlist",IF(L769=1,"Deferred",IF(G769="pending","Pending",IF(OR(G769="initial materials submitted",G769="mid-year submitted",G769="final submitted"),"Submitted",IF(H769="interest","Interest","?")))))))</f>
        <v>0</v>
      </c>
      <c r="AM769">
        <f>IF(OR(AK769=ReachLabel,AK769=LongshotLabel,AK769=HailMaryLabel),1,0)</f>
        <v>0</v>
      </c>
      <c r="AN769">
        <f>IF(OR(AM769=1,AK769=MatchLabel),1,0)</f>
        <v>0</v>
      </c>
      <c r="AO769">
        <f>IF(OR(AK769=MatchLabel,AK769=SafetyLabel,AK769=SecureLabel,AK769=SureThingLabel),1,0)</f>
        <v>0</v>
      </c>
      <c r="AP769">
        <f>IF(OR(T769="H",T769="B"),IF(ISNUMBER(Y769),ROUND(Y769,2),0),IF(ISNUMBER(X769),ROUND(X769,2),0))</f>
        <v>0</v>
      </c>
      <c r="AQ769">
        <f>IF(AP769&gt;=U769,1,0)</f>
        <v>0</v>
      </c>
      <c r="AR769">
        <f>IF(AP769&gt;=V769,1,0)</f>
        <v>0</v>
      </c>
      <c r="AS769">
        <f>IF(AP769&lt;(U769-0.10),1,0)</f>
        <v>0</v>
      </c>
      <c r="AT769">
        <f>1-AJ769/100</f>
        <v>0</v>
      </c>
      <c r="AU769">
        <f>IF(AN769=1,AT769,1)</f>
        <v>0</v>
      </c>
      <c r="AV769">
        <f>IF(AM769=1,AT769,1)</f>
        <v>0</v>
      </c>
      <c r="AW769">
        <f>IF(AND(AQ769=1,ISNUMBER(AT769)),$AT769,1)</f>
        <v>0</v>
      </c>
      <c r="AX769">
        <f>IF(AND(AR769=1,ISNUMBER(AT769)),$AT769,1)</f>
        <v>0</v>
      </c>
      <c r="AY769">
        <f>IF(ISNUMBER(Y769),INDEX(AllCollegeMoney, MATCH(N769,AllCollegeNCES,0)),0)</f>
        <v>0</v>
      </c>
      <c r="AZ769">
        <f>IF(AND(AQ769=1,ISNUMBER(AT769),AY769=1),$AT769,1)</f>
        <v>0</v>
      </c>
      <c r="BA769">
        <f>IF(AND(AR769=1,ISNUMBER(AT769),AY769=1),$AT769,1)</f>
        <v>0</v>
      </c>
      <c r="BB769">
        <f>IF(ISNUMBER(Y769),INDEX(AllCollegeILPub, MATCH(N769,AllCollegeNCES,0)),0)</f>
        <v>0</v>
      </c>
      <c r="BC769">
        <f>IF(AK769=ReachLabel,AP769,0)</f>
        <v>0</v>
      </c>
      <c r="BD769">
        <f>IF(AK769=MatchLabel,AP769,0)</f>
        <v>0</v>
      </c>
      <c r="BE769">
        <f>IF(AK769=SafetyLabel,AP769,0)</f>
        <v>0</v>
      </c>
      <c r="BF769">
        <f>IF(AK769=SecureLabel,AP769,0)</f>
        <v>0</v>
      </c>
      <c r="BG769">
        <f>IF(AK769=SureThingLabel,AP769,0)</f>
        <v>0</v>
      </c>
      <c r="BH769">
        <f>MAX(BC769:BG769)</f>
        <v>0</v>
      </c>
      <c r="BI769">
        <f>MAX(BD769:BG769)</f>
        <v>0</v>
      </c>
      <c r="BJ769">
        <f>MAX(BE769:BG769)</f>
        <v>0</v>
      </c>
      <c r="BK769">
        <f>IF(AND(AK769=ReachLabel,AY769=1),AP769,0)</f>
        <v>0</v>
      </c>
      <c r="BL769">
        <f>IF(AND(AK769=MatchLabel,AY769=1),AP769,0)</f>
        <v>0</v>
      </c>
      <c r="BM769">
        <f>IF(AND(AK769=SafetyLabel,AY769=1),AP769,0)</f>
        <v>0</v>
      </c>
      <c r="BN769">
        <f>IF(AND(AK769=SecureLabel,AY769=1),AP769,0)</f>
        <v>0</v>
      </c>
      <c r="BO769">
        <f>IF(AND(AK769=SureThingLabel,AY769=1),AP769,0)</f>
        <v>0</v>
      </c>
      <c r="BP769">
        <f>MAX(BK769:BO769)</f>
        <v>0</v>
      </c>
      <c r="BQ769">
        <f>MAX(BL769:BO769)</f>
        <v>0</v>
      </c>
      <c r="BR769">
        <f>MAX(BM769:BO769)</f>
        <v>0</v>
      </c>
      <c r="BS769">
        <f>IF(ISNUMBER(Y769),INDEX(AllCollegeChicago, MATCH(N769,AllCollegeNCES,0))*AY769,0)</f>
        <v>0</v>
      </c>
      <c r="BT769">
        <f>IF(ISNUMBER(Y769),INDEX(AllCollegeMoneyCode, MATCH(N769,AllCollegeNCES,0)),"?")</f>
        <v>0</v>
      </c>
      <c r="BU769">
        <f>IF(OR(BT769="---",BT769="--",BT769="+/--",BT769="+/---"),1,0)</f>
        <v>0</v>
      </c>
      <c r="BV769">
        <f>AY769*AO769*AQ769</f>
        <v>0</v>
      </c>
    </row>
    <row r="770" spans="1:74">
      <c r="A770" t="s">
        <v>86</v>
      </c>
      <c r="B770">
        <v>30323076</v>
      </c>
      <c r="C770" t="s">
        <v>167</v>
      </c>
      <c r="D770" t="s">
        <v>168</v>
      </c>
      <c r="E770" t="s">
        <v>428</v>
      </c>
      <c r="F770" t="s">
        <v>466</v>
      </c>
      <c r="G770" t="s">
        <v>430</v>
      </c>
      <c r="H770" t="s">
        <v>431</v>
      </c>
      <c r="I770" t="s">
        <v>432</v>
      </c>
      <c r="J770" t="s">
        <v>432</v>
      </c>
      <c r="K770">
        <v>0</v>
      </c>
      <c r="L770" t="s">
        <v>428</v>
      </c>
      <c r="M770" t="s">
        <v>428</v>
      </c>
      <c r="N770">
        <v>213385</v>
      </c>
      <c r="O770">
        <f>INDEX(AllCollegeBarrons,MATCH(N770,AllCollegeNCES,0))</f>
        <v>0</v>
      </c>
      <c r="P770">
        <f>INDEX(KidGPAs,MATCH(B770,KidIDs,0))</f>
        <v>0</v>
      </c>
      <c r="Q770">
        <f>INDEX(KidACTs,MATCH(B770,KidIDs,0))</f>
        <v>0</v>
      </c>
      <c r="R770">
        <f>INDEX(Strats,MATCH(B770,KidIDs,0))</f>
        <v>0</v>
      </c>
      <c r="S770">
        <f>INDEX(KidRace,MATCH(B770,KidIDs,0))</f>
        <v>0</v>
      </c>
      <c r="T770">
        <f>IF(OR(S770="M",S770="I"),"H",S770)</f>
        <v>0</v>
      </c>
      <c r="U770">
        <f>INDEX(StudentTargets,MATCH(B770,KidIDs,0))</f>
        <v>0</v>
      </c>
      <c r="V770">
        <f>INDEX(ReachStudentTargets,MATCH(B770,KidIDs,0))</f>
        <v>0</v>
      </c>
      <c r="W770">
        <f>IF(OR(M770="Posse"),1,0)</f>
        <v>0</v>
      </c>
      <c r="X770">
        <f>IF(ISNUMBER(INDEX(AllCollegeGR, MATCH(N770,AllCollegeNCES,0))),ROUND(INDEX(AllCollegeGR, MATCH(N770,AllCollegeNCES,0))+W770*IF(INDEX(AllCollegeGR, MATCH(N770,AllCollegeNCES,0))&gt;0.7,(1-INDEX(AllCollegeGR, MATCH(N770,AllCollegeNCES,0)))/2,0.15),2),INDEX(AllCollegeGR, MATCH(N770,AllCollegeNCES,0)))</f>
        <v>0</v>
      </c>
      <c r="Y770">
        <f>IF(ISNUMBER(INDEX(AllCollegeAAHGR, MATCH(N770,AllCollegeNCES,0))),ROUND(INDEX(AllCollegeAAHGR, MATCH(N770,AllCollegeNCES,0))+W770*IF(INDEX(AllCollegeAAHGR, MATCH(N770,AllCollegeNCES,0))&gt;0.7,(1-INDEX(AllCollegeAAHGR, MATCH(N770,AllCollegeNCES,0)))/2,0.15),2),INDEX(AllCollegeAAHGR, MATCH(N770,AllCollegeNCES,0)))</f>
        <v>0</v>
      </c>
      <c r="Z770">
        <f>IF(OR(T770="H",T770="B"),INDEX(AllCollegeACT25, MATCH(N770,AllCollegeNCES,0)),INDEX(AllCollegeACT50, MATCH(N770,AllCollegeNCES,0)))</f>
        <v>0</v>
      </c>
      <c r="AA770">
        <f>INDEX(CustomWeightsGPA,MATCH(T770&amp;":"&amp;N770,CustomWeightsIndex,0))</f>
        <v>0</v>
      </c>
      <c r="AB770">
        <f>INDEX(CustomWeightsACT,MATCH(T770&amp;":"&amp;N770,CustomWeightsIndex,0))</f>
        <v>0</v>
      </c>
      <c r="AC770">
        <f>INDEX(CustomWeightsIntercept,MATCH(T770&amp;":"&amp;N770,CustomWeightsIndex,0))</f>
        <v>0</v>
      </c>
      <c r="AD770">
        <f>AA770*P770+AB770*Q770+AC770</f>
        <v>0</v>
      </c>
      <c r="AE770">
        <f>INDEX(CoefficientsGPA,MATCH(T770&amp;":"&amp;O770,CoefficientsIndex,0))</f>
        <v>0</v>
      </c>
      <c r="AF770">
        <f>INDEX(CoefficientsACT,MATCH(T770&amp;":"&amp;O770,CoefficientsIndex,0))</f>
        <v>0</v>
      </c>
      <c r="AG770">
        <f>INDEX(CoefficientsIntercept,MATCH(T770&amp;":"&amp;O770,CoefficientsIndex,0))</f>
        <v>0</v>
      </c>
      <c r="AH770">
        <f>AE770*P770+(Q770-Z770)*AF770+AG770</f>
        <v>0</v>
      </c>
      <c r="AI770">
        <f>IF(ISNUMBER(AD770),AD770,AH770)</f>
        <v>0</v>
      </c>
      <c r="AJ770">
        <f>IF(ISNUMBER(AI770),IF(ISNUMBER(AE770),IF(AND(AE770=1,AF770=1,AG770=1),100,ROUND(100*EXP(AI770)/(1+EXP(AI770)),2)),ROUND(100*EXP(AI770)/(1+EXP(AI770)),2)),IF(ISTEXT(O770),IF(LEFT(O770,1)="2",100,"N/A"),"N/A"))</f>
        <v>0</v>
      </c>
      <c r="AK770">
        <f>IF(ISNUMBER(AJ770),IF(AJ770&gt;=99,IF(OR(R770=10,R770=11),MatchLabel,SureThingLabel),IF(AJ770&gt;=95,SecureLabel,IF(AJ770&gt;=80,SafetyLabel,IF(AJ770&gt;=50,MatchLabel,IF(AJ770&gt;=20,ReachLabel,IF(AJ770&gt;=10,LongshotLabel,HailMaryLabel)))))),"Other")</f>
        <v>0</v>
      </c>
      <c r="AL770">
        <f>IF(OR(I770="accepted",I770="cond. accept",I770="summer admit"),IF(J770="yes","CHOICE!","Accepted!"),IF(I770="denied","Denied",IF(K770=1,"Waitlist",IF(L770=1,"Deferred",IF(G770="pending","Pending",IF(OR(G770="initial materials submitted",G770="mid-year submitted",G770="final submitted"),"Submitted",IF(H770="interest","Interest","?")))))))</f>
        <v>0</v>
      </c>
      <c r="AM770">
        <f>IF(OR(AK770=ReachLabel,AK770=LongshotLabel,AK770=HailMaryLabel),1,0)</f>
        <v>0</v>
      </c>
      <c r="AN770">
        <f>IF(OR(AM770=1,AK770=MatchLabel),1,0)</f>
        <v>0</v>
      </c>
      <c r="AO770">
        <f>IF(OR(AK770=MatchLabel,AK770=SafetyLabel,AK770=SecureLabel,AK770=SureThingLabel),1,0)</f>
        <v>0</v>
      </c>
      <c r="AP770">
        <f>IF(OR(T770="H",T770="B"),IF(ISNUMBER(Y770),ROUND(Y770,2),0),IF(ISNUMBER(X770),ROUND(X770,2),0))</f>
        <v>0</v>
      </c>
      <c r="AQ770">
        <f>IF(AP770&gt;=U770,1,0)</f>
        <v>0</v>
      </c>
      <c r="AR770">
        <f>IF(AP770&gt;=V770,1,0)</f>
        <v>0</v>
      </c>
      <c r="AS770">
        <f>IF(AP770&lt;(U770-0.10),1,0)</f>
        <v>0</v>
      </c>
      <c r="AT770">
        <f>1-AJ770/100</f>
        <v>0</v>
      </c>
      <c r="AU770">
        <f>IF(AN770=1,AT770,1)</f>
        <v>0</v>
      </c>
      <c r="AV770">
        <f>IF(AM770=1,AT770,1)</f>
        <v>0</v>
      </c>
      <c r="AW770">
        <f>IF(AND(AQ770=1,ISNUMBER(AT770)),$AT770,1)</f>
        <v>0</v>
      </c>
      <c r="AX770">
        <f>IF(AND(AR770=1,ISNUMBER(AT770)),$AT770,1)</f>
        <v>0</v>
      </c>
      <c r="AY770">
        <f>IF(ISNUMBER(Y770),INDEX(AllCollegeMoney, MATCH(N770,AllCollegeNCES,0)),0)</f>
        <v>0</v>
      </c>
      <c r="AZ770">
        <f>IF(AND(AQ770=1,ISNUMBER(AT770),AY770=1),$AT770,1)</f>
        <v>0</v>
      </c>
      <c r="BA770">
        <f>IF(AND(AR770=1,ISNUMBER(AT770),AY770=1),$AT770,1)</f>
        <v>0</v>
      </c>
      <c r="BB770">
        <f>IF(ISNUMBER(Y770),INDEX(AllCollegeILPub, MATCH(N770,AllCollegeNCES,0)),0)</f>
        <v>0</v>
      </c>
      <c r="BC770">
        <f>IF(AK770=ReachLabel,AP770,0)</f>
        <v>0</v>
      </c>
      <c r="BD770">
        <f>IF(AK770=MatchLabel,AP770,0)</f>
        <v>0</v>
      </c>
      <c r="BE770">
        <f>IF(AK770=SafetyLabel,AP770,0)</f>
        <v>0</v>
      </c>
      <c r="BF770">
        <f>IF(AK770=SecureLabel,AP770,0)</f>
        <v>0</v>
      </c>
      <c r="BG770">
        <f>IF(AK770=SureThingLabel,AP770,0)</f>
        <v>0</v>
      </c>
      <c r="BH770">
        <f>MAX(BC770:BG770)</f>
        <v>0</v>
      </c>
      <c r="BI770">
        <f>MAX(BD770:BG770)</f>
        <v>0</v>
      </c>
      <c r="BJ770">
        <f>MAX(BE770:BG770)</f>
        <v>0</v>
      </c>
      <c r="BK770">
        <f>IF(AND(AK770=ReachLabel,AY770=1),AP770,0)</f>
        <v>0</v>
      </c>
      <c r="BL770">
        <f>IF(AND(AK770=MatchLabel,AY770=1),AP770,0)</f>
        <v>0</v>
      </c>
      <c r="BM770">
        <f>IF(AND(AK770=SafetyLabel,AY770=1),AP770,0)</f>
        <v>0</v>
      </c>
      <c r="BN770">
        <f>IF(AND(AK770=SecureLabel,AY770=1),AP770,0)</f>
        <v>0</v>
      </c>
      <c r="BO770">
        <f>IF(AND(AK770=SureThingLabel,AY770=1),AP770,0)</f>
        <v>0</v>
      </c>
      <c r="BP770">
        <f>MAX(BK770:BO770)</f>
        <v>0</v>
      </c>
      <c r="BQ770">
        <f>MAX(BL770:BO770)</f>
        <v>0</v>
      </c>
      <c r="BR770">
        <f>MAX(BM770:BO770)</f>
        <v>0</v>
      </c>
      <c r="BS770">
        <f>IF(ISNUMBER(Y770),INDEX(AllCollegeChicago, MATCH(N770,AllCollegeNCES,0))*AY770,0)</f>
        <v>0</v>
      </c>
      <c r="BT770">
        <f>IF(ISNUMBER(Y770),INDEX(AllCollegeMoneyCode, MATCH(N770,AllCollegeNCES,0)),"?")</f>
        <v>0</v>
      </c>
      <c r="BU770">
        <f>IF(OR(BT770="---",BT770="--",BT770="+/--",BT770="+/---"),1,0)</f>
        <v>0</v>
      </c>
      <c r="BV770">
        <f>AY770*AO770*AQ770</f>
        <v>0</v>
      </c>
    </row>
    <row r="771" spans="1:74">
      <c r="A771" t="s">
        <v>86</v>
      </c>
      <c r="B771">
        <v>30323076</v>
      </c>
      <c r="C771" t="s">
        <v>167</v>
      </c>
      <c r="D771" t="s">
        <v>168</v>
      </c>
      <c r="E771" t="s">
        <v>428</v>
      </c>
      <c r="F771" t="s">
        <v>467</v>
      </c>
      <c r="G771" t="s">
        <v>463</v>
      </c>
      <c r="H771" t="s">
        <v>431</v>
      </c>
      <c r="I771" t="s">
        <v>432</v>
      </c>
      <c r="J771" t="s">
        <v>432</v>
      </c>
      <c r="K771">
        <v>0</v>
      </c>
      <c r="L771" t="s">
        <v>428</v>
      </c>
      <c r="M771" t="s">
        <v>428</v>
      </c>
      <c r="N771">
        <v>170976</v>
      </c>
      <c r="O771">
        <f>INDEX(AllCollegeBarrons,MATCH(N771,AllCollegeNCES,0))</f>
        <v>0</v>
      </c>
      <c r="P771">
        <f>INDEX(KidGPAs,MATCH(B771,KidIDs,0))</f>
        <v>0</v>
      </c>
      <c r="Q771">
        <f>INDEX(KidACTs,MATCH(B771,KidIDs,0))</f>
        <v>0</v>
      </c>
      <c r="R771">
        <f>INDEX(Strats,MATCH(B771,KidIDs,0))</f>
        <v>0</v>
      </c>
      <c r="S771">
        <f>INDEX(KidRace,MATCH(B771,KidIDs,0))</f>
        <v>0</v>
      </c>
      <c r="T771">
        <f>IF(OR(S771="M",S771="I"),"H",S771)</f>
        <v>0</v>
      </c>
      <c r="U771">
        <f>INDEX(StudentTargets,MATCH(B771,KidIDs,0))</f>
        <v>0</v>
      </c>
      <c r="V771">
        <f>INDEX(ReachStudentTargets,MATCH(B771,KidIDs,0))</f>
        <v>0</v>
      </c>
      <c r="W771">
        <f>IF(OR(M771="Posse"),1,0)</f>
        <v>0</v>
      </c>
      <c r="X771">
        <f>IF(ISNUMBER(INDEX(AllCollegeGR, MATCH(N771,AllCollegeNCES,0))),ROUND(INDEX(AllCollegeGR, MATCH(N771,AllCollegeNCES,0))+W771*IF(INDEX(AllCollegeGR, MATCH(N771,AllCollegeNCES,0))&gt;0.7,(1-INDEX(AllCollegeGR, MATCH(N771,AllCollegeNCES,0)))/2,0.15),2),INDEX(AllCollegeGR, MATCH(N771,AllCollegeNCES,0)))</f>
        <v>0</v>
      </c>
      <c r="Y771">
        <f>IF(ISNUMBER(INDEX(AllCollegeAAHGR, MATCH(N771,AllCollegeNCES,0))),ROUND(INDEX(AllCollegeAAHGR, MATCH(N771,AllCollegeNCES,0))+W771*IF(INDEX(AllCollegeAAHGR, MATCH(N771,AllCollegeNCES,0))&gt;0.7,(1-INDEX(AllCollegeAAHGR, MATCH(N771,AllCollegeNCES,0)))/2,0.15),2),INDEX(AllCollegeAAHGR, MATCH(N771,AllCollegeNCES,0)))</f>
        <v>0</v>
      </c>
      <c r="Z771">
        <f>IF(OR(T771="H",T771="B"),INDEX(AllCollegeACT25, MATCH(N771,AllCollegeNCES,0)),INDEX(AllCollegeACT50, MATCH(N771,AllCollegeNCES,0)))</f>
        <v>0</v>
      </c>
      <c r="AA771">
        <f>INDEX(CustomWeightsGPA,MATCH(T771&amp;":"&amp;N771,CustomWeightsIndex,0))</f>
        <v>0</v>
      </c>
      <c r="AB771">
        <f>INDEX(CustomWeightsACT,MATCH(T771&amp;":"&amp;N771,CustomWeightsIndex,0))</f>
        <v>0</v>
      </c>
      <c r="AC771">
        <f>INDEX(CustomWeightsIntercept,MATCH(T771&amp;":"&amp;N771,CustomWeightsIndex,0))</f>
        <v>0</v>
      </c>
      <c r="AD771">
        <f>AA771*P771+AB771*Q771+AC771</f>
        <v>0</v>
      </c>
      <c r="AE771">
        <f>INDEX(CoefficientsGPA,MATCH(T771&amp;":"&amp;O771,CoefficientsIndex,0))</f>
        <v>0</v>
      </c>
      <c r="AF771">
        <f>INDEX(CoefficientsACT,MATCH(T771&amp;":"&amp;O771,CoefficientsIndex,0))</f>
        <v>0</v>
      </c>
      <c r="AG771">
        <f>INDEX(CoefficientsIntercept,MATCH(T771&amp;":"&amp;O771,CoefficientsIndex,0))</f>
        <v>0</v>
      </c>
      <c r="AH771">
        <f>AE771*P771+(Q771-Z771)*AF771+AG771</f>
        <v>0</v>
      </c>
      <c r="AI771">
        <f>IF(ISNUMBER(AD771),AD771,AH771)</f>
        <v>0</v>
      </c>
      <c r="AJ771">
        <f>IF(ISNUMBER(AI771),IF(ISNUMBER(AE771),IF(AND(AE771=1,AF771=1,AG771=1),100,ROUND(100*EXP(AI771)/(1+EXP(AI771)),2)),ROUND(100*EXP(AI771)/(1+EXP(AI771)),2)),IF(ISTEXT(O771),IF(LEFT(O771,1)="2",100,"N/A"),"N/A"))</f>
        <v>0</v>
      </c>
      <c r="AK771">
        <f>IF(ISNUMBER(AJ771),IF(AJ771&gt;=99,IF(OR(R771=10,R771=11),MatchLabel,SureThingLabel),IF(AJ771&gt;=95,SecureLabel,IF(AJ771&gt;=80,SafetyLabel,IF(AJ771&gt;=50,MatchLabel,IF(AJ771&gt;=20,ReachLabel,IF(AJ771&gt;=10,LongshotLabel,HailMaryLabel)))))),"Other")</f>
        <v>0</v>
      </c>
      <c r="AL771">
        <f>IF(OR(I771="accepted",I771="cond. accept",I771="summer admit"),IF(J771="yes","CHOICE!","Accepted!"),IF(I771="denied","Denied",IF(K771=1,"Waitlist",IF(L771=1,"Deferred",IF(G771="pending","Pending",IF(OR(G771="initial materials submitted",G771="mid-year submitted",G771="final submitted"),"Submitted",IF(H771="interest","Interest","?")))))))</f>
        <v>0</v>
      </c>
      <c r="AM771">
        <f>IF(OR(AK771=ReachLabel,AK771=LongshotLabel,AK771=HailMaryLabel),1,0)</f>
        <v>0</v>
      </c>
      <c r="AN771">
        <f>IF(OR(AM771=1,AK771=MatchLabel),1,0)</f>
        <v>0</v>
      </c>
      <c r="AO771">
        <f>IF(OR(AK771=MatchLabel,AK771=SafetyLabel,AK771=SecureLabel,AK771=SureThingLabel),1,0)</f>
        <v>0</v>
      </c>
      <c r="AP771">
        <f>IF(OR(T771="H",T771="B"),IF(ISNUMBER(Y771),ROUND(Y771,2),0),IF(ISNUMBER(X771),ROUND(X771,2),0))</f>
        <v>0</v>
      </c>
      <c r="AQ771">
        <f>IF(AP771&gt;=U771,1,0)</f>
        <v>0</v>
      </c>
      <c r="AR771">
        <f>IF(AP771&gt;=V771,1,0)</f>
        <v>0</v>
      </c>
      <c r="AS771">
        <f>IF(AP771&lt;(U771-0.10),1,0)</f>
        <v>0</v>
      </c>
      <c r="AT771">
        <f>1-AJ771/100</f>
        <v>0</v>
      </c>
      <c r="AU771">
        <f>IF(AN771=1,AT771,1)</f>
        <v>0</v>
      </c>
      <c r="AV771">
        <f>IF(AM771=1,AT771,1)</f>
        <v>0</v>
      </c>
      <c r="AW771">
        <f>IF(AND(AQ771=1,ISNUMBER(AT771)),$AT771,1)</f>
        <v>0</v>
      </c>
      <c r="AX771">
        <f>IF(AND(AR771=1,ISNUMBER(AT771)),$AT771,1)</f>
        <v>0</v>
      </c>
      <c r="AY771">
        <f>IF(ISNUMBER(Y771),INDEX(AllCollegeMoney, MATCH(N771,AllCollegeNCES,0)),0)</f>
        <v>0</v>
      </c>
      <c r="AZ771">
        <f>IF(AND(AQ771=1,ISNUMBER(AT771),AY771=1),$AT771,1)</f>
        <v>0</v>
      </c>
      <c r="BA771">
        <f>IF(AND(AR771=1,ISNUMBER(AT771),AY771=1),$AT771,1)</f>
        <v>0</v>
      </c>
      <c r="BB771">
        <f>IF(ISNUMBER(Y771),INDEX(AllCollegeILPub, MATCH(N771,AllCollegeNCES,0)),0)</f>
        <v>0</v>
      </c>
      <c r="BC771">
        <f>IF(AK771=ReachLabel,AP771,0)</f>
        <v>0</v>
      </c>
      <c r="BD771">
        <f>IF(AK771=MatchLabel,AP771,0)</f>
        <v>0</v>
      </c>
      <c r="BE771">
        <f>IF(AK771=SafetyLabel,AP771,0)</f>
        <v>0</v>
      </c>
      <c r="BF771">
        <f>IF(AK771=SecureLabel,AP771,0)</f>
        <v>0</v>
      </c>
      <c r="BG771">
        <f>IF(AK771=SureThingLabel,AP771,0)</f>
        <v>0</v>
      </c>
      <c r="BH771">
        <f>MAX(BC771:BG771)</f>
        <v>0</v>
      </c>
      <c r="BI771">
        <f>MAX(BD771:BG771)</f>
        <v>0</v>
      </c>
      <c r="BJ771">
        <f>MAX(BE771:BG771)</f>
        <v>0</v>
      </c>
      <c r="BK771">
        <f>IF(AND(AK771=ReachLabel,AY771=1),AP771,0)</f>
        <v>0</v>
      </c>
      <c r="BL771">
        <f>IF(AND(AK771=MatchLabel,AY771=1),AP771,0)</f>
        <v>0</v>
      </c>
      <c r="BM771">
        <f>IF(AND(AK771=SafetyLabel,AY771=1),AP771,0)</f>
        <v>0</v>
      </c>
      <c r="BN771">
        <f>IF(AND(AK771=SecureLabel,AY771=1),AP771,0)</f>
        <v>0</v>
      </c>
      <c r="BO771">
        <f>IF(AND(AK771=SureThingLabel,AY771=1),AP771,0)</f>
        <v>0</v>
      </c>
      <c r="BP771">
        <f>MAX(BK771:BO771)</f>
        <v>0</v>
      </c>
      <c r="BQ771">
        <f>MAX(BL771:BO771)</f>
        <v>0</v>
      </c>
      <c r="BR771">
        <f>MAX(BM771:BO771)</f>
        <v>0</v>
      </c>
      <c r="BS771">
        <f>IF(ISNUMBER(Y771),INDEX(AllCollegeChicago, MATCH(N771,AllCollegeNCES,0))*AY771,0)</f>
        <v>0</v>
      </c>
      <c r="BT771">
        <f>IF(ISNUMBER(Y771),INDEX(AllCollegeMoneyCode, MATCH(N771,AllCollegeNCES,0)),"?")</f>
        <v>0</v>
      </c>
      <c r="BU771">
        <f>IF(OR(BT771="---",BT771="--",BT771="+/--",BT771="+/---"),1,0)</f>
        <v>0</v>
      </c>
      <c r="BV771">
        <f>AY771*AO771*AQ771</f>
        <v>0</v>
      </c>
    </row>
    <row r="772" spans="1:74">
      <c r="A772" t="s">
        <v>86</v>
      </c>
      <c r="B772">
        <v>30323076</v>
      </c>
      <c r="C772" t="s">
        <v>167</v>
      </c>
      <c r="D772" t="s">
        <v>168</v>
      </c>
      <c r="E772" t="s">
        <v>428</v>
      </c>
      <c r="F772" t="s">
        <v>591</v>
      </c>
      <c r="G772" t="s">
        <v>430</v>
      </c>
      <c r="H772" t="s">
        <v>431</v>
      </c>
      <c r="I772" t="s">
        <v>432</v>
      </c>
      <c r="J772" t="s">
        <v>432</v>
      </c>
      <c r="K772">
        <v>0</v>
      </c>
      <c r="L772" t="s">
        <v>428</v>
      </c>
      <c r="M772" t="s">
        <v>428</v>
      </c>
      <c r="N772">
        <v>211273</v>
      </c>
      <c r="O772">
        <f>INDEX(AllCollegeBarrons,MATCH(N772,AllCollegeNCES,0))</f>
        <v>0</v>
      </c>
      <c r="P772">
        <f>INDEX(KidGPAs,MATCH(B772,KidIDs,0))</f>
        <v>0</v>
      </c>
      <c r="Q772">
        <f>INDEX(KidACTs,MATCH(B772,KidIDs,0))</f>
        <v>0</v>
      </c>
      <c r="R772">
        <f>INDEX(Strats,MATCH(B772,KidIDs,0))</f>
        <v>0</v>
      </c>
      <c r="S772">
        <f>INDEX(KidRace,MATCH(B772,KidIDs,0))</f>
        <v>0</v>
      </c>
      <c r="T772">
        <f>IF(OR(S772="M",S772="I"),"H",S772)</f>
        <v>0</v>
      </c>
      <c r="U772">
        <f>INDEX(StudentTargets,MATCH(B772,KidIDs,0))</f>
        <v>0</v>
      </c>
      <c r="V772">
        <f>INDEX(ReachStudentTargets,MATCH(B772,KidIDs,0))</f>
        <v>0</v>
      </c>
      <c r="W772">
        <f>IF(OR(M772="Posse"),1,0)</f>
        <v>0</v>
      </c>
      <c r="X772">
        <f>IF(ISNUMBER(INDEX(AllCollegeGR, MATCH(N772,AllCollegeNCES,0))),ROUND(INDEX(AllCollegeGR, MATCH(N772,AllCollegeNCES,0))+W772*IF(INDEX(AllCollegeGR, MATCH(N772,AllCollegeNCES,0))&gt;0.7,(1-INDEX(AllCollegeGR, MATCH(N772,AllCollegeNCES,0)))/2,0.15),2),INDEX(AllCollegeGR, MATCH(N772,AllCollegeNCES,0)))</f>
        <v>0</v>
      </c>
      <c r="Y772">
        <f>IF(ISNUMBER(INDEX(AllCollegeAAHGR, MATCH(N772,AllCollegeNCES,0))),ROUND(INDEX(AllCollegeAAHGR, MATCH(N772,AllCollegeNCES,0))+W772*IF(INDEX(AllCollegeAAHGR, MATCH(N772,AllCollegeNCES,0))&gt;0.7,(1-INDEX(AllCollegeAAHGR, MATCH(N772,AllCollegeNCES,0)))/2,0.15),2),INDEX(AllCollegeAAHGR, MATCH(N772,AllCollegeNCES,0)))</f>
        <v>0</v>
      </c>
      <c r="Z772">
        <f>IF(OR(T772="H",T772="B"),INDEX(AllCollegeACT25, MATCH(N772,AllCollegeNCES,0)),INDEX(AllCollegeACT50, MATCH(N772,AllCollegeNCES,0)))</f>
        <v>0</v>
      </c>
      <c r="AA772">
        <f>INDEX(CustomWeightsGPA,MATCH(T772&amp;":"&amp;N772,CustomWeightsIndex,0))</f>
        <v>0</v>
      </c>
      <c r="AB772">
        <f>INDEX(CustomWeightsACT,MATCH(T772&amp;":"&amp;N772,CustomWeightsIndex,0))</f>
        <v>0</v>
      </c>
      <c r="AC772">
        <f>INDEX(CustomWeightsIntercept,MATCH(T772&amp;":"&amp;N772,CustomWeightsIndex,0))</f>
        <v>0</v>
      </c>
      <c r="AD772">
        <f>AA772*P772+AB772*Q772+AC772</f>
        <v>0</v>
      </c>
      <c r="AE772">
        <f>INDEX(CoefficientsGPA,MATCH(T772&amp;":"&amp;O772,CoefficientsIndex,0))</f>
        <v>0</v>
      </c>
      <c r="AF772">
        <f>INDEX(CoefficientsACT,MATCH(T772&amp;":"&amp;O772,CoefficientsIndex,0))</f>
        <v>0</v>
      </c>
      <c r="AG772">
        <f>INDEX(CoefficientsIntercept,MATCH(T772&amp;":"&amp;O772,CoefficientsIndex,0))</f>
        <v>0</v>
      </c>
      <c r="AH772">
        <f>AE772*P772+(Q772-Z772)*AF772+AG772</f>
        <v>0</v>
      </c>
      <c r="AI772">
        <f>IF(ISNUMBER(AD772),AD772,AH772)</f>
        <v>0</v>
      </c>
      <c r="AJ772">
        <f>IF(ISNUMBER(AI772),IF(ISNUMBER(AE772),IF(AND(AE772=1,AF772=1,AG772=1),100,ROUND(100*EXP(AI772)/(1+EXP(AI772)),2)),ROUND(100*EXP(AI772)/(1+EXP(AI772)),2)),IF(ISTEXT(O772),IF(LEFT(O772,1)="2",100,"N/A"),"N/A"))</f>
        <v>0</v>
      </c>
      <c r="AK772">
        <f>IF(ISNUMBER(AJ772),IF(AJ772&gt;=99,IF(OR(R772=10,R772=11),MatchLabel,SureThingLabel),IF(AJ772&gt;=95,SecureLabel,IF(AJ772&gt;=80,SafetyLabel,IF(AJ772&gt;=50,MatchLabel,IF(AJ772&gt;=20,ReachLabel,IF(AJ772&gt;=10,LongshotLabel,HailMaryLabel)))))),"Other")</f>
        <v>0</v>
      </c>
      <c r="AL772">
        <f>IF(OR(I772="accepted",I772="cond. accept",I772="summer admit"),IF(J772="yes","CHOICE!","Accepted!"),IF(I772="denied","Denied",IF(K772=1,"Waitlist",IF(L772=1,"Deferred",IF(G772="pending","Pending",IF(OR(G772="initial materials submitted",G772="mid-year submitted",G772="final submitted"),"Submitted",IF(H772="interest","Interest","?")))))))</f>
        <v>0</v>
      </c>
      <c r="AM772">
        <f>IF(OR(AK772=ReachLabel,AK772=LongshotLabel,AK772=HailMaryLabel),1,0)</f>
        <v>0</v>
      </c>
      <c r="AN772">
        <f>IF(OR(AM772=1,AK772=MatchLabel),1,0)</f>
        <v>0</v>
      </c>
      <c r="AO772">
        <f>IF(OR(AK772=MatchLabel,AK772=SafetyLabel,AK772=SecureLabel,AK772=SureThingLabel),1,0)</f>
        <v>0</v>
      </c>
      <c r="AP772">
        <f>IF(OR(T772="H",T772="B"),IF(ISNUMBER(Y772),ROUND(Y772,2),0),IF(ISNUMBER(X772),ROUND(X772,2),0))</f>
        <v>0</v>
      </c>
      <c r="AQ772">
        <f>IF(AP772&gt;=U772,1,0)</f>
        <v>0</v>
      </c>
      <c r="AR772">
        <f>IF(AP772&gt;=V772,1,0)</f>
        <v>0</v>
      </c>
      <c r="AS772">
        <f>IF(AP772&lt;(U772-0.10),1,0)</f>
        <v>0</v>
      </c>
      <c r="AT772">
        <f>1-AJ772/100</f>
        <v>0</v>
      </c>
      <c r="AU772">
        <f>IF(AN772=1,AT772,1)</f>
        <v>0</v>
      </c>
      <c r="AV772">
        <f>IF(AM772=1,AT772,1)</f>
        <v>0</v>
      </c>
      <c r="AW772">
        <f>IF(AND(AQ772=1,ISNUMBER(AT772)),$AT772,1)</f>
        <v>0</v>
      </c>
      <c r="AX772">
        <f>IF(AND(AR772=1,ISNUMBER(AT772)),$AT772,1)</f>
        <v>0</v>
      </c>
      <c r="AY772">
        <f>IF(ISNUMBER(Y772),INDEX(AllCollegeMoney, MATCH(N772,AllCollegeNCES,0)),0)</f>
        <v>0</v>
      </c>
      <c r="AZ772">
        <f>IF(AND(AQ772=1,ISNUMBER(AT772),AY772=1),$AT772,1)</f>
        <v>0</v>
      </c>
      <c r="BA772">
        <f>IF(AND(AR772=1,ISNUMBER(AT772),AY772=1),$AT772,1)</f>
        <v>0</v>
      </c>
      <c r="BB772">
        <f>IF(ISNUMBER(Y772),INDEX(AllCollegeILPub, MATCH(N772,AllCollegeNCES,0)),0)</f>
        <v>0</v>
      </c>
      <c r="BC772">
        <f>IF(AK772=ReachLabel,AP772,0)</f>
        <v>0</v>
      </c>
      <c r="BD772">
        <f>IF(AK772=MatchLabel,AP772,0)</f>
        <v>0</v>
      </c>
      <c r="BE772">
        <f>IF(AK772=SafetyLabel,AP772,0)</f>
        <v>0</v>
      </c>
      <c r="BF772">
        <f>IF(AK772=SecureLabel,AP772,0)</f>
        <v>0</v>
      </c>
      <c r="BG772">
        <f>IF(AK772=SureThingLabel,AP772,0)</f>
        <v>0</v>
      </c>
      <c r="BH772">
        <f>MAX(BC772:BG772)</f>
        <v>0</v>
      </c>
      <c r="BI772">
        <f>MAX(BD772:BG772)</f>
        <v>0</v>
      </c>
      <c r="BJ772">
        <f>MAX(BE772:BG772)</f>
        <v>0</v>
      </c>
      <c r="BK772">
        <f>IF(AND(AK772=ReachLabel,AY772=1),AP772,0)</f>
        <v>0</v>
      </c>
      <c r="BL772">
        <f>IF(AND(AK772=MatchLabel,AY772=1),AP772,0)</f>
        <v>0</v>
      </c>
      <c r="BM772">
        <f>IF(AND(AK772=SafetyLabel,AY772=1),AP772,0)</f>
        <v>0</v>
      </c>
      <c r="BN772">
        <f>IF(AND(AK772=SecureLabel,AY772=1),AP772,0)</f>
        <v>0</v>
      </c>
      <c r="BO772">
        <f>IF(AND(AK772=SureThingLabel,AY772=1),AP772,0)</f>
        <v>0</v>
      </c>
      <c r="BP772">
        <f>MAX(BK772:BO772)</f>
        <v>0</v>
      </c>
      <c r="BQ772">
        <f>MAX(BL772:BO772)</f>
        <v>0</v>
      </c>
      <c r="BR772">
        <f>MAX(BM772:BO772)</f>
        <v>0</v>
      </c>
      <c r="BS772">
        <f>IF(ISNUMBER(Y772),INDEX(AllCollegeChicago, MATCH(N772,AllCollegeNCES,0))*AY772,0)</f>
        <v>0</v>
      </c>
      <c r="BT772">
        <f>IF(ISNUMBER(Y772),INDEX(AllCollegeMoneyCode, MATCH(N772,AllCollegeNCES,0)),"?")</f>
        <v>0</v>
      </c>
      <c r="BU772">
        <f>IF(OR(BT772="---",BT772="--",BT772="+/--",BT772="+/---"),1,0)</f>
        <v>0</v>
      </c>
      <c r="BV772">
        <f>AY772*AO772*AQ772</f>
        <v>0</v>
      </c>
    </row>
    <row r="773" spans="1:74">
      <c r="A773" t="s">
        <v>86</v>
      </c>
      <c r="B773">
        <v>30323076</v>
      </c>
      <c r="C773" t="s">
        <v>167</v>
      </c>
      <c r="D773" t="s">
        <v>168</v>
      </c>
      <c r="E773" t="s">
        <v>428</v>
      </c>
      <c r="F773" t="s">
        <v>455</v>
      </c>
      <c r="G773" t="s">
        <v>430</v>
      </c>
      <c r="H773" t="s">
        <v>431</v>
      </c>
      <c r="I773" t="s">
        <v>432</v>
      </c>
      <c r="J773" t="s">
        <v>432</v>
      </c>
      <c r="K773">
        <v>0</v>
      </c>
      <c r="L773" t="s">
        <v>428</v>
      </c>
      <c r="M773" t="s">
        <v>428</v>
      </c>
      <c r="N773">
        <v>240444</v>
      </c>
      <c r="O773">
        <f>INDEX(AllCollegeBarrons,MATCH(N773,AllCollegeNCES,0))</f>
        <v>0</v>
      </c>
      <c r="P773">
        <f>INDEX(KidGPAs,MATCH(B773,KidIDs,0))</f>
        <v>0</v>
      </c>
      <c r="Q773">
        <f>INDEX(KidACTs,MATCH(B773,KidIDs,0))</f>
        <v>0</v>
      </c>
      <c r="R773">
        <f>INDEX(Strats,MATCH(B773,KidIDs,0))</f>
        <v>0</v>
      </c>
      <c r="S773">
        <f>INDEX(KidRace,MATCH(B773,KidIDs,0))</f>
        <v>0</v>
      </c>
      <c r="T773">
        <f>IF(OR(S773="M",S773="I"),"H",S773)</f>
        <v>0</v>
      </c>
      <c r="U773">
        <f>INDEX(StudentTargets,MATCH(B773,KidIDs,0))</f>
        <v>0</v>
      </c>
      <c r="V773">
        <f>INDEX(ReachStudentTargets,MATCH(B773,KidIDs,0))</f>
        <v>0</v>
      </c>
      <c r="W773">
        <f>IF(OR(M773="Posse"),1,0)</f>
        <v>0</v>
      </c>
      <c r="X773">
        <f>IF(ISNUMBER(INDEX(AllCollegeGR, MATCH(N773,AllCollegeNCES,0))),ROUND(INDEX(AllCollegeGR, MATCH(N773,AllCollegeNCES,0))+W773*IF(INDEX(AllCollegeGR, MATCH(N773,AllCollegeNCES,0))&gt;0.7,(1-INDEX(AllCollegeGR, MATCH(N773,AllCollegeNCES,0)))/2,0.15),2),INDEX(AllCollegeGR, MATCH(N773,AllCollegeNCES,0)))</f>
        <v>0</v>
      </c>
      <c r="Y773">
        <f>IF(ISNUMBER(INDEX(AllCollegeAAHGR, MATCH(N773,AllCollegeNCES,0))),ROUND(INDEX(AllCollegeAAHGR, MATCH(N773,AllCollegeNCES,0))+W773*IF(INDEX(AllCollegeAAHGR, MATCH(N773,AllCollegeNCES,0))&gt;0.7,(1-INDEX(AllCollegeAAHGR, MATCH(N773,AllCollegeNCES,0)))/2,0.15),2),INDEX(AllCollegeAAHGR, MATCH(N773,AllCollegeNCES,0)))</f>
        <v>0</v>
      </c>
      <c r="Z773">
        <f>IF(OR(T773="H",T773="B"),INDEX(AllCollegeACT25, MATCH(N773,AllCollegeNCES,0)),INDEX(AllCollegeACT50, MATCH(N773,AllCollegeNCES,0)))</f>
        <v>0</v>
      </c>
      <c r="AA773">
        <f>INDEX(CustomWeightsGPA,MATCH(T773&amp;":"&amp;N773,CustomWeightsIndex,0))</f>
        <v>0</v>
      </c>
      <c r="AB773">
        <f>INDEX(CustomWeightsACT,MATCH(T773&amp;":"&amp;N773,CustomWeightsIndex,0))</f>
        <v>0</v>
      </c>
      <c r="AC773">
        <f>INDEX(CustomWeightsIntercept,MATCH(T773&amp;":"&amp;N773,CustomWeightsIndex,0))</f>
        <v>0</v>
      </c>
      <c r="AD773">
        <f>AA773*P773+AB773*Q773+AC773</f>
        <v>0</v>
      </c>
      <c r="AE773">
        <f>INDEX(CoefficientsGPA,MATCH(T773&amp;":"&amp;O773,CoefficientsIndex,0))</f>
        <v>0</v>
      </c>
      <c r="AF773">
        <f>INDEX(CoefficientsACT,MATCH(T773&amp;":"&amp;O773,CoefficientsIndex,0))</f>
        <v>0</v>
      </c>
      <c r="AG773">
        <f>INDEX(CoefficientsIntercept,MATCH(T773&amp;":"&amp;O773,CoefficientsIndex,0))</f>
        <v>0</v>
      </c>
      <c r="AH773">
        <f>AE773*P773+(Q773-Z773)*AF773+AG773</f>
        <v>0</v>
      </c>
      <c r="AI773">
        <f>IF(ISNUMBER(AD773),AD773,AH773)</f>
        <v>0</v>
      </c>
      <c r="AJ773">
        <f>IF(ISNUMBER(AI773),IF(ISNUMBER(AE773),IF(AND(AE773=1,AF773=1,AG773=1),100,ROUND(100*EXP(AI773)/(1+EXP(AI773)),2)),ROUND(100*EXP(AI773)/(1+EXP(AI773)),2)),IF(ISTEXT(O773),IF(LEFT(O773,1)="2",100,"N/A"),"N/A"))</f>
        <v>0</v>
      </c>
      <c r="AK773">
        <f>IF(ISNUMBER(AJ773),IF(AJ773&gt;=99,IF(OR(R773=10,R773=11),MatchLabel,SureThingLabel),IF(AJ773&gt;=95,SecureLabel,IF(AJ773&gt;=80,SafetyLabel,IF(AJ773&gt;=50,MatchLabel,IF(AJ773&gt;=20,ReachLabel,IF(AJ773&gt;=10,LongshotLabel,HailMaryLabel)))))),"Other")</f>
        <v>0</v>
      </c>
      <c r="AL773">
        <f>IF(OR(I773="accepted",I773="cond. accept",I773="summer admit"),IF(J773="yes","CHOICE!","Accepted!"),IF(I773="denied","Denied",IF(K773=1,"Waitlist",IF(L773=1,"Deferred",IF(G773="pending","Pending",IF(OR(G773="initial materials submitted",G773="mid-year submitted",G773="final submitted"),"Submitted",IF(H773="interest","Interest","?")))))))</f>
        <v>0</v>
      </c>
      <c r="AM773">
        <f>IF(OR(AK773=ReachLabel,AK773=LongshotLabel,AK773=HailMaryLabel),1,0)</f>
        <v>0</v>
      </c>
      <c r="AN773">
        <f>IF(OR(AM773=1,AK773=MatchLabel),1,0)</f>
        <v>0</v>
      </c>
      <c r="AO773">
        <f>IF(OR(AK773=MatchLabel,AK773=SafetyLabel,AK773=SecureLabel,AK773=SureThingLabel),1,0)</f>
        <v>0</v>
      </c>
      <c r="AP773">
        <f>IF(OR(T773="H",T773="B"),IF(ISNUMBER(Y773),ROUND(Y773,2),0),IF(ISNUMBER(X773),ROUND(X773,2),0))</f>
        <v>0</v>
      </c>
      <c r="AQ773">
        <f>IF(AP773&gt;=U773,1,0)</f>
        <v>0</v>
      </c>
      <c r="AR773">
        <f>IF(AP773&gt;=V773,1,0)</f>
        <v>0</v>
      </c>
      <c r="AS773">
        <f>IF(AP773&lt;(U773-0.10),1,0)</f>
        <v>0</v>
      </c>
      <c r="AT773">
        <f>1-AJ773/100</f>
        <v>0</v>
      </c>
      <c r="AU773">
        <f>IF(AN773=1,AT773,1)</f>
        <v>0</v>
      </c>
      <c r="AV773">
        <f>IF(AM773=1,AT773,1)</f>
        <v>0</v>
      </c>
      <c r="AW773">
        <f>IF(AND(AQ773=1,ISNUMBER(AT773)),$AT773,1)</f>
        <v>0</v>
      </c>
      <c r="AX773">
        <f>IF(AND(AR773=1,ISNUMBER(AT773)),$AT773,1)</f>
        <v>0</v>
      </c>
      <c r="AY773">
        <f>IF(ISNUMBER(Y773),INDEX(AllCollegeMoney, MATCH(N773,AllCollegeNCES,0)),0)</f>
        <v>0</v>
      </c>
      <c r="AZ773">
        <f>IF(AND(AQ773=1,ISNUMBER(AT773),AY773=1),$AT773,1)</f>
        <v>0</v>
      </c>
      <c r="BA773">
        <f>IF(AND(AR773=1,ISNUMBER(AT773),AY773=1),$AT773,1)</f>
        <v>0</v>
      </c>
      <c r="BB773">
        <f>IF(ISNUMBER(Y773),INDEX(AllCollegeILPub, MATCH(N773,AllCollegeNCES,0)),0)</f>
        <v>0</v>
      </c>
      <c r="BC773">
        <f>IF(AK773=ReachLabel,AP773,0)</f>
        <v>0</v>
      </c>
      <c r="BD773">
        <f>IF(AK773=MatchLabel,AP773,0)</f>
        <v>0</v>
      </c>
      <c r="BE773">
        <f>IF(AK773=SafetyLabel,AP773,0)</f>
        <v>0</v>
      </c>
      <c r="BF773">
        <f>IF(AK773=SecureLabel,AP773,0)</f>
        <v>0</v>
      </c>
      <c r="BG773">
        <f>IF(AK773=SureThingLabel,AP773,0)</f>
        <v>0</v>
      </c>
      <c r="BH773">
        <f>MAX(BC773:BG773)</f>
        <v>0</v>
      </c>
      <c r="BI773">
        <f>MAX(BD773:BG773)</f>
        <v>0</v>
      </c>
      <c r="BJ773">
        <f>MAX(BE773:BG773)</f>
        <v>0</v>
      </c>
      <c r="BK773">
        <f>IF(AND(AK773=ReachLabel,AY773=1),AP773,0)</f>
        <v>0</v>
      </c>
      <c r="BL773">
        <f>IF(AND(AK773=MatchLabel,AY773=1),AP773,0)</f>
        <v>0</v>
      </c>
      <c r="BM773">
        <f>IF(AND(AK773=SafetyLabel,AY773=1),AP773,0)</f>
        <v>0</v>
      </c>
      <c r="BN773">
        <f>IF(AND(AK773=SecureLabel,AY773=1),AP773,0)</f>
        <v>0</v>
      </c>
      <c r="BO773">
        <f>IF(AND(AK773=SureThingLabel,AY773=1),AP773,0)</f>
        <v>0</v>
      </c>
      <c r="BP773">
        <f>MAX(BK773:BO773)</f>
        <v>0</v>
      </c>
      <c r="BQ773">
        <f>MAX(BL773:BO773)</f>
        <v>0</v>
      </c>
      <c r="BR773">
        <f>MAX(BM773:BO773)</f>
        <v>0</v>
      </c>
      <c r="BS773">
        <f>IF(ISNUMBER(Y773),INDEX(AllCollegeChicago, MATCH(N773,AllCollegeNCES,0))*AY773,0)</f>
        <v>0</v>
      </c>
      <c r="BT773">
        <f>IF(ISNUMBER(Y773),INDEX(AllCollegeMoneyCode, MATCH(N773,AllCollegeNCES,0)),"?")</f>
        <v>0</v>
      </c>
      <c r="BU773">
        <f>IF(OR(BT773="---",BT773="--",BT773="+/--",BT773="+/---"),1,0)</f>
        <v>0</v>
      </c>
      <c r="BV773">
        <f>AY773*AO773*AQ773</f>
        <v>0</v>
      </c>
    </row>
    <row r="774" spans="1:74">
      <c r="A774" t="s">
        <v>86</v>
      </c>
      <c r="B774">
        <v>30323076</v>
      </c>
      <c r="C774" t="s">
        <v>167</v>
      </c>
      <c r="D774" t="s">
        <v>168</v>
      </c>
      <c r="E774" t="s">
        <v>428</v>
      </c>
      <c r="F774" t="s">
        <v>457</v>
      </c>
      <c r="G774" t="s">
        <v>463</v>
      </c>
      <c r="H774" t="s">
        <v>431</v>
      </c>
      <c r="I774" t="s">
        <v>432</v>
      </c>
      <c r="J774" t="s">
        <v>432</v>
      </c>
      <c r="K774">
        <v>0</v>
      </c>
      <c r="L774" t="s">
        <v>428</v>
      </c>
      <c r="M774" t="s">
        <v>428</v>
      </c>
      <c r="N774">
        <v>145637</v>
      </c>
      <c r="O774">
        <f>INDEX(AllCollegeBarrons,MATCH(N774,AllCollegeNCES,0))</f>
        <v>0</v>
      </c>
      <c r="P774">
        <f>INDEX(KidGPAs,MATCH(B774,KidIDs,0))</f>
        <v>0</v>
      </c>
      <c r="Q774">
        <f>INDEX(KidACTs,MATCH(B774,KidIDs,0))</f>
        <v>0</v>
      </c>
      <c r="R774">
        <f>INDEX(Strats,MATCH(B774,KidIDs,0))</f>
        <v>0</v>
      </c>
      <c r="S774">
        <f>INDEX(KidRace,MATCH(B774,KidIDs,0))</f>
        <v>0</v>
      </c>
      <c r="T774">
        <f>IF(OR(S774="M",S774="I"),"H",S774)</f>
        <v>0</v>
      </c>
      <c r="U774">
        <f>INDEX(StudentTargets,MATCH(B774,KidIDs,0))</f>
        <v>0</v>
      </c>
      <c r="V774">
        <f>INDEX(ReachStudentTargets,MATCH(B774,KidIDs,0))</f>
        <v>0</v>
      </c>
      <c r="W774">
        <f>IF(OR(M774="Posse"),1,0)</f>
        <v>0</v>
      </c>
      <c r="X774">
        <f>IF(ISNUMBER(INDEX(AllCollegeGR, MATCH(N774,AllCollegeNCES,0))),ROUND(INDEX(AllCollegeGR, MATCH(N774,AllCollegeNCES,0))+W774*IF(INDEX(AllCollegeGR, MATCH(N774,AllCollegeNCES,0))&gt;0.7,(1-INDEX(AllCollegeGR, MATCH(N774,AllCollegeNCES,0)))/2,0.15),2),INDEX(AllCollegeGR, MATCH(N774,AllCollegeNCES,0)))</f>
        <v>0</v>
      </c>
      <c r="Y774">
        <f>IF(ISNUMBER(INDEX(AllCollegeAAHGR, MATCH(N774,AllCollegeNCES,0))),ROUND(INDEX(AllCollegeAAHGR, MATCH(N774,AllCollegeNCES,0))+W774*IF(INDEX(AllCollegeAAHGR, MATCH(N774,AllCollegeNCES,0))&gt;0.7,(1-INDEX(AllCollegeAAHGR, MATCH(N774,AllCollegeNCES,0)))/2,0.15),2),INDEX(AllCollegeAAHGR, MATCH(N774,AllCollegeNCES,0)))</f>
        <v>0</v>
      </c>
      <c r="Z774">
        <f>IF(OR(T774="H",T774="B"),INDEX(AllCollegeACT25, MATCH(N774,AllCollegeNCES,0)),INDEX(AllCollegeACT50, MATCH(N774,AllCollegeNCES,0)))</f>
        <v>0</v>
      </c>
      <c r="AA774">
        <f>INDEX(CustomWeightsGPA,MATCH(T774&amp;":"&amp;N774,CustomWeightsIndex,0))</f>
        <v>0</v>
      </c>
      <c r="AB774">
        <f>INDEX(CustomWeightsACT,MATCH(T774&amp;":"&amp;N774,CustomWeightsIndex,0))</f>
        <v>0</v>
      </c>
      <c r="AC774">
        <f>INDEX(CustomWeightsIntercept,MATCH(T774&amp;":"&amp;N774,CustomWeightsIndex,0))</f>
        <v>0</v>
      </c>
      <c r="AD774">
        <f>AA774*P774+AB774*Q774+AC774</f>
        <v>0</v>
      </c>
      <c r="AE774">
        <f>INDEX(CoefficientsGPA,MATCH(T774&amp;":"&amp;O774,CoefficientsIndex,0))</f>
        <v>0</v>
      </c>
      <c r="AF774">
        <f>INDEX(CoefficientsACT,MATCH(T774&amp;":"&amp;O774,CoefficientsIndex,0))</f>
        <v>0</v>
      </c>
      <c r="AG774">
        <f>INDEX(CoefficientsIntercept,MATCH(T774&amp;":"&amp;O774,CoefficientsIndex,0))</f>
        <v>0</v>
      </c>
      <c r="AH774">
        <f>AE774*P774+(Q774-Z774)*AF774+AG774</f>
        <v>0</v>
      </c>
      <c r="AI774">
        <f>IF(ISNUMBER(AD774),AD774,AH774)</f>
        <v>0</v>
      </c>
      <c r="AJ774">
        <f>IF(ISNUMBER(AI774),IF(ISNUMBER(AE774),IF(AND(AE774=1,AF774=1,AG774=1),100,ROUND(100*EXP(AI774)/(1+EXP(AI774)),2)),ROUND(100*EXP(AI774)/(1+EXP(AI774)),2)),IF(ISTEXT(O774),IF(LEFT(O774,1)="2",100,"N/A"),"N/A"))</f>
        <v>0</v>
      </c>
      <c r="AK774">
        <f>IF(ISNUMBER(AJ774),IF(AJ774&gt;=99,IF(OR(R774=10,R774=11),MatchLabel,SureThingLabel),IF(AJ774&gt;=95,SecureLabel,IF(AJ774&gt;=80,SafetyLabel,IF(AJ774&gt;=50,MatchLabel,IF(AJ774&gt;=20,ReachLabel,IF(AJ774&gt;=10,LongshotLabel,HailMaryLabel)))))),"Other")</f>
        <v>0</v>
      </c>
      <c r="AL774">
        <f>IF(OR(I774="accepted",I774="cond. accept",I774="summer admit"),IF(J774="yes","CHOICE!","Accepted!"),IF(I774="denied","Denied",IF(K774=1,"Waitlist",IF(L774=1,"Deferred",IF(G774="pending","Pending",IF(OR(G774="initial materials submitted",G774="mid-year submitted",G774="final submitted"),"Submitted",IF(H774="interest","Interest","?")))))))</f>
        <v>0</v>
      </c>
      <c r="AM774">
        <f>IF(OR(AK774=ReachLabel,AK774=LongshotLabel,AK774=HailMaryLabel),1,0)</f>
        <v>0</v>
      </c>
      <c r="AN774">
        <f>IF(OR(AM774=1,AK774=MatchLabel),1,0)</f>
        <v>0</v>
      </c>
      <c r="AO774">
        <f>IF(OR(AK774=MatchLabel,AK774=SafetyLabel,AK774=SecureLabel,AK774=SureThingLabel),1,0)</f>
        <v>0</v>
      </c>
      <c r="AP774">
        <f>IF(OR(T774="H",T774="B"),IF(ISNUMBER(Y774),ROUND(Y774,2),0),IF(ISNUMBER(X774),ROUND(X774,2),0))</f>
        <v>0</v>
      </c>
      <c r="AQ774">
        <f>IF(AP774&gt;=U774,1,0)</f>
        <v>0</v>
      </c>
      <c r="AR774">
        <f>IF(AP774&gt;=V774,1,0)</f>
        <v>0</v>
      </c>
      <c r="AS774">
        <f>IF(AP774&lt;(U774-0.10),1,0)</f>
        <v>0</v>
      </c>
      <c r="AT774">
        <f>1-AJ774/100</f>
        <v>0</v>
      </c>
      <c r="AU774">
        <f>IF(AN774=1,AT774,1)</f>
        <v>0</v>
      </c>
      <c r="AV774">
        <f>IF(AM774=1,AT774,1)</f>
        <v>0</v>
      </c>
      <c r="AW774">
        <f>IF(AND(AQ774=1,ISNUMBER(AT774)),$AT774,1)</f>
        <v>0</v>
      </c>
      <c r="AX774">
        <f>IF(AND(AR774=1,ISNUMBER(AT774)),$AT774,1)</f>
        <v>0</v>
      </c>
      <c r="AY774">
        <f>IF(ISNUMBER(Y774),INDEX(AllCollegeMoney, MATCH(N774,AllCollegeNCES,0)),0)</f>
        <v>0</v>
      </c>
      <c r="AZ774">
        <f>IF(AND(AQ774=1,ISNUMBER(AT774),AY774=1),$AT774,1)</f>
        <v>0</v>
      </c>
      <c r="BA774">
        <f>IF(AND(AR774=1,ISNUMBER(AT774),AY774=1),$AT774,1)</f>
        <v>0</v>
      </c>
      <c r="BB774">
        <f>IF(ISNUMBER(Y774),INDEX(AllCollegeILPub, MATCH(N774,AllCollegeNCES,0)),0)</f>
        <v>0</v>
      </c>
      <c r="BC774">
        <f>IF(AK774=ReachLabel,AP774,0)</f>
        <v>0</v>
      </c>
      <c r="BD774">
        <f>IF(AK774=MatchLabel,AP774,0)</f>
        <v>0</v>
      </c>
      <c r="BE774">
        <f>IF(AK774=SafetyLabel,AP774,0)</f>
        <v>0</v>
      </c>
      <c r="BF774">
        <f>IF(AK774=SecureLabel,AP774,0)</f>
        <v>0</v>
      </c>
      <c r="BG774">
        <f>IF(AK774=SureThingLabel,AP774,0)</f>
        <v>0</v>
      </c>
      <c r="BH774">
        <f>MAX(BC774:BG774)</f>
        <v>0</v>
      </c>
      <c r="BI774">
        <f>MAX(BD774:BG774)</f>
        <v>0</v>
      </c>
      <c r="BJ774">
        <f>MAX(BE774:BG774)</f>
        <v>0</v>
      </c>
      <c r="BK774">
        <f>IF(AND(AK774=ReachLabel,AY774=1),AP774,0)</f>
        <v>0</v>
      </c>
      <c r="BL774">
        <f>IF(AND(AK774=MatchLabel,AY774=1),AP774,0)</f>
        <v>0</v>
      </c>
      <c r="BM774">
        <f>IF(AND(AK774=SafetyLabel,AY774=1),AP774,0)</f>
        <v>0</v>
      </c>
      <c r="BN774">
        <f>IF(AND(AK774=SecureLabel,AY774=1),AP774,0)</f>
        <v>0</v>
      </c>
      <c r="BO774">
        <f>IF(AND(AK774=SureThingLabel,AY774=1),AP774,0)</f>
        <v>0</v>
      </c>
      <c r="BP774">
        <f>MAX(BK774:BO774)</f>
        <v>0</v>
      </c>
      <c r="BQ774">
        <f>MAX(BL774:BO774)</f>
        <v>0</v>
      </c>
      <c r="BR774">
        <f>MAX(BM774:BO774)</f>
        <v>0</v>
      </c>
      <c r="BS774">
        <f>IF(ISNUMBER(Y774),INDEX(AllCollegeChicago, MATCH(N774,AllCollegeNCES,0))*AY774,0)</f>
        <v>0</v>
      </c>
      <c r="BT774">
        <f>IF(ISNUMBER(Y774),INDEX(AllCollegeMoneyCode, MATCH(N774,AllCollegeNCES,0)),"?")</f>
        <v>0</v>
      </c>
      <c r="BU774">
        <f>IF(OR(BT774="---",BT774="--",BT774="+/--",BT774="+/---"),1,0)</f>
        <v>0</v>
      </c>
      <c r="BV774">
        <f>AY774*AO774*AQ774</f>
        <v>0</v>
      </c>
    </row>
    <row r="775" spans="1:74">
      <c r="A775" t="s">
        <v>86</v>
      </c>
      <c r="B775">
        <v>30323076</v>
      </c>
      <c r="C775" t="s">
        <v>167</v>
      </c>
      <c r="D775" t="s">
        <v>168</v>
      </c>
      <c r="E775" t="s">
        <v>428</v>
      </c>
      <c r="F775" t="s">
        <v>458</v>
      </c>
      <c r="G775" t="s">
        <v>430</v>
      </c>
      <c r="H775" t="s">
        <v>431</v>
      </c>
      <c r="I775" t="s">
        <v>432</v>
      </c>
      <c r="J775" t="s">
        <v>432</v>
      </c>
      <c r="K775">
        <v>0</v>
      </c>
      <c r="L775" t="s">
        <v>428</v>
      </c>
      <c r="M775" t="s">
        <v>428</v>
      </c>
      <c r="N775">
        <v>202523</v>
      </c>
      <c r="O775">
        <f>INDEX(AllCollegeBarrons,MATCH(N775,AllCollegeNCES,0))</f>
        <v>0</v>
      </c>
      <c r="P775">
        <f>INDEX(KidGPAs,MATCH(B775,KidIDs,0))</f>
        <v>0</v>
      </c>
      <c r="Q775">
        <f>INDEX(KidACTs,MATCH(B775,KidIDs,0))</f>
        <v>0</v>
      </c>
      <c r="R775">
        <f>INDEX(Strats,MATCH(B775,KidIDs,0))</f>
        <v>0</v>
      </c>
      <c r="S775">
        <f>INDEX(KidRace,MATCH(B775,KidIDs,0))</f>
        <v>0</v>
      </c>
      <c r="T775">
        <f>IF(OR(S775="M",S775="I"),"H",S775)</f>
        <v>0</v>
      </c>
      <c r="U775">
        <f>INDEX(StudentTargets,MATCH(B775,KidIDs,0))</f>
        <v>0</v>
      </c>
      <c r="V775">
        <f>INDEX(ReachStudentTargets,MATCH(B775,KidIDs,0))</f>
        <v>0</v>
      </c>
      <c r="W775">
        <f>IF(OR(M775="Posse"),1,0)</f>
        <v>0</v>
      </c>
      <c r="X775">
        <f>IF(ISNUMBER(INDEX(AllCollegeGR, MATCH(N775,AllCollegeNCES,0))),ROUND(INDEX(AllCollegeGR, MATCH(N775,AllCollegeNCES,0))+W775*IF(INDEX(AllCollegeGR, MATCH(N775,AllCollegeNCES,0))&gt;0.7,(1-INDEX(AllCollegeGR, MATCH(N775,AllCollegeNCES,0)))/2,0.15),2),INDEX(AllCollegeGR, MATCH(N775,AllCollegeNCES,0)))</f>
        <v>0</v>
      </c>
      <c r="Y775">
        <f>IF(ISNUMBER(INDEX(AllCollegeAAHGR, MATCH(N775,AllCollegeNCES,0))),ROUND(INDEX(AllCollegeAAHGR, MATCH(N775,AllCollegeNCES,0))+W775*IF(INDEX(AllCollegeAAHGR, MATCH(N775,AllCollegeNCES,0))&gt;0.7,(1-INDEX(AllCollegeAAHGR, MATCH(N775,AllCollegeNCES,0)))/2,0.15),2),INDEX(AllCollegeAAHGR, MATCH(N775,AllCollegeNCES,0)))</f>
        <v>0</v>
      </c>
      <c r="Z775">
        <f>IF(OR(T775="H",T775="B"),INDEX(AllCollegeACT25, MATCH(N775,AllCollegeNCES,0)),INDEX(AllCollegeACT50, MATCH(N775,AllCollegeNCES,0)))</f>
        <v>0</v>
      </c>
      <c r="AA775">
        <f>INDEX(CustomWeightsGPA,MATCH(T775&amp;":"&amp;N775,CustomWeightsIndex,0))</f>
        <v>0</v>
      </c>
      <c r="AB775">
        <f>INDEX(CustomWeightsACT,MATCH(T775&amp;":"&amp;N775,CustomWeightsIndex,0))</f>
        <v>0</v>
      </c>
      <c r="AC775">
        <f>INDEX(CustomWeightsIntercept,MATCH(T775&amp;":"&amp;N775,CustomWeightsIndex,0))</f>
        <v>0</v>
      </c>
      <c r="AD775">
        <f>AA775*P775+AB775*Q775+AC775</f>
        <v>0</v>
      </c>
      <c r="AE775">
        <f>INDEX(CoefficientsGPA,MATCH(T775&amp;":"&amp;O775,CoefficientsIndex,0))</f>
        <v>0</v>
      </c>
      <c r="AF775">
        <f>INDEX(CoefficientsACT,MATCH(T775&amp;":"&amp;O775,CoefficientsIndex,0))</f>
        <v>0</v>
      </c>
      <c r="AG775">
        <f>INDEX(CoefficientsIntercept,MATCH(T775&amp;":"&amp;O775,CoefficientsIndex,0))</f>
        <v>0</v>
      </c>
      <c r="AH775">
        <f>AE775*P775+(Q775-Z775)*AF775+AG775</f>
        <v>0</v>
      </c>
      <c r="AI775">
        <f>IF(ISNUMBER(AD775),AD775,AH775)</f>
        <v>0</v>
      </c>
      <c r="AJ775">
        <f>IF(ISNUMBER(AI775),IF(ISNUMBER(AE775),IF(AND(AE775=1,AF775=1,AG775=1),100,ROUND(100*EXP(AI775)/(1+EXP(AI775)),2)),ROUND(100*EXP(AI775)/(1+EXP(AI775)),2)),IF(ISTEXT(O775),IF(LEFT(O775,1)="2",100,"N/A"),"N/A"))</f>
        <v>0</v>
      </c>
      <c r="AK775">
        <f>IF(ISNUMBER(AJ775),IF(AJ775&gt;=99,IF(OR(R775=10,R775=11),MatchLabel,SureThingLabel),IF(AJ775&gt;=95,SecureLabel,IF(AJ775&gt;=80,SafetyLabel,IF(AJ775&gt;=50,MatchLabel,IF(AJ775&gt;=20,ReachLabel,IF(AJ775&gt;=10,LongshotLabel,HailMaryLabel)))))),"Other")</f>
        <v>0</v>
      </c>
      <c r="AL775">
        <f>IF(OR(I775="accepted",I775="cond. accept",I775="summer admit"),IF(J775="yes","CHOICE!","Accepted!"),IF(I775="denied","Denied",IF(K775=1,"Waitlist",IF(L775=1,"Deferred",IF(G775="pending","Pending",IF(OR(G775="initial materials submitted",G775="mid-year submitted",G775="final submitted"),"Submitted",IF(H775="interest","Interest","?")))))))</f>
        <v>0</v>
      </c>
      <c r="AM775">
        <f>IF(OR(AK775=ReachLabel,AK775=LongshotLabel,AK775=HailMaryLabel),1,0)</f>
        <v>0</v>
      </c>
      <c r="AN775">
        <f>IF(OR(AM775=1,AK775=MatchLabel),1,0)</f>
        <v>0</v>
      </c>
      <c r="AO775">
        <f>IF(OR(AK775=MatchLabel,AK775=SafetyLabel,AK775=SecureLabel,AK775=SureThingLabel),1,0)</f>
        <v>0</v>
      </c>
      <c r="AP775">
        <f>IF(OR(T775="H",T775="B"),IF(ISNUMBER(Y775),ROUND(Y775,2),0),IF(ISNUMBER(X775),ROUND(X775,2),0))</f>
        <v>0</v>
      </c>
      <c r="AQ775">
        <f>IF(AP775&gt;=U775,1,0)</f>
        <v>0</v>
      </c>
      <c r="AR775">
        <f>IF(AP775&gt;=V775,1,0)</f>
        <v>0</v>
      </c>
      <c r="AS775">
        <f>IF(AP775&lt;(U775-0.10),1,0)</f>
        <v>0</v>
      </c>
      <c r="AT775">
        <f>1-AJ775/100</f>
        <v>0</v>
      </c>
      <c r="AU775">
        <f>IF(AN775=1,AT775,1)</f>
        <v>0</v>
      </c>
      <c r="AV775">
        <f>IF(AM775=1,AT775,1)</f>
        <v>0</v>
      </c>
      <c r="AW775">
        <f>IF(AND(AQ775=1,ISNUMBER(AT775)),$AT775,1)</f>
        <v>0</v>
      </c>
      <c r="AX775">
        <f>IF(AND(AR775=1,ISNUMBER(AT775)),$AT775,1)</f>
        <v>0</v>
      </c>
      <c r="AY775">
        <f>IF(ISNUMBER(Y775),INDEX(AllCollegeMoney, MATCH(N775,AllCollegeNCES,0)),0)</f>
        <v>0</v>
      </c>
      <c r="AZ775">
        <f>IF(AND(AQ775=1,ISNUMBER(AT775),AY775=1),$AT775,1)</f>
        <v>0</v>
      </c>
      <c r="BA775">
        <f>IF(AND(AR775=1,ISNUMBER(AT775),AY775=1),$AT775,1)</f>
        <v>0</v>
      </c>
      <c r="BB775">
        <f>IF(ISNUMBER(Y775),INDEX(AllCollegeILPub, MATCH(N775,AllCollegeNCES,0)),0)</f>
        <v>0</v>
      </c>
      <c r="BC775">
        <f>IF(AK775=ReachLabel,AP775,0)</f>
        <v>0</v>
      </c>
      <c r="BD775">
        <f>IF(AK775=MatchLabel,AP775,0)</f>
        <v>0</v>
      </c>
      <c r="BE775">
        <f>IF(AK775=SafetyLabel,AP775,0)</f>
        <v>0</v>
      </c>
      <c r="BF775">
        <f>IF(AK775=SecureLabel,AP775,0)</f>
        <v>0</v>
      </c>
      <c r="BG775">
        <f>IF(AK775=SureThingLabel,AP775,0)</f>
        <v>0</v>
      </c>
      <c r="BH775">
        <f>MAX(BC775:BG775)</f>
        <v>0</v>
      </c>
      <c r="BI775">
        <f>MAX(BD775:BG775)</f>
        <v>0</v>
      </c>
      <c r="BJ775">
        <f>MAX(BE775:BG775)</f>
        <v>0</v>
      </c>
      <c r="BK775">
        <f>IF(AND(AK775=ReachLabel,AY775=1),AP775,0)</f>
        <v>0</v>
      </c>
      <c r="BL775">
        <f>IF(AND(AK775=MatchLabel,AY775=1),AP775,0)</f>
        <v>0</v>
      </c>
      <c r="BM775">
        <f>IF(AND(AK775=SafetyLabel,AY775=1),AP775,0)</f>
        <v>0</v>
      </c>
      <c r="BN775">
        <f>IF(AND(AK775=SecureLabel,AY775=1),AP775,0)</f>
        <v>0</v>
      </c>
      <c r="BO775">
        <f>IF(AND(AK775=SureThingLabel,AY775=1),AP775,0)</f>
        <v>0</v>
      </c>
      <c r="BP775">
        <f>MAX(BK775:BO775)</f>
        <v>0</v>
      </c>
      <c r="BQ775">
        <f>MAX(BL775:BO775)</f>
        <v>0</v>
      </c>
      <c r="BR775">
        <f>MAX(BM775:BO775)</f>
        <v>0</v>
      </c>
      <c r="BS775">
        <f>IF(ISNUMBER(Y775),INDEX(AllCollegeChicago, MATCH(N775,AllCollegeNCES,0))*AY775,0)</f>
        <v>0</v>
      </c>
      <c r="BT775">
        <f>IF(ISNUMBER(Y775),INDEX(AllCollegeMoneyCode, MATCH(N775,AllCollegeNCES,0)),"?")</f>
        <v>0</v>
      </c>
      <c r="BU775">
        <f>IF(OR(BT775="---",BT775="--",BT775="+/--",BT775="+/---"),1,0)</f>
        <v>0</v>
      </c>
      <c r="BV775">
        <f>AY775*AO775*AQ775</f>
        <v>0</v>
      </c>
    </row>
    <row r="776" spans="1:74">
      <c r="A776" t="s">
        <v>86</v>
      </c>
      <c r="B776">
        <v>30323076</v>
      </c>
      <c r="C776" t="s">
        <v>167</v>
      </c>
      <c r="D776" t="s">
        <v>168</v>
      </c>
      <c r="E776" t="s">
        <v>428</v>
      </c>
      <c r="F776" t="s">
        <v>459</v>
      </c>
      <c r="G776" t="s">
        <v>430</v>
      </c>
      <c r="H776" t="s">
        <v>431</v>
      </c>
      <c r="I776" t="s">
        <v>432</v>
      </c>
      <c r="J776" t="s">
        <v>432</v>
      </c>
      <c r="K776">
        <v>0</v>
      </c>
      <c r="L776" t="s">
        <v>428</v>
      </c>
      <c r="M776" t="s">
        <v>428</v>
      </c>
      <c r="N776">
        <v>146427</v>
      </c>
      <c r="O776">
        <f>INDEX(AllCollegeBarrons,MATCH(N776,AllCollegeNCES,0))</f>
        <v>0</v>
      </c>
      <c r="P776">
        <f>INDEX(KidGPAs,MATCH(B776,KidIDs,0))</f>
        <v>0</v>
      </c>
      <c r="Q776">
        <f>INDEX(KidACTs,MATCH(B776,KidIDs,0))</f>
        <v>0</v>
      </c>
      <c r="R776">
        <f>INDEX(Strats,MATCH(B776,KidIDs,0))</f>
        <v>0</v>
      </c>
      <c r="S776">
        <f>INDEX(KidRace,MATCH(B776,KidIDs,0))</f>
        <v>0</v>
      </c>
      <c r="T776">
        <f>IF(OR(S776="M",S776="I"),"H",S776)</f>
        <v>0</v>
      </c>
      <c r="U776">
        <f>INDEX(StudentTargets,MATCH(B776,KidIDs,0))</f>
        <v>0</v>
      </c>
      <c r="V776">
        <f>INDEX(ReachStudentTargets,MATCH(B776,KidIDs,0))</f>
        <v>0</v>
      </c>
      <c r="W776">
        <f>IF(OR(M776="Posse"),1,0)</f>
        <v>0</v>
      </c>
      <c r="X776">
        <f>IF(ISNUMBER(INDEX(AllCollegeGR, MATCH(N776,AllCollegeNCES,0))),ROUND(INDEX(AllCollegeGR, MATCH(N776,AllCollegeNCES,0))+W776*IF(INDEX(AllCollegeGR, MATCH(N776,AllCollegeNCES,0))&gt;0.7,(1-INDEX(AllCollegeGR, MATCH(N776,AllCollegeNCES,0)))/2,0.15),2),INDEX(AllCollegeGR, MATCH(N776,AllCollegeNCES,0)))</f>
        <v>0</v>
      </c>
      <c r="Y776">
        <f>IF(ISNUMBER(INDEX(AllCollegeAAHGR, MATCH(N776,AllCollegeNCES,0))),ROUND(INDEX(AllCollegeAAHGR, MATCH(N776,AllCollegeNCES,0))+W776*IF(INDEX(AllCollegeAAHGR, MATCH(N776,AllCollegeNCES,0))&gt;0.7,(1-INDEX(AllCollegeAAHGR, MATCH(N776,AllCollegeNCES,0)))/2,0.15),2),INDEX(AllCollegeAAHGR, MATCH(N776,AllCollegeNCES,0)))</f>
        <v>0</v>
      </c>
      <c r="Z776">
        <f>IF(OR(T776="H",T776="B"),INDEX(AllCollegeACT25, MATCH(N776,AllCollegeNCES,0)),INDEX(AllCollegeACT50, MATCH(N776,AllCollegeNCES,0)))</f>
        <v>0</v>
      </c>
      <c r="AA776">
        <f>INDEX(CustomWeightsGPA,MATCH(T776&amp;":"&amp;N776,CustomWeightsIndex,0))</f>
        <v>0</v>
      </c>
      <c r="AB776">
        <f>INDEX(CustomWeightsACT,MATCH(T776&amp;":"&amp;N776,CustomWeightsIndex,0))</f>
        <v>0</v>
      </c>
      <c r="AC776">
        <f>INDEX(CustomWeightsIntercept,MATCH(T776&amp;":"&amp;N776,CustomWeightsIndex,0))</f>
        <v>0</v>
      </c>
      <c r="AD776">
        <f>AA776*P776+AB776*Q776+AC776</f>
        <v>0</v>
      </c>
      <c r="AE776">
        <f>INDEX(CoefficientsGPA,MATCH(T776&amp;":"&amp;O776,CoefficientsIndex,0))</f>
        <v>0</v>
      </c>
      <c r="AF776">
        <f>INDEX(CoefficientsACT,MATCH(T776&amp;":"&amp;O776,CoefficientsIndex,0))</f>
        <v>0</v>
      </c>
      <c r="AG776">
        <f>INDEX(CoefficientsIntercept,MATCH(T776&amp;":"&amp;O776,CoefficientsIndex,0))</f>
        <v>0</v>
      </c>
      <c r="AH776">
        <f>AE776*P776+(Q776-Z776)*AF776+AG776</f>
        <v>0</v>
      </c>
      <c r="AI776">
        <f>IF(ISNUMBER(AD776),AD776,AH776)</f>
        <v>0</v>
      </c>
      <c r="AJ776">
        <f>IF(ISNUMBER(AI776),IF(ISNUMBER(AE776),IF(AND(AE776=1,AF776=1,AG776=1),100,ROUND(100*EXP(AI776)/(1+EXP(AI776)),2)),ROUND(100*EXP(AI776)/(1+EXP(AI776)),2)),IF(ISTEXT(O776),IF(LEFT(O776,1)="2",100,"N/A"),"N/A"))</f>
        <v>0</v>
      </c>
      <c r="AK776">
        <f>IF(ISNUMBER(AJ776),IF(AJ776&gt;=99,IF(OR(R776=10,R776=11),MatchLabel,SureThingLabel),IF(AJ776&gt;=95,SecureLabel,IF(AJ776&gt;=80,SafetyLabel,IF(AJ776&gt;=50,MatchLabel,IF(AJ776&gt;=20,ReachLabel,IF(AJ776&gt;=10,LongshotLabel,HailMaryLabel)))))),"Other")</f>
        <v>0</v>
      </c>
      <c r="AL776">
        <f>IF(OR(I776="accepted",I776="cond. accept",I776="summer admit"),IF(J776="yes","CHOICE!","Accepted!"),IF(I776="denied","Denied",IF(K776=1,"Waitlist",IF(L776=1,"Deferred",IF(G776="pending","Pending",IF(OR(G776="initial materials submitted",G776="mid-year submitted",G776="final submitted"),"Submitted",IF(H776="interest","Interest","?")))))))</f>
        <v>0</v>
      </c>
      <c r="AM776">
        <f>IF(OR(AK776=ReachLabel,AK776=LongshotLabel,AK776=HailMaryLabel),1,0)</f>
        <v>0</v>
      </c>
      <c r="AN776">
        <f>IF(OR(AM776=1,AK776=MatchLabel),1,0)</f>
        <v>0</v>
      </c>
      <c r="AO776">
        <f>IF(OR(AK776=MatchLabel,AK776=SafetyLabel,AK776=SecureLabel,AK776=SureThingLabel),1,0)</f>
        <v>0</v>
      </c>
      <c r="AP776">
        <f>IF(OR(T776="H",T776="B"),IF(ISNUMBER(Y776),ROUND(Y776,2),0),IF(ISNUMBER(X776),ROUND(X776,2),0))</f>
        <v>0</v>
      </c>
      <c r="AQ776">
        <f>IF(AP776&gt;=U776,1,0)</f>
        <v>0</v>
      </c>
      <c r="AR776">
        <f>IF(AP776&gt;=V776,1,0)</f>
        <v>0</v>
      </c>
      <c r="AS776">
        <f>IF(AP776&lt;(U776-0.10),1,0)</f>
        <v>0</v>
      </c>
      <c r="AT776">
        <f>1-AJ776/100</f>
        <v>0</v>
      </c>
      <c r="AU776">
        <f>IF(AN776=1,AT776,1)</f>
        <v>0</v>
      </c>
      <c r="AV776">
        <f>IF(AM776=1,AT776,1)</f>
        <v>0</v>
      </c>
      <c r="AW776">
        <f>IF(AND(AQ776=1,ISNUMBER(AT776)),$AT776,1)</f>
        <v>0</v>
      </c>
      <c r="AX776">
        <f>IF(AND(AR776=1,ISNUMBER(AT776)),$AT776,1)</f>
        <v>0</v>
      </c>
      <c r="AY776">
        <f>IF(ISNUMBER(Y776),INDEX(AllCollegeMoney, MATCH(N776,AllCollegeNCES,0)),0)</f>
        <v>0</v>
      </c>
      <c r="AZ776">
        <f>IF(AND(AQ776=1,ISNUMBER(AT776),AY776=1),$AT776,1)</f>
        <v>0</v>
      </c>
      <c r="BA776">
        <f>IF(AND(AR776=1,ISNUMBER(AT776),AY776=1),$AT776,1)</f>
        <v>0</v>
      </c>
      <c r="BB776">
        <f>IF(ISNUMBER(Y776),INDEX(AllCollegeILPub, MATCH(N776,AllCollegeNCES,0)),0)</f>
        <v>0</v>
      </c>
      <c r="BC776">
        <f>IF(AK776=ReachLabel,AP776,0)</f>
        <v>0</v>
      </c>
      <c r="BD776">
        <f>IF(AK776=MatchLabel,AP776,0)</f>
        <v>0</v>
      </c>
      <c r="BE776">
        <f>IF(AK776=SafetyLabel,AP776,0)</f>
        <v>0</v>
      </c>
      <c r="BF776">
        <f>IF(AK776=SecureLabel,AP776,0)</f>
        <v>0</v>
      </c>
      <c r="BG776">
        <f>IF(AK776=SureThingLabel,AP776,0)</f>
        <v>0</v>
      </c>
      <c r="BH776">
        <f>MAX(BC776:BG776)</f>
        <v>0</v>
      </c>
      <c r="BI776">
        <f>MAX(BD776:BG776)</f>
        <v>0</v>
      </c>
      <c r="BJ776">
        <f>MAX(BE776:BG776)</f>
        <v>0</v>
      </c>
      <c r="BK776">
        <f>IF(AND(AK776=ReachLabel,AY776=1),AP776,0)</f>
        <v>0</v>
      </c>
      <c r="BL776">
        <f>IF(AND(AK776=MatchLabel,AY776=1),AP776,0)</f>
        <v>0</v>
      </c>
      <c r="BM776">
        <f>IF(AND(AK776=SafetyLabel,AY776=1),AP776,0)</f>
        <v>0</v>
      </c>
      <c r="BN776">
        <f>IF(AND(AK776=SecureLabel,AY776=1),AP776,0)</f>
        <v>0</v>
      </c>
      <c r="BO776">
        <f>IF(AND(AK776=SureThingLabel,AY776=1),AP776,0)</f>
        <v>0</v>
      </c>
      <c r="BP776">
        <f>MAX(BK776:BO776)</f>
        <v>0</v>
      </c>
      <c r="BQ776">
        <f>MAX(BL776:BO776)</f>
        <v>0</v>
      </c>
      <c r="BR776">
        <f>MAX(BM776:BO776)</f>
        <v>0</v>
      </c>
      <c r="BS776">
        <f>IF(ISNUMBER(Y776),INDEX(AllCollegeChicago, MATCH(N776,AllCollegeNCES,0))*AY776,0)</f>
        <v>0</v>
      </c>
      <c r="BT776">
        <f>IF(ISNUMBER(Y776),INDEX(AllCollegeMoneyCode, MATCH(N776,AllCollegeNCES,0)),"?")</f>
        <v>0</v>
      </c>
      <c r="BU776">
        <f>IF(OR(BT776="---",BT776="--",BT776="+/--",BT776="+/---"),1,0)</f>
        <v>0</v>
      </c>
      <c r="BV776">
        <f>AY776*AO776*AQ776</f>
        <v>0</v>
      </c>
    </row>
    <row r="777" spans="1:74">
      <c r="A777" t="s">
        <v>86</v>
      </c>
      <c r="B777">
        <v>30323076</v>
      </c>
      <c r="C777" t="s">
        <v>167</v>
      </c>
      <c r="D777" t="s">
        <v>168</v>
      </c>
      <c r="E777" t="s">
        <v>428</v>
      </c>
      <c r="F777" t="s">
        <v>471</v>
      </c>
      <c r="G777" t="s">
        <v>430</v>
      </c>
      <c r="H777" t="s">
        <v>431</v>
      </c>
      <c r="I777" t="s">
        <v>432</v>
      </c>
      <c r="J777" t="s">
        <v>432</v>
      </c>
      <c r="K777">
        <v>0</v>
      </c>
      <c r="L777" t="s">
        <v>428</v>
      </c>
      <c r="M777" t="s">
        <v>428</v>
      </c>
      <c r="N777">
        <v>170301</v>
      </c>
      <c r="O777">
        <f>INDEX(AllCollegeBarrons,MATCH(N777,AllCollegeNCES,0))</f>
        <v>0</v>
      </c>
      <c r="P777">
        <f>INDEX(KidGPAs,MATCH(B777,KidIDs,0))</f>
        <v>0</v>
      </c>
      <c r="Q777">
        <f>INDEX(KidACTs,MATCH(B777,KidIDs,0))</f>
        <v>0</v>
      </c>
      <c r="R777">
        <f>INDEX(Strats,MATCH(B777,KidIDs,0))</f>
        <v>0</v>
      </c>
      <c r="S777">
        <f>INDEX(KidRace,MATCH(B777,KidIDs,0))</f>
        <v>0</v>
      </c>
      <c r="T777">
        <f>IF(OR(S777="M",S777="I"),"H",S777)</f>
        <v>0</v>
      </c>
      <c r="U777">
        <f>INDEX(StudentTargets,MATCH(B777,KidIDs,0))</f>
        <v>0</v>
      </c>
      <c r="V777">
        <f>INDEX(ReachStudentTargets,MATCH(B777,KidIDs,0))</f>
        <v>0</v>
      </c>
      <c r="W777">
        <f>IF(OR(M777="Posse"),1,0)</f>
        <v>0</v>
      </c>
      <c r="X777">
        <f>IF(ISNUMBER(INDEX(AllCollegeGR, MATCH(N777,AllCollegeNCES,0))),ROUND(INDEX(AllCollegeGR, MATCH(N777,AllCollegeNCES,0))+W777*IF(INDEX(AllCollegeGR, MATCH(N777,AllCollegeNCES,0))&gt;0.7,(1-INDEX(AllCollegeGR, MATCH(N777,AllCollegeNCES,0)))/2,0.15),2),INDEX(AllCollegeGR, MATCH(N777,AllCollegeNCES,0)))</f>
        <v>0</v>
      </c>
      <c r="Y777">
        <f>IF(ISNUMBER(INDEX(AllCollegeAAHGR, MATCH(N777,AllCollegeNCES,0))),ROUND(INDEX(AllCollegeAAHGR, MATCH(N777,AllCollegeNCES,0))+W777*IF(INDEX(AllCollegeAAHGR, MATCH(N777,AllCollegeNCES,0))&gt;0.7,(1-INDEX(AllCollegeAAHGR, MATCH(N777,AllCollegeNCES,0)))/2,0.15),2),INDEX(AllCollegeAAHGR, MATCH(N777,AllCollegeNCES,0)))</f>
        <v>0</v>
      </c>
      <c r="Z777">
        <f>IF(OR(T777="H",T777="B"),INDEX(AllCollegeACT25, MATCH(N777,AllCollegeNCES,0)),INDEX(AllCollegeACT50, MATCH(N777,AllCollegeNCES,0)))</f>
        <v>0</v>
      </c>
      <c r="AA777">
        <f>INDEX(CustomWeightsGPA,MATCH(T777&amp;":"&amp;N777,CustomWeightsIndex,0))</f>
        <v>0</v>
      </c>
      <c r="AB777">
        <f>INDEX(CustomWeightsACT,MATCH(T777&amp;":"&amp;N777,CustomWeightsIndex,0))</f>
        <v>0</v>
      </c>
      <c r="AC777">
        <f>INDEX(CustomWeightsIntercept,MATCH(T777&amp;":"&amp;N777,CustomWeightsIndex,0))</f>
        <v>0</v>
      </c>
      <c r="AD777">
        <f>AA777*P777+AB777*Q777+AC777</f>
        <v>0</v>
      </c>
      <c r="AE777">
        <f>INDEX(CoefficientsGPA,MATCH(T777&amp;":"&amp;O777,CoefficientsIndex,0))</f>
        <v>0</v>
      </c>
      <c r="AF777">
        <f>INDEX(CoefficientsACT,MATCH(T777&amp;":"&amp;O777,CoefficientsIndex,0))</f>
        <v>0</v>
      </c>
      <c r="AG777">
        <f>INDEX(CoefficientsIntercept,MATCH(T777&amp;":"&amp;O777,CoefficientsIndex,0))</f>
        <v>0</v>
      </c>
      <c r="AH777">
        <f>AE777*P777+(Q777-Z777)*AF777+AG777</f>
        <v>0</v>
      </c>
      <c r="AI777">
        <f>IF(ISNUMBER(AD777),AD777,AH777)</f>
        <v>0</v>
      </c>
      <c r="AJ777">
        <f>IF(ISNUMBER(AI777),IF(ISNUMBER(AE777),IF(AND(AE777=1,AF777=1,AG777=1),100,ROUND(100*EXP(AI777)/(1+EXP(AI777)),2)),ROUND(100*EXP(AI777)/(1+EXP(AI777)),2)),IF(ISTEXT(O777),IF(LEFT(O777,1)="2",100,"N/A"),"N/A"))</f>
        <v>0</v>
      </c>
      <c r="AK777">
        <f>IF(ISNUMBER(AJ777),IF(AJ777&gt;=99,IF(OR(R777=10,R777=11),MatchLabel,SureThingLabel),IF(AJ777&gt;=95,SecureLabel,IF(AJ777&gt;=80,SafetyLabel,IF(AJ777&gt;=50,MatchLabel,IF(AJ777&gt;=20,ReachLabel,IF(AJ777&gt;=10,LongshotLabel,HailMaryLabel)))))),"Other")</f>
        <v>0</v>
      </c>
      <c r="AL777">
        <f>IF(OR(I777="accepted",I777="cond. accept",I777="summer admit"),IF(J777="yes","CHOICE!","Accepted!"),IF(I777="denied","Denied",IF(K777=1,"Waitlist",IF(L777=1,"Deferred",IF(G777="pending","Pending",IF(OR(G777="initial materials submitted",G777="mid-year submitted",G777="final submitted"),"Submitted",IF(H777="interest","Interest","?")))))))</f>
        <v>0</v>
      </c>
      <c r="AM777">
        <f>IF(OR(AK777=ReachLabel,AK777=LongshotLabel,AK777=HailMaryLabel),1,0)</f>
        <v>0</v>
      </c>
      <c r="AN777">
        <f>IF(OR(AM777=1,AK777=MatchLabel),1,0)</f>
        <v>0</v>
      </c>
      <c r="AO777">
        <f>IF(OR(AK777=MatchLabel,AK777=SafetyLabel,AK777=SecureLabel,AK777=SureThingLabel),1,0)</f>
        <v>0</v>
      </c>
      <c r="AP777">
        <f>IF(OR(T777="H",T777="B"),IF(ISNUMBER(Y777),ROUND(Y777,2),0),IF(ISNUMBER(X777),ROUND(X777,2),0))</f>
        <v>0</v>
      </c>
      <c r="AQ777">
        <f>IF(AP777&gt;=U777,1,0)</f>
        <v>0</v>
      </c>
      <c r="AR777">
        <f>IF(AP777&gt;=V777,1,0)</f>
        <v>0</v>
      </c>
      <c r="AS777">
        <f>IF(AP777&lt;(U777-0.10),1,0)</f>
        <v>0</v>
      </c>
      <c r="AT777">
        <f>1-AJ777/100</f>
        <v>0</v>
      </c>
      <c r="AU777">
        <f>IF(AN777=1,AT777,1)</f>
        <v>0</v>
      </c>
      <c r="AV777">
        <f>IF(AM777=1,AT777,1)</f>
        <v>0</v>
      </c>
      <c r="AW777">
        <f>IF(AND(AQ777=1,ISNUMBER(AT777)),$AT777,1)</f>
        <v>0</v>
      </c>
      <c r="AX777">
        <f>IF(AND(AR777=1,ISNUMBER(AT777)),$AT777,1)</f>
        <v>0</v>
      </c>
      <c r="AY777">
        <f>IF(ISNUMBER(Y777),INDEX(AllCollegeMoney, MATCH(N777,AllCollegeNCES,0)),0)</f>
        <v>0</v>
      </c>
      <c r="AZ777">
        <f>IF(AND(AQ777=1,ISNUMBER(AT777),AY777=1),$AT777,1)</f>
        <v>0</v>
      </c>
      <c r="BA777">
        <f>IF(AND(AR777=1,ISNUMBER(AT777),AY777=1),$AT777,1)</f>
        <v>0</v>
      </c>
      <c r="BB777">
        <f>IF(ISNUMBER(Y777),INDEX(AllCollegeILPub, MATCH(N777,AllCollegeNCES,0)),0)</f>
        <v>0</v>
      </c>
      <c r="BC777">
        <f>IF(AK777=ReachLabel,AP777,0)</f>
        <v>0</v>
      </c>
      <c r="BD777">
        <f>IF(AK777=MatchLabel,AP777,0)</f>
        <v>0</v>
      </c>
      <c r="BE777">
        <f>IF(AK777=SafetyLabel,AP777,0)</f>
        <v>0</v>
      </c>
      <c r="BF777">
        <f>IF(AK777=SecureLabel,AP777,0)</f>
        <v>0</v>
      </c>
      <c r="BG777">
        <f>IF(AK777=SureThingLabel,AP777,0)</f>
        <v>0</v>
      </c>
      <c r="BH777">
        <f>MAX(BC777:BG777)</f>
        <v>0</v>
      </c>
      <c r="BI777">
        <f>MAX(BD777:BG777)</f>
        <v>0</v>
      </c>
      <c r="BJ777">
        <f>MAX(BE777:BG777)</f>
        <v>0</v>
      </c>
      <c r="BK777">
        <f>IF(AND(AK777=ReachLabel,AY777=1),AP777,0)</f>
        <v>0</v>
      </c>
      <c r="BL777">
        <f>IF(AND(AK777=MatchLabel,AY777=1),AP777,0)</f>
        <v>0</v>
      </c>
      <c r="BM777">
        <f>IF(AND(AK777=SafetyLabel,AY777=1),AP777,0)</f>
        <v>0</v>
      </c>
      <c r="BN777">
        <f>IF(AND(AK777=SecureLabel,AY777=1),AP777,0)</f>
        <v>0</v>
      </c>
      <c r="BO777">
        <f>IF(AND(AK777=SureThingLabel,AY777=1),AP777,0)</f>
        <v>0</v>
      </c>
      <c r="BP777">
        <f>MAX(BK777:BO777)</f>
        <v>0</v>
      </c>
      <c r="BQ777">
        <f>MAX(BL777:BO777)</f>
        <v>0</v>
      </c>
      <c r="BR777">
        <f>MAX(BM777:BO777)</f>
        <v>0</v>
      </c>
      <c r="BS777">
        <f>IF(ISNUMBER(Y777),INDEX(AllCollegeChicago, MATCH(N777,AllCollegeNCES,0))*AY777,0)</f>
        <v>0</v>
      </c>
      <c r="BT777">
        <f>IF(ISNUMBER(Y777),INDEX(AllCollegeMoneyCode, MATCH(N777,AllCollegeNCES,0)),"?")</f>
        <v>0</v>
      </c>
      <c r="BU777">
        <f>IF(OR(BT777="---",BT777="--",BT777="+/--",BT777="+/---"),1,0)</f>
        <v>0</v>
      </c>
      <c r="BV777">
        <f>AY777*AO777*AQ777</f>
        <v>0</v>
      </c>
    </row>
    <row r="778" spans="1:74">
      <c r="A778" t="s">
        <v>86</v>
      </c>
      <c r="B778">
        <v>30323076</v>
      </c>
      <c r="C778" t="s">
        <v>167</v>
      </c>
      <c r="D778" t="s">
        <v>168</v>
      </c>
      <c r="E778" t="s">
        <v>428</v>
      </c>
      <c r="F778" t="s">
        <v>460</v>
      </c>
      <c r="G778" t="s">
        <v>430</v>
      </c>
      <c r="H778" t="s">
        <v>431</v>
      </c>
      <c r="I778" t="s">
        <v>432</v>
      </c>
      <c r="J778" t="s">
        <v>432</v>
      </c>
      <c r="K778">
        <v>0</v>
      </c>
      <c r="L778" t="s">
        <v>428</v>
      </c>
      <c r="M778" t="s">
        <v>428</v>
      </c>
      <c r="N778">
        <v>221519</v>
      </c>
      <c r="O778">
        <f>INDEX(AllCollegeBarrons,MATCH(N778,AllCollegeNCES,0))</f>
        <v>0</v>
      </c>
      <c r="P778">
        <f>INDEX(KidGPAs,MATCH(B778,KidIDs,0))</f>
        <v>0</v>
      </c>
      <c r="Q778">
        <f>INDEX(KidACTs,MATCH(B778,KidIDs,0))</f>
        <v>0</v>
      </c>
      <c r="R778">
        <f>INDEX(Strats,MATCH(B778,KidIDs,0))</f>
        <v>0</v>
      </c>
      <c r="S778">
        <f>INDEX(KidRace,MATCH(B778,KidIDs,0))</f>
        <v>0</v>
      </c>
      <c r="T778">
        <f>IF(OR(S778="M",S778="I"),"H",S778)</f>
        <v>0</v>
      </c>
      <c r="U778">
        <f>INDEX(StudentTargets,MATCH(B778,KidIDs,0))</f>
        <v>0</v>
      </c>
      <c r="V778">
        <f>INDEX(ReachStudentTargets,MATCH(B778,KidIDs,0))</f>
        <v>0</v>
      </c>
      <c r="W778">
        <f>IF(OR(M778="Posse"),1,0)</f>
        <v>0</v>
      </c>
      <c r="X778">
        <f>IF(ISNUMBER(INDEX(AllCollegeGR, MATCH(N778,AllCollegeNCES,0))),ROUND(INDEX(AllCollegeGR, MATCH(N778,AllCollegeNCES,0))+W778*IF(INDEX(AllCollegeGR, MATCH(N778,AllCollegeNCES,0))&gt;0.7,(1-INDEX(AllCollegeGR, MATCH(N778,AllCollegeNCES,0)))/2,0.15),2),INDEX(AllCollegeGR, MATCH(N778,AllCollegeNCES,0)))</f>
        <v>0</v>
      </c>
      <c r="Y778">
        <f>IF(ISNUMBER(INDEX(AllCollegeAAHGR, MATCH(N778,AllCollegeNCES,0))),ROUND(INDEX(AllCollegeAAHGR, MATCH(N778,AllCollegeNCES,0))+W778*IF(INDEX(AllCollegeAAHGR, MATCH(N778,AllCollegeNCES,0))&gt;0.7,(1-INDEX(AllCollegeAAHGR, MATCH(N778,AllCollegeNCES,0)))/2,0.15),2),INDEX(AllCollegeAAHGR, MATCH(N778,AllCollegeNCES,0)))</f>
        <v>0</v>
      </c>
      <c r="Z778">
        <f>IF(OR(T778="H",T778="B"),INDEX(AllCollegeACT25, MATCH(N778,AllCollegeNCES,0)),INDEX(AllCollegeACT50, MATCH(N778,AllCollegeNCES,0)))</f>
        <v>0</v>
      </c>
      <c r="AA778">
        <f>INDEX(CustomWeightsGPA,MATCH(T778&amp;":"&amp;N778,CustomWeightsIndex,0))</f>
        <v>0</v>
      </c>
      <c r="AB778">
        <f>INDEX(CustomWeightsACT,MATCH(T778&amp;":"&amp;N778,CustomWeightsIndex,0))</f>
        <v>0</v>
      </c>
      <c r="AC778">
        <f>INDEX(CustomWeightsIntercept,MATCH(T778&amp;":"&amp;N778,CustomWeightsIndex,0))</f>
        <v>0</v>
      </c>
      <c r="AD778">
        <f>AA778*P778+AB778*Q778+AC778</f>
        <v>0</v>
      </c>
      <c r="AE778">
        <f>INDEX(CoefficientsGPA,MATCH(T778&amp;":"&amp;O778,CoefficientsIndex,0))</f>
        <v>0</v>
      </c>
      <c r="AF778">
        <f>INDEX(CoefficientsACT,MATCH(T778&amp;":"&amp;O778,CoefficientsIndex,0))</f>
        <v>0</v>
      </c>
      <c r="AG778">
        <f>INDEX(CoefficientsIntercept,MATCH(T778&amp;":"&amp;O778,CoefficientsIndex,0))</f>
        <v>0</v>
      </c>
      <c r="AH778">
        <f>AE778*P778+(Q778-Z778)*AF778+AG778</f>
        <v>0</v>
      </c>
      <c r="AI778">
        <f>IF(ISNUMBER(AD778),AD778,AH778)</f>
        <v>0</v>
      </c>
      <c r="AJ778">
        <f>IF(ISNUMBER(AI778),IF(ISNUMBER(AE778),IF(AND(AE778=1,AF778=1,AG778=1),100,ROUND(100*EXP(AI778)/(1+EXP(AI778)),2)),ROUND(100*EXP(AI778)/(1+EXP(AI778)),2)),IF(ISTEXT(O778),IF(LEFT(O778,1)="2",100,"N/A"),"N/A"))</f>
        <v>0</v>
      </c>
      <c r="AK778">
        <f>IF(ISNUMBER(AJ778),IF(AJ778&gt;=99,IF(OR(R778=10,R778=11),MatchLabel,SureThingLabel),IF(AJ778&gt;=95,SecureLabel,IF(AJ778&gt;=80,SafetyLabel,IF(AJ778&gt;=50,MatchLabel,IF(AJ778&gt;=20,ReachLabel,IF(AJ778&gt;=10,LongshotLabel,HailMaryLabel)))))),"Other")</f>
        <v>0</v>
      </c>
      <c r="AL778">
        <f>IF(OR(I778="accepted",I778="cond. accept",I778="summer admit"),IF(J778="yes","CHOICE!","Accepted!"),IF(I778="denied","Denied",IF(K778=1,"Waitlist",IF(L778=1,"Deferred",IF(G778="pending","Pending",IF(OR(G778="initial materials submitted",G778="mid-year submitted",G778="final submitted"),"Submitted",IF(H778="interest","Interest","?")))))))</f>
        <v>0</v>
      </c>
      <c r="AM778">
        <f>IF(OR(AK778=ReachLabel,AK778=LongshotLabel,AK778=HailMaryLabel),1,0)</f>
        <v>0</v>
      </c>
      <c r="AN778">
        <f>IF(OR(AM778=1,AK778=MatchLabel),1,0)</f>
        <v>0</v>
      </c>
      <c r="AO778">
        <f>IF(OR(AK778=MatchLabel,AK778=SafetyLabel,AK778=SecureLabel,AK778=SureThingLabel),1,0)</f>
        <v>0</v>
      </c>
      <c r="AP778">
        <f>IF(OR(T778="H",T778="B"),IF(ISNUMBER(Y778),ROUND(Y778,2),0),IF(ISNUMBER(X778),ROUND(X778,2),0))</f>
        <v>0</v>
      </c>
      <c r="AQ778">
        <f>IF(AP778&gt;=U778,1,0)</f>
        <v>0</v>
      </c>
      <c r="AR778">
        <f>IF(AP778&gt;=V778,1,0)</f>
        <v>0</v>
      </c>
      <c r="AS778">
        <f>IF(AP778&lt;(U778-0.10),1,0)</f>
        <v>0</v>
      </c>
      <c r="AT778">
        <f>1-AJ778/100</f>
        <v>0</v>
      </c>
      <c r="AU778">
        <f>IF(AN778=1,AT778,1)</f>
        <v>0</v>
      </c>
      <c r="AV778">
        <f>IF(AM778=1,AT778,1)</f>
        <v>0</v>
      </c>
      <c r="AW778">
        <f>IF(AND(AQ778=1,ISNUMBER(AT778)),$AT778,1)</f>
        <v>0</v>
      </c>
      <c r="AX778">
        <f>IF(AND(AR778=1,ISNUMBER(AT778)),$AT778,1)</f>
        <v>0</v>
      </c>
      <c r="AY778">
        <f>IF(ISNUMBER(Y778),INDEX(AllCollegeMoney, MATCH(N778,AllCollegeNCES,0)),0)</f>
        <v>0</v>
      </c>
      <c r="AZ778">
        <f>IF(AND(AQ778=1,ISNUMBER(AT778),AY778=1),$AT778,1)</f>
        <v>0</v>
      </c>
      <c r="BA778">
        <f>IF(AND(AR778=1,ISNUMBER(AT778),AY778=1),$AT778,1)</f>
        <v>0</v>
      </c>
      <c r="BB778">
        <f>IF(ISNUMBER(Y778),INDEX(AllCollegeILPub, MATCH(N778,AllCollegeNCES,0)),0)</f>
        <v>0</v>
      </c>
      <c r="BC778">
        <f>IF(AK778=ReachLabel,AP778,0)</f>
        <v>0</v>
      </c>
      <c r="BD778">
        <f>IF(AK778=MatchLabel,AP778,0)</f>
        <v>0</v>
      </c>
      <c r="BE778">
        <f>IF(AK778=SafetyLabel,AP778,0)</f>
        <v>0</v>
      </c>
      <c r="BF778">
        <f>IF(AK778=SecureLabel,AP778,0)</f>
        <v>0</v>
      </c>
      <c r="BG778">
        <f>IF(AK778=SureThingLabel,AP778,0)</f>
        <v>0</v>
      </c>
      <c r="BH778">
        <f>MAX(BC778:BG778)</f>
        <v>0</v>
      </c>
      <c r="BI778">
        <f>MAX(BD778:BG778)</f>
        <v>0</v>
      </c>
      <c r="BJ778">
        <f>MAX(BE778:BG778)</f>
        <v>0</v>
      </c>
      <c r="BK778">
        <f>IF(AND(AK778=ReachLabel,AY778=1),AP778,0)</f>
        <v>0</v>
      </c>
      <c r="BL778">
        <f>IF(AND(AK778=MatchLabel,AY778=1),AP778,0)</f>
        <v>0</v>
      </c>
      <c r="BM778">
        <f>IF(AND(AK778=SafetyLabel,AY778=1),AP778,0)</f>
        <v>0</v>
      </c>
      <c r="BN778">
        <f>IF(AND(AK778=SecureLabel,AY778=1),AP778,0)</f>
        <v>0</v>
      </c>
      <c r="BO778">
        <f>IF(AND(AK778=SureThingLabel,AY778=1),AP778,0)</f>
        <v>0</v>
      </c>
      <c r="BP778">
        <f>MAX(BK778:BO778)</f>
        <v>0</v>
      </c>
      <c r="BQ778">
        <f>MAX(BL778:BO778)</f>
        <v>0</v>
      </c>
      <c r="BR778">
        <f>MAX(BM778:BO778)</f>
        <v>0</v>
      </c>
      <c r="BS778">
        <f>IF(ISNUMBER(Y778),INDEX(AllCollegeChicago, MATCH(N778,AllCollegeNCES,0))*AY778,0)</f>
        <v>0</v>
      </c>
      <c r="BT778">
        <f>IF(ISNUMBER(Y778),INDEX(AllCollegeMoneyCode, MATCH(N778,AllCollegeNCES,0)),"?")</f>
        <v>0</v>
      </c>
      <c r="BU778">
        <f>IF(OR(BT778="---",BT778="--",BT778="+/--",BT778="+/---"),1,0)</f>
        <v>0</v>
      </c>
      <c r="BV778">
        <f>AY778*AO778*AQ778</f>
        <v>0</v>
      </c>
    </row>
    <row r="779" spans="1:74">
      <c r="A779" t="s">
        <v>86</v>
      </c>
      <c r="B779">
        <v>30323076</v>
      </c>
      <c r="C779" t="s">
        <v>167</v>
      </c>
      <c r="D779" t="s">
        <v>168</v>
      </c>
      <c r="E779" t="s">
        <v>428</v>
      </c>
      <c r="F779" t="s">
        <v>592</v>
      </c>
      <c r="G779" t="s">
        <v>463</v>
      </c>
      <c r="H779" t="s">
        <v>431</v>
      </c>
      <c r="I779" t="s">
        <v>432</v>
      </c>
      <c r="J779" t="s">
        <v>432</v>
      </c>
      <c r="K779">
        <v>0</v>
      </c>
      <c r="L779" t="s">
        <v>428</v>
      </c>
      <c r="M779" t="s">
        <v>428</v>
      </c>
      <c r="N779">
        <v>151351</v>
      </c>
      <c r="O779">
        <f>INDEX(AllCollegeBarrons,MATCH(N779,AllCollegeNCES,0))</f>
        <v>0</v>
      </c>
      <c r="P779">
        <f>INDEX(KidGPAs,MATCH(B779,KidIDs,0))</f>
        <v>0</v>
      </c>
      <c r="Q779">
        <f>INDEX(KidACTs,MATCH(B779,KidIDs,0))</f>
        <v>0</v>
      </c>
      <c r="R779">
        <f>INDEX(Strats,MATCH(B779,KidIDs,0))</f>
        <v>0</v>
      </c>
      <c r="S779">
        <f>INDEX(KidRace,MATCH(B779,KidIDs,0))</f>
        <v>0</v>
      </c>
      <c r="T779">
        <f>IF(OR(S779="M",S779="I"),"H",S779)</f>
        <v>0</v>
      </c>
      <c r="U779">
        <f>INDEX(StudentTargets,MATCH(B779,KidIDs,0))</f>
        <v>0</v>
      </c>
      <c r="V779">
        <f>INDEX(ReachStudentTargets,MATCH(B779,KidIDs,0))</f>
        <v>0</v>
      </c>
      <c r="W779">
        <f>IF(OR(M779="Posse"),1,0)</f>
        <v>0</v>
      </c>
      <c r="X779">
        <f>IF(ISNUMBER(INDEX(AllCollegeGR, MATCH(N779,AllCollegeNCES,0))),ROUND(INDEX(AllCollegeGR, MATCH(N779,AllCollegeNCES,0))+W779*IF(INDEX(AllCollegeGR, MATCH(N779,AllCollegeNCES,0))&gt;0.7,(1-INDEX(AllCollegeGR, MATCH(N779,AllCollegeNCES,0)))/2,0.15),2),INDEX(AllCollegeGR, MATCH(N779,AllCollegeNCES,0)))</f>
        <v>0</v>
      </c>
      <c r="Y779">
        <f>IF(ISNUMBER(INDEX(AllCollegeAAHGR, MATCH(N779,AllCollegeNCES,0))),ROUND(INDEX(AllCollegeAAHGR, MATCH(N779,AllCollegeNCES,0))+W779*IF(INDEX(AllCollegeAAHGR, MATCH(N779,AllCollegeNCES,0))&gt;0.7,(1-INDEX(AllCollegeAAHGR, MATCH(N779,AllCollegeNCES,0)))/2,0.15),2),INDEX(AllCollegeAAHGR, MATCH(N779,AllCollegeNCES,0)))</f>
        <v>0</v>
      </c>
      <c r="Z779">
        <f>IF(OR(T779="H",T779="B"),INDEX(AllCollegeACT25, MATCH(N779,AllCollegeNCES,0)),INDEX(AllCollegeACT50, MATCH(N779,AllCollegeNCES,0)))</f>
        <v>0</v>
      </c>
      <c r="AA779">
        <f>INDEX(CustomWeightsGPA,MATCH(T779&amp;":"&amp;N779,CustomWeightsIndex,0))</f>
        <v>0</v>
      </c>
      <c r="AB779">
        <f>INDEX(CustomWeightsACT,MATCH(T779&amp;":"&amp;N779,CustomWeightsIndex,0))</f>
        <v>0</v>
      </c>
      <c r="AC779">
        <f>INDEX(CustomWeightsIntercept,MATCH(T779&amp;":"&amp;N779,CustomWeightsIndex,0))</f>
        <v>0</v>
      </c>
      <c r="AD779">
        <f>AA779*P779+AB779*Q779+AC779</f>
        <v>0</v>
      </c>
      <c r="AE779">
        <f>INDEX(CoefficientsGPA,MATCH(T779&amp;":"&amp;O779,CoefficientsIndex,0))</f>
        <v>0</v>
      </c>
      <c r="AF779">
        <f>INDEX(CoefficientsACT,MATCH(T779&amp;":"&amp;O779,CoefficientsIndex,0))</f>
        <v>0</v>
      </c>
      <c r="AG779">
        <f>INDEX(CoefficientsIntercept,MATCH(T779&amp;":"&amp;O779,CoefficientsIndex,0))</f>
        <v>0</v>
      </c>
      <c r="AH779">
        <f>AE779*P779+(Q779-Z779)*AF779+AG779</f>
        <v>0</v>
      </c>
      <c r="AI779">
        <f>IF(ISNUMBER(AD779),AD779,AH779)</f>
        <v>0</v>
      </c>
      <c r="AJ779">
        <f>IF(ISNUMBER(AI779),IF(ISNUMBER(AE779),IF(AND(AE779=1,AF779=1,AG779=1),100,ROUND(100*EXP(AI779)/(1+EXP(AI779)),2)),ROUND(100*EXP(AI779)/(1+EXP(AI779)),2)),IF(ISTEXT(O779),IF(LEFT(O779,1)="2",100,"N/A"),"N/A"))</f>
        <v>0</v>
      </c>
      <c r="AK779">
        <f>IF(ISNUMBER(AJ779),IF(AJ779&gt;=99,IF(OR(R779=10,R779=11),MatchLabel,SureThingLabel),IF(AJ779&gt;=95,SecureLabel,IF(AJ779&gt;=80,SafetyLabel,IF(AJ779&gt;=50,MatchLabel,IF(AJ779&gt;=20,ReachLabel,IF(AJ779&gt;=10,LongshotLabel,HailMaryLabel)))))),"Other")</f>
        <v>0</v>
      </c>
      <c r="AL779">
        <f>IF(OR(I779="accepted",I779="cond. accept",I779="summer admit"),IF(J779="yes","CHOICE!","Accepted!"),IF(I779="denied","Denied",IF(K779=1,"Waitlist",IF(L779=1,"Deferred",IF(G779="pending","Pending",IF(OR(G779="initial materials submitted",G779="mid-year submitted",G779="final submitted"),"Submitted",IF(H779="interest","Interest","?")))))))</f>
        <v>0</v>
      </c>
      <c r="AM779">
        <f>IF(OR(AK779=ReachLabel,AK779=LongshotLabel,AK779=HailMaryLabel),1,0)</f>
        <v>0</v>
      </c>
      <c r="AN779">
        <f>IF(OR(AM779=1,AK779=MatchLabel),1,0)</f>
        <v>0</v>
      </c>
      <c r="AO779">
        <f>IF(OR(AK779=MatchLabel,AK779=SafetyLabel,AK779=SecureLabel,AK779=SureThingLabel),1,0)</f>
        <v>0</v>
      </c>
      <c r="AP779">
        <f>IF(OR(T779="H",T779="B"),IF(ISNUMBER(Y779),ROUND(Y779,2),0),IF(ISNUMBER(X779),ROUND(X779,2),0))</f>
        <v>0</v>
      </c>
      <c r="AQ779">
        <f>IF(AP779&gt;=U779,1,0)</f>
        <v>0</v>
      </c>
      <c r="AR779">
        <f>IF(AP779&gt;=V779,1,0)</f>
        <v>0</v>
      </c>
      <c r="AS779">
        <f>IF(AP779&lt;(U779-0.10),1,0)</f>
        <v>0</v>
      </c>
      <c r="AT779">
        <f>1-AJ779/100</f>
        <v>0</v>
      </c>
      <c r="AU779">
        <f>IF(AN779=1,AT779,1)</f>
        <v>0</v>
      </c>
      <c r="AV779">
        <f>IF(AM779=1,AT779,1)</f>
        <v>0</v>
      </c>
      <c r="AW779">
        <f>IF(AND(AQ779=1,ISNUMBER(AT779)),$AT779,1)</f>
        <v>0</v>
      </c>
      <c r="AX779">
        <f>IF(AND(AR779=1,ISNUMBER(AT779)),$AT779,1)</f>
        <v>0</v>
      </c>
      <c r="AY779">
        <f>IF(ISNUMBER(Y779),INDEX(AllCollegeMoney, MATCH(N779,AllCollegeNCES,0)),0)</f>
        <v>0</v>
      </c>
      <c r="AZ779">
        <f>IF(AND(AQ779=1,ISNUMBER(AT779),AY779=1),$AT779,1)</f>
        <v>0</v>
      </c>
      <c r="BA779">
        <f>IF(AND(AR779=1,ISNUMBER(AT779),AY779=1),$AT779,1)</f>
        <v>0</v>
      </c>
      <c r="BB779">
        <f>IF(ISNUMBER(Y779),INDEX(AllCollegeILPub, MATCH(N779,AllCollegeNCES,0)),0)</f>
        <v>0</v>
      </c>
      <c r="BC779">
        <f>IF(AK779=ReachLabel,AP779,0)</f>
        <v>0</v>
      </c>
      <c r="BD779">
        <f>IF(AK779=MatchLabel,AP779,0)</f>
        <v>0</v>
      </c>
      <c r="BE779">
        <f>IF(AK779=SafetyLabel,AP779,0)</f>
        <v>0</v>
      </c>
      <c r="BF779">
        <f>IF(AK779=SecureLabel,AP779,0)</f>
        <v>0</v>
      </c>
      <c r="BG779">
        <f>IF(AK779=SureThingLabel,AP779,0)</f>
        <v>0</v>
      </c>
      <c r="BH779">
        <f>MAX(BC779:BG779)</f>
        <v>0</v>
      </c>
      <c r="BI779">
        <f>MAX(BD779:BG779)</f>
        <v>0</v>
      </c>
      <c r="BJ779">
        <f>MAX(BE779:BG779)</f>
        <v>0</v>
      </c>
      <c r="BK779">
        <f>IF(AND(AK779=ReachLabel,AY779=1),AP779,0)</f>
        <v>0</v>
      </c>
      <c r="BL779">
        <f>IF(AND(AK779=MatchLabel,AY779=1),AP779,0)</f>
        <v>0</v>
      </c>
      <c r="BM779">
        <f>IF(AND(AK779=SafetyLabel,AY779=1),AP779,0)</f>
        <v>0</v>
      </c>
      <c r="BN779">
        <f>IF(AND(AK779=SecureLabel,AY779=1),AP779,0)</f>
        <v>0</v>
      </c>
      <c r="BO779">
        <f>IF(AND(AK779=SureThingLabel,AY779=1),AP779,0)</f>
        <v>0</v>
      </c>
      <c r="BP779">
        <f>MAX(BK779:BO779)</f>
        <v>0</v>
      </c>
      <c r="BQ779">
        <f>MAX(BL779:BO779)</f>
        <v>0</v>
      </c>
      <c r="BR779">
        <f>MAX(BM779:BO779)</f>
        <v>0</v>
      </c>
      <c r="BS779">
        <f>IF(ISNUMBER(Y779),INDEX(AllCollegeChicago, MATCH(N779,AllCollegeNCES,0))*AY779,0)</f>
        <v>0</v>
      </c>
      <c r="BT779">
        <f>IF(ISNUMBER(Y779),INDEX(AllCollegeMoneyCode, MATCH(N779,AllCollegeNCES,0)),"?")</f>
        <v>0</v>
      </c>
      <c r="BU779">
        <f>IF(OR(BT779="---",BT779="--",BT779="+/--",BT779="+/---"),1,0)</f>
        <v>0</v>
      </c>
      <c r="BV779">
        <f>AY779*AO779*AQ779</f>
        <v>0</v>
      </c>
    </row>
    <row r="780" spans="1:74">
      <c r="A780" t="s">
        <v>86</v>
      </c>
      <c r="B780">
        <v>30323076</v>
      </c>
      <c r="C780" t="s">
        <v>167</v>
      </c>
      <c r="D780" t="s">
        <v>168</v>
      </c>
      <c r="E780" t="s">
        <v>428</v>
      </c>
      <c r="F780" t="s">
        <v>561</v>
      </c>
      <c r="G780" t="s">
        <v>463</v>
      </c>
      <c r="H780" t="s">
        <v>431</v>
      </c>
      <c r="I780" t="s">
        <v>432</v>
      </c>
      <c r="J780" t="s">
        <v>432</v>
      </c>
      <c r="K780">
        <v>0</v>
      </c>
      <c r="L780" t="s">
        <v>428</v>
      </c>
      <c r="M780" t="s">
        <v>428</v>
      </c>
      <c r="N780">
        <v>153658</v>
      </c>
      <c r="O780">
        <f>INDEX(AllCollegeBarrons,MATCH(N780,AllCollegeNCES,0))</f>
        <v>0</v>
      </c>
      <c r="P780">
        <f>INDEX(KidGPAs,MATCH(B780,KidIDs,0))</f>
        <v>0</v>
      </c>
      <c r="Q780">
        <f>INDEX(KidACTs,MATCH(B780,KidIDs,0))</f>
        <v>0</v>
      </c>
      <c r="R780">
        <f>INDEX(Strats,MATCH(B780,KidIDs,0))</f>
        <v>0</v>
      </c>
      <c r="S780">
        <f>INDEX(KidRace,MATCH(B780,KidIDs,0))</f>
        <v>0</v>
      </c>
      <c r="T780">
        <f>IF(OR(S780="M",S780="I"),"H",S780)</f>
        <v>0</v>
      </c>
      <c r="U780">
        <f>INDEX(StudentTargets,MATCH(B780,KidIDs,0))</f>
        <v>0</v>
      </c>
      <c r="V780">
        <f>INDEX(ReachStudentTargets,MATCH(B780,KidIDs,0))</f>
        <v>0</v>
      </c>
      <c r="W780">
        <f>IF(OR(M780="Posse"),1,0)</f>
        <v>0</v>
      </c>
      <c r="X780">
        <f>IF(ISNUMBER(INDEX(AllCollegeGR, MATCH(N780,AllCollegeNCES,0))),ROUND(INDEX(AllCollegeGR, MATCH(N780,AllCollegeNCES,0))+W780*IF(INDEX(AllCollegeGR, MATCH(N780,AllCollegeNCES,0))&gt;0.7,(1-INDEX(AllCollegeGR, MATCH(N780,AllCollegeNCES,0)))/2,0.15),2),INDEX(AllCollegeGR, MATCH(N780,AllCollegeNCES,0)))</f>
        <v>0</v>
      </c>
      <c r="Y780">
        <f>IF(ISNUMBER(INDEX(AllCollegeAAHGR, MATCH(N780,AllCollegeNCES,0))),ROUND(INDEX(AllCollegeAAHGR, MATCH(N780,AllCollegeNCES,0))+W780*IF(INDEX(AllCollegeAAHGR, MATCH(N780,AllCollegeNCES,0))&gt;0.7,(1-INDEX(AllCollegeAAHGR, MATCH(N780,AllCollegeNCES,0)))/2,0.15),2),INDEX(AllCollegeAAHGR, MATCH(N780,AllCollegeNCES,0)))</f>
        <v>0</v>
      </c>
      <c r="Z780">
        <f>IF(OR(T780="H",T780="B"),INDEX(AllCollegeACT25, MATCH(N780,AllCollegeNCES,0)),INDEX(AllCollegeACT50, MATCH(N780,AllCollegeNCES,0)))</f>
        <v>0</v>
      </c>
      <c r="AA780">
        <f>INDEX(CustomWeightsGPA,MATCH(T780&amp;":"&amp;N780,CustomWeightsIndex,0))</f>
        <v>0</v>
      </c>
      <c r="AB780">
        <f>INDEX(CustomWeightsACT,MATCH(T780&amp;":"&amp;N780,CustomWeightsIndex,0))</f>
        <v>0</v>
      </c>
      <c r="AC780">
        <f>INDEX(CustomWeightsIntercept,MATCH(T780&amp;":"&amp;N780,CustomWeightsIndex,0))</f>
        <v>0</v>
      </c>
      <c r="AD780">
        <f>AA780*P780+AB780*Q780+AC780</f>
        <v>0</v>
      </c>
      <c r="AE780">
        <f>INDEX(CoefficientsGPA,MATCH(T780&amp;":"&amp;O780,CoefficientsIndex,0))</f>
        <v>0</v>
      </c>
      <c r="AF780">
        <f>INDEX(CoefficientsACT,MATCH(T780&amp;":"&amp;O780,CoefficientsIndex,0))</f>
        <v>0</v>
      </c>
      <c r="AG780">
        <f>INDEX(CoefficientsIntercept,MATCH(T780&amp;":"&amp;O780,CoefficientsIndex,0))</f>
        <v>0</v>
      </c>
      <c r="AH780">
        <f>AE780*P780+(Q780-Z780)*AF780+AG780</f>
        <v>0</v>
      </c>
      <c r="AI780">
        <f>IF(ISNUMBER(AD780),AD780,AH780)</f>
        <v>0</v>
      </c>
      <c r="AJ780">
        <f>IF(ISNUMBER(AI780),IF(ISNUMBER(AE780),IF(AND(AE780=1,AF780=1,AG780=1),100,ROUND(100*EXP(AI780)/(1+EXP(AI780)),2)),ROUND(100*EXP(AI780)/(1+EXP(AI780)),2)),IF(ISTEXT(O780),IF(LEFT(O780,1)="2",100,"N/A"),"N/A"))</f>
        <v>0</v>
      </c>
      <c r="AK780">
        <f>IF(ISNUMBER(AJ780),IF(AJ780&gt;=99,IF(OR(R780=10,R780=11),MatchLabel,SureThingLabel),IF(AJ780&gt;=95,SecureLabel,IF(AJ780&gt;=80,SafetyLabel,IF(AJ780&gt;=50,MatchLabel,IF(AJ780&gt;=20,ReachLabel,IF(AJ780&gt;=10,LongshotLabel,HailMaryLabel)))))),"Other")</f>
        <v>0</v>
      </c>
      <c r="AL780">
        <f>IF(OR(I780="accepted",I780="cond. accept",I780="summer admit"),IF(J780="yes","CHOICE!","Accepted!"),IF(I780="denied","Denied",IF(K780=1,"Waitlist",IF(L780=1,"Deferred",IF(G780="pending","Pending",IF(OR(G780="initial materials submitted",G780="mid-year submitted",G780="final submitted"),"Submitted",IF(H780="interest","Interest","?")))))))</f>
        <v>0</v>
      </c>
      <c r="AM780">
        <f>IF(OR(AK780=ReachLabel,AK780=LongshotLabel,AK780=HailMaryLabel),1,0)</f>
        <v>0</v>
      </c>
      <c r="AN780">
        <f>IF(OR(AM780=1,AK780=MatchLabel),1,0)</f>
        <v>0</v>
      </c>
      <c r="AO780">
        <f>IF(OR(AK780=MatchLabel,AK780=SafetyLabel,AK780=SecureLabel,AK780=SureThingLabel),1,0)</f>
        <v>0</v>
      </c>
      <c r="AP780">
        <f>IF(OR(T780="H",T780="B"),IF(ISNUMBER(Y780),ROUND(Y780,2),0),IF(ISNUMBER(X780),ROUND(X780,2),0))</f>
        <v>0</v>
      </c>
      <c r="AQ780">
        <f>IF(AP780&gt;=U780,1,0)</f>
        <v>0</v>
      </c>
      <c r="AR780">
        <f>IF(AP780&gt;=V780,1,0)</f>
        <v>0</v>
      </c>
      <c r="AS780">
        <f>IF(AP780&lt;(U780-0.10),1,0)</f>
        <v>0</v>
      </c>
      <c r="AT780">
        <f>1-AJ780/100</f>
        <v>0</v>
      </c>
      <c r="AU780">
        <f>IF(AN780=1,AT780,1)</f>
        <v>0</v>
      </c>
      <c r="AV780">
        <f>IF(AM780=1,AT780,1)</f>
        <v>0</v>
      </c>
      <c r="AW780">
        <f>IF(AND(AQ780=1,ISNUMBER(AT780)),$AT780,1)</f>
        <v>0</v>
      </c>
      <c r="AX780">
        <f>IF(AND(AR780=1,ISNUMBER(AT780)),$AT780,1)</f>
        <v>0</v>
      </c>
      <c r="AY780">
        <f>IF(ISNUMBER(Y780),INDEX(AllCollegeMoney, MATCH(N780,AllCollegeNCES,0)),0)</f>
        <v>0</v>
      </c>
      <c r="AZ780">
        <f>IF(AND(AQ780=1,ISNUMBER(AT780),AY780=1),$AT780,1)</f>
        <v>0</v>
      </c>
      <c r="BA780">
        <f>IF(AND(AR780=1,ISNUMBER(AT780),AY780=1),$AT780,1)</f>
        <v>0</v>
      </c>
      <c r="BB780">
        <f>IF(ISNUMBER(Y780),INDEX(AllCollegeILPub, MATCH(N780,AllCollegeNCES,0)),0)</f>
        <v>0</v>
      </c>
      <c r="BC780">
        <f>IF(AK780=ReachLabel,AP780,0)</f>
        <v>0</v>
      </c>
      <c r="BD780">
        <f>IF(AK780=MatchLabel,AP780,0)</f>
        <v>0</v>
      </c>
      <c r="BE780">
        <f>IF(AK780=SafetyLabel,AP780,0)</f>
        <v>0</v>
      </c>
      <c r="BF780">
        <f>IF(AK780=SecureLabel,AP780,0)</f>
        <v>0</v>
      </c>
      <c r="BG780">
        <f>IF(AK780=SureThingLabel,AP780,0)</f>
        <v>0</v>
      </c>
      <c r="BH780">
        <f>MAX(BC780:BG780)</f>
        <v>0</v>
      </c>
      <c r="BI780">
        <f>MAX(BD780:BG780)</f>
        <v>0</v>
      </c>
      <c r="BJ780">
        <f>MAX(BE780:BG780)</f>
        <v>0</v>
      </c>
      <c r="BK780">
        <f>IF(AND(AK780=ReachLabel,AY780=1),AP780,0)</f>
        <v>0</v>
      </c>
      <c r="BL780">
        <f>IF(AND(AK780=MatchLabel,AY780=1),AP780,0)</f>
        <v>0</v>
      </c>
      <c r="BM780">
        <f>IF(AND(AK780=SafetyLabel,AY780=1),AP780,0)</f>
        <v>0</v>
      </c>
      <c r="BN780">
        <f>IF(AND(AK780=SecureLabel,AY780=1),AP780,0)</f>
        <v>0</v>
      </c>
      <c r="BO780">
        <f>IF(AND(AK780=SureThingLabel,AY780=1),AP780,0)</f>
        <v>0</v>
      </c>
      <c r="BP780">
        <f>MAX(BK780:BO780)</f>
        <v>0</v>
      </c>
      <c r="BQ780">
        <f>MAX(BL780:BO780)</f>
        <v>0</v>
      </c>
      <c r="BR780">
        <f>MAX(BM780:BO780)</f>
        <v>0</v>
      </c>
      <c r="BS780">
        <f>IF(ISNUMBER(Y780),INDEX(AllCollegeChicago, MATCH(N780,AllCollegeNCES,0))*AY780,0)</f>
        <v>0</v>
      </c>
      <c r="BT780">
        <f>IF(ISNUMBER(Y780),INDEX(AllCollegeMoneyCode, MATCH(N780,AllCollegeNCES,0)),"?")</f>
        <v>0</v>
      </c>
      <c r="BU780">
        <f>IF(OR(BT780="---",BT780="--",BT780="+/--",BT780="+/---"),1,0)</f>
        <v>0</v>
      </c>
      <c r="BV780">
        <f>AY780*AO780*AQ780</f>
        <v>0</v>
      </c>
    </row>
    <row r="781" spans="1:74">
      <c r="A781" t="s">
        <v>86</v>
      </c>
      <c r="B781">
        <v>30323076</v>
      </c>
      <c r="C781" t="s">
        <v>167</v>
      </c>
      <c r="D781" t="s">
        <v>168</v>
      </c>
      <c r="E781" t="s">
        <v>428</v>
      </c>
      <c r="F781" t="s">
        <v>552</v>
      </c>
      <c r="G781" t="s">
        <v>463</v>
      </c>
      <c r="H781" t="s">
        <v>431</v>
      </c>
      <c r="I781" t="s">
        <v>432</v>
      </c>
      <c r="J781" t="s">
        <v>432</v>
      </c>
      <c r="K781">
        <v>0</v>
      </c>
      <c r="L781" t="s">
        <v>428</v>
      </c>
      <c r="M781" t="s">
        <v>428</v>
      </c>
      <c r="N781">
        <v>171100</v>
      </c>
      <c r="O781">
        <f>INDEX(AllCollegeBarrons,MATCH(N781,AllCollegeNCES,0))</f>
        <v>0</v>
      </c>
      <c r="P781">
        <f>INDEX(KidGPAs,MATCH(B781,KidIDs,0))</f>
        <v>0</v>
      </c>
      <c r="Q781">
        <f>INDEX(KidACTs,MATCH(B781,KidIDs,0))</f>
        <v>0</v>
      </c>
      <c r="R781">
        <f>INDEX(Strats,MATCH(B781,KidIDs,0))</f>
        <v>0</v>
      </c>
      <c r="S781">
        <f>INDEX(KidRace,MATCH(B781,KidIDs,0))</f>
        <v>0</v>
      </c>
      <c r="T781">
        <f>IF(OR(S781="M",S781="I"),"H",S781)</f>
        <v>0</v>
      </c>
      <c r="U781">
        <f>INDEX(StudentTargets,MATCH(B781,KidIDs,0))</f>
        <v>0</v>
      </c>
      <c r="V781">
        <f>INDEX(ReachStudentTargets,MATCH(B781,KidIDs,0))</f>
        <v>0</v>
      </c>
      <c r="W781">
        <f>IF(OR(M781="Posse"),1,0)</f>
        <v>0</v>
      </c>
      <c r="X781">
        <f>IF(ISNUMBER(INDEX(AllCollegeGR, MATCH(N781,AllCollegeNCES,0))),ROUND(INDEX(AllCollegeGR, MATCH(N781,AllCollegeNCES,0))+W781*IF(INDEX(AllCollegeGR, MATCH(N781,AllCollegeNCES,0))&gt;0.7,(1-INDEX(AllCollegeGR, MATCH(N781,AllCollegeNCES,0)))/2,0.15),2),INDEX(AllCollegeGR, MATCH(N781,AllCollegeNCES,0)))</f>
        <v>0</v>
      </c>
      <c r="Y781">
        <f>IF(ISNUMBER(INDEX(AllCollegeAAHGR, MATCH(N781,AllCollegeNCES,0))),ROUND(INDEX(AllCollegeAAHGR, MATCH(N781,AllCollegeNCES,0))+W781*IF(INDEX(AllCollegeAAHGR, MATCH(N781,AllCollegeNCES,0))&gt;0.7,(1-INDEX(AllCollegeAAHGR, MATCH(N781,AllCollegeNCES,0)))/2,0.15),2),INDEX(AllCollegeAAHGR, MATCH(N781,AllCollegeNCES,0)))</f>
        <v>0</v>
      </c>
      <c r="Z781">
        <f>IF(OR(T781="H",T781="B"),INDEX(AllCollegeACT25, MATCH(N781,AllCollegeNCES,0)),INDEX(AllCollegeACT50, MATCH(N781,AllCollegeNCES,0)))</f>
        <v>0</v>
      </c>
      <c r="AA781">
        <f>INDEX(CustomWeightsGPA,MATCH(T781&amp;":"&amp;N781,CustomWeightsIndex,0))</f>
        <v>0</v>
      </c>
      <c r="AB781">
        <f>INDEX(CustomWeightsACT,MATCH(T781&amp;":"&amp;N781,CustomWeightsIndex,0))</f>
        <v>0</v>
      </c>
      <c r="AC781">
        <f>INDEX(CustomWeightsIntercept,MATCH(T781&amp;":"&amp;N781,CustomWeightsIndex,0))</f>
        <v>0</v>
      </c>
      <c r="AD781">
        <f>AA781*P781+AB781*Q781+AC781</f>
        <v>0</v>
      </c>
      <c r="AE781">
        <f>INDEX(CoefficientsGPA,MATCH(T781&amp;":"&amp;O781,CoefficientsIndex,0))</f>
        <v>0</v>
      </c>
      <c r="AF781">
        <f>INDEX(CoefficientsACT,MATCH(T781&amp;":"&amp;O781,CoefficientsIndex,0))</f>
        <v>0</v>
      </c>
      <c r="AG781">
        <f>INDEX(CoefficientsIntercept,MATCH(T781&amp;":"&amp;O781,CoefficientsIndex,0))</f>
        <v>0</v>
      </c>
      <c r="AH781">
        <f>AE781*P781+(Q781-Z781)*AF781+AG781</f>
        <v>0</v>
      </c>
      <c r="AI781">
        <f>IF(ISNUMBER(AD781),AD781,AH781)</f>
        <v>0</v>
      </c>
      <c r="AJ781">
        <f>IF(ISNUMBER(AI781),IF(ISNUMBER(AE781),IF(AND(AE781=1,AF781=1,AG781=1),100,ROUND(100*EXP(AI781)/(1+EXP(AI781)),2)),ROUND(100*EXP(AI781)/(1+EXP(AI781)),2)),IF(ISTEXT(O781),IF(LEFT(O781,1)="2",100,"N/A"),"N/A"))</f>
        <v>0</v>
      </c>
      <c r="AK781">
        <f>IF(ISNUMBER(AJ781),IF(AJ781&gt;=99,IF(OR(R781=10,R781=11),MatchLabel,SureThingLabel),IF(AJ781&gt;=95,SecureLabel,IF(AJ781&gt;=80,SafetyLabel,IF(AJ781&gt;=50,MatchLabel,IF(AJ781&gt;=20,ReachLabel,IF(AJ781&gt;=10,LongshotLabel,HailMaryLabel)))))),"Other")</f>
        <v>0</v>
      </c>
      <c r="AL781">
        <f>IF(OR(I781="accepted",I781="cond. accept",I781="summer admit"),IF(J781="yes","CHOICE!","Accepted!"),IF(I781="denied","Denied",IF(K781=1,"Waitlist",IF(L781=1,"Deferred",IF(G781="pending","Pending",IF(OR(G781="initial materials submitted",G781="mid-year submitted",G781="final submitted"),"Submitted",IF(H781="interest","Interest","?")))))))</f>
        <v>0</v>
      </c>
      <c r="AM781">
        <f>IF(OR(AK781=ReachLabel,AK781=LongshotLabel,AK781=HailMaryLabel),1,0)</f>
        <v>0</v>
      </c>
      <c r="AN781">
        <f>IF(OR(AM781=1,AK781=MatchLabel),1,0)</f>
        <v>0</v>
      </c>
      <c r="AO781">
        <f>IF(OR(AK781=MatchLabel,AK781=SafetyLabel,AK781=SecureLabel,AK781=SureThingLabel),1,0)</f>
        <v>0</v>
      </c>
      <c r="AP781">
        <f>IF(OR(T781="H",T781="B"),IF(ISNUMBER(Y781),ROUND(Y781,2),0),IF(ISNUMBER(X781),ROUND(X781,2),0))</f>
        <v>0</v>
      </c>
      <c r="AQ781">
        <f>IF(AP781&gt;=U781,1,0)</f>
        <v>0</v>
      </c>
      <c r="AR781">
        <f>IF(AP781&gt;=V781,1,0)</f>
        <v>0</v>
      </c>
      <c r="AS781">
        <f>IF(AP781&lt;(U781-0.10),1,0)</f>
        <v>0</v>
      </c>
      <c r="AT781">
        <f>1-AJ781/100</f>
        <v>0</v>
      </c>
      <c r="AU781">
        <f>IF(AN781=1,AT781,1)</f>
        <v>0</v>
      </c>
      <c r="AV781">
        <f>IF(AM781=1,AT781,1)</f>
        <v>0</v>
      </c>
      <c r="AW781">
        <f>IF(AND(AQ781=1,ISNUMBER(AT781)),$AT781,1)</f>
        <v>0</v>
      </c>
      <c r="AX781">
        <f>IF(AND(AR781=1,ISNUMBER(AT781)),$AT781,1)</f>
        <v>0</v>
      </c>
      <c r="AY781">
        <f>IF(ISNUMBER(Y781),INDEX(AllCollegeMoney, MATCH(N781,AllCollegeNCES,0)),0)</f>
        <v>0</v>
      </c>
      <c r="AZ781">
        <f>IF(AND(AQ781=1,ISNUMBER(AT781),AY781=1),$AT781,1)</f>
        <v>0</v>
      </c>
      <c r="BA781">
        <f>IF(AND(AR781=1,ISNUMBER(AT781),AY781=1),$AT781,1)</f>
        <v>0</v>
      </c>
      <c r="BB781">
        <f>IF(ISNUMBER(Y781),INDEX(AllCollegeILPub, MATCH(N781,AllCollegeNCES,0)),0)</f>
        <v>0</v>
      </c>
      <c r="BC781">
        <f>IF(AK781=ReachLabel,AP781,0)</f>
        <v>0</v>
      </c>
      <c r="BD781">
        <f>IF(AK781=MatchLabel,AP781,0)</f>
        <v>0</v>
      </c>
      <c r="BE781">
        <f>IF(AK781=SafetyLabel,AP781,0)</f>
        <v>0</v>
      </c>
      <c r="BF781">
        <f>IF(AK781=SecureLabel,AP781,0)</f>
        <v>0</v>
      </c>
      <c r="BG781">
        <f>IF(AK781=SureThingLabel,AP781,0)</f>
        <v>0</v>
      </c>
      <c r="BH781">
        <f>MAX(BC781:BG781)</f>
        <v>0</v>
      </c>
      <c r="BI781">
        <f>MAX(BD781:BG781)</f>
        <v>0</v>
      </c>
      <c r="BJ781">
        <f>MAX(BE781:BG781)</f>
        <v>0</v>
      </c>
      <c r="BK781">
        <f>IF(AND(AK781=ReachLabel,AY781=1),AP781,0)</f>
        <v>0</v>
      </c>
      <c r="BL781">
        <f>IF(AND(AK781=MatchLabel,AY781=1),AP781,0)</f>
        <v>0</v>
      </c>
      <c r="BM781">
        <f>IF(AND(AK781=SafetyLabel,AY781=1),AP781,0)</f>
        <v>0</v>
      </c>
      <c r="BN781">
        <f>IF(AND(AK781=SecureLabel,AY781=1),AP781,0)</f>
        <v>0</v>
      </c>
      <c r="BO781">
        <f>IF(AND(AK781=SureThingLabel,AY781=1),AP781,0)</f>
        <v>0</v>
      </c>
      <c r="BP781">
        <f>MAX(BK781:BO781)</f>
        <v>0</v>
      </c>
      <c r="BQ781">
        <f>MAX(BL781:BO781)</f>
        <v>0</v>
      </c>
      <c r="BR781">
        <f>MAX(BM781:BO781)</f>
        <v>0</v>
      </c>
      <c r="BS781">
        <f>IF(ISNUMBER(Y781),INDEX(AllCollegeChicago, MATCH(N781,AllCollegeNCES,0))*AY781,0)</f>
        <v>0</v>
      </c>
      <c r="BT781">
        <f>IF(ISNUMBER(Y781),INDEX(AllCollegeMoneyCode, MATCH(N781,AllCollegeNCES,0)),"?")</f>
        <v>0</v>
      </c>
      <c r="BU781">
        <f>IF(OR(BT781="---",BT781="--",BT781="+/--",BT781="+/---"),1,0)</f>
        <v>0</v>
      </c>
      <c r="BV781">
        <f>AY781*AO781*AQ781</f>
        <v>0</v>
      </c>
    </row>
    <row r="782" spans="1:74">
      <c r="A782" t="s">
        <v>86</v>
      </c>
      <c r="B782">
        <v>30323076</v>
      </c>
      <c r="C782" t="s">
        <v>167</v>
      </c>
      <c r="D782" t="s">
        <v>168</v>
      </c>
      <c r="E782" t="s">
        <v>428</v>
      </c>
      <c r="F782" t="s">
        <v>593</v>
      </c>
      <c r="G782" t="s">
        <v>430</v>
      </c>
      <c r="H782" t="s">
        <v>431</v>
      </c>
      <c r="I782" t="s">
        <v>432</v>
      </c>
      <c r="J782" t="s">
        <v>432</v>
      </c>
      <c r="K782">
        <v>0</v>
      </c>
      <c r="L782" t="s">
        <v>428</v>
      </c>
      <c r="M782" t="s">
        <v>428</v>
      </c>
      <c r="N782">
        <v>157289</v>
      </c>
      <c r="O782">
        <f>INDEX(AllCollegeBarrons,MATCH(N782,AllCollegeNCES,0))</f>
        <v>0</v>
      </c>
      <c r="P782">
        <f>INDEX(KidGPAs,MATCH(B782,KidIDs,0))</f>
        <v>0</v>
      </c>
      <c r="Q782">
        <f>INDEX(KidACTs,MATCH(B782,KidIDs,0))</f>
        <v>0</v>
      </c>
      <c r="R782">
        <f>INDEX(Strats,MATCH(B782,KidIDs,0))</f>
        <v>0</v>
      </c>
      <c r="S782">
        <f>INDEX(KidRace,MATCH(B782,KidIDs,0))</f>
        <v>0</v>
      </c>
      <c r="T782">
        <f>IF(OR(S782="M",S782="I"),"H",S782)</f>
        <v>0</v>
      </c>
      <c r="U782">
        <f>INDEX(StudentTargets,MATCH(B782,KidIDs,0))</f>
        <v>0</v>
      </c>
      <c r="V782">
        <f>INDEX(ReachStudentTargets,MATCH(B782,KidIDs,0))</f>
        <v>0</v>
      </c>
      <c r="W782">
        <f>IF(OR(M782="Posse"),1,0)</f>
        <v>0</v>
      </c>
      <c r="X782">
        <f>IF(ISNUMBER(INDEX(AllCollegeGR, MATCH(N782,AllCollegeNCES,0))),ROUND(INDEX(AllCollegeGR, MATCH(N782,AllCollegeNCES,0))+W782*IF(INDEX(AllCollegeGR, MATCH(N782,AllCollegeNCES,0))&gt;0.7,(1-INDEX(AllCollegeGR, MATCH(N782,AllCollegeNCES,0)))/2,0.15),2),INDEX(AllCollegeGR, MATCH(N782,AllCollegeNCES,0)))</f>
        <v>0</v>
      </c>
      <c r="Y782">
        <f>IF(ISNUMBER(INDEX(AllCollegeAAHGR, MATCH(N782,AllCollegeNCES,0))),ROUND(INDEX(AllCollegeAAHGR, MATCH(N782,AllCollegeNCES,0))+W782*IF(INDEX(AllCollegeAAHGR, MATCH(N782,AllCollegeNCES,0))&gt;0.7,(1-INDEX(AllCollegeAAHGR, MATCH(N782,AllCollegeNCES,0)))/2,0.15),2),INDEX(AllCollegeAAHGR, MATCH(N782,AllCollegeNCES,0)))</f>
        <v>0</v>
      </c>
      <c r="Z782">
        <f>IF(OR(T782="H",T782="B"),INDEX(AllCollegeACT25, MATCH(N782,AllCollegeNCES,0)),INDEX(AllCollegeACT50, MATCH(N782,AllCollegeNCES,0)))</f>
        <v>0</v>
      </c>
      <c r="AA782">
        <f>INDEX(CustomWeightsGPA,MATCH(T782&amp;":"&amp;N782,CustomWeightsIndex,0))</f>
        <v>0</v>
      </c>
      <c r="AB782">
        <f>INDEX(CustomWeightsACT,MATCH(T782&amp;":"&amp;N782,CustomWeightsIndex,0))</f>
        <v>0</v>
      </c>
      <c r="AC782">
        <f>INDEX(CustomWeightsIntercept,MATCH(T782&amp;":"&amp;N782,CustomWeightsIndex,0))</f>
        <v>0</v>
      </c>
      <c r="AD782">
        <f>AA782*P782+AB782*Q782+AC782</f>
        <v>0</v>
      </c>
      <c r="AE782">
        <f>INDEX(CoefficientsGPA,MATCH(T782&amp;":"&amp;O782,CoefficientsIndex,0))</f>
        <v>0</v>
      </c>
      <c r="AF782">
        <f>INDEX(CoefficientsACT,MATCH(T782&amp;":"&amp;O782,CoefficientsIndex,0))</f>
        <v>0</v>
      </c>
      <c r="AG782">
        <f>INDEX(CoefficientsIntercept,MATCH(T782&amp;":"&amp;O782,CoefficientsIndex,0))</f>
        <v>0</v>
      </c>
      <c r="AH782">
        <f>AE782*P782+(Q782-Z782)*AF782+AG782</f>
        <v>0</v>
      </c>
      <c r="AI782">
        <f>IF(ISNUMBER(AD782),AD782,AH782)</f>
        <v>0</v>
      </c>
      <c r="AJ782">
        <f>IF(ISNUMBER(AI782),IF(ISNUMBER(AE782),IF(AND(AE782=1,AF782=1,AG782=1),100,ROUND(100*EXP(AI782)/(1+EXP(AI782)),2)),ROUND(100*EXP(AI782)/(1+EXP(AI782)),2)),IF(ISTEXT(O782),IF(LEFT(O782,1)="2",100,"N/A"),"N/A"))</f>
        <v>0</v>
      </c>
      <c r="AK782">
        <f>IF(ISNUMBER(AJ782),IF(AJ782&gt;=99,IF(OR(R782=10,R782=11),MatchLabel,SureThingLabel),IF(AJ782&gt;=95,SecureLabel,IF(AJ782&gt;=80,SafetyLabel,IF(AJ782&gt;=50,MatchLabel,IF(AJ782&gt;=20,ReachLabel,IF(AJ782&gt;=10,LongshotLabel,HailMaryLabel)))))),"Other")</f>
        <v>0</v>
      </c>
      <c r="AL782">
        <f>IF(OR(I782="accepted",I782="cond. accept",I782="summer admit"),IF(J782="yes","CHOICE!","Accepted!"),IF(I782="denied","Denied",IF(K782=1,"Waitlist",IF(L782=1,"Deferred",IF(G782="pending","Pending",IF(OR(G782="initial materials submitted",G782="mid-year submitted",G782="final submitted"),"Submitted",IF(H782="interest","Interest","?")))))))</f>
        <v>0</v>
      </c>
      <c r="AM782">
        <f>IF(OR(AK782=ReachLabel,AK782=LongshotLabel,AK782=HailMaryLabel),1,0)</f>
        <v>0</v>
      </c>
      <c r="AN782">
        <f>IF(OR(AM782=1,AK782=MatchLabel),1,0)</f>
        <v>0</v>
      </c>
      <c r="AO782">
        <f>IF(OR(AK782=MatchLabel,AK782=SafetyLabel,AK782=SecureLabel,AK782=SureThingLabel),1,0)</f>
        <v>0</v>
      </c>
      <c r="AP782">
        <f>IF(OR(T782="H",T782="B"),IF(ISNUMBER(Y782),ROUND(Y782,2),0),IF(ISNUMBER(X782),ROUND(X782,2),0))</f>
        <v>0</v>
      </c>
      <c r="AQ782">
        <f>IF(AP782&gt;=U782,1,0)</f>
        <v>0</v>
      </c>
      <c r="AR782">
        <f>IF(AP782&gt;=V782,1,0)</f>
        <v>0</v>
      </c>
      <c r="AS782">
        <f>IF(AP782&lt;(U782-0.10),1,0)</f>
        <v>0</v>
      </c>
      <c r="AT782">
        <f>1-AJ782/100</f>
        <v>0</v>
      </c>
      <c r="AU782">
        <f>IF(AN782=1,AT782,1)</f>
        <v>0</v>
      </c>
      <c r="AV782">
        <f>IF(AM782=1,AT782,1)</f>
        <v>0</v>
      </c>
      <c r="AW782">
        <f>IF(AND(AQ782=1,ISNUMBER(AT782)),$AT782,1)</f>
        <v>0</v>
      </c>
      <c r="AX782">
        <f>IF(AND(AR782=1,ISNUMBER(AT782)),$AT782,1)</f>
        <v>0</v>
      </c>
      <c r="AY782">
        <f>IF(ISNUMBER(Y782),INDEX(AllCollegeMoney, MATCH(N782,AllCollegeNCES,0)),0)</f>
        <v>0</v>
      </c>
      <c r="AZ782">
        <f>IF(AND(AQ782=1,ISNUMBER(AT782),AY782=1),$AT782,1)</f>
        <v>0</v>
      </c>
      <c r="BA782">
        <f>IF(AND(AR782=1,ISNUMBER(AT782),AY782=1),$AT782,1)</f>
        <v>0</v>
      </c>
      <c r="BB782">
        <f>IF(ISNUMBER(Y782),INDEX(AllCollegeILPub, MATCH(N782,AllCollegeNCES,0)),0)</f>
        <v>0</v>
      </c>
      <c r="BC782">
        <f>IF(AK782=ReachLabel,AP782,0)</f>
        <v>0</v>
      </c>
      <c r="BD782">
        <f>IF(AK782=MatchLabel,AP782,0)</f>
        <v>0</v>
      </c>
      <c r="BE782">
        <f>IF(AK782=SafetyLabel,AP782,0)</f>
        <v>0</v>
      </c>
      <c r="BF782">
        <f>IF(AK782=SecureLabel,AP782,0)</f>
        <v>0</v>
      </c>
      <c r="BG782">
        <f>IF(AK782=SureThingLabel,AP782,0)</f>
        <v>0</v>
      </c>
      <c r="BH782">
        <f>MAX(BC782:BG782)</f>
        <v>0</v>
      </c>
      <c r="BI782">
        <f>MAX(BD782:BG782)</f>
        <v>0</v>
      </c>
      <c r="BJ782">
        <f>MAX(BE782:BG782)</f>
        <v>0</v>
      </c>
      <c r="BK782">
        <f>IF(AND(AK782=ReachLabel,AY782=1),AP782,0)</f>
        <v>0</v>
      </c>
      <c r="BL782">
        <f>IF(AND(AK782=MatchLabel,AY782=1),AP782,0)</f>
        <v>0</v>
      </c>
      <c r="BM782">
        <f>IF(AND(AK782=SafetyLabel,AY782=1),AP782,0)</f>
        <v>0</v>
      </c>
      <c r="BN782">
        <f>IF(AND(AK782=SecureLabel,AY782=1),AP782,0)</f>
        <v>0</v>
      </c>
      <c r="BO782">
        <f>IF(AND(AK782=SureThingLabel,AY782=1),AP782,0)</f>
        <v>0</v>
      </c>
      <c r="BP782">
        <f>MAX(BK782:BO782)</f>
        <v>0</v>
      </c>
      <c r="BQ782">
        <f>MAX(BL782:BO782)</f>
        <v>0</v>
      </c>
      <c r="BR782">
        <f>MAX(BM782:BO782)</f>
        <v>0</v>
      </c>
      <c r="BS782">
        <f>IF(ISNUMBER(Y782),INDEX(AllCollegeChicago, MATCH(N782,AllCollegeNCES,0))*AY782,0)</f>
        <v>0</v>
      </c>
      <c r="BT782">
        <f>IF(ISNUMBER(Y782),INDEX(AllCollegeMoneyCode, MATCH(N782,AllCollegeNCES,0)),"?")</f>
        <v>0</v>
      </c>
      <c r="BU782">
        <f>IF(OR(BT782="---",BT782="--",BT782="+/--",BT782="+/---"),1,0)</f>
        <v>0</v>
      </c>
      <c r="BV782">
        <f>AY782*AO782*AQ782</f>
        <v>0</v>
      </c>
    </row>
    <row r="783" spans="1:74">
      <c r="A783" t="s">
        <v>86</v>
      </c>
      <c r="B783">
        <v>30323076</v>
      </c>
      <c r="C783" t="s">
        <v>167</v>
      </c>
      <c r="D783" t="s">
        <v>168</v>
      </c>
      <c r="E783" t="s">
        <v>428</v>
      </c>
      <c r="F783" t="s">
        <v>447</v>
      </c>
      <c r="G783" t="s">
        <v>430</v>
      </c>
      <c r="H783" t="s">
        <v>431</v>
      </c>
      <c r="I783" t="s">
        <v>432</v>
      </c>
      <c r="J783" t="s">
        <v>432</v>
      </c>
      <c r="K783">
        <v>0</v>
      </c>
      <c r="L783" t="s">
        <v>428</v>
      </c>
      <c r="M783" t="s">
        <v>428</v>
      </c>
      <c r="N783">
        <v>145600</v>
      </c>
      <c r="O783">
        <f>INDEX(AllCollegeBarrons,MATCH(N783,AllCollegeNCES,0))</f>
        <v>0</v>
      </c>
      <c r="P783">
        <f>INDEX(KidGPAs,MATCH(B783,KidIDs,0))</f>
        <v>0</v>
      </c>
      <c r="Q783">
        <f>INDEX(KidACTs,MATCH(B783,KidIDs,0))</f>
        <v>0</v>
      </c>
      <c r="R783">
        <f>INDEX(Strats,MATCH(B783,KidIDs,0))</f>
        <v>0</v>
      </c>
      <c r="S783">
        <f>INDEX(KidRace,MATCH(B783,KidIDs,0))</f>
        <v>0</v>
      </c>
      <c r="T783">
        <f>IF(OR(S783="M",S783="I"),"H",S783)</f>
        <v>0</v>
      </c>
      <c r="U783">
        <f>INDEX(StudentTargets,MATCH(B783,KidIDs,0))</f>
        <v>0</v>
      </c>
      <c r="V783">
        <f>INDEX(ReachStudentTargets,MATCH(B783,KidIDs,0))</f>
        <v>0</v>
      </c>
      <c r="W783">
        <f>IF(OR(M783="Posse"),1,0)</f>
        <v>0</v>
      </c>
      <c r="X783">
        <f>IF(ISNUMBER(INDEX(AllCollegeGR, MATCH(N783,AllCollegeNCES,0))),ROUND(INDEX(AllCollegeGR, MATCH(N783,AllCollegeNCES,0))+W783*IF(INDEX(AllCollegeGR, MATCH(N783,AllCollegeNCES,0))&gt;0.7,(1-INDEX(AllCollegeGR, MATCH(N783,AllCollegeNCES,0)))/2,0.15),2),INDEX(AllCollegeGR, MATCH(N783,AllCollegeNCES,0)))</f>
        <v>0</v>
      </c>
      <c r="Y783">
        <f>IF(ISNUMBER(INDEX(AllCollegeAAHGR, MATCH(N783,AllCollegeNCES,0))),ROUND(INDEX(AllCollegeAAHGR, MATCH(N783,AllCollegeNCES,0))+W783*IF(INDEX(AllCollegeAAHGR, MATCH(N783,AllCollegeNCES,0))&gt;0.7,(1-INDEX(AllCollegeAAHGR, MATCH(N783,AllCollegeNCES,0)))/2,0.15),2),INDEX(AllCollegeAAHGR, MATCH(N783,AllCollegeNCES,0)))</f>
        <v>0</v>
      </c>
      <c r="Z783">
        <f>IF(OR(T783="H",T783="B"),INDEX(AllCollegeACT25, MATCH(N783,AllCollegeNCES,0)),INDEX(AllCollegeACT50, MATCH(N783,AllCollegeNCES,0)))</f>
        <v>0</v>
      </c>
      <c r="AA783">
        <f>INDEX(CustomWeightsGPA,MATCH(T783&amp;":"&amp;N783,CustomWeightsIndex,0))</f>
        <v>0</v>
      </c>
      <c r="AB783">
        <f>INDEX(CustomWeightsACT,MATCH(T783&amp;":"&amp;N783,CustomWeightsIndex,0))</f>
        <v>0</v>
      </c>
      <c r="AC783">
        <f>INDEX(CustomWeightsIntercept,MATCH(T783&amp;":"&amp;N783,CustomWeightsIndex,0))</f>
        <v>0</v>
      </c>
      <c r="AD783">
        <f>AA783*P783+AB783*Q783+AC783</f>
        <v>0</v>
      </c>
      <c r="AE783">
        <f>INDEX(CoefficientsGPA,MATCH(T783&amp;":"&amp;O783,CoefficientsIndex,0))</f>
        <v>0</v>
      </c>
      <c r="AF783">
        <f>INDEX(CoefficientsACT,MATCH(T783&amp;":"&amp;O783,CoefficientsIndex,0))</f>
        <v>0</v>
      </c>
      <c r="AG783">
        <f>INDEX(CoefficientsIntercept,MATCH(T783&amp;":"&amp;O783,CoefficientsIndex,0))</f>
        <v>0</v>
      </c>
      <c r="AH783">
        <f>AE783*P783+(Q783-Z783)*AF783+AG783</f>
        <v>0</v>
      </c>
      <c r="AI783">
        <f>IF(ISNUMBER(AD783),AD783,AH783)</f>
        <v>0</v>
      </c>
      <c r="AJ783">
        <f>IF(ISNUMBER(AI783),IF(ISNUMBER(AE783),IF(AND(AE783=1,AF783=1,AG783=1),100,ROUND(100*EXP(AI783)/(1+EXP(AI783)),2)),ROUND(100*EXP(AI783)/(1+EXP(AI783)),2)),IF(ISTEXT(O783),IF(LEFT(O783,1)="2",100,"N/A"),"N/A"))</f>
        <v>0</v>
      </c>
      <c r="AK783">
        <f>IF(ISNUMBER(AJ783),IF(AJ783&gt;=99,IF(OR(R783=10,R783=11),MatchLabel,SureThingLabel),IF(AJ783&gt;=95,SecureLabel,IF(AJ783&gt;=80,SafetyLabel,IF(AJ783&gt;=50,MatchLabel,IF(AJ783&gt;=20,ReachLabel,IF(AJ783&gt;=10,LongshotLabel,HailMaryLabel)))))),"Other")</f>
        <v>0</v>
      </c>
      <c r="AL783">
        <f>IF(OR(I783="accepted",I783="cond. accept",I783="summer admit"),IF(J783="yes","CHOICE!","Accepted!"),IF(I783="denied","Denied",IF(K783=1,"Waitlist",IF(L783=1,"Deferred",IF(G783="pending","Pending",IF(OR(G783="initial materials submitted",G783="mid-year submitted",G783="final submitted"),"Submitted",IF(H783="interest","Interest","?")))))))</f>
        <v>0</v>
      </c>
      <c r="AM783">
        <f>IF(OR(AK783=ReachLabel,AK783=LongshotLabel,AK783=HailMaryLabel),1,0)</f>
        <v>0</v>
      </c>
      <c r="AN783">
        <f>IF(OR(AM783=1,AK783=MatchLabel),1,0)</f>
        <v>0</v>
      </c>
      <c r="AO783">
        <f>IF(OR(AK783=MatchLabel,AK783=SafetyLabel,AK783=SecureLabel,AK783=SureThingLabel),1,0)</f>
        <v>0</v>
      </c>
      <c r="AP783">
        <f>IF(OR(T783="H",T783="B"),IF(ISNUMBER(Y783),ROUND(Y783,2),0),IF(ISNUMBER(X783),ROUND(X783,2),0))</f>
        <v>0</v>
      </c>
      <c r="AQ783">
        <f>IF(AP783&gt;=U783,1,0)</f>
        <v>0</v>
      </c>
      <c r="AR783">
        <f>IF(AP783&gt;=V783,1,0)</f>
        <v>0</v>
      </c>
      <c r="AS783">
        <f>IF(AP783&lt;(U783-0.10),1,0)</f>
        <v>0</v>
      </c>
      <c r="AT783">
        <f>1-AJ783/100</f>
        <v>0</v>
      </c>
      <c r="AU783">
        <f>IF(AN783=1,AT783,1)</f>
        <v>0</v>
      </c>
      <c r="AV783">
        <f>IF(AM783=1,AT783,1)</f>
        <v>0</v>
      </c>
      <c r="AW783">
        <f>IF(AND(AQ783=1,ISNUMBER(AT783)),$AT783,1)</f>
        <v>0</v>
      </c>
      <c r="AX783">
        <f>IF(AND(AR783=1,ISNUMBER(AT783)),$AT783,1)</f>
        <v>0</v>
      </c>
      <c r="AY783">
        <f>IF(ISNUMBER(Y783),INDEX(AllCollegeMoney, MATCH(N783,AllCollegeNCES,0)),0)</f>
        <v>0</v>
      </c>
      <c r="AZ783">
        <f>IF(AND(AQ783=1,ISNUMBER(AT783),AY783=1),$AT783,1)</f>
        <v>0</v>
      </c>
      <c r="BA783">
        <f>IF(AND(AR783=1,ISNUMBER(AT783),AY783=1),$AT783,1)</f>
        <v>0</v>
      </c>
      <c r="BB783">
        <f>IF(ISNUMBER(Y783),INDEX(AllCollegeILPub, MATCH(N783,AllCollegeNCES,0)),0)</f>
        <v>0</v>
      </c>
      <c r="BC783">
        <f>IF(AK783=ReachLabel,AP783,0)</f>
        <v>0</v>
      </c>
      <c r="BD783">
        <f>IF(AK783=MatchLabel,AP783,0)</f>
        <v>0</v>
      </c>
      <c r="BE783">
        <f>IF(AK783=SafetyLabel,AP783,0)</f>
        <v>0</v>
      </c>
      <c r="BF783">
        <f>IF(AK783=SecureLabel,AP783,0)</f>
        <v>0</v>
      </c>
      <c r="BG783">
        <f>IF(AK783=SureThingLabel,AP783,0)</f>
        <v>0</v>
      </c>
      <c r="BH783">
        <f>MAX(BC783:BG783)</f>
        <v>0</v>
      </c>
      <c r="BI783">
        <f>MAX(BD783:BG783)</f>
        <v>0</v>
      </c>
      <c r="BJ783">
        <f>MAX(BE783:BG783)</f>
        <v>0</v>
      </c>
      <c r="BK783">
        <f>IF(AND(AK783=ReachLabel,AY783=1),AP783,0)</f>
        <v>0</v>
      </c>
      <c r="BL783">
        <f>IF(AND(AK783=MatchLabel,AY783=1),AP783,0)</f>
        <v>0</v>
      </c>
      <c r="BM783">
        <f>IF(AND(AK783=SafetyLabel,AY783=1),AP783,0)</f>
        <v>0</v>
      </c>
      <c r="BN783">
        <f>IF(AND(AK783=SecureLabel,AY783=1),AP783,0)</f>
        <v>0</v>
      </c>
      <c r="BO783">
        <f>IF(AND(AK783=SureThingLabel,AY783=1),AP783,0)</f>
        <v>0</v>
      </c>
      <c r="BP783">
        <f>MAX(BK783:BO783)</f>
        <v>0</v>
      </c>
      <c r="BQ783">
        <f>MAX(BL783:BO783)</f>
        <v>0</v>
      </c>
      <c r="BR783">
        <f>MAX(BM783:BO783)</f>
        <v>0</v>
      </c>
      <c r="BS783">
        <f>IF(ISNUMBER(Y783),INDEX(AllCollegeChicago, MATCH(N783,AllCollegeNCES,0))*AY783,0)</f>
        <v>0</v>
      </c>
      <c r="BT783">
        <f>IF(ISNUMBER(Y783),INDEX(AllCollegeMoneyCode, MATCH(N783,AllCollegeNCES,0)),"?")</f>
        <v>0</v>
      </c>
      <c r="BU783">
        <f>IF(OR(BT783="---",BT783="--",BT783="+/--",BT783="+/---"),1,0)</f>
        <v>0</v>
      </c>
      <c r="BV783">
        <f>AY783*AO783*AQ783</f>
        <v>0</v>
      </c>
    </row>
    <row r="784" spans="1:74">
      <c r="A784" t="s">
        <v>86</v>
      </c>
      <c r="B784">
        <v>30323076</v>
      </c>
      <c r="C784" t="s">
        <v>167</v>
      </c>
      <c r="D784" t="s">
        <v>168</v>
      </c>
      <c r="E784" t="s">
        <v>428</v>
      </c>
      <c r="F784" t="s">
        <v>594</v>
      </c>
      <c r="G784" t="s">
        <v>463</v>
      </c>
      <c r="H784" t="s">
        <v>431</v>
      </c>
      <c r="I784" t="s">
        <v>432</v>
      </c>
      <c r="J784" t="s">
        <v>432</v>
      </c>
      <c r="K784">
        <v>0</v>
      </c>
      <c r="L784" t="s">
        <v>428</v>
      </c>
      <c r="M784" t="s">
        <v>428</v>
      </c>
      <c r="N784">
        <v>154095</v>
      </c>
      <c r="O784">
        <f>INDEX(AllCollegeBarrons,MATCH(N784,AllCollegeNCES,0))</f>
        <v>0</v>
      </c>
      <c r="P784">
        <f>INDEX(KidGPAs,MATCH(B784,KidIDs,0))</f>
        <v>0</v>
      </c>
      <c r="Q784">
        <f>INDEX(KidACTs,MATCH(B784,KidIDs,0))</f>
        <v>0</v>
      </c>
      <c r="R784">
        <f>INDEX(Strats,MATCH(B784,KidIDs,0))</f>
        <v>0</v>
      </c>
      <c r="S784">
        <f>INDEX(KidRace,MATCH(B784,KidIDs,0))</f>
        <v>0</v>
      </c>
      <c r="T784">
        <f>IF(OR(S784="M",S784="I"),"H",S784)</f>
        <v>0</v>
      </c>
      <c r="U784">
        <f>INDEX(StudentTargets,MATCH(B784,KidIDs,0))</f>
        <v>0</v>
      </c>
      <c r="V784">
        <f>INDEX(ReachStudentTargets,MATCH(B784,KidIDs,0))</f>
        <v>0</v>
      </c>
      <c r="W784">
        <f>IF(OR(M784="Posse"),1,0)</f>
        <v>0</v>
      </c>
      <c r="X784">
        <f>IF(ISNUMBER(INDEX(AllCollegeGR, MATCH(N784,AllCollegeNCES,0))),ROUND(INDEX(AllCollegeGR, MATCH(N784,AllCollegeNCES,0))+W784*IF(INDEX(AllCollegeGR, MATCH(N784,AllCollegeNCES,0))&gt;0.7,(1-INDEX(AllCollegeGR, MATCH(N784,AllCollegeNCES,0)))/2,0.15),2),INDEX(AllCollegeGR, MATCH(N784,AllCollegeNCES,0)))</f>
        <v>0</v>
      </c>
      <c r="Y784">
        <f>IF(ISNUMBER(INDEX(AllCollegeAAHGR, MATCH(N784,AllCollegeNCES,0))),ROUND(INDEX(AllCollegeAAHGR, MATCH(N784,AllCollegeNCES,0))+W784*IF(INDEX(AllCollegeAAHGR, MATCH(N784,AllCollegeNCES,0))&gt;0.7,(1-INDEX(AllCollegeAAHGR, MATCH(N784,AllCollegeNCES,0)))/2,0.15),2),INDEX(AllCollegeAAHGR, MATCH(N784,AllCollegeNCES,0)))</f>
        <v>0</v>
      </c>
      <c r="Z784">
        <f>IF(OR(T784="H",T784="B"),INDEX(AllCollegeACT25, MATCH(N784,AllCollegeNCES,0)),INDEX(AllCollegeACT50, MATCH(N784,AllCollegeNCES,0)))</f>
        <v>0</v>
      </c>
      <c r="AA784">
        <f>INDEX(CustomWeightsGPA,MATCH(T784&amp;":"&amp;N784,CustomWeightsIndex,0))</f>
        <v>0</v>
      </c>
      <c r="AB784">
        <f>INDEX(CustomWeightsACT,MATCH(T784&amp;":"&amp;N784,CustomWeightsIndex,0))</f>
        <v>0</v>
      </c>
      <c r="AC784">
        <f>INDEX(CustomWeightsIntercept,MATCH(T784&amp;":"&amp;N784,CustomWeightsIndex,0))</f>
        <v>0</v>
      </c>
      <c r="AD784">
        <f>AA784*P784+AB784*Q784+AC784</f>
        <v>0</v>
      </c>
      <c r="AE784">
        <f>INDEX(CoefficientsGPA,MATCH(T784&amp;":"&amp;O784,CoefficientsIndex,0))</f>
        <v>0</v>
      </c>
      <c r="AF784">
        <f>INDEX(CoefficientsACT,MATCH(T784&amp;":"&amp;O784,CoefficientsIndex,0))</f>
        <v>0</v>
      </c>
      <c r="AG784">
        <f>INDEX(CoefficientsIntercept,MATCH(T784&amp;":"&amp;O784,CoefficientsIndex,0))</f>
        <v>0</v>
      </c>
      <c r="AH784">
        <f>AE784*P784+(Q784-Z784)*AF784+AG784</f>
        <v>0</v>
      </c>
      <c r="AI784">
        <f>IF(ISNUMBER(AD784),AD784,AH784)</f>
        <v>0</v>
      </c>
      <c r="AJ784">
        <f>IF(ISNUMBER(AI784),IF(ISNUMBER(AE784),IF(AND(AE784=1,AF784=1,AG784=1),100,ROUND(100*EXP(AI784)/(1+EXP(AI784)),2)),ROUND(100*EXP(AI784)/(1+EXP(AI784)),2)),IF(ISTEXT(O784),IF(LEFT(O784,1)="2",100,"N/A"),"N/A"))</f>
        <v>0</v>
      </c>
      <c r="AK784">
        <f>IF(ISNUMBER(AJ784),IF(AJ784&gt;=99,IF(OR(R784=10,R784=11),MatchLabel,SureThingLabel),IF(AJ784&gt;=95,SecureLabel,IF(AJ784&gt;=80,SafetyLabel,IF(AJ784&gt;=50,MatchLabel,IF(AJ784&gt;=20,ReachLabel,IF(AJ784&gt;=10,LongshotLabel,HailMaryLabel)))))),"Other")</f>
        <v>0</v>
      </c>
      <c r="AL784">
        <f>IF(OR(I784="accepted",I784="cond. accept",I784="summer admit"),IF(J784="yes","CHOICE!","Accepted!"),IF(I784="denied","Denied",IF(K784=1,"Waitlist",IF(L784=1,"Deferred",IF(G784="pending","Pending",IF(OR(G784="initial materials submitted",G784="mid-year submitted",G784="final submitted"),"Submitted",IF(H784="interest","Interest","?")))))))</f>
        <v>0</v>
      </c>
      <c r="AM784">
        <f>IF(OR(AK784=ReachLabel,AK784=LongshotLabel,AK784=HailMaryLabel),1,0)</f>
        <v>0</v>
      </c>
      <c r="AN784">
        <f>IF(OR(AM784=1,AK784=MatchLabel),1,0)</f>
        <v>0</v>
      </c>
      <c r="AO784">
        <f>IF(OR(AK784=MatchLabel,AK784=SafetyLabel,AK784=SecureLabel,AK784=SureThingLabel),1,0)</f>
        <v>0</v>
      </c>
      <c r="AP784">
        <f>IF(OR(T784="H",T784="B"),IF(ISNUMBER(Y784),ROUND(Y784,2),0),IF(ISNUMBER(X784),ROUND(X784,2),0))</f>
        <v>0</v>
      </c>
      <c r="AQ784">
        <f>IF(AP784&gt;=U784,1,0)</f>
        <v>0</v>
      </c>
      <c r="AR784">
        <f>IF(AP784&gt;=V784,1,0)</f>
        <v>0</v>
      </c>
      <c r="AS784">
        <f>IF(AP784&lt;(U784-0.10),1,0)</f>
        <v>0</v>
      </c>
      <c r="AT784">
        <f>1-AJ784/100</f>
        <v>0</v>
      </c>
      <c r="AU784">
        <f>IF(AN784=1,AT784,1)</f>
        <v>0</v>
      </c>
      <c r="AV784">
        <f>IF(AM784=1,AT784,1)</f>
        <v>0</v>
      </c>
      <c r="AW784">
        <f>IF(AND(AQ784=1,ISNUMBER(AT784)),$AT784,1)</f>
        <v>0</v>
      </c>
      <c r="AX784">
        <f>IF(AND(AR784=1,ISNUMBER(AT784)),$AT784,1)</f>
        <v>0</v>
      </c>
      <c r="AY784">
        <f>IF(ISNUMBER(Y784),INDEX(AllCollegeMoney, MATCH(N784,AllCollegeNCES,0)),0)</f>
        <v>0</v>
      </c>
      <c r="AZ784">
        <f>IF(AND(AQ784=1,ISNUMBER(AT784),AY784=1),$AT784,1)</f>
        <v>0</v>
      </c>
      <c r="BA784">
        <f>IF(AND(AR784=1,ISNUMBER(AT784),AY784=1),$AT784,1)</f>
        <v>0</v>
      </c>
      <c r="BB784">
        <f>IF(ISNUMBER(Y784),INDEX(AllCollegeILPub, MATCH(N784,AllCollegeNCES,0)),0)</f>
        <v>0</v>
      </c>
      <c r="BC784">
        <f>IF(AK784=ReachLabel,AP784,0)</f>
        <v>0</v>
      </c>
      <c r="BD784">
        <f>IF(AK784=MatchLabel,AP784,0)</f>
        <v>0</v>
      </c>
      <c r="BE784">
        <f>IF(AK784=SafetyLabel,AP784,0)</f>
        <v>0</v>
      </c>
      <c r="BF784">
        <f>IF(AK784=SecureLabel,AP784,0)</f>
        <v>0</v>
      </c>
      <c r="BG784">
        <f>IF(AK784=SureThingLabel,AP784,0)</f>
        <v>0</v>
      </c>
      <c r="BH784">
        <f>MAX(BC784:BG784)</f>
        <v>0</v>
      </c>
      <c r="BI784">
        <f>MAX(BD784:BG784)</f>
        <v>0</v>
      </c>
      <c r="BJ784">
        <f>MAX(BE784:BG784)</f>
        <v>0</v>
      </c>
      <c r="BK784">
        <f>IF(AND(AK784=ReachLabel,AY784=1),AP784,0)</f>
        <v>0</v>
      </c>
      <c r="BL784">
        <f>IF(AND(AK784=MatchLabel,AY784=1),AP784,0)</f>
        <v>0</v>
      </c>
      <c r="BM784">
        <f>IF(AND(AK784=SafetyLabel,AY784=1),AP784,0)</f>
        <v>0</v>
      </c>
      <c r="BN784">
        <f>IF(AND(AK784=SecureLabel,AY784=1),AP784,0)</f>
        <v>0</v>
      </c>
      <c r="BO784">
        <f>IF(AND(AK784=SureThingLabel,AY784=1),AP784,0)</f>
        <v>0</v>
      </c>
      <c r="BP784">
        <f>MAX(BK784:BO784)</f>
        <v>0</v>
      </c>
      <c r="BQ784">
        <f>MAX(BL784:BO784)</f>
        <v>0</v>
      </c>
      <c r="BR784">
        <f>MAX(BM784:BO784)</f>
        <v>0</v>
      </c>
      <c r="BS784">
        <f>IF(ISNUMBER(Y784),INDEX(AllCollegeChicago, MATCH(N784,AllCollegeNCES,0))*AY784,0)</f>
        <v>0</v>
      </c>
      <c r="BT784">
        <f>IF(ISNUMBER(Y784),INDEX(AllCollegeMoneyCode, MATCH(N784,AllCollegeNCES,0)),"?")</f>
        <v>0</v>
      </c>
      <c r="BU784">
        <f>IF(OR(BT784="---",BT784="--",BT784="+/--",BT784="+/---"),1,0)</f>
        <v>0</v>
      </c>
      <c r="BV784">
        <f>AY784*AO784*AQ784</f>
        <v>0</v>
      </c>
    </row>
    <row r="785" spans="1:74">
      <c r="A785" t="s">
        <v>86</v>
      </c>
      <c r="B785">
        <v>30323076</v>
      </c>
      <c r="C785" t="s">
        <v>167</v>
      </c>
      <c r="D785" t="s">
        <v>168</v>
      </c>
      <c r="E785" t="s">
        <v>428</v>
      </c>
      <c r="F785" t="s">
        <v>595</v>
      </c>
      <c r="G785" t="s">
        <v>463</v>
      </c>
      <c r="H785" t="s">
        <v>431</v>
      </c>
      <c r="I785" t="s">
        <v>432</v>
      </c>
      <c r="J785" t="s">
        <v>432</v>
      </c>
      <c r="K785">
        <v>0</v>
      </c>
      <c r="L785" t="s">
        <v>428</v>
      </c>
      <c r="M785" t="s">
        <v>428</v>
      </c>
      <c r="N785">
        <v>152600</v>
      </c>
      <c r="O785">
        <f>INDEX(AllCollegeBarrons,MATCH(N785,AllCollegeNCES,0))</f>
        <v>0</v>
      </c>
      <c r="P785">
        <f>INDEX(KidGPAs,MATCH(B785,KidIDs,0))</f>
        <v>0</v>
      </c>
      <c r="Q785">
        <f>INDEX(KidACTs,MATCH(B785,KidIDs,0))</f>
        <v>0</v>
      </c>
      <c r="R785">
        <f>INDEX(Strats,MATCH(B785,KidIDs,0))</f>
        <v>0</v>
      </c>
      <c r="S785">
        <f>INDEX(KidRace,MATCH(B785,KidIDs,0))</f>
        <v>0</v>
      </c>
      <c r="T785">
        <f>IF(OR(S785="M",S785="I"),"H",S785)</f>
        <v>0</v>
      </c>
      <c r="U785">
        <f>INDEX(StudentTargets,MATCH(B785,KidIDs,0))</f>
        <v>0</v>
      </c>
      <c r="V785">
        <f>INDEX(ReachStudentTargets,MATCH(B785,KidIDs,0))</f>
        <v>0</v>
      </c>
      <c r="W785">
        <f>IF(OR(M785="Posse"),1,0)</f>
        <v>0</v>
      </c>
      <c r="X785">
        <f>IF(ISNUMBER(INDEX(AllCollegeGR, MATCH(N785,AllCollegeNCES,0))),ROUND(INDEX(AllCollegeGR, MATCH(N785,AllCollegeNCES,0))+W785*IF(INDEX(AllCollegeGR, MATCH(N785,AllCollegeNCES,0))&gt;0.7,(1-INDEX(AllCollegeGR, MATCH(N785,AllCollegeNCES,0)))/2,0.15),2),INDEX(AllCollegeGR, MATCH(N785,AllCollegeNCES,0)))</f>
        <v>0</v>
      </c>
      <c r="Y785">
        <f>IF(ISNUMBER(INDEX(AllCollegeAAHGR, MATCH(N785,AllCollegeNCES,0))),ROUND(INDEX(AllCollegeAAHGR, MATCH(N785,AllCollegeNCES,0))+W785*IF(INDEX(AllCollegeAAHGR, MATCH(N785,AllCollegeNCES,0))&gt;0.7,(1-INDEX(AllCollegeAAHGR, MATCH(N785,AllCollegeNCES,0)))/2,0.15),2),INDEX(AllCollegeAAHGR, MATCH(N785,AllCollegeNCES,0)))</f>
        <v>0</v>
      </c>
      <c r="Z785">
        <f>IF(OR(T785="H",T785="B"),INDEX(AllCollegeACT25, MATCH(N785,AllCollegeNCES,0)),INDEX(AllCollegeACT50, MATCH(N785,AllCollegeNCES,0)))</f>
        <v>0</v>
      </c>
      <c r="AA785">
        <f>INDEX(CustomWeightsGPA,MATCH(T785&amp;":"&amp;N785,CustomWeightsIndex,0))</f>
        <v>0</v>
      </c>
      <c r="AB785">
        <f>INDEX(CustomWeightsACT,MATCH(T785&amp;":"&amp;N785,CustomWeightsIndex,0))</f>
        <v>0</v>
      </c>
      <c r="AC785">
        <f>INDEX(CustomWeightsIntercept,MATCH(T785&amp;":"&amp;N785,CustomWeightsIndex,0))</f>
        <v>0</v>
      </c>
      <c r="AD785">
        <f>AA785*P785+AB785*Q785+AC785</f>
        <v>0</v>
      </c>
      <c r="AE785">
        <f>INDEX(CoefficientsGPA,MATCH(T785&amp;":"&amp;O785,CoefficientsIndex,0))</f>
        <v>0</v>
      </c>
      <c r="AF785">
        <f>INDEX(CoefficientsACT,MATCH(T785&amp;":"&amp;O785,CoefficientsIndex,0))</f>
        <v>0</v>
      </c>
      <c r="AG785">
        <f>INDEX(CoefficientsIntercept,MATCH(T785&amp;":"&amp;O785,CoefficientsIndex,0))</f>
        <v>0</v>
      </c>
      <c r="AH785">
        <f>AE785*P785+(Q785-Z785)*AF785+AG785</f>
        <v>0</v>
      </c>
      <c r="AI785">
        <f>IF(ISNUMBER(AD785),AD785,AH785)</f>
        <v>0</v>
      </c>
      <c r="AJ785">
        <f>IF(ISNUMBER(AI785),IF(ISNUMBER(AE785),IF(AND(AE785=1,AF785=1,AG785=1),100,ROUND(100*EXP(AI785)/(1+EXP(AI785)),2)),ROUND(100*EXP(AI785)/(1+EXP(AI785)),2)),IF(ISTEXT(O785),IF(LEFT(O785,1)="2",100,"N/A"),"N/A"))</f>
        <v>0</v>
      </c>
      <c r="AK785">
        <f>IF(ISNUMBER(AJ785),IF(AJ785&gt;=99,IF(OR(R785=10,R785=11),MatchLabel,SureThingLabel),IF(AJ785&gt;=95,SecureLabel,IF(AJ785&gt;=80,SafetyLabel,IF(AJ785&gt;=50,MatchLabel,IF(AJ785&gt;=20,ReachLabel,IF(AJ785&gt;=10,LongshotLabel,HailMaryLabel)))))),"Other")</f>
        <v>0</v>
      </c>
      <c r="AL785">
        <f>IF(OR(I785="accepted",I785="cond. accept",I785="summer admit"),IF(J785="yes","CHOICE!","Accepted!"),IF(I785="denied","Denied",IF(K785=1,"Waitlist",IF(L785=1,"Deferred",IF(G785="pending","Pending",IF(OR(G785="initial materials submitted",G785="mid-year submitted",G785="final submitted"),"Submitted",IF(H785="interest","Interest","?")))))))</f>
        <v>0</v>
      </c>
      <c r="AM785">
        <f>IF(OR(AK785=ReachLabel,AK785=LongshotLabel,AK785=HailMaryLabel),1,0)</f>
        <v>0</v>
      </c>
      <c r="AN785">
        <f>IF(OR(AM785=1,AK785=MatchLabel),1,0)</f>
        <v>0</v>
      </c>
      <c r="AO785">
        <f>IF(OR(AK785=MatchLabel,AK785=SafetyLabel,AK785=SecureLabel,AK785=SureThingLabel),1,0)</f>
        <v>0</v>
      </c>
      <c r="AP785">
        <f>IF(OR(T785="H",T785="B"),IF(ISNUMBER(Y785),ROUND(Y785,2),0),IF(ISNUMBER(X785),ROUND(X785,2),0))</f>
        <v>0</v>
      </c>
      <c r="AQ785">
        <f>IF(AP785&gt;=U785,1,0)</f>
        <v>0</v>
      </c>
      <c r="AR785">
        <f>IF(AP785&gt;=V785,1,0)</f>
        <v>0</v>
      </c>
      <c r="AS785">
        <f>IF(AP785&lt;(U785-0.10),1,0)</f>
        <v>0</v>
      </c>
      <c r="AT785">
        <f>1-AJ785/100</f>
        <v>0</v>
      </c>
      <c r="AU785">
        <f>IF(AN785=1,AT785,1)</f>
        <v>0</v>
      </c>
      <c r="AV785">
        <f>IF(AM785=1,AT785,1)</f>
        <v>0</v>
      </c>
      <c r="AW785">
        <f>IF(AND(AQ785=1,ISNUMBER(AT785)),$AT785,1)</f>
        <v>0</v>
      </c>
      <c r="AX785">
        <f>IF(AND(AR785=1,ISNUMBER(AT785)),$AT785,1)</f>
        <v>0</v>
      </c>
      <c r="AY785">
        <f>IF(ISNUMBER(Y785),INDEX(AllCollegeMoney, MATCH(N785,AllCollegeNCES,0)),0)</f>
        <v>0</v>
      </c>
      <c r="AZ785">
        <f>IF(AND(AQ785=1,ISNUMBER(AT785),AY785=1),$AT785,1)</f>
        <v>0</v>
      </c>
      <c r="BA785">
        <f>IF(AND(AR785=1,ISNUMBER(AT785),AY785=1),$AT785,1)</f>
        <v>0</v>
      </c>
      <c r="BB785">
        <f>IF(ISNUMBER(Y785),INDEX(AllCollegeILPub, MATCH(N785,AllCollegeNCES,0)),0)</f>
        <v>0</v>
      </c>
      <c r="BC785">
        <f>IF(AK785=ReachLabel,AP785,0)</f>
        <v>0</v>
      </c>
      <c r="BD785">
        <f>IF(AK785=MatchLabel,AP785,0)</f>
        <v>0</v>
      </c>
      <c r="BE785">
        <f>IF(AK785=SafetyLabel,AP785,0)</f>
        <v>0</v>
      </c>
      <c r="BF785">
        <f>IF(AK785=SecureLabel,AP785,0)</f>
        <v>0</v>
      </c>
      <c r="BG785">
        <f>IF(AK785=SureThingLabel,AP785,0)</f>
        <v>0</v>
      </c>
      <c r="BH785">
        <f>MAX(BC785:BG785)</f>
        <v>0</v>
      </c>
      <c r="BI785">
        <f>MAX(BD785:BG785)</f>
        <v>0</v>
      </c>
      <c r="BJ785">
        <f>MAX(BE785:BG785)</f>
        <v>0</v>
      </c>
      <c r="BK785">
        <f>IF(AND(AK785=ReachLabel,AY785=1),AP785,0)</f>
        <v>0</v>
      </c>
      <c r="BL785">
        <f>IF(AND(AK785=MatchLabel,AY785=1),AP785,0)</f>
        <v>0</v>
      </c>
      <c r="BM785">
        <f>IF(AND(AK785=SafetyLabel,AY785=1),AP785,0)</f>
        <v>0</v>
      </c>
      <c r="BN785">
        <f>IF(AND(AK785=SecureLabel,AY785=1),AP785,0)</f>
        <v>0</v>
      </c>
      <c r="BO785">
        <f>IF(AND(AK785=SureThingLabel,AY785=1),AP785,0)</f>
        <v>0</v>
      </c>
      <c r="BP785">
        <f>MAX(BK785:BO785)</f>
        <v>0</v>
      </c>
      <c r="BQ785">
        <f>MAX(BL785:BO785)</f>
        <v>0</v>
      </c>
      <c r="BR785">
        <f>MAX(BM785:BO785)</f>
        <v>0</v>
      </c>
      <c r="BS785">
        <f>IF(ISNUMBER(Y785),INDEX(AllCollegeChicago, MATCH(N785,AllCollegeNCES,0))*AY785,0)</f>
        <v>0</v>
      </c>
      <c r="BT785">
        <f>IF(ISNUMBER(Y785),INDEX(AllCollegeMoneyCode, MATCH(N785,AllCollegeNCES,0)),"?")</f>
        <v>0</v>
      </c>
      <c r="BU785">
        <f>IF(OR(BT785="---",BT785="--",BT785="+/--",BT785="+/---"),1,0)</f>
        <v>0</v>
      </c>
      <c r="BV785">
        <f>AY785*AO785*AQ785</f>
        <v>0</v>
      </c>
    </row>
    <row r="786" spans="1:74">
      <c r="A786" t="s">
        <v>86</v>
      </c>
      <c r="B786">
        <v>30323076</v>
      </c>
      <c r="C786" t="s">
        <v>167</v>
      </c>
      <c r="D786" t="s">
        <v>168</v>
      </c>
      <c r="E786" t="s">
        <v>428</v>
      </c>
      <c r="F786" t="s">
        <v>596</v>
      </c>
      <c r="G786" t="s">
        <v>463</v>
      </c>
      <c r="H786" t="s">
        <v>431</v>
      </c>
      <c r="I786" t="s">
        <v>432</v>
      </c>
      <c r="J786" t="s">
        <v>432</v>
      </c>
      <c r="K786">
        <v>0</v>
      </c>
      <c r="L786" t="s">
        <v>428</v>
      </c>
      <c r="M786" t="s">
        <v>428</v>
      </c>
      <c r="N786">
        <v>172699</v>
      </c>
      <c r="O786">
        <f>INDEX(AllCollegeBarrons,MATCH(N786,AllCollegeNCES,0))</f>
        <v>0</v>
      </c>
      <c r="P786">
        <f>INDEX(KidGPAs,MATCH(B786,KidIDs,0))</f>
        <v>0</v>
      </c>
      <c r="Q786">
        <f>INDEX(KidACTs,MATCH(B786,KidIDs,0))</f>
        <v>0</v>
      </c>
      <c r="R786">
        <f>INDEX(Strats,MATCH(B786,KidIDs,0))</f>
        <v>0</v>
      </c>
      <c r="S786">
        <f>INDEX(KidRace,MATCH(B786,KidIDs,0))</f>
        <v>0</v>
      </c>
      <c r="T786">
        <f>IF(OR(S786="M",S786="I"),"H",S786)</f>
        <v>0</v>
      </c>
      <c r="U786">
        <f>INDEX(StudentTargets,MATCH(B786,KidIDs,0))</f>
        <v>0</v>
      </c>
      <c r="V786">
        <f>INDEX(ReachStudentTargets,MATCH(B786,KidIDs,0))</f>
        <v>0</v>
      </c>
      <c r="W786">
        <f>IF(OR(M786="Posse"),1,0)</f>
        <v>0</v>
      </c>
      <c r="X786">
        <f>IF(ISNUMBER(INDEX(AllCollegeGR, MATCH(N786,AllCollegeNCES,0))),ROUND(INDEX(AllCollegeGR, MATCH(N786,AllCollegeNCES,0))+W786*IF(INDEX(AllCollegeGR, MATCH(N786,AllCollegeNCES,0))&gt;0.7,(1-INDEX(AllCollegeGR, MATCH(N786,AllCollegeNCES,0)))/2,0.15),2),INDEX(AllCollegeGR, MATCH(N786,AllCollegeNCES,0)))</f>
        <v>0</v>
      </c>
      <c r="Y786">
        <f>IF(ISNUMBER(INDEX(AllCollegeAAHGR, MATCH(N786,AllCollegeNCES,0))),ROUND(INDEX(AllCollegeAAHGR, MATCH(N786,AllCollegeNCES,0))+W786*IF(INDEX(AllCollegeAAHGR, MATCH(N786,AllCollegeNCES,0))&gt;0.7,(1-INDEX(AllCollegeAAHGR, MATCH(N786,AllCollegeNCES,0)))/2,0.15),2),INDEX(AllCollegeAAHGR, MATCH(N786,AllCollegeNCES,0)))</f>
        <v>0</v>
      </c>
      <c r="Z786">
        <f>IF(OR(T786="H",T786="B"),INDEX(AllCollegeACT25, MATCH(N786,AllCollegeNCES,0)),INDEX(AllCollegeACT50, MATCH(N786,AllCollegeNCES,0)))</f>
        <v>0</v>
      </c>
      <c r="AA786">
        <f>INDEX(CustomWeightsGPA,MATCH(T786&amp;":"&amp;N786,CustomWeightsIndex,0))</f>
        <v>0</v>
      </c>
      <c r="AB786">
        <f>INDEX(CustomWeightsACT,MATCH(T786&amp;":"&amp;N786,CustomWeightsIndex,0))</f>
        <v>0</v>
      </c>
      <c r="AC786">
        <f>INDEX(CustomWeightsIntercept,MATCH(T786&amp;":"&amp;N786,CustomWeightsIndex,0))</f>
        <v>0</v>
      </c>
      <c r="AD786">
        <f>AA786*P786+AB786*Q786+AC786</f>
        <v>0</v>
      </c>
      <c r="AE786">
        <f>INDEX(CoefficientsGPA,MATCH(T786&amp;":"&amp;O786,CoefficientsIndex,0))</f>
        <v>0</v>
      </c>
      <c r="AF786">
        <f>INDEX(CoefficientsACT,MATCH(T786&amp;":"&amp;O786,CoefficientsIndex,0))</f>
        <v>0</v>
      </c>
      <c r="AG786">
        <f>INDEX(CoefficientsIntercept,MATCH(T786&amp;":"&amp;O786,CoefficientsIndex,0))</f>
        <v>0</v>
      </c>
      <c r="AH786">
        <f>AE786*P786+(Q786-Z786)*AF786+AG786</f>
        <v>0</v>
      </c>
      <c r="AI786">
        <f>IF(ISNUMBER(AD786),AD786,AH786)</f>
        <v>0</v>
      </c>
      <c r="AJ786">
        <f>IF(ISNUMBER(AI786),IF(ISNUMBER(AE786),IF(AND(AE786=1,AF786=1,AG786=1),100,ROUND(100*EXP(AI786)/(1+EXP(AI786)),2)),ROUND(100*EXP(AI786)/(1+EXP(AI786)),2)),IF(ISTEXT(O786),IF(LEFT(O786,1)="2",100,"N/A"),"N/A"))</f>
        <v>0</v>
      </c>
      <c r="AK786">
        <f>IF(ISNUMBER(AJ786),IF(AJ786&gt;=99,IF(OR(R786=10,R786=11),MatchLabel,SureThingLabel),IF(AJ786&gt;=95,SecureLabel,IF(AJ786&gt;=80,SafetyLabel,IF(AJ786&gt;=50,MatchLabel,IF(AJ786&gt;=20,ReachLabel,IF(AJ786&gt;=10,LongshotLabel,HailMaryLabel)))))),"Other")</f>
        <v>0</v>
      </c>
      <c r="AL786">
        <f>IF(OR(I786="accepted",I786="cond. accept",I786="summer admit"),IF(J786="yes","CHOICE!","Accepted!"),IF(I786="denied","Denied",IF(K786=1,"Waitlist",IF(L786=1,"Deferred",IF(G786="pending","Pending",IF(OR(G786="initial materials submitted",G786="mid-year submitted",G786="final submitted"),"Submitted",IF(H786="interest","Interest","?")))))))</f>
        <v>0</v>
      </c>
      <c r="AM786">
        <f>IF(OR(AK786=ReachLabel,AK786=LongshotLabel,AK786=HailMaryLabel),1,0)</f>
        <v>0</v>
      </c>
      <c r="AN786">
        <f>IF(OR(AM786=1,AK786=MatchLabel),1,0)</f>
        <v>0</v>
      </c>
      <c r="AO786">
        <f>IF(OR(AK786=MatchLabel,AK786=SafetyLabel,AK786=SecureLabel,AK786=SureThingLabel),1,0)</f>
        <v>0</v>
      </c>
      <c r="AP786">
        <f>IF(OR(T786="H",T786="B"),IF(ISNUMBER(Y786),ROUND(Y786,2),0),IF(ISNUMBER(X786),ROUND(X786,2),0))</f>
        <v>0</v>
      </c>
      <c r="AQ786">
        <f>IF(AP786&gt;=U786,1,0)</f>
        <v>0</v>
      </c>
      <c r="AR786">
        <f>IF(AP786&gt;=V786,1,0)</f>
        <v>0</v>
      </c>
      <c r="AS786">
        <f>IF(AP786&lt;(U786-0.10),1,0)</f>
        <v>0</v>
      </c>
      <c r="AT786">
        <f>1-AJ786/100</f>
        <v>0</v>
      </c>
      <c r="AU786">
        <f>IF(AN786=1,AT786,1)</f>
        <v>0</v>
      </c>
      <c r="AV786">
        <f>IF(AM786=1,AT786,1)</f>
        <v>0</v>
      </c>
      <c r="AW786">
        <f>IF(AND(AQ786=1,ISNUMBER(AT786)),$AT786,1)</f>
        <v>0</v>
      </c>
      <c r="AX786">
        <f>IF(AND(AR786=1,ISNUMBER(AT786)),$AT786,1)</f>
        <v>0</v>
      </c>
      <c r="AY786">
        <f>IF(ISNUMBER(Y786),INDEX(AllCollegeMoney, MATCH(N786,AllCollegeNCES,0)),0)</f>
        <v>0</v>
      </c>
      <c r="AZ786">
        <f>IF(AND(AQ786=1,ISNUMBER(AT786),AY786=1),$AT786,1)</f>
        <v>0</v>
      </c>
      <c r="BA786">
        <f>IF(AND(AR786=1,ISNUMBER(AT786),AY786=1),$AT786,1)</f>
        <v>0</v>
      </c>
      <c r="BB786">
        <f>IF(ISNUMBER(Y786),INDEX(AllCollegeILPub, MATCH(N786,AllCollegeNCES,0)),0)</f>
        <v>0</v>
      </c>
      <c r="BC786">
        <f>IF(AK786=ReachLabel,AP786,0)</f>
        <v>0</v>
      </c>
      <c r="BD786">
        <f>IF(AK786=MatchLabel,AP786,0)</f>
        <v>0</v>
      </c>
      <c r="BE786">
        <f>IF(AK786=SafetyLabel,AP786,0)</f>
        <v>0</v>
      </c>
      <c r="BF786">
        <f>IF(AK786=SecureLabel,AP786,0)</f>
        <v>0</v>
      </c>
      <c r="BG786">
        <f>IF(AK786=SureThingLabel,AP786,0)</f>
        <v>0</v>
      </c>
      <c r="BH786">
        <f>MAX(BC786:BG786)</f>
        <v>0</v>
      </c>
      <c r="BI786">
        <f>MAX(BD786:BG786)</f>
        <v>0</v>
      </c>
      <c r="BJ786">
        <f>MAX(BE786:BG786)</f>
        <v>0</v>
      </c>
      <c r="BK786">
        <f>IF(AND(AK786=ReachLabel,AY786=1),AP786,0)</f>
        <v>0</v>
      </c>
      <c r="BL786">
        <f>IF(AND(AK786=MatchLabel,AY786=1),AP786,0)</f>
        <v>0</v>
      </c>
      <c r="BM786">
        <f>IF(AND(AK786=SafetyLabel,AY786=1),AP786,0)</f>
        <v>0</v>
      </c>
      <c r="BN786">
        <f>IF(AND(AK786=SecureLabel,AY786=1),AP786,0)</f>
        <v>0</v>
      </c>
      <c r="BO786">
        <f>IF(AND(AK786=SureThingLabel,AY786=1),AP786,0)</f>
        <v>0</v>
      </c>
      <c r="BP786">
        <f>MAX(BK786:BO786)</f>
        <v>0</v>
      </c>
      <c r="BQ786">
        <f>MAX(BL786:BO786)</f>
        <v>0</v>
      </c>
      <c r="BR786">
        <f>MAX(BM786:BO786)</f>
        <v>0</v>
      </c>
      <c r="BS786">
        <f>IF(ISNUMBER(Y786),INDEX(AllCollegeChicago, MATCH(N786,AllCollegeNCES,0))*AY786,0)</f>
        <v>0</v>
      </c>
      <c r="BT786">
        <f>IF(ISNUMBER(Y786),INDEX(AllCollegeMoneyCode, MATCH(N786,AllCollegeNCES,0)),"?")</f>
        <v>0</v>
      </c>
      <c r="BU786">
        <f>IF(OR(BT786="---",BT786="--",BT786="+/--",BT786="+/---"),1,0)</f>
        <v>0</v>
      </c>
      <c r="BV786">
        <f>AY786*AO786*AQ786</f>
        <v>0</v>
      </c>
    </row>
    <row r="787" spans="1:74">
      <c r="A787" t="s">
        <v>86</v>
      </c>
      <c r="B787">
        <v>30323076</v>
      </c>
      <c r="C787" t="s">
        <v>167</v>
      </c>
      <c r="D787" t="s">
        <v>168</v>
      </c>
      <c r="E787" t="s">
        <v>428</v>
      </c>
      <c r="F787" t="s">
        <v>597</v>
      </c>
      <c r="G787" t="s">
        <v>430</v>
      </c>
      <c r="H787" t="s">
        <v>431</v>
      </c>
      <c r="I787" t="s">
        <v>432</v>
      </c>
      <c r="J787" t="s">
        <v>432</v>
      </c>
      <c r="K787">
        <v>0</v>
      </c>
      <c r="L787" t="s">
        <v>428</v>
      </c>
      <c r="M787" t="s">
        <v>428</v>
      </c>
      <c r="N787">
        <v>178420</v>
      </c>
      <c r="O787">
        <f>INDEX(AllCollegeBarrons,MATCH(N787,AllCollegeNCES,0))</f>
        <v>0</v>
      </c>
      <c r="P787">
        <f>INDEX(KidGPAs,MATCH(B787,KidIDs,0))</f>
        <v>0</v>
      </c>
      <c r="Q787">
        <f>INDEX(KidACTs,MATCH(B787,KidIDs,0))</f>
        <v>0</v>
      </c>
      <c r="R787">
        <f>INDEX(Strats,MATCH(B787,KidIDs,0))</f>
        <v>0</v>
      </c>
      <c r="S787">
        <f>INDEX(KidRace,MATCH(B787,KidIDs,0))</f>
        <v>0</v>
      </c>
      <c r="T787">
        <f>IF(OR(S787="M",S787="I"),"H",S787)</f>
        <v>0</v>
      </c>
      <c r="U787">
        <f>INDEX(StudentTargets,MATCH(B787,KidIDs,0))</f>
        <v>0</v>
      </c>
      <c r="V787">
        <f>INDEX(ReachStudentTargets,MATCH(B787,KidIDs,0))</f>
        <v>0</v>
      </c>
      <c r="W787">
        <f>IF(OR(M787="Posse"),1,0)</f>
        <v>0</v>
      </c>
      <c r="X787">
        <f>IF(ISNUMBER(INDEX(AllCollegeGR, MATCH(N787,AllCollegeNCES,0))),ROUND(INDEX(AllCollegeGR, MATCH(N787,AllCollegeNCES,0))+W787*IF(INDEX(AllCollegeGR, MATCH(N787,AllCollegeNCES,0))&gt;0.7,(1-INDEX(AllCollegeGR, MATCH(N787,AllCollegeNCES,0)))/2,0.15),2),INDEX(AllCollegeGR, MATCH(N787,AllCollegeNCES,0)))</f>
        <v>0</v>
      </c>
      <c r="Y787">
        <f>IF(ISNUMBER(INDEX(AllCollegeAAHGR, MATCH(N787,AllCollegeNCES,0))),ROUND(INDEX(AllCollegeAAHGR, MATCH(N787,AllCollegeNCES,0))+W787*IF(INDEX(AllCollegeAAHGR, MATCH(N787,AllCollegeNCES,0))&gt;0.7,(1-INDEX(AllCollegeAAHGR, MATCH(N787,AllCollegeNCES,0)))/2,0.15),2),INDEX(AllCollegeAAHGR, MATCH(N787,AllCollegeNCES,0)))</f>
        <v>0</v>
      </c>
      <c r="Z787">
        <f>IF(OR(T787="H",T787="B"),INDEX(AllCollegeACT25, MATCH(N787,AllCollegeNCES,0)),INDEX(AllCollegeACT50, MATCH(N787,AllCollegeNCES,0)))</f>
        <v>0</v>
      </c>
      <c r="AA787">
        <f>INDEX(CustomWeightsGPA,MATCH(T787&amp;":"&amp;N787,CustomWeightsIndex,0))</f>
        <v>0</v>
      </c>
      <c r="AB787">
        <f>INDEX(CustomWeightsACT,MATCH(T787&amp;":"&amp;N787,CustomWeightsIndex,0))</f>
        <v>0</v>
      </c>
      <c r="AC787">
        <f>INDEX(CustomWeightsIntercept,MATCH(T787&amp;":"&amp;N787,CustomWeightsIndex,0))</f>
        <v>0</v>
      </c>
      <c r="AD787">
        <f>AA787*P787+AB787*Q787+AC787</f>
        <v>0</v>
      </c>
      <c r="AE787">
        <f>INDEX(CoefficientsGPA,MATCH(T787&amp;":"&amp;O787,CoefficientsIndex,0))</f>
        <v>0</v>
      </c>
      <c r="AF787">
        <f>INDEX(CoefficientsACT,MATCH(T787&amp;":"&amp;O787,CoefficientsIndex,0))</f>
        <v>0</v>
      </c>
      <c r="AG787">
        <f>INDEX(CoefficientsIntercept,MATCH(T787&amp;":"&amp;O787,CoefficientsIndex,0))</f>
        <v>0</v>
      </c>
      <c r="AH787">
        <f>AE787*P787+(Q787-Z787)*AF787+AG787</f>
        <v>0</v>
      </c>
      <c r="AI787">
        <f>IF(ISNUMBER(AD787),AD787,AH787)</f>
        <v>0</v>
      </c>
      <c r="AJ787">
        <f>IF(ISNUMBER(AI787),IF(ISNUMBER(AE787),IF(AND(AE787=1,AF787=1,AG787=1),100,ROUND(100*EXP(AI787)/(1+EXP(AI787)),2)),ROUND(100*EXP(AI787)/(1+EXP(AI787)),2)),IF(ISTEXT(O787),IF(LEFT(O787,1)="2",100,"N/A"),"N/A"))</f>
        <v>0</v>
      </c>
      <c r="AK787">
        <f>IF(ISNUMBER(AJ787),IF(AJ787&gt;=99,IF(OR(R787=10,R787=11),MatchLabel,SureThingLabel),IF(AJ787&gt;=95,SecureLabel,IF(AJ787&gt;=80,SafetyLabel,IF(AJ787&gt;=50,MatchLabel,IF(AJ787&gt;=20,ReachLabel,IF(AJ787&gt;=10,LongshotLabel,HailMaryLabel)))))),"Other")</f>
        <v>0</v>
      </c>
      <c r="AL787">
        <f>IF(OR(I787="accepted",I787="cond. accept",I787="summer admit"),IF(J787="yes","CHOICE!","Accepted!"),IF(I787="denied","Denied",IF(K787=1,"Waitlist",IF(L787=1,"Deferred",IF(G787="pending","Pending",IF(OR(G787="initial materials submitted",G787="mid-year submitted",G787="final submitted"),"Submitted",IF(H787="interest","Interest","?")))))))</f>
        <v>0</v>
      </c>
      <c r="AM787">
        <f>IF(OR(AK787=ReachLabel,AK787=LongshotLabel,AK787=HailMaryLabel),1,0)</f>
        <v>0</v>
      </c>
      <c r="AN787">
        <f>IF(OR(AM787=1,AK787=MatchLabel),1,0)</f>
        <v>0</v>
      </c>
      <c r="AO787">
        <f>IF(OR(AK787=MatchLabel,AK787=SafetyLabel,AK787=SecureLabel,AK787=SureThingLabel),1,0)</f>
        <v>0</v>
      </c>
      <c r="AP787">
        <f>IF(OR(T787="H",T787="B"),IF(ISNUMBER(Y787),ROUND(Y787,2),0),IF(ISNUMBER(X787),ROUND(X787,2),0))</f>
        <v>0</v>
      </c>
      <c r="AQ787">
        <f>IF(AP787&gt;=U787,1,0)</f>
        <v>0</v>
      </c>
      <c r="AR787">
        <f>IF(AP787&gt;=V787,1,0)</f>
        <v>0</v>
      </c>
      <c r="AS787">
        <f>IF(AP787&lt;(U787-0.10),1,0)</f>
        <v>0</v>
      </c>
      <c r="AT787">
        <f>1-AJ787/100</f>
        <v>0</v>
      </c>
      <c r="AU787">
        <f>IF(AN787=1,AT787,1)</f>
        <v>0</v>
      </c>
      <c r="AV787">
        <f>IF(AM787=1,AT787,1)</f>
        <v>0</v>
      </c>
      <c r="AW787">
        <f>IF(AND(AQ787=1,ISNUMBER(AT787)),$AT787,1)</f>
        <v>0</v>
      </c>
      <c r="AX787">
        <f>IF(AND(AR787=1,ISNUMBER(AT787)),$AT787,1)</f>
        <v>0</v>
      </c>
      <c r="AY787">
        <f>IF(ISNUMBER(Y787),INDEX(AllCollegeMoney, MATCH(N787,AllCollegeNCES,0)),0)</f>
        <v>0</v>
      </c>
      <c r="AZ787">
        <f>IF(AND(AQ787=1,ISNUMBER(AT787),AY787=1),$AT787,1)</f>
        <v>0</v>
      </c>
      <c r="BA787">
        <f>IF(AND(AR787=1,ISNUMBER(AT787),AY787=1),$AT787,1)</f>
        <v>0</v>
      </c>
      <c r="BB787">
        <f>IF(ISNUMBER(Y787),INDEX(AllCollegeILPub, MATCH(N787,AllCollegeNCES,0)),0)</f>
        <v>0</v>
      </c>
      <c r="BC787">
        <f>IF(AK787=ReachLabel,AP787,0)</f>
        <v>0</v>
      </c>
      <c r="BD787">
        <f>IF(AK787=MatchLabel,AP787,0)</f>
        <v>0</v>
      </c>
      <c r="BE787">
        <f>IF(AK787=SafetyLabel,AP787,0)</f>
        <v>0</v>
      </c>
      <c r="BF787">
        <f>IF(AK787=SecureLabel,AP787,0)</f>
        <v>0</v>
      </c>
      <c r="BG787">
        <f>IF(AK787=SureThingLabel,AP787,0)</f>
        <v>0</v>
      </c>
      <c r="BH787">
        <f>MAX(BC787:BG787)</f>
        <v>0</v>
      </c>
      <c r="BI787">
        <f>MAX(BD787:BG787)</f>
        <v>0</v>
      </c>
      <c r="BJ787">
        <f>MAX(BE787:BG787)</f>
        <v>0</v>
      </c>
      <c r="BK787">
        <f>IF(AND(AK787=ReachLabel,AY787=1),AP787,0)</f>
        <v>0</v>
      </c>
      <c r="BL787">
        <f>IF(AND(AK787=MatchLabel,AY787=1),AP787,0)</f>
        <v>0</v>
      </c>
      <c r="BM787">
        <f>IF(AND(AK787=SafetyLabel,AY787=1),AP787,0)</f>
        <v>0</v>
      </c>
      <c r="BN787">
        <f>IF(AND(AK787=SecureLabel,AY787=1),AP787,0)</f>
        <v>0</v>
      </c>
      <c r="BO787">
        <f>IF(AND(AK787=SureThingLabel,AY787=1),AP787,0)</f>
        <v>0</v>
      </c>
      <c r="BP787">
        <f>MAX(BK787:BO787)</f>
        <v>0</v>
      </c>
      <c r="BQ787">
        <f>MAX(BL787:BO787)</f>
        <v>0</v>
      </c>
      <c r="BR787">
        <f>MAX(BM787:BO787)</f>
        <v>0</v>
      </c>
      <c r="BS787">
        <f>IF(ISNUMBER(Y787),INDEX(AllCollegeChicago, MATCH(N787,AllCollegeNCES,0))*AY787,0)</f>
        <v>0</v>
      </c>
      <c r="BT787">
        <f>IF(ISNUMBER(Y787),INDEX(AllCollegeMoneyCode, MATCH(N787,AllCollegeNCES,0)),"?")</f>
        <v>0</v>
      </c>
      <c r="BU787">
        <f>IF(OR(BT787="---",BT787="--",BT787="+/--",BT787="+/---"),1,0)</f>
        <v>0</v>
      </c>
      <c r="BV787">
        <f>AY787*AO787*AQ787</f>
        <v>0</v>
      </c>
    </row>
    <row r="788" spans="1:74">
      <c r="A788" t="s">
        <v>86</v>
      </c>
      <c r="B788">
        <v>30373557</v>
      </c>
      <c r="C788" t="s">
        <v>129</v>
      </c>
      <c r="D788" t="s">
        <v>130</v>
      </c>
      <c r="E788" t="s">
        <v>428</v>
      </c>
      <c r="F788" t="s">
        <v>448</v>
      </c>
      <c r="G788" t="s">
        <v>430</v>
      </c>
      <c r="H788" t="s">
        <v>431</v>
      </c>
      <c r="I788" t="s">
        <v>432</v>
      </c>
      <c r="J788" t="s">
        <v>432</v>
      </c>
      <c r="K788">
        <v>0</v>
      </c>
      <c r="L788" t="s">
        <v>428</v>
      </c>
      <c r="M788" t="s">
        <v>428</v>
      </c>
      <c r="N788" t="s">
        <v>449</v>
      </c>
      <c r="O788">
        <f>INDEX(AllCollegeBarrons,MATCH(N788,AllCollegeNCES,0))</f>
        <v>0</v>
      </c>
      <c r="P788">
        <f>INDEX(KidGPAs,MATCH(B788,KidIDs,0))</f>
        <v>0</v>
      </c>
      <c r="Q788">
        <f>INDEX(KidACTs,MATCH(B788,KidIDs,0))</f>
        <v>0</v>
      </c>
      <c r="R788">
        <f>INDEX(Strats,MATCH(B788,KidIDs,0))</f>
        <v>0</v>
      </c>
      <c r="S788">
        <f>INDEX(KidRace,MATCH(B788,KidIDs,0))</f>
        <v>0</v>
      </c>
      <c r="T788">
        <f>IF(OR(S788="M",S788="I"),"H",S788)</f>
        <v>0</v>
      </c>
      <c r="U788">
        <f>INDEX(StudentTargets,MATCH(B788,KidIDs,0))</f>
        <v>0</v>
      </c>
      <c r="V788">
        <f>INDEX(ReachStudentTargets,MATCH(B788,KidIDs,0))</f>
        <v>0</v>
      </c>
      <c r="W788">
        <f>IF(OR(M788="Posse"),1,0)</f>
        <v>0</v>
      </c>
      <c r="X788">
        <f>IF(ISNUMBER(INDEX(AllCollegeGR, MATCH(N788,AllCollegeNCES,0))),ROUND(INDEX(AllCollegeGR, MATCH(N788,AllCollegeNCES,0))+W788*IF(INDEX(AllCollegeGR, MATCH(N788,AllCollegeNCES,0))&gt;0.7,(1-INDEX(AllCollegeGR, MATCH(N788,AllCollegeNCES,0)))/2,0.15),2),INDEX(AllCollegeGR, MATCH(N788,AllCollegeNCES,0)))</f>
        <v>0</v>
      </c>
      <c r="Y788">
        <f>IF(ISNUMBER(INDEX(AllCollegeAAHGR, MATCH(N788,AllCollegeNCES,0))),ROUND(INDEX(AllCollegeAAHGR, MATCH(N788,AllCollegeNCES,0))+W788*IF(INDEX(AllCollegeAAHGR, MATCH(N788,AllCollegeNCES,0))&gt;0.7,(1-INDEX(AllCollegeAAHGR, MATCH(N788,AllCollegeNCES,0)))/2,0.15),2),INDEX(AllCollegeAAHGR, MATCH(N788,AllCollegeNCES,0)))</f>
        <v>0</v>
      </c>
      <c r="Z788">
        <f>IF(OR(T788="H",T788="B"),INDEX(AllCollegeACT25, MATCH(N788,AllCollegeNCES,0)),INDEX(AllCollegeACT50, MATCH(N788,AllCollegeNCES,0)))</f>
        <v>0</v>
      </c>
      <c r="AA788">
        <f>INDEX(CustomWeightsGPA,MATCH(T788&amp;":"&amp;N788,CustomWeightsIndex,0))</f>
        <v>0</v>
      </c>
      <c r="AB788">
        <f>INDEX(CustomWeightsACT,MATCH(T788&amp;":"&amp;N788,CustomWeightsIndex,0))</f>
        <v>0</v>
      </c>
      <c r="AC788">
        <f>INDEX(CustomWeightsIntercept,MATCH(T788&amp;":"&amp;N788,CustomWeightsIndex,0))</f>
        <v>0</v>
      </c>
      <c r="AD788">
        <f>AA788*P788+AB788*Q788+AC788</f>
        <v>0</v>
      </c>
      <c r="AE788">
        <f>INDEX(CoefficientsGPA,MATCH(T788&amp;":"&amp;O788,CoefficientsIndex,0))</f>
        <v>0</v>
      </c>
      <c r="AF788">
        <f>INDEX(CoefficientsACT,MATCH(T788&amp;":"&amp;O788,CoefficientsIndex,0))</f>
        <v>0</v>
      </c>
      <c r="AG788">
        <f>INDEX(CoefficientsIntercept,MATCH(T788&amp;":"&amp;O788,CoefficientsIndex,0))</f>
        <v>0</v>
      </c>
      <c r="AH788">
        <f>AE788*P788+(Q788-Z788)*AF788+AG788</f>
        <v>0</v>
      </c>
      <c r="AI788">
        <f>IF(ISNUMBER(AD788),AD788,AH788)</f>
        <v>0</v>
      </c>
      <c r="AJ788">
        <f>IF(ISNUMBER(AI788),IF(ISNUMBER(AE788),IF(AND(AE788=1,AF788=1,AG788=1),100,ROUND(100*EXP(AI788)/(1+EXP(AI788)),2)),ROUND(100*EXP(AI788)/(1+EXP(AI788)),2)),IF(ISTEXT(O788),IF(LEFT(O788,1)="2",100,"N/A"),"N/A"))</f>
        <v>0</v>
      </c>
      <c r="AK788">
        <f>IF(ISNUMBER(AJ788),IF(AJ788&gt;=99,IF(OR(R788=10,R788=11),MatchLabel,SureThingLabel),IF(AJ788&gt;=95,SecureLabel,IF(AJ788&gt;=80,SafetyLabel,IF(AJ788&gt;=50,MatchLabel,IF(AJ788&gt;=20,ReachLabel,IF(AJ788&gt;=10,LongshotLabel,HailMaryLabel)))))),"Other")</f>
        <v>0</v>
      </c>
      <c r="AL788">
        <f>IF(OR(I788="accepted",I788="cond. accept",I788="summer admit"),IF(J788="yes","CHOICE!","Accepted!"),IF(I788="denied","Denied",IF(K788=1,"Waitlist",IF(L788=1,"Deferred",IF(G788="pending","Pending",IF(OR(G788="initial materials submitted",G788="mid-year submitted",G788="final submitted"),"Submitted",IF(H788="interest","Interest","?")))))))</f>
        <v>0</v>
      </c>
      <c r="AM788">
        <f>IF(OR(AK788=ReachLabel,AK788=LongshotLabel,AK788=HailMaryLabel),1,0)</f>
        <v>0</v>
      </c>
      <c r="AN788">
        <f>IF(OR(AM788=1,AK788=MatchLabel),1,0)</f>
        <v>0</v>
      </c>
      <c r="AO788">
        <f>IF(OR(AK788=MatchLabel,AK788=SafetyLabel,AK788=SecureLabel,AK788=SureThingLabel),1,0)</f>
        <v>0</v>
      </c>
      <c r="AP788">
        <f>IF(OR(T788="H",T788="B"),IF(ISNUMBER(Y788),ROUND(Y788,2),0),IF(ISNUMBER(X788),ROUND(X788,2),0))</f>
        <v>0</v>
      </c>
      <c r="AQ788">
        <f>IF(AP788&gt;=U788,1,0)</f>
        <v>0</v>
      </c>
      <c r="AR788">
        <f>IF(AP788&gt;=V788,1,0)</f>
        <v>0</v>
      </c>
      <c r="AS788">
        <f>IF(AP788&lt;(U788-0.10),1,0)</f>
        <v>0</v>
      </c>
      <c r="AT788">
        <f>1-AJ788/100</f>
        <v>0</v>
      </c>
      <c r="AU788">
        <f>IF(AN788=1,AT788,1)</f>
        <v>0</v>
      </c>
      <c r="AV788">
        <f>IF(AM788=1,AT788,1)</f>
        <v>0</v>
      </c>
      <c r="AW788">
        <f>IF(AND(AQ788=1,ISNUMBER(AT788)),$AT788,1)</f>
        <v>0</v>
      </c>
      <c r="AX788">
        <f>IF(AND(AR788=1,ISNUMBER(AT788)),$AT788,1)</f>
        <v>0</v>
      </c>
      <c r="AY788">
        <f>IF(ISNUMBER(Y788),INDEX(AllCollegeMoney, MATCH(N788,AllCollegeNCES,0)),0)</f>
        <v>0</v>
      </c>
      <c r="AZ788">
        <f>IF(AND(AQ788=1,ISNUMBER(AT788),AY788=1),$AT788,1)</f>
        <v>0</v>
      </c>
      <c r="BA788">
        <f>IF(AND(AR788=1,ISNUMBER(AT788),AY788=1),$AT788,1)</f>
        <v>0</v>
      </c>
      <c r="BB788">
        <f>IF(ISNUMBER(Y788),INDEX(AllCollegeILPub, MATCH(N788,AllCollegeNCES,0)),0)</f>
        <v>0</v>
      </c>
      <c r="BC788">
        <f>IF(AK788=ReachLabel,AP788,0)</f>
        <v>0</v>
      </c>
      <c r="BD788">
        <f>IF(AK788=MatchLabel,AP788,0)</f>
        <v>0</v>
      </c>
      <c r="BE788">
        <f>IF(AK788=SafetyLabel,AP788,0)</f>
        <v>0</v>
      </c>
      <c r="BF788">
        <f>IF(AK788=SecureLabel,AP788,0)</f>
        <v>0</v>
      </c>
      <c r="BG788">
        <f>IF(AK788=SureThingLabel,AP788,0)</f>
        <v>0</v>
      </c>
      <c r="BH788">
        <f>MAX(BC788:BG788)</f>
        <v>0</v>
      </c>
      <c r="BI788">
        <f>MAX(BD788:BG788)</f>
        <v>0</v>
      </c>
      <c r="BJ788">
        <f>MAX(BE788:BG788)</f>
        <v>0</v>
      </c>
      <c r="BK788">
        <f>IF(AND(AK788=ReachLabel,AY788=1),AP788,0)</f>
        <v>0</v>
      </c>
      <c r="BL788">
        <f>IF(AND(AK788=MatchLabel,AY788=1),AP788,0)</f>
        <v>0</v>
      </c>
      <c r="BM788">
        <f>IF(AND(AK788=SafetyLabel,AY788=1),AP788,0)</f>
        <v>0</v>
      </c>
      <c r="BN788">
        <f>IF(AND(AK788=SecureLabel,AY788=1),AP788,0)</f>
        <v>0</v>
      </c>
      <c r="BO788">
        <f>IF(AND(AK788=SureThingLabel,AY788=1),AP788,0)</f>
        <v>0</v>
      </c>
      <c r="BP788">
        <f>MAX(BK788:BO788)</f>
        <v>0</v>
      </c>
      <c r="BQ788">
        <f>MAX(BL788:BO788)</f>
        <v>0</v>
      </c>
      <c r="BR788">
        <f>MAX(BM788:BO788)</f>
        <v>0</v>
      </c>
      <c r="BS788">
        <f>IF(ISNUMBER(Y788),INDEX(AllCollegeChicago, MATCH(N788,AllCollegeNCES,0))*AY788,0)</f>
        <v>0</v>
      </c>
      <c r="BT788">
        <f>IF(ISNUMBER(Y788),INDEX(AllCollegeMoneyCode, MATCH(N788,AllCollegeNCES,0)),"?")</f>
        <v>0</v>
      </c>
      <c r="BU788">
        <f>IF(OR(BT788="---",BT788="--",BT788="+/--",BT788="+/---"),1,0)</f>
        <v>0</v>
      </c>
      <c r="BV788">
        <f>AY788*AO788*AQ788</f>
        <v>0</v>
      </c>
    </row>
    <row r="789" spans="1:74">
      <c r="A789" t="s">
        <v>86</v>
      </c>
      <c r="B789">
        <v>30373557</v>
      </c>
      <c r="C789" t="s">
        <v>129</v>
      </c>
      <c r="D789" t="s">
        <v>130</v>
      </c>
      <c r="E789" t="s">
        <v>428</v>
      </c>
      <c r="F789" t="s">
        <v>436</v>
      </c>
      <c r="G789" t="s">
        <v>430</v>
      </c>
      <c r="H789" t="s">
        <v>431</v>
      </c>
      <c r="I789" t="s">
        <v>432</v>
      </c>
      <c r="J789" t="s">
        <v>432</v>
      </c>
      <c r="K789">
        <v>0</v>
      </c>
      <c r="L789" t="s">
        <v>428</v>
      </c>
      <c r="M789" t="s">
        <v>428</v>
      </c>
      <c r="N789">
        <v>147536</v>
      </c>
      <c r="O789">
        <f>INDEX(AllCollegeBarrons,MATCH(N789,AllCollegeNCES,0))</f>
        <v>0</v>
      </c>
      <c r="P789">
        <f>INDEX(KidGPAs,MATCH(B789,KidIDs,0))</f>
        <v>0</v>
      </c>
      <c r="Q789">
        <f>INDEX(KidACTs,MATCH(B789,KidIDs,0))</f>
        <v>0</v>
      </c>
      <c r="R789">
        <f>INDEX(Strats,MATCH(B789,KidIDs,0))</f>
        <v>0</v>
      </c>
      <c r="S789">
        <f>INDEX(KidRace,MATCH(B789,KidIDs,0))</f>
        <v>0</v>
      </c>
      <c r="T789">
        <f>IF(OR(S789="M",S789="I"),"H",S789)</f>
        <v>0</v>
      </c>
      <c r="U789">
        <f>INDEX(StudentTargets,MATCH(B789,KidIDs,0))</f>
        <v>0</v>
      </c>
      <c r="V789">
        <f>INDEX(ReachStudentTargets,MATCH(B789,KidIDs,0))</f>
        <v>0</v>
      </c>
      <c r="W789">
        <f>IF(OR(M789="Posse"),1,0)</f>
        <v>0</v>
      </c>
      <c r="X789">
        <f>IF(ISNUMBER(INDEX(AllCollegeGR, MATCH(N789,AllCollegeNCES,0))),ROUND(INDEX(AllCollegeGR, MATCH(N789,AllCollegeNCES,0))+W789*IF(INDEX(AllCollegeGR, MATCH(N789,AllCollegeNCES,0))&gt;0.7,(1-INDEX(AllCollegeGR, MATCH(N789,AllCollegeNCES,0)))/2,0.15),2),INDEX(AllCollegeGR, MATCH(N789,AllCollegeNCES,0)))</f>
        <v>0</v>
      </c>
      <c r="Y789">
        <f>IF(ISNUMBER(INDEX(AllCollegeAAHGR, MATCH(N789,AllCollegeNCES,0))),ROUND(INDEX(AllCollegeAAHGR, MATCH(N789,AllCollegeNCES,0))+W789*IF(INDEX(AllCollegeAAHGR, MATCH(N789,AllCollegeNCES,0))&gt;0.7,(1-INDEX(AllCollegeAAHGR, MATCH(N789,AllCollegeNCES,0)))/2,0.15),2),INDEX(AllCollegeAAHGR, MATCH(N789,AllCollegeNCES,0)))</f>
        <v>0</v>
      </c>
      <c r="Z789">
        <f>IF(OR(T789="H",T789="B"),INDEX(AllCollegeACT25, MATCH(N789,AllCollegeNCES,0)),INDEX(AllCollegeACT50, MATCH(N789,AllCollegeNCES,0)))</f>
        <v>0</v>
      </c>
      <c r="AA789">
        <f>INDEX(CustomWeightsGPA,MATCH(T789&amp;":"&amp;N789,CustomWeightsIndex,0))</f>
        <v>0</v>
      </c>
      <c r="AB789">
        <f>INDEX(CustomWeightsACT,MATCH(T789&amp;":"&amp;N789,CustomWeightsIndex,0))</f>
        <v>0</v>
      </c>
      <c r="AC789">
        <f>INDEX(CustomWeightsIntercept,MATCH(T789&amp;":"&amp;N789,CustomWeightsIndex,0))</f>
        <v>0</v>
      </c>
      <c r="AD789">
        <f>AA789*P789+AB789*Q789+AC789</f>
        <v>0</v>
      </c>
      <c r="AE789">
        <f>INDEX(CoefficientsGPA,MATCH(T789&amp;":"&amp;O789,CoefficientsIndex,0))</f>
        <v>0</v>
      </c>
      <c r="AF789">
        <f>INDEX(CoefficientsACT,MATCH(T789&amp;":"&amp;O789,CoefficientsIndex,0))</f>
        <v>0</v>
      </c>
      <c r="AG789">
        <f>INDEX(CoefficientsIntercept,MATCH(T789&amp;":"&amp;O789,CoefficientsIndex,0))</f>
        <v>0</v>
      </c>
      <c r="AH789">
        <f>AE789*P789+(Q789-Z789)*AF789+AG789</f>
        <v>0</v>
      </c>
      <c r="AI789">
        <f>IF(ISNUMBER(AD789),AD789,AH789)</f>
        <v>0</v>
      </c>
      <c r="AJ789">
        <f>IF(ISNUMBER(AI789),IF(ISNUMBER(AE789),IF(AND(AE789=1,AF789=1,AG789=1),100,ROUND(100*EXP(AI789)/(1+EXP(AI789)),2)),ROUND(100*EXP(AI789)/(1+EXP(AI789)),2)),IF(ISTEXT(O789),IF(LEFT(O789,1)="2",100,"N/A"),"N/A"))</f>
        <v>0</v>
      </c>
      <c r="AK789">
        <f>IF(ISNUMBER(AJ789),IF(AJ789&gt;=99,IF(OR(R789=10,R789=11),MatchLabel,SureThingLabel),IF(AJ789&gt;=95,SecureLabel,IF(AJ789&gt;=80,SafetyLabel,IF(AJ789&gt;=50,MatchLabel,IF(AJ789&gt;=20,ReachLabel,IF(AJ789&gt;=10,LongshotLabel,HailMaryLabel)))))),"Other")</f>
        <v>0</v>
      </c>
      <c r="AL789">
        <f>IF(OR(I789="accepted",I789="cond. accept",I789="summer admit"),IF(J789="yes","CHOICE!","Accepted!"),IF(I789="denied","Denied",IF(K789=1,"Waitlist",IF(L789=1,"Deferred",IF(G789="pending","Pending",IF(OR(G789="initial materials submitted",G789="mid-year submitted",G789="final submitted"),"Submitted",IF(H789="interest","Interest","?")))))))</f>
        <v>0</v>
      </c>
      <c r="AM789">
        <f>IF(OR(AK789=ReachLabel,AK789=LongshotLabel,AK789=HailMaryLabel),1,0)</f>
        <v>0</v>
      </c>
      <c r="AN789">
        <f>IF(OR(AM789=1,AK789=MatchLabel),1,0)</f>
        <v>0</v>
      </c>
      <c r="AO789">
        <f>IF(OR(AK789=MatchLabel,AK789=SafetyLabel,AK789=SecureLabel,AK789=SureThingLabel),1,0)</f>
        <v>0</v>
      </c>
      <c r="AP789">
        <f>IF(OR(T789="H",T789="B"),IF(ISNUMBER(Y789),ROUND(Y789,2),0),IF(ISNUMBER(X789),ROUND(X789,2),0))</f>
        <v>0</v>
      </c>
      <c r="AQ789">
        <f>IF(AP789&gt;=U789,1,0)</f>
        <v>0</v>
      </c>
      <c r="AR789">
        <f>IF(AP789&gt;=V789,1,0)</f>
        <v>0</v>
      </c>
      <c r="AS789">
        <f>IF(AP789&lt;(U789-0.10),1,0)</f>
        <v>0</v>
      </c>
      <c r="AT789">
        <f>1-AJ789/100</f>
        <v>0</v>
      </c>
      <c r="AU789">
        <f>IF(AN789=1,AT789,1)</f>
        <v>0</v>
      </c>
      <c r="AV789">
        <f>IF(AM789=1,AT789,1)</f>
        <v>0</v>
      </c>
      <c r="AW789">
        <f>IF(AND(AQ789=1,ISNUMBER(AT789)),$AT789,1)</f>
        <v>0</v>
      </c>
      <c r="AX789">
        <f>IF(AND(AR789=1,ISNUMBER(AT789)),$AT789,1)</f>
        <v>0</v>
      </c>
      <c r="AY789">
        <f>IF(ISNUMBER(Y789),INDEX(AllCollegeMoney, MATCH(N789,AllCollegeNCES,0)),0)</f>
        <v>0</v>
      </c>
      <c r="AZ789">
        <f>IF(AND(AQ789=1,ISNUMBER(AT789),AY789=1),$AT789,1)</f>
        <v>0</v>
      </c>
      <c r="BA789">
        <f>IF(AND(AR789=1,ISNUMBER(AT789),AY789=1),$AT789,1)</f>
        <v>0</v>
      </c>
      <c r="BB789">
        <f>IF(ISNUMBER(Y789),INDEX(AllCollegeILPub, MATCH(N789,AllCollegeNCES,0)),0)</f>
        <v>0</v>
      </c>
      <c r="BC789">
        <f>IF(AK789=ReachLabel,AP789,0)</f>
        <v>0</v>
      </c>
      <c r="BD789">
        <f>IF(AK789=MatchLabel,AP789,0)</f>
        <v>0</v>
      </c>
      <c r="BE789">
        <f>IF(AK789=SafetyLabel,AP789,0)</f>
        <v>0</v>
      </c>
      <c r="BF789">
        <f>IF(AK789=SecureLabel,AP789,0)</f>
        <v>0</v>
      </c>
      <c r="BG789">
        <f>IF(AK789=SureThingLabel,AP789,0)</f>
        <v>0</v>
      </c>
      <c r="BH789">
        <f>MAX(BC789:BG789)</f>
        <v>0</v>
      </c>
      <c r="BI789">
        <f>MAX(BD789:BG789)</f>
        <v>0</v>
      </c>
      <c r="BJ789">
        <f>MAX(BE789:BG789)</f>
        <v>0</v>
      </c>
      <c r="BK789">
        <f>IF(AND(AK789=ReachLabel,AY789=1),AP789,0)</f>
        <v>0</v>
      </c>
      <c r="BL789">
        <f>IF(AND(AK789=MatchLabel,AY789=1),AP789,0)</f>
        <v>0</v>
      </c>
      <c r="BM789">
        <f>IF(AND(AK789=SafetyLabel,AY789=1),AP789,0)</f>
        <v>0</v>
      </c>
      <c r="BN789">
        <f>IF(AND(AK789=SecureLabel,AY789=1),AP789,0)</f>
        <v>0</v>
      </c>
      <c r="BO789">
        <f>IF(AND(AK789=SureThingLabel,AY789=1),AP789,0)</f>
        <v>0</v>
      </c>
      <c r="BP789">
        <f>MAX(BK789:BO789)</f>
        <v>0</v>
      </c>
      <c r="BQ789">
        <f>MAX(BL789:BO789)</f>
        <v>0</v>
      </c>
      <c r="BR789">
        <f>MAX(BM789:BO789)</f>
        <v>0</v>
      </c>
      <c r="BS789">
        <f>IF(ISNUMBER(Y789),INDEX(AllCollegeChicago, MATCH(N789,AllCollegeNCES,0))*AY789,0)</f>
        <v>0</v>
      </c>
      <c r="BT789">
        <f>IF(ISNUMBER(Y789),INDEX(AllCollegeMoneyCode, MATCH(N789,AllCollegeNCES,0)),"?")</f>
        <v>0</v>
      </c>
      <c r="BU789">
        <f>IF(OR(BT789="---",BT789="--",BT789="+/--",BT789="+/---"),1,0)</f>
        <v>0</v>
      </c>
      <c r="BV789">
        <f>AY789*AO789*AQ789</f>
        <v>0</v>
      </c>
    </row>
    <row r="790" spans="1:74">
      <c r="A790" t="s">
        <v>86</v>
      </c>
      <c r="B790">
        <v>30373557</v>
      </c>
      <c r="C790" t="s">
        <v>129</v>
      </c>
      <c r="D790" t="s">
        <v>130</v>
      </c>
      <c r="E790" t="s">
        <v>428</v>
      </c>
      <c r="F790" t="s">
        <v>562</v>
      </c>
      <c r="G790" t="s">
        <v>430</v>
      </c>
      <c r="H790" t="s">
        <v>431</v>
      </c>
      <c r="I790" t="s">
        <v>432</v>
      </c>
      <c r="J790" t="s">
        <v>432</v>
      </c>
      <c r="K790">
        <v>0</v>
      </c>
      <c r="L790" t="s">
        <v>428</v>
      </c>
      <c r="M790" t="s">
        <v>428</v>
      </c>
      <c r="N790">
        <v>142887</v>
      </c>
      <c r="O790">
        <f>INDEX(AllCollegeBarrons,MATCH(N790,AllCollegeNCES,0))</f>
        <v>0</v>
      </c>
      <c r="P790">
        <f>INDEX(KidGPAs,MATCH(B790,KidIDs,0))</f>
        <v>0</v>
      </c>
      <c r="Q790">
        <f>INDEX(KidACTs,MATCH(B790,KidIDs,0))</f>
        <v>0</v>
      </c>
      <c r="R790">
        <f>INDEX(Strats,MATCH(B790,KidIDs,0))</f>
        <v>0</v>
      </c>
      <c r="S790">
        <f>INDEX(KidRace,MATCH(B790,KidIDs,0))</f>
        <v>0</v>
      </c>
      <c r="T790">
        <f>IF(OR(S790="M",S790="I"),"H",S790)</f>
        <v>0</v>
      </c>
      <c r="U790">
        <f>INDEX(StudentTargets,MATCH(B790,KidIDs,0))</f>
        <v>0</v>
      </c>
      <c r="V790">
        <f>INDEX(ReachStudentTargets,MATCH(B790,KidIDs,0))</f>
        <v>0</v>
      </c>
      <c r="W790">
        <f>IF(OR(M790="Posse"),1,0)</f>
        <v>0</v>
      </c>
      <c r="X790">
        <f>IF(ISNUMBER(INDEX(AllCollegeGR, MATCH(N790,AllCollegeNCES,0))),ROUND(INDEX(AllCollegeGR, MATCH(N790,AllCollegeNCES,0))+W790*IF(INDEX(AllCollegeGR, MATCH(N790,AllCollegeNCES,0))&gt;0.7,(1-INDEX(AllCollegeGR, MATCH(N790,AllCollegeNCES,0)))/2,0.15),2),INDEX(AllCollegeGR, MATCH(N790,AllCollegeNCES,0)))</f>
        <v>0</v>
      </c>
      <c r="Y790">
        <f>IF(ISNUMBER(INDEX(AllCollegeAAHGR, MATCH(N790,AllCollegeNCES,0))),ROUND(INDEX(AllCollegeAAHGR, MATCH(N790,AllCollegeNCES,0))+W790*IF(INDEX(AllCollegeAAHGR, MATCH(N790,AllCollegeNCES,0))&gt;0.7,(1-INDEX(AllCollegeAAHGR, MATCH(N790,AllCollegeNCES,0)))/2,0.15),2),INDEX(AllCollegeAAHGR, MATCH(N790,AllCollegeNCES,0)))</f>
        <v>0</v>
      </c>
      <c r="Z790">
        <f>IF(OR(T790="H",T790="B"),INDEX(AllCollegeACT25, MATCH(N790,AllCollegeNCES,0)),INDEX(AllCollegeACT50, MATCH(N790,AllCollegeNCES,0)))</f>
        <v>0</v>
      </c>
      <c r="AA790">
        <f>INDEX(CustomWeightsGPA,MATCH(T790&amp;":"&amp;N790,CustomWeightsIndex,0))</f>
        <v>0</v>
      </c>
      <c r="AB790">
        <f>INDEX(CustomWeightsACT,MATCH(T790&amp;":"&amp;N790,CustomWeightsIndex,0))</f>
        <v>0</v>
      </c>
      <c r="AC790">
        <f>INDEX(CustomWeightsIntercept,MATCH(T790&amp;":"&amp;N790,CustomWeightsIndex,0))</f>
        <v>0</v>
      </c>
      <c r="AD790">
        <f>AA790*P790+AB790*Q790+AC790</f>
        <v>0</v>
      </c>
      <c r="AE790">
        <f>INDEX(CoefficientsGPA,MATCH(T790&amp;":"&amp;O790,CoefficientsIndex,0))</f>
        <v>0</v>
      </c>
      <c r="AF790">
        <f>INDEX(CoefficientsACT,MATCH(T790&amp;":"&amp;O790,CoefficientsIndex,0))</f>
        <v>0</v>
      </c>
      <c r="AG790">
        <f>INDEX(CoefficientsIntercept,MATCH(T790&amp;":"&amp;O790,CoefficientsIndex,0))</f>
        <v>0</v>
      </c>
      <c r="AH790">
        <f>AE790*P790+(Q790-Z790)*AF790+AG790</f>
        <v>0</v>
      </c>
      <c r="AI790">
        <f>IF(ISNUMBER(AD790),AD790,AH790)</f>
        <v>0</v>
      </c>
      <c r="AJ790">
        <f>IF(ISNUMBER(AI790),IF(ISNUMBER(AE790),IF(AND(AE790=1,AF790=1,AG790=1),100,ROUND(100*EXP(AI790)/(1+EXP(AI790)),2)),ROUND(100*EXP(AI790)/(1+EXP(AI790)),2)),IF(ISTEXT(O790),IF(LEFT(O790,1)="2",100,"N/A"),"N/A"))</f>
        <v>0</v>
      </c>
      <c r="AK790">
        <f>IF(ISNUMBER(AJ790),IF(AJ790&gt;=99,IF(OR(R790=10,R790=11),MatchLabel,SureThingLabel),IF(AJ790&gt;=95,SecureLabel,IF(AJ790&gt;=80,SafetyLabel,IF(AJ790&gt;=50,MatchLabel,IF(AJ790&gt;=20,ReachLabel,IF(AJ790&gt;=10,LongshotLabel,HailMaryLabel)))))),"Other")</f>
        <v>0</v>
      </c>
      <c r="AL790">
        <f>IF(OR(I790="accepted",I790="cond. accept",I790="summer admit"),IF(J790="yes","CHOICE!","Accepted!"),IF(I790="denied","Denied",IF(K790=1,"Waitlist",IF(L790=1,"Deferred",IF(G790="pending","Pending",IF(OR(G790="initial materials submitted",G790="mid-year submitted",G790="final submitted"),"Submitted",IF(H790="interest","Interest","?")))))))</f>
        <v>0</v>
      </c>
      <c r="AM790">
        <f>IF(OR(AK790=ReachLabel,AK790=LongshotLabel,AK790=HailMaryLabel),1,0)</f>
        <v>0</v>
      </c>
      <c r="AN790">
        <f>IF(OR(AM790=1,AK790=MatchLabel),1,0)</f>
        <v>0</v>
      </c>
      <c r="AO790">
        <f>IF(OR(AK790=MatchLabel,AK790=SafetyLabel,AK790=SecureLabel,AK790=SureThingLabel),1,0)</f>
        <v>0</v>
      </c>
      <c r="AP790">
        <f>IF(OR(T790="H",T790="B"),IF(ISNUMBER(Y790),ROUND(Y790,2),0),IF(ISNUMBER(X790),ROUND(X790,2),0))</f>
        <v>0</v>
      </c>
      <c r="AQ790">
        <f>IF(AP790&gt;=U790,1,0)</f>
        <v>0</v>
      </c>
      <c r="AR790">
        <f>IF(AP790&gt;=V790,1,0)</f>
        <v>0</v>
      </c>
      <c r="AS790">
        <f>IF(AP790&lt;(U790-0.10),1,0)</f>
        <v>0</v>
      </c>
      <c r="AT790">
        <f>1-AJ790/100</f>
        <v>0</v>
      </c>
      <c r="AU790">
        <f>IF(AN790=1,AT790,1)</f>
        <v>0</v>
      </c>
      <c r="AV790">
        <f>IF(AM790=1,AT790,1)</f>
        <v>0</v>
      </c>
      <c r="AW790">
        <f>IF(AND(AQ790=1,ISNUMBER(AT790)),$AT790,1)</f>
        <v>0</v>
      </c>
      <c r="AX790">
        <f>IF(AND(AR790=1,ISNUMBER(AT790)),$AT790,1)</f>
        <v>0</v>
      </c>
      <c r="AY790">
        <f>IF(ISNUMBER(Y790),INDEX(AllCollegeMoney, MATCH(N790,AllCollegeNCES,0)),0)</f>
        <v>0</v>
      </c>
      <c r="AZ790">
        <f>IF(AND(AQ790=1,ISNUMBER(AT790),AY790=1),$AT790,1)</f>
        <v>0</v>
      </c>
      <c r="BA790">
        <f>IF(AND(AR790=1,ISNUMBER(AT790),AY790=1),$AT790,1)</f>
        <v>0</v>
      </c>
      <c r="BB790">
        <f>IF(ISNUMBER(Y790),INDEX(AllCollegeILPub, MATCH(N790,AllCollegeNCES,0)),0)</f>
        <v>0</v>
      </c>
      <c r="BC790">
        <f>IF(AK790=ReachLabel,AP790,0)</f>
        <v>0</v>
      </c>
      <c r="BD790">
        <f>IF(AK790=MatchLabel,AP790,0)</f>
        <v>0</v>
      </c>
      <c r="BE790">
        <f>IF(AK790=SafetyLabel,AP790,0)</f>
        <v>0</v>
      </c>
      <c r="BF790">
        <f>IF(AK790=SecureLabel,AP790,0)</f>
        <v>0</v>
      </c>
      <c r="BG790">
        <f>IF(AK790=SureThingLabel,AP790,0)</f>
        <v>0</v>
      </c>
      <c r="BH790">
        <f>MAX(BC790:BG790)</f>
        <v>0</v>
      </c>
      <c r="BI790">
        <f>MAX(BD790:BG790)</f>
        <v>0</v>
      </c>
      <c r="BJ790">
        <f>MAX(BE790:BG790)</f>
        <v>0</v>
      </c>
      <c r="BK790">
        <f>IF(AND(AK790=ReachLabel,AY790=1),AP790,0)</f>
        <v>0</v>
      </c>
      <c r="BL790">
        <f>IF(AND(AK790=MatchLabel,AY790=1),AP790,0)</f>
        <v>0</v>
      </c>
      <c r="BM790">
        <f>IF(AND(AK790=SafetyLabel,AY790=1),AP790,0)</f>
        <v>0</v>
      </c>
      <c r="BN790">
        <f>IF(AND(AK790=SecureLabel,AY790=1),AP790,0)</f>
        <v>0</v>
      </c>
      <c r="BO790">
        <f>IF(AND(AK790=SureThingLabel,AY790=1),AP790,0)</f>
        <v>0</v>
      </c>
      <c r="BP790">
        <f>MAX(BK790:BO790)</f>
        <v>0</v>
      </c>
      <c r="BQ790">
        <f>MAX(BL790:BO790)</f>
        <v>0</v>
      </c>
      <c r="BR790">
        <f>MAX(BM790:BO790)</f>
        <v>0</v>
      </c>
      <c r="BS790">
        <f>IF(ISNUMBER(Y790),INDEX(AllCollegeChicago, MATCH(N790,AllCollegeNCES,0))*AY790,0)</f>
        <v>0</v>
      </c>
      <c r="BT790">
        <f>IF(ISNUMBER(Y790),INDEX(AllCollegeMoneyCode, MATCH(N790,AllCollegeNCES,0)),"?")</f>
        <v>0</v>
      </c>
      <c r="BU790">
        <f>IF(OR(BT790="---",BT790="--",BT790="+/--",BT790="+/---"),1,0)</f>
        <v>0</v>
      </c>
      <c r="BV790">
        <f>AY790*AO790*AQ790</f>
        <v>0</v>
      </c>
    </row>
    <row r="791" spans="1:74">
      <c r="A791" t="s">
        <v>86</v>
      </c>
      <c r="B791">
        <v>30373557</v>
      </c>
      <c r="C791" t="s">
        <v>129</v>
      </c>
      <c r="D791" t="s">
        <v>130</v>
      </c>
      <c r="E791" t="s">
        <v>428</v>
      </c>
      <c r="F791" t="s">
        <v>443</v>
      </c>
      <c r="G791" t="s">
        <v>430</v>
      </c>
      <c r="H791" t="s">
        <v>431</v>
      </c>
      <c r="I791" t="s">
        <v>432</v>
      </c>
      <c r="J791" t="s">
        <v>432</v>
      </c>
      <c r="K791">
        <v>0</v>
      </c>
      <c r="L791" t="s">
        <v>428</v>
      </c>
      <c r="M791" t="s">
        <v>428</v>
      </c>
      <c r="N791">
        <v>144209</v>
      </c>
      <c r="O791">
        <f>INDEX(AllCollegeBarrons,MATCH(N791,AllCollegeNCES,0))</f>
        <v>0</v>
      </c>
      <c r="P791">
        <f>INDEX(KidGPAs,MATCH(B791,KidIDs,0))</f>
        <v>0</v>
      </c>
      <c r="Q791">
        <f>INDEX(KidACTs,MATCH(B791,KidIDs,0))</f>
        <v>0</v>
      </c>
      <c r="R791">
        <f>INDEX(Strats,MATCH(B791,KidIDs,0))</f>
        <v>0</v>
      </c>
      <c r="S791">
        <f>INDEX(KidRace,MATCH(B791,KidIDs,0))</f>
        <v>0</v>
      </c>
      <c r="T791">
        <f>IF(OR(S791="M",S791="I"),"H",S791)</f>
        <v>0</v>
      </c>
      <c r="U791">
        <f>INDEX(StudentTargets,MATCH(B791,KidIDs,0))</f>
        <v>0</v>
      </c>
      <c r="V791">
        <f>INDEX(ReachStudentTargets,MATCH(B791,KidIDs,0))</f>
        <v>0</v>
      </c>
      <c r="W791">
        <f>IF(OR(M791="Posse"),1,0)</f>
        <v>0</v>
      </c>
      <c r="X791">
        <f>IF(ISNUMBER(INDEX(AllCollegeGR, MATCH(N791,AllCollegeNCES,0))),ROUND(INDEX(AllCollegeGR, MATCH(N791,AllCollegeNCES,0))+W791*IF(INDEX(AllCollegeGR, MATCH(N791,AllCollegeNCES,0))&gt;0.7,(1-INDEX(AllCollegeGR, MATCH(N791,AllCollegeNCES,0)))/2,0.15),2),INDEX(AllCollegeGR, MATCH(N791,AllCollegeNCES,0)))</f>
        <v>0</v>
      </c>
      <c r="Y791">
        <f>IF(ISNUMBER(INDEX(AllCollegeAAHGR, MATCH(N791,AllCollegeNCES,0))),ROUND(INDEX(AllCollegeAAHGR, MATCH(N791,AllCollegeNCES,0))+W791*IF(INDEX(AllCollegeAAHGR, MATCH(N791,AllCollegeNCES,0))&gt;0.7,(1-INDEX(AllCollegeAAHGR, MATCH(N791,AllCollegeNCES,0)))/2,0.15),2),INDEX(AllCollegeAAHGR, MATCH(N791,AllCollegeNCES,0)))</f>
        <v>0</v>
      </c>
      <c r="Z791">
        <f>IF(OR(T791="H",T791="B"),INDEX(AllCollegeACT25, MATCH(N791,AllCollegeNCES,0)),INDEX(AllCollegeACT50, MATCH(N791,AllCollegeNCES,0)))</f>
        <v>0</v>
      </c>
      <c r="AA791">
        <f>INDEX(CustomWeightsGPA,MATCH(T791&amp;":"&amp;N791,CustomWeightsIndex,0))</f>
        <v>0</v>
      </c>
      <c r="AB791">
        <f>INDEX(CustomWeightsACT,MATCH(T791&amp;":"&amp;N791,CustomWeightsIndex,0))</f>
        <v>0</v>
      </c>
      <c r="AC791">
        <f>INDEX(CustomWeightsIntercept,MATCH(T791&amp;":"&amp;N791,CustomWeightsIndex,0))</f>
        <v>0</v>
      </c>
      <c r="AD791">
        <f>AA791*P791+AB791*Q791+AC791</f>
        <v>0</v>
      </c>
      <c r="AE791">
        <f>INDEX(CoefficientsGPA,MATCH(T791&amp;":"&amp;O791,CoefficientsIndex,0))</f>
        <v>0</v>
      </c>
      <c r="AF791">
        <f>INDEX(CoefficientsACT,MATCH(T791&amp;":"&amp;O791,CoefficientsIndex,0))</f>
        <v>0</v>
      </c>
      <c r="AG791">
        <f>INDEX(CoefficientsIntercept,MATCH(T791&amp;":"&amp;O791,CoefficientsIndex,0))</f>
        <v>0</v>
      </c>
      <c r="AH791">
        <f>AE791*P791+(Q791-Z791)*AF791+AG791</f>
        <v>0</v>
      </c>
      <c r="AI791">
        <f>IF(ISNUMBER(AD791),AD791,AH791)</f>
        <v>0</v>
      </c>
      <c r="AJ791">
        <f>IF(ISNUMBER(AI791),IF(ISNUMBER(AE791),IF(AND(AE791=1,AF791=1,AG791=1),100,ROUND(100*EXP(AI791)/(1+EXP(AI791)),2)),ROUND(100*EXP(AI791)/(1+EXP(AI791)),2)),IF(ISTEXT(O791),IF(LEFT(O791,1)="2",100,"N/A"),"N/A"))</f>
        <v>0</v>
      </c>
      <c r="AK791">
        <f>IF(ISNUMBER(AJ791),IF(AJ791&gt;=99,IF(OR(R791=10,R791=11),MatchLabel,SureThingLabel),IF(AJ791&gt;=95,SecureLabel,IF(AJ791&gt;=80,SafetyLabel,IF(AJ791&gt;=50,MatchLabel,IF(AJ791&gt;=20,ReachLabel,IF(AJ791&gt;=10,LongshotLabel,HailMaryLabel)))))),"Other")</f>
        <v>0</v>
      </c>
      <c r="AL791">
        <f>IF(OR(I791="accepted",I791="cond. accept",I791="summer admit"),IF(J791="yes","CHOICE!","Accepted!"),IF(I791="denied","Denied",IF(K791=1,"Waitlist",IF(L791=1,"Deferred",IF(G791="pending","Pending",IF(OR(G791="initial materials submitted",G791="mid-year submitted",G791="final submitted"),"Submitted",IF(H791="interest","Interest","?")))))))</f>
        <v>0</v>
      </c>
      <c r="AM791">
        <f>IF(OR(AK791=ReachLabel,AK791=LongshotLabel,AK791=HailMaryLabel),1,0)</f>
        <v>0</v>
      </c>
      <c r="AN791">
        <f>IF(OR(AM791=1,AK791=MatchLabel),1,0)</f>
        <v>0</v>
      </c>
      <c r="AO791">
        <f>IF(OR(AK791=MatchLabel,AK791=SafetyLabel,AK791=SecureLabel,AK791=SureThingLabel),1,0)</f>
        <v>0</v>
      </c>
      <c r="AP791">
        <f>IF(OR(T791="H",T791="B"),IF(ISNUMBER(Y791),ROUND(Y791,2),0),IF(ISNUMBER(X791),ROUND(X791,2),0))</f>
        <v>0</v>
      </c>
      <c r="AQ791">
        <f>IF(AP791&gt;=U791,1,0)</f>
        <v>0</v>
      </c>
      <c r="AR791">
        <f>IF(AP791&gt;=V791,1,0)</f>
        <v>0</v>
      </c>
      <c r="AS791">
        <f>IF(AP791&lt;(U791-0.10),1,0)</f>
        <v>0</v>
      </c>
      <c r="AT791">
        <f>1-AJ791/100</f>
        <v>0</v>
      </c>
      <c r="AU791">
        <f>IF(AN791=1,AT791,1)</f>
        <v>0</v>
      </c>
      <c r="AV791">
        <f>IF(AM791=1,AT791,1)</f>
        <v>0</v>
      </c>
      <c r="AW791">
        <f>IF(AND(AQ791=1,ISNUMBER(AT791)),$AT791,1)</f>
        <v>0</v>
      </c>
      <c r="AX791">
        <f>IF(AND(AR791=1,ISNUMBER(AT791)),$AT791,1)</f>
        <v>0</v>
      </c>
      <c r="AY791">
        <f>IF(ISNUMBER(Y791),INDEX(AllCollegeMoney, MATCH(N791,AllCollegeNCES,0)),0)</f>
        <v>0</v>
      </c>
      <c r="AZ791">
        <f>IF(AND(AQ791=1,ISNUMBER(AT791),AY791=1),$AT791,1)</f>
        <v>0</v>
      </c>
      <c r="BA791">
        <f>IF(AND(AR791=1,ISNUMBER(AT791),AY791=1),$AT791,1)</f>
        <v>0</v>
      </c>
      <c r="BB791">
        <f>IF(ISNUMBER(Y791),INDEX(AllCollegeILPub, MATCH(N791,AllCollegeNCES,0)),0)</f>
        <v>0</v>
      </c>
      <c r="BC791">
        <f>IF(AK791=ReachLabel,AP791,0)</f>
        <v>0</v>
      </c>
      <c r="BD791">
        <f>IF(AK791=MatchLabel,AP791,0)</f>
        <v>0</v>
      </c>
      <c r="BE791">
        <f>IF(AK791=SafetyLabel,AP791,0)</f>
        <v>0</v>
      </c>
      <c r="BF791">
        <f>IF(AK791=SecureLabel,AP791,0)</f>
        <v>0</v>
      </c>
      <c r="BG791">
        <f>IF(AK791=SureThingLabel,AP791,0)</f>
        <v>0</v>
      </c>
      <c r="BH791">
        <f>MAX(BC791:BG791)</f>
        <v>0</v>
      </c>
      <c r="BI791">
        <f>MAX(BD791:BG791)</f>
        <v>0</v>
      </c>
      <c r="BJ791">
        <f>MAX(BE791:BG791)</f>
        <v>0</v>
      </c>
      <c r="BK791">
        <f>IF(AND(AK791=ReachLabel,AY791=1),AP791,0)</f>
        <v>0</v>
      </c>
      <c r="BL791">
        <f>IF(AND(AK791=MatchLabel,AY791=1),AP791,0)</f>
        <v>0</v>
      </c>
      <c r="BM791">
        <f>IF(AND(AK791=SafetyLabel,AY791=1),AP791,0)</f>
        <v>0</v>
      </c>
      <c r="BN791">
        <f>IF(AND(AK791=SecureLabel,AY791=1),AP791,0)</f>
        <v>0</v>
      </c>
      <c r="BO791">
        <f>IF(AND(AK791=SureThingLabel,AY791=1),AP791,0)</f>
        <v>0</v>
      </c>
      <c r="BP791">
        <f>MAX(BK791:BO791)</f>
        <v>0</v>
      </c>
      <c r="BQ791">
        <f>MAX(BL791:BO791)</f>
        <v>0</v>
      </c>
      <c r="BR791">
        <f>MAX(BM791:BO791)</f>
        <v>0</v>
      </c>
      <c r="BS791">
        <f>IF(ISNUMBER(Y791),INDEX(AllCollegeChicago, MATCH(N791,AllCollegeNCES,0))*AY791,0)</f>
        <v>0</v>
      </c>
      <c r="BT791">
        <f>IF(ISNUMBER(Y791),INDEX(AllCollegeMoneyCode, MATCH(N791,AllCollegeNCES,0)),"?")</f>
        <v>0</v>
      </c>
      <c r="BU791">
        <f>IF(OR(BT791="---",BT791="--",BT791="+/--",BT791="+/---"),1,0)</f>
        <v>0</v>
      </c>
      <c r="BV791">
        <f>AY791*AO791*AQ791</f>
        <v>0</v>
      </c>
    </row>
    <row r="792" spans="1:74">
      <c r="A792" t="s">
        <v>86</v>
      </c>
      <c r="B792">
        <v>30373557</v>
      </c>
      <c r="C792" t="s">
        <v>129</v>
      </c>
      <c r="D792" t="s">
        <v>130</v>
      </c>
      <c r="E792" t="s">
        <v>428</v>
      </c>
      <c r="F792" t="s">
        <v>445</v>
      </c>
      <c r="G792" t="s">
        <v>430</v>
      </c>
      <c r="H792" t="s">
        <v>431</v>
      </c>
      <c r="I792" t="s">
        <v>432</v>
      </c>
      <c r="J792" t="s">
        <v>432</v>
      </c>
      <c r="K792">
        <v>0</v>
      </c>
      <c r="L792" t="s">
        <v>428</v>
      </c>
      <c r="M792" t="s">
        <v>428</v>
      </c>
      <c r="N792">
        <v>147776</v>
      </c>
      <c r="O792">
        <f>INDEX(AllCollegeBarrons,MATCH(N792,AllCollegeNCES,0))</f>
        <v>0</v>
      </c>
      <c r="P792">
        <f>INDEX(KidGPAs,MATCH(B792,KidIDs,0))</f>
        <v>0</v>
      </c>
      <c r="Q792">
        <f>INDEX(KidACTs,MATCH(B792,KidIDs,0))</f>
        <v>0</v>
      </c>
      <c r="R792">
        <f>INDEX(Strats,MATCH(B792,KidIDs,0))</f>
        <v>0</v>
      </c>
      <c r="S792">
        <f>INDEX(KidRace,MATCH(B792,KidIDs,0))</f>
        <v>0</v>
      </c>
      <c r="T792">
        <f>IF(OR(S792="M",S792="I"),"H",S792)</f>
        <v>0</v>
      </c>
      <c r="U792">
        <f>INDEX(StudentTargets,MATCH(B792,KidIDs,0))</f>
        <v>0</v>
      </c>
      <c r="V792">
        <f>INDEX(ReachStudentTargets,MATCH(B792,KidIDs,0))</f>
        <v>0</v>
      </c>
      <c r="W792">
        <f>IF(OR(M792="Posse"),1,0)</f>
        <v>0</v>
      </c>
      <c r="X792">
        <f>IF(ISNUMBER(INDEX(AllCollegeGR, MATCH(N792,AllCollegeNCES,0))),ROUND(INDEX(AllCollegeGR, MATCH(N792,AllCollegeNCES,0))+W792*IF(INDEX(AllCollegeGR, MATCH(N792,AllCollegeNCES,0))&gt;0.7,(1-INDEX(AllCollegeGR, MATCH(N792,AllCollegeNCES,0)))/2,0.15),2),INDEX(AllCollegeGR, MATCH(N792,AllCollegeNCES,0)))</f>
        <v>0</v>
      </c>
      <c r="Y792">
        <f>IF(ISNUMBER(INDEX(AllCollegeAAHGR, MATCH(N792,AllCollegeNCES,0))),ROUND(INDEX(AllCollegeAAHGR, MATCH(N792,AllCollegeNCES,0))+W792*IF(INDEX(AllCollegeAAHGR, MATCH(N792,AllCollegeNCES,0))&gt;0.7,(1-INDEX(AllCollegeAAHGR, MATCH(N792,AllCollegeNCES,0)))/2,0.15),2),INDEX(AllCollegeAAHGR, MATCH(N792,AllCollegeNCES,0)))</f>
        <v>0</v>
      </c>
      <c r="Z792">
        <f>IF(OR(T792="H",T792="B"),INDEX(AllCollegeACT25, MATCH(N792,AllCollegeNCES,0)),INDEX(AllCollegeACT50, MATCH(N792,AllCollegeNCES,0)))</f>
        <v>0</v>
      </c>
      <c r="AA792">
        <f>INDEX(CustomWeightsGPA,MATCH(T792&amp;":"&amp;N792,CustomWeightsIndex,0))</f>
        <v>0</v>
      </c>
      <c r="AB792">
        <f>INDEX(CustomWeightsACT,MATCH(T792&amp;":"&amp;N792,CustomWeightsIndex,0))</f>
        <v>0</v>
      </c>
      <c r="AC792">
        <f>INDEX(CustomWeightsIntercept,MATCH(T792&amp;":"&amp;N792,CustomWeightsIndex,0))</f>
        <v>0</v>
      </c>
      <c r="AD792">
        <f>AA792*P792+AB792*Q792+AC792</f>
        <v>0</v>
      </c>
      <c r="AE792">
        <f>INDEX(CoefficientsGPA,MATCH(T792&amp;":"&amp;O792,CoefficientsIndex,0))</f>
        <v>0</v>
      </c>
      <c r="AF792">
        <f>INDEX(CoefficientsACT,MATCH(T792&amp;":"&amp;O792,CoefficientsIndex,0))</f>
        <v>0</v>
      </c>
      <c r="AG792">
        <f>INDEX(CoefficientsIntercept,MATCH(T792&amp;":"&amp;O792,CoefficientsIndex,0))</f>
        <v>0</v>
      </c>
      <c r="AH792">
        <f>AE792*P792+(Q792-Z792)*AF792+AG792</f>
        <v>0</v>
      </c>
      <c r="AI792">
        <f>IF(ISNUMBER(AD792),AD792,AH792)</f>
        <v>0</v>
      </c>
      <c r="AJ792">
        <f>IF(ISNUMBER(AI792),IF(ISNUMBER(AE792),IF(AND(AE792=1,AF792=1,AG792=1),100,ROUND(100*EXP(AI792)/(1+EXP(AI792)),2)),ROUND(100*EXP(AI792)/(1+EXP(AI792)),2)),IF(ISTEXT(O792),IF(LEFT(O792,1)="2",100,"N/A"),"N/A"))</f>
        <v>0</v>
      </c>
      <c r="AK792">
        <f>IF(ISNUMBER(AJ792),IF(AJ792&gt;=99,IF(OR(R792=10,R792=11),MatchLabel,SureThingLabel),IF(AJ792&gt;=95,SecureLabel,IF(AJ792&gt;=80,SafetyLabel,IF(AJ792&gt;=50,MatchLabel,IF(AJ792&gt;=20,ReachLabel,IF(AJ792&gt;=10,LongshotLabel,HailMaryLabel)))))),"Other")</f>
        <v>0</v>
      </c>
      <c r="AL792">
        <f>IF(OR(I792="accepted",I792="cond. accept",I792="summer admit"),IF(J792="yes","CHOICE!","Accepted!"),IF(I792="denied","Denied",IF(K792=1,"Waitlist",IF(L792=1,"Deferred",IF(G792="pending","Pending",IF(OR(G792="initial materials submitted",G792="mid-year submitted",G792="final submitted"),"Submitted",IF(H792="interest","Interest","?")))))))</f>
        <v>0</v>
      </c>
      <c r="AM792">
        <f>IF(OR(AK792=ReachLabel,AK792=LongshotLabel,AK792=HailMaryLabel),1,0)</f>
        <v>0</v>
      </c>
      <c r="AN792">
        <f>IF(OR(AM792=1,AK792=MatchLabel),1,0)</f>
        <v>0</v>
      </c>
      <c r="AO792">
        <f>IF(OR(AK792=MatchLabel,AK792=SafetyLabel,AK792=SecureLabel,AK792=SureThingLabel),1,0)</f>
        <v>0</v>
      </c>
      <c r="AP792">
        <f>IF(OR(T792="H",T792="B"),IF(ISNUMBER(Y792),ROUND(Y792,2),0),IF(ISNUMBER(X792),ROUND(X792,2),0))</f>
        <v>0</v>
      </c>
      <c r="AQ792">
        <f>IF(AP792&gt;=U792,1,0)</f>
        <v>0</v>
      </c>
      <c r="AR792">
        <f>IF(AP792&gt;=V792,1,0)</f>
        <v>0</v>
      </c>
      <c r="AS792">
        <f>IF(AP792&lt;(U792-0.10),1,0)</f>
        <v>0</v>
      </c>
      <c r="AT792">
        <f>1-AJ792/100</f>
        <v>0</v>
      </c>
      <c r="AU792">
        <f>IF(AN792=1,AT792,1)</f>
        <v>0</v>
      </c>
      <c r="AV792">
        <f>IF(AM792=1,AT792,1)</f>
        <v>0</v>
      </c>
      <c r="AW792">
        <f>IF(AND(AQ792=1,ISNUMBER(AT792)),$AT792,1)</f>
        <v>0</v>
      </c>
      <c r="AX792">
        <f>IF(AND(AR792=1,ISNUMBER(AT792)),$AT792,1)</f>
        <v>0</v>
      </c>
      <c r="AY792">
        <f>IF(ISNUMBER(Y792),INDEX(AllCollegeMoney, MATCH(N792,AllCollegeNCES,0)),0)</f>
        <v>0</v>
      </c>
      <c r="AZ792">
        <f>IF(AND(AQ792=1,ISNUMBER(AT792),AY792=1),$AT792,1)</f>
        <v>0</v>
      </c>
      <c r="BA792">
        <f>IF(AND(AR792=1,ISNUMBER(AT792),AY792=1),$AT792,1)</f>
        <v>0</v>
      </c>
      <c r="BB792">
        <f>IF(ISNUMBER(Y792),INDEX(AllCollegeILPub, MATCH(N792,AllCollegeNCES,0)),0)</f>
        <v>0</v>
      </c>
      <c r="BC792">
        <f>IF(AK792=ReachLabel,AP792,0)</f>
        <v>0</v>
      </c>
      <c r="BD792">
        <f>IF(AK792=MatchLabel,AP792,0)</f>
        <v>0</v>
      </c>
      <c r="BE792">
        <f>IF(AK792=SafetyLabel,AP792,0)</f>
        <v>0</v>
      </c>
      <c r="BF792">
        <f>IF(AK792=SecureLabel,AP792,0)</f>
        <v>0</v>
      </c>
      <c r="BG792">
        <f>IF(AK792=SureThingLabel,AP792,0)</f>
        <v>0</v>
      </c>
      <c r="BH792">
        <f>MAX(BC792:BG792)</f>
        <v>0</v>
      </c>
      <c r="BI792">
        <f>MAX(BD792:BG792)</f>
        <v>0</v>
      </c>
      <c r="BJ792">
        <f>MAX(BE792:BG792)</f>
        <v>0</v>
      </c>
      <c r="BK792">
        <f>IF(AND(AK792=ReachLabel,AY792=1),AP792,0)</f>
        <v>0</v>
      </c>
      <c r="BL792">
        <f>IF(AND(AK792=MatchLabel,AY792=1),AP792,0)</f>
        <v>0</v>
      </c>
      <c r="BM792">
        <f>IF(AND(AK792=SafetyLabel,AY792=1),AP792,0)</f>
        <v>0</v>
      </c>
      <c r="BN792">
        <f>IF(AND(AK792=SecureLabel,AY792=1),AP792,0)</f>
        <v>0</v>
      </c>
      <c r="BO792">
        <f>IF(AND(AK792=SureThingLabel,AY792=1),AP792,0)</f>
        <v>0</v>
      </c>
      <c r="BP792">
        <f>MAX(BK792:BO792)</f>
        <v>0</v>
      </c>
      <c r="BQ792">
        <f>MAX(BL792:BO792)</f>
        <v>0</v>
      </c>
      <c r="BR792">
        <f>MAX(BM792:BO792)</f>
        <v>0</v>
      </c>
      <c r="BS792">
        <f>IF(ISNUMBER(Y792),INDEX(AllCollegeChicago, MATCH(N792,AllCollegeNCES,0))*AY792,0)</f>
        <v>0</v>
      </c>
      <c r="BT792">
        <f>IF(ISNUMBER(Y792),INDEX(AllCollegeMoneyCode, MATCH(N792,AllCollegeNCES,0)),"?")</f>
        <v>0</v>
      </c>
      <c r="BU792">
        <f>IF(OR(BT792="---",BT792="--",BT792="+/--",BT792="+/---"),1,0)</f>
        <v>0</v>
      </c>
      <c r="BV792">
        <f>AY792*AO792*AQ792</f>
        <v>0</v>
      </c>
    </row>
    <row r="793" spans="1:74">
      <c r="A793" t="s">
        <v>86</v>
      </c>
      <c r="B793">
        <v>30373557</v>
      </c>
      <c r="C793" t="s">
        <v>129</v>
      </c>
      <c r="D793" t="s">
        <v>130</v>
      </c>
      <c r="E793" t="s">
        <v>428</v>
      </c>
      <c r="F793" t="s">
        <v>598</v>
      </c>
      <c r="G793" t="s">
        <v>430</v>
      </c>
      <c r="H793" t="s">
        <v>431</v>
      </c>
      <c r="I793" t="s">
        <v>432</v>
      </c>
      <c r="J793" t="s">
        <v>432</v>
      </c>
      <c r="K793">
        <v>0</v>
      </c>
      <c r="L793" t="s">
        <v>428</v>
      </c>
      <c r="M793" t="s">
        <v>428</v>
      </c>
      <c r="N793">
        <v>393180</v>
      </c>
      <c r="O793">
        <f>INDEX(AllCollegeBarrons,MATCH(N793,AllCollegeNCES,0))</f>
        <v>0</v>
      </c>
      <c r="P793">
        <f>INDEX(KidGPAs,MATCH(B793,KidIDs,0))</f>
        <v>0</v>
      </c>
      <c r="Q793">
        <f>INDEX(KidACTs,MATCH(B793,KidIDs,0))</f>
        <v>0</v>
      </c>
      <c r="R793">
        <f>INDEX(Strats,MATCH(B793,KidIDs,0))</f>
        <v>0</v>
      </c>
      <c r="S793">
        <f>INDEX(KidRace,MATCH(B793,KidIDs,0))</f>
        <v>0</v>
      </c>
      <c r="T793">
        <f>IF(OR(S793="M",S793="I"),"H",S793)</f>
        <v>0</v>
      </c>
      <c r="U793">
        <f>INDEX(StudentTargets,MATCH(B793,KidIDs,0))</f>
        <v>0</v>
      </c>
      <c r="V793">
        <f>INDEX(ReachStudentTargets,MATCH(B793,KidIDs,0))</f>
        <v>0</v>
      </c>
      <c r="W793">
        <f>IF(OR(M793="Posse"),1,0)</f>
        <v>0</v>
      </c>
      <c r="X793">
        <f>IF(ISNUMBER(INDEX(AllCollegeGR, MATCH(N793,AllCollegeNCES,0))),ROUND(INDEX(AllCollegeGR, MATCH(N793,AllCollegeNCES,0))+W793*IF(INDEX(AllCollegeGR, MATCH(N793,AllCollegeNCES,0))&gt;0.7,(1-INDEX(AllCollegeGR, MATCH(N793,AllCollegeNCES,0)))/2,0.15),2),INDEX(AllCollegeGR, MATCH(N793,AllCollegeNCES,0)))</f>
        <v>0</v>
      </c>
      <c r="Y793">
        <f>IF(ISNUMBER(INDEX(AllCollegeAAHGR, MATCH(N793,AllCollegeNCES,0))),ROUND(INDEX(AllCollegeAAHGR, MATCH(N793,AllCollegeNCES,0))+W793*IF(INDEX(AllCollegeAAHGR, MATCH(N793,AllCollegeNCES,0))&gt;0.7,(1-INDEX(AllCollegeAAHGR, MATCH(N793,AllCollegeNCES,0)))/2,0.15),2),INDEX(AllCollegeAAHGR, MATCH(N793,AllCollegeNCES,0)))</f>
        <v>0</v>
      </c>
      <c r="Z793">
        <f>IF(OR(T793="H",T793="B"),INDEX(AllCollegeACT25, MATCH(N793,AllCollegeNCES,0)),INDEX(AllCollegeACT50, MATCH(N793,AllCollegeNCES,0)))</f>
        <v>0</v>
      </c>
      <c r="AA793">
        <f>INDEX(CustomWeightsGPA,MATCH(T793&amp;":"&amp;N793,CustomWeightsIndex,0))</f>
        <v>0</v>
      </c>
      <c r="AB793">
        <f>INDEX(CustomWeightsACT,MATCH(T793&amp;":"&amp;N793,CustomWeightsIndex,0))</f>
        <v>0</v>
      </c>
      <c r="AC793">
        <f>INDEX(CustomWeightsIntercept,MATCH(T793&amp;":"&amp;N793,CustomWeightsIndex,0))</f>
        <v>0</v>
      </c>
      <c r="AD793">
        <f>AA793*P793+AB793*Q793+AC793</f>
        <v>0</v>
      </c>
      <c r="AE793">
        <f>INDEX(CoefficientsGPA,MATCH(T793&amp;":"&amp;O793,CoefficientsIndex,0))</f>
        <v>0</v>
      </c>
      <c r="AF793">
        <f>INDEX(CoefficientsACT,MATCH(T793&amp;":"&amp;O793,CoefficientsIndex,0))</f>
        <v>0</v>
      </c>
      <c r="AG793">
        <f>INDEX(CoefficientsIntercept,MATCH(T793&amp;":"&amp;O793,CoefficientsIndex,0))</f>
        <v>0</v>
      </c>
      <c r="AH793">
        <f>AE793*P793+(Q793-Z793)*AF793+AG793</f>
        <v>0</v>
      </c>
      <c r="AI793">
        <f>IF(ISNUMBER(AD793),AD793,AH793)</f>
        <v>0</v>
      </c>
      <c r="AJ793">
        <f>IF(ISNUMBER(AI793),IF(ISNUMBER(AE793),IF(AND(AE793=1,AF793=1,AG793=1),100,ROUND(100*EXP(AI793)/(1+EXP(AI793)),2)),ROUND(100*EXP(AI793)/(1+EXP(AI793)),2)),IF(ISTEXT(O793),IF(LEFT(O793,1)="2",100,"N/A"),"N/A"))</f>
        <v>0</v>
      </c>
      <c r="AK793">
        <f>IF(ISNUMBER(AJ793),IF(AJ793&gt;=99,IF(OR(R793=10,R793=11),MatchLabel,SureThingLabel),IF(AJ793&gt;=95,SecureLabel,IF(AJ793&gt;=80,SafetyLabel,IF(AJ793&gt;=50,MatchLabel,IF(AJ793&gt;=20,ReachLabel,IF(AJ793&gt;=10,LongshotLabel,HailMaryLabel)))))),"Other")</f>
        <v>0</v>
      </c>
      <c r="AL793">
        <f>IF(OR(I793="accepted",I793="cond. accept",I793="summer admit"),IF(J793="yes","CHOICE!","Accepted!"),IF(I793="denied","Denied",IF(K793=1,"Waitlist",IF(L793=1,"Deferred",IF(G793="pending","Pending",IF(OR(G793="initial materials submitted",G793="mid-year submitted",G793="final submitted"),"Submitted",IF(H793="interest","Interest","?")))))))</f>
        <v>0</v>
      </c>
      <c r="AM793">
        <f>IF(OR(AK793=ReachLabel,AK793=LongshotLabel,AK793=HailMaryLabel),1,0)</f>
        <v>0</v>
      </c>
      <c r="AN793">
        <f>IF(OR(AM793=1,AK793=MatchLabel),1,0)</f>
        <v>0</v>
      </c>
      <c r="AO793">
        <f>IF(OR(AK793=MatchLabel,AK793=SafetyLabel,AK793=SecureLabel,AK793=SureThingLabel),1,0)</f>
        <v>0</v>
      </c>
      <c r="AP793">
        <f>IF(OR(T793="H",T793="B"),IF(ISNUMBER(Y793),ROUND(Y793,2),0),IF(ISNUMBER(X793),ROUND(X793,2),0))</f>
        <v>0</v>
      </c>
      <c r="AQ793">
        <f>IF(AP793&gt;=U793,1,0)</f>
        <v>0</v>
      </c>
      <c r="AR793">
        <f>IF(AP793&gt;=V793,1,0)</f>
        <v>0</v>
      </c>
      <c r="AS793">
        <f>IF(AP793&lt;(U793-0.10),1,0)</f>
        <v>0</v>
      </c>
      <c r="AT793">
        <f>1-AJ793/100</f>
        <v>0</v>
      </c>
      <c r="AU793">
        <f>IF(AN793=1,AT793,1)</f>
        <v>0</v>
      </c>
      <c r="AV793">
        <f>IF(AM793=1,AT793,1)</f>
        <v>0</v>
      </c>
      <c r="AW793">
        <f>IF(AND(AQ793=1,ISNUMBER(AT793)),$AT793,1)</f>
        <v>0</v>
      </c>
      <c r="AX793">
        <f>IF(AND(AR793=1,ISNUMBER(AT793)),$AT793,1)</f>
        <v>0</v>
      </c>
      <c r="AY793">
        <f>IF(ISNUMBER(Y793),INDEX(AllCollegeMoney, MATCH(N793,AllCollegeNCES,0)),0)</f>
        <v>0</v>
      </c>
      <c r="AZ793">
        <f>IF(AND(AQ793=1,ISNUMBER(AT793),AY793=1),$AT793,1)</f>
        <v>0</v>
      </c>
      <c r="BA793">
        <f>IF(AND(AR793=1,ISNUMBER(AT793),AY793=1),$AT793,1)</f>
        <v>0</v>
      </c>
      <c r="BB793">
        <f>IF(ISNUMBER(Y793),INDEX(AllCollegeILPub, MATCH(N793,AllCollegeNCES,0)),0)</f>
        <v>0</v>
      </c>
      <c r="BC793">
        <f>IF(AK793=ReachLabel,AP793,0)</f>
        <v>0</v>
      </c>
      <c r="BD793">
        <f>IF(AK793=MatchLabel,AP793,0)</f>
        <v>0</v>
      </c>
      <c r="BE793">
        <f>IF(AK793=SafetyLabel,AP793,0)</f>
        <v>0</v>
      </c>
      <c r="BF793">
        <f>IF(AK793=SecureLabel,AP793,0)</f>
        <v>0</v>
      </c>
      <c r="BG793">
        <f>IF(AK793=SureThingLabel,AP793,0)</f>
        <v>0</v>
      </c>
      <c r="BH793">
        <f>MAX(BC793:BG793)</f>
        <v>0</v>
      </c>
      <c r="BI793">
        <f>MAX(BD793:BG793)</f>
        <v>0</v>
      </c>
      <c r="BJ793">
        <f>MAX(BE793:BG793)</f>
        <v>0</v>
      </c>
      <c r="BK793">
        <f>IF(AND(AK793=ReachLabel,AY793=1),AP793,0)</f>
        <v>0</v>
      </c>
      <c r="BL793">
        <f>IF(AND(AK793=MatchLabel,AY793=1),AP793,0)</f>
        <v>0</v>
      </c>
      <c r="BM793">
        <f>IF(AND(AK793=SafetyLabel,AY793=1),AP793,0)</f>
        <v>0</v>
      </c>
      <c r="BN793">
        <f>IF(AND(AK793=SecureLabel,AY793=1),AP793,0)</f>
        <v>0</v>
      </c>
      <c r="BO793">
        <f>IF(AND(AK793=SureThingLabel,AY793=1),AP793,0)</f>
        <v>0</v>
      </c>
      <c r="BP793">
        <f>MAX(BK793:BO793)</f>
        <v>0</v>
      </c>
      <c r="BQ793">
        <f>MAX(BL793:BO793)</f>
        <v>0</v>
      </c>
      <c r="BR793">
        <f>MAX(BM793:BO793)</f>
        <v>0</v>
      </c>
      <c r="BS793">
        <f>IF(ISNUMBER(Y793),INDEX(AllCollegeChicago, MATCH(N793,AllCollegeNCES,0))*AY793,0)</f>
        <v>0</v>
      </c>
      <c r="BT793">
        <f>IF(ISNUMBER(Y793),INDEX(AllCollegeMoneyCode, MATCH(N793,AllCollegeNCES,0)),"?")</f>
        <v>0</v>
      </c>
      <c r="BU793">
        <f>IF(OR(BT793="---",BT793="--",BT793="+/--",BT793="+/---"),1,0)</f>
        <v>0</v>
      </c>
      <c r="BV793">
        <f>AY793*AO793*AQ793</f>
        <v>0</v>
      </c>
    </row>
    <row r="794" spans="1:74">
      <c r="A794" t="s">
        <v>86</v>
      </c>
      <c r="B794">
        <v>30490744</v>
      </c>
      <c r="C794" t="s">
        <v>203</v>
      </c>
      <c r="D794" t="s">
        <v>204</v>
      </c>
      <c r="E794" t="s">
        <v>428</v>
      </c>
      <c r="F794" t="s">
        <v>599</v>
      </c>
      <c r="G794" t="s">
        <v>463</v>
      </c>
      <c r="H794" t="s">
        <v>431</v>
      </c>
      <c r="I794" t="s">
        <v>432</v>
      </c>
      <c r="J794" t="s">
        <v>432</v>
      </c>
      <c r="K794">
        <v>0</v>
      </c>
      <c r="L794" t="s">
        <v>428</v>
      </c>
      <c r="M794" t="s">
        <v>428</v>
      </c>
      <c r="N794">
        <v>196413</v>
      </c>
      <c r="O794">
        <f>INDEX(AllCollegeBarrons,MATCH(N794,AllCollegeNCES,0))</f>
        <v>0</v>
      </c>
      <c r="P794">
        <f>INDEX(KidGPAs,MATCH(B794,KidIDs,0))</f>
        <v>0</v>
      </c>
      <c r="Q794">
        <f>INDEX(KidACTs,MATCH(B794,KidIDs,0))</f>
        <v>0</v>
      </c>
      <c r="R794">
        <f>INDEX(Strats,MATCH(B794,KidIDs,0))</f>
        <v>0</v>
      </c>
      <c r="S794">
        <f>INDEX(KidRace,MATCH(B794,KidIDs,0))</f>
        <v>0</v>
      </c>
      <c r="T794">
        <f>IF(OR(S794="M",S794="I"),"H",S794)</f>
        <v>0</v>
      </c>
      <c r="U794">
        <f>INDEX(StudentTargets,MATCH(B794,KidIDs,0))</f>
        <v>0</v>
      </c>
      <c r="V794">
        <f>INDEX(ReachStudentTargets,MATCH(B794,KidIDs,0))</f>
        <v>0</v>
      </c>
      <c r="W794">
        <f>IF(OR(M794="Posse"),1,0)</f>
        <v>0</v>
      </c>
      <c r="X794">
        <f>IF(ISNUMBER(INDEX(AllCollegeGR, MATCH(N794,AllCollegeNCES,0))),ROUND(INDEX(AllCollegeGR, MATCH(N794,AllCollegeNCES,0))+W794*IF(INDEX(AllCollegeGR, MATCH(N794,AllCollegeNCES,0))&gt;0.7,(1-INDEX(AllCollegeGR, MATCH(N794,AllCollegeNCES,0)))/2,0.15),2),INDEX(AllCollegeGR, MATCH(N794,AllCollegeNCES,0)))</f>
        <v>0</v>
      </c>
      <c r="Y794">
        <f>IF(ISNUMBER(INDEX(AllCollegeAAHGR, MATCH(N794,AllCollegeNCES,0))),ROUND(INDEX(AllCollegeAAHGR, MATCH(N794,AllCollegeNCES,0))+W794*IF(INDEX(AllCollegeAAHGR, MATCH(N794,AllCollegeNCES,0))&gt;0.7,(1-INDEX(AllCollegeAAHGR, MATCH(N794,AllCollegeNCES,0)))/2,0.15),2),INDEX(AllCollegeAAHGR, MATCH(N794,AllCollegeNCES,0)))</f>
        <v>0</v>
      </c>
      <c r="Z794">
        <f>IF(OR(T794="H",T794="B"),INDEX(AllCollegeACT25, MATCH(N794,AllCollegeNCES,0)),INDEX(AllCollegeACT50, MATCH(N794,AllCollegeNCES,0)))</f>
        <v>0</v>
      </c>
      <c r="AA794">
        <f>INDEX(CustomWeightsGPA,MATCH(T794&amp;":"&amp;N794,CustomWeightsIndex,0))</f>
        <v>0</v>
      </c>
      <c r="AB794">
        <f>INDEX(CustomWeightsACT,MATCH(T794&amp;":"&amp;N794,CustomWeightsIndex,0))</f>
        <v>0</v>
      </c>
      <c r="AC794">
        <f>INDEX(CustomWeightsIntercept,MATCH(T794&amp;":"&amp;N794,CustomWeightsIndex,0))</f>
        <v>0</v>
      </c>
      <c r="AD794">
        <f>AA794*P794+AB794*Q794+AC794</f>
        <v>0</v>
      </c>
      <c r="AE794">
        <f>INDEX(CoefficientsGPA,MATCH(T794&amp;":"&amp;O794,CoefficientsIndex,0))</f>
        <v>0</v>
      </c>
      <c r="AF794">
        <f>INDEX(CoefficientsACT,MATCH(T794&amp;":"&amp;O794,CoefficientsIndex,0))</f>
        <v>0</v>
      </c>
      <c r="AG794">
        <f>INDEX(CoefficientsIntercept,MATCH(T794&amp;":"&amp;O794,CoefficientsIndex,0))</f>
        <v>0</v>
      </c>
      <c r="AH794">
        <f>AE794*P794+(Q794-Z794)*AF794+AG794</f>
        <v>0</v>
      </c>
      <c r="AI794">
        <f>IF(ISNUMBER(AD794),AD794,AH794)</f>
        <v>0</v>
      </c>
      <c r="AJ794">
        <f>IF(ISNUMBER(AI794),IF(ISNUMBER(AE794),IF(AND(AE794=1,AF794=1,AG794=1),100,ROUND(100*EXP(AI794)/(1+EXP(AI794)),2)),ROUND(100*EXP(AI794)/(1+EXP(AI794)),2)),IF(ISTEXT(O794),IF(LEFT(O794,1)="2",100,"N/A"),"N/A"))</f>
        <v>0</v>
      </c>
      <c r="AK794">
        <f>IF(ISNUMBER(AJ794),IF(AJ794&gt;=99,IF(OR(R794=10,R794=11),MatchLabel,SureThingLabel),IF(AJ794&gt;=95,SecureLabel,IF(AJ794&gt;=80,SafetyLabel,IF(AJ794&gt;=50,MatchLabel,IF(AJ794&gt;=20,ReachLabel,IF(AJ794&gt;=10,LongshotLabel,HailMaryLabel)))))),"Other")</f>
        <v>0</v>
      </c>
      <c r="AL794">
        <f>IF(OR(I794="accepted",I794="cond. accept",I794="summer admit"),IF(J794="yes","CHOICE!","Accepted!"),IF(I794="denied","Denied",IF(K794=1,"Waitlist",IF(L794=1,"Deferred",IF(G794="pending","Pending",IF(OR(G794="initial materials submitted",G794="mid-year submitted",G794="final submitted"),"Submitted",IF(H794="interest","Interest","?")))))))</f>
        <v>0</v>
      </c>
      <c r="AM794">
        <f>IF(OR(AK794=ReachLabel,AK794=LongshotLabel,AK794=HailMaryLabel),1,0)</f>
        <v>0</v>
      </c>
      <c r="AN794">
        <f>IF(OR(AM794=1,AK794=MatchLabel),1,0)</f>
        <v>0</v>
      </c>
      <c r="AO794">
        <f>IF(OR(AK794=MatchLabel,AK794=SafetyLabel,AK794=SecureLabel,AK794=SureThingLabel),1,0)</f>
        <v>0</v>
      </c>
      <c r="AP794">
        <f>IF(OR(T794="H",T794="B"),IF(ISNUMBER(Y794),ROUND(Y794,2),0),IF(ISNUMBER(X794),ROUND(X794,2),0))</f>
        <v>0</v>
      </c>
      <c r="AQ794">
        <f>IF(AP794&gt;=U794,1,0)</f>
        <v>0</v>
      </c>
      <c r="AR794">
        <f>IF(AP794&gt;=V794,1,0)</f>
        <v>0</v>
      </c>
      <c r="AS794">
        <f>IF(AP794&lt;(U794-0.10),1,0)</f>
        <v>0</v>
      </c>
      <c r="AT794">
        <f>1-AJ794/100</f>
        <v>0</v>
      </c>
      <c r="AU794">
        <f>IF(AN794=1,AT794,1)</f>
        <v>0</v>
      </c>
      <c r="AV794">
        <f>IF(AM794=1,AT794,1)</f>
        <v>0</v>
      </c>
      <c r="AW794">
        <f>IF(AND(AQ794=1,ISNUMBER(AT794)),$AT794,1)</f>
        <v>0</v>
      </c>
      <c r="AX794">
        <f>IF(AND(AR794=1,ISNUMBER(AT794)),$AT794,1)</f>
        <v>0</v>
      </c>
      <c r="AY794">
        <f>IF(ISNUMBER(Y794),INDEX(AllCollegeMoney, MATCH(N794,AllCollegeNCES,0)),0)</f>
        <v>0</v>
      </c>
      <c r="AZ794">
        <f>IF(AND(AQ794=1,ISNUMBER(AT794),AY794=1),$AT794,1)</f>
        <v>0</v>
      </c>
      <c r="BA794">
        <f>IF(AND(AR794=1,ISNUMBER(AT794),AY794=1),$AT794,1)</f>
        <v>0</v>
      </c>
      <c r="BB794">
        <f>IF(ISNUMBER(Y794),INDEX(AllCollegeILPub, MATCH(N794,AllCollegeNCES,0)),0)</f>
        <v>0</v>
      </c>
      <c r="BC794">
        <f>IF(AK794=ReachLabel,AP794,0)</f>
        <v>0</v>
      </c>
      <c r="BD794">
        <f>IF(AK794=MatchLabel,AP794,0)</f>
        <v>0</v>
      </c>
      <c r="BE794">
        <f>IF(AK794=SafetyLabel,AP794,0)</f>
        <v>0</v>
      </c>
      <c r="BF794">
        <f>IF(AK794=SecureLabel,AP794,0)</f>
        <v>0</v>
      </c>
      <c r="BG794">
        <f>IF(AK794=SureThingLabel,AP794,0)</f>
        <v>0</v>
      </c>
      <c r="BH794">
        <f>MAX(BC794:BG794)</f>
        <v>0</v>
      </c>
      <c r="BI794">
        <f>MAX(BD794:BG794)</f>
        <v>0</v>
      </c>
      <c r="BJ794">
        <f>MAX(BE794:BG794)</f>
        <v>0</v>
      </c>
      <c r="BK794">
        <f>IF(AND(AK794=ReachLabel,AY794=1),AP794,0)</f>
        <v>0</v>
      </c>
      <c r="BL794">
        <f>IF(AND(AK794=MatchLabel,AY794=1),AP794,0)</f>
        <v>0</v>
      </c>
      <c r="BM794">
        <f>IF(AND(AK794=SafetyLabel,AY794=1),AP794,0)</f>
        <v>0</v>
      </c>
      <c r="BN794">
        <f>IF(AND(AK794=SecureLabel,AY794=1),AP794,0)</f>
        <v>0</v>
      </c>
      <c r="BO794">
        <f>IF(AND(AK794=SureThingLabel,AY794=1),AP794,0)</f>
        <v>0</v>
      </c>
      <c r="BP794">
        <f>MAX(BK794:BO794)</f>
        <v>0</v>
      </c>
      <c r="BQ794">
        <f>MAX(BL794:BO794)</f>
        <v>0</v>
      </c>
      <c r="BR794">
        <f>MAX(BM794:BO794)</f>
        <v>0</v>
      </c>
      <c r="BS794">
        <f>IF(ISNUMBER(Y794),INDEX(AllCollegeChicago, MATCH(N794,AllCollegeNCES,0))*AY794,0)</f>
        <v>0</v>
      </c>
      <c r="BT794">
        <f>IF(ISNUMBER(Y794),INDEX(AllCollegeMoneyCode, MATCH(N794,AllCollegeNCES,0)),"?")</f>
        <v>0</v>
      </c>
      <c r="BU794">
        <f>IF(OR(BT794="---",BT794="--",BT794="+/--",BT794="+/---"),1,0)</f>
        <v>0</v>
      </c>
      <c r="BV794">
        <f>AY794*AO794*AQ794</f>
        <v>0</v>
      </c>
    </row>
    <row r="795" spans="1:74">
      <c r="A795" t="s">
        <v>86</v>
      </c>
      <c r="B795">
        <v>30490744</v>
      </c>
      <c r="C795" t="s">
        <v>203</v>
      </c>
      <c r="D795" t="s">
        <v>204</v>
      </c>
      <c r="E795" t="s">
        <v>428</v>
      </c>
      <c r="F795" t="s">
        <v>496</v>
      </c>
      <c r="G795" t="s">
        <v>463</v>
      </c>
      <c r="H795" t="s">
        <v>431</v>
      </c>
      <c r="I795" t="s">
        <v>432</v>
      </c>
      <c r="J795" t="s">
        <v>432</v>
      </c>
      <c r="K795">
        <v>0</v>
      </c>
      <c r="L795" t="s">
        <v>428</v>
      </c>
      <c r="M795" t="s">
        <v>428</v>
      </c>
      <c r="N795">
        <v>150400</v>
      </c>
      <c r="O795">
        <f>INDEX(AllCollegeBarrons,MATCH(N795,AllCollegeNCES,0))</f>
        <v>0</v>
      </c>
      <c r="P795">
        <f>INDEX(KidGPAs,MATCH(B795,KidIDs,0))</f>
        <v>0</v>
      </c>
      <c r="Q795">
        <f>INDEX(KidACTs,MATCH(B795,KidIDs,0))</f>
        <v>0</v>
      </c>
      <c r="R795">
        <f>INDEX(Strats,MATCH(B795,KidIDs,0))</f>
        <v>0</v>
      </c>
      <c r="S795">
        <f>INDEX(KidRace,MATCH(B795,KidIDs,0))</f>
        <v>0</v>
      </c>
      <c r="T795">
        <f>IF(OR(S795="M",S795="I"),"H",S795)</f>
        <v>0</v>
      </c>
      <c r="U795">
        <f>INDEX(StudentTargets,MATCH(B795,KidIDs,0))</f>
        <v>0</v>
      </c>
      <c r="V795">
        <f>INDEX(ReachStudentTargets,MATCH(B795,KidIDs,0))</f>
        <v>0</v>
      </c>
      <c r="W795">
        <f>IF(OR(M795="Posse"),1,0)</f>
        <v>0</v>
      </c>
      <c r="X795">
        <f>IF(ISNUMBER(INDEX(AllCollegeGR, MATCH(N795,AllCollegeNCES,0))),ROUND(INDEX(AllCollegeGR, MATCH(N795,AllCollegeNCES,0))+W795*IF(INDEX(AllCollegeGR, MATCH(N795,AllCollegeNCES,0))&gt;0.7,(1-INDEX(AllCollegeGR, MATCH(N795,AllCollegeNCES,0)))/2,0.15),2),INDEX(AllCollegeGR, MATCH(N795,AllCollegeNCES,0)))</f>
        <v>0</v>
      </c>
      <c r="Y795">
        <f>IF(ISNUMBER(INDEX(AllCollegeAAHGR, MATCH(N795,AllCollegeNCES,0))),ROUND(INDEX(AllCollegeAAHGR, MATCH(N795,AllCollegeNCES,0))+W795*IF(INDEX(AllCollegeAAHGR, MATCH(N795,AllCollegeNCES,0))&gt;0.7,(1-INDEX(AllCollegeAAHGR, MATCH(N795,AllCollegeNCES,0)))/2,0.15),2),INDEX(AllCollegeAAHGR, MATCH(N795,AllCollegeNCES,0)))</f>
        <v>0</v>
      </c>
      <c r="Z795">
        <f>IF(OR(T795="H",T795="B"),INDEX(AllCollegeACT25, MATCH(N795,AllCollegeNCES,0)),INDEX(AllCollegeACT50, MATCH(N795,AllCollegeNCES,0)))</f>
        <v>0</v>
      </c>
      <c r="AA795">
        <f>INDEX(CustomWeightsGPA,MATCH(T795&amp;":"&amp;N795,CustomWeightsIndex,0))</f>
        <v>0</v>
      </c>
      <c r="AB795">
        <f>INDEX(CustomWeightsACT,MATCH(T795&amp;":"&amp;N795,CustomWeightsIndex,0))</f>
        <v>0</v>
      </c>
      <c r="AC795">
        <f>INDEX(CustomWeightsIntercept,MATCH(T795&amp;":"&amp;N795,CustomWeightsIndex,0))</f>
        <v>0</v>
      </c>
      <c r="AD795">
        <f>AA795*P795+AB795*Q795+AC795</f>
        <v>0</v>
      </c>
      <c r="AE795">
        <f>INDEX(CoefficientsGPA,MATCH(T795&amp;":"&amp;O795,CoefficientsIndex,0))</f>
        <v>0</v>
      </c>
      <c r="AF795">
        <f>INDEX(CoefficientsACT,MATCH(T795&amp;":"&amp;O795,CoefficientsIndex,0))</f>
        <v>0</v>
      </c>
      <c r="AG795">
        <f>INDEX(CoefficientsIntercept,MATCH(T795&amp;":"&amp;O795,CoefficientsIndex,0))</f>
        <v>0</v>
      </c>
      <c r="AH795">
        <f>AE795*P795+(Q795-Z795)*AF795+AG795</f>
        <v>0</v>
      </c>
      <c r="AI795">
        <f>IF(ISNUMBER(AD795),AD795,AH795)</f>
        <v>0</v>
      </c>
      <c r="AJ795">
        <f>IF(ISNUMBER(AI795),IF(ISNUMBER(AE795),IF(AND(AE795=1,AF795=1,AG795=1),100,ROUND(100*EXP(AI795)/(1+EXP(AI795)),2)),ROUND(100*EXP(AI795)/(1+EXP(AI795)),2)),IF(ISTEXT(O795),IF(LEFT(O795,1)="2",100,"N/A"),"N/A"))</f>
        <v>0</v>
      </c>
      <c r="AK795">
        <f>IF(ISNUMBER(AJ795),IF(AJ795&gt;=99,IF(OR(R795=10,R795=11),MatchLabel,SureThingLabel),IF(AJ795&gt;=95,SecureLabel,IF(AJ795&gt;=80,SafetyLabel,IF(AJ795&gt;=50,MatchLabel,IF(AJ795&gt;=20,ReachLabel,IF(AJ795&gt;=10,LongshotLabel,HailMaryLabel)))))),"Other")</f>
        <v>0</v>
      </c>
      <c r="AL795">
        <f>IF(OR(I795="accepted",I795="cond. accept",I795="summer admit"),IF(J795="yes","CHOICE!","Accepted!"),IF(I795="denied","Denied",IF(K795=1,"Waitlist",IF(L795=1,"Deferred",IF(G795="pending","Pending",IF(OR(G795="initial materials submitted",G795="mid-year submitted",G795="final submitted"),"Submitted",IF(H795="interest","Interest","?")))))))</f>
        <v>0</v>
      </c>
      <c r="AM795">
        <f>IF(OR(AK795=ReachLabel,AK795=LongshotLabel,AK795=HailMaryLabel),1,0)</f>
        <v>0</v>
      </c>
      <c r="AN795">
        <f>IF(OR(AM795=1,AK795=MatchLabel),1,0)</f>
        <v>0</v>
      </c>
      <c r="AO795">
        <f>IF(OR(AK795=MatchLabel,AK795=SafetyLabel,AK795=SecureLabel,AK795=SureThingLabel),1,0)</f>
        <v>0</v>
      </c>
      <c r="AP795">
        <f>IF(OR(T795="H",T795="B"),IF(ISNUMBER(Y795),ROUND(Y795,2),0),IF(ISNUMBER(X795),ROUND(X795,2),0))</f>
        <v>0</v>
      </c>
      <c r="AQ795">
        <f>IF(AP795&gt;=U795,1,0)</f>
        <v>0</v>
      </c>
      <c r="AR795">
        <f>IF(AP795&gt;=V795,1,0)</f>
        <v>0</v>
      </c>
      <c r="AS795">
        <f>IF(AP795&lt;(U795-0.10),1,0)</f>
        <v>0</v>
      </c>
      <c r="AT795">
        <f>1-AJ795/100</f>
        <v>0</v>
      </c>
      <c r="AU795">
        <f>IF(AN795=1,AT795,1)</f>
        <v>0</v>
      </c>
      <c r="AV795">
        <f>IF(AM795=1,AT795,1)</f>
        <v>0</v>
      </c>
      <c r="AW795">
        <f>IF(AND(AQ795=1,ISNUMBER(AT795)),$AT795,1)</f>
        <v>0</v>
      </c>
      <c r="AX795">
        <f>IF(AND(AR795=1,ISNUMBER(AT795)),$AT795,1)</f>
        <v>0</v>
      </c>
      <c r="AY795">
        <f>IF(ISNUMBER(Y795),INDEX(AllCollegeMoney, MATCH(N795,AllCollegeNCES,0)),0)</f>
        <v>0</v>
      </c>
      <c r="AZ795">
        <f>IF(AND(AQ795=1,ISNUMBER(AT795),AY795=1),$AT795,1)</f>
        <v>0</v>
      </c>
      <c r="BA795">
        <f>IF(AND(AR795=1,ISNUMBER(AT795),AY795=1),$AT795,1)</f>
        <v>0</v>
      </c>
      <c r="BB795">
        <f>IF(ISNUMBER(Y795),INDEX(AllCollegeILPub, MATCH(N795,AllCollegeNCES,0)),0)</f>
        <v>0</v>
      </c>
      <c r="BC795">
        <f>IF(AK795=ReachLabel,AP795,0)</f>
        <v>0</v>
      </c>
      <c r="BD795">
        <f>IF(AK795=MatchLabel,AP795,0)</f>
        <v>0</v>
      </c>
      <c r="BE795">
        <f>IF(AK795=SafetyLabel,AP795,0)</f>
        <v>0</v>
      </c>
      <c r="BF795">
        <f>IF(AK795=SecureLabel,AP795,0)</f>
        <v>0</v>
      </c>
      <c r="BG795">
        <f>IF(AK795=SureThingLabel,AP795,0)</f>
        <v>0</v>
      </c>
      <c r="BH795">
        <f>MAX(BC795:BG795)</f>
        <v>0</v>
      </c>
      <c r="BI795">
        <f>MAX(BD795:BG795)</f>
        <v>0</v>
      </c>
      <c r="BJ795">
        <f>MAX(BE795:BG795)</f>
        <v>0</v>
      </c>
      <c r="BK795">
        <f>IF(AND(AK795=ReachLabel,AY795=1),AP795,0)</f>
        <v>0</v>
      </c>
      <c r="BL795">
        <f>IF(AND(AK795=MatchLabel,AY795=1),AP795,0)</f>
        <v>0</v>
      </c>
      <c r="BM795">
        <f>IF(AND(AK795=SafetyLabel,AY795=1),AP795,0)</f>
        <v>0</v>
      </c>
      <c r="BN795">
        <f>IF(AND(AK795=SecureLabel,AY795=1),AP795,0)</f>
        <v>0</v>
      </c>
      <c r="BO795">
        <f>IF(AND(AK795=SureThingLabel,AY795=1),AP795,0)</f>
        <v>0</v>
      </c>
      <c r="BP795">
        <f>MAX(BK795:BO795)</f>
        <v>0</v>
      </c>
      <c r="BQ795">
        <f>MAX(BL795:BO795)</f>
        <v>0</v>
      </c>
      <c r="BR795">
        <f>MAX(BM795:BO795)</f>
        <v>0</v>
      </c>
      <c r="BS795">
        <f>IF(ISNUMBER(Y795),INDEX(AllCollegeChicago, MATCH(N795,AllCollegeNCES,0))*AY795,0)</f>
        <v>0</v>
      </c>
      <c r="BT795">
        <f>IF(ISNUMBER(Y795),INDEX(AllCollegeMoneyCode, MATCH(N795,AllCollegeNCES,0)),"?")</f>
        <v>0</v>
      </c>
      <c r="BU795">
        <f>IF(OR(BT795="---",BT795="--",BT795="+/--",BT795="+/---"),1,0)</f>
        <v>0</v>
      </c>
      <c r="BV795">
        <f>AY795*AO795*AQ795</f>
        <v>0</v>
      </c>
    </row>
    <row r="796" spans="1:74">
      <c r="A796" t="s">
        <v>86</v>
      </c>
      <c r="B796">
        <v>30490744</v>
      </c>
      <c r="C796" t="s">
        <v>203</v>
      </c>
      <c r="D796" t="s">
        <v>204</v>
      </c>
      <c r="E796" t="s">
        <v>428</v>
      </c>
      <c r="F796" t="s">
        <v>456</v>
      </c>
      <c r="G796" t="s">
        <v>463</v>
      </c>
      <c r="H796" t="s">
        <v>431</v>
      </c>
      <c r="I796" t="s">
        <v>432</v>
      </c>
      <c r="J796" t="s">
        <v>432</v>
      </c>
      <c r="K796">
        <v>0</v>
      </c>
      <c r="L796" t="s">
        <v>428</v>
      </c>
      <c r="M796" t="s">
        <v>428</v>
      </c>
      <c r="N796">
        <v>213668</v>
      </c>
      <c r="O796">
        <f>INDEX(AllCollegeBarrons,MATCH(N796,AllCollegeNCES,0))</f>
        <v>0</v>
      </c>
      <c r="P796">
        <f>INDEX(KidGPAs,MATCH(B796,KidIDs,0))</f>
        <v>0</v>
      </c>
      <c r="Q796">
        <f>INDEX(KidACTs,MATCH(B796,KidIDs,0))</f>
        <v>0</v>
      </c>
      <c r="R796">
        <f>INDEX(Strats,MATCH(B796,KidIDs,0))</f>
        <v>0</v>
      </c>
      <c r="S796">
        <f>INDEX(KidRace,MATCH(B796,KidIDs,0))</f>
        <v>0</v>
      </c>
      <c r="T796">
        <f>IF(OR(S796="M",S796="I"),"H",S796)</f>
        <v>0</v>
      </c>
      <c r="U796">
        <f>INDEX(StudentTargets,MATCH(B796,KidIDs,0))</f>
        <v>0</v>
      </c>
      <c r="V796">
        <f>INDEX(ReachStudentTargets,MATCH(B796,KidIDs,0))</f>
        <v>0</v>
      </c>
      <c r="W796">
        <f>IF(OR(M796="Posse"),1,0)</f>
        <v>0</v>
      </c>
      <c r="X796">
        <f>IF(ISNUMBER(INDEX(AllCollegeGR, MATCH(N796,AllCollegeNCES,0))),ROUND(INDEX(AllCollegeGR, MATCH(N796,AllCollegeNCES,0))+W796*IF(INDEX(AllCollegeGR, MATCH(N796,AllCollegeNCES,0))&gt;0.7,(1-INDEX(AllCollegeGR, MATCH(N796,AllCollegeNCES,0)))/2,0.15),2),INDEX(AllCollegeGR, MATCH(N796,AllCollegeNCES,0)))</f>
        <v>0</v>
      </c>
      <c r="Y796">
        <f>IF(ISNUMBER(INDEX(AllCollegeAAHGR, MATCH(N796,AllCollegeNCES,0))),ROUND(INDEX(AllCollegeAAHGR, MATCH(N796,AllCollegeNCES,0))+W796*IF(INDEX(AllCollegeAAHGR, MATCH(N796,AllCollegeNCES,0))&gt;0.7,(1-INDEX(AllCollegeAAHGR, MATCH(N796,AllCollegeNCES,0)))/2,0.15),2),INDEX(AllCollegeAAHGR, MATCH(N796,AllCollegeNCES,0)))</f>
        <v>0</v>
      </c>
      <c r="Z796">
        <f>IF(OR(T796="H",T796="B"),INDEX(AllCollegeACT25, MATCH(N796,AllCollegeNCES,0)),INDEX(AllCollegeACT50, MATCH(N796,AllCollegeNCES,0)))</f>
        <v>0</v>
      </c>
      <c r="AA796">
        <f>INDEX(CustomWeightsGPA,MATCH(T796&amp;":"&amp;N796,CustomWeightsIndex,0))</f>
        <v>0</v>
      </c>
      <c r="AB796">
        <f>INDEX(CustomWeightsACT,MATCH(T796&amp;":"&amp;N796,CustomWeightsIndex,0))</f>
        <v>0</v>
      </c>
      <c r="AC796">
        <f>INDEX(CustomWeightsIntercept,MATCH(T796&amp;":"&amp;N796,CustomWeightsIndex,0))</f>
        <v>0</v>
      </c>
      <c r="AD796">
        <f>AA796*P796+AB796*Q796+AC796</f>
        <v>0</v>
      </c>
      <c r="AE796">
        <f>INDEX(CoefficientsGPA,MATCH(T796&amp;":"&amp;O796,CoefficientsIndex,0))</f>
        <v>0</v>
      </c>
      <c r="AF796">
        <f>INDEX(CoefficientsACT,MATCH(T796&amp;":"&amp;O796,CoefficientsIndex,0))</f>
        <v>0</v>
      </c>
      <c r="AG796">
        <f>INDEX(CoefficientsIntercept,MATCH(T796&amp;":"&amp;O796,CoefficientsIndex,0))</f>
        <v>0</v>
      </c>
      <c r="AH796">
        <f>AE796*P796+(Q796-Z796)*AF796+AG796</f>
        <v>0</v>
      </c>
      <c r="AI796">
        <f>IF(ISNUMBER(AD796),AD796,AH796)</f>
        <v>0</v>
      </c>
      <c r="AJ796">
        <f>IF(ISNUMBER(AI796),IF(ISNUMBER(AE796),IF(AND(AE796=1,AF796=1,AG796=1),100,ROUND(100*EXP(AI796)/(1+EXP(AI796)),2)),ROUND(100*EXP(AI796)/(1+EXP(AI796)),2)),IF(ISTEXT(O796),IF(LEFT(O796,1)="2",100,"N/A"),"N/A"))</f>
        <v>0</v>
      </c>
      <c r="AK796">
        <f>IF(ISNUMBER(AJ796),IF(AJ796&gt;=99,IF(OR(R796=10,R796=11),MatchLabel,SureThingLabel),IF(AJ796&gt;=95,SecureLabel,IF(AJ796&gt;=80,SafetyLabel,IF(AJ796&gt;=50,MatchLabel,IF(AJ796&gt;=20,ReachLabel,IF(AJ796&gt;=10,LongshotLabel,HailMaryLabel)))))),"Other")</f>
        <v>0</v>
      </c>
      <c r="AL796">
        <f>IF(OR(I796="accepted",I796="cond. accept",I796="summer admit"),IF(J796="yes","CHOICE!","Accepted!"),IF(I796="denied","Denied",IF(K796=1,"Waitlist",IF(L796=1,"Deferred",IF(G796="pending","Pending",IF(OR(G796="initial materials submitted",G796="mid-year submitted",G796="final submitted"),"Submitted",IF(H796="interest","Interest","?")))))))</f>
        <v>0</v>
      </c>
      <c r="AM796">
        <f>IF(OR(AK796=ReachLabel,AK796=LongshotLabel,AK796=HailMaryLabel),1,0)</f>
        <v>0</v>
      </c>
      <c r="AN796">
        <f>IF(OR(AM796=1,AK796=MatchLabel),1,0)</f>
        <v>0</v>
      </c>
      <c r="AO796">
        <f>IF(OR(AK796=MatchLabel,AK796=SafetyLabel,AK796=SecureLabel,AK796=SureThingLabel),1,0)</f>
        <v>0</v>
      </c>
      <c r="AP796">
        <f>IF(OR(T796="H",T796="B"),IF(ISNUMBER(Y796),ROUND(Y796,2),0),IF(ISNUMBER(X796),ROUND(X796,2),0))</f>
        <v>0</v>
      </c>
      <c r="AQ796">
        <f>IF(AP796&gt;=U796,1,0)</f>
        <v>0</v>
      </c>
      <c r="AR796">
        <f>IF(AP796&gt;=V796,1,0)</f>
        <v>0</v>
      </c>
      <c r="AS796">
        <f>IF(AP796&lt;(U796-0.10),1,0)</f>
        <v>0</v>
      </c>
      <c r="AT796">
        <f>1-AJ796/100</f>
        <v>0</v>
      </c>
      <c r="AU796">
        <f>IF(AN796=1,AT796,1)</f>
        <v>0</v>
      </c>
      <c r="AV796">
        <f>IF(AM796=1,AT796,1)</f>
        <v>0</v>
      </c>
      <c r="AW796">
        <f>IF(AND(AQ796=1,ISNUMBER(AT796)),$AT796,1)</f>
        <v>0</v>
      </c>
      <c r="AX796">
        <f>IF(AND(AR796=1,ISNUMBER(AT796)),$AT796,1)</f>
        <v>0</v>
      </c>
      <c r="AY796">
        <f>IF(ISNUMBER(Y796),INDEX(AllCollegeMoney, MATCH(N796,AllCollegeNCES,0)),0)</f>
        <v>0</v>
      </c>
      <c r="AZ796">
        <f>IF(AND(AQ796=1,ISNUMBER(AT796),AY796=1),$AT796,1)</f>
        <v>0</v>
      </c>
      <c r="BA796">
        <f>IF(AND(AR796=1,ISNUMBER(AT796),AY796=1),$AT796,1)</f>
        <v>0</v>
      </c>
      <c r="BB796">
        <f>IF(ISNUMBER(Y796),INDEX(AllCollegeILPub, MATCH(N796,AllCollegeNCES,0)),0)</f>
        <v>0</v>
      </c>
      <c r="BC796">
        <f>IF(AK796=ReachLabel,AP796,0)</f>
        <v>0</v>
      </c>
      <c r="BD796">
        <f>IF(AK796=MatchLabel,AP796,0)</f>
        <v>0</v>
      </c>
      <c r="BE796">
        <f>IF(AK796=SafetyLabel,AP796,0)</f>
        <v>0</v>
      </c>
      <c r="BF796">
        <f>IF(AK796=SecureLabel,AP796,0)</f>
        <v>0</v>
      </c>
      <c r="BG796">
        <f>IF(AK796=SureThingLabel,AP796,0)</f>
        <v>0</v>
      </c>
      <c r="BH796">
        <f>MAX(BC796:BG796)</f>
        <v>0</v>
      </c>
      <c r="BI796">
        <f>MAX(BD796:BG796)</f>
        <v>0</v>
      </c>
      <c r="BJ796">
        <f>MAX(BE796:BG796)</f>
        <v>0</v>
      </c>
      <c r="BK796">
        <f>IF(AND(AK796=ReachLabel,AY796=1),AP796,0)</f>
        <v>0</v>
      </c>
      <c r="BL796">
        <f>IF(AND(AK796=MatchLabel,AY796=1),AP796,0)</f>
        <v>0</v>
      </c>
      <c r="BM796">
        <f>IF(AND(AK796=SafetyLabel,AY796=1),AP796,0)</f>
        <v>0</v>
      </c>
      <c r="BN796">
        <f>IF(AND(AK796=SecureLabel,AY796=1),AP796,0)</f>
        <v>0</v>
      </c>
      <c r="BO796">
        <f>IF(AND(AK796=SureThingLabel,AY796=1),AP796,0)</f>
        <v>0</v>
      </c>
      <c r="BP796">
        <f>MAX(BK796:BO796)</f>
        <v>0</v>
      </c>
      <c r="BQ796">
        <f>MAX(BL796:BO796)</f>
        <v>0</v>
      </c>
      <c r="BR796">
        <f>MAX(BM796:BO796)</f>
        <v>0</v>
      </c>
      <c r="BS796">
        <f>IF(ISNUMBER(Y796),INDEX(AllCollegeChicago, MATCH(N796,AllCollegeNCES,0))*AY796,0)</f>
        <v>0</v>
      </c>
      <c r="BT796">
        <f>IF(ISNUMBER(Y796),INDEX(AllCollegeMoneyCode, MATCH(N796,AllCollegeNCES,0)),"?")</f>
        <v>0</v>
      </c>
      <c r="BU796">
        <f>IF(OR(BT796="---",BT796="--",BT796="+/--",BT796="+/---"),1,0)</f>
        <v>0</v>
      </c>
      <c r="BV796">
        <f>AY796*AO796*AQ796</f>
        <v>0</v>
      </c>
    </row>
    <row r="797" spans="1:74">
      <c r="A797" t="s">
        <v>86</v>
      </c>
      <c r="B797">
        <v>30490744</v>
      </c>
      <c r="C797" t="s">
        <v>203</v>
      </c>
      <c r="D797" t="s">
        <v>204</v>
      </c>
      <c r="E797" t="s">
        <v>428</v>
      </c>
      <c r="F797" t="s">
        <v>457</v>
      </c>
      <c r="G797" t="s">
        <v>463</v>
      </c>
      <c r="H797" t="s">
        <v>431</v>
      </c>
      <c r="I797" t="s">
        <v>432</v>
      </c>
      <c r="J797" t="s">
        <v>432</v>
      </c>
      <c r="K797">
        <v>0</v>
      </c>
      <c r="L797" t="s">
        <v>428</v>
      </c>
      <c r="M797" t="s">
        <v>428</v>
      </c>
      <c r="N797">
        <v>145637</v>
      </c>
      <c r="O797">
        <f>INDEX(AllCollegeBarrons,MATCH(N797,AllCollegeNCES,0))</f>
        <v>0</v>
      </c>
      <c r="P797">
        <f>INDEX(KidGPAs,MATCH(B797,KidIDs,0))</f>
        <v>0</v>
      </c>
      <c r="Q797">
        <f>INDEX(KidACTs,MATCH(B797,KidIDs,0))</f>
        <v>0</v>
      </c>
      <c r="R797">
        <f>INDEX(Strats,MATCH(B797,KidIDs,0))</f>
        <v>0</v>
      </c>
      <c r="S797">
        <f>INDEX(KidRace,MATCH(B797,KidIDs,0))</f>
        <v>0</v>
      </c>
      <c r="T797">
        <f>IF(OR(S797="M",S797="I"),"H",S797)</f>
        <v>0</v>
      </c>
      <c r="U797">
        <f>INDEX(StudentTargets,MATCH(B797,KidIDs,0))</f>
        <v>0</v>
      </c>
      <c r="V797">
        <f>INDEX(ReachStudentTargets,MATCH(B797,KidIDs,0))</f>
        <v>0</v>
      </c>
      <c r="W797">
        <f>IF(OR(M797="Posse"),1,0)</f>
        <v>0</v>
      </c>
      <c r="X797">
        <f>IF(ISNUMBER(INDEX(AllCollegeGR, MATCH(N797,AllCollegeNCES,0))),ROUND(INDEX(AllCollegeGR, MATCH(N797,AllCollegeNCES,0))+W797*IF(INDEX(AllCollegeGR, MATCH(N797,AllCollegeNCES,0))&gt;0.7,(1-INDEX(AllCollegeGR, MATCH(N797,AllCollegeNCES,0)))/2,0.15),2),INDEX(AllCollegeGR, MATCH(N797,AllCollegeNCES,0)))</f>
        <v>0</v>
      </c>
      <c r="Y797">
        <f>IF(ISNUMBER(INDEX(AllCollegeAAHGR, MATCH(N797,AllCollegeNCES,0))),ROUND(INDEX(AllCollegeAAHGR, MATCH(N797,AllCollegeNCES,0))+W797*IF(INDEX(AllCollegeAAHGR, MATCH(N797,AllCollegeNCES,0))&gt;0.7,(1-INDEX(AllCollegeAAHGR, MATCH(N797,AllCollegeNCES,0)))/2,0.15),2),INDEX(AllCollegeAAHGR, MATCH(N797,AllCollegeNCES,0)))</f>
        <v>0</v>
      </c>
      <c r="Z797">
        <f>IF(OR(T797="H",T797="B"),INDEX(AllCollegeACT25, MATCH(N797,AllCollegeNCES,0)),INDEX(AllCollegeACT50, MATCH(N797,AllCollegeNCES,0)))</f>
        <v>0</v>
      </c>
      <c r="AA797">
        <f>INDEX(CustomWeightsGPA,MATCH(T797&amp;":"&amp;N797,CustomWeightsIndex,0))</f>
        <v>0</v>
      </c>
      <c r="AB797">
        <f>INDEX(CustomWeightsACT,MATCH(T797&amp;":"&amp;N797,CustomWeightsIndex,0))</f>
        <v>0</v>
      </c>
      <c r="AC797">
        <f>INDEX(CustomWeightsIntercept,MATCH(T797&amp;":"&amp;N797,CustomWeightsIndex,0))</f>
        <v>0</v>
      </c>
      <c r="AD797">
        <f>AA797*P797+AB797*Q797+AC797</f>
        <v>0</v>
      </c>
      <c r="AE797">
        <f>INDEX(CoefficientsGPA,MATCH(T797&amp;":"&amp;O797,CoefficientsIndex,0))</f>
        <v>0</v>
      </c>
      <c r="AF797">
        <f>INDEX(CoefficientsACT,MATCH(T797&amp;":"&amp;O797,CoefficientsIndex,0))</f>
        <v>0</v>
      </c>
      <c r="AG797">
        <f>INDEX(CoefficientsIntercept,MATCH(T797&amp;":"&amp;O797,CoefficientsIndex,0))</f>
        <v>0</v>
      </c>
      <c r="AH797">
        <f>AE797*P797+(Q797-Z797)*AF797+AG797</f>
        <v>0</v>
      </c>
      <c r="AI797">
        <f>IF(ISNUMBER(AD797),AD797,AH797)</f>
        <v>0</v>
      </c>
      <c r="AJ797">
        <f>IF(ISNUMBER(AI797),IF(ISNUMBER(AE797),IF(AND(AE797=1,AF797=1,AG797=1),100,ROUND(100*EXP(AI797)/(1+EXP(AI797)),2)),ROUND(100*EXP(AI797)/(1+EXP(AI797)),2)),IF(ISTEXT(O797),IF(LEFT(O797,1)="2",100,"N/A"),"N/A"))</f>
        <v>0</v>
      </c>
      <c r="AK797">
        <f>IF(ISNUMBER(AJ797),IF(AJ797&gt;=99,IF(OR(R797=10,R797=11),MatchLabel,SureThingLabel),IF(AJ797&gt;=95,SecureLabel,IF(AJ797&gt;=80,SafetyLabel,IF(AJ797&gt;=50,MatchLabel,IF(AJ797&gt;=20,ReachLabel,IF(AJ797&gt;=10,LongshotLabel,HailMaryLabel)))))),"Other")</f>
        <v>0</v>
      </c>
      <c r="AL797">
        <f>IF(OR(I797="accepted",I797="cond. accept",I797="summer admit"),IF(J797="yes","CHOICE!","Accepted!"),IF(I797="denied","Denied",IF(K797=1,"Waitlist",IF(L797=1,"Deferred",IF(G797="pending","Pending",IF(OR(G797="initial materials submitted",G797="mid-year submitted",G797="final submitted"),"Submitted",IF(H797="interest","Interest","?")))))))</f>
        <v>0</v>
      </c>
      <c r="AM797">
        <f>IF(OR(AK797=ReachLabel,AK797=LongshotLabel,AK797=HailMaryLabel),1,0)</f>
        <v>0</v>
      </c>
      <c r="AN797">
        <f>IF(OR(AM797=1,AK797=MatchLabel),1,0)</f>
        <v>0</v>
      </c>
      <c r="AO797">
        <f>IF(OR(AK797=MatchLabel,AK797=SafetyLabel,AK797=SecureLabel,AK797=SureThingLabel),1,0)</f>
        <v>0</v>
      </c>
      <c r="AP797">
        <f>IF(OR(T797="H",T797="B"),IF(ISNUMBER(Y797),ROUND(Y797,2),0),IF(ISNUMBER(X797),ROUND(X797,2),0))</f>
        <v>0</v>
      </c>
      <c r="AQ797">
        <f>IF(AP797&gt;=U797,1,0)</f>
        <v>0</v>
      </c>
      <c r="AR797">
        <f>IF(AP797&gt;=V797,1,0)</f>
        <v>0</v>
      </c>
      <c r="AS797">
        <f>IF(AP797&lt;(U797-0.10),1,0)</f>
        <v>0</v>
      </c>
      <c r="AT797">
        <f>1-AJ797/100</f>
        <v>0</v>
      </c>
      <c r="AU797">
        <f>IF(AN797=1,AT797,1)</f>
        <v>0</v>
      </c>
      <c r="AV797">
        <f>IF(AM797=1,AT797,1)</f>
        <v>0</v>
      </c>
      <c r="AW797">
        <f>IF(AND(AQ797=1,ISNUMBER(AT797)),$AT797,1)</f>
        <v>0</v>
      </c>
      <c r="AX797">
        <f>IF(AND(AR797=1,ISNUMBER(AT797)),$AT797,1)</f>
        <v>0</v>
      </c>
      <c r="AY797">
        <f>IF(ISNUMBER(Y797),INDEX(AllCollegeMoney, MATCH(N797,AllCollegeNCES,0)),0)</f>
        <v>0</v>
      </c>
      <c r="AZ797">
        <f>IF(AND(AQ797=1,ISNUMBER(AT797),AY797=1),$AT797,1)</f>
        <v>0</v>
      </c>
      <c r="BA797">
        <f>IF(AND(AR797=1,ISNUMBER(AT797),AY797=1),$AT797,1)</f>
        <v>0</v>
      </c>
      <c r="BB797">
        <f>IF(ISNUMBER(Y797),INDEX(AllCollegeILPub, MATCH(N797,AllCollegeNCES,0)),0)</f>
        <v>0</v>
      </c>
      <c r="BC797">
        <f>IF(AK797=ReachLabel,AP797,0)</f>
        <v>0</v>
      </c>
      <c r="BD797">
        <f>IF(AK797=MatchLabel,AP797,0)</f>
        <v>0</v>
      </c>
      <c r="BE797">
        <f>IF(AK797=SafetyLabel,AP797,0)</f>
        <v>0</v>
      </c>
      <c r="BF797">
        <f>IF(AK797=SecureLabel,AP797,0)</f>
        <v>0</v>
      </c>
      <c r="BG797">
        <f>IF(AK797=SureThingLabel,AP797,0)</f>
        <v>0</v>
      </c>
      <c r="BH797">
        <f>MAX(BC797:BG797)</f>
        <v>0</v>
      </c>
      <c r="BI797">
        <f>MAX(BD797:BG797)</f>
        <v>0</v>
      </c>
      <c r="BJ797">
        <f>MAX(BE797:BG797)</f>
        <v>0</v>
      </c>
      <c r="BK797">
        <f>IF(AND(AK797=ReachLabel,AY797=1),AP797,0)</f>
        <v>0</v>
      </c>
      <c r="BL797">
        <f>IF(AND(AK797=MatchLabel,AY797=1),AP797,0)</f>
        <v>0</v>
      </c>
      <c r="BM797">
        <f>IF(AND(AK797=SafetyLabel,AY797=1),AP797,0)</f>
        <v>0</v>
      </c>
      <c r="BN797">
        <f>IF(AND(AK797=SecureLabel,AY797=1),AP797,0)</f>
        <v>0</v>
      </c>
      <c r="BO797">
        <f>IF(AND(AK797=SureThingLabel,AY797=1),AP797,0)</f>
        <v>0</v>
      </c>
      <c r="BP797">
        <f>MAX(BK797:BO797)</f>
        <v>0</v>
      </c>
      <c r="BQ797">
        <f>MAX(BL797:BO797)</f>
        <v>0</v>
      </c>
      <c r="BR797">
        <f>MAX(BM797:BO797)</f>
        <v>0</v>
      </c>
      <c r="BS797">
        <f>IF(ISNUMBER(Y797),INDEX(AllCollegeChicago, MATCH(N797,AllCollegeNCES,0))*AY797,0)</f>
        <v>0</v>
      </c>
      <c r="BT797">
        <f>IF(ISNUMBER(Y797),INDEX(AllCollegeMoneyCode, MATCH(N797,AllCollegeNCES,0)),"?")</f>
        <v>0</v>
      </c>
      <c r="BU797">
        <f>IF(OR(BT797="---",BT797="--",BT797="+/--",BT797="+/---"),1,0)</f>
        <v>0</v>
      </c>
      <c r="BV797">
        <f>AY797*AO797*AQ797</f>
        <v>0</v>
      </c>
    </row>
    <row r="798" spans="1:74">
      <c r="A798" t="s">
        <v>86</v>
      </c>
      <c r="B798">
        <v>30490744</v>
      </c>
      <c r="C798" t="s">
        <v>203</v>
      </c>
      <c r="D798" t="s">
        <v>204</v>
      </c>
      <c r="E798" t="s">
        <v>428</v>
      </c>
      <c r="F798" t="s">
        <v>459</v>
      </c>
      <c r="G798" t="s">
        <v>463</v>
      </c>
      <c r="H798" t="s">
        <v>431</v>
      </c>
      <c r="I798" t="s">
        <v>432</v>
      </c>
      <c r="J798" t="s">
        <v>432</v>
      </c>
      <c r="K798">
        <v>0</v>
      </c>
      <c r="L798" t="s">
        <v>428</v>
      </c>
      <c r="M798" t="s">
        <v>428</v>
      </c>
      <c r="N798">
        <v>146427</v>
      </c>
      <c r="O798">
        <f>INDEX(AllCollegeBarrons,MATCH(N798,AllCollegeNCES,0))</f>
        <v>0</v>
      </c>
      <c r="P798">
        <f>INDEX(KidGPAs,MATCH(B798,KidIDs,0))</f>
        <v>0</v>
      </c>
      <c r="Q798">
        <f>INDEX(KidACTs,MATCH(B798,KidIDs,0))</f>
        <v>0</v>
      </c>
      <c r="R798">
        <f>INDEX(Strats,MATCH(B798,KidIDs,0))</f>
        <v>0</v>
      </c>
      <c r="S798">
        <f>INDEX(KidRace,MATCH(B798,KidIDs,0))</f>
        <v>0</v>
      </c>
      <c r="T798">
        <f>IF(OR(S798="M",S798="I"),"H",S798)</f>
        <v>0</v>
      </c>
      <c r="U798">
        <f>INDEX(StudentTargets,MATCH(B798,KidIDs,0))</f>
        <v>0</v>
      </c>
      <c r="V798">
        <f>INDEX(ReachStudentTargets,MATCH(B798,KidIDs,0))</f>
        <v>0</v>
      </c>
      <c r="W798">
        <f>IF(OR(M798="Posse"),1,0)</f>
        <v>0</v>
      </c>
      <c r="X798">
        <f>IF(ISNUMBER(INDEX(AllCollegeGR, MATCH(N798,AllCollegeNCES,0))),ROUND(INDEX(AllCollegeGR, MATCH(N798,AllCollegeNCES,0))+W798*IF(INDEX(AllCollegeGR, MATCH(N798,AllCollegeNCES,0))&gt;0.7,(1-INDEX(AllCollegeGR, MATCH(N798,AllCollegeNCES,0)))/2,0.15),2),INDEX(AllCollegeGR, MATCH(N798,AllCollegeNCES,0)))</f>
        <v>0</v>
      </c>
      <c r="Y798">
        <f>IF(ISNUMBER(INDEX(AllCollegeAAHGR, MATCH(N798,AllCollegeNCES,0))),ROUND(INDEX(AllCollegeAAHGR, MATCH(N798,AllCollegeNCES,0))+W798*IF(INDEX(AllCollegeAAHGR, MATCH(N798,AllCollegeNCES,0))&gt;0.7,(1-INDEX(AllCollegeAAHGR, MATCH(N798,AllCollegeNCES,0)))/2,0.15),2),INDEX(AllCollegeAAHGR, MATCH(N798,AllCollegeNCES,0)))</f>
        <v>0</v>
      </c>
      <c r="Z798">
        <f>IF(OR(T798="H",T798="B"),INDEX(AllCollegeACT25, MATCH(N798,AllCollegeNCES,0)),INDEX(AllCollegeACT50, MATCH(N798,AllCollegeNCES,0)))</f>
        <v>0</v>
      </c>
      <c r="AA798">
        <f>INDEX(CustomWeightsGPA,MATCH(T798&amp;":"&amp;N798,CustomWeightsIndex,0))</f>
        <v>0</v>
      </c>
      <c r="AB798">
        <f>INDEX(CustomWeightsACT,MATCH(T798&amp;":"&amp;N798,CustomWeightsIndex,0))</f>
        <v>0</v>
      </c>
      <c r="AC798">
        <f>INDEX(CustomWeightsIntercept,MATCH(T798&amp;":"&amp;N798,CustomWeightsIndex,0))</f>
        <v>0</v>
      </c>
      <c r="AD798">
        <f>AA798*P798+AB798*Q798+AC798</f>
        <v>0</v>
      </c>
      <c r="AE798">
        <f>INDEX(CoefficientsGPA,MATCH(T798&amp;":"&amp;O798,CoefficientsIndex,0))</f>
        <v>0</v>
      </c>
      <c r="AF798">
        <f>INDEX(CoefficientsACT,MATCH(T798&amp;":"&amp;O798,CoefficientsIndex,0))</f>
        <v>0</v>
      </c>
      <c r="AG798">
        <f>INDEX(CoefficientsIntercept,MATCH(T798&amp;":"&amp;O798,CoefficientsIndex,0))</f>
        <v>0</v>
      </c>
      <c r="AH798">
        <f>AE798*P798+(Q798-Z798)*AF798+AG798</f>
        <v>0</v>
      </c>
      <c r="AI798">
        <f>IF(ISNUMBER(AD798),AD798,AH798)</f>
        <v>0</v>
      </c>
      <c r="AJ798">
        <f>IF(ISNUMBER(AI798),IF(ISNUMBER(AE798),IF(AND(AE798=1,AF798=1,AG798=1),100,ROUND(100*EXP(AI798)/(1+EXP(AI798)),2)),ROUND(100*EXP(AI798)/(1+EXP(AI798)),2)),IF(ISTEXT(O798),IF(LEFT(O798,1)="2",100,"N/A"),"N/A"))</f>
        <v>0</v>
      </c>
      <c r="AK798">
        <f>IF(ISNUMBER(AJ798),IF(AJ798&gt;=99,IF(OR(R798=10,R798=11),MatchLabel,SureThingLabel),IF(AJ798&gt;=95,SecureLabel,IF(AJ798&gt;=80,SafetyLabel,IF(AJ798&gt;=50,MatchLabel,IF(AJ798&gt;=20,ReachLabel,IF(AJ798&gt;=10,LongshotLabel,HailMaryLabel)))))),"Other")</f>
        <v>0</v>
      </c>
      <c r="AL798">
        <f>IF(OR(I798="accepted",I798="cond. accept",I798="summer admit"),IF(J798="yes","CHOICE!","Accepted!"),IF(I798="denied","Denied",IF(K798=1,"Waitlist",IF(L798=1,"Deferred",IF(G798="pending","Pending",IF(OR(G798="initial materials submitted",G798="mid-year submitted",G798="final submitted"),"Submitted",IF(H798="interest","Interest","?")))))))</f>
        <v>0</v>
      </c>
      <c r="AM798">
        <f>IF(OR(AK798=ReachLabel,AK798=LongshotLabel,AK798=HailMaryLabel),1,0)</f>
        <v>0</v>
      </c>
      <c r="AN798">
        <f>IF(OR(AM798=1,AK798=MatchLabel),1,0)</f>
        <v>0</v>
      </c>
      <c r="AO798">
        <f>IF(OR(AK798=MatchLabel,AK798=SafetyLabel,AK798=SecureLabel,AK798=SureThingLabel),1,0)</f>
        <v>0</v>
      </c>
      <c r="AP798">
        <f>IF(OR(T798="H",T798="B"),IF(ISNUMBER(Y798),ROUND(Y798,2),0),IF(ISNUMBER(X798),ROUND(X798,2),0))</f>
        <v>0</v>
      </c>
      <c r="AQ798">
        <f>IF(AP798&gt;=U798,1,0)</f>
        <v>0</v>
      </c>
      <c r="AR798">
        <f>IF(AP798&gt;=V798,1,0)</f>
        <v>0</v>
      </c>
      <c r="AS798">
        <f>IF(AP798&lt;(U798-0.10),1,0)</f>
        <v>0</v>
      </c>
      <c r="AT798">
        <f>1-AJ798/100</f>
        <v>0</v>
      </c>
      <c r="AU798">
        <f>IF(AN798=1,AT798,1)</f>
        <v>0</v>
      </c>
      <c r="AV798">
        <f>IF(AM798=1,AT798,1)</f>
        <v>0</v>
      </c>
      <c r="AW798">
        <f>IF(AND(AQ798=1,ISNUMBER(AT798)),$AT798,1)</f>
        <v>0</v>
      </c>
      <c r="AX798">
        <f>IF(AND(AR798=1,ISNUMBER(AT798)),$AT798,1)</f>
        <v>0</v>
      </c>
      <c r="AY798">
        <f>IF(ISNUMBER(Y798),INDEX(AllCollegeMoney, MATCH(N798,AllCollegeNCES,0)),0)</f>
        <v>0</v>
      </c>
      <c r="AZ798">
        <f>IF(AND(AQ798=1,ISNUMBER(AT798),AY798=1),$AT798,1)</f>
        <v>0</v>
      </c>
      <c r="BA798">
        <f>IF(AND(AR798=1,ISNUMBER(AT798),AY798=1),$AT798,1)</f>
        <v>0</v>
      </c>
      <c r="BB798">
        <f>IF(ISNUMBER(Y798),INDEX(AllCollegeILPub, MATCH(N798,AllCollegeNCES,0)),0)</f>
        <v>0</v>
      </c>
      <c r="BC798">
        <f>IF(AK798=ReachLabel,AP798,0)</f>
        <v>0</v>
      </c>
      <c r="BD798">
        <f>IF(AK798=MatchLabel,AP798,0)</f>
        <v>0</v>
      </c>
      <c r="BE798">
        <f>IF(AK798=SafetyLabel,AP798,0)</f>
        <v>0</v>
      </c>
      <c r="BF798">
        <f>IF(AK798=SecureLabel,AP798,0)</f>
        <v>0</v>
      </c>
      <c r="BG798">
        <f>IF(AK798=SureThingLabel,AP798,0)</f>
        <v>0</v>
      </c>
      <c r="BH798">
        <f>MAX(BC798:BG798)</f>
        <v>0</v>
      </c>
      <c r="BI798">
        <f>MAX(BD798:BG798)</f>
        <v>0</v>
      </c>
      <c r="BJ798">
        <f>MAX(BE798:BG798)</f>
        <v>0</v>
      </c>
      <c r="BK798">
        <f>IF(AND(AK798=ReachLabel,AY798=1),AP798,0)</f>
        <v>0</v>
      </c>
      <c r="BL798">
        <f>IF(AND(AK798=MatchLabel,AY798=1),AP798,0)</f>
        <v>0</v>
      </c>
      <c r="BM798">
        <f>IF(AND(AK798=SafetyLabel,AY798=1),AP798,0)</f>
        <v>0</v>
      </c>
      <c r="BN798">
        <f>IF(AND(AK798=SecureLabel,AY798=1),AP798,0)</f>
        <v>0</v>
      </c>
      <c r="BO798">
        <f>IF(AND(AK798=SureThingLabel,AY798=1),AP798,0)</f>
        <v>0</v>
      </c>
      <c r="BP798">
        <f>MAX(BK798:BO798)</f>
        <v>0</v>
      </c>
      <c r="BQ798">
        <f>MAX(BL798:BO798)</f>
        <v>0</v>
      </c>
      <c r="BR798">
        <f>MAX(BM798:BO798)</f>
        <v>0</v>
      </c>
      <c r="BS798">
        <f>IF(ISNUMBER(Y798),INDEX(AllCollegeChicago, MATCH(N798,AllCollegeNCES,0))*AY798,0)</f>
        <v>0</v>
      </c>
      <c r="BT798">
        <f>IF(ISNUMBER(Y798),INDEX(AllCollegeMoneyCode, MATCH(N798,AllCollegeNCES,0)),"?")</f>
        <v>0</v>
      </c>
      <c r="BU798">
        <f>IF(OR(BT798="---",BT798="--",BT798="+/--",BT798="+/---"),1,0)</f>
        <v>0</v>
      </c>
      <c r="BV798">
        <f>AY798*AO798*AQ798</f>
        <v>0</v>
      </c>
    </row>
    <row r="799" spans="1:74">
      <c r="A799" t="s">
        <v>86</v>
      </c>
      <c r="B799">
        <v>30490744</v>
      </c>
      <c r="C799" t="s">
        <v>203</v>
      </c>
      <c r="D799" t="s">
        <v>204</v>
      </c>
      <c r="E799" t="s">
        <v>428</v>
      </c>
      <c r="F799" t="s">
        <v>508</v>
      </c>
      <c r="G799" t="s">
        <v>463</v>
      </c>
      <c r="H799" t="s">
        <v>431</v>
      </c>
      <c r="I799" t="s">
        <v>432</v>
      </c>
      <c r="J799" t="s">
        <v>432</v>
      </c>
      <c r="K799">
        <v>0</v>
      </c>
      <c r="L799" t="s">
        <v>428</v>
      </c>
      <c r="M799" t="s">
        <v>428</v>
      </c>
      <c r="N799">
        <v>209056</v>
      </c>
      <c r="O799">
        <f>INDEX(AllCollegeBarrons,MATCH(N799,AllCollegeNCES,0))</f>
        <v>0</v>
      </c>
      <c r="P799">
        <f>INDEX(KidGPAs,MATCH(B799,KidIDs,0))</f>
        <v>0</v>
      </c>
      <c r="Q799">
        <f>INDEX(KidACTs,MATCH(B799,KidIDs,0))</f>
        <v>0</v>
      </c>
      <c r="R799">
        <f>INDEX(Strats,MATCH(B799,KidIDs,0))</f>
        <v>0</v>
      </c>
      <c r="S799">
        <f>INDEX(KidRace,MATCH(B799,KidIDs,0))</f>
        <v>0</v>
      </c>
      <c r="T799">
        <f>IF(OR(S799="M",S799="I"),"H",S799)</f>
        <v>0</v>
      </c>
      <c r="U799">
        <f>INDEX(StudentTargets,MATCH(B799,KidIDs,0))</f>
        <v>0</v>
      </c>
      <c r="V799">
        <f>INDEX(ReachStudentTargets,MATCH(B799,KidIDs,0))</f>
        <v>0</v>
      </c>
      <c r="W799">
        <f>IF(OR(M799="Posse"),1,0)</f>
        <v>0</v>
      </c>
      <c r="X799">
        <f>IF(ISNUMBER(INDEX(AllCollegeGR, MATCH(N799,AllCollegeNCES,0))),ROUND(INDEX(AllCollegeGR, MATCH(N799,AllCollegeNCES,0))+W799*IF(INDEX(AllCollegeGR, MATCH(N799,AllCollegeNCES,0))&gt;0.7,(1-INDEX(AllCollegeGR, MATCH(N799,AllCollegeNCES,0)))/2,0.15),2),INDEX(AllCollegeGR, MATCH(N799,AllCollegeNCES,0)))</f>
        <v>0</v>
      </c>
      <c r="Y799">
        <f>IF(ISNUMBER(INDEX(AllCollegeAAHGR, MATCH(N799,AllCollegeNCES,0))),ROUND(INDEX(AllCollegeAAHGR, MATCH(N799,AllCollegeNCES,0))+W799*IF(INDEX(AllCollegeAAHGR, MATCH(N799,AllCollegeNCES,0))&gt;0.7,(1-INDEX(AllCollegeAAHGR, MATCH(N799,AllCollegeNCES,0)))/2,0.15),2),INDEX(AllCollegeAAHGR, MATCH(N799,AllCollegeNCES,0)))</f>
        <v>0</v>
      </c>
      <c r="Z799">
        <f>IF(OR(T799="H",T799="B"),INDEX(AllCollegeACT25, MATCH(N799,AllCollegeNCES,0)),INDEX(AllCollegeACT50, MATCH(N799,AllCollegeNCES,0)))</f>
        <v>0</v>
      </c>
      <c r="AA799">
        <f>INDEX(CustomWeightsGPA,MATCH(T799&amp;":"&amp;N799,CustomWeightsIndex,0))</f>
        <v>0</v>
      </c>
      <c r="AB799">
        <f>INDEX(CustomWeightsACT,MATCH(T799&amp;":"&amp;N799,CustomWeightsIndex,0))</f>
        <v>0</v>
      </c>
      <c r="AC799">
        <f>INDEX(CustomWeightsIntercept,MATCH(T799&amp;":"&amp;N799,CustomWeightsIndex,0))</f>
        <v>0</v>
      </c>
      <c r="AD799">
        <f>AA799*P799+AB799*Q799+AC799</f>
        <v>0</v>
      </c>
      <c r="AE799">
        <f>INDEX(CoefficientsGPA,MATCH(T799&amp;":"&amp;O799,CoefficientsIndex,0))</f>
        <v>0</v>
      </c>
      <c r="AF799">
        <f>INDEX(CoefficientsACT,MATCH(T799&amp;":"&amp;O799,CoefficientsIndex,0))</f>
        <v>0</v>
      </c>
      <c r="AG799">
        <f>INDEX(CoefficientsIntercept,MATCH(T799&amp;":"&amp;O799,CoefficientsIndex,0))</f>
        <v>0</v>
      </c>
      <c r="AH799">
        <f>AE799*P799+(Q799-Z799)*AF799+AG799</f>
        <v>0</v>
      </c>
      <c r="AI799">
        <f>IF(ISNUMBER(AD799),AD799,AH799)</f>
        <v>0</v>
      </c>
      <c r="AJ799">
        <f>IF(ISNUMBER(AI799),IF(ISNUMBER(AE799),IF(AND(AE799=1,AF799=1,AG799=1),100,ROUND(100*EXP(AI799)/(1+EXP(AI799)),2)),ROUND(100*EXP(AI799)/(1+EXP(AI799)),2)),IF(ISTEXT(O799),IF(LEFT(O799,1)="2",100,"N/A"),"N/A"))</f>
        <v>0</v>
      </c>
      <c r="AK799">
        <f>IF(ISNUMBER(AJ799),IF(AJ799&gt;=99,IF(OR(R799=10,R799=11),MatchLabel,SureThingLabel),IF(AJ799&gt;=95,SecureLabel,IF(AJ799&gt;=80,SafetyLabel,IF(AJ799&gt;=50,MatchLabel,IF(AJ799&gt;=20,ReachLabel,IF(AJ799&gt;=10,LongshotLabel,HailMaryLabel)))))),"Other")</f>
        <v>0</v>
      </c>
      <c r="AL799">
        <f>IF(OR(I799="accepted",I799="cond. accept",I799="summer admit"),IF(J799="yes","CHOICE!","Accepted!"),IF(I799="denied","Denied",IF(K799=1,"Waitlist",IF(L799=1,"Deferred",IF(G799="pending","Pending",IF(OR(G799="initial materials submitted",G799="mid-year submitted",G799="final submitted"),"Submitted",IF(H799="interest","Interest","?")))))))</f>
        <v>0</v>
      </c>
      <c r="AM799">
        <f>IF(OR(AK799=ReachLabel,AK799=LongshotLabel,AK799=HailMaryLabel),1,0)</f>
        <v>0</v>
      </c>
      <c r="AN799">
        <f>IF(OR(AM799=1,AK799=MatchLabel),1,0)</f>
        <v>0</v>
      </c>
      <c r="AO799">
        <f>IF(OR(AK799=MatchLabel,AK799=SafetyLabel,AK799=SecureLabel,AK799=SureThingLabel),1,0)</f>
        <v>0</v>
      </c>
      <c r="AP799">
        <f>IF(OR(T799="H",T799="B"),IF(ISNUMBER(Y799),ROUND(Y799,2),0),IF(ISNUMBER(X799),ROUND(X799,2),0))</f>
        <v>0</v>
      </c>
      <c r="AQ799">
        <f>IF(AP799&gt;=U799,1,0)</f>
        <v>0</v>
      </c>
      <c r="AR799">
        <f>IF(AP799&gt;=V799,1,0)</f>
        <v>0</v>
      </c>
      <c r="AS799">
        <f>IF(AP799&lt;(U799-0.10),1,0)</f>
        <v>0</v>
      </c>
      <c r="AT799">
        <f>1-AJ799/100</f>
        <v>0</v>
      </c>
      <c r="AU799">
        <f>IF(AN799=1,AT799,1)</f>
        <v>0</v>
      </c>
      <c r="AV799">
        <f>IF(AM799=1,AT799,1)</f>
        <v>0</v>
      </c>
      <c r="AW799">
        <f>IF(AND(AQ799=1,ISNUMBER(AT799)),$AT799,1)</f>
        <v>0</v>
      </c>
      <c r="AX799">
        <f>IF(AND(AR799=1,ISNUMBER(AT799)),$AT799,1)</f>
        <v>0</v>
      </c>
      <c r="AY799">
        <f>IF(ISNUMBER(Y799),INDEX(AllCollegeMoney, MATCH(N799,AllCollegeNCES,0)),0)</f>
        <v>0</v>
      </c>
      <c r="AZ799">
        <f>IF(AND(AQ799=1,ISNUMBER(AT799),AY799=1),$AT799,1)</f>
        <v>0</v>
      </c>
      <c r="BA799">
        <f>IF(AND(AR799=1,ISNUMBER(AT799),AY799=1),$AT799,1)</f>
        <v>0</v>
      </c>
      <c r="BB799">
        <f>IF(ISNUMBER(Y799),INDEX(AllCollegeILPub, MATCH(N799,AllCollegeNCES,0)),0)</f>
        <v>0</v>
      </c>
      <c r="BC799">
        <f>IF(AK799=ReachLabel,AP799,0)</f>
        <v>0</v>
      </c>
      <c r="BD799">
        <f>IF(AK799=MatchLabel,AP799,0)</f>
        <v>0</v>
      </c>
      <c r="BE799">
        <f>IF(AK799=SafetyLabel,AP799,0)</f>
        <v>0</v>
      </c>
      <c r="BF799">
        <f>IF(AK799=SecureLabel,AP799,0)</f>
        <v>0</v>
      </c>
      <c r="BG799">
        <f>IF(AK799=SureThingLabel,AP799,0)</f>
        <v>0</v>
      </c>
      <c r="BH799">
        <f>MAX(BC799:BG799)</f>
        <v>0</v>
      </c>
      <c r="BI799">
        <f>MAX(BD799:BG799)</f>
        <v>0</v>
      </c>
      <c r="BJ799">
        <f>MAX(BE799:BG799)</f>
        <v>0</v>
      </c>
      <c r="BK799">
        <f>IF(AND(AK799=ReachLabel,AY799=1),AP799,0)</f>
        <v>0</v>
      </c>
      <c r="BL799">
        <f>IF(AND(AK799=MatchLabel,AY799=1),AP799,0)</f>
        <v>0</v>
      </c>
      <c r="BM799">
        <f>IF(AND(AK799=SafetyLabel,AY799=1),AP799,0)</f>
        <v>0</v>
      </c>
      <c r="BN799">
        <f>IF(AND(AK799=SecureLabel,AY799=1),AP799,0)</f>
        <v>0</v>
      </c>
      <c r="BO799">
        <f>IF(AND(AK799=SureThingLabel,AY799=1),AP799,0)</f>
        <v>0</v>
      </c>
      <c r="BP799">
        <f>MAX(BK799:BO799)</f>
        <v>0</v>
      </c>
      <c r="BQ799">
        <f>MAX(BL799:BO799)</f>
        <v>0</v>
      </c>
      <c r="BR799">
        <f>MAX(BM799:BO799)</f>
        <v>0</v>
      </c>
      <c r="BS799">
        <f>IF(ISNUMBER(Y799),INDEX(AllCollegeChicago, MATCH(N799,AllCollegeNCES,0))*AY799,0)</f>
        <v>0</v>
      </c>
      <c r="BT799">
        <f>IF(ISNUMBER(Y799),INDEX(AllCollegeMoneyCode, MATCH(N799,AllCollegeNCES,0)),"?")</f>
        <v>0</v>
      </c>
      <c r="BU799">
        <f>IF(OR(BT799="---",BT799="--",BT799="+/--",BT799="+/---"),1,0)</f>
        <v>0</v>
      </c>
      <c r="BV799">
        <f>AY799*AO799*AQ799</f>
        <v>0</v>
      </c>
    </row>
    <row r="800" spans="1:74">
      <c r="A800" t="s">
        <v>86</v>
      </c>
      <c r="B800">
        <v>30490744</v>
      </c>
      <c r="C800" t="s">
        <v>203</v>
      </c>
      <c r="D800" t="s">
        <v>204</v>
      </c>
      <c r="E800" t="s">
        <v>428</v>
      </c>
      <c r="F800" t="s">
        <v>584</v>
      </c>
      <c r="G800" t="s">
        <v>463</v>
      </c>
      <c r="H800" t="s">
        <v>431</v>
      </c>
      <c r="I800" t="s">
        <v>432</v>
      </c>
      <c r="J800" t="s">
        <v>432</v>
      </c>
      <c r="K800">
        <v>0</v>
      </c>
      <c r="L800" t="s">
        <v>428</v>
      </c>
      <c r="M800" t="s">
        <v>428</v>
      </c>
      <c r="N800">
        <v>122612</v>
      </c>
      <c r="O800">
        <f>INDEX(AllCollegeBarrons,MATCH(N800,AllCollegeNCES,0))</f>
        <v>0</v>
      </c>
      <c r="P800">
        <f>INDEX(KidGPAs,MATCH(B800,KidIDs,0))</f>
        <v>0</v>
      </c>
      <c r="Q800">
        <f>INDEX(KidACTs,MATCH(B800,KidIDs,0))</f>
        <v>0</v>
      </c>
      <c r="R800">
        <f>INDEX(Strats,MATCH(B800,KidIDs,0))</f>
        <v>0</v>
      </c>
      <c r="S800">
        <f>INDEX(KidRace,MATCH(B800,KidIDs,0))</f>
        <v>0</v>
      </c>
      <c r="T800">
        <f>IF(OR(S800="M",S800="I"),"H",S800)</f>
        <v>0</v>
      </c>
      <c r="U800">
        <f>INDEX(StudentTargets,MATCH(B800,KidIDs,0))</f>
        <v>0</v>
      </c>
      <c r="V800">
        <f>INDEX(ReachStudentTargets,MATCH(B800,KidIDs,0))</f>
        <v>0</v>
      </c>
      <c r="W800">
        <f>IF(OR(M800="Posse"),1,0)</f>
        <v>0</v>
      </c>
      <c r="X800">
        <f>IF(ISNUMBER(INDEX(AllCollegeGR, MATCH(N800,AllCollegeNCES,0))),ROUND(INDEX(AllCollegeGR, MATCH(N800,AllCollegeNCES,0))+W800*IF(INDEX(AllCollegeGR, MATCH(N800,AllCollegeNCES,0))&gt;0.7,(1-INDEX(AllCollegeGR, MATCH(N800,AllCollegeNCES,0)))/2,0.15),2),INDEX(AllCollegeGR, MATCH(N800,AllCollegeNCES,0)))</f>
        <v>0</v>
      </c>
      <c r="Y800">
        <f>IF(ISNUMBER(INDEX(AllCollegeAAHGR, MATCH(N800,AllCollegeNCES,0))),ROUND(INDEX(AllCollegeAAHGR, MATCH(N800,AllCollegeNCES,0))+W800*IF(INDEX(AllCollegeAAHGR, MATCH(N800,AllCollegeNCES,0))&gt;0.7,(1-INDEX(AllCollegeAAHGR, MATCH(N800,AllCollegeNCES,0)))/2,0.15),2),INDEX(AllCollegeAAHGR, MATCH(N800,AllCollegeNCES,0)))</f>
        <v>0</v>
      </c>
      <c r="Z800">
        <f>IF(OR(T800="H",T800="B"),INDEX(AllCollegeACT25, MATCH(N800,AllCollegeNCES,0)),INDEX(AllCollegeACT50, MATCH(N800,AllCollegeNCES,0)))</f>
        <v>0</v>
      </c>
      <c r="AA800">
        <f>INDEX(CustomWeightsGPA,MATCH(T800&amp;":"&amp;N800,CustomWeightsIndex,0))</f>
        <v>0</v>
      </c>
      <c r="AB800">
        <f>INDEX(CustomWeightsACT,MATCH(T800&amp;":"&amp;N800,CustomWeightsIndex,0))</f>
        <v>0</v>
      </c>
      <c r="AC800">
        <f>INDEX(CustomWeightsIntercept,MATCH(T800&amp;":"&amp;N800,CustomWeightsIndex,0))</f>
        <v>0</v>
      </c>
      <c r="AD800">
        <f>AA800*P800+AB800*Q800+AC800</f>
        <v>0</v>
      </c>
      <c r="AE800">
        <f>INDEX(CoefficientsGPA,MATCH(T800&amp;":"&amp;O800,CoefficientsIndex,0))</f>
        <v>0</v>
      </c>
      <c r="AF800">
        <f>INDEX(CoefficientsACT,MATCH(T800&amp;":"&amp;O800,CoefficientsIndex,0))</f>
        <v>0</v>
      </c>
      <c r="AG800">
        <f>INDEX(CoefficientsIntercept,MATCH(T800&amp;":"&amp;O800,CoefficientsIndex,0))</f>
        <v>0</v>
      </c>
      <c r="AH800">
        <f>AE800*P800+(Q800-Z800)*AF800+AG800</f>
        <v>0</v>
      </c>
      <c r="AI800">
        <f>IF(ISNUMBER(AD800),AD800,AH800)</f>
        <v>0</v>
      </c>
      <c r="AJ800">
        <f>IF(ISNUMBER(AI800),IF(ISNUMBER(AE800),IF(AND(AE800=1,AF800=1,AG800=1),100,ROUND(100*EXP(AI800)/(1+EXP(AI800)),2)),ROUND(100*EXP(AI800)/(1+EXP(AI800)),2)),IF(ISTEXT(O800),IF(LEFT(O800,1)="2",100,"N/A"),"N/A"))</f>
        <v>0</v>
      </c>
      <c r="AK800">
        <f>IF(ISNUMBER(AJ800),IF(AJ800&gt;=99,IF(OR(R800=10,R800=11),MatchLabel,SureThingLabel),IF(AJ800&gt;=95,SecureLabel,IF(AJ800&gt;=80,SafetyLabel,IF(AJ800&gt;=50,MatchLabel,IF(AJ800&gt;=20,ReachLabel,IF(AJ800&gt;=10,LongshotLabel,HailMaryLabel)))))),"Other")</f>
        <v>0</v>
      </c>
      <c r="AL800">
        <f>IF(OR(I800="accepted",I800="cond. accept",I800="summer admit"),IF(J800="yes","CHOICE!","Accepted!"),IF(I800="denied","Denied",IF(K800=1,"Waitlist",IF(L800=1,"Deferred",IF(G800="pending","Pending",IF(OR(G800="initial materials submitted",G800="mid-year submitted",G800="final submitted"),"Submitted",IF(H800="interest","Interest","?")))))))</f>
        <v>0</v>
      </c>
      <c r="AM800">
        <f>IF(OR(AK800=ReachLabel,AK800=LongshotLabel,AK800=HailMaryLabel),1,0)</f>
        <v>0</v>
      </c>
      <c r="AN800">
        <f>IF(OR(AM800=1,AK800=MatchLabel),1,0)</f>
        <v>0</v>
      </c>
      <c r="AO800">
        <f>IF(OR(AK800=MatchLabel,AK800=SafetyLabel,AK800=SecureLabel,AK800=SureThingLabel),1,0)</f>
        <v>0</v>
      </c>
      <c r="AP800">
        <f>IF(OR(T800="H",T800="B"),IF(ISNUMBER(Y800),ROUND(Y800,2),0),IF(ISNUMBER(X800),ROUND(X800,2),0))</f>
        <v>0</v>
      </c>
      <c r="AQ800">
        <f>IF(AP800&gt;=U800,1,0)</f>
        <v>0</v>
      </c>
      <c r="AR800">
        <f>IF(AP800&gt;=V800,1,0)</f>
        <v>0</v>
      </c>
      <c r="AS800">
        <f>IF(AP800&lt;(U800-0.10),1,0)</f>
        <v>0</v>
      </c>
      <c r="AT800">
        <f>1-AJ800/100</f>
        <v>0</v>
      </c>
      <c r="AU800">
        <f>IF(AN800=1,AT800,1)</f>
        <v>0</v>
      </c>
      <c r="AV800">
        <f>IF(AM800=1,AT800,1)</f>
        <v>0</v>
      </c>
      <c r="AW800">
        <f>IF(AND(AQ800=1,ISNUMBER(AT800)),$AT800,1)</f>
        <v>0</v>
      </c>
      <c r="AX800">
        <f>IF(AND(AR800=1,ISNUMBER(AT800)),$AT800,1)</f>
        <v>0</v>
      </c>
      <c r="AY800">
        <f>IF(ISNUMBER(Y800),INDEX(AllCollegeMoney, MATCH(N800,AllCollegeNCES,0)),0)</f>
        <v>0</v>
      </c>
      <c r="AZ800">
        <f>IF(AND(AQ800=1,ISNUMBER(AT800),AY800=1),$AT800,1)</f>
        <v>0</v>
      </c>
      <c r="BA800">
        <f>IF(AND(AR800=1,ISNUMBER(AT800),AY800=1),$AT800,1)</f>
        <v>0</v>
      </c>
      <c r="BB800">
        <f>IF(ISNUMBER(Y800),INDEX(AllCollegeILPub, MATCH(N800,AllCollegeNCES,0)),0)</f>
        <v>0</v>
      </c>
      <c r="BC800">
        <f>IF(AK800=ReachLabel,AP800,0)</f>
        <v>0</v>
      </c>
      <c r="BD800">
        <f>IF(AK800=MatchLabel,AP800,0)</f>
        <v>0</v>
      </c>
      <c r="BE800">
        <f>IF(AK800=SafetyLabel,AP800,0)</f>
        <v>0</v>
      </c>
      <c r="BF800">
        <f>IF(AK800=SecureLabel,AP800,0)</f>
        <v>0</v>
      </c>
      <c r="BG800">
        <f>IF(AK800=SureThingLabel,AP800,0)</f>
        <v>0</v>
      </c>
      <c r="BH800">
        <f>MAX(BC800:BG800)</f>
        <v>0</v>
      </c>
      <c r="BI800">
        <f>MAX(BD800:BG800)</f>
        <v>0</v>
      </c>
      <c r="BJ800">
        <f>MAX(BE800:BG800)</f>
        <v>0</v>
      </c>
      <c r="BK800">
        <f>IF(AND(AK800=ReachLabel,AY800=1),AP800,0)</f>
        <v>0</v>
      </c>
      <c r="BL800">
        <f>IF(AND(AK800=MatchLabel,AY800=1),AP800,0)</f>
        <v>0</v>
      </c>
      <c r="BM800">
        <f>IF(AND(AK800=SafetyLabel,AY800=1),AP800,0)</f>
        <v>0</v>
      </c>
      <c r="BN800">
        <f>IF(AND(AK800=SecureLabel,AY800=1),AP800,0)</f>
        <v>0</v>
      </c>
      <c r="BO800">
        <f>IF(AND(AK800=SureThingLabel,AY800=1),AP800,0)</f>
        <v>0</v>
      </c>
      <c r="BP800">
        <f>MAX(BK800:BO800)</f>
        <v>0</v>
      </c>
      <c r="BQ800">
        <f>MAX(BL800:BO800)</f>
        <v>0</v>
      </c>
      <c r="BR800">
        <f>MAX(BM800:BO800)</f>
        <v>0</v>
      </c>
      <c r="BS800">
        <f>IF(ISNUMBER(Y800),INDEX(AllCollegeChicago, MATCH(N800,AllCollegeNCES,0))*AY800,0)</f>
        <v>0</v>
      </c>
      <c r="BT800">
        <f>IF(ISNUMBER(Y800),INDEX(AllCollegeMoneyCode, MATCH(N800,AllCollegeNCES,0)),"?")</f>
        <v>0</v>
      </c>
      <c r="BU800">
        <f>IF(OR(BT800="---",BT800="--",BT800="+/--",BT800="+/---"),1,0)</f>
        <v>0</v>
      </c>
      <c r="BV800">
        <f>AY800*AO800*AQ800</f>
        <v>0</v>
      </c>
    </row>
    <row r="801" spans="1:74">
      <c r="A801" t="s">
        <v>86</v>
      </c>
      <c r="B801">
        <v>30490744</v>
      </c>
      <c r="C801" t="s">
        <v>203</v>
      </c>
      <c r="D801" t="s">
        <v>204</v>
      </c>
      <c r="E801" t="s">
        <v>428</v>
      </c>
      <c r="F801" t="s">
        <v>471</v>
      </c>
      <c r="G801" t="s">
        <v>463</v>
      </c>
      <c r="H801" t="s">
        <v>431</v>
      </c>
      <c r="I801" t="s">
        <v>432</v>
      </c>
      <c r="J801" t="s">
        <v>432</v>
      </c>
      <c r="K801">
        <v>0</v>
      </c>
      <c r="L801" t="s">
        <v>428</v>
      </c>
      <c r="M801" t="s">
        <v>428</v>
      </c>
      <c r="N801">
        <v>170301</v>
      </c>
      <c r="O801">
        <f>INDEX(AllCollegeBarrons,MATCH(N801,AllCollegeNCES,0))</f>
        <v>0</v>
      </c>
      <c r="P801">
        <f>INDEX(KidGPAs,MATCH(B801,KidIDs,0))</f>
        <v>0</v>
      </c>
      <c r="Q801">
        <f>INDEX(KidACTs,MATCH(B801,KidIDs,0))</f>
        <v>0</v>
      </c>
      <c r="R801">
        <f>INDEX(Strats,MATCH(B801,KidIDs,0))</f>
        <v>0</v>
      </c>
      <c r="S801">
        <f>INDEX(KidRace,MATCH(B801,KidIDs,0))</f>
        <v>0</v>
      </c>
      <c r="T801">
        <f>IF(OR(S801="M",S801="I"),"H",S801)</f>
        <v>0</v>
      </c>
      <c r="U801">
        <f>INDEX(StudentTargets,MATCH(B801,KidIDs,0))</f>
        <v>0</v>
      </c>
      <c r="V801">
        <f>INDEX(ReachStudentTargets,MATCH(B801,KidIDs,0))</f>
        <v>0</v>
      </c>
      <c r="W801">
        <f>IF(OR(M801="Posse"),1,0)</f>
        <v>0</v>
      </c>
      <c r="X801">
        <f>IF(ISNUMBER(INDEX(AllCollegeGR, MATCH(N801,AllCollegeNCES,0))),ROUND(INDEX(AllCollegeGR, MATCH(N801,AllCollegeNCES,0))+W801*IF(INDEX(AllCollegeGR, MATCH(N801,AllCollegeNCES,0))&gt;0.7,(1-INDEX(AllCollegeGR, MATCH(N801,AllCollegeNCES,0)))/2,0.15),2),INDEX(AllCollegeGR, MATCH(N801,AllCollegeNCES,0)))</f>
        <v>0</v>
      </c>
      <c r="Y801">
        <f>IF(ISNUMBER(INDEX(AllCollegeAAHGR, MATCH(N801,AllCollegeNCES,0))),ROUND(INDEX(AllCollegeAAHGR, MATCH(N801,AllCollegeNCES,0))+W801*IF(INDEX(AllCollegeAAHGR, MATCH(N801,AllCollegeNCES,0))&gt;0.7,(1-INDEX(AllCollegeAAHGR, MATCH(N801,AllCollegeNCES,0)))/2,0.15),2),INDEX(AllCollegeAAHGR, MATCH(N801,AllCollegeNCES,0)))</f>
        <v>0</v>
      </c>
      <c r="Z801">
        <f>IF(OR(T801="H",T801="B"),INDEX(AllCollegeACT25, MATCH(N801,AllCollegeNCES,0)),INDEX(AllCollegeACT50, MATCH(N801,AllCollegeNCES,0)))</f>
        <v>0</v>
      </c>
      <c r="AA801">
        <f>INDEX(CustomWeightsGPA,MATCH(T801&amp;":"&amp;N801,CustomWeightsIndex,0))</f>
        <v>0</v>
      </c>
      <c r="AB801">
        <f>INDEX(CustomWeightsACT,MATCH(T801&amp;":"&amp;N801,CustomWeightsIndex,0))</f>
        <v>0</v>
      </c>
      <c r="AC801">
        <f>INDEX(CustomWeightsIntercept,MATCH(T801&amp;":"&amp;N801,CustomWeightsIndex,0))</f>
        <v>0</v>
      </c>
      <c r="AD801">
        <f>AA801*P801+AB801*Q801+AC801</f>
        <v>0</v>
      </c>
      <c r="AE801">
        <f>INDEX(CoefficientsGPA,MATCH(T801&amp;":"&amp;O801,CoefficientsIndex,0))</f>
        <v>0</v>
      </c>
      <c r="AF801">
        <f>INDEX(CoefficientsACT,MATCH(T801&amp;":"&amp;O801,CoefficientsIndex,0))</f>
        <v>0</v>
      </c>
      <c r="AG801">
        <f>INDEX(CoefficientsIntercept,MATCH(T801&amp;":"&amp;O801,CoefficientsIndex,0))</f>
        <v>0</v>
      </c>
      <c r="AH801">
        <f>AE801*P801+(Q801-Z801)*AF801+AG801</f>
        <v>0</v>
      </c>
      <c r="AI801">
        <f>IF(ISNUMBER(AD801),AD801,AH801)</f>
        <v>0</v>
      </c>
      <c r="AJ801">
        <f>IF(ISNUMBER(AI801),IF(ISNUMBER(AE801),IF(AND(AE801=1,AF801=1,AG801=1),100,ROUND(100*EXP(AI801)/(1+EXP(AI801)),2)),ROUND(100*EXP(AI801)/(1+EXP(AI801)),2)),IF(ISTEXT(O801),IF(LEFT(O801,1)="2",100,"N/A"),"N/A"))</f>
        <v>0</v>
      </c>
      <c r="AK801">
        <f>IF(ISNUMBER(AJ801),IF(AJ801&gt;=99,IF(OR(R801=10,R801=11),MatchLabel,SureThingLabel),IF(AJ801&gt;=95,SecureLabel,IF(AJ801&gt;=80,SafetyLabel,IF(AJ801&gt;=50,MatchLabel,IF(AJ801&gt;=20,ReachLabel,IF(AJ801&gt;=10,LongshotLabel,HailMaryLabel)))))),"Other")</f>
        <v>0</v>
      </c>
      <c r="AL801">
        <f>IF(OR(I801="accepted",I801="cond. accept",I801="summer admit"),IF(J801="yes","CHOICE!","Accepted!"),IF(I801="denied","Denied",IF(K801=1,"Waitlist",IF(L801=1,"Deferred",IF(G801="pending","Pending",IF(OR(G801="initial materials submitted",G801="mid-year submitted",G801="final submitted"),"Submitted",IF(H801="interest","Interest","?")))))))</f>
        <v>0</v>
      </c>
      <c r="AM801">
        <f>IF(OR(AK801=ReachLabel,AK801=LongshotLabel,AK801=HailMaryLabel),1,0)</f>
        <v>0</v>
      </c>
      <c r="AN801">
        <f>IF(OR(AM801=1,AK801=MatchLabel),1,0)</f>
        <v>0</v>
      </c>
      <c r="AO801">
        <f>IF(OR(AK801=MatchLabel,AK801=SafetyLabel,AK801=SecureLabel,AK801=SureThingLabel),1,0)</f>
        <v>0</v>
      </c>
      <c r="AP801">
        <f>IF(OR(T801="H",T801="B"),IF(ISNUMBER(Y801),ROUND(Y801,2),0),IF(ISNUMBER(X801),ROUND(X801,2),0))</f>
        <v>0</v>
      </c>
      <c r="AQ801">
        <f>IF(AP801&gt;=U801,1,0)</f>
        <v>0</v>
      </c>
      <c r="AR801">
        <f>IF(AP801&gt;=V801,1,0)</f>
        <v>0</v>
      </c>
      <c r="AS801">
        <f>IF(AP801&lt;(U801-0.10),1,0)</f>
        <v>0</v>
      </c>
      <c r="AT801">
        <f>1-AJ801/100</f>
        <v>0</v>
      </c>
      <c r="AU801">
        <f>IF(AN801=1,AT801,1)</f>
        <v>0</v>
      </c>
      <c r="AV801">
        <f>IF(AM801=1,AT801,1)</f>
        <v>0</v>
      </c>
      <c r="AW801">
        <f>IF(AND(AQ801=1,ISNUMBER(AT801)),$AT801,1)</f>
        <v>0</v>
      </c>
      <c r="AX801">
        <f>IF(AND(AR801=1,ISNUMBER(AT801)),$AT801,1)</f>
        <v>0</v>
      </c>
      <c r="AY801">
        <f>IF(ISNUMBER(Y801),INDEX(AllCollegeMoney, MATCH(N801,AllCollegeNCES,0)),0)</f>
        <v>0</v>
      </c>
      <c r="AZ801">
        <f>IF(AND(AQ801=1,ISNUMBER(AT801),AY801=1),$AT801,1)</f>
        <v>0</v>
      </c>
      <c r="BA801">
        <f>IF(AND(AR801=1,ISNUMBER(AT801),AY801=1),$AT801,1)</f>
        <v>0</v>
      </c>
      <c r="BB801">
        <f>IF(ISNUMBER(Y801),INDEX(AllCollegeILPub, MATCH(N801,AllCollegeNCES,0)),0)</f>
        <v>0</v>
      </c>
      <c r="BC801">
        <f>IF(AK801=ReachLabel,AP801,0)</f>
        <v>0</v>
      </c>
      <c r="BD801">
        <f>IF(AK801=MatchLabel,AP801,0)</f>
        <v>0</v>
      </c>
      <c r="BE801">
        <f>IF(AK801=SafetyLabel,AP801,0)</f>
        <v>0</v>
      </c>
      <c r="BF801">
        <f>IF(AK801=SecureLabel,AP801,0)</f>
        <v>0</v>
      </c>
      <c r="BG801">
        <f>IF(AK801=SureThingLabel,AP801,0)</f>
        <v>0</v>
      </c>
      <c r="BH801">
        <f>MAX(BC801:BG801)</f>
        <v>0</v>
      </c>
      <c r="BI801">
        <f>MAX(BD801:BG801)</f>
        <v>0</v>
      </c>
      <c r="BJ801">
        <f>MAX(BE801:BG801)</f>
        <v>0</v>
      </c>
      <c r="BK801">
        <f>IF(AND(AK801=ReachLabel,AY801=1),AP801,0)</f>
        <v>0</v>
      </c>
      <c r="BL801">
        <f>IF(AND(AK801=MatchLabel,AY801=1),AP801,0)</f>
        <v>0</v>
      </c>
      <c r="BM801">
        <f>IF(AND(AK801=SafetyLabel,AY801=1),AP801,0)</f>
        <v>0</v>
      </c>
      <c r="BN801">
        <f>IF(AND(AK801=SecureLabel,AY801=1),AP801,0)</f>
        <v>0</v>
      </c>
      <c r="BO801">
        <f>IF(AND(AK801=SureThingLabel,AY801=1),AP801,0)</f>
        <v>0</v>
      </c>
      <c r="BP801">
        <f>MAX(BK801:BO801)</f>
        <v>0</v>
      </c>
      <c r="BQ801">
        <f>MAX(BL801:BO801)</f>
        <v>0</v>
      </c>
      <c r="BR801">
        <f>MAX(BM801:BO801)</f>
        <v>0</v>
      </c>
      <c r="BS801">
        <f>IF(ISNUMBER(Y801),INDEX(AllCollegeChicago, MATCH(N801,AllCollegeNCES,0))*AY801,0)</f>
        <v>0</v>
      </c>
      <c r="BT801">
        <f>IF(ISNUMBER(Y801),INDEX(AllCollegeMoneyCode, MATCH(N801,AllCollegeNCES,0)),"?")</f>
        <v>0</v>
      </c>
      <c r="BU801">
        <f>IF(OR(BT801="---",BT801="--",BT801="+/--",BT801="+/---"),1,0)</f>
        <v>0</v>
      </c>
      <c r="BV801">
        <f>AY801*AO801*AQ801</f>
        <v>0</v>
      </c>
    </row>
    <row r="802" spans="1:74">
      <c r="A802" t="s">
        <v>86</v>
      </c>
      <c r="B802">
        <v>30490744</v>
      </c>
      <c r="C802" t="s">
        <v>203</v>
      </c>
      <c r="D802" t="s">
        <v>204</v>
      </c>
      <c r="E802" t="s">
        <v>428</v>
      </c>
      <c r="F802" t="s">
        <v>600</v>
      </c>
      <c r="G802" t="s">
        <v>463</v>
      </c>
      <c r="H802" t="s">
        <v>431</v>
      </c>
      <c r="I802" t="s">
        <v>432</v>
      </c>
      <c r="J802" t="s">
        <v>432</v>
      </c>
      <c r="K802">
        <v>0</v>
      </c>
      <c r="L802" t="s">
        <v>428</v>
      </c>
      <c r="M802" t="s">
        <v>428</v>
      </c>
      <c r="N802">
        <v>150163</v>
      </c>
      <c r="O802">
        <f>INDEX(AllCollegeBarrons,MATCH(N802,AllCollegeNCES,0))</f>
        <v>0</v>
      </c>
      <c r="P802">
        <f>INDEX(KidGPAs,MATCH(B802,KidIDs,0))</f>
        <v>0</v>
      </c>
      <c r="Q802">
        <f>INDEX(KidACTs,MATCH(B802,KidIDs,0))</f>
        <v>0</v>
      </c>
      <c r="R802">
        <f>INDEX(Strats,MATCH(B802,KidIDs,0))</f>
        <v>0</v>
      </c>
      <c r="S802">
        <f>INDEX(KidRace,MATCH(B802,KidIDs,0))</f>
        <v>0</v>
      </c>
      <c r="T802">
        <f>IF(OR(S802="M",S802="I"),"H",S802)</f>
        <v>0</v>
      </c>
      <c r="U802">
        <f>INDEX(StudentTargets,MATCH(B802,KidIDs,0))</f>
        <v>0</v>
      </c>
      <c r="V802">
        <f>INDEX(ReachStudentTargets,MATCH(B802,KidIDs,0))</f>
        <v>0</v>
      </c>
      <c r="W802">
        <f>IF(OR(M802="Posse"),1,0)</f>
        <v>0</v>
      </c>
      <c r="X802">
        <f>IF(ISNUMBER(INDEX(AllCollegeGR, MATCH(N802,AllCollegeNCES,0))),ROUND(INDEX(AllCollegeGR, MATCH(N802,AllCollegeNCES,0))+W802*IF(INDEX(AllCollegeGR, MATCH(N802,AllCollegeNCES,0))&gt;0.7,(1-INDEX(AllCollegeGR, MATCH(N802,AllCollegeNCES,0)))/2,0.15),2),INDEX(AllCollegeGR, MATCH(N802,AllCollegeNCES,0)))</f>
        <v>0</v>
      </c>
      <c r="Y802">
        <f>IF(ISNUMBER(INDEX(AllCollegeAAHGR, MATCH(N802,AllCollegeNCES,0))),ROUND(INDEX(AllCollegeAAHGR, MATCH(N802,AllCollegeNCES,0))+W802*IF(INDEX(AllCollegeAAHGR, MATCH(N802,AllCollegeNCES,0))&gt;0.7,(1-INDEX(AllCollegeAAHGR, MATCH(N802,AllCollegeNCES,0)))/2,0.15),2),INDEX(AllCollegeAAHGR, MATCH(N802,AllCollegeNCES,0)))</f>
        <v>0</v>
      </c>
      <c r="Z802">
        <f>IF(OR(T802="H",T802="B"),INDEX(AllCollegeACT25, MATCH(N802,AllCollegeNCES,0)),INDEX(AllCollegeACT50, MATCH(N802,AllCollegeNCES,0)))</f>
        <v>0</v>
      </c>
      <c r="AA802">
        <f>INDEX(CustomWeightsGPA,MATCH(T802&amp;":"&amp;N802,CustomWeightsIndex,0))</f>
        <v>0</v>
      </c>
      <c r="AB802">
        <f>INDEX(CustomWeightsACT,MATCH(T802&amp;":"&amp;N802,CustomWeightsIndex,0))</f>
        <v>0</v>
      </c>
      <c r="AC802">
        <f>INDEX(CustomWeightsIntercept,MATCH(T802&amp;":"&amp;N802,CustomWeightsIndex,0))</f>
        <v>0</v>
      </c>
      <c r="AD802">
        <f>AA802*P802+AB802*Q802+AC802</f>
        <v>0</v>
      </c>
      <c r="AE802">
        <f>INDEX(CoefficientsGPA,MATCH(T802&amp;":"&amp;O802,CoefficientsIndex,0))</f>
        <v>0</v>
      </c>
      <c r="AF802">
        <f>INDEX(CoefficientsACT,MATCH(T802&amp;":"&amp;O802,CoefficientsIndex,0))</f>
        <v>0</v>
      </c>
      <c r="AG802">
        <f>INDEX(CoefficientsIntercept,MATCH(T802&amp;":"&amp;O802,CoefficientsIndex,0))</f>
        <v>0</v>
      </c>
      <c r="AH802">
        <f>AE802*P802+(Q802-Z802)*AF802+AG802</f>
        <v>0</v>
      </c>
      <c r="AI802">
        <f>IF(ISNUMBER(AD802),AD802,AH802)</f>
        <v>0</v>
      </c>
      <c r="AJ802">
        <f>IF(ISNUMBER(AI802),IF(ISNUMBER(AE802),IF(AND(AE802=1,AF802=1,AG802=1),100,ROUND(100*EXP(AI802)/(1+EXP(AI802)),2)),ROUND(100*EXP(AI802)/(1+EXP(AI802)),2)),IF(ISTEXT(O802),IF(LEFT(O802,1)="2",100,"N/A"),"N/A"))</f>
        <v>0</v>
      </c>
      <c r="AK802">
        <f>IF(ISNUMBER(AJ802),IF(AJ802&gt;=99,IF(OR(R802=10,R802=11),MatchLabel,SureThingLabel),IF(AJ802&gt;=95,SecureLabel,IF(AJ802&gt;=80,SafetyLabel,IF(AJ802&gt;=50,MatchLabel,IF(AJ802&gt;=20,ReachLabel,IF(AJ802&gt;=10,LongshotLabel,HailMaryLabel)))))),"Other")</f>
        <v>0</v>
      </c>
      <c r="AL802">
        <f>IF(OR(I802="accepted",I802="cond. accept",I802="summer admit"),IF(J802="yes","CHOICE!","Accepted!"),IF(I802="denied","Denied",IF(K802=1,"Waitlist",IF(L802=1,"Deferred",IF(G802="pending","Pending",IF(OR(G802="initial materials submitted",G802="mid-year submitted",G802="final submitted"),"Submitted",IF(H802="interest","Interest","?")))))))</f>
        <v>0</v>
      </c>
      <c r="AM802">
        <f>IF(OR(AK802=ReachLabel,AK802=LongshotLabel,AK802=HailMaryLabel),1,0)</f>
        <v>0</v>
      </c>
      <c r="AN802">
        <f>IF(OR(AM802=1,AK802=MatchLabel),1,0)</f>
        <v>0</v>
      </c>
      <c r="AO802">
        <f>IF(OR(AK802=MatchLabel,AK802=SafetyLabel,AK802=SecureLabel,AK802=SureThingLabel),1,0)</f>
        <v>0</v>
      </c>
      <c r="AP802">
        <f>IF(OR(T802="H",T802="B"),IF(ISNUMBER(Y802),ROUND(Y802,2),0),IF(ISNUMBER(X802),ROUND(X802,2),0))</f>
        <v>0</v>
      </c>
      <c r="AQ802">
        <f>IF(AP802&gt;=U802,1,0)</f>
        <v>0</v>
      </c>
      <c r="AR802">
        <f>IF(AP802&gt;=V802,1,0)</f>
        <v>0</v>
      </c>
      <c r="AS802">
        <f>IF(AP802&lt;(U802-0.10),1,0)</f>
        <v>0</v>
      </c>
      <c r="AT802">
        <f>1-AJ802/100</f>
        <v>0</v>
      </c>
      <c r="AU802">
        <f>IF(AN802=1,AT802,1)</f>
        <v>0</v>
      </c>
      <c r="AV802">
        <f>IF(AM802=1,AT802,1)</f>
        <v>0</v>
      </c>
      <c r="AW802">
        <f>IF(AND(AQ802=1,ISNUMBER(AT802)),$AT802,1)</f>
        <v>0</v>
      </c>
      <c r="AX802">
        <f>IF(AND(AR802=1,ISNUMBER(AT802)),$AT802,1)</f>
        <v>0</v>
      </c>
      <c r="AY802">
        <f>IF(ISNUMBER(Y802),INDEX(AllCollegeMoney, MATCH(N802,AllCollegeNCES,0)),0)</f>
        <v>0</v>
      </c>
      <c r="AZ802">
        <f>IF(AND(AQ802=1,ISNUMBER(AT802),AY802=1),$AT802,1)</f>
        <v>0</v>
      </c>
      <c r="BA802">
        <f>IF(AND(AR802=1,ISNUMBER(AT802),AY802=1),$AT802,1)</f>
        <v>0</v>
      </c>
      <c r="BB802">
        <f>IF(ISNUMBER(Y802),INDEX(AllCollegeILPub, MATCH(N802,AllCollegeNCES,0)),0)</f>
        <v>0</v>
      </c>
      <c r="BC802">
        <f>IF(AK802=ReachLabel,AP802,0)</f>
        <v>0</v>
      </c>
      <c r="BD802">
        <f>IF(AK802=MatchLabel,AP802,0)</f>
        <v>0</v>
      </c>
      <c r="BE802">
        <f>IF(AK802=SafetyLabel,AP802,0)</f>
        <v>0</v>
      </c>
      <c r="BF802">
        <f>IF(AK802=SecureLabel,AP802,0)</f>
        <v>0</v>
      </c>
      <c r="BG802">
        <f>IF(AK802=SureThingLabel,AP802,0)</f>
        <v>0</v>
      </c>
      <c r="BH802">
        <f>MAX(BC802:BG802)</f>
        <v>0</v>
      </c>
      <c r="BI802">
        <f>MAX(BD802:BG802)</f>
        <v>0</v>
      </c>
      <c r="BJ802">
        <f>MAX(BE802:BG802)</f>
        <v>0</v>
      </c>
      <c r="BK802">
        <f>IF(AND(AK802=ReachLabel,AY802=1),AP802,0)</f>
        <v>0</v>
      </c>
      <c r="BL802">
        <f>IF(AND(AK802=MatchLabel,AY802=1),AP802,0)</f>
        <v>0</v>
      </c>
      <c r="BM802">
        <f>IF(AND(AK802=SafetyLabel,AY802=1),AP802,0)</f>
        <v>0</v>
      </c>
      <c r="BN802">
        <f>IF(AND(AK802=SecureLabel,AY802=1),AP802,0)</f>
        <v>0</v>
      </c>
      <c r="BO802">
        <f>IF(AND(AK802=SureThingLabel,AY802=1),AP802,0)</f>
        <v>0</v>
      </c>
      <c r="BP802">
        <f>MAX(BK802:BO802)</f>
        <v>0</v>
      </c>
      <c r="BQ802">
        <f>MAX(BL802:BO802)</f>
        <v>0</v>
      </c>
      <c r="BR802">
        <f>MAX(BM802:BO802)</f>
        <v>0</v>
      </c>
      <c r="BS802">
        <f>IF(ISNUMBER(Y802),INDEX(AllCollegeChicago, MATCH(N802,AllCollegeNCES,0))*AY802,0)</f>
        <v>0</v>
      </c>
      <c r="BT802">
        <f>IF(ISNUMBER(Y802),INDEX(AllCollegeMoneyCode, MATCH(N802,AllCollegeNCES,0)),"?")</f>
        <v>0</v>
      </c>
      <c r="BU802">
        <f>IF(OR(BT802="---",BT802="--",BT802="+/--",BT802="+/---"),1,0)</f>
        <v>0</v>
      </c>
      <c r="BV802">
        <f>AY802*AO802*AQ802</f>
        <v>0</v>
      </c>
    </row>
    <row r="803" spans="1:74">
      <c r="A803" t="s">
        <v>86</v>
      </c>
      <c r="B803">
        <v>30490744</v>
      </c>
      <c r="C803" t="s">
        <v>203</v>
      </c>
      <c r="D803" t="s">
        <v>204</v>
      </c>
      <c r="E803" t="s">
        <v>428</v>
      </c>
      <c r="F803" t="s">
        <v>460</v>
      </c>
      <c r="G803" t="s">
        <v>463</v>
      </c>
      <c r="H803" t="s">
        <v>431</v>
      </c>
      <c r="I803" t="s">
        <v>432</v>
      </c>
      <c r="J803" t="s">
        <v>432</v>
      </c>
      <c r="K803">
        <v>0</v>
      </c>
      <c r="L803" t="s">
        <v>428</v>
      </c>
      <c r="M803" t="s">
        <v>428</v>
      </c>
      <c r="N803">
        <v>221519</v>
      </c>
      <c r="O803">
        <f>INDEX(AllCollegeBarrons,MATCH(N803,AllCollegeNCES,0))</f>
        <v>0</v>
      </c>
      <c r="P803">
        <f>INDEX(KidGPAs,MATCH(B803,KidIDs,0))</f>
        <v>0</v>
      </c>
      <c r="Q803">
        <f>INDEX(KidACTs,MATCH(B803,KidIDs,0))</f>
        <v>0</v>
      </c>
      <c r="R803">
        <f>INDEX(Strats,MATCH(B803,KidIDs,0))</f>
        <v>0</v>
      </c>
      <c r="S803">
        <f>INDEX(KidRace,MATCH(B803,KidIDs,0))</f>
        <v>0</v>
      </c>
      <c r="T803">
        <f>IF(OR(S803="M",S803="I"),"H",S803)</f>
        <v>0</v>
      </c>
      <c r="U803">
        <f>INDEX(StudentTargets,MATCH(B803,KidIDs,0))</f>
        <v>0</v>
      </c>
      <c r="V803">
        <f>INDEX(ReachStudentTargets,MATCH(B803,KidIDs,0))</f>
        <v>0</v>
      </c>
      <c r="W803">
        <f>IF(OR(M803="Posse"),1,0)</f>
        <v>0</v>
      </c>
      <c r="X803">
        <f>IF(ISNUMBER(INDEX(AllCollegeGR, MATCH(N803,AllCollegeNCES,0))),ROUND(INDEX(AllCollegeGR, MATCH(N803,AllCollegeNCES,0))+W803*IF(INDEX(AllCollegeGR, MATCH(N803,AllCollegeNCES,0))&gt;0.7,(1-INDEX(AllCollegeGR, MATCH(N803,AllCollegeNCES,0)))/2,0.15),2),INDEX(AllCollegeGR, MATCH(N803,AllCollegeNCES,0)))</f>
        <v>0</v>
      </c>
      <c r="Y803">
        <f>IF(ISNUMBER(INDEX(AllCollegeAAHGR, MATCH(N803,AllCollegeNCES,0))),ROUND(INDEX(AllCollegeAAHGR, MATCH(N803,AllCollegeNCES,0))+W803*IF(INDEX(AllCollegeAAHGR, MATCH(N803,AllCollegeNCES,0))&gt;0.7,(1-INDEX(AllCollegeAAHGR, MATCH(N803,AllCollegeNCES,0)))/2,0.15),2),INDEX(AllCollegeAAHGR, MATCH(N803,AllCollegeNCES,0)))</f>
        <v>0</v>
      </c>
      <c r="Z803">
        <f>IF(OR(T803="H",T803="B"),INDEX(AllCollegeACT25, MATCH(N803,AllCollegeNCES,0)),INDEX(AllCollegeACT50, MATCH(N803,AllCollegeNCES,0)))</f>
        <v>0</v>
      </c>
      <c r="AA803">
        <f>INDEX(CustomWeightsGPA,MATCH(T803&amp;":"&amp;N803,CustomWeightsIndex,0))</f>
        <v>0</v>
      </c>
      <c r="AB803">
        <f>INDEX(CustomWeightsACT,MATCH(T803&amp;":"&amp;N803,CustomWeightsIndex,0))</f>
        <v>0</v>
      </c>
      <c r="AC803">
        <f>INDEX(CustomWeightsIntercept,MATCH(T803&amp;":"&amp;N803,CustomWeightsIndex,0))</f>
        <v>0</v>
      </c>
      <c r="AD803">
        <f>AA803*P803+AB803*Q803+AC803</f>
        <v>0</v>
      </c>
      <c r="AE803">
        <f>INDEX(CoefficientsGPA,MATCH(T803&amp;":"&amp;O803,CoefficientsIndex,0))</f>
        <v>0</v>
      </c>
      <c r="AF803">
        <f>INDEX(CoefficientsACT,MATCH(T803&amp;":"&amp;O803,CoefficientsIndex,0))</f>
        <v>0</v>
      </c>
      <c r="AG803">
        <f>INDEX(CoefficientsIntercept,MATCH(T803&amp;":"&amp;O803,CoefficientsIndex,0))</f>
        <v>0</v>
      </c>
      <c r="AH803">
        <f>AE803*P803+(Q803-Z803)*AF803+AG803</f>
        <v>0</v>
      </c>
      <c r="AI803">
        <f>IF(ISNUMBER(AD803),AD803,AH803)</f>
        <v>0</v>
      </c>
      <c r="AJ803">
        <f>IF(ISNUMBER(AI803),IF(ISNUMBER(AE803),IF(AND(AE803=1,AF803=1,AG803=1),100,ROUND(100*EXP(AI803)/(1+EXP(AI803)),2)),ROUND(100*EXP(AI803)/(1+EXP(AI803)),2)),IF(ISTEXT(O803),IF(LEFT(O803,1)="2",100,"N/A"),"N/A"))</f>
        <v>0</v>
      </c>
      <c r="AK803">
        <f>IF(ISNUMBER(AJ803),IF(AJ803&gt;=99,IF(OR(R803=10,R803=11),MatchLabel,SureThingLabel),IF(AJ803&gt;=95,SecureLabel,IF(AJ803&gt;=80,SafetyLabel,IF(AJ803&gt;=50,MatchLabel,IF(AJ803&gt;=20,ReachLabel,IF(AJ803&gt;=10,LongshotLabel,HailMaryLabel)))))),"Other")</f>
        <v>0</v>
      </c>
      <c r="AL803">
        <f>IF(OR(I803="accepted",I803="cond. accept",I803="summer admit"),IF(J803="yes","CHOICE!","Accepted!"),IF(I803="denied","Denied",IF(K803=1,"Waitlist",IF(L803=1,"Deferred",IF(G803="pending","Pending",IF(OR(G803="initial materials submitted",G803="mid-year submitted",G803="final submitted"),"Submitted",IF(H803="interest","Interest","?")))))))</f>
        <v>0</v>
      </c>
      <c r="AM803">
        <f>IF(OR(AK803=ReachLabel,AK803=LongshotLabel,AK803=HailMaryLabel),1,0)</f>
        <v>0</v>
      </c>
      <c r="AN803">
        <f>IF(OR(AM803=1,AK803=MatchLabel),1,0)</f>
        <v>0</v>
      </c>
      <c r="AO803">
        <f>IF(OR(AK803=MatchLabel,AK803=SafetyLabel,AK803=SecureLabel,AK803=SureThingLabel),1,0)</f>
        <v>0</v>
      </c>
      <c r="AP803">
        <f>IF(OR(T803="H",T803="B"),IF(ISNUMBER(Y803),ROUND(Y803,2),0),IF(ISNUMBER(X803),ROUND(X803,2),0))</f>
        <v>0</v>
      </c>
      <c r="AQ803">
        <f>IF(AP803&gt;=U803,1,0)</f>
        <v>0</v>
      </c>
      <c r="AR803">
        <f>IF(AP803&gt;=V803,1,0)</f>
        <v>0</v>
      </c>
      <c r="AS803">
        <f>IF(AP803&lt;(U803-0.10),1,0)</f>
        <v>0</v>
      </c>
      <c r="AT803">
        <f>1-AJ803/100</f>
        <v>0</v>
      </c>
      <c r="AU803">
        <f>IF(AN803=1,AT803,1)</f>
        <v>0</v>
      </c>
      <c r="AV803">
        <f>IF(AM803=1,AT803,1)</f>
        <v>0</v>
      </c>
      <c r="AW803">
        <f>IF(AND(AQ803=1,ISNUMBER(AT803)),$AT803,1)</f>
        <v>0</v>
      </c>
      <c r="AX803">
        <f>IF(AND(AR803=1,ISNUMBER(AT803)),$AT803,1)</f>
        <v>0</v>
      </c>
      <c r="AY803">
        <f>IF(ISNUMBER(Y803),INDEX(AllCollegeMoney, MATCH(N803,AllCollegeNCES,0)),0)</f>
        <v>0</v>
      </c>
      <c r="AZ803">
        <f>IF(AND(AQ803=1,ISNUMBER(AT803),AY803=1),$AT803,1)</f>
        <v>0</v>
      </c>
      <c r="BA803">
        <f>IF(AND(AR803=1,ISNUMBER(AT803),AY803=1),$AT803,1)</f>
        <v>0</v>
      </c>
      <c r="BB803">
        <f>IF(ISNUMBER(Y803),INDEX(AllCollegeILPub, MATCH(N803,AllCollegeNCES,0)),0)</f>
        <v>0</v>
      </c>
      <c r="BC803">
        <f>IF(AK803=ReachLabel,AP803,0)</f>
        <v>0</v>
      </c>
      <c r="BD803">
        <f>IF(AK803=MatchLabel,AP803,0)</f>
        <v>0</v>
      </c>
      <c r="BE803">
        <f>IF(AK803=SafetyLabel,AP803,0)</f>
        <v>0</v>
      </c>
      <c r="BF803">
        <f>IF(AK803=SecureLabel,AP803,0)</f>
        <v>0</v>
      </c>
      <c r="BG803">
        <f>IF(AK803=SureThingLabel,AP803,0)</f>
        <v>0</v>
      </c>
      <c r="BH803">
        <f>MAX(BC803:BG803)</f>
        <v>0</v>
      </c>
      <c r="BI803">
        <f>MAX(BD803:BG803)</f>
        <v>0</v>
      </c>
      <c r="BJ803">
        <f>MAX(BE803:BG803)</f>
        <v>0</v>
      </c>
      <c r="BK803">
        <f>IF(AND(AK803=ReachLabel,AY803=1),AP803,0)</f>
        <v>0</v>
      </c>
      <c r="BL803">
        <f>IF(AND(AK803=MatchLabel,AY803=1),AP803,0)</f>
        <v>0</v>
      </c>
      <c r="BM803">
        <f>IF(AND(AK803=SafetyLabel,AY803=1),AP803,0)</f>
        <v>0</v>
      </c>
      <c r="BN803">
        <f>IF(AND(AK803=SecureLabel,AY803=1),AP803,0)</f>
        <v>0</v>
      </c>
      <c r="BO803">
        <f>IF(AND(AK803=SureThingLabel,AY803=1),AP803,0)</f>
        <v>0</v>
      </c>
      <c r="BP803">
        <f>MAX(BK803:BO803)</f>
        <v>0</v>
      </c>
      <c r="BQ803">
        <f>MAX(BL803:BO803)</f>
        <v>0</v>
      </c>
      <c r="BR803">
        <f>MAX(BM803:BO803)</f>
        <v>0</v>
      </c>
      <c r="BS803">
        <f>IF(ISNUMBER(Y803),INDEX(AllCollegeChicago, MATCH(N803,AllCollegeNCES,0))*AY803,0)</f>
        <v>0</v>
      </c>
      <c r="BT803">
        <f>IF(ISNUMBER(Y803),INDEX(AllCollegeMoneyCode, MATCH(N803,AllCollegeNCES,0)),"?")</f>
        <v>0</v>
      </c>
      <c r="BU803">
        <f>IF(OR(BT803="---",BT803="--",BT803="+/--",BT803="+/---"),1,0)</f>
        <v>0</v>
      </c>
      <c r="BV803">
        <f>AY803*AO803*AQ803</f>
        <v>0</v>
      </c>
    </row>
    <row r="804" spans="1:74">
      <c r="A804" t="s">
        <v>86</v>
      </c>
      <c r="B804">
        <v>30490744</v>
      </c>
      <c r="C804" t="s">
        <v>203</v>
      </c>
      <c r="D804" t="s">
        <v>204</v>
      </c>
      <c r="E804" t="s">
        <v>428</v>
      </c>
      <c r="F804" t="s">
        <v>484</v>
      </c>
      <c r="G804" t="s">
        <v>463</v>
      </c>
      <c r="H804" t="s">
        <v>431</v>
      </c>
      <c r="I804" t="s">
        <v>432</v>
      </c>
      <c r="J804" t="s">
        <v>432</v>
      </c>
      <c r="K804">
        <v>0</v>
      </c>
      <c r="L804" t="s">
        <v>428</v>
      </c>
      <c r="M804" t="s">
        <v>428</v>
      </c>
      <c r="N804">
        <v>144740</v>
      </c>
      <c r="O804">
        <f>INDEX(AllCollegeBarrons,MATCH(N804,AllCollegeNCES,0))</f>
        <v>0</v>
      </c>
      <c r="P804">
        <f>INDEX(KidGPAs,MATCH(B804,KidIDs,0))</f>
        <v>0</v>
      </c>
      <c r="Q804">
        <f>INDEX(KidACTs,MATCH(B804,KidIDs,0))</f>
        <v>0</v>
      </c>
      <c r="R804">
        <f>INDEX(Strats,MATCH(B804,KidIDs,0))</f>
        <v>0</v>
      </c>
      <c r="S804">
        <f>INDEX(KidRace,MATCH(B804,KidIDs,0))</f>
        <v>0</v>
      </c>
      <c r="T804">
        <f>IF(OR(S804="M",S804="I"),"H",S804)</f>
        <v>0</v>
      </c>
      <c r="U804">
        <f>INDEX(StudentTargets,MATCH(B804,KidIDs,0))</f>
        <v>0</v>
      </c>
      <c r="V804">
        <f>INDEX(ReachStudentTargets,MATCH(B804,KidIDs,0))</f>
        <v>0</v>
      </c>
      <c r="W804">
        <f>IF(OR(M804="Posse"),1,0)</f>
        <v>0</v>
      </c>
      <c r="X804">
        <f>IF(ISNUMBER(INDEX(AllCollegeGR, MATCH(N804,AllCollegeNCES,0))),ROUND(INDEX(AllCollegeGR, MATCH(N804,AllCollegeNCES,0))+W804*IF(INDEX(AllCollegeGR, MATCH(N804,AllCollegeNCES,0))&gt;0.7,(1-INDEX(AllCollegeGR, MATCH(N804,AllCollegeNCES,0)))/2,0.15),2),INDEX(AllCollegeGR, MATCH(N804,AllCollegeNCES,0)))</f>
        <v>0</v>
      </c>
      <c r="Y804">
        <f>IF(ISNUMBER(INDEX(AllCollegeAAHGR, MATCH(N804,AllCollegeNCES,0))),ROUND(INDEX(AllCollegeAAHGR, MATCH(N804,AllCollegeNCES,0))+W804*IF(INDEX(AllCollegeAAHGR, MATCH(N804,AllCollegeNCES,0))&gt;0.7,(1-INDEX(AllCollegeAAHGR, MATCH(N804,AllCollegeNCES,0)))/2,0.15),2),INDEX(AllCollegeAAHGR, MATCH(N804,AllCollegeNCES,0)))</f>
        <v>0</v>
      </c>
      <c r="Z804">
        <f>IF(OR(T804="H",T804="B"),INDEX(AllCollegeACT25, MATCH(N804,AllCollegeNCES,0)),INDEX(AllCollegeACT50, MATCH(N804,AllCollegeNCES,0)))</f>
        <v>0</v>
      </c>
      <c r="AA804">
        <f>INDEX(CustomWeightsGPA,MATCH(T804&amp;":"&amp;N804,CustomWeightsIndex,0))</f>
        <v>0</v>
      </c>
      <c r="AB804">
        <f>INDEX(CustomWeightsACT,MATCH(T804&amp;":"&amp;N804,CustomWeightsIndex,0))</f>
        <v>0</v>
      </c>
      <c r="AC804">
        <f>INDEX(CustomWeightsIntercept,MATCH(T804&amp;":"&amp;N804,CustomWeightsIndex,0))</f>
        <v>0</v>
      </c>
      <c r="AD804">
        <f>AA804*P804+AB804*Q804+AC804</f>
        <v>0</v>
      </c>
      <c r="AE804">
        <f>INDEX(CoefficientsGPA,MATCH(T804&amp;":"&amp;O804,CoefficientsIndex,0))</f>
        <v>0</v>
      </c>
      <c r="AF804">
        <f>INDEX(CoefficientsACT,MATCH(T804&amp;":"&amp;O804,CoefficientsIndex,0))</f>
        <v>0</v>
      </c>
      <c r="AG804">
        <f>INDEX(CoefficientsIntercept,MATCH(T804&amp;":"&amp;O804,CoefficientsIndex,0))</f>
        <v>0</v>
      </c>
      <c r="AH804">
        <f>AE804*P804+(Q804-Z804)*AF804+AG804</f>
        <v>0</v>
      </c>
      <c r="AI804">
        <f>IF(ISNUMBER(AD804),AD804,AH804)</f>
        <v>0</v>
      </c>
      <c r="AJ804">
        <f>IF(ISNUMBER(AI804),IF(ISNUMBER(AE804),IF(AND(AE804=1,AF804=1,AG804=1),100,ROUND(100*EXP(AI804)/(1+EXP(AI804)),2)),ROUND(100*EXP(AI804)/(1+EXP(AI804)),2)),IF(ISTEXT(O804),IF(LEFT(O804,1)="2",100,"N/A"),"N/A"))</f>
        <v>0</v>
      </c>
      <c r="AK804">
        <f>IF(ISNUMBER(AJ804),IF(AJ804&gt;=99,IF(OR(R804=10,R804=11),MatchLabel,SureThingLabel),IF(AJ804&gt;=95,SecureLabel,IF(AJ804&gt;=80,SafetyLabel,IF(AJ804&gt;=50,MatchLabel,IF(AJ804&gt;=20,ReachLabel,IF(AJ804&gt;=10,LongshotLabel,HailMaryLabel)))))),"Other")</f>
        <v>0</v>
      </c>
      <c r="AL804">
        <f>IF(OR(I804="accepted",I804="cond. accept",I804="summer admit"),IF(J804="yes","CHOICE!","Accepted!"),IF(I804="denied","Denied",IF(K804=1,"Waitlist",IF(L804=1,"Deferred",IF(G804="pending","Pending",IF(OR(G804="initial materials submitted",G804="mid-year submitted",G804="final submitted"),"Submitted",IF(H804="interest","Interest","?")))))))</f>
        <v>0</v>
      </c>
      <c r="AM804">
        <f>IF(OR(AK804=ReachLabel,AK804=LongshotLabel,AK804=HailMaryLabel),1,0)</f>
        <v>0</v>
      </c>
      <c r="AN804">
        <f>IF(OR(AM804=1,AK804=MatchLabel),1,0)</f>
        <v>0</v>
      </c>
      <c r="AO804">
        <f>IF(OR(AK804=MatchLabel,AK804=SafetyLabel,AK804=SecureLabel,AK804=SureThingLabel),1,0)</f>
        <v>0</v>
      </c>
      <c r="AP804">
        <f>IF(OR(T804="H",T804="B"),IF(ISNUMBER(Y804),ROUND(Y804,2),0),IF(ISNUMBER(X804),ROUND(X804,2),0))</f>
        <v>0</v>
      </c>
      <c r="AQ804">
        <f>IF(AP804&gt;=U804,1,0)</f>
        <v>0</v>
      </c>
      <c r="AR804">
        <f>IF(AP804&gt;=V804,1,0)</f>
        <v>0</v>
      </c>
      <c r="AS804">
        <f>IF(AP804&lt;(U804-0.10),1,0)</f>
        <v>0</v>
      </c>
      <c r="AT804">
        <f>1-AJ804/100</f>
        <v>0</v>
      </c>
      <c r="AU804">
        <f>IF(AN804=1,AT804,1)</f>
        <v>0</v>
      </c>
      <c r="AV804">
        <f>IF(AM804=1,AT804,1)</f>
        <v>0</v>
      </c>
      <c r="AW804">
        <f>IF(AND(AQ804=1,ISNUMBER(AT804)),$AT804,1)</f>
        <v>0</v>
      </c>
      <c r="AX804">
        <f>IF(AND(AR804=1,ISNUMBER(AT804)),$AT804,1)</f>
        <v>0</v>
      </c>
      <c r="AY804">
        <f>IF(ISNUMBER(Y804),INDEX(AllCollegeMoney, MATCH(N804,AllCollegeNCES,0)),0)</f>
        <v>0</v>
      </c>
      <c r="AZ804">
        <f>IF(AND(AQ804=1,ISNUMBER(AT804),AY804=1),$AT804,1)</f>
        <v>0</v>
      </c>
      <c r="BA804">
        <f>IF(AND(AR804=1,ISNUMBER(AT804),AY804=1),$AT804,1)</f>
        <v>0</v>
      </c>
      <c r="BB804">
        <f>IF(ISNUMBER(Y804),INDEX(AllCollegeILPub, MATCH(N804,AllCollegeNCES,0)),0)</f>
        <v>0</v>
      </c>
      <c r="BC804">
        <f>IF(AK804=ReachLabel,AP804,0)</f>
        <v>0</v>
      </c>
      <c r="BD804">
        <f>IF(AK804=MatchLabel,AP804,0)</f>
        <v>0</v>
      </c>
      <c r="BE804">
        <f>IF(AK804=SafetyLabel,AP804,0)</f>
        <v>0</v>
      </c>
      <c r="BF804">
        <f>IF(AK804=SecureLabel,AP804,0)</f>
        <v>0</v>
      </c>
      <c r="BG804">
        <f>IF(AK804=SureThingLabel,AP804,0)</f>
        <v>0</v>
      </c>
      <c r="BH804">
        <f>MAX(BC804:BG804)</f>
        <v>0</v>
      </c>
      <c r="BI804">
        <f>MAX(BD804:BG804)</f>
        <v>0</v>
      </c>
      <c r="BJ804">
        <f>MAX(BE804:BG804)</f>
        <v>0</v>
      </c>
      <c r="BK804">
        <f>IF(AND(AK804=ReachLabel,AY804=1),AP804,0)</f>
        <v>0</v>
      </c>
      <c r="BL804">
        <f>IF(AND(AK804=MatchLabel,AY804=1),AP804,0)</f>
        <v>0</v>
      </c>
      <c r="BM804">
        <f>IF(AND(AK804=SafetyLabel,AY804=1),AP804,0)</f>
        <v>0</v>
      </c>
      <c r="BN804">
        <f>IF(AND(AK804=SecureLabel,AY804=1),AP804,0)</f>
        <v>0</v>
      </c>
      <c r="BO804">
        <f>IF(AND(AK804=SureThingLabel,AY804=1),AP804,0)</f>
        <v>0</v>
      </c>
      <c r="BP804">
        <f>MAX(BK804:BO804)</f>
        <v>0</v>
      </c>
      <c r="BQ804">
        <f>MAX(BL804:BO804)</f>
        <v>0</v>
      </c>
      <c r="BR804">
        <f>MAX(BM804:BO804)</f>
        <v>0</v>
      </c>
      <c r="BS804">
        <f>IF(ISNUMBER(Y804),INDEX(AllCollegeChicago, MATCH(N804,AllCollegeNCES,0))*AY804,0)</f>
        <v>0</v>
      </c>
      <c r="BT804">
        <f>IF(ISNUMBER(Y804),INDEX(AllCollegeMoneyCode, MATCH(N804,AllCollegeNCES,0)),"?")</f>
        <v>0</v>
      </c>
      <c r="BU804">
        <f>IF(OR(BT804="---",BT804="--",BT804="+/--",BT804="+/---"),1,0)</f>
        <v>0</v>
      </c>
      <c r="BV804">
        <f>AY804*AO804*AQ804</f>
        <v>0</v>
      </c>
    </row>
    <row r="805" spans="1:74">
      <c r="A805" t="s">
        <v>86</v>
      </c>
      <c r="B805">
        <v>30490744</v>
      </c>
      <c r="C805" t="s">
        <v>203</v>
      </c>
      <c r="D805" t="s">
        <v>204</v>
      </c>
      <c r="E805" t="s">
        <v>428</v>
      </c>
      <c r="F805" t="s">
        <v>552</v>
      </c>
      <c r="G805" t="s">
        <v>430</v>
      </c>
      <c r="H805" t="s">
        <v>431</v>
      </c>
      <c r="I805" t="s">
        <v>432</v>
      </c>
      <c r="J805" t="s">
        <v>432</v>
      </c>
      <c r="K805">
        <v>0</v>
      </c>
      <c r="L805" t="s">
        <v>428</v>
      </c>
      <c r="M805" t="s">
        <v>428</v>
      </c>
      <c r="N805">
        <v>171100</v>
      </c>
      <c r="O805">
        <f>INDEX(AllCollegeBarrons,MATCH(N805,AllCollegeNCES,0))</f>
        <v>0</v>
      </c>
      <c r="P805">
        <f>INDEX(KidGPAs,MATCH(B805,KidIDs,0))</f>
        <v>0</v>
      </c>
      <c r="Q805">
        <f>INDEX(KidACTs,MATCH(B805,KidIDs,0))</f>
        <v>0</v>
      </c>
      <c r="R805">
        <f>INDEX(Strats,MATCH(B805,KidIDs,0))</f>
        <v>0</v>
      </c>
      <c r="S805">
        <f>INDEX(KidRace,MATCH(B805,KidIDs,0))</f>
        <v>0</v>
      </c>
      <c r="T805">
        <f>IF(OR(S805="M",S805="I"),"H",S805)</f>
        <v>0</v>
      </c>
      <c r="U805">
        <f>INDEX(StudentTargets,MATCH(B805,KidIDs,0))</f>
        <v>0</v>
      </c>
      <c r="V805">
        <f>INDEX(ReachStudentTargets,MATCH(B805,KidIDs,0))</f>
        <v>0</v>
      </c>
      <c r="W805">
        <f>IF(OR(M805="Posse"),1,0)</f>
        <v>0</v>
      </c>
      <c r="X805">
        <f>IF(ISNUMBER(INDEX(AllCollegeGR, MATCH(N805,AllCollegeNCES,0))),ROUND(INDEX(AllCollegeGR, MATCH(N805,AllCollegeNCES,0))+W805*IF(INDEX(AllCollegeGR, MATCH(N805,AllCollegeNCES,0))&gt;0.7,(1-INDEX(AllCollegeGR, MATCH(N805,AllCollegeNCES,0)))/2,0.15),2),INDEX(AllCollegeGR, MATCH(N805,AllCollegeNCES,0)))</f>
        <v>0</v>
      </c>
      <c r="Y805">
        <f>IF(ISNUMBER(INDEX(AllCollegeAAHGR, MATCH(N805,AllCollegeNCES,0))),ROUND(INDEX(AllCollegeAAHGR, MATCH(N805,AllCollegeNCES,0))+W805*IF(INDEX(AllCollegeAAHGR, MATCH(N805,AllCollegeNCES,0))&gt;0.7,(1-INDEX(AllCollegeAAHGR, MATCH(N805,AllCollegeNCES,0)))/2,0.15),2),INDEX(AllCollegeAAHGR, MATCH(N805,AllCollegeNCES,0)))</f>
        <v>0</v>
      </c>
      <c r="Z805">
        <f>IF(OR(T805="H",T805="B"),INDEX(AllCollegeACT25, MATCH(N805,AllCollegeNCES,0)),INDEX(AllCollegeACT50, MATCH(N805,AllCollegeNCES,0)))</f>
        <v>0</v>
      </c>
      <c r="AA805">
        <f>INDEX(CustomWeightsGPA,MATCH(T805&amp;":"&amp;N805,CustomWeightsIndex,0))</f>
        <v>0</v>
      </c>
      <c r="AB805">
        <f>INDEX(CustomWeightsACT,MATCH(T805&amp;":"&amp;N805,CustomWeightsIndex,0))</f>
        <v>0</v>
      </c>
      <c r="AC805">
        <f>INDEX(CustomWeightsIntercept,MATCH(T805&amp;":"&amp;N805,CustomWeightsIndex,0))</f>
        <v>0</v>
      </c>
      <c r="AD805">
        <f>AA805*P805+AB805*Q805+AC805</f>
        <v>0</v>
      </c>
      <c r="AE805">
        <f>INDEX(CoefficientsGPA,MATCH(T805&amp;":"&amp;O805,CoefficientsIndex,0))</f>
        <v>0</v>
      </c>
      <c r="AF805">
        <f>INDEX(CoefficientsACT,MATCH(T805&amp;":"&amp;O805,CoefficientsIndex,0))</f>
        <v>0</v>
      </c>
      <c r="AG805">
        <f>INDEX(CoefficientsIntercept,MATCH(T805&amp;":"&amp;O805,CoefficientsIndex,0))</f>
        <v>0</v>
      </c>
      <c r="AH805">
        <f>AE805*P805+(Q805-Z805)*AF805+AG805</f>
        <v>0</v>
      </c>
      <c r="AI805">
        <f>IF(ISNUMBER(AD805),AD805,AH805)</f>
        <v>0</v>
      </c>
      <c r="AJ805">
        <f>IF(ISNUMBER(AI805),IF(ISNUMBER(AE805),IF(AND(AE805=1,AF805=1,AG805=1),100,ROUND(100*EXP(AI805)/(1+EXP(AI805)),2)),ROUND(100*EXP(AI805)/(1+EXP(AI805)),2)),IF(ISTEXT(O805),IF(LEFT(O805,1)="2",100,"N/A"),"N/A"))</f>
        <v>0</v>
      </c>
      <c r="AK805">
        <f>IF(ISNUMBER(AJ805),IF(AJ805&gt;=99,IF(OR(R805=10,R805=11),MatchLabel,SureThingLabel),IF(AJ805&gt;=95,SecureLabel,IF(AJ805&gt;=80,SafetyLabel,IF(AJ805&gt;=50,MatchLabel,IF(AJ805&gt;=20,ReachLabel,IF(AJ805&gt;=10,LongshotLabel,HailMaryLabel)))))),"Other")</f>
        <v>0</v>
      </c>
      <c r="AL805">
        <f>IF(OR(I805="accepted",I805="cond. accept",I805="summer admit"),IF(J805="yes","CHOICE!","Accepted!"),IF(I805="denied","Denied",IF(K805=1,"Waitlist",IF(L805=1,"Deferred",IF(G805="pending","Pending",IF(OR(G805="initial materials submitted",G805="mid-year submitted",G805="final submitted"),"Submitted",IF(H805="interest","Interest","?")))))))</f>
        <v>0</v>
      </c>
      <c r="AM805">
        <f>IF(OR(AK805=ReachLabel,AK805=LongshotLabel,AK805=HailMaryLabel),1,0)</f>
        <v>0</v>
      </c>
      <c r="AN805">
        <f>IF(OR(AM805=1,AK805=MatchLabel),1,0)</f>
        <v>0</v>
      </c>
      <c r="AO805">
        <f>IF(OR(AK805=MatchLabel,AK805=SafetyLabel,AK805=SecureLabel,AK805=SureThingLabel),1,0)</f>
        <v>0</v>
      </c>
      <c r="AP805">
        <f>IF(OR(T805="H",T805="B"),IF(ISNUMBER(Y805),ROUND(Y805,2),0),IF(ISNUMBER(X805),ROUND(X805,2),0))</f>
        <v>0</v>
      </c>
      <c r="AQ805">
        <f>IF(AP805&gt;=U805,1,0)</f>
        <v>0</v>
      </c>
      <c r="AR805">
        <f>IF(AP805&gt;=V805,1,0)</f>
        <v>0</v>
      </c>
      <c r="AS805">
        <f>IF(AP805&lt;(U805-0.10),1,0)</f>
        <v>0</v>
      </c>
      <c r="AT805">
        <f>1-AJ805/100</f>
        <v>0</v>
      </c>
      <c r="AU805">
        <f>IF(AN805=1,AT805,1)</f>
        <v>0</v>
      </c>
      <c r="AV805">
        <f>IF(AM805=1,AT805,1)</f>
        <v>0</v>
      </c>
      <c r="AW805">
        <f>IF(AND(AQ805=1,ISNUMBER(AT805)),$AT805,1)</f>
        <v>0</v>
      </c>
      <c r="AX805">
        <f>IF(AND(AR805=1,ISNUMBER(AT805)),$AT805,1)</f>
        <v>0</v>
      </c>
      <c r="AY805">
        <f>IF(ISNUMBER(Y805),INDEX(AllCollegeMoney, MATCH(N805,AllCollegeNCES,0)),0)</f>
        <v>0</v>
      </c>
      <c r="AZ805">
        <f>IF(AND(AQ805=1,ISNUMBER(AT805),AY805=1),$AT805,1)</f>
        <v>0</v>
      </c>
      <c r="BA805">
        <f>IF(AND(AR805=1,ISNUMBER(AT805),AY805=1),$AT805,1)</f>
        <v>0</v>
      </c>
      <c r="BB805">
        <f>IF(ISNUMBER(Y805),INDEX(AllCollegeILPub, MATCH(N805,AllCollegeNCES,0)),0)</f>
        <v>0</v>
      </c>
      <c r="BC805">
        <f>IF(AK805=ReachLabel,AP805,0)</f>
        <v>0</v>
      </c>
      <c r="BD805">
        <f>IF(AK805=MatchLabel,AP805,0)</f>
        <v>0</v>
      </c>
      <c r="BE805">
        <f>IF(AK805=SafetyLabel,AP805,0)</f>
        <v>0</v>
      </c>
      <c r="BF805">
        <f>IF(AK805=SecureLabel,AP805,0)</f>
        <v>0</v>
      </c>
      <c r="BG805">
        <f>IF(AK805=SureThingLabel,AP805,0)</f>
        <v>0</v>
      </c>
      <c r="BH805">
        <f>MAX(BC805:BG805)</f>
        <v>0</v>
      </c>
      <c r="BI805">
        <f>MAX(BD805:BG805)</f>
        <v>0</v>
      </c>
      <c r="BJ805">
        <f>MAX(BE805:BG805)</f>
        <v>0</v>
      </c>
      <c r="BK805">
        <f>IF(AND(AK805=ReachLabel,AY805=1),AP805,0)</f>
        <v>0</v>
      </c>
      <c r="BL805">
        <f>IF(AND(AK805=MatchLabel,AY805=1),AP805,0)</f>
        <v>0</v>
      </c>
      <c r="BM805">
        <f>IF(AND(AK805=SafetyLabel,AY805=1),AP805,0)</f>
        <v>0</v>
      </c>
      <c r="BN805">
        <f>IF(AND(AK805=SecureLabel,AY805=1),AP805,0)</f>
        <v>0</v>
      </c>
      <c r="BO805">
        <f>IF(AND(AK805=SureThingLabel,AY805=1),AP805,0)</f>
        <v>0</v>
      </c>
      <c r="BP805">
        <f>MAX(BK805:BO805)</f>
        <v>0</v>
      </c>
      <c r="BQ805">
        <f>MAX(BL805:BO805)</f>
        <v>0</v>
      </c>
      <c r="BR805">
        <f>MAX(BM805:BO805)</f>
        <v>0</v>
      </c>
      <c r="BS805">
        <f>IF(ISNUMBER(Y805),INDEX(AllCollegeChicago, MATCH(N805,AllCollegeNCES,0))*AY805,0)</f>
        <v>0</v>
      </c>
      <c r="BT805">
        <f>IF(ISNUMBER(Y805),INDEX(AllCollegeMoneyCode, MATCH(N805,AllCollegeNCES,0)),"?")</f>
        <v>0</v>
      </c>
      <c r="BU805">
        <f>IF(OR(BT805="---",BT805="--",BT805="+/--",BT805="+/---"),1,0)</f>
        <v>0</v>
      </c>
      <c r="BV805">
        <f>AY805*AO805*AQ805</f>
        <v>0</v>
      </c>
    </row>
    <row r="806" spans="1:74">
      <c r="A806" t="s">
        <v>86</v>
      </c>
      <c r="B806">
        <v>30490744</v>
      </c>
      <c r="C806" t="s">
        <v>203</v>
      </c>
      <c r="D806" t="s">
        <v>204</v>
      </c>
      <c r="E806" t="s">
        <v>428</v>
      </c>
      <c r="F806" t="s">
        <v>462</v>
      </c>
      <c r="G806" t="s">
        <v>463</v>
      </c>
      <c r="H806" t="s">
        <v>431</v>
      </c>
      <c r="I806" t="s">
        <v>432</v>
      </c>
      <c r="J806" t="s">
        <v>432</v>
      </c>
      <c r="K806">
        <v>0</v>
      </c>
      <c r="L806" t="s">
        <v>428</v>
      </c>
      <c r="M806" t="s">
        <v>428</v>
      </c>
      <c r="N806">
        <v>168546</v>
      </c>
      <c r="O806">
        <f>INDEX(AllCollegeBarrons,MATCH(N806,AllCollegeNCES,0))</f>
        <v>0</v>
      </c>
      <c r="P806">
        <f>INDEX(KidGPAs,MATCH(B806,KidIDs,0))</f>
        <v>0</v>
      </c>
      <c r="Q806">
        <f>INDEX(KidACTs,MATCH(B806,KidIDs,0))</f>
        <v>0</v>
      </c>
      <c r="R806">
        <f>INDEX(Strats,MATCH(B806,KidIDs,0))</f>
        <v>0</v>
      </c>
      <c r="S806">
        <f>INDEX(KidRace,MATCH(B806,KidIDs,0))</f>
        <v>0</v>
      </c>
      <c r="T806">
        <f>IF(OR(S806="M",S806="I"),"H",S806)</f>
        <v>0</v>
      </c>
      <c r="U806">
        <f>INDEX(StudentTargets,MATCH(B806,KidIDs,0))</f>
        <v>0</v>
      </c>
      <c r="V806">
        <f>INDEX(ReachStudentTargets,MATCH(B806,KidIDs,0))</f>
        <v>0</v>
      </c>
      <c r="W806">
        <f>IF(OR(M806="Posse"),1,0)</f>
        <v>0</v>
      </c>
      <c r="X806">
        <f>IF(ISNUMBER(INDEX(AllCollegeGR, MATCH(N806,AllCollegeNCES,0))),ROUND(INDEX(AllCollegeGR, MATCH(N806,AllCollegeNCES,0))+W806*IF(INDEX(AllCollegeGR, MATCH(N806,AllCollegeNCES,0))&gt;0.7,(1-INDEX(AllCollegeGR, MATCH(N806,AllCollegeNCES,0)))/2,0.15),2),INDEX(AllCollegeGR, MATCH(N806,AllCollegeNCES,0)))</f>
        <v>0</v>
      </c>
      <c r="Y806">
        <f>IF(ISNUMBER(INDEX(AllCollegeAAHGR, MATCH(N806,AllCollegeNCES,0))),ROUND(INDEX(AllCollegeAAHGR, MATCH(N806,AllCollegeNCES,0))+W806*IF(INDEX(AllCollegeAAHGR, MATCH(N806,AllCollegeNCES,0))&gt;0.7,(1-INDEX(AllCollegeAAHGR, MATCH(N806,AllCollegeNCES,0)))/2,0.15),2),INDEX(AllCollegeAAHGR, MATCH(N806,AllCollegeNCES,0)))</f>
        <v>0</v>
      </c>
      <c r="Z806">
        <f>IF(OR(T806="H",T806="B"),INDEX(AllCollegeACT25, MATCH(N806,AllCollegeNCES,0)),INDEX(AllCollegeACT50, MATCH(N806,AllCollegeNCES,0)))</f>
        <v>0</v>
      </c>
      <c r="AA806">
        <f>INDEX(CustomWeightsGPA,MATCH(T806&amp;":"&amp;N806,CustomWeightsIndex,0))</f>
        <v>0</v>
      </c>
      <c r="AB806">
        <f>INDEX(CustomWeightsACT,MATCH(T806&amp;":"&amp;N806,CustomWeightsIndex,0))</f>
        <v>0</v>
      </c>
      <c r="AC806">
        <f>INDEX(CustomWeightsIntercept,MATCH(T806&amp;":"&amp;N806,CustomWeightsIndex,0))</f>
        <v>0</v>
      </c>
      <c r="AD806">
        <f>AA806*P806+AB806*Q806+AC806</f>
        <v>0</v>
      </c>
      <c r="AE806">
        <f>INDEX(CoefficientsGPA,MATCH(T806&amp;":"&amp;O806,CoefficientsIndex,0))</f>
        <v>0</v>
      </c>
      <c r="AF806">
        <f>INDEX(CoefficientsACT,MATCH(T806&amp;":"&amp;O806,CoefficientsIndex,0))</f>
        <v>0</v>
      </c>
      <c r="AG806">
        <f>INDEX(CoefficientsIntercept,MATCH(T806&amp;":"&amp;O806,CoefficientsIndex,0))</f>
        <v>0</v>
      </c>
      <c r="AH806">
        <f>AE806*P806+(Q806-Z806)*AF806+AG806</f>
        <v>0</v>
      </c>
      <c r="AI806">
        <f>IF(ISNUMBER(AD806),AD806,AH806)</f>
        <v>0</v>
      </c>
      <c r="AJ806">
        <f>IF(ISNUMBER(AI806),IF(ISNUMBER(AE806),IF(AND(AE806=1,AF806=1,AG806=1),100,ROUND(100*EXP(AI806)/(1+EXP(AI806)),2)),ROUND(100*EXP(AI806)/(1+EXP(AI806)),2)),IF(ISTEXT(O806),IF(LEFT(O806,1)="2",100,"N/A"),"N/A"))</f>
        <v>0</v>
      </c>
      <c r="AK806">
        <f>IF(ISNUMBER(AJ806),IF(AJ806&gt;=99,IF(OR(R806=10,R806=11),MatchLabel,SureThingLabel),IF(AJ806&gt;=95,SecureLabel,IF(AJ806&gt;=80,SafetyLabel,IF(AJ806&gt;=50,MatchLabel,IF(AJ806&gt;=20,ReachLabel,IF(AJ806&gt;=10,LongshotLabel,HailMaryLabel)))))),"Other")</f>
        <v>0</v>
      </c>
      <c r="AL806">
        <f>IF(OR(I806="accepted",I806="cond. accept",I806="summer admit"),IF(J806="yes","CHOICE!","Accepted!"),IF(I806="denied","Denied",IF(K806=1,"Waitlist",IF(L806=1,"Deferred",IF(G806="pending","Pending",IF(OR(G806="initial materials submitted",G806="mid-year submitted",G806="final submitted"),"Submitted",IF(H806="interest","Interest","?")))))))</f>
        <v>0</v>
      </c>
      <c r="AM806">
        <f>IF(OR(AK806=ReachLabel,AK806=LongshotLabel,AK806=HailMaryLabel),1,0)</f>
        <v>0</v>
      </c>
      <c r="AN806">
        <f>IF(OR(AM806=1,AK806=MatchLabel),1,0)</f>
        <v>0</v>
      </c>
      <c r="AO806">
        <f>IF(OR(AK806=MatchLabel,AK806=SafetyLabel,AK806=SecureLabel,AK806=SureThingLabel),1,0)</f>
        <v>0</v>
      </c>
      <c r="AP806">
        <f>IF(OR(T806="H",T806="B"),IF(ISNUMBER(Y806),ROUND(Y806,2),0),IF(ISNUMBER(X806),ROUND(X806,2),0))</f>
        <v>0</v>
      </c>
      <c r="AQ806">
        <f>IF(AP806&gt;=U806,1,0)</f>
        <v>0</v>
      </c>
      <c r="AR806">
        <f>IF(AP806&gt;=V806,1,0)</f>
        <v>0</v>
      </c>
      <c r="AS806">
        <f>IF(AP806&lt;(U806-0.10),1,0)</f>
        <v>0</v>
      </c>
      <c r="AT806">
        <f>1-AJ806/100</f>
        <v>0</v>
      </c>
      <c r="AU806">
        <f>IF(AN806=1,AT806,1)</f>
        <v>0</v>
      </c>
      <c r="AV806">
        <f>IF(AM806=1,AT806,1)</f>
        <v>0</v>
      </c>
      <c r="AW806">
        <f>IF(AND(AQ806=1,ISNUMBER(AT806)),$AT806,1)</f>
        <v>0</v>
      </c>
      <c r="AX806">
        <f>IF(AND(AR806=1,ISNUMBER(AT806)),$AT806,1)</f>
        <v>0</v>
      </c>
      <c r="AY806">
        <f>IF(ISNUMBER(Y806),INDEX(AllCollegeMoney, MATCH(N806,AllCollegeNCES,0)),0)</f>
        <v>0</v>
      </c>
      <c r="AZ806">
        <f>IF(AND(AQ806=1,ISNUMBER(AT806),AY806=1),$AT806,1)</f>
        <v>0</v>
      </c>
      <c r="BA806">
        <f>IF(AND(AR806=1,ISNUMBER(AT806),AY806=1),$AT806,1)</f>
        <v>0</v>
      </c>
      <c r="BB806">
        <f>IF(ISNUMBER(Y806),INDEX(AllCollegeILPub, MATCH(N806,AllCollegeNCES,0)),0)</f>
        <v>0</v>
      </c>
      <c r="BC806">
        <f>IF(AK806=ReachLabel,AP806,0)</f>
        <v>0</v>
      </c>
      <c r="BD806">
        <f>IF(AK806=MatchLabel,AP806,0)</f>
        <v>0</v>
      </c>
      <c r="BE806">
        <f>IF(AK806=SafetyLabel,AP806,0)</f>
        <v>0</v>
      </c>
      <c r="BF806">
        <f>IF(AK806=SecureLabel,AP806,0)</f>
        <v>0</v>
      </c>
      <c r="BG806">
        <f>IF(AK806=SureThingLabel,AP806,0)</f>
        <v>0</v>
      </c>
      <c r="BH806">
        <f>MAX(BC806:BG806)</f>
        <v>0</v>
      </c>
      <c r="BI806">
        <f>MAX(BD806:BG806)</f>
        <v>0</v>
      </c>
      <c r="BJ806">
        <f>MAX(BE806:BG806)</f>
        <v>0</v>
      </c>
      <c r="BK806">
        <f>IF(AND(AK806=ReachLabel,AY806=1),AP806,0)</f>
        <v>0</v>
      </c>
      <c r="BL806">
        <f>IF(AND(AK806=MatchLabel,AY806=1),AP806,0)</f>
        <v>0</v>
      </c>
      <c r="BM806">
        <f>IF(AND(AK806=SafetyLabel,AY806=1),AP806,0)</f>
        <v>0</v>
      </c>
      <c r="BN806">
        <f>IF(AND(AK806=SecureLabel,AY806=1),AP806,0)</f>
        <v>0</v>
      </c>
      <c r="BO806">
        <f>IF(AND(AK806=SureThingLabel,AY806=1),AP806,0)</f>
        <v>0</v>
      </c>
      <c r="BP806">
        <f>MAX(BK806:BO806)</f>
        <v>0</v>
      </c>
      <c r="BQ806">
        <f>MAX(BL806:BO806)</f>
        <v>0</v>
      </c>
      <c r="BR806">
        <f>MAX(BM806:BO806)</f>
        <v>0</v>
      </c>
      <c r="BS806">
        <f>IF(ISNUMBER(Y806),INDEX(AllCollegeChicago, MATCH(N806,AllCollegeNCES,0))*AY806,0)</f>
        <v>0</v>
      </c>
      <c r="BT806">
        <f>IF(ISNUMBER(Y806),INDEX(AllCollegeMoneyCode, MATCH(N806,AllCollegeNCES,0)),"?")</f>
        <v>0</v>
      </c>
      <c r="BU806">
        <f>IF(OR(BT806="---",BT806="--",BT806="+/--",BT806="+/---"),1,0)</f>
        <v>0</v>
      </c>
      <c r="BV806">
        <f>AY806*AO806*AQ806</f>
        <v>0</v>
      </c>
    </row>
    <row r="807" spans="1:74">
      <c r="A807" t="s">
        <v>86</v>
      </c>
      <c r="B807">
        <v>30490744</v>
      </c>
      <c r="C807" t="s">
        <v>203</v>
      </c>
      <c r="D807" t="s">
        <v>204</v>
      </c>
      <c r="E807" t="s">
        <v>428</v>
      </c>
      <c r="F807" t="s">
        <v>433</v>
      </c>
      <c r="G807" t="s">
        <v>463</v>
      </c>
      <c r="H807" t="s">
        <v>431</v>
      </c>
      <c r="I807" t="s">
        <v>432</v>
      </c>
      <c r="J807" t="s">
        <v>432</v>
      </c>
      <c r="K807">
        <v>0</v>
      </c>
      <c r="L807" t="s">
        <v>428</v>
      </c>
      <c r="M807" t="s">
        <v>428</v>
      </c>
      <c r="N807">
        <v>148496</v>
      </c>
      <c r="O807">
        <f>INDEX(AllCollegeBarrons,MATCH(N807,AllCollegeNCES,0))</f>
        <v>0</v>
      </c>
      <c r="P807">
        <f>INDEX(KidGPAs,MATCH(B807,KidIDs,0))</f>
        <v>0</v>
      </c>
      <c r="Q807">
        <f>INDEX(KidACTs,MATCH(B807,KidIDs,0))</f>
        <v>0</v>
      </c>
      <c r="R807">
        <f>INDEX(Strats,MATCH(B807,KidIDs,0))</f>
        <v>0</v>
      </c>
      <c r="S807">
        <f>INDEX(KidRace,MATCH(B807,KidIDs,0))</f>
        <v>0</v>
      </c>
      <c r="T807">
        <f>IF(OR(S807="M",S807="I"),"H",S807)</f>
        <v>0</v>
      </c>
      <c r="U807">
        <f>INDEX(StudentTargets,MATCH(B807,KidIDs,0))</f>
        <v>0</v>
      </c>
      <c r="V807">
        <f>INDEX(ReachStudentTargets,MATCH(B807,KidIDs,0))</f>
        <v>0</v>
      </c>
      <c r="W807">
        <f>IF(OR(M807="Posse"),1,0)</f>
        <v>0</v>
      </c>
      <c r="X807">
        <f>IF(ISNUMBER(INDEX(AllCollegeGR, MATCH(N807,AllCollegeNCES,0))),ROUND(INDEX(AllCollegeGR, MATCH(N807,AllCollegeNCES,0))+W807*IF(INDEX(AllCollegeGR, MATCH(N807,AllCollegeNCES,0))&gt;0.7,(1-INDEX(AllCollegeGR, MATCH(N807,AllCollegeNCES,0)))/2,0.15),2),INDEX(AllCollegeGR, MATCH(N807,AllCollegeNCES,0)))</f>
        <v>0</v>
      </c>
      <c r="Y807">
        <f>IF(ISNUMBER(INDEX(AllCollegeAAHGR, MATCH(N807,AllCollegeNCES,0))),ROUND(INDEX(AllCollegeAAHGR, MATCH(N807,AllCollegeNCES,0))+W807*IF(INDEX(AllCollegeAAHGR, MATCH(N807,AllCollegeNCES,0))&gt;0.7,(1-INDEX(AllCollegeAAHGR, MATCH(N807,AllCollegeNCES,0)))/2,0.15),2),INDEX(AllCollegeAAHGR, MATCH(N807,AllCollegeNCES,0)))</f>
        <v>0</v>
      </c>
      <c r="Z807">
        <f>IF(OR(T807="H",T807="B"),INDEX(AllCollegeACT25, MATCH(N807,AllCollegeNCES,0)),INDEX(AllCollegeACT50, MATCH(N807,AllCollegeNCES,0)))</f>
        <v>0</v>
      </c>
      <c r="AA807">
        <f>INDEX(CustomWeightsGPA,MATCH(T807&amp;":"&amp;N807,CustomWeightsIndex,0))</f>
        <v>0</v>
      </c>
      <c r="AB807">
        <f>INDEX(CustomWeightsACT,MATCH(T807&amp;":"&amp;N807,CustomWeightsIndex,0))</f>
        <v>0</v>
      </c>
      <c r="AC807">
        <f>INDEX(CustomWeightsIntercept,MATCH(T807&amp;":"&amp;N807,CustomWeightsIndex,0))</f>
        <v>0</v>
      </c>
      <c r="AD807">
        <f>AA807*P807+AB807*Q807+AC807</f>
        <v>0</v>
      </c>
      <c r="AE807">
        <f>INDEX(CoefficientsGPA,MATCH(T807&amp;":"&amp;O807,CoefficientsIndex,0))</f>
        <v>0</v>
      </c>
      <c r="AF807">
        <f>INDEX(CoefficientsACT,MATCH(T807&amp;":"&amp;O807,CoefficientsIndex,0))</f>
        <v>0</v>
      </c>
      <c r="AG807">
        <f>INDEX(CoefficientsIntercept,MATCH(T807&amp;":"&amp;O807,CoefficientsIndex,0))</f>
        <v>0</v>
      </c>
      <c r="AH807">
        <f>AE807*P807+(Q807-Z807)*AF807+AG807</f>
        <v>0</v>
      </c>
      <c r="AI807">
        <f>IF(ISNUMBER(AD807),AD807,AH807)</f>
        <v>0</v>
      </c>
      <c r="AJ807">
        <f>IF(ISNUMBER(AI807),IF(ISNUMBER(AE807),IF(AND(AE807=1,AF807=1,AG807=1),100,ROUND(100*EXP(AI807)/(1+EXP(AI807)),2)),ROUND(100*EXP(AI807)/(1+EXP(AI807)),2)),IF(ISTEXT(O807),IF(LEFT(O807,1)="2",100,"N/A"),"N/A"))</f>
        <v>0</v>
      </c>
      <c r="AK807">
        <f>IF(ISNUMBER(AJ807),IF(AJ807&gt;=99,IF(OR(R807=10,R807=11),MatchLabel,SureThingLabel),IF(AJ807&gt;=95,SecureLabel,IF(AJ807&gt;=80,SafetyLabel,IF(AJ807&gt;=50,MatchLabel,IF(AJ807&gt;=20,ReachLabel,IF(AJ807&gt;=10,LongshotLabel,HailMaryLabel)))))),"Other")</f>
        <v>0</v>
      </c>
      <c r="AL807">
        <f>IF(OR(I807="accepted",I807="cond. accept",I807="summer admit"),IF(J807="yes","CHOICE!","Accepted!"),IF(I807="denied","Denied",IF(K807=1,"Waitlist",IF(L807=1,"Deferred",IF(G807="pending","Pending",IF(OR(G807="initial materials submitted",G807="mid-year submitted",G807="final submitted"),"Submitted",IF(H807="interest","Interest","?")))))))</f>
        <v>0</v>
      </c>
      <c r="AM807">
        <f>IF(OR(AK807=ReachLabel,AK807=LongshotLabel,AK807=HailMaryLabel),1,0)</f>
        <v>0</v>
      </c>
      <c r="AN807">
        <f>IF(OR(AM807=1,AK807=MatchLabel),1,0)</f>
        <v>0</v>
      </c>
      <c r="AO807">
        <f>IF(OR(AK807=MatchLabel,AK807=SafetyLabel,AK807=SecureLabel,AK807=SureThingLabel),1,0)</f>
        <v>0</v>
      </c>
      <c r="AP807">
        <f>IF(OR(T807="H",T807="B"),IF(ISNUMBER(Y807),ROUND(Y807,2),0),IF(ISNUMBER(X807),ROUND(X807,2),0))</f>
        <v>0</v>
      </c>
      <c r="AQ807">
        <f>IF(AP807&gt;=U807,1,0)</f>
        <v>0</v>
      </c>
      <c r="AR807">
        <f>IF(AP807&gt;=V807,1,0)</f>
        <v>0</v>
      </c>
      <c r="AS807">
        <f>IF(AP807&lt;(U807-0.10),1,0)</f>
        <v>0</v>
      </c>
      <c r="AT807">
        <f>1-AJ807/100</f>
        <v>0</v>
      </c>
      <c r="AU807">
        <f>IF(AN807=1,AT807,1)</f>
        <v>0</v>
      </c>
      <c r="AV807">
        <f>IF(AM807=1,AT807,1)</f>
        <v>0</v>
      </c>
      <c r="AW807">
        <f>IF(AND(AQ807=1,ISNUMBER(AT807)),$AT807,1)</f>
        <v>0</v>
      </c>
      <c r="AX807">
        <f>IF(AND(AR807=1,ISNUMBER(AT807)),$AT807,1)</f>
        <v>0</v>
      </c>
      <c r="AY807">
        <f>IF(ISNUMBER(Y807),INDEX(AllCollegeMoney, MATCH(N807,AllCollegeNCES,0)),0)</f>
        <v>0</v>
      </c>
      <c r="AZ807">
        <f>IF(AND(AQ807=1,ISNUMBER(AT807),AY807=1),$AT807,1)</f>
        <v>0</v>
      </c>
      <c r="BA807">
        <f>IF(AND(AR807=1,ISNUMBER(AT807),AY807=1),$AT807,1)</f>
        <v>0</v>
      </c>
      <c r="BB807">
        <f>IF(ISNUMBER(Y807),INDEX(AllCollegeILPub, MATCH(N807,AllCollegeNCES,0)),0)</f>
        <v>0</v>
      </c>
      <c r="BC807">
        <f>IF(AK807=ReachLabel,AP807,0)</f>
        <v>0</v>
      </c>
      <c r="BD807">
        <f>IF(AK807=MatchLabel,AP807,0)</f>
        <v>0</v>
      </c>
      <c r="BE807">
        <f>IF(AK807=SafetyLabel,AP807,0)</f>
        <v>0</v>
      </c>
      <c r="BF807">
        <f>IF(AK807=SecureLabel,AP807,0)</f>
        <v>0</v>
      </c>
      <c r="BG807">
        <f>IF(AK807=SureThingLabel,AP807,0)</f>
        <v>0</v>
      </c>
      <c r="BH807">
        <f>MAX(BC807:BG807)</f>
        <v>0</v>
      </c>
      <c r="BI807">
        <f>MAX(BD807:BG807)</f>
        <v>0</v>
      </c>
      <c r="BJ807">
        <f>MAX(BE807:BG807)</f>
        <v>0</v>
      </c>
      <c r="BK807">
        <f>IF(AND(AK807=ReachLabel,AY807=1),AP807,0)</f>
        <v>0</v>
      </c>
      <c r="BL807">
        <f>IF(AND(AK807=MatchLabel,AY807=1),AP807,0)</f>
        <v>0</v>
      </c>
      <c r="BM807">
        <f>IF(AND(AK807=SafetyLabel,AY807=1),AP807,0)</f>
        <v>0</v>
      </c>
      <c r="BN807">
        <f>IF(AND(AK807=SecureLabel,AY807=1),AP807,0)</f>
        <v>0</v>
      </c>
      <c r="BO807">
        <f>IF(AND(AK807=SureThingLabel,AY807=1),AP807,0)</f>
        <v>0</v>
      </c>
      <c r="BP807">
        <f>MAX(BK807:BO807)</f>
        <v>0</v>
      </c>
      <c r="BQ807">
        <f>MAX(BL807:BO807)</f>
        <v>0</v>
      </c>
      <c r="BR807">
        <f>MAX(BM807:BO807)</f>
        <v>0</v>
      </c>
      <c r="BS807">
        <f>IF(ISNUMBER(Y807),INDEX(AllCollegeChicago, MATCH(N807,AllCollegeNCES,0))*AY807,0)</f>
        <v>0</v>
      </c>
      <c r="BT807">
        <f>IF(ISNUMBER(Y807),INDEX(AllCollegeMoneyCode, MATCH(N807,AllCollegeNCES,0)),"?")</f>
        <v>0</v>
      </c>
      <c r="BU807">
        <f>IF(OR(BT807="---",BT807="--",BT807="+/--",BT807="+/---"),1,0)</f>
        <v>0</v>
      </c>
      <c r="BV807">
        <f>AY807*AO807*AQ807</f>
        <v>0</v>
      </c>
    </row>
    <row r="808" spans="1:74">
      <c r="A808" t="s">
        <v>86</v>
      </c>
      <c r="B808">
        <v>30490744</v>
      </c>
      <c r="C808" t="s">
        <v>203</v>
      </c>
      <c r="D808" t="s">
        <v>204</v>
      </c>
      <c r="E808" t="s">
        <v>428</v>
      </c>
      <c r="F808" t="s">
        <v>485</v>
      </c>
      <c r="G808" t="s">
        <v>463</v>
      </c>
      <c r="H808" t="s">
        <v>431</v>
      </c>
      <c r="I808" t="s">
        <v>432</v>
      </c>
      <c r="J808" t="s">
        <v>432</v>
      </c>
      <c r="K808">
        <v>0</v>
      </c>
      <c r="L808" t="s">
        <v>428</v>
      </c>
      <c r="M808" t="s">
        <v>428</v>
      </c>
      <c r="N808">
        <v>170082</v>
      </c>
      <c r="O808">
        <f>INDEX(AllCollegeBarrons,MATCH(N808,AllCollegeNCES,0))</f>
        <v>0</v>
      </c>
      <c r="P808">
        <f>INDEX(KidGPAs,MATCH(B808,KidIDs,0))</f>
        <v>0</v>
      </c>
      <c r="Q808">
        <f>INDEX(KidACTs,MATCH(B808,KidIDs,0))</f>
        <v>0</v>
      </c>
      <c r="R808">
        <f>INDEX(Strats,MATCH(B808,KidIDs,0))</f>
        <v>0</v>
      </c>
      <c r="S808">
        <f>INDEX(KidRace,MATCH(B808,KidIDs,0))</f>
        <v>0</v>
      </c>
      <c r="T808">
        <f>IF(OR(S808="M",S808="I"),"H",S808)</f>
        <v>0</v>
      </c>
      <c r="U808">
        <f>INDEX(StudentTargets,MATCH(B808,KidIDs,0))</f>
        <v>0</v>
      </c>
      <c r="V808">
        <f>INDEX(ReachStudentTargets,MATCH(B808,KidIDs,0))</f>
        <v>0</v>
      </c>
      <c r="W808">
        <f>IF(OR(M808="Posse"),1,0)</f>
        <v>0</v>
      </c>
      <c r="X808">
        <f>IF(ISNUMBER(INDEX(AllCollegeGR, MATCH(N808,AllCollegeNCES,0))),ROUND(INDEX(AllCollegeGR, MATCH(N808,AllCollegeNCES,0))+W808*IF(INDEX(AllCollegeGR, MATCH(N808,AllCollegeNCES,0))&gt;0.7,(1-INDEX(AllCollegeGR, MATCH(N808,AllCollegeNCES,0)))/2,0.15),2),INDEX(AllCollegeGR, MATCH(N808,AllCollegeNCES,0)))</f>
        <v>0</v>
      </c>
      <c r="Y808">
        <f>IF(ISNUMBER(INDEX(AllCollegeAAHGR, MATCH(N808,AllCollegeNCES,0))),ROUND(INDEX(AllCollegeAAHGR, MATCH(N808,AllCollegeNCES,0))+W808*IF(INDEX(AllCollegeAAHGR, MATCH(N808,AllCollegeNCES,0))&gt;0.7,(1-INDEX(AllCollegeAAHGR, MATCH(N808,AllCollegeNCES,0)))/2,0.15),2),INDEX(AllCollegeAAHGR, MATCH(N808,AllCollegeNCES,0)))</f>
        <v>0</v>
      </c>
      <c r="Z808">
        <f>IF(OR(T808="H",T808="B"),INDEX(AllCollegeACT25, MATCH(N808,AllCollegeNCES,0)),INDEX(AllCollegeACT50, MATCH(N808,AllCollegeNCES,0)))</f>
        <v>0</v>
      </c>
      <c r="AA808">
        <f>INDEX(CustomWeightsGPA,MATCH(T808&amp;":"&amp;N808,CustomWeightsIndex,0))</f>
        <v>0</v>
      </c>
      <c r="AB808">
        <f>INDEX(CustomWeightsACT,MATCH(T808&amp;":"&amp;N808,CustomWeightsIndex,0))</f>
        <v>0</v>
      </c>
      <c r="AC808">
        <f>INDEX(CustomWeightsIntercept,MATCH(T808&amp;":"&amp;N808,CustomWeightsIndex,0))</f>
        <v>0</v>
      </c>
      <c r="AD808">
        <f>AA808*P808+AB808*Q808+AC808</f>
        <v>0</v>
      </c>
      <c r="AE808">
        <f>INDEX(CoefficientsGPA,MATCH(T808&amp;":"&amp;O808,CoefficientsIndex,0))</f>
        <v>0</v>
      </c>
      <c r="AF808">
        <f>INDEX(CoefficientsACT,MATCH(T808&amp;":"&amp;O808,CoefficientsIndex,0))</f>
        <v>0</v>
      </c>
      <c r="AG808">
        <f>INDEX(CoefficientsIntercept,MATCH(T808&amp;":"&amp;O808,CoefficientsIndex,0))</f>
        <v>0</v>
      </c>
      <c r="AH808">
        <f>AE808*P808+(Q808-Z808)*AF808+AG808</f>
        <v>0</v>
      </c>
      <c r="AI808">
        <f>IF(ISNUMBER(AD808),AD808,AH808)</f>
        <v>0</v>
      </c>
      <c r="AJ808">
        <f>IF(ISNUMBER(AI808),IF(ISNUMBER(AE808),IF(AND(AE808=1,AF808=1,AG808=1),100,ROUND(100*EXP(AI808)/(1+EXP(AI808)),2)),ROUND(100*EXP(AI808)/(1+EXP(AI808)),2)),IF(ISTEXT(O808),IF(LEFT(O808,1)="2",100,"N/A"),"N/A"))</f>
        <v>0</v>
      </c>
      <c r="AK808">
        <f>IF(ISNUMBER(AJ808),IF(AJ808&gt;=99,IF(OR(R808=10,R808=11),MatchLabel,SureThingLabel),IF(AJ808&gt;=95,SecureLabel,IF(AJ808&gt;=80,SafetyLabel,IF(AJ808&gt;=50,MatchLabel,IF(AJ808&gt;=20,ReachLabel,IF(AJ808&gt;=10,LongshotLabel,HailMaryLabel)))))),"Other")</f>
        <v>0</v>
      </c>
      <c r="AL808">
        <f>IF(OR(I808="accepted",I808="cond. accept",I808="summer admit"),IF(J808="yes","CHOICE!","Accepted!"),IF(I808="denied","Denied",IF(K808=1,"Waitlist",IF(L808=1,"Deferred",IF(G808="pending","Pending",IF(OR(G808="initial materials submitted",G808="mid-year submitted",G808="final submitted"),"Submitted",IF(H808="interest","Interest","?")))))))</f>
        <v>0</v>
      </c>
      <c r="AM808">
        <f>IF(OR(AK808=ReachLabel,AK808=LongshotLabel,AK808=HailMaryLabel),1,0)</f>
        <v>0</v>
      </c>
      <c r="AN808">
        <f>IF(OR(AM808=1,AK808=MatchLabel),1,0)</f>
        <v>0</v>
      </c>
      <c r="AO808">
        <f>IF(OR(AK808=MatchLabel,AK808=SafetyLabel,AK808=SecureLabel,AK808=SureThingLabel),1,0)</f>
        <v>0</v>
      </c>
      <c r="AP808">
        <f>IF(OR(T808="H",T808="B"),IF(ISNUMBER(Y808),ROUND(Y808,2),0),IF(ISNUMBER(X808),ROUND(X808,2),0))</f>
        <v>0</v>
      </c>
      <c r="AQ808">
        <f>IF(AP808&gt;=U808,1,0)</f>
        <v>0</v>
      </c>
      <c r="AR808">
        <f>IF(AP808&gt;=V808,1,0)</f>
        <v>0</v>
      </c>
      <c r="AS808">
        <f>IF(AP808&lt;(U808-0.10),1,0)</f>
        <v>0</v>
      </c>
      <c r="AT808">
        <f>1-AJ808/100</f>
        <v>0</v>
      </c>
      <c r="AU808">
        <f>IF(AN808=1,AT808,1)</f>
        <v>0</v>
      </c>
      <c r="AV808">
        <f>IF(AM808=1,AT808,1)</f>
        <v>0</v>
      </c>
      <c r="AW808">
        <f>IF(AND(AQ808=1,ISNUMBER(AT808)),$AT808,1)</f>
        <v>0</v>
      </c>
      <c r="AX808">
        <f>IF(AND(AR808=1,ISNUMBER(AT808)),$AT808,1)</f>
        <v>0</v>
      </c>
      <c r="AY808">
        <f>IF(ISNUMBER(Y808),INDEX(AllCollegeMoney, MATCH(N808,AllCollegeNCES,0)),0)</f>
        <v>0</v>
      </c>
      <c r="AZ808">
        <f>IF(AND(AQ808=1,ISNUMBER(AT808),AY808=1),$AT808,1)</f>
        <v>0</v>
      </c>
      <c r="BA808">
        <f>IF(AND(AR808=1,ISNUMBER(AT808),AY808=1),$AT808,1)</f>
        <v>0</v>
      </c>
      <c r="BB808">
        <f>IF(ISNUMBER(Y808),INDEX(AllCollegeILPub, MATCH(N808,AllCollegeNCES,0)),0)</f>
        <v>0</v>
      </c>
      <c r="BC808">
        <f>IF(AK808=ReachLabel,AP808,0)</f>
        <v>0</v>
      </c>
      <c r="BD808">
        <f>IF(AK808=MatchLabel,AP808,0)</f>
        <v>0</v>
      </c>
      <c r="BE808">
        <f>IF(AK808=SafetyLabel,AP808,0)</f>
        <v>0</v>
      </c>
      <c r="BF808">
        <f>IF(AK808=SecureLabel,AP808,0)</f>
        <v>0</v>
      </c>
      <c r="BG808">
        <f>IF(AK808=SureThingLabel,AP808,0)</f>
        <v>0</v>
      </c>
      <c r="BH808">
        <f>MAX(BC808:BG808)</f>
        <v>0</v>
      </c>
      <c r="BI808">
        <f>MAX(BD808:BG808)</f>
        <v>0</v>
      </c>
      <c r="BJ808">
        <f>MAX(BE808:BG808)</f>
        <v>0</v>
      </c>
      <c r="BK808">
        <f>IF(AND(AK808=ReachLabel,AY808=1),AP808,0)</f>
        <v>0</v>
      </c>
      <c r="BL808">
        <f>IF(AND(AK808=MatchLabel,AY808=1),AP808,0)</f>
        <v>0</v>
      </c>
      <c r="BM808">
        <f>IF(AND(AK808=SafetyLabel,AY808=1),AP808,0)</f>
        <v>0</v>
      </c>
      <c r="BN808">
        <f>IF(AND(AK808=SecureLabel,AY808=1),AP808,0)</f>
        <v>0</v>
      </c>
      <c r="BO808">
        <f>IF(AND(AK808=SureThingLabel,AY808=1),AP808,0)</f>
        <v>0</v>
      </c>
      <c r="BP808">
        <f>MAX(BK808:BO808)</f>
        <v>0</v>
      </c>
      <c r="BQ808">
        <f>MAX(BL808:BO808)</f>
        <v>0</v>
      </c>
      <c r="BR808">
        <f>MAX(BM808:BO808)</f>
        <v>0</v>
      </c>
      <c r="BS808">
        <f>IF(ISNUMBER(Y808),INDEX(AllCollegeChicago, MATCH(N808,AllCollegeNCES,0))*AY808,0)</f>
        <v>0</v>
      </c>
      <c r="BT808">
        <f>IF(ISNUMBER(Y808),INDEX(AllCollegeMoneyCode, MATCH(N808,AllCollegeNCES,0)),"?")</f>
        <v>0</v>
      </c>
      <c r="BU808">
        <f>IF(OR(BT808="---",BT808="--",BT808="+/--",BT808="+/---"),1,0)</f>
        <v>0</v>
      </c>
      <c r="BV808">
        <f>AY808*AO808*AQ808</f>
        <v>0</v>
      </c>
    </row>
    <row r="809" spans="1:74">
      <c r="A809" t="s">
        <v>86</v>
      </c>
      <c r="B809">
        <v>30490744</v>
      </c>
      <c r="C809" t="s">
        <v>203</v>
      </c>
      <c r="D809" t="s">
        <v>204</v>
      </c>
      <c r="E809" t="s">
        <v>428</v>
      </c>
      <c r="F809" t="s">
        <v>593</v>
      </c>
      <c r="G809" t="s">
        <v>430</v>
      </c>
      <c r="H809" t="s">
        <v>431</v>
      </c>
      <c r="I809" t="s">
        <v>432</v>
      </c>
      <c r="J809" t="s">
        <v>432</v>
      </c>
      <c r="K809">
        <v>0</v>
      </c>
      <c r="L809" t="s">
        <v>428</v>
      </c>
      <c r="M809" t="s">
        <v>428</v>
      </c>
      <c r="N809">
        <v>157289</v>
      </c>
      <c r="O809">
        <f>INDEX(AllCollegeBarrons,MATCH(N809,AllCollegeNCES,0))</f>
        <v>0</v>
      </c>
      <c r="P809">
        <f>INDEX(KidGPAs,MATCH(B809,KidIDs,0))</f>
        <v>0</v>
      </c>
      <c r="Q809">
        <f>INDEX(KidACTs,MATCH(B809,KidIDs,0))</f>
        <v>0</v>
      </c>
      <c r="R809">
        <f>INDEX(Strats,MATCH(B809,KidIDs,0))</f>
        <v>0</v>
      </c>
      <c r="S809">
        <f>INDEX(KidRace,MATCH(B809,KidIDs,0))</f>
        <v>0</v>
      </c>
      <c r="T809">
        <f>IF(OR(S809="M",S809="I"),"H",S809)</f>
        <v>0</v>
      </c>
      <c r="U809">
        <f>INDEX(StudentTargets,MATCH(B809,KidIDs,0))</f>
        <v>0</v>
      </c>
      <c r="V809">
        <f>INDEX(ReachStudentTargets,MATCH(B809,KidIDs,0))</f>
        <v>0</v>
      </c>
      <c r="W809">
        <f>IF(OR(M809="Posse"),1,0)</f>
        <v>0</v>
      </c>
      <c r="X809">
        <f>IF(ISNUMBER(INDEX(AllCollegeGR, MATCH(N809,AllCollegeNCES,0))),ROUND(INDEX(AllCollegeGR, MATCH(N809,AllCollegeNCES,0))+W809*IF(INDEX(AllCollegeGR, MATCH(N809,AllCollegeNCES,0))&gt;0.7,(1-INDEX(AllCollegeGR, MATCH(N809,AllCollegeNCES,0)))/2,0.15),2),INDEX(AllCollegeGR, MATCH(N809,AllCollegeNCES,0)))</f>
        <v>0</v>
      </c>
      <c r="Y809">
        <f>IF(ISNUMBER(INDEX(AllCollegeAAHGR, MATCH(N809,AllCollegeNCES,0))),ROUND(INDEX(AllCollegeAAHGR, MATCH(N809,AllCollegeNCES,0))+W809*IF(INDEX(AllCollegeAAHGR, MATCH(N809,AllCollegeNCES,0))&gt;0.7,(1-INDEX(AllCollegeAAHGR, MATCH(N809,AllCollegeNCES,0)))/2,0.15),2),INDEX(AllCollegeAAHGR, MATCH(N809,AllCollegeNCES,0)))</f>
        <v>0</v>
      </c>
      <c r="Z809">
        <f>IF(OR(T809="H",T809="B"),INDEX(AllCollegeACT25, MATCH(N809,AllCollegeNCES,0)),INDEX(AllCollegeACT50, MATCH(N809,AllCollegeNCES,0)))</f>
        <v>0</v>
      </c>
      <c r="AA809">
        <f>INDEX(CustomWeightsGPA,MATCH(T809&amp;":"&amp;N809,CustomWeightsIndex,0))</f>
        <v>0</v>
      </c>
      <c r="AB809">
        <f>INDEX(CustomWeightsACT,MATCH(T809&amp;":"&amp;N809,CustomWeightsIndex,0))</f>
        <v>0</v>
      </c>
      <c r="AC809">
        <f>INDEX(CustomWeightsIntercept,MATCH(T809&amp;":"&amp;N809,CustomWeightsIndex,0))</f>
        <v>0</v>
      </c>
      <c r="AD809">
        <f>AA809*P809+AB809*Q809+AC809</f>
        <v>0</v>
      </c>
      <c r="AE809">
        <f>INDEX(CoefficientsGPA,MATCH(T809&amp;":"&amp;O809,CoefficientsIndex,0))</f>
        <v>0</v>
      </c>
      <c r="AF809">
        <f>INDEX(CoefficientsACT,MATCH(T809&amp;":"&amp;O809,CoefficientsIndex,0))</f>
        <v>0</v>
      </c>
      <c r="AG809">
        <f>INDEX(CoefficientsIntercept,MATCH(T809&amp;":"&amp;O809,CoefficientsIndex,0))</f>
        <v>0</v>
      </c>
      <c r="AH809">
        <f>AE809*P809+(Q809-Z809)*AF809+AG809</f>
        <v>0</v>
      </c>
      <c r="AI809">
        <f>IF(ISNUMBER(AD809),AD809,AH809)</f>
        <v>0</v>
      </c>
      <c r="AJ809">
        <f>IF(ISNUMBER(AI809),IF(ISNUMBER(AE809),IF(AND(AE809=1,AF809=1,AG809=1),100,ROUND(100*EXP(AI809)/(1+EXP(AI809)),2)),ROUND(100*EXP(AI809)/(1+EXP(AI809)),2)),IF(ISTEXT(O809),IF(LEFT(O809,1)="2",100,"N/A"),"N/A"))</f>
        <v>0</v>
      </c>
      <c r="AK809">
        <f>IF(ISNUMBER(AJ809),IF(AJ809&gt;=99,IF(OR(R809=10,R809=11),MatchLabel,SureThingLabel),IF(AJ809&gt;=95,SecureLabel,IF(AJ809&gt;=80,SafetyLabel,IF(AJ809&gt;=50,MatchLabel,IF(AJ809&gt;=20,ReachLabel,IF(AJ809&gt;=10,LongshotLabel,HailMaryLabel)))))),"Other")</f>
        <v>0</v>
      </c>
      <c r="AL809">
        <f>IF(OR(I809="accepted",I809="cond. accept",I809="summer admit"),IF(J809="yes","CHOICE!","Accepted!"),IF(I809="denied","Denied",IF(K809=1,"Waitlist",IF(L809=1,"Deferred",IF(G809="pending","Pending",IF(OR(G809="initial materials submitted",G809="mid-year submitted",G809="final submitted"),"Submitted",IF(H809="interest","Interest","?")))))))</f>
        <v>0</v>
      </c>
      <c r="AM809">
        <f>IF(OR(AK809=ReachLabel,AK809=LongshotLabel,AK809=HailMaryLabel),1,0)</f>
        <v>0</v>
      </c>
      <c r="AN809">
        <f>IF(OR(AM809=1,AK809=MatchLabel),1,0)</f>
        <v>0</v>
      </c>
      <c r="AO809">
        <f>IF(OR(AK809=MatchLabel,AK809=SafetyLabel,AK809=SecureLabel,AK809=SureThingLabel),1,0)</f>
        <v>0</v>
      </c>
      <c r="AP809">
        <f>IF(OR(T809="H",T809="B"),IF(ISNUMBER(Y809),ROUND(Y809,2),0),IF(ISNUMBER(X809),ROUND(X809,2),0))</f>
        <v>0</v>
      </c>
      <c r="AQ809">
        <f>IF(AP809&gt;=U809,1,0)</f>
        <v>0</v>
      </c>
      <c r="AR809">
        <f>IF(AP809&gt;=V809,1,0)</f>
        <v>0</v>
      </c>
      <c r="AS809">
        <f>IF(AP809&lt;(U809-0.10),1,0)</f>
        <v>0</v>
      </c>
      <c r="AT809">
        <f>1-AJ809/100</f>
        <v>0</v>
      </c>
      <c r="AU809">
        <f>IF(AN809=1,AT809,1)</f>
        <v>0</v>
      </c>
      <c r="AV809">
        <f>IF(AM809=1,AT809,1)</f>
        <v>0</v>
      </c>
      <c r="AW809">
        <f>IF(AND(AQ809=1,ISNUMBER(AT809)),$AT809,1)</f>
        <v>0</v>
      </c>
      <c r="AX809">
        <f>IF(AND(AR809=1,ISNUMBER(AT809)),$AT809,1)</f>
        <v>0</v>
      </c>
      <c r="AY809">
        <f>IF(ISNUMBER(Y809),INDEX(AllCollegeMoney, MATCH(N809,AllCollegeNCES,0)),0)</f>
        <v>0</v>
      </c>
      <c r="AZ809">
        <f>IF(AND(AQ809=1,ISNUMBER(AT809),AY809=1),$AT809,1)</f>
        <v>0</v>
      </c>
      <c r="BA809">
        <f>IF(AND(AR809=1,ISNUMBER(AT809),AY809=1),$AT809,1)</f>
        <v>0</v>
      </c>
      <c r="BB809">
        <f>IF(ISNUMBER(Y809),INDEX(AllCollegeILPub, MATCH(N809,AllCollegeNCES,0)),0)</f>
        <v>0</v>
      </c>
      <c r="BC809">
        <f>IF(AK809=ReachLabel,AP809,0)</f>
        <v>0</v>
      </c>
      <c r="BD809">
        <f>IF(AK809=MatchLabel,AP809,0)</f>
        <v>0</v>
      </c>
      <c r="BE809">
        <f>IF(AK809=SafetyLabel,AP809,0)</f>
        <v>0</v>
      </c>
      <c r="BF809">
        <f>IF(AK809=SecureLabel,AP809,0)</f>
        <v>0</v>
      </c>
      <c r="BG809">
        <f>IF(AK809=SureThingLabel,AP809,0)</f>
        <v>0</v>
      </c>
      <c r="BH809">
        <f>MAX(BC809:BG809)</f>
        <v>0</v>
      </c>
      <c r="BI809">
        <f>MAX(BD809:BG809)</f>
        <v>0</v>
      </c>
      <c r="BJ809">
        <f>MAX(BE809:BG809)</f>
        <v>0</v>
      </c>
      <c r="BK809">
        <f>IF(AND(AK809=ReachLabel,AY809=1),AP809,0)</f>
        <v>0</v>
      </c>
      <c r="BL809">
        <f>IF(AND(AK809=MatchLabel,AY809=1),AP809,0)</f>
        <v>0</v>
      </c>
      <c r="BM809">
        <f>IF(AND(AK809=SafetyLabel,AY809=1),AP809,0)</f>
        <v>0</v>
      </c>
      <c r="BN809">
        <f>IF(AND(AK809=SecureLabel,AY809=1),AP809,0)</f>
        <v>0</v>
      </c>
      <c r="BO809">
        <f>IF(AND(AK809=SureThingLabel,AY809=1),AP809,0)</f>
        <v>0</v>
      </c>
      <c r="BP809">
        <f>MAX(BK809:BO809)</f>
        <v>0</v>
      </c>
      <c r="BQ809">
        <f>MAX(BL809:BO809)</f>
        <v>0</v>
      </c>
      <c r="BR809">
        <f>MAX(BM809:BO809)</f>
        <v>0</v>
      </c>
      <c r="BS809">
        <f>IF(ISNUMBER(Y809),INDEX(AllCollegeChicago, MATCH(N809,AllCollegeNCES,0))*AY809,0)</f>
        <v>0</v>
      </c>
      <c r="BT809">
        <f>IF(ISNUMBER(Y809),INDEX(AllCollegeMoneyCode, MATCH(N809,AllCollegeNCES,0)),"?")</f>
        <v>0</v>
      </c>
      <c r="BU809">
        <f>IF(OR(BT809="---",BT809="--",BT809="+/--",BT809="+/---"),1,0)</f>
        <v>0</v>
      </c>
      <c r="BV809">
        <f>AY809*AO809*AQ809</f>
        <v>0</v>
      </c>
    </row>
    <row r="810" spans="1:74">
      <c r="A810" t="s">
        <v>86</v>
      </c>
      <c r="B810">
        <v>30490744</v>
      </c>
      <c r="C810" t="s">
        <v>203</v>
      </c>
      <c r="D810" t="s">
        <v>204</v>
      </c>
      <c r="E810" t="s">
        <v>428</v>
      </c>
      <c r="F810" t="s">
        <v>502</v>
      </c>
      <c r="G810" t="s">
        <v>463</v>
      </c>
      <c r="H810" t="s">
        <v>431</v>
      </c>
      <c r="I810" t="s">
        <v>432</v>
      </c>
      <c r="J810" t="s">
        <v>432</v>
      </c>
      <c r="K810">
        <v>0</v>
      </c>
      <c r="L810" t="s">
        <v>428</v>
      </c>
      <c r="M810" t="s">
        <v>428</v>
      </c>
      <c r="N810">
        <v>145813</v>
      </c>
      <c r="O810">
        <f>INDEX(AllCollegeBarrons,MATCH(N810,AllCollegeNCES,0))</f>
        <v>0</v>
      </c>
      <c r="P810">
        <f>INDEX(KidGPAs,MATCH(B810,KidIDs,0))</f>
        <v>0</v>
      </c>
      <c r="Q810">
        <f>INDEX(KidACTs,MATCH(B810,KidIDs,0))</f>
        <v>0</v>
      </c>
      <c r="R810">
        <f>INDEX(Strats,MATCH(B810,KidIDs,0))</f>
        <v>0</v>
      </c>
      <c r="S810">
        <f>INDEX(KidRace,MATCH(B810,KidIDs,0))</f>
        <v>0</v>
      </c>
      <c r="T810">
        <f>IF(OR(S810="M",S810="I"),"H",S810)</f>
        <v>0</v>
      </c>
      <c r="U810">
        <f>INDEX(StudentTargets,MATCH(B810,KidIDs,0))</f>
        <v>0</v>
      </c>
      <c r="V810">
        <f>INDEX(ReachStudentTargets,MATCH(B810,KidIDs,0))</f>
        <v>0</v>
      </c>
      <c r="W810">
        <f>IF(OR(M810="Posse"),1,0)</f>
        <v>0</v>
      </c>
      <c r="X810">
        <f>IF(ISNUMBER(INDEX(AllCollegeGR, MATCH(N810,AllCollegeNCES,0))),ROUND(INDEX(AllCollegeGR, MATCH(N810,AllCollegeNCES,0))+W810*IF(INDEX(AllCollegeGR, MATCH(N810,AllCollegeNCES,0))&gt;0.7,(1-INDEX(AllCollegeGR, MATCH(N810,AllCollegeNCES,0)))/2,0.15),2),INDEX(AllCollegeGR, MATCH(N810,AllCollegeNCES,0)))</f>
        <v>0</v>
      </c>
      <c r="Y810">
        <f>IF(ISNUMBER(INDEX(AllCollegeAAHGR, MATCH(N810,AllCollegeNCES,0))),ROUND(INDEX(AllCollegeAAHGR, MATCH(N810,AllCollegeNCES,0))+W810*IF(INDEX(AllCollegeAAHGR, MATCH(N810,AllCollegeNCES,0))&gt;0.7,(1-INDEX(AllCollegeAAHGR, MATCH(N810,AllCollegeNCES,0)))/2,0.15),2),INDEX(AllCollegeAAHGR, MATCH(N810,AllCollegeNCES,0)))</f>
        <v>0</v>
      </c>
      <c r="Z810">
        <f>IF(OR(T810="H",T810="B"),INDEX(AllCollegeACT25, MATCH(N810,AllCollegeNCES,0)),INDEX(AllCollegeACT50, MATCH(N810,AllCollegeNCES,0)))</f>
        <v>0</v>
      </c>
      <c r="AA810">
        <f>INDEX(CustomWeightsGPA,MATCH(T810&amp;":"&amp;N810,CustomWeightsIndex,0))</f>
        <v>0</v>
      </c>
      <c r="AB810">
        <f>INDEX(CustomWeightsACT,MATCH(T810&amp;":"&amp;N810,CustomWeightsIndex,0))</f>
        <v>0</v>
      </c>
      <c r="AC810">
        <f>INDEX(CustomWeightsIntercept,MATCH(T810&amp;":"&amp;N810,CustomWeightsIndex,0))</f>
        <v>0</v>
      </c>
      <c r="AD810">
        <f>AA810*P810+AB810*Q810+AC810</f>
        <v>0</v>
      </c>
      <c r="AE810">
        <f>INDEX(CoefficientsGPA,MATCH(T810&amp;":"&amp;O810,CoefficientsIndex,0))</f>
        <v>0</v>
      </c>
      <c r="AF810">
        <f>INDEX(CoefficientsACT,MATCH(T810&amp;":"&amp;O810,CoefficientsIndex,0))</f>
        <v>0</v>
      </c>
      <c r="AG810">
        <f>INDEX(CoefficientsIntercept,MATCH(T810&amp;":"&amp;O810,CoefficientsIndex,0))</f>
        <v>0</v>
      </c>
      <c r="AH810">
        <f>AE810*P810+(Q810-Z810)*AF810+AG810</f>
        <v>0</v>
      </c>
      <c r="AI810">
        <f>IF(ISNUMBER(AD810),AD810,AH810)</f>
        <v>0</v>
      </c>
      <c r="AJ810">
        <f>IF(ISNUMBER(AI810),IF(ISNUMBER(AE810),IF(AND(AE810=1,AF810=1,AG810=1),100,ROUND(100*EXP(AI810)/(1+EXP(AI810)),2)),ROUND(100*EXP(AI810)/(1+EXP(AI810)),2)),IF(ISTEXT(O810),IF(LEFT(O810,1)="2",100,"N/A"),"N/A"))</f>
        <v>0</v>
      </c>
      <c r="AK810">
        <f>IF(ISNUMBER(AJ810),IF(AJ810&gt;=99,IF(OR(R810=10,R810=11),MatchLabel,SureThingLabel),IF(AJ810&gt;=95,SecureLabel,IF(AJ810&gt;=80,SafetyLabel,IF(AJ810&gt;=50,MatchLabel,IF(AJ810&gt;=20,ReachLabel,IF(AJ810&gt;=10,LongshotLabel,HailMaryLabel)))))),"Other")</f>
        <v>0</v>
      </c>
      <c r="AL810">
        <f>IF(OR(I810="accepted",I810="cond. accept",I810="summer admit"),IF(J810="yes","CHOICE!","Accepted!"),IF(I810="denied","Denied",IF(K810=1,"Waitlist",IF(L810=1,"Deferred",IF(G810="pending","Pending",IF(OR(G810="initial materials submitted",G810="mid-year submitted",G810="final submitted"),"Submitted",IF(H810="interest","Interest","?")))))))</f>
        <v>0</v>
      </c>
      <c r="AM810">
        <f>IF(OR(AK810=ReachLabel,AK810=LongshotLabel,AK810=HailMaryLabel),1,0)</f>
        <v>0</v>
      </c>
      <c r="AN810">
        <f>IF(OR(AM810=1,AK810=MatchLabel),1,0)</f>
        <v>0</v>
      </c>
      <c r="AO810">
        <f>IF(OR(AK810=MatchLabel,AK810=SafetyLabel,AK810=SecureLabel,AK810=SureThingLabel),1,0)</f>
        <v>0</v>
      </c>
      <c r="AP810">
        <f>IF(OR(T810="H",T810="B"),IF(ISNUMBER(Y810),ROUND(Y810,2),0),IF(ISNUMBER(X810),ROUND(X810,2),0))</f>
        <v>0</v>
      </c>
      <c r="AQ810">
        <f>IF(AP810&gt;=U810,1,0)</f>
        <v>0</v>
      </c>
      <c r="AR810">
        <f>IF(AP810&gt;=V810,1,0)</f>
        <v>0</v>
      </c>
      <c r="AS810">
        <f>IF(AP810&lt;(U810-0.10),1,0)</f>
        <v>0</v>
      </c>
      <c r="AT810">
        <f>1-AJ810/100</f>
        <v>0</v>
      </c>
      <c r="AU810">
        <f>IF(AN810=1,AT810,1)</f>
        <v>0</v>
      </c>
      <c r="AV810">
        <f>IF(AM810=1,AT810,1)</f>
        <v>0</v>
      </c>
      <c r="AW810">
        <f>IF(AND(AQ810=1,ISNUMBER(AT810)),$AT810,1)</f>
        <v>0</v>
      </c>
      <c r="AX810">
        <f>IF(AND(AR810=1,ISNUMBER(AT810)),$AT810,1)</f>
        <v>0</v>
      </c>
      <c r="AY810">
        <f>IF(ISNUMBER(Y810),INDEX(AllCollegeMoney, MATCH(N810,AllCollegeNCES,0)),0)</f>
        <v>0</v>
      </c>
      <c r="AZ810">
        <f>IF(AND(AQ810=1,ISNUMBER(AT810),AY810=1),$AT810,1)</f>
        <v>0</v>
      </c>
      <c r="BA810">
        <f>IF(AND(AR810=1,ISNUMBER(AT810),AY810=1),$AT810,1)</f>
        <v>0</v>
      </c>
      <c r="BB810">
        <f>IF(ISNUMBER(Y810),INDEX(AllCollegeILPub, MATCH(N810,AllCollegeNCES,0)),0)</f>
        <v>0</v>
      </c>
      <c r="BC810">
        <f>IF(AK810=ReachLabel,AP810,0)</f>
        <v>0</v>
      </c>
      <c r="BD810">
        <f>IF(AK810=MatchLabel,AP810,0)</f>
        <v>0</v>
      </c>
      <c r="BE810">
        <f>IF(AK810=SafetyLabel,AP810,0)</f>
        <v>0</v>
      </c>
      <c r="BF810">
        <f>IF(AK810=SecureLabel,AP810,0)</f>
        <v>0</v>
      </c>
      <c r="BG810">
        <f>IF(AK810=SureThingLabel,AP810,0)</f>
        <v>0</v>
      </c>
      <c r="BH810">
        <f>MAX(BC810:BG810)</f>
        <v>0</v>
      </c>
      <c r="BI810">
        <f>MAX(BD810:BG810)</f>
        <v>0</v>
      </c>
      <c r="BJ810">
        <f>MAX(BE810:BG810)</f>
        <v>0</v>
      </c>
      <c r="BK810">
        <f>IF(AND(AK810=ReachLabel,AY810=1),AP810,0)</f>
        <v>0</v>
      </c>
      <c r="BL810">
        <f>IF(AND(AK810=MatchLabel,AY810=1),AP810,0)</f>
        <v>0</v>
      </c>
      <c r="BM810">
        <f>IF(AND(AK810=SafetyLabel,AY810=1),AP810,0)</f>
        <v>0</v>
      </c>
      <c r="BN810">
        <f>IF(AND(AK810=SecureLabel,AY810=1),AP810,0)</f>
        <v>0</v>
      </c>
      <c r="BO810">
        <f>IF(AND(AK810=SureThingLabel,AY810=1),AP810,0)</f>
        <v>0</v>
      </c>
      <c r="BP810">
        <f>MAX(BK810:BO810)</f>
        <v>0</v>
      </c>
      <c r="BQ810">
        <f>MAX(BL810:BO810)</f>
        <v>0</v>
      </c>
      <c r="BR810">
        <f>MAX(BM810:BO810)</f>
        <v>0</v>
      </c>
      <c r="BS810">
        <f>IF(ISNUMBER(Y810),INDEX(AllCollegeChicago, MATCH(N810,AllCollegeNCES,0))*AY810,0)</f>
        <v>0</v>
      </c>
      <c r="BT810">
        <f>IF(ISNUMBER(Y810),INDEX(AllCollegeMoneyCode, MATCH(N810,AllCollegeNCES,0)),"?")</f>
        <v>0</v>
      </c>
      <c r="BU810">
        <f>IF(OR(BT810="---",BT810="--",BT810="+/--",BT810="+/---"),1,0)</f>
        <v>0</v>
      </c>
      <c r="BV810">
        <f>AY810*AO810*AQ810</f>
        <v>0</v>
      </c>
    </row>
    <row r="811" spans="1:74">
      <c r="A811" t="s">
        <v>86</v>
      </c>
      <c r="B811">
        <v>30490744</v>
      </c>
      <c r="C811" t="s">
        <v>203</v>
      </c>
      <c r="D811" t="s">
        <v>204</v>
      </c>
      <c r="E811" t="s">
        <v>428</v>
      </c>
      <c r="F811" t="s">
        <v>601</v>
      </c>
      <c r="G811" t="s">
        <v>463</v>
      </c>
      <c r="H811" t="s">
        <v>431</v>
      </c>
      <c r="I811" t="s">
        <v>432</v>
      </c>
      <c r="J811" t="s">
        <v>432</v>
      </c>
      <c r="K811">
        <v>0</v>
      </c>
      <c r="L811" t="s">
        <v>428</v>
      </c>
      <c r="M811" t="s">
        <v>428</v>
      </c>
      <c r="N811">
        <v>238476</v>
      </c>
      <c r="O811">
        <f>INDEX(AllCollegeBarrons,MATCH(N811,AllCollegeNCES,0))</f>
        <v>0</v>
      </c>
      <c r="P811">
        <f>INDEX(KidGPAs,MATCH(B811,KidIDs,0))</f>
        <v>0</v>
      </c>
      <c r="Q811">
        <f>INDEX(KidACTs,MATCH(B811,KidIDs,0))</f>
        <v>0</v>
      </c>
      <c r="R811">
        <f>INDEX(Strats,MATCH(B811,KidIDs,0))</f>
        <v>0</v>
      </c>
      <c r="S811">
        <f>INDEX(KidRace,MATCH(B811,KidIDs,0))</f>
        <v>0</v>
      </c>
      <c r="T811">
        <f>IF(OR(S811="M",S811="I"),"H",S811)</f>
        <v>0</v>
      </c>
      <c r="U811">
        <f>INDEX(StudentTargets,MATCH(B811,KidIDs,0))</f>
        <v>0</v>
      </c>
      <c r="V811">
        <f>INDEX(ReachStudentTargets,MATCH(B811,KidIDs,0))</f>
        <v>0</v>
      </c>
      <c r="W811">
        <f>IF(OR(M811="Posse"),1,0)</f>
        <v>0</v>
      </c>
      <c r="X811">
        <f>IF(ISNUMBER(INDEX(AllCollegeGR, MATCH(N811,AllCollegeNCES,0))),ROUND(INDEX(AllCollegeGR, MATCH(N811,AllCollegeNCES,0))+W811*IF(INDEX(AllCollegeGR, MATCH(N811,AllCollegeNCES,0))&gt;0.7,(1-INDEX(AllCollegeGR, MATCH(N811,AllCollegeNCES,0)))/2,0.15),2),INDEX(AllCollegeGR, MATCH(N811,AllCollegeNCES,0)))</f>
        <v>0</v>
      </c>
      <c r="Y811">
        <f>IF(ISNUMBER(INDEX(AllCollegeAAHGR, MATCH(N811,AllCollegeNCES,0))),ROUND(INDEX(AllCollegeAAHGR, MATCH(N811,AllCollegeNCES,0))+W811*IF(INDEX(AllCollegeAAHGR, MATCH(N811,AllCollegeNCES,0))&gt;0.7,(1-INDEX(AllCollegeAAHGR, MATCH(N811,AllCollegeNCES,0)))/2,0.15),2),INDEX(AllCollegeAAHGR, MATCH(N811,AllCollegeNCES,0)))</f>
        <v>0</v>
      </c>
      <c r="Z811">
        <f>IF(OR(T811="H",T811="B"),INDEX(AllCollegeACT25, MATCH(N811,AllCollegeNCES,0)),INDEX(AllCollegeACT50, MATCH(N811,AllCollegeNCES,0)))</f>
        <v>0</v>
      </c>
      <c r="AA811">
        <f>INDEX(CustomWeightsGPA,MATCH(T811&amp;":"&amp;N811,CustomWeightsIndex,0))</f>
        <v>0</v>
      </c>
      <c r="AB811">
        <f>INDEX(CustomWeightsACT,MATCH(T811&amp;":"&amp;N811,CustomWeightsIndex,0))</f>
        <v>0</v>
      </c>
      <c r="AC811">
        <f>INDEX(CustomWeightsIntercept,MATCH(T811&amp;":"&amp;N811,CustomWeightsIndex,0))</f>
        <v>0</v>
      </c>
      <c r="AD811">
        <f>AA811*P811+AB811*Q811+AC811</f>
        <v>0</v>
      </c>
      <c r="AE811">
        <f>INDEX(CoefficientsGPA,MATCH(T811&amp;":"&amp;O811,CoefficientsIndex,0))</f>
        <v>0</v>
      </c>
      <c r="AF811">
        <f>INDEX(CoefficientsACT,MATCH(T811&amp;":"&amp;O811,CoefficientsIndex,0))</f>
        <v>0</v>
      </c>
      <c r="AG811">
        <f>INDEX(CoefficientsIntercept,MATCH(T811&amp;":"&amp;O811,CoefficientsIndex,0))</f>
        <v>0</v>
      </c>
      <c r="AH811">
        <f>AE811*P811+(Q811-Z811)*AF811+AG811</f>
        <v>0</v>
      </c>
      <c r="AI811">
        <f>IF(ISNUMBER(AD811),AD811,AH811)</f>
        <v>0</v>
      </c>
      <c r="AJ811">
        <f>IF(ISNUMBER(AI811),IF(ISNUMBER(AE811),IF(AND(AE811=1,AF811=1,AG811=1),100,ROUND(100*EXP(AI811)/(1+EXP(AI811)),2)),ROUND(100*EXP(AI811)/(1+EXP(AI811)),2)),IF(ISTEXT(O811),IF(LEFT(O811,1)="2",100,"N/A"),"N/A"))</f>
        <v>0</v>
      </c>
      <c r="AK811">
        <f>IF(ISNUMBER(AJ811),IF(AJ811&gt;=99,IF(OR(R811=10,R811=11),MatchLabel,SureThingLabel),IF(AJ811&gt;=95,SecureLabel,IF(AJ811&gt;=80,SafetyLabel,IF(AJ811&gt;=50,MatchLabel,IF(AJ811&gt;=20,ReachLabel,IF(AJ811&gt;=10,LongshotLabel,HailMaryLabel)))))),"Other")</f>
        <v>0</v>
      </c>
      <c r="AL811">
        <f>IF(OR(I811="accepted",I811="cond. accept",I811="summer admit"),IF(J811="yes","CHOICE!","Accepted!"),IF(I811="denied","Denied",IF(K811=1,"Waitlist",IF(L811=1,"Deferred",IF(G811="pending","Pending",IF(OR(G811="initial materials submitted",G811="mid-year submitted",G811="final submitted"),"Submitted",IF(H811="interest","Interest","?")))))))</f>
        <v>0</v>
      </c>
      <c r="AM811">
        <f>IF(OR(AK811=ReachLabel,AK811=LongshotLabel,AK811=HailMaryLabel),1,0)</f>
        <v>0</v>
      </c>
      <c r="AN811">
        <f>IF(OR(AM811=1,AK811=MatchLabel),1,0)</f>
        <v>0</v>
      </c>
      <c r="AO811">
        <f>IF(OR(AK811=MatchLabel,AK811=SafetyLabel,AK811=SecureLabel,AK811=SureThingLabel),1,0)</f>
        <v>0</v>
      </c>
      <c r="AP811">
        <f>IF(OR(T811="H",T811="B"),IF(ISNUMBER(Y811),ROUND(Y811,2),0),IF(ISNUMBER(X811),ROUND(X811,2),0))</f>
        <v>0</v>
      </c>
      <c r="AQ811">
        <f>IF(AP811&gt;=U811,1,0)</f>
        <v>0</v>
      </c>
      <c r="AR811">
        <f>IF(AP811&gt;=V811,1,0)</f>
        <v>0</v>
      </c>
      <c r="AS811">
        <f>IF(AP811&lt;(U811-0.10),1,0)</f>
        <v>0</v>
      </c>
      <c r="AT811">
        <f>1-AJ811/100</f>
        <v>0</v>
      </c>
      <c r="AU811">
        <f>IF(AN811=1,AT811,1)</f>
        <v>0</v>
      </c>
      <c r="AV811">
        <f>IF(AM811=1,AT811,1)</f>
        <v>0</v>
      </c>
      <c r="AW811">
        <f>IF(AND(AQ811=1,ISNUMBER(AT811)),$AT811,1)</f>
        <v>0</v>
      </c>
      <c r="AX811">
        <f>IF(AND(AR811=1,ISNUMBER(AT811)),$AT811,1)</f>
        <v>0</v>
      </c>
      <c r="AY811">
        <f>IF(ISNUMBER(Y811),INDEX(AllCollegeMoney, MATCH(N811,AllCollegeNCES,0)),0)</f>
        <v>0</v>
      </c>
      <c r="AZ811">
        <f>IF(AND(AQ811=1,ISNUMBER(AT811),AY811=1),$AT811,1)</f>
        <v>0</v>
      </c>
      <c r="BA811">
        <f>IF(AND(AR811=1,ISNUMBER(AT811),AY811=1),$AT811,1)</f>
        <v>0</v>
      </c>
      <c r="BB811">
        <f>IF(ISNUMBER(Y811),INDEX(AllCollegeILPub, MATCH(N811,AllCollegeNCES,0)),0)</f>
        <v>0</v>
      </c>
      <c r="BC811">
        <f>IF(AK811=ReachLabel,AP811,0)</f>
        <v>0</v>
      </c>
      <c r="BD811">
        <f>IF(AK811=MatchLabel,AP811,0)</f>
        <v>0</v>
      </c>
      <c r="BE811">
        <f>IF(AK811=SafetyLabel,AP811,0)</f>
        <v>0</v>
      </c>
      <c r="BF811">
        <f>IF(AK811=SecureLabel,AP811,0)</f>
        <v>0</v>
      </c>
      <c r="BG811">
        <f>IF(AK811=SureThingLabel,AP811,0)</f>
        <v>0</v>
      </c>
      <c r="BH811">
        <f>MAX(BC811:BG811)</f>
        <v>0</v>
      </c>
      <c r="BI811">
        <f>MAX(BD811:BG811)</f>
        <v>0</v>
      </c>
      <c r="BJ811">
        <f>MAX(BE811:BG811)</f>
        <v>0</v>
      </c>
      <c r="BK811">
        <f>IF(AND(AK811=ReachLabel,AY811=1),AP811,0)</f>
        <v>0</v>
      </c>
      <c r="BL811">
        <f>IF(AND(AK811=MatchLabel,AY811=1),AP811,0)</f>
        <v>0</v>
      </c>
      <c r="BM811">
        <f>IF(AND(AK811=SafetyLabel,AY811=1),AP811,0)</f>
        <v>0</v>
      </c>
      <c r="BN811">
        <f>IF(AND(AK811=SecureLabel,AY811=1),AP811,0)</f>
        <v>0</v>
      </c>
      <c r="BO811">
        <f>IF(AND(AK811=SureThingLabel,AY811=1),AP811,0)</f>
        <v>0</v>
      </c>
      <c r="BP811">
        <f>MAX(BK811:BO811)</f>
        <v>0</v>
      </c>
      <c r="BQ811">
        <f>MAX(BL811:BO811)</f>
        <v>0</v>
      </c>
      <c r="BR811">
        <f>MAX(BM811:BO811)</f>
        <v>0</v>
      </c>
      <c r="BS811">
        <f>IF(ISNUMBER(Y811),INDEX(AllCollegeChicago, MATCH(N811,AllCollegeNCES,0))*AY811,0)</f>
        <v>0</v>
      </c>
      <c r="BT811">
        <f>IF(ISNUMBER(Y811),INDEX(AllCollegeMoneyCode, MATCH(N811,AllCollegeNCES,0)),"?")</f>
        <v>0</v>
      </c>
      <c r="BU811">
        <f>IF(OR(BT811="---",BT811="--",BT811="+/--",BT811="+/---"),1,0)</f>
        <v>0</v>
      </c>
      <c r="BV811">
        <f>AY811*AO811*AQ811</f>
        <v>0</v>
      </c>
    </row>
    <row r="812" spans="1:74">
      <c r="A812" t="s">
        <v>86</v>
      </c>
      <c r="B812">
        <v>30490744</v>
      </c>
      <c r="C812" t="s">
        <v>203</v>
      </c>
      <c r="D812" t="s">
        <v>204</v>
      </c>
      <c r="E812" t="s">
        <v>428</v>
      </c>
      <c r="F812" t="s">
        <v>438</v>
      </c>
      <c r="G812" t="s">
        <v>430</v>
      </c>
      <c r="H812" t="s">
        <v>431</v>
      </c>
      <c r="I812" t="s">
        <v>432</v>
      </c>
      <c r="J812" t="s">
        <v>432</v>
      </c>
      <c r="K812">
        <v>0</v>
      </c>
      <c r="L812" t="s">
        <v>428</v>
      </c>
      <c r="M812" t="s">
        <v>439</v>
      </c>
      <c r="N812">
        <v>150774</v>
      </c>
      <c r="O812">
        <f>INDEX(AllCollegeBarrons,MATCH(N812,AllCollegeNCES,0))</f>
        <v>0</v>
      </c>
      <c r="P812">
        <f>INDEX(KidGPAs,MATCH(B812,KidIDs,0))</f>
        <v>0</v>
      </c>
      <c r="Q812">
        <f>INDEX(KidACTs,MATCH(B812,KidIDs,0))</f>
        <v>0</v>
      </c>
      <c r="R812">
        <f>INDEX(Strats,MATCH(B812,KidIDs,0))</f>
        <v>0</v>
      </c>
      <c r="S812">
        <f>INDEX(KidRace,MATCH(B812,KidIDs,0))</f>
        <v>0</v>
      </c>
      <c r="T812">
        <f>IF(OR(S812="M",S812="I"),"H",S812)</f>
        <v>0</v>
      </c>
      <c r="U812">
        <f>INDEX(StudentTargets,MATCH(B812,KidIDs,0))</f>
        <v>0</v>
      </c>
      <c r="V812">
        <f>INDEX(ReachStudentTargets,MATCH(B812,KidIDs,0))</f>
        <v>0</v>
      </c>
      <c r="W812">
        <f>IF(OR(M812="Posse"),1,0)</f>
        <v>0</v>
      </c>
      <c r="X812">
        <f>IF(ISNUMBER(INDEX(AllCollegeGR, MATCH(N812,AllCollegeNCES,0))),ROUND(INDEX(AllCollegeGR, MATCH(N812,AllCollegeNCES,0))+W812*IF(INDEX(AllCollegeGR, MATCH(N812,AllCollegeNCES,0))&gt;0.7,(1-INDEX(AllCollegeGR, MATCH(N812,AllCollegeNCES,0)))/2,0.15),2),INDEX(AllCollegeGR, MATCH(N812,AllCollegeNCES,0)))</f>
        <v>0</v>
      </c>
      <c r="Y812">
        <f>IF(ISNUMBER(INDEX(AllCollegeAAHGR, MATCH(N812,AllCollegeNCES,0))),ROUND(INDEX(AllCollegeAAHGR, MATCH(N812,AllCollegeNCES,0))+W812*IF(INDEX(AllCollegeAAHGR, MATCH(N812,AllCollegeNCES,0))&gt;0.7,(1-INDEX(AllCollegeAAHGR, MATCH(N812,AllCollegeNCES,0)))/2,0.15),2),INDEX(AllCollegeAAHGR, MATCH(N812,AllCollegeNCES,0)))</f>
        <v>0</v>
      </c>
      <c r="Z812">
        <f>IF(OR(T812="H",T812="B"),INDEX(AllCollegeACT25, MATCH(N812,AllCollegeNCES,0)),INDEX(AllCollegeACT50, MATCH(N812,AllCollegeNCES,0)))</f>
        <v>0</v>
      </c>
      <c r="AA812">
        <f>INDEX(CustomWeightsGPA,MATCH(T812&amp;":"&amp;N812,CustomWeightsIndex,0))</f>
        <v>0</v>
      </c>
      <c r="AB812">
        <f>INDEX(CustomWeightsACT,MATCH(T812&amp;":"&amp;N812,CustomWeightsIndex,0))</f>
        <v>0</v>
      </c>
      <c r="AC812">
        <f>INDEX(CustomWeightsIntercept,MATCH(T812&amp;":"&amp;N812,CustomWeightsIndex,0))</f>
        <v>0</v>
      </c>
      <c r="AD812">
        <f>AA812*P812+AB812*Q812+AC812</f>
        <v>0</v>
      </c>
      <c r="AE812">
        <f>INDEX(CoefficientsGPA,MATCH(T812&amp;":"&amp;O812,CoefficientsIndex,0))</f>
        <v>0</v>
      </c>
      <c r="AF812">
        <f>INDEX(CoefficientsACT,MATCH(T812&amp;":"&amp;O812,CoefficientsIndex,0))</f>
        <v>0</v>
      </c>
      <c r="AG812">
        <f>INDEX(CoefficientsIntercept,MATCH(T812&amp;":"&amp;O812,CoefficientsIndex,0))</f>
        <v>0</v>
      </c>
      <c r="AH812">
        <f>AE812*P812+(Q812-Z812)*AF812+AG812</f>
        <v>0</v>
      </c>
      <c r="AI812">
        <f>IF(ISNUMBER(AD812),AD812,AH812)</f>
        <v>0</v>
      </c>
      <c r="AJ812">
        <f>IF(ISNUMBER(AI812),IF(ISNUMBER(AE812),IF(AND(AE812=1,AF812=1,AG812=1),100,ROUND(100*EXP(AI812)/(1+EXP(AI812)),2)),ROUND(100*EXP(AI812)/(1+EXP(AI812)),2)),IF(ISTEXT(O812),IF(LEFT(O812,1)="2",100,"N/A"),"N/A"))</f>
        <v>0</v>
      </c>
      <c r="AK812">
        <f>IF(ISNUMBER(AJ812),IF(AJ812&gt;=99,IF(OR(R812=10,R812=11),MatchLabel,SureThingLabel),IF(AJ812&gt;=95,SecureLabel,IF(AJ812&gt;=80,SafetyLabel,IF(AJ812&gt;=50,MatchLabel,IF(AJ812&gt;=20,ReachLabel,IF(AJ812&gt;=10,LongshotLabel,HailMaryLabel)))))),"Other")</f>
        <v>0</v>
      </c>
      <c r="AL812">
        <f>IF(OR(I812="accepted",I812="cond. accept",I812="summer admit"),IF(J812="yes","CHOICE!","Accepted!"),IF(I812="denied","Denied",IF(K812=1,"Waitlist",IF(L812=1,"Deferred",IF(G812="pending","Pending",IF(OR(G812="initial materials submitted",G812="mid-year submitted",G812="final submitted"),"Submitted",IF(H812="interest","Interest","?")))))))</f>
        <v>0</v>
      </c>
      <c r="AM812">
        <f>IF(OR(AK812=ReachLabel,AK812=LongshotLabel,AK812=HailMaryLabel),1,0)</f>
        <v>0</v>
      </c>
      <c r="AN812">
        <f>IF(OR(AM812=1,AK812=MatchLabel),1,0)</f>
        <v>0</v>
      </c>
      <c r="AO812">
        <f>IF(OR(AK812=MatchLabel,AK812=SafetyLabel,AK812=SecureLabel,AK812=SureThingLabel),1,0)</f>
        <v>0</v>
      </c>
      <c r="AP812">
        <f>IF(OR(T812="H",T812="B"),IF(ISNUMBER(Y812),ROUND(Y812,2),0),IF(ISNUMBER(X812),ROUND(X812,2),0))</f>
        <v>0</v>
      </c>
      <c r="AQ812">
        <f>IF(AP812&gt;=U812,1,0)</f>
        <v>0</v>
      </c>
      <c r="AR812">
        <f>IF(AP812&gt;=V812,1,0)</f>
        <v>0</v>
      </c>
      <c r="AS812">
        <f>IF(AP812&lt;(U812-0.10),1,0)</f>
        <v>0</v>
      </c>
      <c r="AT812">
        <f>1-AJ812/100</f>
        <v>0</v>
      </c>
      <c r="AU812">
        <f>IF(AN812=1,AT812,1)</f>
        <v>0</v>
      </c>
      <c r="AV812">
        <f>IF(AM812=1,AT812,1)</f>
        <v>0</v>
      </c>
      <c r="AW812">
        <f>IF(AND(AQ812=1,ISNUMBER(AT812)),$AT812,1)</f>
        <v>0</v>
      </c>
      <c r="AX812">
        <f>IF(AND(AR812=1,ISNUMBER(AT812)),$AT812,1)</f>
        <v>0</v>
      </c>
      <c r="AY812">
        <f>IF(ISNUMBER(Y812),INDEX(AllCollegeMoney, MATCH(N812,AllCollegeNCES,0)),0)</f>
        <v>0</v>
      </c>
      <c r="AZ812">
        <f>IF(AND(AQ812=1,ISNUMBER(AT812),AY812=1),$AT812,1)</f>
        <v>0</v>
      </c>
      <c r="BA812">
        <f>IF(AND(AR812=1,ISNUMBER(AT812),AY812=1),$AT812,1)</f>
        <v>0</v>
      </c>
      <c r="BB812">
        <f>IF(ISNUMBER(Y812),INDEX(AllCollegeILPub, MATCH(N812,AllCollegeNCES,0)),0)</f>
        <v>0</v>
      </c>
      <c r="BC812">
        <f>IF(AK812=ReachLabel,AP812,0)</f>
        <v>0</v>
      </c>
      <c r="BD812">
        <f>IF(AK812=MatchLabel,AP812,0)</f>
        <v>0</v>
      </c>
      <c r="BE812">
        <f>IF(AK812=SafetyLabel,AP812,0)</f>
        <v>0</v>
      </c>
      <c r="BF812">
        <f>IF(AK812=SecureLabel,AP812,0)</f>
        <v>0</v>
      </c>
      <c r="BG812">
        <f>IF(AK812=SureThingLabel,AP812,0)</f>
        <v>0</v>
      </c>
      <c r="BH812">
        <f>MAX(BC812:BG812)</f>
        <v>0</v>
      </c>
      <c r="BI812">
        <f>MAX(BD812:BG812)</f>
        <v>0</v>
      </c>
      <c r="BJ812">
        <f>MAX(BE812:BG812)</f>
        <v>0</v>
      </c>
      <c r="BK812">
        <f>IF(AND(AK812=ReachLabel,AY812=1),AP812,0)</f>
        <v>0</v>
      </c>
      <c r="BL812">
        <f>IF(AND(AK812=MatchLabel,AY812=1),AP812,0)</f>
        <v>0</v>
      </c>
      <c r="BM812">
        <f>IF(AND(AK812=SafetyLabel,AY812=1),AP812,0)</f>
        <v>0</v>
      </c>
      <c r="BN812">
        <f>IF(AND(AK812=SecureLabel,AY812=1),AP812,0)</f>
        <v>0</v>
      </c>
      <c r="BO812">
        <f>IF(AND(AK812=SureThingLabel,AY812=1),AP812,0)</f>
        <v>0</v>
      </c>
      <c r="BP812">
        <f>MAX(BK812:BO812)</f>
        <v>0</v>
      </c>
      <c r="BQ812">
        <f>MAX(BL812:BO812)</f>
        <v>0</v>
      </c>
      <c r="BR812">
        <f>MAX(BM812:BO812)</f>
        <v>0</v>
      </c>
      <c r="BS812">
        <f>IF(ISNUMBER(Y812),INDEX(AllCollegeChicago, MATCH(N812,AllCollegeNCES,0))*AY812,0)</f>
        <v>0</v>
      </c>
      <c r="BT812">
        <f>IF(ISNUMBER(Y812),INDEX(AllCollegeMoneyCode, MATCH(N812,AllCollegeNCES,0)),"?")</f>
        <v>0</v>
      </c>
      <c r="BU812">
        <f>IF(OR(BT812="---",BT812="--",BT812="+/--",BT812="+/---"),1,0)</f>
        <v>0</v>
      </c>
      <c r="BV812">
        <f>AY812*AO812*AQ812</f>
        <v>0</v>
      </c>
    </row>
  </sheetData>
  <autoFilter ref="A1:BV81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155"/>
  <sheetViews>
    <sheetView workbookViewId="0"/>
  </sheetViews>
  <sheetFormatPr defaultRowHeight="15"/>
  <cols>
    <col min="2" max="2" width="40.7109375" customWidth="1"/>
    <col min="3" max="3" width="22.7109375" customWidth="1"/>
    <col min="4" max="5" width="7.7109375" style="92" customWidth="1"/>
    <col min="6" max="12" width="7.7109375" customWidth="1"/>
  </cols>
  <sheetData>
    <row r="1" spans="1:12">
      <c r="A1" s="93" t="s">
        <v>611</v>
      </c>
      <c r="B1" s="93" t="s">
        <v>602</v>
      </c>
      <c r="C1" s="93" t="s">
        <v>603</v>
      </c>
      <c r="D1" s="93" t="s">
        <v>604</v>
      </c>
      <c r="E1" s="93" t="s">
        <v>605</v>
      </c>
      <c r="F1" s="93" t="s">
        <v>606</v>
      </c>
      <c r="G1" s="93" t="s">
        <v>607</v>
      </c>
      <c r="H1" s="93" t="s">
        <v>425</v>
      </c>
      <c r="I1" s="93" t="s">
        <v>349</v>
      </c>
      <c r="J1" s="93" t="s">
        <v>608</v>
      </c>
      <c r="K1" s="93" t="s">
        <v>609</v>
      </c>
      <c r="L1" s="93" t="s">
        <v>610</v>
      </c>
    </row>
    <row r="2" spans="1:12">
      <c r="A2" s="93">
        <v>100654</v>
      </c>
      <c r="B2" t="s">
        <v>614</v>
      </c>
      <c r="C2" t="s">
        <v>5602</v>
      </c>
      <c r="D2" s="92">
        <v>0.27</v>
      </c>
      <c r="E2" s="92">
        <v>0.43</v>
      </c>
      <c r="F2">
        <v>16</v>
      </c>
      <c r="G2">
        <v>17.5</v>
      </c>
      <c r="H2" t="s">
        <v>5613</v>
      </c>
      <c r="I2">
        <v>1</v>
      </c>
      <c r="J2" t="s">
        <v>138</v>
      </c>
      <c r="K2">
        <v>0</v>
      </c>
      <c r="L2">
        <v>0</v>
      </c>
    </row>
    <row r="3" spans="1:12">
      <c r="A3" s="93" t="s">
        <v>612</v>
      </c>
      <c r="B3" t="s">
        <v>615</v>
      </c>
      <c r="C3" t="s">
        <v>5603</v>
      </c>
      <c r="D3" s="92">
        <v>0.57</v>
      </c>
      <c r="E3" s="92">
        <v>0.52</v>
      </c>
      <c r="F3" t="s">
        <v>428</v>
      </c>
      <c r="G3" t="s">
        <v>428</v>
      </c>
      <c r="H3" t="s">
        <v>5614</v>
      </c>
      <c r="I3">
        <v>1</v>
      </c>
      <c r="J3" t="s">
        <v>87</v>
      </c>
      <c r="K3">
        <v>0</v>
      </c>
      <c r="L3">
        <v>0</v>
      </c>
    </row>
    <row r="4" spans="1:12">
      <c r="A4" s="93" t="s">
        <v>449</v>
      </c>
      <c r="B4" t="s">
        <v>448</v>
      </c>
      <c r="C4" t="s">
        <v>5604</v>
      </c>
      <c r="D4" s="92">
        <v>0.5</v>
      </c>
      <c r="E4" s="92">
        <v>0.44</v>
      </c>
      <c r="F4" t="s">
        <v>428</v>
      </c>
      <c r="G4" t="s">
        <v>428</v>
      </c>
      <c r="H4" t="s">
        <v>5614</v>
      </c>
      <c r="I4">
        <v>1</v>
      </c>
      <c r="J4" t="s">
        <v>87</v>
      </c>
      <c r="K4">
        <v>0</v>
      </c>
      <c r="L4">
        <v>1</v>
      </c>
    </row>
    <row r="5" spans="1:12">
      <c r="A5" s="93" t="s">
        <v>613</v>
      </c>
      <c r="B5" t="s">
        <v>616</v>
      </c>
      <c r="C5" t="s">
        <v>5605</v>
      </c>
      <c r="D5" s="92">
        <v>0.88</v>
      </c>
      <c r="E5" s="92">
        <v>0.8</v>
      </c>
      <c r="F5" t="s">
        <v>428</v>
      </c>
      <c r="G5" t="s">
        <v>428</v>
      </c>
      <c r="H5" t="s">
        <v>5614</v>
      </c>
      <c r="I5">
        <v>1</v>
      </c>
      <c r="J5" t="s">
        <v>87</v>
      </c>
      <c r="K5">
        <v>1</v>
      </c>
      <c r="L5">
        <v>1</v>
      </c>
    </row>
    <row r="6" spans="1:12">
      <c r="A6" s="93">
        <v>100663</v>
      </c>
      <c r="B6" t="s">
        <v>617</v>
      </c>
      <c r="C6" t="s">
        <v>5602</v>
      </c>
      <c r="D6" s="92">
        <v>0.53</v>
      </c>
      <c r="E6" s="92">
        <v>0.49</v>
      </c>
      <c r="F6">
        <v>21</v>
      </c>
      <c r="G6">
        <v>24.5</v>
      </c>
      <c r="H6" t="s">
        <v>5615</v>
      </c>
      <c r="I6">
        <v>0</v>
      </c>
      <c r="J6" t="s">
        <v>87</v>
      </c>
      <c r="K6">
        <v>0</v>
      </c>
      <c r="L6">
        <v>0</v>
      </c>
    </row>
    <row r="7" spans="1:12">
      <c r="A7" s="93">
        <v>100690</v>
      </c>
      <c r="B7" t="s">
        <v>618</v>
      </c>
      <c r="C7" t="s">
        <v>5604</v>
      </c>
      <c r="D7" s="92">
        <v>0.29</v>
      </c>
      <c r="E7" s="92">
        <v>0.33</v>
      </c>
      <c r="F7" t="s">
        <v>428</v>
      </c>
      <c r="G7" t="s">
        <v>428</v>
      </c>
      <c r="H7" t="s">
        <v>5616</v>
      </c>
      <c r="I7">
        <v>0</v>
      </c>
      <c r="J7" t="s">
        <v>87</v>
      </c>
      <c r="K7">
        <v>0</v>
      </c>
      <c r="L7">
        <v>0</v>
      </c>
    </row>
    <row r="8" spans="1:12">
      <c r="A8" s="93">
        <v>100706</v>
      </c>
      <c r="B8" t="s">
        <v>619</v>
      </c>
      <c r="C8" t="s">
        <v>5603</v>
      </c>
      <c r="D8" s="92">
        <v>0.48</v>
      </c>
      <c r="E8" s="92">
        <v>0.34</v>
      </c>
      <c r="F8">
        <v>25</v>
      </c>
      <c r="G8">
        <v>28</v>
      </c>
      <c r="H8" t="s">
        <v>5615</v>
      </c>
      <c r="I8">
        <v>0</v>
      </c>
      <c r="J8" t="s">
        <v>87</v>
      </c>
      <c r="K8">
        <v>0</v>
      </c>
      <c r="L8">
        <v>0</v>
      </c>
    </row>
    <row r="9" spans="1:12">
      <c r="A9" s="93">
        <v>100724</v>
      </c>
      <c r="B9" t="s">
        <v>620</v>
      </c>
      <c r="C9" t="s">
        <v>5604</v>
      </c>
      <c r="D9" s="92">
        <v>0.22</v>
      </c>
      <c r="E9" s="92">
        <v>0.37</v>
      </c>
      <c r="F9">
        <v>15</v>
      </c>
      <c r="G9">
        <v>17</v>
      </c>
      <c r="H9" t="s">
        <v>5617</v>
      </c>
      <c r="I9">
        <v>0</v>
      </c>
      <c r="J9" t="s">
        <v>138</v>
      </c>
      <c r="K9">
        <v>0</v>
      </c>
      <c r="L9">
        <v>0</v>
      </c>
    </row>
    <row r="10" spans="1:12">
      <c r="A10" s="93">
        <v>100751</v>
      </c>
      <c r="B10" t="s">
        <v>621</v>
      </c>
      <c r="C10" t="s">
        <v>5602</v>
      </c>
      <c r="D10" s="92">
        <v>0.6899999999999999</v>
      </c>
      <c r="E10" s="92">
        <v>0.57</v>
      </c>
      <c r="F10">
        <v>23</v>
      </c>
      <c r="G10">
        <v>27</v>
      </c>
      <c r="H10" t="s">
        <v>5615</v>
      </c>
      <c r="I10">
        <v>0</v>
      </c>
      <c r="J10" t="s">
        <v>87</v>
      </c>
      <c r="K10">
        <v>0</v>
      </c>
      <c r="L10">
        <v>0</v>
      </c>
    </row>
    <row r="11" spans="1:12">
      <c r="A11" s="93">
        <v>100760</v>
      </c>
      <c r="B11" t="s">
        <v>622</v>
      </c>
      <c r="C11" t="s">
        <v>5606</v>
      </c>
      <c r="D11" s="92">
        <v>0.29</v>
      </c>
      <c r="E11" s="92">
        <v>0.22</v>
      </c>
      <c r="F11" t="s">
        <v>428</v>
      </c>
      <c r="G11" t="s">
        <v>428</v>
      </c>
      <c r="H11" t="s">
        <v>5615</v>
      </c>
      <c r="I11">
        <v>0</v>
      </c>
      <c r="J11" t="s">
        <v>87</v>
      </c>
      <c r="K11">
        <v>0</v>
      </c>
      <c r="L11">
        <v>0</v>
      </c>
    </row>
    <row r="12" spans="1:12">
      <c r="A12" s="93">
        <v>100812</v>
      </c>
      <c r="B12" t="s">
        <v>623</v>
      </c>
      <c r="C12" t="s">
        <v>5607</v>
      </c>
      <c r="D12" s="92" t="s">
        <v>428</v>
      </c>
      <c r="E12" s="92" t="s">
        <v>428</v>
      </c>
      <c r="F12" t="s">
        <v>428</v>
      </c>
      <c r="G12" t="s">
        <v>428</v>
      </c>
      <c r="H12" t="s">
        <v>5615</v>
      </c>
      <c r="I12">
        <v>0</v>
      </c>
      <c r="J12" t="s">
        <v>87</v>
      </c>
      <c r="K12">
        <v>0</v>
      </c>
      <c r="L12">
        <v>0</v>
      </c>
    </row>
    <row r="13" spans="1:12">
      <c r="A13" s="93">
        <v>100830</v>
      </c>
      <c r="B13" t="s">
        <v>624</v>
      </c>
      <c r="C13" t="s">
        <v>5602</v>
      </c>
      <c r="D13" s="92">
        <v>0.23</v>
      </c>
      <c r="E13" s="92">
        <v>0.15</v>
      </c>
      <c r="F13">
        <v>19</v>
      </c>
      <c r="G13">
        <v>21.5</v>
      </c>
      <c r="H13" t="s">
        <v>5615</v>
      </c>
      <c r="I13">
        <v>0</v>
      </c>
      <c r="J13" t="s">
        <v>87</v>
      </c>
      <c r="K13">
        <v>0</v>
      </c>
      <c r="L13">
        <v>0</v>
      </c>
    </row>
    <row r="14" spans="1:12">
      <c r="A14" s="93">
        <v>100858</v>
      </c>
      <c r="B14" t="s">
        <v>625</v>
      </c>
      <c r="C14" t="s">
        <v>5603</v>
      </c>
      <c r="D14" s="92">
        <v>0.75</v>
      </c>
      <c r="E14" s="92">
        <v>0.67</v>
      </c>
      <c r="F14">
        <v>24</v>
      </c>
      <c r="G14">
        <v>27</v>
      </c>
      <c r="H14" t="s">
        <v>5615</v>
      </c>
      <c r="I14">
        <v>0</v>
      </c>
      <c r="J14" t="s">
        <v>87</v>
      </c>
      <c r="K14">
        <v>0</v>
      </c>
      <c r="L14">
        <v>0</v>
      </c>
    </row>
    <row r="15" spans="1:12">
      <c r="A15" s="93">
        <v>100937</v>
      </c>
      <c r="B15" t="s">
        <v>626</v>
      </c>
      <c r="C15" t="s">
        <v>5603</v>
      </c>
      <c r="D15" s="92">
        <v>0.64</v>
      </c>
      <c r="E15" s="92">
        <v>0.45</v>
      </c>
      <c r="F15">
        <v>23</v>
      </c>
      <c r="G15">
        <v>25.5</v>
      </c>
      <c r="H15" t="s">
        <v>5618</v>
      </c>
      <c r="I15">
        <v>0</v>
      </c>
      <c r="J15" t="s">
        <v>87</v>
      </c>
      <c r="K15">
        <v>0</v>
      </c>
      <c r="L15">
        <v>0</v>
      </c>
    </row>
    <row r="16" spans="1:12">
      <c r="A16" s="93">
        <v>101028</v>
      </c>
      <c r="B16" t="s">
        <v>627</v>
      </c>
      <c r="C16" t="s">
        <v>5606</v>
      </c>
      <c r="D16" s="92" t="s">
        <v>428</v>
      </c>
      <c r="E16" s="92" t="s">
        <v>428</v>
      </c>
      <c r="F16" t="s">
        <v>428</v>
      </c>
      <c r="G16" t="s">
        <v>428</v>
      </c>
      <c r="H16" t="s">
        <v>5615</v>
      </c>
      <c r="I16">
        <v>0</v>
      </c>
      <c r="J16" t="s">
        <v>87</v>
      </c>
      <c r="K16">
        <v>0</v>
      </c>
      <c r="L16">
        <v>0</v>
      </c>
    </row>
    <row r="17" spans="1:12">
      <c r="A17" s="93">
        <v>101073</v>
      </c>
      <c r="B17" t="s">
        <v>628</v>
      </c>
      <c r="C17" t="s">
        <v>5604</v>
      </c>
      <c r="D17" s="92">
        <v>0.03</v>
      </c>
      <c r="E17" s="92">
        <v>0.18</v>
      </c>
      <c r="F17" t="s">
        <v>428</v>
      </c>
      <c r="G17" t="s">
        <v>428</v>
      </c>
      <c r="H17" t="s">
        <v>5617</v>
      </c>
      <c r="I17">
        <v>0</v>
      </c>
      <c r="J17" t="s">
        <v>138</v>
      </c>
      <c r="K17">
        <v>0</v>
      </c>
      <c r="L17">
        <v>0</v>
      </c>
    </row>
    <row r="18" spans="1:12">
      <c r="A18" s="93">
        <v>101116</v>
      </c>
      <c r="B18" t="s">
        <v>629</v>
      </c>
      <c r="C18" t="s">
        <v>5604</v>
      </c>
      <c r="D18" s="92">
        <v>0.11</v>
      </c>
      <c r="E18" s="92">
        <v>0.08</v>
      </c>
      <c r="F18" t="s">
        <v>428</v>
      </c>
      <c r="G18" t="s">
        <v>428</v>
      </c>
      <c r="H18" t="s">
        <v>5617</v>
      </c>
      <c r="I18">
        <v>0</v>
      </c>
      <c r="J18" t="s">
        <v>87</v>
      </c>
      <c r="K18">
        <v>0</v>
      </c>
      <c r="L18">
        <v>0</v>
      </c>
    </row>
    <row r="19" spans="1:12">
      <c r="A19" s="93">
        <v>101143</v>
      </c>
      <c r="B19" t="s">
        <v>630</v>
      </c>
      <c r="C19" t="s">
        <v>5606</v>
      </c>
      <c r="D19" s="92">
        <v>0.24</v>
      </c>
      <c r="E19" s="92">
        <v>0.21</v>
      </c>
      <c r="F19" t="s">
        <v>428</v>
      </c>
      <c r="G19" t="s">
        <v>428</v>
      </c>
      <c r="H19" t="s">
        <v>5615</v>
      </c>
      <c r="I19">
        <v>0</v>
      </c>
      <c r="J19" t="s">
        <v>87</v>
      </c>
      <c r="K19">
        <v>0</v>
      </c>
      <c r="L19">
        <v>0</v>
      </c>
    </row>
    <row r="20" spans="1:12">
      <c r="A20" s="93">
        <v>101161</v>
      </c>
      <c r="B20" t="s">
        <v>631</v>
      </c>
      <c r="C20" t="s">
        <v>5606</v>
      </c>
      <c r="D20" s="92">
        <v>0.54</v>
      </c>
      <c r="E20" s="92">
        <v>0.62</v>
      </c>
      <c r="F20" t="s">
        <v>428</v>
      </c>
      <c r="G20" t="s">
        <v>428</v>
      </c>
      <c r="H20" t="s">
        <v>5615</v>
      </c>
      <c r="I20">
        <v>0</v>
      </c>
      <c r="J20" t="s">
        <v>87</v>
      </c>
      <c r="K20">
        <v>0</v>
      </c>
      <c r="L20">
        <v>0</v>
      </c>
    </row>
    <row r="21" spans="1:12">
      <c r="A21" s="93">
        <v>101189</v>
      </c>
      <c r="B21" t="s">
        <v>632</v>
      </c>
      <c r="C21" t="s">
        <v>5602</v>
      </c>
      <c r="D21" s="92">
        <v>0.27</v>
      </c>
      <c r="E21" s="92">
        <v>0.22</v>
      </c>
      <c r="F21">
        <v>18</v>
      </c>
      <c r="G21">
        <v>20.5</v>
      </c>
      <c r="H21" t="s">
        <v>5617</v>
      </c>
      <c r="I21">
        <v>0</v>
      </c>
      <c r="J21" t="s">
        <v>87</v>
      </c>
      <c r="K21">
        <v>0</v>
      </c>
      <c r="L21">
        <v>0</v>
      </c>
    </row>
    <row r="22" spans="1:12">
      <c r="A22" s="93">
        <v>101240</v>
      </c>
      <c r="B22" t="s">
        <v>633</v>
      </c>
      <c r="C22" t="s">
        <v>5606</v>
      </c>
      <c r="D22" s="92">
        <v>0.24</v>
      </c>
      <c r="E22" s="92">
        <v>0.33</v>
      </c>
      <c r="F22" t="s">
        <v>428</v>
      </c>
      <c r="G22" t="s">
        <v>428</v>
      </c>
      <c r="H22" t="s">
        <v>5615</v>
      </c>
      <c r="I22">
        <v>0</v>
      </c>
      <c r="J22" t="s">
        <v>138</v>
      </c>
      <c r="K22">
        <v>0</v>
      </c>
      <c r="L22">
        <v>0</v>
      </c>
    </row>
    <row r="23" spans="1:12">
      <c r="A23" s="93">
        <v>101286</v>
      </c>
      <c r="B23" t="s">
        <v>634</v>
      </c>
      <c r="C23" t="s">
        <v>5606</v>
      </c>
      <c r="D23" s="92" t="s">
        <v>428</v>
      </c>
      <c r="E23" s="92" t="s">
        <v>428</v>
      </c>
      <c r="F23" t="s">
        <v>428</v>
      </c>
      <c r="G23" t="s">
        <v>428</v>
      </c>
      <c r="H23" t="s">
        <v>5615</v>
      </c>
      <c r="I23">
        <v>0</v>
      </c>
      <c r="J23" t="s">
        <v>87</v>
      </c>
      <c r="K23">
        <v>0</v>
      </c>
      <c r="L23">
        <v>0</v>
      </c>
    </row>
    <row r="24" spans="1:12">
      <c r="A24" s="93">
        <v>101295</v>
      </c>
      <c r="B24" t="s">
        <v>635</v>
      </c>
      <c r="C24" t="s">
        <v>5606</v>
      </c>
      <c r="D24" s="92">
        <v>0.41</v>
      </c>
      <c r="E24" s="92">
        <v>0.43</v>
      </c>
      <c r="F24" t="s">
        <v>428</v>
      </c>
      <c r="G24" t="s">
        <v>428</v>
      </c>
      <c r="H24" t="s">
        <v>5615</v>
      </c>
      <c r="I24">
        <v>0</v>
      </c>
      <c r="J24" t="s">
        <v>87</v>
      </c>
      <c r="K24">
        <v>0</v>
      </c>
      <c r="L24">
        <v>0</v>
      </c>
    </row>
    <row r="25" spans="1:12">
      <c r="A25" s="93">
        <v>101301</v>
      </c>
      <c r="B25" t="s">
        <v>636</v>
      </c>
      <c r="C25" t="s">
        <v>5606</v>
      </c>
      <c r="D25" s="92">
        <v>0.23</v>
      </c>
      <c r="E25" s="92">
        <v>0.21</v>
      </c>
      <c r="F25" t="s">
        <v>428</v>
      </c>
      <c r="G25" t="s">
        <v>428</v>
      </c>
      <c r="H25" t="s">
        <v>5615</v>
      </c>
      <c r="I25">
        <v>0</v>
      </c>
      <c r="J25" t="s">
        <v>87</v>
      </c>
      <c r="K25">
        <v>0</v>
      </c>
      <c r="L25">
        <v>0</v>
      </c>
    </row>
    <row r="26" spans="1:12">
      <c r="A26" s="93">
        <v>101365</v>
      </c>
      <c r="B26" t="s">
        <v>637</v>
      </c>
      <c r="C26" t="s">
        <v>5607</v>
      </c>
      <c r="D26" s="92" t="s">
        <v>428</v>
      </c>
      <c r="E26" s="92" t="s">
        <v>428</v>
      </c>
      <c r="F26" t="s">
        <v>428</v>
      </c>
      <c r="G26" t="s">
        <v>428</v>
      </c>
      <c r="H26" t="s">
        <v>5617</v>
      </c>
      <c r="I26">
        <v>0</v>
      </c>
      <c r="J26" t="s">
        <v>87</v>
      </c>
      <c r="K26">
        <v>0</v>
      </c>
      <c r="L26">
        <v>0</v>
      </c>
    </row>
    <row r="27" spans="1:12">
      <c r="A27" s="93">
        <v>101435</v>
      </c>
      <c r="B27" t="s">
        <v>638</v>
      </c>
      <c r="C27" t="s">
        <v>5602</v>
      </c>
      <c r="D27" s="92">
        <v>0.42</v>
      </c>
      <c r="E27" s="92">
        <v>0.39</v>
      </c>
      <c r="F27">
        <v>19</v>
      </c>
      <c r="G27">
        <v>21.5</v>
      </c>
      <c r="H27" t="s">
        <v>5617</v>
      </c>
      <c r="I27">
        <v>0</v>
      </c>
      <c r="J27" t="s">
        <v>87</v>
      </c>
      <c r="K27">
        <v>0</v>
      </c>
      <c r="L27">
        <v>0</v>
      </c>
    </row>
    <row r="28" spans="1:12">
      <c r="A28" s="93">
        <v>101453</v>
      </c>
      <c r="B28" t="s">
        <v>639</v>
      </c>
      <c r="C28" t="s">
        <v>5607</v>
      </c>
      <c r="D28" s="92">
        <v>0.5</v>
      </c>
      <c r="E28" s="92" t="s">
        <v>428</v>
      </c>
      <c r="F28" t="s">
        <v>428</v>
      </c>
      <c r="G28" t="s">
        <v>428</v>
      </c>
      <c r="H28" t="s">
        <v>5613</v>
      </c>
      <c r="I28">
        <v>1</v>
      </c>
      <c r="J28" t="s">
        <v>87</v>
      </c>
      <c r="K28">
        <v>0</v>
      </c>
      <c r="L28">
        <v>0</v>
      </c>
    </row>
    <row r="29" spans="1:12">
      <c r="A29" s="93">
        <v>101462</v>
      </c>
      <c r="B29" t="s">
        <v>640</v>
      </c>
      <c r="C29" t="s">
        <v>5606</v>
      </c>
      <c r="D29" s="92">
        <v>0.21</v>
      </c>
      <c r="E29" s="92">
        <v>0.19</v>
      </c>
      <c r="F29" t="s">
        <v>428</v>
      </c>
      <c r="G29" t="s">
        <v>428</v>
      </c>
      <c r="H29" t="s">
        <v>5615</v>
      </c>
      <c r="I29">
        <v>0</v>
      </c>
      <c r="J29" t="s">
        <v>138</v>
      </c>
      <c r="K29">
        <v>0</v>
      </c>
      <c r="L29">
        <v>0</v>
      </c>
    </row>
    <row r="30" spans="1:12">
      <c r="A30" s="93">
        <v>101471</v>
      </c>
      <c r="B30" t="s">
        <v>641</v>
      </c>
      <c r="C30" t="s">
        <v>5606</v>
      </c>
      <c r="D30" s="92" t="s">
        <v>428</v>
      </c>
      <c r="E30" s="92" t="s">
        <v>428</v>
      </c>
      <c r="F30" t="s">
        <v>428</v>
      </c>
      <c r="G30" t="s">
        <v>428</v>
      </c>
      <c r="H30" t="s">
        <v>5615</v>
      </c>
      <c r="I30">
        <v>0</v>
      </c>
      <c r="J30" t="s">
        <v>87</v>
      </c>
      <c r="K30">
        <v>0</v>
      </c>
      <c r="L30">
        <v>0</v>
      </c>
    </row>
    <row r="31" spans="1:12">
      <c r="A31" s="93">
        <v>101480</v>
      </c>
      <c r="B31" t="s">
        <v>642</v>
      </c>
      <c r="C31" t="s">
        <v>5608</v>
      </c>
      <c r="D31" s="92">
        <v>0.35</v>
      </c>
      <c r="E31" s="92">
        <v>0.24</v>
      </c>
      <c r="F31">
        <v>20</v>
      </c>
      <c r="G31">
        <v>23</v>
      </c>
      <c r="H31" t="s">
        <v>5615</v>
      </c>
      <c r="I31">
        <v>0</v>
      </c>
      <c r="J31" t="s">
        <v>87</v>
      </c>
      <c r="K31">
        <v>0</v>
      </c>
      <c r="L31">
        <v>0</v>
      </c>
    </row>
    <row r="32" spans="1:12">
      <c r="A32" s="93">
        <v>101499</v>
      </c>
      <c r="B32" t="s">
        <v>643</v>
      </c>
      <c r="C32" t="s">
        <v>5606</v>
      </c>
      <c r="D32" s="92">
        <v>0.36</v>
      </c>
      <c r="E32" s="92">
        <v>0.33</v>
      </c>
      <c r="F32" t="s">
        <v>428</v>
      </c>
      <c r="G32" t="s">
        <v>428</v>
      </c>
      <c r="H32" t="s">
        <v>5615</v>
      </c>
      <c r="I32">
        <v>0</v>
      </c>
      <c r="J32" t="s">
        <v>87</v>
      </c>
      <c r="K32">
        <v>0</v>
      </c>
      <c r="L32">
        <v>0</v>
      </c>
    </row>
    <row r="33" spans="1:12">
      <c r="A33" s="93">
        <v>101505</v>
      </c>
      <c r="B33" t="s">
        <v>644</v>
      </c>
      <c r="C33" t="s">
        <v>5606</v>
      </c>
      <c r="D33" s="92">
        <v>0.21</v>
      </c>
      <c r="E33" s="92">
        <v>0.16</v>
      </c>
      <c r="F33" t="s">
        <v>428</v>
      </c>
      <c r="G33" t="s">
        <v>428</v>
      </c>
      <c r="H33" t="s">
        <v>5615</v>
      </c>
      <c r="I33">
        <v>0</v>
      </c>
      <c r="J33" t="s">
        <v>87</v>
      </c>
      <c r="K33">
        <v>0</v>
      </c>
      <c r="L33">
        <v>0</v>
      </c>
    </row>
    <row r="34" spans="1:12">
      <c r="A34" s="93">
        <v>101514</v>
      </c>
      <c r="B34" t="s">
        <v>645</v>
      </c>
      <c r="C34" t="s">
        <v>5606</v>
      </c>
      <c r="D34" s="92">
        <v>0.26</v>
      </c>
      <c r="E34" s="92">
        <v>0.19</v>
      </c>
      <c r="F34" t="s">
        <v>428</v>
      </c>
      <c r="G34" t="s">
        <v>428</v>
      </c>
      <c r="H34" t="s">
        <v>5615</v>
      </c>
      <c r="I34">
        <v>0</v>
      </c>
      <c r="J34" t="s">
        <v>87</v>
      </c>
      <c r="K34">
        <v>0</v>
      </c>
      <c r="L34">
        <v>0</v>
      </c>
    </row>
    <row r="35" spans="1:12">
      <c r="A35" s="93">
        <v>101541</v>
      </c>
      <c r="B35" t="s">
        <v>646</v>
      </c>
      <c r="C35" t="s">
        <v>5602</v>
      </c>
      <c r="D35" s="92">
        <v>0.39</v>
      </c>
      <c r="E35" s="92">
        <v>0.29</v>
      </c>
      <c r="F35">
        <v>19</v>
      </c>
      <c r="G35">
        <v>21.5</v>
      </c>
      <c r="H35" t="s">
        <v>5617</v>
      </c>
      <c r="I35">
        <v>0</v>
      </c>
      <c r="J35" t="s">
        <v>87</v>
      </c>
      <c r="K35">
        <v>0</v>
      </c>
      <c r="L35">
        <v>0</v>
      </c>
    </row>
    <row r="36" spans="1:12">
      <c r="A36" s="93">
        <v>101569</v>
      </c>
      <c r="B36" t="s">
        <v>647</v>
      </c>
      <c r="C36" t="s">
        <v>5606</v>
      </c>
      <c r="D36" s="92">
        <v>0.28</v>
      </c>
      <c r="E36" s="92">
        <v>0.41</v>
      </c>
      <c r="F36" t="s">
        <v>428</v>
      </c>
      <c r="G36" t="s">
        <v>428</v>
      </c>
      <c r="H36" t="s">
        <v>5615</v>
      </c>
      <c r="I36">
        <v>0</v>
      </c>
      <c r="J36" t="s">
        <v>138</v>
      </c>
      <c r="K36">
        <v>0</v>
      </c>
      <c r="L36">
        <v>0</v>
      </c>
    </row>
    <row r="37" spans="1:12">
      <c r="A37" s="93">
        <v>101587</v>
      </c>
      <c r="B37" t="s">
        <v>648</v>
      </c>
      <c r="C37" t="s">
        <v>5604</v>
      </c>
      <c r="D37" s="92">
        <v>0.31</v>
      </c>
      <c r="E37" s="92">
        <v>0.25</v>
      </c>
      <c r="F37">
        <v>18</v>
      </c>
      <c r="G37">
        <v>20.5</v>
      </c>
      <c r="H37" t="s">
        <v>5615</v>
      </c>
      <c r="I37">
        <v>0</v>
      </c>
      <c r="J37" t="s">
        <v>87</v>
      </c>
      <c r="K37">
        <v>0</v>
      </c>
      <c r="L37">
        <v>0</v>
      </c>
    </row>
    <row r="38" spans="1:12">
      <c r="A38" s="93">
        <v>101602</v>
      </c>
      <c r="B38" t="s">
        <v>649</v>
      </c>
      <c r="C38" t="s">
        <v>5606</v>
      </c>
      <c r="D38" s="92">
        <v>0.37</v>
      </c>
      <c r="E38" s="92">
        <v>0.33</v>
      </c>
      <c r="F38" t="s">
        <v>428</v>
      </c>
      <c r="G38" t="s">
        <v>428</v>
      </c>
      <c r="H38" t="s">
        <v>5615</v>
      </c>
      <c r="I38">
        <v>0</v>
      </c>
      <c r="J38" t="s">
        <v>87</v>
      </c>
      <c r="K38">
        <v>0</v>
      </c>
      <c r="L38">
        <v>0</v>
      </c>
    </row>
    <row r="39" spans="1:12">
      <c r="A39" s="93">
        <v>101648</v>
      </c>
      <c r="B39" t="s">
        <v>650</v>
      </c>
      <c r="C39" t="s">
        <v>5609</v>
      </c>
      <c r="D39" s="92">
        <v>0.5</v>
      </c>
      <c r="E39" s="92">
        <v>0.5</v>
      </c>
      <c r="F39">
        <v>19</v>
      </c>
      <c r="G39">
        <v>22.5</v>
      </c>
      <c r="H39" t="s">
        <v>5615</v>
      </c>
      <c r="I39">
        <v>0</v>
      </c>
      <c r="J39" t="s">
        <v>87</v>
      </c>
      <c r="K39">
        <v>0</v>
      </c>
      <c r="L39">
        <v>0</v>
      </c>
    </row>
    <row r="40" spans="1:12">
      <c r="A40" s="93">
        <v>101675</v>
      </c>
      <c r="B40" t="s">
        <v>651</v>
      </c>
      <c r="C40" t="s">
        <v>5604</v>
      </c>
      <c r="D40" s="92">
        <v>0.17</v>
      </c>
      <c r="E40" s="92">
        <v>0.32</v>
      </c>
      <c r="F40" t="s">
        <v>428</v>
      </c>
      <c r="G40" t="s">
        <v>428</v>
      </c>
      <c r="H40" t="s">
        <v>5617</v>
      </c>
      <c r="I40">
        <v>0</v>
      </c>
      <c r="J40" t="s">
        <v>138</v>
      </c>
      <c r="K40">
        <v>0</v>
      </c>
      <c r="L40">
        <v>0</v>
      </c>
    </row>
    <row r="41" spans="1:12">
      <c r="A41" s="93">
        <v>101693</v>
      </c>
      <c r="B41" t="s">
        <v>652</v>
      </c>
      <c r="C41" t="s">
        <v>5602</v>
      </c>
      <c r="D41" s="92">
        <v>0.45</v>
      </c>
      <c r="E41" s="92">
        <v>0.25</v>
      </c>
      <c r="F41">
        <v>19</v>
      </c>
      <c r="G41">
        <v>22</v>
      </c>
      <c r="H41" t="s">
        <v>5617</v>
      </c>
      <c r="I41">
        <v>0</v>
      </c>
      <c r="J41" t="s">
        <v>87</v>
      </c>
      <c r="K41">
        <v>0</v>
      </c>
      <c r="L41">
        <v>0</v>
      </c>
    </row>
    <row r="42" spans="1:12">
      <c r="A42" s="93">
        <v>101709</v>
      </c>
      <c r="B42" t="s">
        <v>653</v>
      </c>
      <c r="C42" t="s">
        <v>5602</v>
      </c>
      <c r="D42" s="92">
        <v>0.46</v>
      </c>
      <c r="E42" s="92">
        <v>0.49</v>
      </c>
      <c r="F42">
        <v>20</v>
      </c>
      <c r="G42">
        <v>23</v>
      </c>
      <c r="H42" t="s">
        <v>5615</v>
      </c>
      <c r="I42">
        <v>0</v>
      </c>
      <c r="J42" t="s">
        <v>87</v>
      </c>
      <c r="K42">
        <v>0</v>
      </c>
      <c r="L42">
        <v>0</v>
      </c>
    </row>
    <row r="43" spans="1:12">
      <c r="A43" s="93">
        <v>101736</v>
      </c>
      <c r="B43" t="s">
        <v>654</v>
      </c>
      <c r="C43" t="s">
        <v>5606</v>
      </c>
      <c r="D43" s="92">
        <v>0.22</v>
      </c>
      <c r="E43" s="92">
        <v>0.16</v>
      </c>
      <c r="F43" t="s">
        <v>428</v>
      </c>
      <c r="G43" t="s">
        <v>428</v>
      </c>
      <c r="H43" t="s">
        <v>5615</v>
      </c>
      <c r="I43">
        <v>0</v>
      </c>
      <c r="J43" t="s">
        <v>87</v>
      </c>
      <c r="K43">
        <v>0</v>
      </c>
      <c r="L43">
        <v>0</v>
      </c>
    </row>
    <row r="44" spans="1:12">
      <c r="A44" s="93">
        <v>101879</v>
      </c>
      <c r="B44" t="s">
        <v>655</v>
      </c>
      <c r="C44" t="s">
        <v>5602</v>
      </c>
      <c r="D44" s="92">
        <v>0.4</v>
      </c>
      <c r="E44" s="92">
        <v>0.26</v>
      </c>
      <c r="F44">
        <v>19</v>
      </c>
      <c r="G44">
        <v>22</v>
      </c>
      <c r="H44" t="s">
        <v>5615</v>
      </c>
      <c r="I44">
        <v>0</v>
      </c>
      <c r="J44" t="s">
        <v>87</v>
      </c>
      <c r="K44">
        <v>0</v>
      </c>
      <c r="L44">
        <v>0</v>
      </c>
    </row>
    <row r="45" spans="1:12">
      <c r="A45" s="93">
        <v>101897</v>
      </c>
      <c r="B45" t="s">
        <v>656</v>
      </c>
      <c r="C45" t="s">
        <v>5606</v>
      </c>
      <c r="D45" s="92">
        <v>0.36</v>
      </c>
      <c r="E45" s="92">
        <v>0.33</v>
      </c>
      <c r="F45" t="s">
        <v>428</v>
      </c>
      <c r="G45" t="s">
        <v>428</v>
      </c>
      <c r="H45" t="s">
        <v>5615</v>
      </c>
      <c r="I45">
        <v>0</v>
      </c>
      <c r="J45" t="s">
        <v>87</v>
      </c>
      <c r="K45">
        <v>0</v>
      </c>
      <c r="L45">
        <v>0</v>
      </c>
    </row>
    <row r="46" spans="1:12">
      <c r="A46" s="93">
        <v>101912</v>
      </c>
      <c r="B46" t="s">
        <v>657</v>
      </c>
      <c r="C46" t="s">
        <v>5602</v>
      </c>
      <c r="D46" s="92">
        <v>0.47</v>
      </c>
      <c r="E46" s="92">
        <v>0.62</v>
      </c>
      <c r="F46">
        <v>16</v>
      </c>
      <c r="G46">
        <v>18.5</v>
      </c>
      <c r="H46" t="s">
        <v>5617</v>
      </c>
      <c r="I46">
        <v>0</v>
      </c>
      <c r="J46" t="s">
        <v>138</v>
      </c>
      <c r="K46">
        <v>0</v>
      </c>
      <c r="L46">
        <v>0</v>
      </c>
    </row>
    <row r="47" spans="1:12">
      <c r="A47" s="93">
        <v>101949</v>
      </c>
      <c r="B47" t="s">
        <v>658</v>
      </c>
      <c r="C47" t="s">
        <v>5606</v>
      </c>
      <c r="D47" s="92" t="s">
        <v>428</v>
      </c>
      <c r="E47" s="92" t="s">
        <v>428</v>
      </c>
      <c r="F47" t="s">
        <v>428</v>
      </c>
      <c r="G47" t="s">
        <v>428</v>
      </c>
      <c r="H47" t="s">
        <v>5615</v>
      </c>
      <c r="I47">
        <v>0</v>
      </c>
      <c r="J47" t="s">
        <v>87</v>
      </c>
      <c r="K47">
        <v>0</v>
      </c>
      <c r="L47">
        <v>0</v>
      </c>
    </row>
    <row r="48" spans="1:12">
      <c r="A48" s="93">
        <v>101958</v>
      </c>
      <c r="B48" t="s">
        <v>659</v>
      </c>
      <c r="C48" t="s">
        <v>5606</v>
      </c>
      <c r="D48" s="92" t="s">
        <v>428</v>
      </c>
      <c r="E48" s="92" t="s">
        <v>428</v>
      </c>
      <c r="F48" t="s">
        <v>428</v>
      </c>
      <c r="G48" t="s">
        <v>428</v>
      </c>
      <c r="H48" t="s">
        <v>5617</v>
      </c>
      <c r="I48">
        <v>0</v>
      </c>
      <c r="J48" t="s">
        <v>87</v>
      </c>
      <c r="K48">
        <v>0</v>
      </c>
      <c r="L48">
        <v>0</v>
      </c>
    </row>
    <row r="49" spans="1:12">
      <c r="A49" s="93">
        <v>101994</v>
      </c>
      <c r="B49" t="s">
        <v>660</v>
      </c>
      <c r="C49" t="s">
        <v>5606</v>
      </c>
      <c r="D49" s="92">
        <v>0.36</v>
      </c>
      <c r="E49" s="92">
        <v>0.27</v>
      </c>
      <c r="F49" t="s">
        <v>428</v>
      </c>
      <c r="G49" t="s">
        <v>428</v>
      </c>
      <c r="H49" t="s">
        <v>5615</v>
      </c>
      <c r="I49">
        <v>0</v>
      </c>
      <c r="J49" t="s">
        <v>87</v>
      </c>
      <c r="K49">
        <v>0</v>
      </c>
      <c r="L49">
        <v>0</v>
      </c>
    </row>
    <row r="50" spans="1:12">
      <c r="A50" s="93">
        <v>102030</v>
      </c>
      <c r="B50" t="s">
        <v>661</v>
      </c>
      <c r="C50" t="s">
        <v>5606</v>
      </c>
      <c r="D50" s="92">
        <v>0.2</v>
      </c>
      <c r="E50" s="92">
        <v>0.33</v>
      </c>
      <c r="F50" t="s">
        <v>428</v>
      </c>
      <c r="G50" t="s">
        <v>428</v>
      </c>
      <c r="H50" t="s">
        <v>5615</v>
      </c>
      <c r="I50">
        <v>0</v>
      </c>
      <c r="J50" t="s">
        <v>138</v>
      </c>
      <c r="K50">
        <v>0</v>
      </c>
      <c r="L50">
        <v>0</v>
      </c>
    </row>
    <row r="51" spans="1:12">
      <c r="A51" s="93">
        <v>102049</v>
      </c>
      <c r="B51" t="s">
        <v>662</v>
      </c>
      <c r="C51" t="s">
        <v>5603</v>
      </c>
      <c r="D51" s="92">
        <v>0.71</v>
      </c>
      <c r="E51" s="92">
        <v>0.62</v>
      </c>
      <c r="F51">
        <v>23</v>
      </c>
      <c r="G51">
        <v>26</v>
      </c>
      <c r="H51" t="s">
        <v>5617</v>
      </c>
      <c r="I51">
        <v>0</v>
      </c>
      <c r="J51" t="s">
        <v>87</v>
      </c>
      <c r="K51">
        <v>0</v>
      </c>
      <c r="L51">
        <v>0</v>
      </c>
    </row>
    <row r="52" spans="1:12">
      <c r="A52" s="93">
        <v>102058</v>
      </c>
      <c r="B52" t="s">
        <v>663</v>
      </c>
      <c r="C52" t="s">
        <v>5604</v>
      </c>
      <c r="D52" s="92">
        <v>0.09</v>
      </c>
      <c r="E52" s="92">
        <v>0.24</v>
      </c>
      <c r="F52" t="s">
        <v>428</v>
      </c>
      <c r="G52" t="s">
        <v>428</v>
      </c>
      <c r="H52" t="s">
        <v>5614</v>
      </c>
      <c r="I52">
        <v>1</v>
      </c>
      <c r="J52" t="s">
        <v>138</v>
      </c>
      <c r="K52">
        <v>0</v>
      </c>
      <c r="L52">
        <v>0</v>
      </c>
    </row>
    <row r="53" spans="1:12">
      <c r="A53" s="93">
        <v>102067</v>
      </c>
      <c r="B53" t="s">
        <v>664</v>
      </c>
      <c r="C53" t="s">
        <v>5606</v>
      </c>
      <c r="D53" s="92">
        <v>0.3</v>
      </c>
      <c r="E53" s="92">
        <v>0.35</v>
      </c>
      <c r="F53" t="s">
        <v>428</v>
      </c>
      <c r="G53" t="s">
        <v>428</v>
      </c>
      <c r="H53" t="s">
        <v>5615</v>
      </c>
      <c r="I53">
        <v>0</v>
      </c>
      <c r="J53" t="s">
        <v>138</v>
      </c>
      <c r="K53">
        <v>0</v>
      </c>
      <c r="L53">
        <v>0</v>
      </c>
    </row>
    <row r="54" spans="1:12">
      <c r="A54" s="93">
        <v>102076</v>
      </c>
      <c r="B54" t="s">
        <v>665</v>
      </c>
      <c r="C54" t="s">
        <v>5606</v>
      </c>
      <c r="D54" s="92">
        <v>0.41</v>
      </c>
      <c r="E54" s="92">
        <v>0.37</v>
      </c>
      <c r="F54" t="s">
        <v>428</v>
      </c>
      <c r="G54" t="s">
        <v>428</v>
      </c>
      <c r="H54" t="s">
        <v>5615</v>
      </c>
      <c r="I54">
        <v>0</v>
      </c>
      <c r="J54" t="s">
        <v>87</v>
      </c>
      <c r="K54">
        <v>0</v>
      </c>
      <c r="L54">
        <v>0</v>
      </c>
    </row>
    <row r="55" spans="1:12">
      <c r="A55" s="93">
        <v>102094</v>
      </c>
      <c r="B55" t="s">
        <v>666</v>
      </c>
      <c r="C55" t="s">
        <v>5602</v>
      </c>
      <c r="D55" s="92">
        <v>0.38</v>
      </c>
      <c r="E55" s="92">
        <v>0.3</v>
      </c>
      <c r="F55">
        <v>20</v>
      </c>
      <c r="G55">
        <v>21.5</v>
      </c>
      <c r="H55" t="s">
        <v>5615</v>
      </c>
      <c r="I55">
        <v>0</v>
      </c>
      <c r="J55" t="s">
        <v>87</v>
      </c>
      <c r="K55">
        <v>0</v>
      </c>
      <c r="L55">
        <v>0</v>
      </c>
    </row>
    <row r="56" spans="1:12">
      <c r="A56" s="93">
        <v>102234</v>
      </c>
      <c r="B56" t="s">
        <v>667</v>
      </c>
      <c r="C56" t="s">
        <v>5602</v>
      </c>
      <c r="D56" s="92">
        <v>0.55</v>
      </c>
      <c r="E56" s="92">
        <v>0.49</v>
      </c>
      <c r="F56">
        <v>22</v>
      </c>
      <c r="G56">
        <v>24.5</v>
      </c>
      <c r="H56" t="s">
        <v>5617</v>
      </c>
      <c r="I56">
        <v>0</v>
      </c>
      <c r="J56" t="s">
        <v>87</v>
      </c>
      <c r="K56">
        <v>0</v>
      </c>
      <c r="L56">
        <v>0</v>
      </c>
    </row>
    <row r="57" spans="1:12">
      <c r="A57" s="93">
        <v>102261</v>
      </c>
      <c r="B57" t="s">
        <v>668</v>
      </c>
      <c r="C57" t="s">
        <v>5604</v>
      </c>
      <c r="D57" s="92">
        <v>0.27</v>
      </c>
      <c r="E57" s="92">
        <v>0.07000000000000001</v>
      </c>
      <c r="F57">
        <v>18</v>
      </c>
      <c r="G57">
        <v>20.5</v>
      </c>
      <c r="H57" t="s">
        <v>5616</v>
      </c>
      <c r="I57">
        <v>0</v>
      </c>
      <c r="J57" t="s">
        <v>87</v>
      </c>
      <c r="K57">
        <v>0</v>
      </c>
      <c r="L57">
        <v>0</v>
      </c>
    </row>
    <row r="58" spans="1:12">
      <c r="A58" s="93">
        <v>102270</v>
      </c>
      <c r="B58" t="s">
        <v>669</v>
      </c>
      <c r="C58" t="s">
        <v>5602</v>
      </c>
      <c r="D58" s="92">
        <v>0.18</v>
      </c>
      <c r="E58" s="92">
        <v>0.33</v>
      </c>
      <c r="F58">
        <v>14</v>
      </c>
      <c r="G58">
        <v>15.5</v>
      </c>
      <c r="H58" t="s">
        <v>5616</v>
      </c>
      <c r="I58">
        <v>0</v>
      </c>
      <c r="J58" t="s">
        <v>138</v>
      </c>
      <c r="K58">
        <v>0</v>
      </c>
      <c r="L58">
        <v>0</v>
      </c>
    </row>
    <row r="59" spans="1:12">
      <c r="A59" s="93">
        <v>102298</v>
      </c>
      <c r="B59" t="s">
        <v>670</v>
      </c>
      <c r="C59" t="s">
        <v>5602</v>
      </c>
      <c r="D59" s="92">
        <v>0.43</v>
      </c>
      <c r="E59" s="92">
        <v>0.59</v>
      </c>
      <c r="F59" t="s">
        <v>428</v>
      </c>
      <c r="G59" t="s">
        <v>428</v>
      </c>
      <c r="H59" t="s">
        <v>5616</v>
      </c>
      <c r="I59">
        <v>0</v>
      </c>
      <c r="J59" t="s">
        <v>138</v>
      </c>
      <c r="K59">
        <v>0</v>
      </c>
      <c r="L59">
        <v>0</v>
      </c>
    </row>
    <row r="60" spans="1:12">
      <c r="A60" s="93">
        <v>102313</v>
      </c>
      <c r="B60" t="s">
        <v>671</v>
      </c>
      <c r="C60" t="s">
        <v>5606</v>
      </c>
      <c r="D60" s="92">
        <v>0.33</v>
      </c>
      <c r="E60" s="92">
        <v>0.27</v>
      </c>
      <c r="F60" t="s">
        <v>428</v>
      </c>
      <c r="G60" t="s">
        <v>428</v>
      </c>
      <c r="H60" t="s">
        <v>5615</v>
      </c>
      <c r="I60">
        <v>0</v>
      </c>
      <c r="J60" t="s">
        <v>138</v>
      </c>
      <c r="K60">
        <v>0</v>
      </c>
      <c r="L60">
        <v>0</v>
      </c>
    </row>
    <row r="61" spans="1:12">
      <c r="A61" s="93">
        <v>102368</v>
      </c>
      <c r="B61" t="s">
        <v>672</v>
      </c>
      <c r="C61" t="s">
        <v>5602</v>
      </c>
      <c r="D61" s="92">
        <v>0.38</v>
      </c>
      <c r="E61" s="92">
        <v>0.26</v>
      </c>
      <c r="F61">
        <v>18</v>
      </c>
      <c r="G61">
        <v>21</v>
      </c>
      <c r="H61" t="s">
        <v>5615</v>
      </c>
      <c r="I61">
        <v>0</v>
      </c>
      <c r="J61" t="s">
        <v>87</v>
      </c>
      <c r="K61">
        <v>0</v>
      </c>
      <c r="L61">
        <v>0</v>
      </c>
    </row>
    <row r="62" spans="1:12">
      <c r="A62" s="93">
        <v>102377</v>
      </c>
      <c r="B62" t="s">
        <v>673</v>
      </c>
      <c r="C62" t="s">
        <v>5602</v>
      </c>
      <c r="D62" s="92">
        <v>0.46</v>
      </c>
      <c r="E62" s="92">
        <v>0.65</v>
      </c>
      <c r="F62">
        <v>21</v>
      </c>
      <c r="G62">
        <v>21.5</v>
      </c>
      <c r="H62" t="s">
        <v>5617</v>
      </c>
      <c r="I62">
        <v>0</v>
      </c>
      <c r="J62" t="s">
        <v>138</v>
      </c>
      <c r="K62">
        <v>0</v>
      </c>
      <c r="L62">
        <v>0</v>
      </c>
    </row>
    <row r="63" spans="1:12">
      <c r="A63" s="93">
        <v>102395</v>
      </c>
      <c r="B63" t="s">
        <v>674</v>
      </c>
      <c r="C63" t="s">
        <v>5607</v>
      </c>
      <c r="D63" s="92" t="s">
        <v>428</v>
      </c>
      <c r="E63" s="92" t="s">
        <v>428</v>
      </c>
      <c r="F63" t="s">
        <v>428</v>
      </c>
      <c r="G63" t="s">
        <v>428</v>
      </c>
      <c r="H63" t="s">
        <v>5615</v>
      </c>
      <c r="I63">
        <v>0</v>
      </c>
      <c r="J63" t="s">
        <v>87</v>
      </c>
      <c r="K63">
        <v>0</v>
      </c>
      <c r="L63">
        <v>0</v>
      </c>
    </row>
    <row r="64" spans="1:12">
      <c r="A64" s="93">
        <v>102429</v>
      </c>
      <c r="B64" t="s">
        <v>675</v>
      </c>
      <c r="C64" t="s">
        <v>5606</v>
      </c>
      <c r="D64" s="92">
        <v>0.28</v>
      </c>
      <c r="E64" s="92">
        <v>0.23</v>
      </c>
      <c r="F64" t="s">
        <v>428</v>
      </c>
      <c r="G64" t="s">
        <v>428</v>
      </c>
      <c r="H64" t="s">
        <v>5615</v>
      </c>
      <c r="I64">
        <v>0</v>
      </c>
      <c r="J64" t="s">
        <v>87</v>
      </c>
      <c r="K64">
        <v>0</v>
      </c>
      <c r="L64">
        <v>0</v>
      </c>
    </row>
    <row r="65" spans="1:12">
      <c r="A65" s="93">
        <v>102553</v>
      </c>
      <c r="B65" t="s">
        <v>676</v>
      </c>
      <c r="C65" t="s">
        <v>5604</v>
      </c>
      <c r="D65" s="92">
        <v>0.25</v>
      </c>
      <c r="E65" s="92">
        <v>0.21</v>
      </c>
      <c r="F65" t="s">
        <v>428</v>
      </c>
      <c r="G65" t="s">
        <v>428</v>
      </c>
      <c r="H65" t="s">
        <v>5615</v>
      </c>
      <c r="I65">
        <v>0</v>
      </c>
      <c r="J65" t="s">
        <v>87</v>
      </c>
      <c r="K65">
        <v>0</v>
      </c>
      <c r="L65">
        <v>0</v>
      </c>
    </row>
    <row r="66" spans="1:12">
      <c r="A66" s="93">
        <v>102580</v>
      </c>
      <c r="B66" t="s">
        <v>677</v>
      </c>
      <c r="C66" t="s">
        <v>5604</v>
      </c>
      <c r="D66" s="92">
        <v>0.1</v>
      </c>
      <c r="E66" s="92" t="s">
        <v>428</v>
      </c>
      <c r="F66" t="s">
        <v>428</v>
      </c>
      <c r="G66" t="s">
        <v>428</v>
      </c>
      <c r="H66" t="s">
        <v>5615</v>
      </c>
      <c r="I66">
        <v>0</v>
      </c>
      <c r="J66" t="s">
        <v>87</v>
      </c>
      <c r="K66">
        <v>0</v>
      </c>
      <c r="L66">
        <v>0</v>
      </c>
    </row>
    <row r="67" spans="1:12">
      <c r="A67" s="93">
        <v>102614</v>
      </c>
      <c r="B67" t="s">
        <v>678</v>
      </c>
      <c r="C67" t="s">
        <v>5602</v>
      </c>
      <c r="D67" s="92">
        <v>0.41</v>
      </c>
      <c r="E67" s="92">
        <v>0.44</v>
      </c>
      <c r="F67">
        <v>19</v>
      </c>
      <c r="G67">
        <v>22.5</v>
      </c>
      <c r="H67" t="s">
        <v>5615</v>
      </c>
      <c r="I67">
        <v>0</v>
      </c>
      <c r="J67" t="s">
        <v>87</v>
      </c>
      <c r="K67">
        <v>0</v>
      </c>
      <c r="L67">
        <v>0</v>
      </c>
    </row>
    <row r="68" spans="1:12">
      <c r="A68" s="93">
        <v>102632</v>
      </c>
      <c r="B68" t="s">
        <v>679</v>
      </c>
      <c r="C68" t="s">
        <v>5602</v>
      </c>
      <c r="D68" s="92">
        <v>0.19</v>
      </c>
      <c r="E68" s="92">
        <v>0.2</v>
      </c>
      <c r="F68" t="s">
        <v>428</v>
      </c>
      <c r="G68" t="s">
        <v>428</v>
      </c>
      <c r="H68" t="s">
        <v>5615</v>
      </c>
      <c r="I68">
        <v>0</v>
      </c>
      <c r="J68" t="s">
        <v>87</v>
      </c>
      <c r="K68">
        <v>0</v>
      </c>
      <c r="L68">
        <v>0</v>
      </c>
    </row>
    <row r="69" spans="1:12">
      <c r="A69" s="93">
        <v>102669</v>
      </c>
      <c r="B69" t="s">
        <v>680</v>
      </c>
      <c r="C69" t="s">
        <v>5603</v>
      </c>
      <c r="D69" s="92">
        <v>0.55</v>
      </c>
      <c r="E69" s="92">
        <v>0.29</v>
      </c>
      <c r="F69" t="s">
        <v>428</v>
      </c>
      <c r="G69" t="s">
        <v>428</v>
      </c>
      <c r="H69" t="s">
        <v>5616</v>
      </c>
      <c r="I69">
        <v>0</v>
      </c>
      <c r="J69" t="s">
        <v>87</v>
      </c>
      <c r="K69">
        <v>0</v>
      </c>
      <c r="L69">
        <v>0</v>
      </c>
    </row>
    <row r="70" spans="1:12">
      <c r="A70" s="93">
        <v>102845</v>
      </c>
      <c r="B70" t="s">
        <v>681</v>
      </c>
      <c r="C70" t="s">
        <v>5607</v>
      </c>
      <c r="D70" s="92">
        <v>0.2</v>
      </c>
      <c r="E70" s="92">
        <v>0.18</v>
      </c>
      <c r="F70" t="s">
        <v>428</v>
      </c>
      <c r="G70" t="s">
        <v>428</v>
      </c>
      <c r="H70" t="s">
        <v>5617</v>
      </c>
      <c r="I70">
        <v>0</v>
      </c>
      <c r="J70" t="s">
        <v>87</v>
      </c>
      <c r="K70">
        <v>0</v>
      </c>
      <c r="L70">
        <v>0</v>
      </c>
    </row>
    <row r="71" spans="1:12">
      <c r="A71" s="93">
        <v>103501</v>
      </c>
      <c r="B71" t="s">
        <v>682</v>
      </c>
      <c r="C71" t="s">
        <v>5606</v>
      </c>
      <c r="D71" s="92" t="s">
        <v>428</v>
      </c>
      <c r="E71" s="92" t="s">
        <v>428</v>
      </c>
      <c r="F71" t="s">
        <v>428</v>
      </c>
      <c r="G71" t="s">
        <v>428</v>
      </c>
      <c r="H71" t="s">
        <v>5617</v>
      </c>
      <c r="I71">
        <v>0</v>
      </c>
      <c r="J71" t="s">
        <v>87</v>
      </c>
      <c r="K71">
        <v>0</v>
      </c>
      <c r="L71">
        <v>0</v>
      </c>
    </row>
    <row r="72" spans="1:12">
      <c r="A72" s="93">
        <v>103778</v>
      </c>
      <c r="B72" t="s">
        <v>683</v>
      </c>
      <c r="C72" t="s">
        <v>5607</v>
      </c>
      <c r="D72" s="92" t="s">
        <v>428</v>
      </c>
      <c r="E72" s="92" t="s">
        <v>428</v>
      </c>
      <c r="F72" t="s">
        <v>428</v>
      </c>
      <c r="G72" t="s">
        <v>428</v>
      </c>
      <c r="H72" t="s">
        <v>5615</v>
      </c>
      <c r="I72">
        <v>0</v>
      </c>
      <c r="J72" t="s">
        <v>87</v>
      </c>
      <c r="K72">
        <v>0</v>
      </c>
      <c r="L72">
        <v>0</v>
      </c>
    </row>
    <row r="73" spans="1:12">
      <c r="A73" s="93">
        <v>103893</v>
      </c>
      <c r="B73" t="s">
        <v>684</v>
      </c>
      <c r="C73" t="s">
        <v>5609</v>
      </c>
      <c r="D73" s="92">
        <v>0.7</v>
      </c>
      <c r="E73" s="92">
        <v>0.7</v>
      </c>
      <c r="F73" t="s">
        <v>428</v>
      </c>
      <c r="G73" t="s">
        <v>428</v>
      </c>
      <c r="H73" t="s">
        <v>5617</v>
      </c>
      <c r="I73">
        <v>0</v>
      </c>
      <c r="J73" t="s">
        <v>87</v>
      </c>
      <c r="K73">
        <v>0</v>
      </c>
      <c r="L73">
        <v>0</v>
      </c>
    </row>
    <row r="74" spans="1:12">
      <c r="A74" s="93">
        <v>103909</v>
      </c>
      <c r="B74" t="s">
        <v>685</v>
      </c>
      <c r="C74" t="s">
        <v>5609</v>
      </c>
      <c r="D74" s="92">
        <v>0.72</v>
      </c>
      <c r="E74" s="92">
        <v>0.73</v>
      </c>
      <c r="F74" t="s">
        <v>428</v>
      </c>
      <c r="G74" t="s">
        <v>428</v>
      </c>
      <c r="H74" t="s">
        <v>5617</v>
      </c>
      <c r="I74">
        <v>0</v>
      </c>
      <c r="J74" t="s">
        <v>87</v>
      </c>
      <c r="K74">
        <v>0</v>
      </c>
      <c r="L74">
        <v>0</v>
      </c>
    </row>
    <row r="75" spans="1:12">
      <c r="A75" s="93">
        <v>103927</v>
      </c>
      <c r="B75" t="s">
        <v>686</v>
      </c>
      <c r="C75" t="s">
        <v>5609</v>
      </c>
      <c r="D75" s="92">
        <v>0.72</v>
      </c>
      <c r="E75" s="92">
        <v>0.74</v>
      </c>
      <c r="F75" t="s">
        <v>428</v>
      </c>
      <c r="G75" t="s">
        <v>428</v>
      </c>
      <c r="H75" t="s">
        <v>5617</v>
      </c>
      <c r="I75">
        <v>0</v>
      </c>
      <c r="J75" t="s">
        <v>87</v>
      </c>
      <c r="K75">
        <v>0</v>
      </c>
      <c r="L75">
        <v>0</v>
      </c>
    </row>
    <row r="76" spans="1:12">
      <c r="A76" s="93">
        <v>103945</v>
      </c>
      <c r="B76" t="s">
        <v>687</v>
      </c>
      <c r="C76" t="s">
        <v>5604</v>
      </c>
      <c r="D76" s="92">
        <v>0.23</v>
      </c>
      <c r="E76" s="92">
        <v>0.33</v>
      </c>
      <c r="F76" t="s">
        <v>428</v>
      </c>
      <c r="G76" t="s">
        <v>428</v>
      </c>
      <c r="H76" t="s">
        <v>5617</v>
      </c>
      <c r="I76">
        <v>0</v>
      </c>
      <c r="J76" t="s">
        <v>87</v>
      </c>
      <c r="K76">
        <v>0</v>
      </c>
      <c r="L76">
        <v>0</v>
      </c>
    </row>
    <row r="77" spans="1:12">
      <c r="A77" s="93">
        <v>104090</v>
      </c>
      <c r="B77" t="s">
        <v>688</v>
      </c>
      <c r="C77" t="s">
        <v>5604</v>
      </c>
      <c r="D77" s="92">
        <v>0.24</v>
      </c>
      <c r="E77" s="92">
        <v>0.24</v>
      </c>
      <c r="F77" t="s">
        <v>428</v>
      </c>
      <c r="G77" t="s">
        <v>428</v>
      </c>
      <c r="H77" t="s">
        <v>5617</v>
      </c>
      <c r="I77">
        <v>0</v>
      </c>
      <c r="J77" t="s">
        <v>87</v>
      </c>
      <c r="K77">
        <v>0</v>
      </c>
      <c r="L77">
        <v>0</v>
      </c>
    </row>
    <row r="78" spans="1:12">
      <c r="A78" s="93">
        <v>104151</v>
      </c>
      <c r="B78" t="s">
        <v>689</v>
      </c>
      <c r="C78" t="s">
        <v>5603</v>
      </c>
      <c r="D78" s="92">
        <v>0.67</v>
      </c>
      <c r="E78" s="92">
        <v>0.62</v>
      </c>
      <c r="F78">
        <v>22</v>
      </c>
      <c r="G78">
        <v>25</v>
      </c>
      <c r="H78" t="s">
        <v>5617</v>
      </c>
      <c r="I78">
        <v>0</v>
      </c>
      <c r="J78" t="s">
        <v>87</v>
      </c>
      <c r="K78">
        <v>0</v>
      </c>
      <c r="L78">
        <v>0</v>
      </c>
    </row>
    <row r="79" spans="1:12">
      <c r="A79" s="93">
        <v>104160</v>
      </c>
      <c r="B79" t="s">
        <v>690</v>
      </c>
      <c r="C79" t="s">
        <v>5606</v>
      </c>
      <c r="D79" s="92">
        <v>0.26</v>
      </c>
      <c r="E79" s="92">
        <v>0.24</v>
      </c>
      <c r="F79" t="s">
        <v>428</v>
      </c>
      <c r="G79" t="s">
        <v>428</v>
      </c>
      <c r="H79" t="s">
        <v>5615</v>
      </c>
      <c r="I79">
        <v>0</v>
      </c>
      <c r="J79" t="s">
        <v>87</v>
      </c>
      <c r="K79">
        <v>0</v>
      </c>
      <c r="L79">
        <v>0</v>
      </c>
    </row>
    <row r="80" spans="1:12">
      <c r="A80" s="93">
        <v>104179</v>
      </c>
      <c r="B80" t="s">
        <v>691</v>
      </c>
      <c r="C80" t="s">
        <v>5602</v>
      </c>
      <c r="D80" s="92">
        <v>0.6</v>
      </c>
      <c r="E80" s="92">
        <v>0.52</v>
      </c>
      <c r="F80" t="s">
        <v>428</v>
      </c>
      <c r="G80" t="s">
        <v>428</v>
      </c>
      <c r="H80" t="s">
        <v>5617</v>
      </c>
      <c r="I80">
        <v>0</v>
      </c>
      <c r="J80" t="s">
        <v>87</v>
      </c>
      <c r="K80">
        <v>0</v>
      </c>
      <c r="L80">
        <v>0</v>
      </c>
    </row>
    <row r="81" spans="1:12">
      <c r="A81" s="93">
        <v>104188</v>
      </c>
      <c r="B81" t="s">
        <v>692</v>
      </c>
      <c r="C81" t="s">
        <v>5604</v>
      </c>
      <c r="D81" s="92">
        <v>0.83</v>
      </c>
      <c r="E81" s="92">
        <v>0.74</v>
      </c>
      <c r="F81" t="s">
        <v>428</v>
      </c>
      <c r="G81" t="s">
        <v>428</v>
      </c>
      <c r="H81" t="s">
        <v>5617</v>
      </c>
      <c r="I81">
        <v>0</v>
      </c>
      <c r="J81" t="s">
        <v>87</v>
      </c>
      <c r="K81">
        <v>0</v>
      </c>
      <c r="L81">
        <v>0</v>
      </c>
    </row>
    <row r="82" spans="1:12">
      <c r="A82" s="93">
        <v>104346</v>
      </c>
      <c r="B82" t="s">
        <v>693</v>
      </c>
      <c r="C82" t="s">
        <v>5606</v>
      </c>
      <c r="D82" s="92">
        <v>0.21</v>
      </c>
      <c r="E82" s="92">
        <v>0.2</v>
      </c>
      <c r="F82" t="s">
        <v>428</v>
      </c>
      <c r="G82" t="s">
        <v>428</v>
      </c>
      <c r="H82" t="s">
        <v>5615</v>
      </c>
      <c r="I82">
        <v>0</v>
      </c>
      <c r="J82" t="s">
        <v>87</v>
      </c>
      <c r="K82">
        <v>0</v>
      </c>
      <c r="L82">
        <v>0</v>
      </c>
    </row>
    <row r="83" spans="1:12">
      <c r="A83" s="93">
        <v>104364</v>
      </c>
      <c r="B83" t="s">
        <v>694</v>
      </c>
      <c r="C83" t="s">
        <v>5607</v>
      </c>
      <c r="D83" s="92">
        <v>0.2</v>
      </c>
      <c r="E83" s="92">
        <v>0.27</v>
      </c>
      <c r="F83" t="s">
        <v>428</v>
      </c>
      <c r="G83" t="s">
        <v>428</v>
      </c>
      <c r="H83" t="s">
        <v>5617</v>
      </c>
      <c r="I83">
        <v>0</v>
      </c>
      <c r="J83" t="s">
        <v>87</v>
      </c>
      <c r="K83">
        <v>0</v>
      </c>
      <c r="L83">
        <v>0</v>
      </c>
    </row>
    <row r="84" spans="1:12">
      <c r="A84" s="93">
        <v>104425</v>
      </c>
      <c r="B84" t="s">
        <v>695</v>
      </c>
      <c r="C84" t="s">
        <v>5606</v>
      </c>
      <c r="D84" s="92">
        <v>0.33</v>
      </c>
      <c r="E84" s="92">
        <v>0.31</v>
      </c>
      <c r="F84" t="s">
        <v>428</v>
      </c>
      <c r="G84" t="s">
        <v>428</v>
      </c>
      <c r="H84" t="s">
        <v>5615</v>
      </c>
      <c r="I84">
        <v>0</v>
      </c>
      <c r="J84" t="s">
        <v>87</v>
      </c>
      <c r="K84">
        <v>0</v>
      </c>
      <c r="L84">
        <v>0</v>
      </c>
    </row>
    <row r="85" spans="1:12">
      <c r="A85" s="93">
        <v>104577</v>
      </c>
      <c r="B85" t="s">
        <v>696</v>
      </c>
      <c r="C85" t="s">
        <v>5606</v>
      </c>
      <c r="D85" s="92">
        <v>0.34</v>
      </c>
      <c r="E85" s="92">
        <v>0.33</v>
      </c>
      <c r="F85" t="s">
        <v>428</v>
      </c>
      <c r="G85" t="s">
        <v>428</v>
      </c>
      <c r="H85" t="s">
        <v>5615</v>
      </c>
      <c r="I85">
        <v>0</v>
      </c>
      <c r="J85" t="s">
        <v>87</v>
      </c>
      <c r="K85">
        <v>0</v>
      </c>
      <c r="L85">
        <v>0</v>
      </c>
    </row>
    <row r="86" spans="1:12">
      <c r="A86" s="93">
        <v>104586</v>
      </c>
      <c r="B86" t="s">
        <v>697</v>
      </c>
      <c r="C86" t="s">
        <v>5603</v>
      </c>
      <c r="D86" s="92">
        <v>0.6</v>
      </c>
      <c r="E86" s="92">
        <v>0.51</v>
      </c>
      <c r="F86" t="s">
        <v>428</v>
      </c>
      <c r="G86" t="s">
        <v>428</v>
      </c>
      <c r="H86" t="s">
        <v>5617</v>
      </c>
      <c r="I86">
        <v>0</v>
      </c>
      <c r="J86" t="s">
        <v>87</v>
      </c>
      <c r="K86">
        <v>0</v>
      </c>
      <c r="L86">
        <v>0</v>
      </c>
    </row>
    <row r="87" spans="1:12">
      <c r="A87" s="93">
        <v>104665</v>
      </c>
      <c r="B87" t="s">
        <v>698</v>
      </c>
      <c r="C87" t="s">
        <v>5607</v>
      </c>
      <c r="D87" s="92" t="s">
        <v>428</v>
      </c>
      <c r="E87" s="92" t="s">
        <v>428</v>
      </c>
      <c r="F87" t="s">
        <v>428</v>
      </c>
      <c r="G87" t="s">
        <v>428</v>
      </c>
      <c r="H87" t="s">
        <v>5615</v>
      </c>
      <c r="I87">
        <v>0</v>
      </c>
      <c r="J87" t="s">
        <v>87</v>
      </c>
      <c r="K87">
        <v>0</v>
      </c>
      <c r="L87">
        <v>0</v>
      </c>
    </row>
    <row r="88" spans="1:12">
      <c r="A88" s="93">
        <v>104708</v>
      </c>
      <c r="B88" t="s">
        <v>699</v>
      </c>
      <c r="C88" t="s">
        <v>5606</v>
      </c>
      <c r="D88" s="92">
        <v>0.3</v>
      </c>
      <c r="E88" s="92">
        <v>0.27</v>
      </c>
      <c r="F88" t="s">
        <v>428</v>
      </c>
      <c r="G88" t="s">
        <v>428</v>
      </c>
      <c r="H88" t="s">
        <v>5615</v>
      </c>
      <c r="I88">
        <v>0</v>
      </c>
      <c r="J88" t="s">
        <v>87</v>
      </c>
      <c r="K88">
        <v>0</v>
      </c>
      <c r="L88">
        <v>0</v>
      </c>
    </row>
    <row r="89" spans="1:12">
      <c r="A89" s="93">
        <v>104717</v>
      </c>
      <c r="B89" t="s">
        <v>700</v>
      </c>
      <c r="C89" t="s">
        <v>5603</v>
      </c>
      <c r="D89" s="92">
        <v>0.39</v>
      </c>
      <c r="E89" s="92">
        <v>0.31</v>
      </c>
      <c r="F89" t="s">
        <v>428</v>
      </c>
      <c r="G89" t="s">
        <v>428</v>
      </c>
      <c r="H89" t="s">
        <v>5617</v>
      </c>
      <c r="I89">
        <v>0</v>
      </c>
      <c r="J89" t="s">
        <v>87</v>
      </c>
      <c r="K89">
        <v>0</v>
      </c>
      <c r="L89">
        <v>0</v>
      </c>
    </row>
    <row r="90" spans="1:12">
      <c r="A90" s="93">
        <v>105145</v>
      </c>
      <c r="B90" t="s">
        <v>701</v>
      </c>
      <c r="C90" t="s">
        <v>5606</v>
      </c>
      <c r="D90" s="92">
        <v>0.34</v>
      </c>
      <c r="E90" s="92">
        <v>0.34</v>
      </c>
      <c r="F90" t="s">
        <v>428</v>
      </c>
      <c r="G90" t="s">
        <v>428</v>
      </c>
      <c r="H90" t="s">
        <v>5615</v>
      </c>
      <c r="I90">
        <v>0</v>
      </c>
      <c r="J90" t="s">
        <v>87</v>
      </c>
      <c r="K90">
        <v>0</v>
      </c>
      <c r="L90">
        <v>0</v>
      </c>
    </row>
    <row r="91" spans="1:12">
      <c r="A91" s="93">
        <v>105154</v>
      </c>
      <c r="B91" t="s">
        <v>702</v>
      </c>
      <c r="C91" t="s">
        <v>5606</v>
      </c>
      <c r="D91" s="92">
        <v>0.29</v>
      </c>
      <c r="E91" s="92">
        <v>0.26</v>
      </c>
      <c r="F91" t="s">
        <v>428</v>
      </c>
      <c r="G91" t="s">
        <v>428</v>
      </c>
      <c r="H91" t="s">
        <v>5615</v>
      </c>
      <c r="I91">
        <v>0</v>
      </c>
      <c r="J91" t="s">
        <v>87</v>
      </c>
      <c r="K91">
        <v>0</v>
      </c>
      <c r="L91">
        <v>0</v>
      </c>
    </row>
    <row r="92" spans="1:12">
      <c r="A92" s="93">
        <v>105163</v>
      </c>
      <c r="B92" t="s">
        <v>703</v>
      </c>
      <c r="C92" t="s">
        <v>5607</v>
      </c>
      <c r="D92" s="92" t="s">
        <v>428</v>
      </c>
      <c r="E92" s="92" t="s">
        <v>428</v>
      </c>
      <c r="F92" t="s">
        <v>428</v>
      </c>
      <c r="G92" t="s">
        <v>428</v>
      </c>
      <c r="H92" t="s">
        <v>5617</v>
      </c>
      <c r="I92">
        <v>0</v>
      </c>
      <c r="J92" t="s">
        <v>87</v>
      </c>
      <c r="K92">
        <v>0</v>
      </c>
      <c r="L92">
        <v>0</v>
      </c>
    </row>
    <row r="93" spans="1:12">
      <c r="A93" s="93">
        <v>105172</v>
      </c>
      <c r="B93" t="s">
        <v>704</v>
      </c>
      <c r="C93" t="s">
        <v>5607</v>
      </c>
      <c r="D93" s="92">
        <v>0.33</v>
      </c>
      <c r="E93" s="92">
        <v>1</v>
      </c>
      <c r="F93" t="s">
        <v>428</v>
      </c>
      <c r="G93" t="s">
        <v>428</v>
      </c>
      <c r="H93" t="s">
        <v>5617</v>
      </c>
      <c r="I93">
        <v>0</v>
      </c>
      <c r="J93" t="s">
        <v>87</v>
      </c>
      <c r="K93">
        <v>0</v>
      </c>
      <c r="L93">
        <v>0</v>
      </c>
    </row>
    <row r="94" spans="1:12">
      <c r="A94" s="93">
        <v>105206</v>
      </c>
      <c r="B94" t="s">
        <v>705</v>
      </c>
      <c r="C94" t="s">
        <v>5606</v>
      </c>
      <c r="D94" s="92" t="s">
        <v>428</v>
      </c>
      <c r="E94" s="92" t="s">
        <v>428</v>
      </c>
      <c r="F94" t="s">
        <v>428</v>
      </c>
      <c r="G94" t="s">
        <v>428</v>
      </c>
      <c r="H94" t="s">
        <v>5615</v>
      </c>
      <c r="I94">
        <v>0</v>
      </c>
      <c r="J94" t="s">
        <v>87</v>
      </c>
      <c r="K94">
        <v>0</v>
      </c>
      <c r="L94">
        <v>0</v>
      </c>
    </row>
    <row r="95" spans="1:12">
      <c r="A95" s="93">
        <v>105215</v>
      </c>
      <c r="B95" t="s">
        <v>706</v>
      </c>
      <c r="C95" t="s">
        <v>5606</v>
      </c>
      <c r="D95" s="92" t="s">
        <v>428</v>
      </c>
      <c r="E95" s="92" t="s">
        <v>428</v>
      </c>
      <c r="F95" t="s">
        <v>428</v>
      </c>
      <c r="G95" t="s">
        <v>428</v>
      </c>
      <c r="H95" t="s">
        <v>5617</v>
      </c>
      <c r="I95">
        <v>0</v>
      </c>
      <c r="J95" t="s">
        <v>87</v>
      </c>
      <c r="K95">
        <v>0</v>
      </c>
      <c r="L95">
        <v>0</v>
      </c>
    </row>
    <row r="96" spans="1:12">
      <c r="A96" s="93">
        <v>105297</v>
      </c>
      <c r="B96" t="s">
        <v>707</v>
      </c>
      <c r="C96" t="s">
        <v>5602</v>
      </c>
      <c r="D96" s="92">
        <v>1</v>
      </c>
      <c r="E96" s="92" t="s">
        <v>428</v>
      </c>
      <c r="F96" t="s">
        <v>428</v>
      </c>
      <c r="G96" t="s">
        <v>428</v>
      </c>
      <c r="H96" t="s">
        <v>5615</v>
      </c>
      <c r="I96">
        <v>0</v>
      </c>
      <c r="J96" t="s">
        <v>87</v>
      </c>
      <c r="K96">
        <v>0</v>
      </c>
      <c r="L96">
        <v>0</v>
      </c>
    </row>
    <row r="97" spans="1:12">
      <c r="A97" s="93">
        <v>105330</v>
      </c>
      <c r="B97" t="s">
        <v>708</v>
      </c>
      <c r="C97" t="s">
        <v>5603</v>
      </c>
      <c r="D97" s="92">
        <v>0.53</v>
      </c>
      <c r="E97" s="92">
        <v>0.48</v>
      </c>
      <c r="F97" t="s">
        <v>428</v>
      </c>
      <c r="G97" t="s">
        <v>428</v>
      </c>
      <c r="H97" t="s">
        <v>5615</v>
      </c>
      <c r="I97">
        <v>0</v>
      </c>
      <c r="J97" t="s">
        <v>87</v>
      </c>
      <c r="K97">
        <v>0</v>
      </c>
      <c r="L97">
        <v>0</v>
      </c>
    </row>
    <row r="98" spans="1:12">
      <c r="A98" s="93">
        <v>105349</v>
      </c>
      <c r="B98" t="s">
        <v>709</v>
      </c>
      <c r="C98" t="s">
        <v>5606</v>
      </c>
      <c r="D98" s="92">
        <v>0.15</v>
      </c>
      <c r="E98" s="92">
        <v>0.31</v>
      </c>
      <c r="F98" t="s">
        <v>428</v>
      </c>
      <c r="G98" t="s">
        <v>428</v>
      </c>
      <c r="H98" t="s">
        <v>5615</v>
      </c>
      <c r="I98">
        <v>0</v>
      </c>
      <c r="J98" t="s">
        <v>87</v>
      </c>
      <c r="K98">
        <v>0</v>
      </c>
      <c r="L98">
        <v>0</v>
      </c>
    </row>
    <row r="99" spans="1:12">
      <c r="A99" s="93">
        <v>105367</v>
      </c>
      <c r="B99" t="s">
        <v>710</v>
      </c>
      <c r="C99" t="s">
        <v>5604</v>
      </c>
      <c r="D99" s="92" t="s">
        <v>428</v>
      </c>
      <c r="E99" s="92" t="s">
        <v>428</v>
      </c>
      <c r="F99" t="s">
        <v>428</v>
      </c>
      <c r="G99" t="s">
        <v>428</v>
      </c>
      <c r="H99" t="s">
        <v>5615</v>
      </c>
      <c r="I99">
        <v>0</v>
      </c>
      <c r="J99" t="s">
        <v>87</v>
      </c>
      <c r="K99">
        <v>0</v>
      </c>
      <c r="L99">
        <v>0</v>
      </c>
    </row>
    <row r="100" spans="1:12">
      <c r="A100" s="93">
        <v>105428</v>
      </c>
      <c r="B100" t="s">
        <v>711</v>
      </c>
      <c r="C100" t="s">
        <v>5606</v>
      </c>
      <c r="D100" s="92">
        <v>0.29</v>
      </c>
      <c r="E100" s="92">
        <v>0.29</v>
      </c>
      <c r="F100" t="s">
        <v>428</v>
      </c>
      <c r="G100" t="s">
        <v>428</v>
      </c>
      <c r="H100" t="s">
        <v>5615</v>
      </c>
      <c r="I100">
        <v>0</v>
      </c>
      <c r="J100" t="s">
        <v>87</v>
      </c>
      <c r="K100">
        <v>0</v>
      </c>
      <c r="L100">
        <v>0</v>
      </c>
    </row>
    <row r="101" spans="1:12">
      <c r="A101" s="93">
        <v>105525</v>
      </c>
      <c r="B101" t="s">
        <v>712</v>
      </c>
      <c r="C101" t="s">
        <v>5606</v>
      </c>
      <c r="D101" s="92">
        <v>0.23</v>
      </c>
      <c r="E101" s="92">
        <v>0.2</v>
      </c>
      <c r="F101" t="s">
        <v>428</v>
      </c>
      <c r="G101" t="s">
        <v>428</v>
      </c>
      <c r="H101" t="s">
        <v>5615</v>
      </c>
      <c r="I101">
        <v>0</v>
      </c>
      <c r="J101" t="s">
        <v>87</v>
      </c>
      <c r="K101">
        <v>0</v>
      </c>
      <c r="L101">
        <v>0</v>
      </c>
    </row>
    <row r="102" spans="1:12">
      <c r="A102" s="93">
        <v>105534</v>
      </c>
      <c r="B102" t="s">
        <v>713</v>
      </c>
      <c r="C102" t="s">
        <v>5604</v>
      </c>
      <c r="D102" s="92">
        <v>0.77</v>
      </c>
      <c r="E102" s="92">
        <v>0.7</v>
      </c>
      <c r="F102" t="s">
        <v>428</v>
      </c>
      <c r="G102" t="s">
        <v>428</v>
      </c>
      <c r="H102" t="s">
        <v>5617</v>
      </c>
      <c r="I102">
        <v>0</v>
      </c>
      <c r="J102" t="s">
        <v>87</v>
      </c>
      <c r="K102">
        <v>0</v>
      </c>
      <c r="L102">
        <v>0</v>
      </c>
    </row>
    <row r="103" spans="1:12">
      <c r="A103" s="93">
        <v>105543</v>
      </c>
      <c r="B103" t="s">
        <v>714</v>
      </c>
      <c r="C103" t="s">
        <v>5606</v>
      </c>
      <c r="D103" s="92" t="s">
        <v>428</v>
      </c>
      <c r="E103" s="92" t="s">
        <v>428</v>
      </c>
      <c r="F103" t="s">
        <v>428</v>
      </c>
      <c r="G103" t="s">
        <v>428</v>
      </c>
      <c r="H103" t="s">
        <v>5617</v>
      </c>
      <c r="I103">
        <v>0</v>
      </c>
      <c r="J103" t="s">
        <v>87</v>
      </c>
      <c r="K103">
        <v>0</v>
      </c>
      <c r="L103">
        <v>0</v>
      </c>
    </row>
    <row r="104" spans="1:12">
      <c r="A104" s="93">
        <v>105589</v>
      </c>
      <c r="B104" t="s">
        <v>715</v>
      </c>
      <c r="C104" t="s">
        <v>5602</v>
      </c>
      <c r="D104" s="92">
        <v>0.32</v>
      </c>
      <c r="E104" s="92">
        <v>0.38</v>
      </c>
      <c r="F104">
        <v>21</v>
      </c>
      <c r="G104">
        <v>24.5</v>
      </c>
      <c r="H104" t="s">
        <v>5617</v>
      </c>
      <c r="I104">
        <v>0</v>
      </c>
      <c r="J104" t="s">
        <v>87</v>
      </c>
      <c r="K104">
        <v>0</v>
      </c>
      <c r="L104">
        <v>0</v>
      </c>
    </row>
    <row r="105" spans="1:12">
      <c r="A105" s="93">
        <v>105659</v>
      </c>
      <c r="B105" t="s">
        <v>716</v>
      </c>
      <c r="C105" t="s">
        <v>5606</v>
      </c>
      <c r="D105" s="92" t="s">
        <v>428</v>
      </c>
      <c r="E105" s="92" t="s">
        <v>428</v>
      </c>
      <c r="F105" t="s">
        <v>428</v>
      </c>
      <c r="G105" t="s">
        <v>428</v>
      </c>
      <c r="H105" t="s">
        <v>5617</v>
      </c>
      <c r="I105">
        <v>0</v>
      </c>
      <c r="J105" t="s">
        <v>87</v>
      </c>
      <c r="K105">
        <v>0</v>
      </c>
      <c r="L105">
        <v>0</v>
      </c>
    </row>
    <row r="106" spans="1:12">
      <c r="A106" s="93">
        <v>105668</v>
      </c>
      <c r="B106" t="s">
        <v>717</v>
      </c>
      <c r="C106" t="s">
        <v>5606</v>
      </c>
      <c r="D106" s="92">
        <v>0.19</v>
      </c>
      <c r="E106" s="92">
        <v>0.19</v>
      </c>
      <c r="F106" t="s">
        <v>428</v>
      </c>
      <c r="G106" t="s">
        <v>428</v>
      </c>
      <c r="H106" t="s">
        <v>5615</v>
      </c>
      <c r="I106">
        <v>0</v>
      </c>
      <c r="J106" t="s">
        <v>87</v>
      </c>
      <c r="K106">
        <v>0</v>
      </c>
      <c r="L106">
        <v>0</v>
      </c>
    </row>
    <row r="107" spans="1:12">
      <c r="A107" s="93">
        <v>105747</v>
      </c>
      <c r="B107" t="s">
        <v>718</v>
      </c>
      <c r="C107" t="s">
        <v>5606</v>
      </c>
      <c r="D107" s="92">
        <v>0.43</v>
      </c>
      <c r="E107" s="92">
        <v>0.44</v>
      </c>
      <c r="F107" t="s">
        <v>428</v>
      </c>
      <c r="G107" t="s">
        <v>428</v>
      </c>
      <c r="H107" t="s">
        <v>5615</v>
      </c>
      <c r="I107">
        <v>0</v>
      </c>
      <c r="J107" t="s">
        <v>87</v>
      </c>
      <c r="K107">
        <v>0</v>
      </c>
      <c r="L107">
        <v>0</v>
      </c>
    </row>
    <row r="108" spans="1:12">
      <c r="A108" s="93">
        <v>105792</v>
      </c>
      <c r="B108" t="s">
        <v>719</v>
      </c>
      <c r="C108" t="s">
        <v>5606</v>
      </c>
      <c r="D108" s="92">
        <v>0.35</v>
      </c>
      <c r="E108" s="92">
        <v>0.36</v>
      </c>
      <c r="F108" t="s">
        <v>428</v>
      </c>
      <c r="G108" t="s">
        <v>428</v>
      </c>
      <c r="H108" t="s">
        <v>5615</v>
      </c>
      <c r="I108">
        <v>0</v>
      </c>
      <c r="J108" t="s">
        <v>87</v>
      </c>
      <c r="K108">
        <v>0</v>
      </c>
      <c r="L108">
        <v>0</v>
      </c>
    </row>
    <row r="109" spans="1:12">
      <c r="A109" s="93">
        <v>105899</v>
      </c>
      <c r="B109" t="s">
        <v>720</v>
      </c>
      <c r="C109" t="s">
        <v>5608</v>
      </c>
      <c r="D109" s="92">
        <v>0.44</v>
      </c>
      <c r="E109" s="92">
        <v>0.44</v>
      </c>
      <c r="F109">
        <v>18</v>
      </c>
      <c r="G109">
        <v>20</v>
      </c>
      <c r="H109" t="s">
        <v>5617</v>
      </c>
      <c r="I109">
        <v>0</v>
      </c>
      <c r="J109" t="s">
        <v>87</v>
      </c>
      <c r="K109">
        <v>0</v>
      </c>
      <c r="L109">
        <v>0</v>
      </c>
    </row>
    <row r="110" spans="1:12">
      <c r="A110" s="93">
        <v>106041</v>
      </c>
      <c r="B110" t="s">
        <v>721</v>
      </c>
      <c r="C110" t="s">
        <v>5606</v>
      </c>
      <c r="D110" s="92">
        <v>0.6</v>
      </c>
      <c r="E110" s="92">
        <v>0.55</v>
      </c>
      <c r="F110" t="s">
        <v>428</v>
      </c>
      <c r="G110" t="s">
        <v>428</v>
      </c>
      <c r="H110" t="s">
        <v>5617</v>
      </c>
      <c r="I110">
        <v>0</v>
      </c>
      <c r="J110" t="s">
        <v>87</v>
      </c>
      <c r="K110">
        <v>0</v>
      </c>
      <c r="L110">
        <v>0</v>
      </c>
    </row>
    <row r="111" spans="1:12">
      <c r="A111" s="93">
        <v>106102</v>
      </c>
      <c r="B111" t="s">
        <v>722</v>
      </c>
      <c r="C111" t="s">
        <v>5604</v>
      </c>
      <c r="D111" s="92">
        <v>0.04</v>
      </c>
      <c r="E111" s="92">
        <v>0.01</v>
      </c>
      <c r="F111" t="s">
        <v>428</v>
      </c>
      <c r="G111" t="s">
        <v>428</v>
      </c>
      <c r="H111" t="s">
        <v>5616</v>
      </c>
      <c r="I111">
        <v>0</v>
      </c>
      <c r="J111" t="s">
        <v>87</v>
      </c>
      <c r="K111">
        <v>0</v>
      </c>
      <c r="L111">
        <v>0</v>
      </c>
    </row>
    <row r="112" spans="1:12">
      <c r="A112" s="93">
        <v>106148</v>
      </c>
      <c r="B112" t="s">
        <v>723</v>
      </c>
      <c r="C112" t="s">
        <v>5606</v>
      </c>
      <c r="D112" s="92">
        <v>0.36</v>
      </c>
      <c r="E112" s="92">
        <v>0.34</v>
      </c>
      <c r="F112" t="s">
        <v>428</v>
      </c>
      <c r="G112" t="s">
        <v>428</v>
      </c>
      <c r="H112" t="s">
        <v>5615</v>
      </c>
      <c r="I112">
        <v>0</v>
      </c>
      <c r="J112" t="s">
        <v>87</v>
      </c>
      <c r="K112">
        <v>0</v>
      </c>
      <c r="L112">
        <v>0</v>
      </c>
    </row>
    <row r="113" spans="1:12">
      <c r="A113" s="93">
        <v>106245</v>
      </c>
      <c r="B113" t="s">
        <v>724</v>
      </c>
      <c r="C113" t="s">
        <v>5602</v>
      </c>
      <c r="D113" s="92">
        <v>0.26</v>
      </c>
      <c r="E113" s="92">
        <v>0.17</v>
      </c>
      <c r="F113">
        <v>19</v>
      </c>
      <c r="G113">
        <v>22</v>
      </c>
      <c r="H113" t="s">
        <v>5615</v>
      </c>
      <c r="I113">
        <v>0</v>
      </c>
      <c r="J113" t="s">
        <v>87</v>
      </c>
      <c r="K113">
        <v>0</v>
      </c>
      <c r="L113">
        <v>0</v>
      </c>
    </row>
    <row r="114" spans="1:12">
      <c r="A114" s="93">
        <v>106263</v>
      </c>
      <c r="B114" t="s">
        <v>725</v>
      </c>
      <c r="C114" t="s">
        <v>5607</v>
      </c>
      <c r="D114" s="92" t="s">
        <v>428</v>
      </c>
      <c r="E114" s="92" t="s">
        <v>428</v>
      </c>
      <c r="F114" t="s">
        <v>428</v>
      </c>
      <c r="G114" t="s">
        <v>428</v>
      </c>
      <c r="H114" t="s">
        <v>5615</v>
      </c>
      <c r="I114">
        <v>0</v>
      </c>
      <c r="J114" t="s">
        <v>87</v>
      </c>
      <c r="K114">
        <v>0</v>
      </c>
      <c r="L114">
        <v>0</v>
      </c>
    </row>
    <row r="115" spans="1:12">
      <c r="A115" s="93">
        <v>106306</v>
      </c>
      <c r="B115" t="s">
        <v>726</v>
      </c>
      <c r="C115" t="s">
        <v>5604</v>
      </c>
      <c r="D115" s="92">
        <v>0.01</v>
      </c>
      <c r="E115" s="92">
        <v>0.16</v>
      </c>
      <c r="F115" t="s">
        <v>428</v>
      </c>
      <c r="G115" t="s">
        <v>428</v>
      </c>
      <c r="H115" t="s">
        <v>5617</v>
      </c>
      <c r="I115">
        <v>0</v>
      </c>
      <c r="J115" t="s">
        <v>138</v>
      </c>
      <c r="K115">
        <v>0</v>
      </c>
      <c r="L115">
        <v>0</v>
      </c>
    </row>
    <row r="116" spans="1:12">
      <c r="A116" s="93">
        <v>106342</v>
      </c>
      <c r="B116" t="s">
        <v>727</v>
      </c>
      <c r="C116" t="s">
        <v>5602</v>
      </c>
      <c r="D116" s="92">
        <v>0.41</v>
      </c>
      <c r="E116" s="92">
        <v>0.47</v>
      </c>
      <c r="F116">
        <v>22</v>
      </c>
      <c r="G116">
        <v>24</v>
      </c>
      <c r="H116" t="s">
        <v>5616</v>
      </c>
      <c r="I116">
        <v>0</v>
      </c>
      <c r="J116" t="s">
        <v>87</v>
      </c>
      <c r="K116">
        <v>0</v>
      </c>
      <c r="L116">
        <v>0</v>
      </c>
    </row>
    <row r="117" spans="1:12">
      <c r="A117" s="93">
        <v>106397</v>
      </c>
      <c r="B117" t="s">
        <v>728</v>
      </c>
      <c r="C117" t="s">
        <v>5602</v>
      </c>
      <c r="D117" s="92">
        <v>0.64</v>
      </c>
      <c r="E117" s="92">
        <v>0.52</v>
      </c>
      <c r="F117">
        <v>23</v>
      </c>
      <c r="G117">
        <v>26</v>
      </c>
      <c r="H117" t="s">
        <v>5615</v>
      </c>
      <c r="I117">
        <v>0</v>
      </c>
      <c r="J117" t="s">
        <v>87</v>
      </c>
      <c r="K117">
        <v>0</v>
      </c>
      <c r="L117">
        <v>0</v>
      </c>
    </row>
    <row r="118" spans="1:12">
      <c r="A118" s="93">
        <v>106412</v>
      </c>
      <c r="B118" t="s">
        <v>729</v>
      </c>
      <c r="C118" t="s">
        <v>5602</v>
      </c>
      <c r="D118" s="92">
        <v>0.23</v>
      </c>
      <c r="E118" s="92">
        <v>0.38</v>
      </c>
      <c r="F118">
        <v>16</v>
      </c>
      <c r="G118">
        <v>18.5</v>
      </c>
      <c r="H118" t="s">
        <v>5615</v>
      </c>
      <c r="I118">
        <v>0</v>
      </c>
      <c r="J118" t="s">
        <v>138</v>
      </c>
      <c r="K118">
        <v>0</v>
      </c>
      <c r="L118">
        <v>0</v>
      </c>
    </row>
    <row r="119" spans="1:12">
      <c r="A119" s="93">
        <v>106449</v>
      </c>
      <c r="B119" t="s">
        <v>730</v>
      </c>
      <c r="C119" t="s">
        <v>5606</v>
      </c>
      <c r="D119" s="92">
        <v>0.42</v>
      </c>
      <c r="E119" s="92">
        <v>0.32</v>
      </c>
      <c r="F119" t="s">
        <v>428</v>
      </c>
      <c r="G119" t="s">
        <v>428</v>
      </c>
      <c r="H119" t="s">
        <v>5615</v>
      </c>
      <c r="I119">
        <v>0</v>
      </c>
      <c r="J119" t="s">
        <v>87</v>
      </c>
      <c r="K119">
        <v>0</v>
      </c>
      <c r="L119">
        <v>0</v>
      </c>
    </row>
    <row r="120" spans="1:12">
      <c r="A120" s="93">
        <v>106458</v>
      </c>
      <c r="B120" t="s">
        <v>731</v>
      </c>
      <c r="C120" t="s">
        <v>5602</v>
      </c>
      <c r="D120" s="92">
        <v>0.44</v>
      </c>
      <c r="E120" s="92">
        <v>0.33</v>
      </c>
      <c r="F120">
        <v>21</v>
      </c>
      <c r="G120">
        <v>23.5</v>
      </c>
      <c r="H120" t="s">
        <v>5615</v>
      </c>
      <c r="I120">
        <v>0</v>
      </c>
      <c r="J120" t="s">
        <v>87</v>
      </c>
      <c r="K120">
        <v>0</v>
      </c>
      <c r="L120">
        <v>0</v>
      </c>
    </row>
    <row r="121" spans="1:12">
      <c r="A121" s="93">
        <v>106467</v>
      </c>
      <c r="B121" t="s">
        <v>732</v>
      </c>
      <c r="C121" t="s">
        <v>5602</v>
      </c>
      <c r="D121" s="92">
        <v>0.37</v>
      </c>
      <c r="E121" s="92">
        <v>0.23</v>
      </c>
      <c r="F121" t="s">
        <v>428</v>
      </c>
      <c r="G121" t="s">
        <v>428</v>
      </c>
      <c r="H121" t="s">
        <v>5615</v>
      </c>
      <c r="I121">
        <v>0</v>
      </c>
      <c r="J121" t="s">
        <v>87</v>
      </c>
      <c r="K121">
        <v>0</v>
      </c>
      <c r="L121">
        <v>0</v>
      </c>
    </row>
    <row r="122" spans="1:12">
      <c r="A122" s="93">
        <v>106485</v>
      </c>
      <c r="B122" t="s">
        <v>733</v>
      </c>
      <c r="C122" t="s">
        <v>5604</v>
      </c>
      <c r="D122" s="92">
        <v>0.22</v>
      </c>
      <c r="E122" s="92">
        <v>0.08</v>
      </c>
      <c r="F122" t="s">
        <v>428</v>
      </c>
      <c r="G122" t="s">
        <v>428</v>
      </c>
      <c r="H122" t="s">
        <v>5615</v>
      </c>
      <c r="I122">
        <v>0</v>
      </c>
      <c r="J122" t="s">
        <v>87</v>
      </c>
      <c r="K122">
        <v>0</v>
      </c>
      <c r="L122">
        <v>0</v>
      </c>
    </row>
    <row r="123" spans="1:12">
      <c r="A123" s="93">
        <v>106546</v>
      </c>
      <c r="B123" t="s">
        <v>734</v>
      </c>
      <c r="C123" t="s">
        <v>5609</v>
      </c>
      <c r="D123" s="92" t="s">
        <v>428</v>
      </c>
      <c r="E123" s="92" t="s">
        <v>428</v>
      </c>
      <c r="F123">
        <v>18</v>
      </c>
      <c r="G123">
        <v>20.5</v>
      </c>
      <c r="H123" t="s">
        <v>5617</v>
      </c>
      <c r="I123">
        <v>0</v>
      </c>
      <c r="J123" t="s">
        <v>87</v>
      </c>
      <c r="K123">
        <v>0</v>
      </c>
      <c r="L123">
        <v>0</v>
      </c>
    </row>
    <row r="124" spans="1:12">
      <c r="A124" s="93">
        <v>106625</v>
      </c>
      <c r="B124" t="s">
        <v>735</v>
      </c>
      <c r="C124" t="s">
        <v>5606</v>
      </c>
      <c r="D124" s="92" t="s">
        <v>428</v>
      </c>
      <c r="E124" s="92" t="s">
        <v>428</v>
      </c>
      <c r="F124" t="s">
        <v>428</v>
      </c>
      <c r="G124" t="s">
        <v>428</v>
      </c>
      <c r="H124" t="s">
        <v>5615</v>
      </c>
      <c r="I124">
        <v>0</v>
      </c>
      <c r="J124" t="s">
        <v>87</v>
      </c>
      <c r="K124">
        <v>0</v>
      </c>
      <c r="L124">
        <v>0</v>
      </c>
    </row>
    <row r="125" spans="1:12">
      <c r="A125" s="93">
        <v>106704</v>
      </c>
      <c r="B125" t="s">
        <v>736</v>
      </c>
      <c r="C125" t="s">
        <v>5603</v>
      </c>
      <c r="D125" s="92">
        <v>0.42</v>
      </c>
      <c r="E125" s="92">
        <v>0.26</v>
      </c>
      <c r="F125">
        <v>20</v>
      </c>
      <c r="G125">
        <v>23.5</v>
      </c>
      <c r="H125" t="s">
        <v>5615</v>
      </c>
      <c r="I125">
        <v>0</v>
      </c>
      <c r="J125" t="s">
        <v>87</v>
      </c>
      <c r="K125">
        <v>0</v>
      </c>
      <c r="L125">
        <v>0</v>
      </c>
    </row>
    <row r="126" spans="1:12">
      <c r="A126" s="93">
        <v>106713</v>
      </c>
      <c r="B126" t="s">
        <v>737</v>
      </c>
      <c r="C126" t="s">
        <v>5602</v>
      </c>
      <c r="D126" s="92">
        <v>0.32</v>
      </c>
      <c r="E126" s="92">
        <v>0.17</v>
      </c>
      <c r="F126">
        <v>19</v>
      </c>
      <c r="G126">
        <v>22</v>
      </c>
      <c r="H126" t="s">
        <v>5616</v>
      </c>
      <c r="I126">
        <v>0</v>
      </c>
      <c r="J126" t="s">
        <v>87</v>
      </c>
      <c r="K126">
        <v>0</v>
      </c>
      <c r="L126">
        <v>0</v>
      </c>
    </row>
    <row r="127" spans="1:12">
      <c r="A127" s="93">
        <v>106795</v>
      </c>
      <c r="B127" t="s">
        <v>738</v>
      </c>
      <c r="C127" t="s">
        <v>5606</v>
      </c>
      <c r="D127" s="92" t="s">
        <v>428</v>
      </c>
      <c r="E127" s="92" t="s">
        <v>428</v>
      </c>
      <c r="F127" t="s">
        <v>428</v>
      </c>
      <c r="G127" t="s">
        <v>428</v>
      </c>
      <c r="H127" t="s">
        <v>5615</v>
      </c>
      <c r="I127">
        <v>0</v>
      </c>
      <c r="J127" t="s">
        <v>87</v>
      </c>
      <c r="K127">
        <v>0</v>
      </c>
      <c r="L127">
        <v>0</v>
      </c>
    </row>
    <row r="128" spans="1:12">
      <c r="A128" s="93">
        <v>106810</v>
      </c>
      <c r="B128" t="s">
        <v>739</v>
      </c>
      <c r="C128" t="s">
        <v>5604</v>
      </c>
      <c r="D128" s="92">
        <v>0.32</v>
      </c>
      <c r="E128" s="92">
        <v>0.5</v>
      </c>
      <c r="F128" t="s">
        <v>428</v>
      </c>
      <c r="G128" t="s">
        <v>428</v>
      </c>
      <c r="H128" t="s">
        <v>5616</v>
      </c>
      <c r="I128">
        <v>0</v>
      </c>
      <c r="J128" t="s">
        <v>87</v>
      </c>
      <c r="K128">
        <v>0</v>
      </c>
      <c r="L128">
        <v>0</v>
      </c>
    </row>
    <row r="129" spans="1:12">
      <c r="A129" s="93">
        <v>106883</v>
      </c>
      <c r="B129" t="s">
        <v>740</v>
      </c>
      <c r="C129" t="s">
        <v>5606</v>
      </c>
      <c r="D129" s="92">
        <v>0.26</v>
      </c>
      <c r="E129" s="92">
        <v>0.21</v>
      </c>
      <c r="F129" t="s">
        <v>428</v>
      </c>
      <c r="G129" t="s">
        <v>428</v>
      </c>
      <c r="H129" t="s">
        <v>5615</v>
      </c>
      <c r="I129">
        <v>0</v>
      </c>
      <c r="J129" t="s">
        <v>87</v>
      </c>
      <c r="K129">
        <v>0</v>
      </c>
      <c r="L129">
        <v>0</v>
      </c>
    </row>
    <row r="130" spans="1:12">
      <c r="A130" s="93">
        <v>106980</v>
      </c>
      <c r="B130" t="s">
        <v>741</v>
      </c>
      <c r="C130" t="s">
        <v>5606</v>
      </c>
      <c r="D130" s="92">
        <v>0.28</v>
      </c>
      <c r="E130" s="92">
        <v>0.23</v>
      </c>
      <c r="F130" t="s">
        <v>428</v>
      </c>
      <c r="G130" t="s">
        <v>428</v>
      </c>
      <c r="H130" t="s">
        <v>5615</v>
      </c>
      <c r="I130">
        <v>0</v>
      </c>
      <c r="J130" t="s">
        <v>87</v>
      </c>
      <c r="K130">
        <v>0</v>
      </c>
      <c r="L130">
        <v>0</v>
      </c>
    </row>
    <row r="131" spans="1:12">
      <c r="A131" s="93">
        <v>106999</v>
      </c>
      <c r="B131" t="s">
        <v>742</v>
      </c>
      <c r="C131" t="s">
        <v>5606</v>
      </c>
      <c r="D131" s="92">
        <v>0.45</v>
      </c>
      <c r="E131" s="92">
        <v>0.26</v>
      </c>
      <c r="F131" t="s">
        <v>428</v>
      </c>
      <c r="G131" t="s">
        <v>428</v>
      </c>
      <c r="H131" t="s">
        <v>5615</v>
      </c>
      <c r="I131">
        <v>0</v>
      </c>
      <c r="J131" t="s">
        <v>87</v>
      </c>
      <c r="K131">
        <v>0</v>
      </c>
      <c r="L131">
        <v>0</v>
      </c>
    </row>
    <row r="132" spans="1:12">
      <c r="A132" s="93">
        <v>107044</v>
      </c>
      <c r="B132" t="s">
        <v>743</v>
      </c>
      <c r="C132" t="s">
        <v>5602</v>
      </c>
      <c r="D132" s="92">
        <v>0.63</v>
      </c>
      <c r="E132" s="92">
        <v>0.38</v>
      </c>
      <c r="F132">
        <v>22</v>
      </c>
      <c r="G132">
        <v>25</v>
      </c>
      <c r="H132" t="s">
        <v>5616</v>
      </c>
      <c r="I132">
        <v>0</v>
      </c>
      <c r="J132" t="s">
        <v>87</v>
      </c>
      <c r="K132">
        <v>0</v>
      </c>
      <c r="L132">
        <v>0</v>
      </c>
    </row>
    <row r="133" spans="1:12">
      <c r="A133" s="93">
        <v>107071</v>
      </c>
      <c r="B133" t="s">
        <v>744</v>
      </c>
      <c r="C133" t="s">
        <v>5608</v>
      </c>
      <c r="D133" s="92">
        <v>0.34</v>
      </c>
      <c r="E133" s="92">
        <v>0.25</v>
      </c>
      <c r="F133">
        <v>19</v>
      </c>
      <c r="G133">
        <v>22</v>
      </c>
      <c r="H133" t="s">
        <v>5615</v>
      </c>
      <c r="I133">
        <v>0</v>
      </c>
      <c r="J133" t="s">
        <v>87</v>
      </c>
      <c r="K133">
        <v>0</v>
      </c>
      <c r="L133">
        <v>0</v>
      </c>
    </row>
    <row r="134" spans="1:12">
      <c r="A134" s="93">
        <v>107080</v>
      </c>
      <c r="B134" t="s">
        <v>745</v>
      </c>
      <c r="C134" t="s">
        <v>5603</v>
      </c>
      <c r="D134" s="92">
        <v>0.7</v>
      </c>
      <c r="E134" s="92">
        <v>0.6</v>
      </c>
      <c r="F134">
        <v>26</v>
      </c>
      <c r="G134">
        <v>29</v>
      </c>
      <c r="H134" t="s">
        <v>5617</v>
      </c>
      <c r="I134">
        <v>0</v>
      </c>
      <c r="J134" t="s">
        <v>87</v>
      </c>
      <c r="K134">
        <v>0</v>
      </c>
      <c r="L134">
        <v>0</v>
      </c>
    </row>
    <row r="135" spans="1:12">
      <c r="A135" s="93">
        <v>107123</v>
      </c>
      <c r="B135" t="s">
        <v>746</v>
      </c>
      <c r="C135" t="s">
        <v>5606</v>
      </c>
      <c r="D135" s="92" t="s">
        <v>428</v>
      </c>
      <c r="E135" s="92" t="s">
        <v>428</v>
      </c>
      <c r="F135" t="s">
        <v>428</v>
      </c>
      <c r="G135" t="s">
        <v>428</v>
      </c>
      <c r="H135" t="s">
        <v>5615</v>
      </c>
      <c r="I135">
        <v>0</v>
      </c>
      <c r="J135" t="s">
        <v>87</v>
      </c>
      <c r="K135">
        <v>0</v>
      </c>
      <c r="L135">
        <v>0</v>
      </c>
    </row>
    <row r="136" spans="1:12">
      <c r="A136" s="93">
        <v>107141</v>
      </c>
      <c r="B136" t="s">
        <v>747</v>
      </c>
      <c r="C136" t="s">
        <v>5603</v>
      </c>
      <c r="D136" s="92">
        <v>0.62</v>
      </c>
      <c r="E136" s="92">
        <v>0.51</v>
      </c>
      <c r="F136">
        <v>23</v>
      </c>
      <c r="G136">
        <v>26</v>
      </c>
      <c r="H136" t="s">
        <v>5616</v>
      </c>
      <c r="I136">
        <v>0</v>
      </c>
      <c r="J136" t="s">
        <v>87</v>
      </c>
      <c r="K136">
        <v>0</v>
      </c>
      <c r="L136">
        <v>0</v>
      </c>
    </row>
    <row r="137" spans="1:12">
      <c r="A137" s="93">
        <v>107318</v>
      </c>
      <c r="B137" t="s">
        <v>748</v>
      </c>
      <c r="C137" t="s">
        <v>5606</v>
      </c>
      <c r="D137" s="92">
        <v>0.22</v>
      </c>
      <c r="E137" s="92">
        <v>0.2</v>
      </c>
      <c r="F137" t="s">
        <v>428</v>
      </c>
      <c r="G137" t="s">
        <v>428</v>
      </c>
      <c r="H137" t="s">
        <v>5615</v>
      </c>
      <c r="I137">
        <v>0</v>
      </c>
      <c r="J137" t="s">
        <v>87</v>
      </c>
      <c r="K137">
        <v>0</v>
      </c>
      <c r="L137">
        <v>0</v>
      </c>
    </row>
    <row r="138" spans="1:12">
      <c r="A138" s="93">
        <v>107327</v>
      </c>
      <c r="B138" t="s">
        <v>749</v>
      </c>
      <c r="C138" t="s">
        <v>5606</v>
      </c>
      <c r="D138" s="92">
        <v>0.34</v>
      </c>
      <c r="E138" s="92">
        <v>0.29</v>
      </c>
      <c r="F138" t="s">
        <v>428</v>
      </c>
      <c r="G138" t="s">
        <v>428</v>
      </c>
      <c r="H138" t="s">
        <v>5615</v>
      </c>
      <c r="I138">
        <v>0</v>
      </c>
      <c r="J138" t="s">
        <v>87</v>
      </c>
      <c r="K138">
        <v>0</v>
      </c>
      <c r="L138">
        <v>0</v>
      </c>
    </row>
    <row r="139" spans="1:12">
      <c r="A139" s="93">
        <v>107460</v>
      </c>
      <c r="B139" t="s">
        <v>750</v>
      </c>
      <c r="C139" t="s">
        <v>5606</v>
      </c>
      <c r="D139" s="92">
        <v>0.34</v>
      </c>
      <c r="E139" s="92">
        <v>0.26</v>
      </c>
      <c r="F139" t="s">
        <v>428</v>
      </c>
      <c r="G139" t="s">
        <v>428</v>
      </c>
      <c r="H139" t="s">
        <v>5615</v>
      </c>
      <c r="I139">
        <v>0</v>
      </c>
      <c r="J139" t="s">
        <v>87</v>
      </c>
      <c r="K139">
        <v>0</v>
      </c>
      <c r="L139">
        <v>0</v>
      </c>
    </row>
    <row r="140" spans="1:12">
      <c r="A140" s="93">
        <v>107512</v>
      </c>
      <c r="B140" t="s">
        <v>751</v>
      </c>
      <c r="C140" t="s">
        <v>5602</v>
      </c>
      <c r="D140" s="92">
        <v>0.65</v>
      </c>
      <c r="E140" s="92">
        <v>0.41</v>
      </c>
      <c r="F140">
        <v>21</v>
      </c>
      <c r="G140">
        <v>24.5</v>
      </c>
      <c r="H140" t="s">
        <v>5617</v>
      </c>
      <c r="I140">
        <v>0</v>
      </c>
      <c r="J140" t="s">
        <v>87</v>
      </c>
      <c r="K140">
        <v>0</v>
      </c>
      <c r="L140">
        <v>0</v>
      </c>
    </row>
    <row r="141" spans="1:12">
      <c r="A141" s="93">
        <v>107521</v>
      </c>
      <c r="B141" t="s">
        <v>752</v>
      </c>
      <c r="C141" t="s">
        <v>5606</v>
      </c>
      <c r="D141" s="92">
        <v>0.34</v>
      </c>
      <c r="E141" s="92">
        <v>0.25</v>
      </c>
      <c r="F141" t="s">
        <v>428</v>
      </c>
      <c r="G141" t="s">
        <v>428</v>
      </c>
      <c r="H141" t="s">
        <v>5615</v>
      </c>
      <c r="I141">
        <v>0</v>
      </c>
      <c r="J141" t="s">
        <v>87</v>
      </c>
      <c r="K141">
        <v>0</v>
      </c>
      <c r="L141">
        <v>0</v>
      </c>
    </row>
    <row r="142" spans="1:12">
      <c r="A142" s="93">
        <v>107549</v>
      </c>
      <c r="B142" t="s">
        <v>753</v>
      </c>
      <c r="C142" t="s">
        <v>5606</v>
      </c>
      <c r="D142" s="92">
        <v>0.3</v>
      </c>
      <c r="E142" s="92">
        <v>0.24</v>
      </c>
      <c r="F142" t="s">
        <v>428</v>
      </c>
      <c r="G142" t="s">
        <v>428</v>
      </c>
      <c r="H142" t="s">
        <v>5615</v>
      </c>
      <c r="I142">
        <v>0</v>
      </c>
      <c r="J142" t="s">
        <v>87</v>
      </c>
      <c r="K142">
        <v>0</v>
      </c>
      <c r="L142">
        <v>0</v>
      </c>
    </row>
    <row r="143" spans="1:12">
      <c r="A143" s="93">
        <v>107558</v>
      </c>
      <c r="B143" t="s">
        <v>754</v>
      </c>
      <c r="C143" t="s">
        <v>5602</v>
      </c>
      <c r="D143" s="92">
        <v>0.44</v>
      </c>
      <c r="E143" s="92">
        <v>0.31</v>
      </c>
      <c r="F143">
        <v>19</v>
      </c>
      <c r="G143">
        <v>21.5</v>
      </c>
      <c r="H143" t="s">
        <v>5616</v>
      </c>
      <c r="I143">
        <v>0</v>
      </c>
      <c r="J143" t="s">
        <v>87</v>
      </c>
      <c r="K143">
        <v>0</v>
      </c>
      <c r="L143">
        <v>0</v>
      </c>
    </row>
    <row r="144" spans="1:12">
      <c r="A144" s="93">
        <v>107585</v>
      </c>
      <c r="B144" t="s">
        <v>755</v>
      </c>
      <c r="C144" t="s">
        <v>5609</v>
      </c>
      <c r="D144" s="92">
        <v>0.32</v>
      </c>
      <c r="E144" s="92">
        <v>0.2</v>
      </c>
      <c r="F144">
        <v>18</v>
      </c>
      <c r="G144">
        <v>20</v>
      </c>
      <c r="H144" t="s">
        <v>5615</v>
      </c>
      <c r="I144">
        <v>0</v>
      </c>
      <c r="J144" t="s">
        <v>87</v>
      </c>
      <c r="K144">
        <v>0</v>
      </c>
      <c r="L144">
        <v>0</v>
      </c>
    </row>
    <row r="145" spans="1:12">
      <c r="A145" s="93">
        <v>107600</v>
      </c>
      <c r="B145" t="s">
        <v>756</v>
      </c>
      <c r="C145" t="s">
        <v>5608</v>
      </c>
      <c r="D145" s="92">
        <v>0.4</v>
      </c>
      <c r="E145" s="92">
        <v>0.52</v>
      </c>
      <c r="F145" t="s">
        <v>428</v>
      </c>
      <c r="G145" t="s">
        <v>428</v>
      </c>
      <c r="H145" t="s">
        <v>5617</v>
      </c>
      <c r="I145">
        <v>0</v>
      </c>
      <c r="J145" t="s">
        <v>138</v>
      </c>
      <c r="K145">
        <v>0</v>
      </c>
      <c r="L145">
        <v>0</v>
      </c>
    </row>
    <row r="146" spans="1:12">
      <c r="A146" s="93">
        <v>107619</v>
      </c>
      <c r="B146" t="s">
        <v>757</v>
      </c>
      <c r="C146" t="s">
        <v>5606</v>
      </c>
      <c r="D146" s="92">
        <v>0.34</v>
      </c>
      <c r="E146" s="92">
        <v>0.28</v>
      </c>
      <c r="F146" t="s">
        <v>428</v>
      </c>
      <c r="G146" t="s">
        <v>428</v>
      </c>
      <c r="H146" t="s">
        <v>5615</v>
      </c>
      <c r="I146">
        <v>0</v>
      </c>
      <c r="J146" t="s">
        <v>87</v>
      </c>
      <c r="K146">
        <v>0</v>
      </c>
      <c r="L146">
        <v>0</v>
      </c>
    </row>
    <row r="147" spans="1:12">
      <c r="A147" s="93">
        <v>107637</v>
      </c>
      <c r="B147" t="s">
        <v>758</v>
      </c>
      <c r="C147" t="s">
        <v>5606</v>
      </c>
      <c r="D147" s="92">
        <v>0.2</v>
      </c>
      <c r="E147" s="92">
        <v>0.18</v>
      </c>
      <c r="F147" t="s">
        <v>428</v>
      </c>
      <c r="G147" t="s">
        <v>428</v>
      </c>
      <c r="H147" t="s">
        <v>5615</v>
      </c>
      <c r="I147">
        <v>0</v>
      </c>
      <c r="J147" t="s">
        <v>87</v>
      </c>
      <c r="K147">
        <v>0</v>
      </c>
      <c r="L147">
        <v>0</v>
      </c>
    </row>
    <row r="148" spans="1:12">
      <c r="A148" s="93">
        <v>107664</v>
      </c>
      <c r="B148" t="s">
        <v>759</v>
      </c>
      <c r="C148" t="s">
        <v>5606</v>
      </c>
      <c r="D148" s="92">
        <v>0.24</v>
      </c>
      <c r="E148" s="92">
        <v>0.17</v>
      </c>
      <c r="F148" t="s">
        <v>428</v>
      </c>
      <c r="G148" t="s">
        <v>428</v>
      </c>
      <c r="H148" t="s">
        <v>5615</v>
      </c>
      <c r="I148">
        <v>0</v>
      </c>
      <c r="J148" t="s">
        <v>87</v>
      </c>
      <c r="K148">
        <v>0</v>
      </c>
      <c r="L148">
        <v>0</v>
      </c>
    </row>
    <row r="149" spans="1:12">
      <c r="A149" s="93">
        <v>107725</v>
      </c>
      <c r="B149" t="s">
        <v>760</v>
      </c>
      <c r="C149" t="s">
        <v>5606</v>
      </c>
      <c r="D149" s="92">
        <v>0.31</v>
      </c>
      <c r="E149" s="92">
        <v>0.24</v>
      </c>
      <c r="F149" t="s">
        <v>428</v>
      </c>
      <c r="G149" t="s">
        <v>428</v>
      </c>
      <c r="H149" t="s">
        <v>5615</v>
      </c>
      <c r="I149">
        <v>0</v>
      </c>
      <c r="J149" t="s">
        <v>87</v>
      </c>
      <c r="K149">
        <v>0</v>
      </c>
      <c r="L149">
        <v>0</v>
      </c>
    </row>
    <row r="150" spans="1:12">
      <c r="A150" s="93">
        <v>107743</v>
      </c>
      <c r="B150" t="s">
        <v>761</v>
      </c>
      <c r="C150" t="s">
        <v>5606</v>
      </c>
      <c r="D150" s="92">
        <v>0.31</v>
      </c>
      <c r="E150" s="92">
        <v>0.54</v>
      </c>
      <c r="F150" t="s">
        <v>428</v>
      </c>
      <c r="G150" t="s">
        <v>428</v>
      </c>
      <c r="H150" t="s">
        <v>5615</v>
      </c>
      <c r="I150">
        <v>0</v>
      </c>
      <c r="J150" t="s">
        <v>87</v>
      </c>
      <c r="K150">
        <v>0</v>
      </c>
      <c r="L150">
        <v>0</v>
      </c>
    </row>
    <row r="151" spans="1:12">
      <c r="A151" s="93">
        <v>107840</v>
      </c>
      <c r="B151" t="s">
        <v>762</v>
      </c>
      <c r="C151" t="s">
        <v>5606</v>
      </c>
      <c r="D151" s="92" t="s">
        <v>428</v>
      </c>
      <c r="E151" s="92" t="s">
        <v>428</v>
      </c>
      <c r="F151" t="s">
        <v>428</v>
      </c>
      <c r="G151" t="s">
        <v>428</v>
      </c>
      <c r="H151" t="s">
        <v>5617</v>
      </c>
      <c r="I151">
        <v>0</v>
      </c>
      <c r="J151" t="s">
        <v>138</v>
      </c>
      <c r="K151">
        <v>0</v>
      </c>
      <c r="L151">
        <v>0</v>
      </c>
    </row>
    <row r="152" spans="1:12">
      <c r="A152" s="93">
        <v>107877</v>
      </c>
      <c r="B152" t="s">
        <v>763</v>
      </c>
      <c r="C152" t="s">
        <v>5602</v>
      </c>
      <c r="D152" s="92">
        <v>0.39</v>
      </c>
      <c r="E152" s="92">
        <v>0.19</v>
      </c>
      <c r="F152">
        <v>18</v>
      </c>
      <c r="G152">
        <v>20.5</v>
      </c>
      <c r="H152" t="s">
        <v>5616</v>
      </c>
      <c r="I152">
        <v>0</v>
      </c>
      <c r="J152" t="s">
        <v>87</v>
      </c>
      <c r="K152">
        <v>0</v>
      </c>
      <c r="L152">
        <v>0</v>
      </c>
    </row>
    <row r="153" spans="1:12">
      <c r="A153" s="93">
        <v>107974</v>
      </c>
      <c r="B153" t="s">
        <v>764</v>
      </c>
      <c r="C153" t="s">
        <v>5606</v>
      </c>
      <c r="D153" s="92">
        <v>0.23</v>
      </c>
      <c r="E153" s="92">
        <v>0.16</v>
      </c>
      <c r="F153" t="s">
        <v>428</v>
      </c>
      <c r="G153" t="s">
        <v>428</v>
      </c>
      <c r="H153" t="s">
        <v>5615</v>
      </c>
      <c r="I153">
        <v>0</v>
      </c>
      <c r="J153" t="s">
        <v>87</v>
      </c>
      <c r="K153">
        <v>0</v>
      </c>
      <c r="L153">
        <v>0</v>
      </c>
    </row>
    <row r="154" spans="1:12">
      <c r="A154" s="93">
        <v>107983</v>
      </c>
      <c r="B154" t="s">
        <v>765</v>
      </c>
      <c r="C154" t="s">
        <v>5602</v>
      </c>
      <c r="D154" s="92">
        <v>0.34</v>
      </c>
      <c r="E154" s="92">
        <v>0.25</v>
      </c>
      <c r="F154">
        <v>18</v>
      </c>
      <c r="G154">
        <v>21</v>
      </c>
      <c r="H154" t="s">
        <v>5615</v>
      </c>
      <c r="I154">
        <v>0</v>
      </c>
      <c r="J154" t="s">
        <v>87</v>
      </c>
      <c r="K154">
        <v>0</v>
      </c>
      <c r="L154">
        <v>0</v>
      </c>
    </row>
    <row r="155" spans="1:12">
      <c r="A155" s="93">
        <v>107992</v>
      </c>
      <c r="B155" t="s">
        <v>766</v>
      </c>
      <c r="C155" t="s">
        <v>5606</v>
      </c>
      <c r="D155" s="92">
        <v>0.5600000000000001</v>
      </c>
      <c r="E155" s="92">
        <v>0.44</v>
      </c>
      <c r="F155" t="s">
        <v>428</v>
      </c>
      <c r="G155" t="s">
        <v>428</v>
      </c>
      <c r="H155" t="s">
        <v>5615</v>
      </c>
      <c r="I155">
        <v>0</v>
      </c>
      <c r="J155" t="s">
        <v>87</v>
      </c>
      <c r="K155">
        <v>0</v>
      </c>
      <c r="L155">
        <v>0</v>
      </c>
    </row>
    <row r="156" spans="1:12">
      <c r="A156" s="93">
        <v>108092</v>
      </c>
      <c r="B156" t="s">
        <v>767</v>
      </c>
      <c r="C156" t="s">
        <v>5604</v>
      </c>
      <c r="D156" s="92">
        <v>0.26</v>
      </c>
      <c r="E156" s="92">
        <v>0.25</v>
      </c>
      <c r="F156" t="s">
        <v>428</v>
      </c>
      <c r="G156" t="s">
        <v>428</v>
      </c>
      <c r="H156" t="s">
        <v>5615</v>
      </c>
      <c r="I156">
        <v>0</v>
      </c>
      <c r="J156" t="s">
        <v>87</v>
      </c>
      <c r="K156">
        <v>0</v>
      </c>
      <c r="L156">
        <v>0</v>
      </c>
    </row>
    <row r="157" spans="1:12">
      <c r="A157" s="93">
        <v>108232</v>
      </c>
      <c r="B157" t="s">
        <v>768</v>
      </c>
      <c r="C157" t="s">
        <v>5604</v>
      </c>
      <c r="D157" s="92">
        <v>0.34</v>
      </c>
      <c r="E157" s="92">
        <v>0.2</v>
      </c>
      <c r="F157" t="s">
        <v>428</v>
      </c>
      <c r="G157" t="s">
        <v>428</v>
      </c>
      <c r="H157" t="s">
        <v>5617</v>
      </c>
      <c r="I157">
        <v>0</v>
      </c>
      <c r="J157" t="s">
        <v>87</v>
      </c>
      <c r="K157">
        <v>0</v>
      </c>
      <c r="L157">
        <v>0</v>
      </c>
    </row>
    <row r="158" spans="1:12">
      <c r="A158" s="93">
        <v>108250</v>
      </c>
      <c r="B158" t="s">
        <v>769</v>
      </c>
      <c r="C158" t="s">
        <v>5607</v>
      </c>
      <c r="D158" s="92" t="s">
        <v>428</v>
      </c>
      <c r="E158" s="92" t="s">
        <v>428</v>
      </c>
      <c r="F158" t="s">
        <v>428</v>
      </c>
      <c r="G158" t="s">
        <v>428</v>
      </c>
      <c r="H158" t="s">
        <v>5617</v>
      </c>
      <c r="I158">
        <v>0</v>
      </c>
      <c r="J158" t="s">
        <v>87</v>
      </c>
      <c r="K158">
        <v>0</v>
      </c>
      <c r="L158">
        <v>0</v>
      </c>
    </row>
    <row r="159" spans="1:12">
      <c r="A159" s="93">
        <v>108269</v>
      </c>
      <c r="B159" t="s">
        <v>770</v>
      </c>
      <c r="C159" t="s">
        <v>5607</v>
      </c>
      <c r="D159" s="92" t="s">
        <v>428</v>
      </c>
      <c r="E159" s="92" t="s">
        <v>428</v>
      </c>
      <c r="F159" t="s">
        <v>428</v>
      </c>
      <c r="G159" t="s">
        <v>428</v>
      </c>
      <c r="H159" t="s">
        <v>5615</v>
      </c>
      <c r="I159">
        <v>0</v>
      </c>
      <c r="J159" t="s">
        <v>87</v>
      </c>
      <c r="K159">
        <v>0</v>
      </c>
      <c r="L159">
        <v>0</v>
      </c>
    </row>
    <row r="160" spans="1:12">
      <c r="A160" s="93">
        <v>108667</v>
      </c>
      <c r="B160" t="s">
        <v>771</v>
      </c>
      <c r="C160" t="s">
        <v>5606</v>
      </c>
      <c r="D160" s="92">
        <v>0.28</v>
      </c>
      <c r="E160" s="92">
        <v>0.2</v>
      </c>
      <c r="F160" t="s">
        <v>428</v>
      </c>
      <c r="G160" t="s">
        <v>428</v>
      </c>
      <c r="H160" t="s">
        <v>5615</v>
      </c>
      <c r="I160">
        <v>0</v>
      </c>
      <c r="J160" t="s">
        <v>87</v>
      </c>
      <c r="K160">
        <v>0</v>
      </c>
      <c r="L160">
        <v>0</v>
      </c>
    </row>
    <row r="161" spans="1:12">
      <c r="A161" s="93">
        <v>108807</v>
      </c>
      <c r="B161" t="s">
        <v>772</v>
      </c>
      <c r="C161" t="s">
        <v>5606</v>
      </c>
      <c r="D161" s="92">
        <v>0.3</v>
      </c>
      <c r="E161" s="92">
        <v>0.26</v>
      </c>
      <c r="F161" t="s">
        <v>428</v>
      </c>
      <c r="G161" t="s">
        <v>428</v>
      </c>
      <c r="H161" t="s">
        <v>5615</v>
      </c>
      <c r="I161">
        <v>0</v>
      </c>
      <c r="J161" t="s">
        <v>87</v>
      </c>
      <c r="K161">
        <v>0</v>
      </c>
      <c r="L161">
        <v>0</v>
      </c>
    </row>
    <row r="162" spans="1:12">
      <c r="A162" s="93">
        <v>108852</v>
      </c>
      <c r="B162" t="s">
        <v>773</v>
      </c>
      <c r="C162" t="s">
        <v>5609</v>
      </c>
      <c r="D162" s="92" t="s">
        <v>428</v>
      </c>
      <c r="E162" s="92" t="s">
        <v>428</v>
      </c>
      <c r="F162" t="s">
        <v>428</v>
      </c>
      <c r="G162" t="s">
        <v>428</v>
      </c>
      <c r="H162" t="s">
        <v>5617</v>
      </c>
      <c r="I162">
        <v>0</v>
      </c>
      <c r="J162" t="s">
        <v>87</v>
      </c>
      <c r="K162">
        <v>0</v>
      </c>
      <c r="L162">
        <v>0</v>
      </c>
    </row>
    <row r="163" spans="1:12">
      <c r="A163" s="93">
        <v>108861</v>
      </c>
      <c r="B163" t="s">
        <v>774</v>
      </c>
      <c r="C163" t="s">
        <v>5607</v>
      </c>
      <c r="D163" s="92" t="s">
        <v>428</v>
      </c>
      <c r="E163" s="92" t="s">
        <v>428</v>
      </c>
      <c r="F163" t="s">
        <v>428</v>
      </c>
      <c r="G163" t="s">
        <v>428</v>
      </c>
      <c r="H163" t="s">
        <v>5615</v>
      </c>
      <c r="I163">
        <v>0</v>
      </c>
      <c r="J163" t="s">
        <v>87</v>
      </c>
      <c r="K163">
        <v>0</v>
      </c>
      <c r="L163">
        <v>0</v>
      </c>
    </row>
    <row r="164" spans="1:12">
      <c r="A164" s="93">
        <v>108870</v>
      </c>
      <c r="B164" t="s">
        <v>775</v>
      </c>
      <c r="C164" t="s">
        <v>5607</v>
      </c>
      <c r="D164" s="92" t="s">
        <v>428</v>
      </c>
      <c r="E164" s="92" t="s">
        <v>428</v>
      </c>
      <c r="F164" t="s">
        <v>428</v>
      </c>
      <c r="G164" t="s">
        <v>428</v>
      </c>
      <c r="H164" t="s">
        <v>5615</v>
      </c>
      <c r="I164">
        <v>0</v>
      </c>
      <c r="J164" t="s">
        <v>87</v>
      </c>
      <c r="K164">
        <v>0</v>
      </c>
      <c r="L164">
        <v>0</v>
      </c>
    </row>
    <row r="165" spans="1:12">
      <c r="A165" s="93">
        <v>109040</v>
      </c>
      <c r="B165" t="s">
        <v>776</v>
      </c>
      <c r="C165" t="s">
        <v>5606</v>
      </c>
      <c r="D165" s="92">
        <v>0.63</v>
      </c>
      <c r="E165" s="92">
        <v>0.62</v>
      </c>
      <c r="F165" t="s">
        <v>428</v>
      </c>
      <c r="G165" t="s">
        <v>428</v>
      </c>
      <c r="H165" t="s">
        <v>5617</v>
      </c>
      <c r="I165">
        <v>0</v>
      </c>
      <c r="J165" t="s">
        <v>87</v>
      </c>
      <c r="K165">
        <v>0</v>
      </c>
      <c r="L165">
        <v>0</v>
      </c>
    </row>
    <row r="166" spans="1:12">
      <c r="A166" s="93">
        <v>109086</v>
      </c>
      <c r="B166" t="s">
        <v>777</v>
      </c>
      <c r="C166" t="s">
        <v>5607</v>
      </c>
      <c r="D166" s="92" t="s">
        <v>428</v>
      </c>
      <c r="E166" s="92" t="s">
        <v>428</v>
      </c>
      <c r="F166" t="s">
        <v>428</v>
      </c>
      <c r="G166" t="s">
        <v>428</v>
      </c>
      <c r="H166" t="s">
        <v>5617</v>
      </c>
      <c r="I166">
        <v>0</v>
      </c>
      <c r="J166" t="s">
        <v>87</v>
      </c>
      <c r="K166">
        <v>0</v>
      </c>
      <c r="L166">
        <v>0</v>
      </c>
    </row>
    <row r="167" spans="1:12">
      <c r="A167" s="93">
        <v>109208</v>
      </c>
      <c r="B167" t="s">
        <v>778</v>
      </c>
      <c r="C167" t="s">
        <v>5606</v>
      </c>
      <c r="D167" s="92">
        <v>0.3</v>
      </c>
      <c r="E167" s="92">
        <v>0.23</v>
      </c>
      <c r="F167" t="s">
        <v>428</v>
      </c>
      <c r="G167" t="s">
        <v>428</v>
      </c>
      <c r="H167" t="s">
        <v>5615</v>
      </c>
      <c r="I167">
        <v>0</v>
      </c>
      <c r="J167" t="s">
        <v>87</v>
      </c>
      <c r="K167">
        <v>0</v>
      </c>
      <c r="L167">
        <v>0</v>
      </c>
    </row>
    <row r="168" spans="1:12">
      <c r="A168" s="93">
        <v>109350</v>
      </c>
      <c r="B168" t="s">
        <v>779</v>
      </c>
      <c r="C168" t="s">
        <v>5604</v>
      </c>
      <c r="D168" s="92">
        <v>0.29</v>
      </c>
      <c r="E168" s="92">
        <v>0.26</v>
      </c>
      <c r="F168" t="s">
        <v>428</v>
      </c>
      <c r="G168" t="s">
        <v>428</v>
      </c>
      <c r="H168" t="s">
        <v>5615</v>
      </c>
      <c r="I168">
        <v>0</v>
      </c>
      <c r="J168" t="s">
        <v>87</v>
      </c>
      <c r="K168">
        <v>0</v>
      </c>
      <c r="L168">
        <v>0</v>
      </c>
    </row>
    <row r="169" spans="1:12">
      <c r="A169" s="93">
        <v>109651</v>
      </c>
      <c r="B169" t="s">
        <v>780</v>
      </c>
      <c r="C169" t="s">
        <v>5610</v>
      </c>
      <c r="D169" s="92">
        <v>0.7</v>
      </c>
      <c r="E169" s="92">
        <v>0.62</v>
      </c>
      <c r="F169" t="s">
        <v>428</v>
      </c>
      <c r="G169" t="s">
        <v>428</v>
      </c>
      <c r="H169" t="s">
        <v>5617</v>
      </c>
      <c r="I169">
        <v>0</v>
      </c>
      <c r="J169" t="s">
        <v>87</v>
      </c>
      <c r="K169">
        <v>0</v>
      </c>
      <c r="L169">
        <v>0</v>
      </c>
    </row>
    <row r="170" spans="1:12">
      <c r="A170" s="93">
        <v>109785</v>
      </c>
      <c r="B170" t="s">
        <v>781</v>
      </c>
      <c r="C170" t="s">
        <v>5602</v>
      </c>
      <c r="D170" s="92">
        <v>0.7</v>
      </c>
      <c r="E170" s="92">
        <v>0.63</v>
      </c>
      <c r="F170">
        <v>20</v>
      </c>
      <c r="G170">
        <v>23</v>
      </c>
      <c r="H170" t="s">
        <v>5617</v>
      </c>
      <c r="I170">
        <v>0</v>
      </c>
      <c r="J170" t="s">
        <v>87</v>
      </c>
      <c r="K170">
        <v>0</v>
      </c>
      <c r="L170">
        <v>0</v>
      </c>
    </row>
    <row r="171" spans="1:12">
      <c r="A171" s="93">
        <v>109819</v>
      </c>
      <c r="B171" t="s">
        <v>782</v>
      </c>
      <c r="C171" t="s">
        <v>5604</v>
      </c>
      <c r="D171" s="92">
        <v>0.2</v>
      </c>
      <c r="E171" s="92">
        <v>0.17</v>
      </c>
      <c r="F171" t="s">
        <v>428</v>
      </c>
      <c r="G171" t="s">
        <v>428</v>
      </c>
      <c r="H171" t="s">
        <v>5615</v>
      </c>
      <c r="I171">
        <v>0</v>
      </c>
      <c r="J171" t="s">
        <v>87</v>
      </c>
      <c r="K171">
        <v>0</v>
      </c>
      <c r="L171">
        <v>0</v>
      </c>
    </row>
    <row r="172" spans="1:12">
      <c r="A172" s="93">
        <v>109907</v>
      </c>
      <c r="B172" t="s">
        <v>783</v>
      </c>
      <c r="C172" t="s">
        <v>5606</v>
      </c>
      <c r="D172" s="92" t="s">
        <v>428</v>
      </c>
      <c r="E172" s="92" t="s">
        <v>428</v>
      </c>
      <c r="F172" t="s">
        <v>428</v>
      </c>
      <c r="G172" t="s">
        <v>428</v>
      </c>
      <c r="H172" t="s">
        <v>5615</v>
      </c>
      <c r="I172">
        <v>0</v>
      </c>
      <c r="J172" t="s">
        <v>87</v>
      </c>
      <c r="K172">
        <v>0</v>
      </c>
      <c r="L172">
        <v>0</v>
      </c>
    </row>
    <row r="173" spans="1:12">
      <c r="A173" s="93">
        <v>109934</v>
      </c>
      <c r="B173" t="s">
        <v>784</v>
      </c>
      <c r="C173" t="s">
        <v>5606</v>
      </c>
      <c r="D173" s="92" t="s">
        <v>428</v>
      </c>
      <c r="E173" s="92" t="s">
        <v>428</v>
      </c>
      <c r="F173" t="s">
        <v>428</v>
      </c>
      <c r="G173" t="s">
        <v>428</v>
      </c>
      <c r="H173" t="s">
        <v>5617</v>
      </c>
      <c r="I173">
        <v>0</v>
      </c>
      <c r="J173" t="s">
        <v>87</v>
      </c>
      <c r="K173">
        <v>0</v>
      </c>
      <c r="L173">
        <v>0</v>
      </c>
    </row>
    <row r="174" spans="1:12">
      <c r="A174" s="93">
        <v>110060</v>
      </c>
      <c r="B174" t="s">
        <v>785</v>
      </c>
      <c r="C174" t="s">
        <v>5604</v>
      </c>
      <c r="D174" s="92">
        <v>0.51</v>
      </c>
      <c r="E174" s="92">
        <v>0.53</v>
      </c>
      <c r="F174" t="s">
        <v>428</v>
      </c>
      <c r="G174" t="s">
        <v>428</v>
      </c>
      <c r="H174" t="s">
        <v>5616</v>
      </c>
      <c r="I174">
        <v>0</v>
      </c>
      <c r="J174" t="s">
        <v>87</v>
      </c>
      <c r="K174">
        <v>0</v>
      </c>
      <c r="L174">
        <v>0</v>
      </c>
    </row>
    <row r="175" spans="1:12">
      <c r="A175" s="93">
        <v>110097</v>
      </c>
      <c r="B175" t="s">
        <v>786</v>
      </c>
      <c r="C175" t="s">
        <v>5602</v>
      </c>
      <c r="D175" s="92">
        <v>0.7</v>
      </c>
      <c r="E175" s="92">
        <v>0.64</v>
      </c>
      <c r="F175">
        <v>21</v>
      </c>
      <c r="G175">
        <v>24</v>
      </c>
      <c r="H175" t="s">
        <v>5617</v>
      </c>
      <c r="I175">
        <v>0</v>
      </c>
      <c r="J175" t="s">
        <v>87</v>
      </c>
      <c r="K175">
        <v>0</v>
      </c>
      <c r="L175">
        <v>0</v>
      </c>
    </row>
    <row r="176" spans="1:12">
      <c r="A176" s="93">
        <v>110219</v>
      </c>
      <c r="B176" t="s">
        <v>787</v>
      </c>
      <c r="C176" t="s">
        <v>5604</v>
      </c>
      <c r="D176" s="92" t="s">
        <v>428</v>
      </c>
      <c r="E176" s="92" t="s">
        <v>428</v>
      </c>
      <c r="F176" t="s">
        <v>428</v>
      </c>
      <c r="G176" t="s">
        <v>428</v>
      </c>
      <c r="H176" t="s">
        <v>5617</v>
      </c>
      <c r="I176">
        <v>0</v>
      </c>
      <c r="J176" t="s">
        <v>87</v>
      </c>
      <c r="K176">
        <v>0</v>
      </c>
      <c r="L176">
        <v>0</v>
      </c>
    </row>
    <row r="177" spans="1:12">
      <c r="A177" s="93">
        <v>110246</v>
      </c>
      <c r="B177" t="s">
        <v>788</v>
      </c>
      <c r="C177" t="s">
        <v>5606</v>
      </c>
      <c r="D177" s="92">
        <v>0.34</v>
      </c>
      <c r="E177" s="92">
        <v>0.29</v>
      </c>
      <c r="F177" t="s">
        <v>428</v>
      </c>
      <c r="G177" t="s">
        <v>428</v>
      </c>
      <c r="H177" t="s">
        <v>5615</v>
      </c>
      <c r="I177">
        <v>0</v>
      </c>
      <c r="J177" t="s">
        <v>87</v>
      </c>
      <c r="K177">
        <v>0</v>
      </c>
      <c r="L177">
        <v>0</v>
      </c>
    </row>
    <row r="178" spans="1:12">
      <c r="A178" s="93">
        <v>110307</v>
      </c>
      <c r="B178" t="s">
        <v>789</v>
      </c>
      <c r="C178" t="s">
        <v>5607</v>
      </c>
      <c r="D178" s="92" t="s">
        <v>428</v>
      </c>
      <c r="E178" s="92" t="s">
        <v>428</v>
      </c>
      <c r="F178" t="s">
        <v>428</v>
      </c>
      <c r="G178" t="s">
        <v>428</v>
      </c>
      <c r="H178" t="s">
        <v>5615</v>
      </c>
      <c r="I178">
        <v>0</v>
      </c>
      <c r="J178" t="s">
        <v>87</v>
      </c>
      <c r="K178">
        <v>0</v>
      </c>
      <c r="L178">
        <v>0</v>
      </c>
    </row>
    <row r="179" spans="1:12">
      <c r="A179" s="93">
        <v>110316</v>
      </c>
      <c r="B179" t="s">
        <v>790</v>
      </c>
      <c r="C179" t="s">
        <v>5607</v>
      </c>
      <c r="D179" s="92" t="s">
        <v>428</v>
      </c>
      <c r="E179" s="92" t="s">
        <v>428</v>
      </c>
      <c r="F179" t="s">
        <v>428</v>
      </c>
      <c r="G179" t="s">
        <v>428</v>
      </c>
      <c r="H179" t="s">
        <v>5615</v>
      </c>
      <c r="I179">
        <v>0</v>
      </c>
      <c r="J179" t="s">
        <v>87</v>
      </c>
      <c r="K179">
        <v>0</v>
      </c>
      <c r="L179">
        <v>0</v>
      </c>
    </row>
    <row r="180" spans="1:12">
      <c r="A180" s="93">
        <v>110334</v>
      </c>
      <c r="B180" t="s">
        <v>791</v>
      </c>
      <c r="C180" t="s">
        <v>5606</v>
      </c>
      <c r="D180" s="92">
        <v>0.31</v>
      </c>
      <c r="E180" s="92">
        <v>0.23</v>
      </c>
      <c r="F180" t="s">
        <v>428</v>
      </c>
      <c r="G180" t="s">
        <v>428</v>
      </c>
      <c r="H180" t="s">
        <v>5615</v>
      </c>
      <c r="I180">
        <v>0</v>
      </c>
      <c r="J180" t="s">
        <v>87</v>
      </c>
      <c r="K180">
        <v>0</v>
      </c>
      <c r="L180">
        <v>0</v>
      </c>
    </row>
    <row r="181" spans="1:12">
      <c r="A181" s="93">
        <v>110361</v>
      </c>
      <c r="B181" t="s">
        <v>792</v>
      </c>
      <c r="C181" t="s">
        <v>5602</v>
      </c>
      <c r="D181" s="92">
        <v>0.59</v>
      </c>
      <c r="E181" s="92">
        <v>0.47</v>
      </c>
      <c r="F181">
        <v>19</v>
      </c>
      <c r="G181">
        <v>21.5</v>
      </c>
      <c r="H181" t="s">
        <v>5617</v>
      </c>
      <c r="I181">
        <v>0</v>
      </c>
      <c r="J181" t="s">
        <v>87</v>
      </c>
      <c r="K181">
        <v>0</v>
      </c>
      <c r="L181">
        <v>0</v>
      </c>
    </row>
    <row r="182" spans="1:12">
      <c r="A182" s="93">
        <v>110370</v>
      </c>
      <c r="B182" t="s">
        <v>793</v>
      </c>
      <c r="C182" t="s">
        <v>5610</v>
      </c>
      <c r="D182" s="92">
        <v>0.57</v>
      </c>
      <c r="E182" s="92">
        <v>0.63</v>
      </c>
      <c r="F182" t="s">
        <v>428</v>
      </c>
      <c r="G182" t="s">
        <v>428</v>
      </c>
      <c r="H182" t="s">
        <v>5617</v>
      </c>
      <c r="I182">
        <v>0</v>
      </c>
      <c r="J182" t="s">
        <v>87</v>
      </c>
      <c r="K182">
        <v>0</v>
      </c>
      <c r="L182">
        <v>0</v>
      </c>
    </row>
    <row r="183" spans="1:12">
      <c r="A183" s="93">
        <v>110398</v>
      </c>
      <c r="B183" t="s">
        <v>794</v>
      </c>
      <c r="C183" t="s">
        <v>5607</v>
      </c>
      <c r="D183" s="92" t="s">
        <v>428</v>
      </c>
      <c r="E183" s="92" t="s">
        <v>428</v>
      </c>
      <c r="F183" t="s">
        <v>428</v>
      </c>
      <c r="G183" t="s">
        <v>428</v>
      </c>
      <c r="H183" t="s">
        <v>5615</v>
      </c>
      <c r="I183">
        <v>0</v>
      </c>
      <c r="J183" t="s">
        <v>87</v>
      </c>
      <c r="K183">
        <v>0</v>
      </c>
      <c r="L183">
        <v>0</v>
      </c>
    </row>
    <row r="184" spans="1:12">
      <c r="A184" s="93">
        <v>110404</v>
      </c>
      <c r="B184" t="s">
        <v>795</v>
      </c>
      <c r="C184" t="s">
        <v>5611</v>
      </c>
      <c r="D184" s="92">
        <v>0.92</v>
      </c>
      <c r="E184" s="92">
        <v>0.8100000000000001</v>
      </c>
      <c r="F184">
        <v>34</v>
      </c>
      <c r="G184">
        <v>35</v>
      </c>
      <c r="H184" t="s">
        <v>5619</v>
      </c>
      <c r="I184">
        <v>1</v>
      </c>
      <c r="J184" t="s">
        <v>87</v>
      </c>
      <c r="K184">
        <v>0</v>
      </c>
      <c r="L184">
        <v>0</v>
      </c>
    </row>
    <row r="185" spans="1:12">
      <c r="A185" s="93">
        <v>110413</v>
      </c>
      <c r="B185" t="s">
        <v>796</v>
      </c>
      <c r="C185" t="s">
        <v>5602</v>
      </c>
      <c r="D185" s="92">
        <v>0.6899999999999999</v>
      </c>
      <c r="E185" s="92">
        <v>0.65</v>
      </c>
      <c r="F185">
        <v>22</v>
      </c>
      <c r="G185">
        <v>24.5</v>
      </c>
      <c r="H185" t="s">
        <v>5617</v>
      </c>
      <c r="I185">
        <v>0</v>
      </c>
      <c r="J185" t="s">
        <v>87</v>
      </c>
      <c r="K185">
        <v>0</v>
      </c>
      <c r="L185">
        <v>0</v>
      </c>
    </row>
    <row r="186" spans="1:12">
      <c r="A186" s="93">
        <v>110422</v>
      </c>
      <c r="B186" t="s">
        <v>797</v>
      </c>
      <c r="C186" t="s">
        <v>5605</v>
      </c>
      <c r="D186" s="92">
        <v>0.8</v>
      </c>
      <c r="E186" s="92">
        <v>0.71</v>
      </c>
      <c r="F186">
        <v>26</v>
      </c>
      <c r="G186">
        <v>28.5</v>
      </c>
      <c r="H186" t="s">
        <v>5615</v>
      </c>
      <c r="I186">
        <v>0</v>
      </c>
      <c r="J186" t="s">
        <v>87</v>
      </c>
      <c r="K186">
        <v>0</v>
      </c>
      <c r="L186">
        <v>0</v>
      </c>
    </row>
    <row r="187" spans="1:12">
      <c r="A187" s="93">
        <v>110468</v>
      </c>
      <c r="B187" t="s">
        <v>798</v>
      </c>
      <c r="C187" t="s">
        <v>5607</v>
      </c>
      <c r="D187" s="92" t="s">
        <v>428</v>
      </c>
      <c r="E187" s="92" t="s">
        <v>428</v>
      </c>
      <c r="F187" t="s">
        <v>428</v>
      </c>
      <c r="G187" t="s">
        <v>428</v>
      </c>
      <c r="H187" t="s">
        <v>5617</v>
      </c>
      <c r="I187">
        <v>0</v>
      </c>
      <c r="J187" t="s">
        <v>87</v>
      </c>
      <c r="K187">
        <v>0</v>
      </c>
      <c r="L187">
        <v>0</v>
      </c>
    </row>
    <row r="188" spans="1:12">
      <c r="A188" s="93">
        <v>110486</v>
      </c>
      <c r="B188" t="s">
        <v>799</v>
      </c>
      <c r="C188" t="s">
        <v>5608</v>
      </c>
      <c r="D188" s="92">
        <v>0.41</v>
      </c>
      <c r="E188" s="92">
        <v>0.42</v>
      </c>
      <c r="F188" t="s">
        <v>428</v>
      </c>
      <c r="G188" t="s">
        <v>428</v>
      </c>
      <c r="H188" t="s">
        <v>5615</v>
      </c>
      <c r="I188">
        <v>0</v>
      </c>
      <c r="J188" t="s">
        <v>87</v>
      </c>
      <c r="K188">
        <v>0</v>
      </c>
      <c r="L188">
        <v>0</v>
      </c>
    </row>
    <row r="189" spans="1:12">
      <c r="A189" s="93">
        <v>110495</v>
      </c>
      <c r="B189" t="s">
        <v>800</v>
      </c>
      <c r="C189" t="s">
        <v>5602</v>
      </c>
      <c r="D189" s="92">
        <v>0.55</v>
      </c>
      <c r="E189" s="92">
        <v>0.53</v>
      </c>
      <c r="F189" t="s">
        <v>428</v>
      </c>
      <c r="G189" t="s">
        <v>428</v>
      </c>
      <c r="H189" t="s">
        <v>5615</v>
      </c>
      <c r="I189">
        <v>0</v>
      </c>
      <c r="J189" t="s">
        <v>87</v>
      </c>
      <c r="K189">
        <v>0</v>
      </c>
      <c r="L189">
        <v>0</v>
      </c>
    </row>
    <row r="190" spans="1:12">
      <c r="A190" s="93">
        <v>110510</v>
      </c>
      <c r="B190" t="s">
        <v>801</v>
      </c>
      <c r="C190" t="s">
        <v>5602</v>
      </c>
      <c r="D190" s="92">
        <v>0.55</v>
      </c>
      <c r="E190" s="92">
        <v>0.54</v>
      </c>
      <c r="F190">
        <v>16</v>
      </c>
      <c r="G190">
        <v>18</v>
      </c>
      <c r="H190" t="s">
        <v>5615</v>
      </c>
      <c r="I190">
        <v>0</v>
      </c>
      <c r="J190" t="s">
        <v>87</v>
      </c>
      <c r="K190">
        <v>0</v>
      </c>
      <c r="L190">
        <v>0</v>
      </c>
    </row>
    <row r="191" spans="1:12">
      <c r="A191" s="93">
        <v>110529</v>
      </c>
      <c r="B191" t="s">
        <v>802</v>
      </c>
      <c r="C191" t="s">
        <v>5602</v>
      </c>
      <c r="D191" s="92">
        <v>0.6899999999999999</v>
      </c>
      <c r="E191" s="92">
        <v>0.62</v>
      </c>
      <c r="F191">
        <v>20</v>
      </c>
      <c r="G191">
        <v>23.5</v>
      </c>
      <c r="H191" t="s">
        <v>5615</v>
      </c>
      <c r="I191">
        <v>0</v>
      </c>
      <c r="J191" t="s">
        <v>87</v>
      </c>
      <c r="K191">
        <v>0</v>
      </c>
      <c r="L191">
        <v>0</v>
      </c>
    </row>
    <row r="192" spans="1:12">
      <c r="A192" s="93">
        <v>110538</v>
      </c>
      <c r="B192" t="s">
        <v>803</v>
      </c>
      <c r="C192" t="s">
        <v>5602</v>
      </c>
      <c r="D192" s="92">
        <v>0.6899999999999999</v>
      </c>
      <c r="E192" s="92">
        <v>0.64</v>
      </c>
      <c r="F192">
        <v>19</v>
      </c>
      <c r="G192">
        <v>21.5</v>
      </c>
      <c r="H192" t="s">
        <v>5615</v>
      </c>
      <c r="I192">
        <v>0</v>
      </c>
      <c r="J192" t="s">
        <v>87</v>
      </c>
      <c r="K192">
        <v>0</v>
      </c>
      <c r="L192">
        <v>0</v>
      </c>
    </row>
    <row r="193" spans="1:12">
      <c r="A193" s="93">
        <v>110547</v>
      </c>
      <c r="B193" t="s">
        <v>804</v>
      </c>
      <c r="C193" t="s">
        <v>5608</v>
      </c>
      <c r="D193" s="92">
        <v>0.37</v>
      </c>
      <c r="E193" s="92">
        <v>0.36</v>
      </c>
      <c r="F193" t="s">
        <v>428</v>
      </c>
      <c r="G193" t="s">
        <v>428</v>
      </c>
      <c r="H193" t="s">
        <v>5615</v>
      </c>
      <c r="I193">
        <v>0</v>
      </c>
      <c r="J193" t="s">
        <v>87</v>
      </c>
      <c r="K193">
        <v>0</v>
      </c>
      <c r="L193">
        <v>0</v>
      </c>
    </row>
    <row r="194" spans="1:12">
      <c r="A194" s="93">
        <v>110556</v>
      </c>
      <c r="B194" t="s">
        <v>805</v>
      </c>
      <c r="C194" t="s">
        <v>5608</v>
      </c>
      <c r="D194" s="92">
        <v>0.57</v>
      </c>
      <c r="E194" s="92">
        <v>0.54</v>
      </c>
      <c r="F194">
        <v>16</v>
      </c>
      <c r="G194">
        <v>19</v>
      </c>
      <c r="H194" t="s">
        <v>5615</v>
      </c>
      <c r="I194">
        <v>0</v>
      </c>
      <c r="J194" t="s">
        <v>87</v>
      </c>
      <c r="K194">
        <v>0</v>
      </c>
      <c r="L194">
        <v>0</v>
      </c>
    </row>
    <row r="195" spans="1:12">
      <c r="A195" s="93">
        <v>110565</v>
      </c>
      <c r="B195" t="s">
        <v>806</v>
      </c>
      <c r="C195" t="s">
        <v>5602</v>
      </c>
      <c r="D195" s="92">
        <v>0.62</v>
      </c>
      <c r="E195" s="92">
        <v>0.59</v>
      </c>
      <c r="F195">
        <v>19</v>
      </c>
      <c r="G195">
        <v>21.5</v>
      </c>
      <c r="H195" t="s">
        <v>5615</v>
      </c>
      <c r="I195">
        <v>0</v>
      </c>
      <c r="J195" t="s">
        <v>87</v>
      </c>
      <c r="K195">
        <v>0</v>
      </c>
      <c r="L195">
        <v>0</v>
      </c>
    </row>
    <row r="196" spans="1:12">
      <c r="A196" s="93">
        <v>110574</v>
      </c>
      <c r="B196" t="s">
        <v>807</v>
      </c>
      <c r="C196" t="s">
        <v>5602</v>
      </c>
      <c r="D196" s="92">
        <v>0.48</v>
      </c>
      <c r="E196" s="92">
        <v>0.43</v>
      </c>
      <c r="F196" t="s">
        <v>428</v>
      </c>
      <c r="G196" t="s">
        <v>428</v>
      </c>
      <c r="H196" t="s">
        <v>5615</v>
      </c>
      <c r="I196">
        <v>0</v>
      </c>
      <c r="J196" t="s">
        <v>87</v>
      </c>
      <c r="K196">
        <v>0</v>
      </c>
      <c r="L196">
        <v>0</v>
      </c>
    </row>
    <row r="197" spans="1:12">
      <c r="A197" s="93">
        <v>110583</v>
      </c>
      <c r="B197" t="s">
        <v>808</v>
      </c>
      <c r="C197" t="s">
        <v>5602</v>
      </c>
      <c r="D197" s="92">
        <v>0.6899999999999999</v>
      </c>
      <c r="E197" s="92">
        <v>0.64</v>
      </c>
      <c r="F197">
        <v>20</v>
      </c>
      <c r="G197">
        <v>23</v>
      </c>
      <c r="H197" t="s">
        <v>5615</v>
      </c>
      <c r="I197">
        <v>0</v>
      </c>
      <c r="J197" t="s">
        <v>87</v>
      </c>
      <c r="K197">
        <v>0</v>
      </c>
      <c r="L197">
        <v>0</v>
      </c>
    </row>
    <row r="198" spans="1:12">
      <c r="A198" s="93">
        <v>110592</v>
      </c>
      <c r="B198" t="s">
        <v>809</v>
      </c>
      <c r="C198" t="s">
        <v>5608</v>
      </c>
      <c r="D198" s="92">
        <v>0.46</v>
      </c>
      <c r="E198" s="92">
        <v>0.43</v>
      </c>
      <c r="F198">
        <v>15</v>
      </c>
      <c r="G198">
        <v>17.5</v>
      </c>
      <c r="H198" t="s">
        <v>5615</v>
      </c>
      <c r="I198">
        <v>0</v>
      </c>
      <c r="J198" t="s">
        <v>87</v>
      </c>
      <c r="K198">
        <v>0</v>
      </c>
      <c r="L198">
        <v>0</v>
      </c>
    </row>
    <row r="199" spans="1:12">
      <c r="A199" s="93">
        <v>110608</v>
      </c>
      <c r="B199" t="s">
        <v>810</v>
      </c>
      <c r="C199" t="s">
        <v>5608</v>
      </c>
      <c r="D199" s="92">
        <v>0.5</v>
      </c>
      <c r="E199" s="92">
        <v>0.44</v>
      </c>
      <c r="F199">
        <v>16</v>
      </c>
      <c r="G199">
        <v>19.5</v>
      </c>
      <c r="H199" t="s">
        <v>5615</v>
      </c>
      <c r="I199">
        <v>0</v>
      </c>
      <c r="J199" t="s">
        <v>87</v>
      </c>
      <c r="K199">
        <v>0</v>
      </c>
      <c r="L199">
        <v>0</v>
      </c>
    </row>
    <row r="200" spans="1:12">
      <c r="A200" s="93">
        <v>110617</v>
      </c>
      <c r="B200" t="s">
        <v>811</v>
      </c>
      <c r="C200" t="s">
        <v>5602</v>
      </c>
      <c r="D200" s="92">
        <v>0.49</v>
      </c>
      <c r="E200" s="92">
        <v>0.45</v>
      </c>
      <c r="F200">
        <v>17</v>
      </c>
      <c r="G200">
        <v>19.5</v>
      </c>
      <c r="H200" t="s">
        <v>5615</v>
      </c>
      <c r="I200">
        <v>0</v>
      </c>
      <c r="J200" t="s">
        <v>87</v>
      </c>
      <c r="K200">
        <v>0</v>
      </c>
      <c r="L200">
        <v>0</v>
      </c>
    </row>
    <row r="201" spans="1:12">
      <c r="A201" s="93">
        <v>110635</v>
      </c>
      <c r="B201" t="s">
        <v>812</v>
      </c>
      <c r="C201" t="s">
        <v>5611</v>
      </c>
      <c r="D201" s="92">
        <v>0.92</v>
      </c>
      <c r="E201" s="92">
        <v>0.86</v>
      </c>
      <c r="F201">
        <v>31</v>
      </c>
      <c r="G201">
        <v>32.5</v>
      </c>
      <c r="H201" t="s">
        <v>5615</v>
      </c>
      <c r="I201">
        <v>0</v>
      </c>
      <c r="J201" t="s">
        <v>87</v>
      </c>
      <c r="K201">
        <v>0</v>
      </c>
      <c r="L201">
        <v>0</v>
      </c>
    </row>
    <row r="202" spans="1:12">
      <c r="A202" s="93">
        <v>110644</v>
      </c>
      <c r="B202" t="s">
        <v>813</v>
      </c>
      <c r="C202" t="s">
        <v>5605</v>
      </c>
      <c r="D202" s="92">
        <v>0.85</v>
      </c>
      <c r="E202" s="92">
        <v>0.76</v>
      </c>
      <c r="F202">
        <v>25</v>
      </c>
      <c r="G202">
        <v>28</v>
      </c>
      <c r="H202" t="s">
        <v>5617</v>
      </c>
      <c r="I202">
        <v>0</v>
      </c>
      <c r="J202" t="s">
        <v>87</v>
      </c>
      <c r="K202">
        <v>0</v>
      </c>
      <c r="L202">
        <v>0</v>
      </c>
    </row>
    <row r="203" spans="1:12">
      <c r="A203" s="93">
        <v>110653</v>
      </c>
      <c r="B203" t="s">
        <v>814</v>
      </c>
      <c r="C203" t="s">
        <v>5603</v>
      </c>
      <c r="D203" s="92">
        <v>0.87</v>
      </c>
      <c r="E203" s="92">
        <v>0.8</v>
      </c>
      <c r="F203">
        <v>24</v>
      </c>
      <c r="G203">
        <v>27</v>
      </c>
      <c r="H203" t="s">
        <v>5615</v>
      </c>
      <c r="I203">
        <v>0</v>
      </c>
      <c r="J203" t="s">
        <v>87</v>
      </c>
      <c r="K203">
        <v>0</v>
      </c>
      <c r="L203">
        <v>0</v>
      </c>
    </row>
    <row r="204" spans="1:12">
      <c r="A204" s="93">
        <v>110662</v>
      </c>
      <c r="B204" t="s">
        <v>815</v>
      </c>
      <c r="C204" t="s">
        <v>5611</v>
      </c>
      <c r="D204" s="92">
        <v>0.91</v>
      </c>
      <c r="E204" s="92">
        <v>0.86</v>
      </c>
      <c r="F204">
        <v>28</v>
      </c>
      <c r="G204">
        <v>30.5</v>
      </c>
      <c r="H204" t="s">
        <v>5615</v>
      </c>
      <c r="I204">
        <v>0</v>
      </c>
      <c r="J204" t="s">
        <v>87</v>
      </c>
      <c r="K204">
        <v>0</v>
      </c>
      <c r="L204">
        <v>0</v>
      </c>
    </row>
    <row r="205" spans="1:12">
      <c r="A205" s="93">
        <v>110671</v>
      </c>
      <c r="B205" t="s">
        <v>816</v>
      </c>
      <c r="C205" t="s">
        <v>5602</v>
      </c>
      <c r="D205" s="92">
        <v>0.73</v>
      </c>
      <c r="E205" s="92">
        <v>0.7</v>
      </c>
      <c r="F205">
        <v>21</v>
      </c>
      <c r="G205">
        <v>24</v>
      </c>
      <c r="H205" t="s">
        <v>5615</v>
      </c>
      <c r="I205">
        <v>0</v>
      </c>
      <c r="J205" t="s">
        <v>87</v>
      </c>
      <c r="K205">
        <v>0</v>
      </c>
      <c r="L205">
        <v>0</v>
      </c>
    </row>
    <row r="206" spans="1:12">
      <c r="A206" s="93">
        <v>110680</v>
      </c>
      <c r="B206" t="s">
        <v>817</v>
      </c>
      <c r="C206" t="s">
        <v>5612</v>
      </c>
      <c r="D206" s="92">
        <v>0.87</v>
      </c>
      <c r="E206" s="92">
        <v>0.82</v>
      </c>
      <c r="F206">
        <v>27</v>
      </c>
      <c r="G206">
        <v>30</v>
      </c>
      <c r="H206" t="s">
        <v>5615</v>
      </c>
      <c r="I206">
        <v>0</v>
      </c>
      <c r="J206" t="s">
        <v>87</v>
      </c>
      <c r="K206">
        <v>0</v>
      </c>
      <c r="L206">
        <v>0</v>
      </c>
    </row>
    <row r="207" spans="1:12">
      <c r="A207" s="93">
        <v>110699</v>
      </c>
      <c r="B207" t="s">
        <v>818</v>
      </c>
      <c r="C207" t="s">
        <v>5607</v>
      </c>
      <c r="D207" s="92" t="s">
        <v>428</v>
      </c>
      <c r="E207" s="92" t="s">
        <v>428</v>
      </c>
      <c r="F207" t="s">
        <v>428</v>
      </c>
      <c r="G207" t="s">
        <v>428</v>
      </c>
      <c r="H207" t="s">
        <v>5620</v>
      </c>
      <c r="I207">
        <v>0</v>
      </c>
      <c r="J207" t="s">
        <v>87</v>
      </c>
      <c r="K207">
        <v>0</v>
      </c>
      <c r="L207">
        <v>0</v>
      </c>
    </row>
    <row r="208" spans="1:12">
      <c r="A208" s="93">
        <v>110705</v>
      </c>
      <c r="B208" t="s">
        <v>819</v>
      </c>
      <c r="C208" t="s">
        <v>5605</v>
      </c>
      <c r="D208" s="92">
        <v>0.82</v>
      </c>
      <c r="E208" s="92">
        <v>0.79</v>
      </c>
      <c r="F208">
        <v>27</v>
      </c>
      <c r="G208">
        <v>29.5</v>
      </c>
      <c r="H208" t="s">
        <v>5615</v>
      </c>
      <c r="I208">
        <v>0</v>
      </c>
      <c r="J208" t="s">
        <v>87</v>
      </c>
      <c r="K208">
        <v>0</v>
      </c>
      <c r="L208">
        <v>0</v>
      </c>
    </row>
    <row r="209" spans="1:12">
      <c r="A209" s="93">
        <v>110714</v>
      </c>
      <c r="B209" t="s">
        <v>820</v>
      </c>
      <c r="C209" t="s">
        <v>5602</v>
      </c>
      <c r="D209" s="92">
        <v>0.77</v>
      </c>
      <c r="E209" s="92">
        <v>0.73</v>
      </c>
      <c r="F209">
        <v>25</v>
      </c>
      <c r="G209">
        <v>27.5</v>
      </c>
      <c r="H209" t="s">
        <v>5615</v>
      </c>
      <c r="I209">
        <v>0</v>
      </c>
      <c r="J209" t="s">
        <v>87</v>
      </c>
      <c r="K209">
        <v>0</v>
      </c>
      <c r="L209">
        <v>0</v>
      </c>
    </row>
    <row r="210" spans="1:12">
      <c r="A210" s="93">
        <v>110778</v>
      </c>
      <c r="B210" t="s">
        <v>821</v>
      </c>
      <c r="C210" t="s">
        <v>5607</v>
      </c>
      <c r="D210" s="92" t="s">
        <v>428</v>
      </c>
      <c r="E210" s="92" t="s">
        <v>428</v>
      </c>
      <c r="F210" t="s">
        <v>428</v>
      </c>
      <c r="G210" t="s">
        <v>428</v>
      </c>
      <c r="H210" t="s">
        <v>5615</v>
      </c>
      <c r="I210">
        <v>0</v>
      </c>
      <c r="J210" t="s">
        <v>87</v>
      </c>
      <c r="K210">
        <v>0</v>
      </c>
      <c r="L210">
        <v>0</v>
      </c>
    </row>
    <row r="211" spans="1:12">
      <c r="A211" s="93">
        <v>110918</v>
      </c>
      <c r="B211" t="s">
        <v>822</v>
      </c>
      <c r="C211" t="s">
        <v>5607</v>
      </c>
      <c r="D211" s="92" t="s">
        <v>428</v>
      </c>
      <c r="E211" s="92" t="s">
        <v>428</v>
      </c>
      <c r="F211" t="s">
        <v>428</v>
      </c>
      <c r="G211" t="s">
        <v>428</v>
      </c>
      <c r="H211" t="s">
        <v>5617</v>
      </c>
      <c r="I211">
        <v>0</v>
      </c>
      <c r="J211" t="s">
        <v>87</v>
      </c>
      <c r="K211">
        <v>0</v>
      </c>
      <c r="L211">
        <v>0</v>
      </c>
    </row>
    <row r="212" spans="1:12">
      <c r="A212" s="93">
        <v>111009</v>
      </c>
      <c r="B212" t="s">
        <v>823</v>
      </c>
      <c r="C212" t="s">
        <v>5606</v>
      </c>
      <c r="D212" s="92" t="s">
        <v>428</v>
      </c>
      <c r="E212" s="92" t="s">
        <v>428</v>
      </c>
      <c r="F212" t="s">
        <v>428</v>
      </c>
      <c r="G212" t="s">
        <v>428</v>
      </c>
      <c r="H212" t="s">
        <v>5617</v>
      </c>
      <c r="I212">
        <v>0</v>
      </c>
      <c r="J212" t="s">
        <v>87</v>
      </c>
      <c r="K212">
        <v>0</v>
      </c>
      <c r="L212">
        <v>0</v>
      </c>
    </row>
    <row r="213" spans="1:12">
      <c r="A213" s="93">
        <v>111081</v>
      </c>
      <c r="B213" t="s">
        <v>824</v>
      </c>
      <c r="C213" t="s">
        <v>5610</v>
      </c>
      <c r="D213" s="92">
        <v>0.64</v>
      </c>
      <c r="E213" s="92">
        <v>0.58</v>
      </c>
      <c r="F213" t="s">
        <v>428</v>
      </c>
      <c r="G213" t="s">
        <v>428</v>
      </c>
      <c r="H213" t="s">
        <v>5617</v>
      </c>
      <c r="I213">
        <v>0</v>
      </c>
      <c r="J213" t="s">
        <v>87</v>
      </c>
      <c r="K213">
        <v>0</v>
      </c>
      <c r="L213">
        <v>0</v>
      </c>
    </row>
    <row r="214" spans="1:12">
      <c r="A214" s="93">
        <v>111188</v>
      </c>
      <c r="B214" t="s">
        <v>825</v>
      </c>
      <c r="C214" t="s">
        <v>5608</v>
      </c>
      <c r="D214" s="92">
        <v>0.58</v>
      </c>
      <c r="E214" s="92">
        <v>0.54</v>
      </c>
      <c r="F214" t="s">
        <v>428</v>
      </c>
      <c r="G214" t="s">
        <v>428</v>
      </c>
      <c r="H214" t="s">
        <v>5615</v>
      </c>
      <c r="I214">
        <v>0</v>
      </c>
      <c r="J214" t="s">
        <v>87</v>
      </c>
      <c r="K214">
        <v>0</v>
      </c>
      <c r="L214">
        <v>0</v>
      </c>
    </row>
    <row r="215" spans="1:12">
      <c r="A215" s="93">
        <v>111391</v>
      </c>
      <c r="B215" t="s">
        <v>826</v>
      </c>
      <c r="C215" t="s">
        <v>5607</v>
      </c>
      <c r="D215" s="92" t="s">
        <v>428</v>
      </c>
      <c r="E215" s="92" t="s">
        <v>428</v>
      </c>
      <c r="F215" t="s">
        <v>428</v>
      </c>
      <c r="G215" t="s">
        <v>428</v>
      </c>
      <c r="H215" t="s">
        <v>5615</v>
      </c>
      <c r="I215">
        <v>0</v>
      </c>
      <c r="J215" t="s">
        <v>87</v>
      </c>
      <c r="K215">
        <v>0</v>
      </c>
      <c r="L215">
        <v>0</v>
      </c>
    </row>
    <row r="216" spans="1:12">
      <c r="A216" s="93">
        <v>111434</v>
      </c>
      <c r="B216" t="s">
        <v>827</v>
      </c>
      <c r="C216" t="s">
        <v>5606</v>
      </c>
      <c r="D216" s="92">
        <v>0.25</v>
      </c>
      <c r="E216" s="92">
        <v>0.19</v>
      </c>
      <c r="F216" t="s">
        <v>428</v>
      </c>
      <c r="G216" t="s">
        <v>428</v>
      </c>
      <c r="H216" t="s">
        <v>5615</v>
      </c>
      <c r="I216">
        <v>0</v>
      </c>
      <c r="J216" t="s">
        <v>87</v>
      </c>
      <c r="K216">
        <v>0</v>
      </c>
      <c r="L216">
        <v>0</v>
      </c>
    </row>
    <row r="217" spans="1:12">
      <c r="A217" s="93">
        <v>111461</v>
      </c>
      <c r="B217" t="s">
        <v>828</v>
      </c>
      <c r="C217" t="s">
        <v>5606</v>
      </c>
      <c r="D217" s="92">
        <v>0.41</v>
      </c>
      <c r="E217" s="92">
        <v>0.37</v>
      </c>
      <c r="F217" t="s">
        <v>428</v>
      </c>
      <c r="G217" t="s">
        <v>428</v>
      </c>
      <c r="H217" t="s">
        <v>5615</v>
      </c>
      <c r="I217">
        <v>0</v>
      </c>
      <c r="J217" t="s">
        <v>87</v>
      </c>
      <c r="K217">
        <v>0</v>
      </c>
      <c r="L217">
        <v>0</v>
      </c>
    </row>
    <row r="218" spans="1:12">
      <c r="A218" s="93">
        <v>111638</v>
      </c>
      <c r="B218" t="s">
        <v>829</v>
      </c>
      <c r="C218" t="s">
        <v>5609</v>
      </c>
      <c r="D218" s="92" t="s">
        <v>428</v>
      </c>
      <c r="E218" s="92" t="s">
        <v>428</v>
      </c>
      <c r="F218" t="s">
        <v>428</v>
      </c>
      <c r="G218" t="s">
        <v>428</v>
      </c>
      <c r="H218" t="s">
        <v>5617</v>
      </c>
      <c r="I218">
        <v>0</v>
      </c>
      <c r="J218" t="s">
        <v>87</v>
      </c>
      <c r="K218">
        <v>0</v>
      </c>
      <c r="L218">
        <v>0</v>
      </c>
    </row>
    <row r="219" spans="1:12">
      <c r="A219" s="93">
        <v>111887</v>
      </c>
      <c r="B219" t="s">
        <v>830</v>
      </c>
      <c r="C219" t="s">
        <v>5606</v>
      </c>
      <c r="D219" s="92">
        <v>0.32</v>
      </c>
      <c r="E219" s="92">
        <v>0.3</v>
      </c>
      <c r="F219" t="s">
        <v>428</v>
      </c>
      <c r="G219" t="s">
        <v>428</v>
      </c>
      <c r="H219" t="s">
        <v>5615</v>
      </c>
      <c r="I219">
        <v>0</v>
      </c>
      <c r="J219" t="s">
        <v>87</v>
      </c>
      <c r="K219">
        <v>0</v>
      </c>
      <c r="L219">
        <v>0</v>
      </c>
    </row>
    <row r="220" spans="1:12">
      <c r="A220" s="93">
        <v>111896</v>
      </c>
      <c r="B220" t="s">
        <v>831</v>
      </c>
      <c r="C220" t="s">
        <v>5606</v>
      </c>
      <c r="D220" s="92">
        <v>0.3</v>
      </c>
      <c r="E220" s="92">
        <v>0.26</v>
      </c>
      <c r="F220" t="s">
        <v>428</v>
      </c>
      <c r="G220" t="s">
        <v>428</v>
      </c>
      <c r="H220" t="s">
        <v>5615</v>
      </c>
      <c r="I220">
        <v>0</v>
      </c>
      <c r="J220" t="s">
        <v>87</v>
      </c>
      <c r="K220">
        <v>0</v>
      </c>
      <c r="L220">
        <v>0</v>
      </c>
    </row>
    <row r="221" spans="1:12">
      <c r="A221" s="93">
        <v>111920</v>
      </c>
      <c r="B221" t="s">
        <v>832</v>
      </c>
      <c r="C221" t="s">
        <v>5606</v>
      </c>
      <c r="D221" s="92">
        <v>0.35</v>
      </c>
      <c r="E221" s="92">
        <v>0.25</v>
      </c>
      <c r="F221" t="s">
        <v>428</v>
      </c>
      <c r="G221" t="s">
        <v>428</v>
      </c>
      <c r="H221" t="s">
        <v>5615</v>
      </c>
      <c r="I221">
        <v>0</v>
      </c>
      <c r="J221" t="s">
        <v>87</v>
      </c>
      <c r="K221">
        <v>0</v>
      </c>
      <c r="L221">
        <v>0</v>
      </c>
    </row>
    <row r="222" spans="1:12">
      <c r="A222" s="93">
        <v>111939</v>
      </c>
      <c r="B222" t="s">
        <v>833</v>
      </c>
      <c r="C222" t="s">
        <v>5606</v>
      </c>
      <c r="D222" s="92">
        <v>0.31</v>
      </c>
      <c r="E222" s="92">
        <v>0.27</v>
      </c>
      <c r="F222" t="s">
        <v>428</v>
      </c>
      <c r="G222" t="s">
        <v>428</v>
      </c>
      <c r="H222" t="s">
        <v>5615</v>
      </c>
      <c r="I222">
        <v>0</v>
      </c>
      <c r="J222" t="s">
        <v>87</v>
      </c>
      <c r="K222">
        <v>0</v>
      </c>
      <c r="L222">
        <v>0</v>
      </c>
    </row>
    <row r="223" spans="1:12">
      <c r="A223" s="93">
        <v>111948</v>
      </c>
      <c r="B223" t="s">
        <v>834</v>
      </c>
      <c r="C223" t="s">
        <v>5603</v>
      </c>
      <c r="D223" s="92">
        <v>0.79</v>
      </c>
      <c r="E223" s="92">
        <v>0.77</v>
      </c>
      <c r="F223">
        <v>25</v>
      </c>
      <c r="G223">
        <v>27.5</v>
      </c>
      <c r="H223" t="s">
        <v>5617</v>
      </c>
      <c r="I223">
        <v>0</v>
      </c>
      <c r="J223" t="s">
        <v>87</v>
      </c>
      <c r="K223">
        <v>0</v>
      </c>
      <c r="L223">
        <v>0</v>
      </c>
    </row>
    <row r="224" spans="1:12">
      <c r="A224" s="93">
        <v>111966</v>
      </c>
      <c r="B224" t="s">
        <v>835</v>
      </c>
      <c r="C224" t="s">
        <v>5607</v>
      </c>
      <c r="D224" s="92">
        <v>1</v>
      </c>
      <c r="E224" s="92">
        <v>1</v>
      </c>
      <c r="F224" t="s">
        <v>428</v>
      </c>
      <c r="G224" t="s">
        <v>428</v>
      </c>
      <c r="H224" t="s">
        <v>5617</v>
      </c>
      <c r="I224">
        <v>0</v>
      </c>
      <c r="J224" t="s">
        <v>87</v>
      </c>
      <c r="K224">
        <v>0</v>
      </c>
      <c r="L224">
        <v>0</v>
      </c>
    </row>
    <row r="225" spans="1:12">
      <c r="A225" s="93">
        <v>112075</v>
      </c>
      <c r="B225" t="s">
        <v>836</v>
      </c>
      <c r="C225" t="s">
        <v>5603</v>
      </c>
      <c r="D225" s="92">
        <v>0.57</v>
      </c>
      <c r="E225" s="92">
        <v>0.52</v>
      </c>
      <c r="F225">
        <v>20</v>
      </c>
      <c r="G225">
        <v>23</v>
      </c>
      <c r="H225" t="s">
        <v>5617</v>
      </c>
      <c r="I225">
        <v>0</v>
      </c>
      <c r="J225" t="s">
        <v>87</v>
      </c>
      <c r="K225">
        <v>0</v>
      </c>
      <c r="L225">
        <v>0</v>
      </c>
    </row>
    <row r="226" spans="1:12">
      <c r="A226" s="93">
        <v>112084</v>
      </c>
      <c r="B226" t="s">
        <v>837</v>
      </c>
      <c r="C226" t="s">
        <v>5602</v>
      </c>
      <c r="D226" s="92">
        <v>0.42</v>
      </c>
      <c r="E226" s="92">
        <v>0.38</v>
      </c>
      <c r="F226">
        <v>17</v>
      </c>
      <c r="G226">
        <v>19</v>
      </c>
      <c r="H226" t="s">
        <v>5617</v>
      </c>
      <c r="I226">
        <v>0</v>
      </c>
      <c r="J226" t="s">
        <v>87</v>
      </c>
      <c r="K226">
        <v>0</v>
      </c>
      <c r="L226">
        <v>0</v>
      </c>
    </row>
    <row r="227" spans="1:12">
      <c r="A227" s="93">
        <v>112127</v>
      </c>
      <c r="B227" t="s">
        <v>838</v>
      </c>
      <c r="C227" t="s">
        <v>5607</v>
      </c>
      <c r="D227" s="92" t="s">
        <v>428</v>
      </c>
      <c r="E227" s="92" t="s">
        <v>428</v>
      </c>
      <c r="F227" t="s">
        <v>428</v>
      </c>
      <c r="G227" t="s">
        <v>428</v>
      </c>
      <c r="H227" t="s">
        <v>5615</v>
      </c>
      <c r="I227">
        <v>0</v>
      </c>
      <c r="J227" t="s">
        <v>87</v>
      </c>
      <c r="K227">
        <v>0</v>
      </c>
      <c r="L227">
        <v>0</v>
      </c>
    </row>
    <row r="228" spans="1:12">
      <c r="A228" s="93">
        <v>112172</v>
      </c>
      <c r="B228" t="s">
        <v>839</v>
      </c>
      <c r="C228" t="s">
        <v>5606</v>
      </c>
      <c r="D228" s="92">
        <v>0.39</v>
      </c>
      <c r="E228" s="92">
        <v>0.35</v>
      </c>
      <c r="F228" t="s">
        <v>428</v>
      </c>
      <c r="G228" t="s">
        <v>428</v>
      </c>
      <c r="H228" t="s">
        <v>5615</v>
      </c>
      <c r="I228">
        <v>0</v>
      </c>
      <c r="J228" t="s">
        <v>87</v>
      </c>
      <c r="K228">
        <v>0</v>
      </c>
      <c r="L228">
        <v>0</v>
      </c>
    </row>
    <row r="229" spans="1:12">
      <c r="A229" s="93">
        <v>112190</v>
      </c>
      <c r="B229" t="s">
        <v>840</v>
      </c>
      <c r="C229" t="s">
        <v>5606</v>
      </c>
      <c r="D229" s="92">
        <v>0.38</v>
      </c>
      <c r="E229" s="92">
        <v>0.28</v>
      </c>
      <c r="F229" t="s">
        <v>428</v>
      </c>
      <c r="G229" t="s">
        <v>428</v>
      </c>
      <c r="H229" t="s">
        <v>5615</v>
      </c>
      <c r="I229">
        <v>0</v>
      </c>
      <c r="J229" t="s">
        <v>87</v>
      </c>
      <c r="K229">
        <v>0</v>
      </c>
      <c r="L229">
        <v>0</v>
      </c>
    </row>
    <row r="230" spans="1:12">
      <c r="A230" s="93">
        <v>112251</v>
      </c>
      <c r="B230" t="s">
        <v>841</v>
      </c>
      <c r="C230" t="s">
        <v>5607</v>
      </c>
      <c r="D230" s="92" t="s">
        <v>428</v>
      </c>
      <c r="E230" s="92" t="s">
        <v>428</v>
      </c>
      <c r="F230" t="s">
        <v>428</v>
      </c>
      <c r="G230" t="s">
        <v>428</v>
      </c>
      <c r="H230" t="s">
        <v>5615</v>
      </c>
      <c r="I230">
        <v>0</v>
      </c>
      <c r="J230" t="s">
        <v>87</v>
      </c>
      <c r="K230">
        <v>0</v>
      </c>
      <c r="L230">
        <v>0</v>
      </c>
    </row>
    <row r="231" spans="1:12">
      <c r="A231" s="93">
        <v>112260</v>
      </c>
      <c r="B231" t="s">
        <v>842</v>
      </c>
      <c r="C231" t="s">
        <v>5611</v>
      </c>
      <c r="D231" s="92">
        <v>0.93</v>
      </c>
      <c r="E231" s="92">
        <v>0.91</v>
      </c>
      <c r="F231">
        <v>31</v>
      </c>
      <c r="G231">
        <v>32</v>
      </c>
      <c r="H231" t="s">
        <v>5621</v>
      </c>
      <c r="I231">
        <v>1</v>
      </c>
      <c r="J231" t="s">
        <v>87</v>
      </c>
      <c r="K231">
        <v>0</v>
      </c>
      <c r="L231">
        <v>0</v>
      </c>
    </row>
    <row r="232" spans="1:12">
      <c r="A232" s="93">
        <v>112385</v>
      </c>
      <c r="B232" t="s">
        <v>843</v>
      </c>
      <c r="C232" t="s">
        <v>5606</v>
      </c>
      <c r="D232" s="92">
        <v>0.3</v>
      </c>
      <c r="E232" s="92">
        <v>0.26</v>
      </c>
      <c r="F232" t="s">
        <v>428</v>
      </c>
      <c r="G232" t="s">
        <v>428</v>
      </c>
      <c r="H232" t="s">
        <v>5615</v>
      </c>
      <c r="I232">
        <v>0</v>
      </c>
      <c r="J232" t="s">
        <v>87</v>
      </c>
      <c r="K232">
        <v>0</v>
      </c>
      <c r="L232">
        <v>0</v>
      </c>
    </row>
    <row r="233" spans="1:12">
      <c r="A233" s="93">
        <v>112394</v>
      </c>
      <c r="B233" t="s">
        <v>844</v>
      </c>
      <c r="C233" t="s">
        <v>5602</v>
      </c>
      <c r="D233" s="92">
        <v>0.27</v>
      </c>
      <c r="E233" s="92">
        <v>0.33</v>
      </c>
      <c r="F233" t="s">
        <v>428</v>
      </c>
      <c r="G233" t="s">
        <v>428</v>
      </c>
      <c r="H233" t="s">
        <v>5617</v>
      </c>
      <c r="I233">
        <v>0</v>
      </c>
      <c r="J233" t="s">
        <v>87</v>
      </c>
      <c r="K233">
        <v>0</v>
      </c>
      <c r="L233">
        <v>0</v>
      </c>
    </row>
    <row r="234" spans="1:12">
      <c r="A234" s="93">
        <v>112446</v>
      </c>
      <c r="B234" t="s">
        <v>845</v>
      </c>
      <c r="C234" t="s">
        <v>5604</v>
      </c>
      <c r="D234" s="92">
        <v>0.68</v>
      </c>
      <c r="E234" s="92">
        <v>0.68</v>
      </c>
      <c r="F234" t="s">
        <v>428</v>
      </c>
      <c r="G234" t="s">
        <v>428</v>
      </c>
      <c r="H234" t="s">
        <v>5617</v>
      </c>
      <c r="I234">
        <v>0</v>
      </c>
      <c r="J234" t="s">
        <v>87</v>
      </c>
      <c r="K234">
        <v>0</v>
      </c>
      <c r="L234">
        <v>0</v>
      </c>
    </row>
    <row r="235" spans="1:12">
      <c r="A235" s="93">
        <v>112525</v>
      </c>
      <c r="B235" t="s">
        <v>846</v>
      </c>
      <c r="C235" t="s">
        <v>5607</v>
      </c>
      <c r="D235" s="92" t="s">
        <v>428</v>
      </c>
      <c r="E235" s="92" t="s">
        <v>428</v>
      </c>
      <c r="F235" t="s">
        <v>428</v>
      </c>
      <c r="G235" t="s">
        <v>428</v>
      </c>
      <c r="H235" t="s">
        <v>5615</v>
      </c>
      <c r="I235">
        <v>0</v>
      </c>
      <c r="J235" t="s">
        <v>87</v>
      </c>
      <c r="K235">
        <v>0</v>
      </c>
      <c r="L235">
        <v>0</v>
      </c>
    </row>
    <row r="236" spans="1:12">
      <c r="A236" s="93">
        <v>112561</v>
      </c>
      <c r="B236" t="s">
        <v>847</v>
      </c>
      <c r="C236" t="s">
        <v>5606</v>
      </c>
      <c r="D236" s="92">
        <v>0.3</v>
      </c>
      <c r="E236" s="92">
        <v>0.31</v>
      </c>
      <c r="F236" t="s">
        <v>428</v>
      </c>
      <c r="G236" t="s">
        <v>428</v>
      </c>
      <c r="H236" t="s">
        <v>5615</v>
      </c>
      <c r="I236">
        <v>0</v>
      </c>
      <c r="J236" t="s">
        <v>87</v>
      </c>
      <c r="K236">
        <v>0</v>
      </c>
      <c r="L236">
        <v>0</v>
      </c>
    </row>
    <row r="237" spans="1:12">
      <c r="A237" s="93">
        <v>112570</v>
      </c>
      <c r="B237" t="s">
        <v>848</v>
      </c>
      <c r="C237" t="s">
        <v>5607</v>
      </c>
      <c r="D237" s="92">
        <v>0.52</v>
      </c>
      <c r="E237" s="92">
        <v>0.48</v>
      </c>
      <c r="F237" t="s">
        <v>428</v>
      </c>
      <c r="G237" t="s">
        <v>428</v>
      </c>
      <c r="H237" t="s">
        <v>5617</v>
      </c>
      <c r="I237">
        <v>0</v>
      </c>
      <c r="J237" t="s">
        <v>87</v>
      </c>
      <c r="K237">
        <v>0</v>
      </c>
      <c r="L237">
        <v>0</v>
      </c>
    </row>
    <row r="238" spans="1:12">
      <c r="A238" s="93">
        <v>112686</v>
      </c>
      <c r="B238" t="s">
        <v>849</v>
      </c>
      <c r="C238" t="s">
        <v>5606</v>
      </c>
      <c r="D238" s="92">
        <v>0.19</v>
      </c>
      <c r="E238" s="92">
        <v>0.19</v>
      </c>
      <c r="F238" t="s">
        <v>428</v>
      </c>
      <c r="G238" t="s">
        <v>428</v>
      </c>
      <c r="H238" t="s">
        <v>5615</v>
      </c>
      <c r="I238">
        <v>0</v>
      </c>
      <c r="J238" t="s">
        <v>87</v>
      </c>
      <c r="K238">
        <v>0</v>
      </c>
      <c r="L238">
        <v>0</v>
      </c>
    </row>
    <row r="239" spans="1:12">
      <c r="A239" s="93">
        <v>112826</v>
      </c>
      <c r="B239" t="s">
        <v>850</v>
      </c>
      <c r="C239" t="s">
        <v>5606</v>
      </c>
      <c r="D239" s="92">
        <v>0.27</v>
      </c>
      <c r="E239" s="92">
        <v>0.24</v>
      </c>
      <c r="F239" t="s">
        <v>428</v>
      </c>
      <c r="G239" t="s">
        <v>428</v>
      </c>
      <c r="H239" t="s">
        <v>5615</v>
      </c>
      <c r="I239">
        <v>0</v>
      </c>
      <c r="J239" t="s">
        <v>87</v>
      </c>
      <c r="K239">
        <v>0</v>
      </c>
      <c r="L239">
        <v>0</v>
      </c>
    </row>
    <row r="240" spans="1:12">
      <c r="A240" s="93">
        <v>113096</v>
      </c>
      <c r="B240" t="s">
        <v>851</v>
      </c>
      <c r="C240" t="s">
        <v>5606</v>
      </c>
      <c r="D240" s="92">
        <v>0.3</v>
      </c>
      <c r="E240" s="92">
        <v>0.2</v>
      </c>
      <c r="F240" t="s">
        <v>428</v>
      </c>
      <c r="G240" t="s">
        <v>428</v>
      </c>
      <c r="H240" t="s">
        <v>5615</v>
      </c>
      <c r="I240">
        <v>0</v>
      </c>
      <c r="J240" t="s">
        <v>87</v>
      </c>
      <c r="K240">
        <v>0</v>
      </c>
      <c r="L240">
        <v>0</v>
      </c>
    </row>
    <row r="241" spans="1:12">
      <c r="A241" s="93">
        <v>113111</v>
      </c>
      <c r="B241" t="s">
        <v>852</v>
      </c>
      <c r="C241" t="s">
        <v>5606</v>
      </c>
      <c r="D241" s="92">
        <v>0.32</v>
      </c>
      <c r="E241" s="92">
        <v>0.27</v>
      </c>
      <c r="F241" t="s">
        <v>428</v>
      </c>
      <c r="G241" t="s">
        <v>428</v>
      </c>
      <c r="H241" t="s">
        <v>5615</v>
      </c>
      <c r="I241">
        <v>0</v>
      </c>
      <c r="J241" t="s">
        <v>87</v>
      </c>
      <c r="K241">
        <v>0</v>
      </c>
      <c r="L241">
        <v>0</v>
      </c>
    </row>
    <row r="242" spans="1:12">
      <c r="A242" s="93">
        <v>113193</v>
      </c>
      <c r="B242" t="s">
        <v>853</v>
      </c>
      <c r="C242" t="s">
        <v>5606</v>
      </c>
      <c r="D242" s="92">
        <v>0.38</v>
      </c>
      <c r="E242" s="92">
        <v>0.32</v>
      </c>
      <c r="F242" t="s">
        <v>428</v>
      </c>
      <c r="G242" t="s">
        <v>428</v>
      </c>
      <c r="H242" t="s">
        <v>5615</v>
      </c>
      <c r="I242">
        <v>0</v>
      </c>
      <c r="J242" t="s">
        <v>87</v>
      </c>
      <c r="K242">
        <v>0</v>
      </c>
      <c r="L242">
        <v>0</v>
      </c>
    </row>
    <row r="243" spans="1:12">
      <c r="A243" s="93">
        <v>113218</v>
      </c>
      <c r="B243" t="s">
        <v>854</v>
      </c>
      <c r="C243" t="s">
        <v>5606</v>
      </c>
      <c r="D243" s="92">
        <v>0.29</v>
      </c>
      <c r="E243" s="92">
        <v>0.24</v>
      </c>
      <c r="F243" t="s">
        <v>428</v>
      </c>
      <c r="G243" t="s">
        <v>428</v>
      </c>
      <c r="H243" t="s">
        <v>5615</v>
      </c>
      <c r="I243">
        <v>0</v>
      </c>
      <c r="J243" t="s">
        <v>87</v>
      </c>
      <c r="K243">
        <v>0</v>
      </c>
      <c r="L243">
        <v>0</v>
      </c>
    </row>
    <row r="244" spans="1:12">
      <c r="A244" s="93">
        <v>113236</v>
      </c>
      <c r="B244" t="s">
        <v>855</v>
      </c>
      <c r="C244" t="s">
        <v>5604</v>
      </c>
      <c r="D244" s="92">
        <v>0.33</v>
      </c>
      <c r="E244" s="92">
        <v>0.27</v>
      </c>
      <c r="F244" t="s">
        <v>428</v>
      </c>
      <c r="G244" t="s">
        <v>428</v>
      </c>
      <c r="H244" t="s">
        <v>5615</v>
      </c>
      <c r="I244">
        <v>0</v>
      </c>
      <c r="J244" t="s">
        <v>87</v>
      </c>
      <c r="K244">
        <v>0</v>
      </c>
      <c r="L244">
        <v>0</v>
      </c>
    </row>
    <row r="245" spans="1:12">
      <c r="A245" s="93">
        <v>113333</v>
      </c>
      <c r="B245" t="s">
        <v>856</v>
      </c>
      <c r="C245" t="s">
        <v>5606</v>
      </c>
      <c r="D245" s="92">
        <v>0.66</v>
      </c>
      <c r="E245" s="92">
        <v>0.49</v>
      </c>
      <c r="F245" t="s">
        <v>428</v>
      </c>
      <c r="G245" t="s">
        <v>428</v>
      </c>
      <c r="H245" t="s">
        <v>5615</v>
      </c>
      <c r="I245">
        <v>0</v>
      </c>
      <c r="J245" t="s">
        <v>87</v>
      </c>
      <c r="K245">
        <v>0</v>
      </c>
      <c r="L245">
        <v>0</v>
      </c>
    </row>
    <row r="246" spans="1:12">
      <c r="A246" s="93">
        <v>113537</v>
      </c>
      <c r="B246" t="s">
        <v>857</v>
      </c>
      <c r="C246" t="s">
        <v>5607</v>
      </c>
      <c r="D246" s="92" t="s">
        <v>428</v>
      </c>
      <c r="E246" s="92" t="s">
        <v>428</v>
      </c>
      <c r="F246" t="s">
        <v>428</v>
      </c>
      <c r="G246" t="s">
        <v>428</v>
      </c>
      <c r="H246" t="s">
        <v>5615</v>
      </c>
      <c r="I246">
        <v>0</v>
      </c>
      <c r="J246" t="s">
        <v>87</v>
      </c>
      <c r="K246">
        <v>0</v>
      </c>
      <c r="L246">
        <v>0</v>
      </c>
    </row>
    <row r="247" spans="1:12">
      <c r="A247" s="93">
        <v>113573</v>
      </c>
      <c r="B247" t="s">
        <v>858</v>
      </c>
      <c r="C247" t="s">
        <v>5606</v>
      </c>
      <c r="D247" s="92">
        <v>0.31</v>
      </c>
      <c r="E247" s="92">
        <v>0.29</v>
      </c>
      <c r="F247" t="s">
        <v>428</v>
      </c>
      <c r="G247" t="s">
        <v>428</v>
      </c>
      <c r="H247" t="s">
        <v>5615</v>
      </c>
      <c r="I247">
        <v>0</v>
      </c>
      <c r="J247" t="s">
        <v>87</v>
      </c>
      <c r="K247">
        <v>0</v>
      </c>
      <c r="L247">
        <v>0</v>
      </c>
    </row>
    <row r="248" spans="1:12">
      <c r="A248" s="93">
        <v>113582</v>
      </c>
      <c r="B248" t="s">
        <v>859</v>
      </c>
      <c r="C248" t="s">
        <v>5607</v>
      </c>
      <c r="D248" s="92">
        <v>0.42</v>
      </c>
      <c r="E248" s="92">
        <v>0.33</v>
      </c>
      <c r="F248" t="s">
        <v>428</v>
      </c>
      <c r="G248" t="s">
        <v>428</v>
      </c>
      <c r="H248" t="s">
        <v>5617</v>
      </c>
      <c r="I248">
        <v>0</v>
      </c>
      <c r="J248" t="s">
        <v>87</v>
      </c>
      <c r="K248">
        <v>0</v>
      </c>
      <c r="L248">
        <v>0</v>
      </c>
    </row>
    <row r="249" spans="1:12">
      <c r="A249" s="93">
        <v>113634</v>
      </c>
      <c r="B249" t="s">
        <v>860</v>
      </c>
      <c r="C249" t="s">
        <v>5606</v>
      </c>
      <c r="D249" s="92">
        <v>0.48</v>
      </c>
      <c r="E249" s="92">
        <v>0.34</v>
      </c>
      <c r="F249" t="s">
        <v>428</v>
      </c>
      <c r="G249" t="s">
        <v>428</v>
      </c>
      <c r="H249" t="s">
        <v>5615</v>
      </c>
      <c r="I249">
        <v>0</v>
      </c>
      <c r="J249" t="s">
        <v>87</v>
      </c>
      <c r="K249">
        <v>0</v>
      </c>
      <c r="L249">
        <v>0</v>
      </c>
    </row>
    <row r="250" spans="1:12">
      <c r="A250" s="93">
        <v>113698</v>
      </c>
      <c r="B250" t="s">
        <v>564</v>
      </c>
      <c r="C250" t="s">
        <v>5602</v>
      </c>
      <c r="D250" s="92">
        <v>0.66</v>
      </c>
      <c r="E250" s="92">
        <v>0.59</v>
      </c>
      <c r="F250">
        <v>21</v>
      </c>
      <c r="G250">
        <v>23</v>
      </c>
      <c r="H250" t="s">
        <v>5617</v>
      </c>
      <c r="I250">
        <v>0</v>
      </c>
      <c r="J250" t="s">
        <v>87</v>
      </c>
      <c r="K250">
        <v>0</v>
      </c>
      <c r="L250">
        <v>0</v>
      </c>
    </row>
    <row r="251" spans="1:12">
      <c r="A251" s="93">
        <v>113704</v>
      </c>
      <c r="B251" t="s">
        <v>861</v>
      </c>
      <c r="C251" t="s">
        <v>5607</v>
      </c>
      <c r="D251" s="92" t="s">
        <v>428</v>
      </c>
      <c r="E251" s="92" t="s">
        <v>428</v>
      </c>
      <c r="F251" t="s">
        <v>428</v>
      </c>
      <c r="G251" t="s">
        <v>428</v>
      </c>
      <c r="H251" t="s">
        <v>5615</v>
      </c>
      <c r="I251">
        <v>0</v>
      </c>
      <c r="J251" t="s">
        <v>87</v>
      </c>
      <c r="K251">
        <v>0</v>
      </c>
      <c r="L251">
        <v>0</v>
      </c>
    </row>
    <row r="252" spans="1:12">
      <c r="A252" s="93">
        <v>113856</v>
      </c>
      <c r="B252" t="s">
        <v>862</v>
      </c>
      <c r="C252" t="s">
        <v>5606</v>
      </c>
      <c r="D252" s="92">
        <v>0.39</v>
      </c>
      <c r="E252" s="92">
        <v>0.24</v>
      </c>
      <c r="F252" t="s">
        <v>428</v>
      </c>
      <c r="G252" t="s">
        <v>428</v>
      </c>
      <c r="H252" t="s">
        <v>5615</v>
      </c>
      <c r="I252">
        <v>0</v>
      </c>
      <c r="J252" t="s">
        <v>87</v>
      </c>
      <c r="K252">
        <v>0</v>
      </c>
      <c r="L252">
        <v>0</v>
      </c>
    </row>
    <row r="253" spans="1:12">
      <c r="A253" s="93">
        <v>113980</v>
      </c>
      <c r="B253" t="s">
        <v>863</v>
      </c>
      <c r="C253" t="s">
        <v>5606</v>
      </c>
      <c r="D253" s="92">
        <v>0.33</v>
      </c>
      <c r="E253" s="92">
        <v>0.26</v>
      </c>
      <c r="F253" t="s">
        <v>428</v>
      </c>
      <c r="G253" t="s">
        <v>428</v>
      </c>
      <c r="H253" t="s">
        <v>5615</v>
      </c>
      <c r="I253">
        <v>0</v>
      </c>
      <c r="J253" t="s">
        <v>87</v>
      </c>
      <c r="K253">
        <v>0</v>
      </c>
      <c r="L253">
        <v>0</v>
      </c>
    </row>
    <row r="254" spans="1:12">
      <c r="A254" s="93">
        <v>114114</v>
      </c>
      <c r="B254" t="s">
        <v>864</v>
      </c>
      <c r="C254" t="s">
        <v>5607</v>
      </c>
      <c r="D254" s="92" t="s">
        <v>428</v>
      </c>
      <c r="E254" s="92" t="s">
        <v>428</v>
      </c>
      <c r="F254" t="s">
        <v>428</v>
      </c>
      <c r="G254" t="s">
        <v>428</v>
      </c>
      <c r="H254" t="s">
        <v>5615</v>
      </c>
      <c r="I254">
        <v>0</v>
      </c>
      <c r="J254" t="s">
        <v>87</v>
      </c>
      <c r="K254">
        <v>0</v>
      </c>
      <c r="L254">
        <v>0</v>
      </c>
    </row>
    <row r="255" spans="1:12">
      <c r="A255" s="93">
        <v>114123</v>
      </c>
      <c r="B255" t="s">
        <v>865</v>
      </c>
      <c r="C255" t="s">
        <v>5604</v>
      </c>
      <c r="D255" s="92">
        <v>0.79</v>
      </c>
      <c r="E255" s="92">
        <v>0.72</v>
      </c>
      <c r="F255" t="s">
        <v>428</v>
      </c>
      <c r="G255" t="s">
        <v>428</v>
      </c>
      <c r="H255" t="s">
        <v>5617</v>
      </c>
      <c r="I255">
        <v>0</v>
      </c>
      <c r="J255" t="s">
        <v>87</v>
      </c>
      <c r="K255">
        <v>0</v>
      </c>
      <c r="L255">
        <v>0</v>
      </c>
    </row>
    <row r="256" spans="1:12">
      <c r="A256" s="93">
        <v>114266</v>
      </c>
      <c r="B256" t="s">
        <v>866</v>
      </c>
      <c r="C256" t="s">
        <v>5606</v>
      </c>
      <c r="D256" s="92">
        <v>0.29</v>
      </c>
      <c r="E256" s="92">
        <v>0.21</v>
      </c>
      <c r="F256" t="s">
        <v>428</v>
      </c>
      <c r="G256" t="s">
        <v>428</v>
      </c>
      <c r="H256" t="s">
        <v>5615</v>
      </c>
      <c r="I256">
        <v>0</v>
      </c>
      <c r="J256" t="s">
        <v>87</v>
      </c>
      <c r="K256">
        <v>0</v>
      </c>
      <c r="L256">
        <v>0</v>
      </c>
    </row>
    <row r="257" spans="1:12">
      <c r="A257" s="93">
        <v>114354</v>
      </c>
      <c r="B257" t="s">
        <v>867</v>
      </c>
      <c r="C257" t="s">
        <v>5607</v>
      </c>
      <c r="D257" s="92">
        <v>0.8</v>
      </c>
      <c r="E257" s="92">
        <v>0.7</v>
      </c>
      <c r="F257" t="s">
        <v>428</v>
      </c>
      <c r="G257" t="s">
        <v>428</v>
      </c>
      <c r="H257" t="s">
        <v>5617</v>
      </c>
      <c r="I257">
        <v>0</v>
      </c>
      <c r="J257" t="s">
        <v>87</v>
      </c>
      <c r="K257">
        <v>0</v>
      </c>
      <c r="L257">
        <v>0</v>
      </c>
    </row>
    <row r="258" spans="1:12">
      <c r="A258" s="93">
        <v>114390</v>
      </c>
      <c r="B258" t="s">
        <v>868</v>
      </c>
      <c r="C258" t="s">
        <v>5607</v>
      </c>
      <c r="D258" s="92" t="s">
        <v>428</v>
      </c>
      <c r="E258" s="92" t="s">
        <v>428</v>
      </c>
      <c r="F258" t="s">
        <v>428</v>
      </c>
      <c r="G258" t="s">
        <v>428</v>
      </c>
      <c r="H258" t="s">
        <v>5617</v>
      </c>
      <c r="I258">
        <v>0</v>
      </c>
      <c r="J258" t="s">
        <v>87</v>
      </c>
      <c r="K258">
        <v>0</v>
      </c>
      <c r="L258">
        <v>0</v>
      </c>
    </row>
    <row r="259" spans="1:12">
      <c r="A259" s="93">
        <v>114415</v>
      </c>
      <c r="B259" t="s">
        <v>869</v>
      </c>
      <c r="C259" t="s">
        <v>5609</v>
      </c>
      <c r="D259" s="92" t="s">
        <v>428</v>
      </c>
      <c r="E259" s="92" t="s">
        <v>428</v>
      </c>
      <c r="F259" t="s">
        <v>428</v>
      </c>
      <c r="G259" t="s">
        <v>428</v>
      </c>
      <c r="H259" t="s">
        <v>5617</v>
      </c>
      <c r="I259">
        <v>0</v>
      </c>
      <c r="J259" t="s">
        <v>87</v>
      </c>
      <c r="K259">
        <v>0</v>
      </c>
      <c r="L259">
        <v>0</v>
      </c>
    </row>
    <row r="260" spans="1:12">
      <c r="A260" s="93">
        <v>114433</v>
      </c>
      <c r="B260" t="s">
        <v>870</v>
      </c>
      <c r="C260" t="s">
        <v>5604</v>
      </c>
      <c r="D260" s="92">
        <v>0.29</v>
      </c>
      <c r="E260" s="92">
        <v>0.19</v>
      </c>
      <c r="F260" t="s">
        <v>428</v>
      </c>
      <c r="G260" t="s">
        <v>428</v>
      </c>
      <c r="H260" t="s">
        <v>5615</v>
      </c>
      <c r="I260">
        <v>0</v>
      </c>
      <c r="J260" t="s">
        <v>87</v>
      </c>
      <c r="K260">
        <v>0</v>
      </c>
      <c r="L260">
        <v>0</v>
      </c>
    </row>
    <row r="261" spans="1:12">
      <c r="A261" s="93">
        <v>114549</v>
      </c>
      <c r="B261" t="s">
        <v>871</v>
      </c>
      <c r="C261" t="s">
        <v>5607</v>
      </c>
      <c r="D261" s="92" t="s">
        <v>428</v>
      </c>
      <c r="E261" s="92" t="s">
        <v>428</v>
      </c>
      <c r="F261" t="s">
        <v>428</v>
      </c>
      <c r="G261" t="s">
        <v>428</v>
      </c>
      <c r="H261" t="s">
        <v>5615</v>
      </c>
      <c r="I261">
        <v>0</v>
      </c>
      <c r="J261" t="s">
        <v>87</v>
      </c>
      <c r="K261">
        <v>0</v>
      </c>
      <c r="L261">
        <v>0</v>
      </c>
    </row>
    <row r="262" spans="1:12">
      <c r="A262" s="93">
        <v>114585</v>
      </c>
      <c r="B262" t="s">
        <v>872</v>
      </c>
      <c r="C262" t="s">
        <v>5607</v>
      </c>
      <c r="D262" s="92" t="s">
        <v>428</v>
      </c>
      <c r="E262" s="92" t="s">
        <v>428</v>
      </c>
      <c r="F262" t="s">
        <v>428</v>
      </c>
      <c r="G262" t="s">
        <v>428</v>
      </c>
      <c r="H262" t="s">
        <v>5615</v>
      </c>
      <c r="I262">
        <v>0</v>
      </c>
      <c r="J262" t="s">
        <v>87</v>
      </c>
      <c r="K262">
        <v>0</v>
      </c>
      <c r="L262">
        <v>0</v>
      </c>
    </row>
    <row r="263" spans="1:12">
      <c r="A263" s="93">
        <v>114716</v>
      </c>
      <c r="B263" t="s">
        <v>873</v>
      </c>
      <c r="C263" t="s">
        <v>5604</v>
      </c>
      <c r="D263" s="92">
        <v>0.62</v>
      </c>
      <c r="E263" s="92">
        <v>0.4</v>
      </c>
      <c r="F263" t="s">
        <v>428</v>
      </c>
      <c r="G263" t="s">
        <v>428</v>
      </c>
      <c r="H263" t="s">
        <v>5615</v>
      </c>
      <c r="I263">
        <v>0</v>
      </c>
      <c r="J263" t="s">
        <v>87</v>
      </c>
      <c r="K263">
        <v>0</v>
      </c>
      <c r="L263">
        <v>0</v>
      </c>
    </row>
    <row r="264" spans="1:12">
      <c r="A264" s="93">
        <v>114734</v>
      </c>
      <c r="B264" t="s">
        <v>874</v>
      </c>
      <c r="C264" t="s">
        <v>5607</v>
      </c>
      <c r="D264" s="92" t="s">
        <v>428</v>
      </c>
      <c r="E264" s="92" t="s">
        <v>428</v>
      </c>
      <c r="F264" t="s">
        <v>428</v>
      </c>
      <c r="G264" t="s">
        <v>428</v>
      </c>
      <c r="H264" t="s">
        <v>5615</v>
      </c>
      <c r="I264">
        <v>0</v>
      </c>
      <c r="J264" t="s">
        <v>87</v>
      </c>
      <c r="K264">
        <v>0</v>
      </c>
      <c r="L264">
        <v>0</v>
      </c>
    </row>
    <row r="265" spans="1:12">
      <c r="A265" s="93">
        <v>114789</v>
      </c>
      <c r="B265" t="s">
        <v>875</v>
      </c>
      <c r="C265" t="s">
        <v>5606</v>
      </c>
      <c r="D265" s="92">
        <v>0.21</v>
      </c>
      <c r="E265" s="92">
        <v>0.18</v>
      </c>
      <c r="F265" t="s">
        <v>428</v>
      </c>
      <c r="G265" t="s">
        <v>428</v>
      </c>
      <c r="H265" t="s">
        <v>5615</v>
      </c>
      <c r="I265">
        <v>0</v>
      </c>
      <c r="J265" t="s">
        <v>87</v>
      </c>
      <c r="K265">
        <v>0</v>
      </c>
      <c r="L265">
        <v>0</v>
      </c>
    </row>
    <row r="266" spans="1:12">
      <c r="A266" s="93">
        <v>114813</v>
      </c>
      <c r="B266" t="s">
        <v>876</v>
      </c>
      <c r="C266" t="s">
        <v>5602</v>
      </c>
      <c r="D266" s="92">
        <v>0.6</v>
      </c>
      <c r="E266" s="92">
        <v>0.53</v>
      </c>
      <c r="F266">
        <v>18</v>
      </c>
      <c r="G266">
        <v>21</v>
      </c>
      <c r="H266" t="s">
        <v>5616</v>
      </c>
      <c r="I266">
        <v>0</v>
      </c>
      <c r="J266" t="s">
        <v>87</v>
      </c>
      <c r="K266">
        <v>0</v>
      </c>
      <c r="L266">
        <v>0</v>
      </c>
    </row>
    <row r="267" spans="1:12">
      <c r="A267" s="93">
        <v>114840</v>
      </c>
      <c r="B267" t="s">
        <v>877</v>
      </c>
      <c r="C267" t="s">
        <v>5607</v>
      </c>
      <c r="D267" s="92" t="s">
        <v>428</v>
      </c>
      <c r="E267" s="92" t="s">
        <v>428</v>
      </c>
      <c r="F267" t="s">
        <v>428</v>
      </c>
      <c r="G267" t="s">
        <v>428</v>
      </c>
      <c r="H267" t="s">
        <v>5615</v>
      </c>
      <c r="I267">
        <v>0</v>
      </c>
      <c r="J267" t="s">
        <v>87</v>
      </c>
      <c r="K267">
        <v>0</v>
      </c>
      <c r="L267">
        <v>0</v>
      </c>
    </row>
    <row r="268" spans="1:12">
      <c r="A268" s="93">
        <v>114859</v>
      </c>
      <c r="B268" t="s">
        <v>878</v>
      </c>
      <c r="C268" t="s">
        <v>5606</v>
      </c>
      <c r="D268" s="92">
        <v>0.36</v>
      </c>
      <c r="E268" s="92">
        <v>0.3</v>
      </c>
      <c r="F268" t="s">
        <v>428</v>
      </c>
      <c r="G268" t="s">
        <v>428</v>
      </c>
      <c r="H268" t="s">
        <v>5615</v>
      </c>
      <c r="I268">
        <v>0</v>
      </c>
      <c r="J268" t="s">
        <v>87</v>
      </c>
      <c r="K268">
        <v>0</v>
      </c>
      <c r="L268">
        <v>0</v>
      </c>
    </row>
    <row r="269" spans="1:12">
      <c r="A269" s="93">
        <v>114938</v>
      </c>
      <c r="B269" t="s">
        <v>879</v>
      </c>
      <c r="C269" t="s">
        <v>5606</v>
      </c>
      <c r="D269" s="92">
        <v>0.32</v>
      </c>
      <c r="E269" s="92">
        <v>0.29</v>
      </c>
      <c r="F269" t="s">
        <v>428</v>
      </c>
      <c r="G269" t="s">
        <v>428</v>
      </c>
      <c r="H269" t="s">
        <v>5615</v>
      </c>
      <c r="I269">
        <v>0</v>
      </c>
      <c r="J269" t="s">
        <v>87</v>
      </c>
      <c r="K269">
        <v>0</v>
      </c>
      <c r="L269">
        <v>0</v>
      </c>
    </row>
    <row r="270" spans="1:12">
      <c r="A270" s="93">
        <v>115001</v>
      </c>
      <c r="B270" t="s">
        <v>699</v>
      </c>
      <c r="C270" t="s">
        <v>5606</v>
      </c>
      <c r="D270" s="92">
        <v>0.34</v>
      </c>
      <c r="E270" s="92">
        <v>0.25</v>
      </c>
      <c r="F270" t="s">
        <v>428</v>
      </c>
      <c r="G270" t="s">
        <v>428</v>
      </c>
      <c r="H270" t="s">
        <v>5615</v>
      </c>
      <c r="I270">
        <v>0</v>
      </c>
      <c r="J270" t="s">
        <v>87</v>
      </c>
      <c r="K270">
        <v>0</v>
      </c>
      <c r="L270">
        <v>0</v>
      </c>
    </row>
    <row r="271" spans="1:12">
      <c r="A271" s="93">
        <v>115010</v>
      </c>
      <c r="B271" t="s">
        <v>880</v>
      </c>
      <c r="C271" t="s">
        <v>5606</v>
      </c>
      <c r="D271" s="92" t="s">
        <v>428</v>
      </c>
      <c r="E271" s="92" t="s">
        <v>428</v>
      </c>
      <c r="F271" t="s">
        <v>428</v>
      </c>
      <c r="G271" t="s">
        <v>428</v>
      </c>
      <c r="H271" t="s">
        <v>5617</v>
      </c>
      <c r="I271">
        <v>0</v>
      </c>
      <c r="J271" t="s">
        <v>87</v>
      </c>
      <c r="K271">
        <v>0</v>
      </c>
      <c r="L271">
        <v>0</v>
      </c>
    </row>
    <row r="272" spans="1:12">
      <c r="A272" s="93">
        <v>115083</v>
      </c>
      <c r="B272" t="s">
        <v>881</v>
      </c>
      <c r="C272" t="s">
        <v>5602</v>
      </c>
      <c r="D272" s="92" t="s">
        <v>428</v>
      </c>
      <c r="E272" s="92" t="s">
        <v>428</v>
      </c>
      <c r="F272" t="s">
        <v>428</v>
      </c>
      <c r="G272" t="s">
        <v>428</v>
      </c>
      <c r="H272" t="s">
        <v>5615</v>
      </c>
      <c r="I272">
        <v>0</v>
      </c>
      <c r="J272" t="s">
        <v>87</v>
      </c>
      <c r="K272">
        <v>0</v>
      </c>
      <c r="L272">
        <v>0</v>
      </c>
    </row>
    <row r="273" spans="1:12">
      <c r="A273" s="93">
        <v>115126</v>
      </c>
      <c r="B273" t="s">
        <v>882</v>
      </c>
      <c r="C273" t="s">
        <v>5606</v>
      </c>
      <c r="D273" s="92">
        <v>0.44</v>
      </c>
      <c r="E273" s="92">
        <v>0.4</v>
      </c>
      <c r="F273" t="s">
        <v>428</v>
      </c>
      <c r="G273" t="s">
        <v>428</v>
      </c>
      <c r="H273" t="s">
        <v>5615</v>
      </c>
      <c r="I273">
        <v>0</v>
      </c>
      <c r="J273" t="s">
        <v>87</v>
      </c>
      <c r="K273">
        <v>0</v>
      </c>
      <c r="L273">
        <v>0</v>
      </c>
    </row>
    <row r="274" spans="1:12">
      <c r="A274" s="93">
        <v>115214</v>
      </c>
      <c r="B274" t="s">
        <v>883</v>
      </c>
      <c r="C274" t="s">
        <v>5607</v>
      </c>
      <c r="D274" s="92" t="s">
        <v>428</v>
      </c>
      <c r="E274" s="92" t="s">
        <v>428</v>
      </c>
      <c r="F274" t="s">
        <v>428</v>
      </c>
      <c r="G274" t="s">
        <v>428</v>
      </c>
      <c r="H274" t="s">
        <v>5615</v>
      </c>
      <c r="I274">
        <v>0</v>
      </c>
      <c r="J274" t="s">
        <v>87</v>
      </c>
      <c r="K274">
        <v>0</v>
      </c>
      <c r="L274">
        <v>0</v>
      </c>
    </row>
    <row r="275" spans="1:12">
      <c r="A275" s="93">
        <v>115296</v>
      </c>
      <c r="B275" t="s">
        <v>884</v>
      </c>
      <c r="C275" t="s">
        <v>5606</v>
      </c>
      <c r="D275" s="92">
        <v>0.32</v>
      </c>
      <c r="E275" s="92">
        <v>0.27</v>
      </c>
      <c r="F275" t="s">
        <v>428</v>
      </c>
      <c r="G275" t="s">
        <v>428</v>
      </c>
      <c r="H275" t="s">
        <v>5615</v>
      </c>
      <c r="I275">
        <v>0</v>
      </c>
      <c r="J275" t="s">
        <v>87</v>
      </c>
      <c r="K275">
        <v>0</v>
      </c>
      <c r="L275">
        <v>0</v>
      </c>
    </row>
    <row r="276" spans="1:12">
      <c r="A276" s="93">
        <v>115393</v>
      </c>
      <c r="B276" t="s">
        <v>885</v>
      </c>
      <c r="C276" t="s">
        <v>5606</v>
      </c>
      <c r="D276" s="92">
        <v>0.32</v>
      </c>
      <c r="E276" s="92">
        <v>0.31</v>
      </c>
      <c r="F276" t="s">
        <v>428</v>
      </c>
      <c r="G276" t="s">
        <v>428</v>
      </c>
      <c r="H276" t="s">
        <v>5615</v>
      </c>
      <c r="I276">
        <v>0</v>
      </c>
      <c r="J276" t="s">
        <v>87</v>
      </c>
      <c r="K276">
        <v>0</v>
      </c>
      <c r="L276">
        <v>0</v>
      </c>
    </row>
    <row r="277" spans="1:12">
      <c r="A277" s="93">
        <v>115409</v>
      </c>
      <c r="B277" t="s">
        <v>886</v>
      </c>
      <c r="C277" t="s">
        <v>5611</v>
      </c>
      <c r="D277" s="92">
        <v>0.92</v>
      </c>
      <c r="E277" s="92">
        <v>0.8</v>
      </c>
      <c r="F277">
        <v>32</v>
      </c>
      <c r="G277">
        <v>33.5</v>
      </c>
      <c r="H277" t="s">
        <v>5622</v>
      </c>
      <c r="I277">
        <v>0</v>
      </c>
      <c r="J277" t="s">
        <v>87</v>
      </c>
      <c r="K277">
        <v>0</v>
      </c>
      <c r="L277">
        <v>0</v>
      </c>
    </row>
    <row r="278" spans="1:12">
      <c r="A278" s="93">
        <v>115728</v>
      </c>
      <c r="B278" t="s">
        <v>887</v>
      </c>
      <c r="C278" t="s">
        <v>5608</v>
      </c>
      <c r="D278" s="92">
        <v>0.45</v>
      </c>
      <c r="E278" s="92">
        <v>0.46</v>
      </c>
      <c r="F278">
        <v>16</v>
      </c>
      <c r="G278">
        <v>17.5</v>
      </c>
      <c r="H278" t="s">
        <v>5617</v>
      </c>
      <c r="I278">
        <v>0</v>
      </c>
      <c r="J278" t="s">
        <v>87</v>
      </c>
      <c r="K278">
        <v>0</v>
      </c>
      <c r="L278">
        <v>0</v>
      </c>
    </row>
    <row r="279" spans="1:12">
      <c r="A279" s="93">
        <v>115746</v>
      </c>
      <c r="B279" t="s">
        <v>888</v>
      </c>
      <c r="C279" t="s">
        <v>5607</v>
      </c>
      <c r="D279" s="92" t="s">
        <v>428</v>
      </c>
      <c r="E279" s="92" t="s">
        <v>428</v>
      </c>
      <c r="F279" t="s">
        <v>428</v>
      </c>
      <c r="G279" t="s">
        <v>428</v>
      </c>
      <c r="H279" t="s">
        <v>5615</v>
      </c>
      <c r="I279">
        <v>0</v>
      </c>
      <c r="J279" t="s">
        <v>87</v>
      </c>
      <c r="K279">
        <v>0</v>
      </c>
      <c r="L279">
        <v>0</v>
      </c>
    </row>
    <row r="280" spans="1:12">
      <c r="A280" s="93">
        <v>115755</v>
      </c>
      <c r="B280" t="s">
        <v>889</v>
      </c>
      <c r="C280" t="s">
        <v>5602</v>
      </c>
      <c r="D280" s="92">
        <v>0.46</v>
      </c>
      <c r="E280" s="92">
        <v>0.38</v>
      </c>
      <c r="F280">
        <v>18</v>
      </c>
      <c r="G280">
        <v>21</v>
      </c>
      <c r="H280" t="s">
        <v>5615</v>
      </c>
      <c r="I280">
        <v>0</v>
      </c>
      <c r="J280" t="s">
        <v>87</v>
      </c>
      <c r="K280">
        <v>0</v>
      </c>
      <c r="L280">
        <v>0</v>
      </c>
    </row>
    <row r="281" spans="1:12">
      <c r="A281" s="93">
        <v>115773</v>
      </c>
      <c r="B281" t="s">
        <v>890</v>
      </c>
      <c r="C281" t="s">
        <v>5602</v>
      </c>
      <c r="D281" s="92">
        <v>0.7</v>
      </c>
      <c r="E281" s="92">
        <v>0.75</v>
      </c>
      <c r="F281" t="s">
        <v>428</v>
      </c>
      <c r="G281" t="s">
        <v>428</v>
      </c>
      <c r="H281" t="s">
        <v>5616</v>
      </c>
      <c r="I281">
        <v>0</v>
      </c>
      <c r="J281" t="s">
        <v>87</v>
      </c>
      <c r="K281">
        <v>0</v>
      </c>
      <c r="L281">
        <v>0</v>
      </c>
    </row>
    <row r="282" spans="1:12">
      <c r="A282" s="93">
        <v>115861</v>
      </c>
      <c r="B282" t="s">
        <v>891</v>
      </c>
      <c r="C282" t="s">
        <v>5606</v>
      </c>
      <c r="D282" s="92">
        <v>0.29</v>
      </c>
      <c r="E282" s="92">
        <v>0.3</v>
      </c>
      <c r="F282" t="s">
        <v>428</v>
      </c>
      <c r="G282" t="s">
        <v>428</v>
      </c>
      <c r="H282" t="s">
        <v>5615</v>
      </c>
      <c r="I282">
        <v>0</v>
      </c>
      <c r="J282" t="s">
        <v>87</v>
      </c>
      <c r="K282">
        <v>0</v>
      </c>
      <c r="L282">
        <v>0</v>
      </c>
    </row>
    <row r="283" spans="1:12">
      <c r="A283" s="93">
        <v>115931</v>
      </c>
      <c r="B283" t="s">
        <v>892</v>
      </c>
      <c r="C283" t="s">
        <v>5606</v>
      </c>
      <c r="D283" s="92" t="s">
        <v>428</v>
      </c>
      <c r="E283" s="92" t="s">
        <v>428</v>
      </c>
      <c r="F283" t="s">
        <v>428</v>
      </c>
      <c r="G283" t="s">
        <v>428</v>
      </c>
      <c r="H283" t="s">
        <v>5617</v>
      </c>
      <c r="I283">
        <v>0</v>
      </c>
      <c r="J283" t="s">
        <v>87</v>
      </c>
      <c r="K283">
        <v>0</v>
      </c>
      <c r="L283">
        <v>0</v>
      </c>
    </row>
    <row r="284" spans="1:12">
      <c r="A284" s="93">
        <v>116226</v>
      </c>
      <c r="B284" t="s">
        <v>893</v>
      </c>
      <c r="C284" t="s">
        <v>5604</v>
      </c>
      <c r="D284" s="92" t="s">
        <v>428</v>
      </c>
      <c r="E284" s="92" t="s">
        <v>428</v>
      </c>
      <c r="F284" t="s">
        <v>428</v>
      </c>
      <c r="G284" t="s">
        <v>428</v>
      </c>
      <c r="H284" t="s">
        <v>5617</v>
      </c>
      <c r="I284">
        <v>0</v>
      </c>
      <c r="J284" t="s">
        <v>87</v>
      </c>
      <c r="K284">
        <v>0</v>
      </c>
      <c r="L284">
        <v>0</v>
      </c>
    </row>
    <row r="285" spans="1:12">
      <c r="A285" s="93">
        <v>116439</v>
      </c>
      <c r="B285" t="s">
        <v>894</v>
      </c>
      <c r="C285" t="s">
        <v>5606</v>
      </c>
      <c r="D285" s="92">
        <v>0.48</v>
      </c>
      <c r="E285" s="92">
        <v>0.33</v>
      </c>
      <c r="F285" t="s">
        <v>428</v>
      </c>
      <c r="G285" t="s">
        <v>428</v>
      </c>
      <c r="H285" t="s">
        <v>5615</v>
      </c>
      <c r="I285">
        <v>0</v>
      </c>
      <c r="J285" t="s">
        <v>87</v>
      </c>
      <c r="K285">
        <v>0</v>
      </c>
      <c r="L285">
        <v>0</v>
      </c>
    </row>
    <row r="286" spans="1:12">
      <c r="A286" s="93">
        <v>116466</v>
      </c>
      <c r="B286" t="s">
        <v>895</v>
      </c>
      <c r="C286" t="s">
        <v>5607</v>
      </c>
      <c r="D286" s="92">
        <v>1</v>
      </c>
      <c r="E286" s="92" t="s">
        <v>428</v>
      </c>
      <c r="F286" t="s">
        <v>428</v>
      </c>
      <c r="G286" t="s">
        <v>428</v>
      </c>
      <c r="H286" t="s">
        <v>5617</v>
      </c>
      <c r="I286">
        <v>0</v>
      </c>
      <c r="J286" t="s">
        <v>87</v>
      </c>
      <c r="K286">
        <v>0</v>
      </c>
      <c r="L286">
        <v>0</v>
      </c>
    </row>
    <row r="287" spans="1:12">
      <c r="A287" s="93">
        <v>116475</v>
      </c>
      <c r="B287" t="s">
        <v>896</v>
      </c>
      <c r="C287" t="s">
        <v>5607</v>
      </c>
      <c r="D287" s="92">
        <v>0.33</v>
      </c>
      <c r="E287" s="92">
        <v>0.33</v>
      </c>
      <c r="F287" t="s">
        <v>428</v>
      </c>
      <c r="G287" t="s">
        <v>428</v>
      </c>
      <c r="H287" t="s">
        <v>5617</v>
      </c>
      <c r="I287">
        <v>0</v>
      </c>
      <c r="J287" t="s">
        <v>87</v>
      </c>
      <c r="K287">
        <v>0</v>
      </c>
      <c r="L287">
        <v>0</v>
      </c>
    </row>
    <row r="288" spans="1:12">
      <c r="A288" s="93">
        <v>116484</v>
      </c>
      <c r="B288" t="s">
        <v>897</v>
      </c>
      <c r="C288" t="s">
        <v>5607</v>
      </c>
      <c r="D288" s="92" t="s">
        <v>428</v>
      </c>
      <c r="E288" s="92" t="s">
        <v>428</v>
      </c>
      <c r="F288" t="s">
        <v>428</v>
      </c>
      <c r="G288" t="s">
        <v>428</v>
      </c>
      <c r="H288" t="s">
        <v>5617</v>
      </c>
      <c r="I288">
        <v>0</v>
      </c>
      <c r="J288" t="s">
        <v>87</v>
      </c>
      <c r="K288">
        <v>0</v>
      </c>
      <c r="L288">
        <v>0</v>
      </c>
    </row>
    <row r="289" spans="1:12">
      <c r="A289" s="93">
        <v>116563</v>
      </c>
      <c r="B289" t="s">
        <v>898</v>
      </c>
      <c r="C289" t="s">
        <v>5606</v>
      </c>
      <c r="D289" s="92" t="s">
        <v>428</v>
      </c>
      <c r="E289" s="92" t="s">
        <v>428</v>
      </c>
      <c r="F289" t="s">
        <v>428</v>
      </c>
      <c r="G289" t="s">
        <v>428</v>
      </c>
      <c r="H289" t="s">
        <v>5617</v>
      </c>
      <c r="I289">
        <v>0</v>
      </c>
      <c r="J289" t="s">
        <v>87</v>
      </c>
      <c r="K289">
        <v>0</v>
      </c>
      <c r="L289">
        <v>0</v>
      </c>
    </row>
    <row r="290" spans="1:12">
      <c r="A290" s="93">
        <v>116712</v>
      </c>
      <c r="B290" t="s">
        <v>899</v>
      </c>
      <c r="C290" t="s">
        <v>5607</v>
      </c>
      <c r="D290" s="92" t="s">
        <v>428</v>
      </c>
      <c r="E290" s="92" t="s">
        <v>428</v>
      </c>
      <c r="F290" t="s">
        <v>428</v>
      </c>
      <c r="G290" t="s">
        <v>428</v>
      </c>
      <c r="H290" t="s">
        <v>5615</v>
      </c>
      <c r="I290">
        <v>0</v>
      </c>
      <c r="J290" t="s">
        <v>87</v>
      </c>
      <c r="K290">
        <v>0</v>
      </c>
      <c r="L290">
        <v>0</v>
      </c>
    </row>
    <row r="291" spans="1:12">
      <c r="A291" s="93">
        <v>116846</v>
      </c>
      <c r="B291" t="s">
        <v>900</v>
      </c>
      <c r="C291" t="s">
        <v>5602</v>
      </c>
      <c r="D291" s="92">
        <v>0.57</v>
      </c>
      <c r="E291" s="92">
        <v>0.4</v>
      </c>
      <c r="F291" t="s">
        <v>428</v>
      </c>
      <c r="G291" t="s">
        <v>428</v>
      </c>
      <c r="H291" t="s">
        <v>5617</v>
      </c>
      <c r="I291">
        <v>0</v>
      </c>
      <c r="J291" t="s">
        <v>87</v>
      </c>
      <c r="K291">
        <v>0</v>
      </c>
      <c r="L291">
        <v>0</v>
      </c>
    </row>
    <row r="292" spans="1:12">
      <c r="A292" s="93">
        <v>117052</v>
      </c>
      <c r="B292" t="s">
        <v>901</v>
      </c>
      <c r="C292" t="s">
        <v>5606</v>
      </c>
      <c r="D292" s="92">
        <v>0.27</v>
      </c>
      <c r="E292" s="92">
        <v>0.22</v>
      </c>
      <c r="F292" t="s">
        <v>428</v>
      </c>
      <c r="G292" t="s">
        <v>428</v>
      </c>
      <c r="H292" t="s">
        <v>5615</v>
      </c>
      <c r="I292">
        <v>0</v>
      </c>
      <c r="J292" t="s">
        <v>87</v>
      </c>
      <c r="K292">
        <v>0</v>
      </c>
      <c r="L292">
        <v>0</v>
      </c>
    </row>
    <row r="293" spans="1:12">
      <c r="A293" s="93">
        <v>117104</v>
      </c>
      <c r="B293" t="s">
        <v>902</v>
      </c>
      <c r="C293" t="s">
        <v>5604</v>
      </c>
      <c r="D293" s="92">
        <v>0.43</v>
      </c>
      <c r="E293" s="92">
        <v>0.42</v>
      </c>
      <c r="F293">
        <v>16</v>
      </c>
      <c r="G293">
        <v>18.5</v>
      </c>
      <c r="H293" t="s">
        <v>5617</v>
      </c>
      <c r="I293">
        <v>0</v>
      </c>
      <c r="J293" t="s">
        <v>87</v>
      </c>
      <c r="K293">
        <v>0</v>
      </c>
      <c r="L293">
        <v>0</v>
      </c>
    </row>
    <row r="294" spans="1:12">
      <c r="A294" s="93">
        <v>117113</v>
      </c>
      <c r="B294" t="s">
        <v>903</v>
      </c>
      <c r="C294" t="s">
        <v>5604</v>
      </c>
      <c r="D294" s="92">
        <v>0.46</v>
      </c>
      <c r="E294" s="92">
        <v>0.47</v>
      </c>
      <c r="F294" t="s">
        <v>428</v>
      </c>
      <c r="G294" t="s">
        <v>428</v>
      </c>
      <c r="H294" t="s">
        <v>5617</v>
      </c>
      <c r="I294">
        <v>0</v>
      </c>
      <c r="J294" t="s">
        <v>87</v>
      </c>
      <c r="K294">
        <v>0</v>
      </c>
      <c r="L294">
        <v>0</v>
      </c>
    </row>
    <row r="295" spans="1:12">
      <c r="A295" s="93">
        <v>117140</v>
      </c>
      <c r="B295" t="s">
        <v>904</v>
      </c>
      <c r="C295" t="s">
        <v>5602</v>
      </c>
      <c r="D295" s="92">
        <v>0.64</v>
      </c>
      <c r="E295" s="92">
        <v>0.66</v>
      </c>
      <c r="F295">
        <v>20</v>
      </c>
      <c r="G295">
        <v>23</v>
      </c>
      <c r="H295" t="s">
        <v>5617</v>
      </c>
      <c r="I295">
        <v>0</v>
      </c>
      <c r="J295" t="s">
        <v>87</v>
      </c>
      <c r="K295">
        <v>0</v>
      </c>
      <c r="L295">
        <v>0</v>
      </c>
    </row>
    <row r="296" spans="1:12">
      <c r="A296" s="93">
        <v>117168</v>
      </c>
      <c r="B296" t="s">
        <v>905</v>
      </c>
      <c r="C296" t="s">
        <v>5608</v>
      </c>
      <c r="D296" s="92">
        <v>0.52</v>
      </c>
      <c r="E296" s="92">
        <v>0.46</v>
      </c>
      <c r="F296" t="s">
        <v>428</v>
      </c>
      <c r="G296" t="s">
        <v>428</v>
      </c>
      <c r="H296" t="s">
        <v>5617</v>
      </c>
      <c r="I296">
        <v>0</v>
      </c>
      <c r="J296" t="s">
        <v>87</v>
      </c>
      <c r="K296">
        <v>0</v>
      </c>
      <c r="L296">
        <v>0</v>
      </c>
    </row>
    <row r="297" spans="1:12">
      <c r="A297" s="93">
        <v>117195</v>
      </c>
      <c r="B297" t="s">
        <v>906</v>
      </c>
      <c r="C297" t="s">
        <v>5606</v>
      </c>
      <c r="D297" s="92">
        <v>0.4</v>
      </c>
      <c r="E297" s="92">
        <v>0.34</v>
      </c>
      <c r="F297" t="s">
        <v>428</v>
      </c>
      <c r="G297" t="s">
        <v>428</v>
      </c>
      <c r="H297" t="s">
        <v>5615</v>
      </c>
      <c r="I297">
        <v>0</v>
      </c>
      <c r="J297" t="s">
        <v>87</v>
      </c>
      <c r="K297">
        <v>0</v>
      </c>
      <c r="L297">
        <v>0</v>
      </c>
    </row>
    <row r="298" spans="1:12">
      <c r="A298" s="93">
        <v>117247</v>
      </c>
      <c r="B298" t="s">
        <v>907</v>
      </c>
      <c r="C298" t="s">
        <v>5606</v>
      </c>
      <c r="D298" s="92">
        <v>0.28</v>
      </c>
      <c r="E298" s="92">
        <v>0.27</v>
      </c>
      <c r="F298" t="s">
        <v>428</v>
      </c>
      <c r="G298" t="s">
        <v>428</v>
      </c>
      <c r="H298" t="s">
        <v>5615</v>
      </c>
      <c r="I298">
        <v>0</v>
      </c>
      <c r="J298" t="s">
        <v>87</v>
      </c>
      <c r="K298">
        <v>0</v>
      </c>
      <c r="L298">
        <v>0</v>
      </c>
    </row>
    <row r="299" spans="1:12">
      <c r="A299" s="93">
        <v>117274</v>
      </c>
      <c r="B299" t="s">
        <v>908</v>
      </c>
      <c r="C299" t="s">
        <v>5606</v>
      </c>
      <c r="D299" s="92">
        <v>0.28</v>
      </c>
      <c r="E299" s="92">
        <v>0.3</v>
      </c>
      <c r="F299" t="s">
        <v>428</v>
      </c>
      <c r="G299" t="s">
        <v>428</v>
      </c>
      <c r="H299" t="s">
        <v>5615</v>
      </c>
      <c r="I299">
        <v>0</v>
      </c>
      <c r="J299" t="s">
        <v>87</v>
      </c>
      <c r="K299">
        <v>0</v>
      </c>
      <c r="L299">
        <v>0</v>
      </c>
    </row>
    <row r="300" spans="1:12">
      <c r="A300" s="93">
        <v>117520</v>
      </c>
      <c r="B300" t="s">
        <v>909</v>
      </c>
      <c r="C300" t="s">
        <v>5607</v>
      </c>
      <c r="D300" s="92" t="s">
        <v>428</v>
      </c>
      <c r="E300" s="92" t="s">
        <v>428</v>
      </c>
      <c r="F300" t="s">
        <v>428</v>
      </c>
      <c r="G300" t="s">
        <v>428</v>
      </c>
      <c r="H300" t="s">
        <v>5615</v>
      </c>
      <c r="I300">
        <v>0</v>
      </c>
      <c r="J300" t="s">
        <v>87</v>
      </c>
      <c r="K300">
        <v>0</v>
      </c>
      <c r="L300">
        <v>0</v>
      </c>
    </row>
    <row r="301" spans="1:12">
      <c r="A301" s="93">
        <v>117548</v>
      </c>
      <c r="B301" t="s">
        <v>910</v>
      </c>
      <c r="C301" t="s">
        <v>5607</v>
      </c>
      <c r="D301" s="92" t="s">
        <v>428</v>
      </c>
      <c r="E301" s="92" t="s">
        <v>428</v>
      </c>
      <c r="F301" t="s">
        <v>428</v>
      </c>
      <c r="G301" t="s">
        <v>428</v>
      </c>
      <c r="H301" t="s">
        <v>5615</v>
      </c>
      <c r="I301">
        <v>0</v>
      </c>
      <c r="J301" t="s">
        <v>87</v>
      </c>
      <c r="K301">
        <v>0</v>
      </c>
      <c r="L301">
        <v>0</v>
      </c>
    </row>
    <row r="302" spans="1:12">
      <c r="A302" s="93">
        <v>117557</v>
      </c>
      <c r="B302" t="s">
        <v>911</v>
      </c>
      <c r="C302" t="s">
        <v>5604</v>
      </c>
      <c r="D302" s="92">
        <v>0.47</v>
      </c>
      <c r="E302" s="92">
        <v>0.33</v>
      </c>
      <c r="F302" t="s">
        <v>428</v>
      </c>
      <c r="G302" t="s">
        <v>428</v>
      </c>
      <c r="H302" t="s">
        <v>5617</v>
      </c>
      <c r="I302">
        <v>0</v>
      </c>
      <c r="J302" t="s">
        <v>87</v>
      </c>
      <c r="K302">
        <v>0</v>
      </c>
      <c r="L302">
        <v>0</v>
      </c>
    </row>
    <row r="303" spans="1:12">
      <c r="A303" s="93">
        <v>117575</v>
      </c>
      <c r="B303" t="s">
        <v>912</v>
      </c>
      <c r="C303" t="s">
        <v>5604</v>
      </c>
      <c r="D303" s="92">
        <v>0.22</v>
      </c>
      <c r="E303" s="92">
        <v>0</v>
      </c>
      <c r="F303" t="s">
        <v>428</v>
      </c>
      <c r="G303" t="s">
        <v>428</v>
      </c>
      <c r="H303" t="s">
        <v>5617</v>
      </c>
      <c r="I303">
        <v>0</v>
      </c>
      <c r="J303" t="s">
        <v>87</v>
      </c>
      <c r="K303">
        <v>0</v>
      </c>
      <c r="L303">
        <v>0</v>
      </c>
    </row>
    <row r="304" spans="1:12">
      <c r="A304" s="93">
        <v>117627</v>
      </c>
      <c r="B304" t="s">
        <v>913</v>
      </c>
      <c r="C304" t="s">
        <v>5603</v>
      </c>
      <c r="D304" s="92">
        <v>0.49</v>
      </c>
      <c r="E304" s="92">
        <v>0.43</v>
      </c>
      <c r="F304">
        <v>16</v>
      </c>
      <c r="G304">
        <v>19</v>
      </c>
      <c r="H304" t="s">
        <v>5617</v>
      </c>
      <c r="I304">
        <v>0</v>
      </c>
      <c r="J304" t="s">
        <v>87</v>
      </c>
      <c r="K304">
        <v>0</v>
      </c>
      <c r="L304">
        <v>0</v>
      </c>
    </row>
    <row r="305" spans="1:12">
      <c r="A305" s="93">
        <v>117636</v>
      </c>
      <c r="B305" t="s">
        <v>914</v>
      </c>
      <c r="C305" t="s">
        <v>5607</v>
      </c>
      <c r="D305" s="92" t="s">
        <v>428</v>
      </c>
      <c r="E305" s="92" t="s">
        <v>428</v>
      </c>
      <c r="F305" t="s">
        <v>428</v>
      </c>
      <c r="G305" t="s">
        <v>428</v>
      </c>
      <c r="H305" t="s">
        <v>5615</v>
      </c>
      <c r="I305">
        <v>0</v>
      </c>
      <c r="J305" t="s">
        <v>87</v>
      </c>
      <c r="K305">
        <v>0</v>
      </c>
      <c r="L305">
        <v>0</v>
      </c>
    </row>
    <row r="306" spans="1:12">
      <c r="A306" s="93">
        <v>117645</v>
      </c>
      <c r="B306" t="s">
        <v>915</v>
      </c>
      <c r="C306" t="s">
        <v>5606</v>
      </c>
      <c r="D306" s="92">
        <v>0.23</v>
      </c>
      <c r="E306" s="92">
        <v>0.21</v>
      </c>
      <c r="F306" t="s">
        <v>428</v>
      </c>
      <c r="G306" t="s">
        <v>428</v>
      </c>
      <c r="H306" t="s">
        <v>5615</v>
      </c>
      <c r="I306">
        <v>0</v>
      </c>
      <c r="J306" t="s">
        <v>87</v>
      </c>
      <c r="K306">
        <v>0</v>
      </c>
      <c r="L306">
        <v>0</v>
      </c>
    </row>
    <row r="307" spans="1:12">
      <c r="A307" s="93">
        <v>117672</v>
      </c>
      <c r="B307" t="s">
        <v>916</v>
      </c>
      <c r="C307" t="s">
        <v>5604</v>
      </c>
      <c r="D307" s="92" t="s">
        <v>428</v>
      </c>
      <c r="E307" s="92" t="s">
        <v>428</v>
      </c>
      <c r="F307" t="s">
        <v>428</v>
      </c>
      <c r="G307" t="s">
        <v>428</v>
      </c>
      <c r="H307" t="s">
        <v>5617</v>
      </c>
      <c r="I307">
        <v>0</v>
      </c>
      <c r="J307" t="s">
        <v>87</v>
      </c>
      <c r="K307">
        <v>0</v>
      </c>
      <c r="L307">
        <v>0</v>
      </c>
    </row>
    <row r="308" spans="1:12">
      <c r="A308" s="93">
        <v>117690</v>
      </c>
      <c r="B308" t="s">
        <v>917</v>
      </c>
      <c r="C308" t="s">
        <v>5606</v>
      </c>
      <c r="D308" s="92">
        <v>0.26</v>
      </c>
      <c r="E308" s="92">
        <v>0.23</v>
      </c>
      <c r="F308" t="s">
        <v>428</v>
      </c>
      <c r="G308" t="s">
        <v>428</v>
      </c>
      <c r="H308" t="s">
        <v>5615</v>
      </c>
      <c r="I308">
        <v>0</v>
      </c>
      <c r="J308" t="s">
        <v>87</v>
      </c>
      <c r="K308">
        <v>0</v>
      </c>
      <c r="L308">
        <v>0</v>
      </c>
    </row>
    <row r="309" spans="1:12">
      <c r="A309" s="93">
        <v>117706</v>
      </c>
      <c r="B309" t="s">
        <v>918</v>
      </c>
      <c r="C309" t="s">
        <v>5606</v>
      </c>
      <c r="D309" s="92">
        <v>0.33</v>
      </c>
      <c r="E309" s="92">
        <v>0.26</v>
      </c>
      <c r="F309" t="s">
        <v>428</v>
      </c>
      <c r="G309" t="s">
        <v>428</v>
      </c>
      <c r="H309" t="s">
        <v>5615</v>
      </c>
      <c r="I309">
        <v>0</v>
      </c>
      <c r="J309" t="s">
        <v>87</v>
      </c>
      <c r="K309">
        <v>0</v>
      </c>
      <c r="L309">
        <v>0</v>
      </c>
    </row>
    <row r="310" spans="1:12">
      <c r="A310" s="93">
        <v>117715</v>
      </c>
      <c r="B310" t="s">
        <v>919</v>
      </c>
      <c r="C310" t="s">
        <v>5606</v>
      </c>
      <c r="D310" s="92">
        <v>0.18</v>
      </c>
      <c r="E310" s="92">
        <v>0.19</v>
      </c>
      <c r="F310" t="s">
        <v>428</v>
      </c>
      <c r="G310" t="s">
        <v>428</v>
      </c>
      <c r="H310" t="s">
        <v>5615</v>
      </c>
      <c r="I310">
        <v>0</v>
      </c>
      <c r="J310" t="s">
        <v>87</v>
      </c>
      <c r="K310">
        <v>0</v>
      </c>
      <c r="L310">
        <v>0</v>
      </c>
    </row>
    <row r="311" spans="1:12">
      <c r="A311" s="93">
        <v>117724</v>
      </c>
      <c r="B311" t="s">
        <v>920</v>
      </c>
      <c r="C311" t="s">
        <v>5606</v>
      </c>
      <c r="D311" s="92">
        <v>0.28</v>
      </c>
      <c r="E311" s="92">
        <v>0.27</v>
      </c>
      <c r="F311" t="s">
        <v>428</v>
      </c>
      <c r="G311" t="s">
        <v>428</v>
      </c>
      <c r="H311" t="s">
        <v>5615</v>
      </c>
      <c r="I311">
        <v>0</v>
      </c>
      <c r="J311" t="s">
        <v>87</v>
      </c>
      <c r="K311">
        <v>0</v>
      </c>
      <c r="L311">
        <v>0</v>
      </c>
    </row>
    <row r="312" spans="1:12">
      <c r="A312" s="93">
        <v>117733</v>
      </c>
      <c r="B312" t="s">
        <v>921</v>
      </c>
      <c r="C312" t="s">
        <v>5606</v>
      </c>
      <c r="D312" s="92">
        <v>0.28</v>
      </c>
      <c r="E312" s="92">
        <v>0.26</v>
      </c>
      <c r="F312" t="s">
        <v>428</v>
      </c>
      <c r="G312" t="s">
        <v>428</v>
      </c>
      <c r="H312" t="s">
        <v>5615</v>
      </c>
      <c r="I312">
        <v>0</v>
      </c>
      <c r="J312" t="s">
        <v>87</v>
      </c>
      <c r="K312">
        <v>0</v>
      </c>
      <c r="L312">
        <v>0</v>
      </c>
    </row>
    <row r="313" spans="1:12">
      <c r="A313" s="93">
        <v>117751</v>
      </c>
      <c r="B313" t="s">
        <v>922</v>
      </c>
      <c r="C313" t="s">
        <v>5602</v>
      </c>
      <c r="D313" s="92">
        <v>0.67</v>
      </c>
      <c r="E313" s="92">
        <v>0.52</v>
      </c>
      <c r="F313">
        <v>21</v>
      </c>
      <c r="G313">
        <v>24.5</v>
      </c>
      <c r="H313" t="s">
        <v>5617</v>
      </c>
      <c r="I313">
        <v>0</v>
      </c>
      <c r="J313" t="s">
        <v>87</v>
      </c>
      <c r="K313">
        <v>0</v>
      </c>
      <c r="L313">
        <v>0</v>
      </c>
    </row>
    <row r="314" spans="1:12">
      <c r="A314" s="93">
        <v>117788</v>
      </c>
      <c r="B314" t="s">
        <v>923</v>
      </c>
      <c r="C314" t="s">
        <v>5606</v>
      </c>
      <c r="D314" s="92">
        <v>0.23</v>
      </c>
      <c r="E314" s="92">
        <v>0.18</v>
      </c>
      <c r="F314" t="s">
        <v>428</v>
      </c>
      <c r="G314" t="s">
        <v>428</v>
      </c>
      <c r="H314" t="s">
        <v>5615</v>
      </c>
      <c r="I314">
        <v>0</v>
      </c>
      <c r="J314" t="s">
        <v>87</v>
      </c>
      <c r="K314">
        <v>0</v>
      </c>
      <c r="L314">
        <v>0</v>
      </c>
    </row>
    <row r="315" spans="1:12">
      <c r="A315" s="93">
        <v>117803</v>
      </c>
      <c r="B315" t="s">
        <v>924</v>
      </c>
      <c r="C315" t="s">
        <v>5606</v>
      </c>
      <c r="D315" s="92" t="s">
        <v>428</v>
      </c>
      <c r="E315" s="92" t="s">
        <v>428</v>
      </c>
      <c r="F315" t="s">
        <v>428</v>
      </c>
      <c r="G315" t="s">
        <v>428</v>
      </c>
      <c r="H315" t="s">
        <v>5615</v>
      </c>
      <c r="I315">
        <v>0</v>
      </c>
      <c r="J315" t="s">
        <v>87</v>
      </c>
      <c r="K315">
        <v>0</v>
      </c>
      <c r="L315">
        <v>0</v>
      </c>
    </row>
    <row r="316" spans="1:12">
      <c r="A316" s="93">
        <v>117867</v>
      </c>
      <c r="B316" t="s">
        <v>925</v>
      </c>
      <c r="C316" t="s">
        <v>5606</v>
      </c>
      <c r="D316" s="92">
        <v>0.2</v>
      </c>
      <c r="E316" s="92">
        <v>0.18</v>
      </c>
      <c r="F316" t="s">
        <v>428</v>
      </c>
      <c r="G316" t="s">
        <v>428</v>
      </c>
      <c r="H316" t="s">
        <v>5615</v>
      </c>
      <c r="I316">
        <v>0</v>
      </c>
      <c r="J316" t="s">
        <v>87</v>
      </c>
      <c r="K316">
        <v>0</v>
      </c>
      <c r="L316">
        <v>0</v>
      </c>
    </row>
    <row r="317" spans="1:12">
      <c r="A317" s="93">
        <v>117894</v>
      </c>
      <c r="B317" t="s">
        <v>926</v>
      </c>
      <c r="C317" t="s">
        <v>5606</v>
      </c>
      <c r="D317" s="92">
        <v>0.37</v>
      </c>
      <c r="E317" s="92">
        <v>0.31</v>
      </c>
      <c r="F317" t="s">
        <v>428</v>
      </c>
      <c r="G317" t="s">
        <v>428</v>
      </c>
      <c r="H317" t="s">
        <v>5615</v>
      </c>
      <c r="I317">
        <v>0</v>
      </c>
      <c r="J317" t="s">
        <v>87</v>
      </c>
      <c r="K317">
        <v>0</v>
      </c>
      <c r="L317">
        <v>0</v>
      </c>
    </row>
    <row r="318" spans="1:12">
      <c r="A318" s="93">
        <v>117928</v>
      </c>
      <c r="B318" t="s">
        <v>927</v>
      </c>
      <c r="C318" t="s">
        <v>5604</v>
      </c>
      <c r="D318" s="92">
        <v>0.32</v>
      </c>
      <c r="E318" s="92">
        <v>0.33</v>
      </c>
      <c r="F318" t="s">
        <v>428</v>
      </c>
      <c r="G318" t="s">
        <v>428</v>
      </c>
      <c r="H318" t="s">
        <v>5617</v>
      </c>
      <c r="I318">
        <v>0</v>
      </c>
      <c r="J318" t="s">
        <v>87</v>
      </c>
      <c r="K318">
        <v>0</v>
      </c>
      <c r="L318">
        <v>0</v>
      </c>
    </row>
    <row r="319" spans="1:12">
      <c r="A319" s="93">
        <v>117946</v>
      </c>
      <c r="B319" t="s">
        <v>499</v>
      </c>
      <c r="C319" t="s">
        <v>5605</v>
      </c>
      <c r="D319" s="92">
        <v>0.83</v>
      </c>
      <c r="E319" s="92">
        <v>0.82</v>
      </c>
      <c r="F319">
        <v>26</v>
      </c>
      <c r="G319">
        <v>28</v>
      </c>
      <c r="H319" t="s">
        <v>5617</v>
      </c>
      <c r="I319">
        <v>0</v>
      </c>
      <c r="J319" t="s">
        <v>87</v>
      </c>
      <c r="K319">
        <v>0</v>
      </c>
      <c r="L319">
        <v>0</v>
      </c>
    </row>
    <row r="320" spans="1:12">
      <c r="A320" s="93">
        <v>118198</v>
      </c>
      <c r="B320" t="s">
        <v>928</v>
      </c>
      <c r="C320" t="s">
        <v>5609</v>
      </c>
      <c r="D320" s="92" t="s">
        <v>428</v>
      </c>
      <c r="E320" s="92" t="s">
        <v>428</v>
      </c>
      <c r="F320" t="s">
        <v>428</v>
      </c>
      <c r="G320" t="s">
        <v>428</v>
      </c>
      <c r="H320" t="s">
        <v>5617</v>
      </c>
      <c r="I320">
        <v>0</v>
      </c>
      <c r="J320" t="s">
        <v>87</v>
      </c>
      <c r="K320">
        <v>0</v>
      </c>
      <c r="L320">
        <v>0</v>
      </c>
    </row>
    <row r="321" spans="1:12">
      <c r="A321" s="93">
        <v>118259</v>
      </c>
      <c r="B321" t="s">
        <v>929</v>
      </c>
      <c r="C321" t="s">
        <v>5606</v>
      </c>
      <c r="D321" s="92" t="s">
        <v>428</v>
      </c>
      <c r="E321" s="92" t="s">
        <v>428</v>
      </c>
      <c r="F321" t="s">
        <v>428</v>
      </c>
      <c r="G321" t="s">
        <v>428</v>
      </c>
      <c r="H321" t="s">
        <v>5617</v>
      </c>
      <c r="I321">
        <v>0</v>
      </c>
      <c r="J321" t="s">
        <v>87</v>
      </c>
      <c r="K321">
        <v>0</v>
      </c>
      <c r="L321">
        <v>0</v>
      </c>
    </row>
    <row r="322" spans="1:12">
      <c r="A322" s="93">
        <v>118277</v>
      </c>
      <c r="B322" t="s">
        <v>930</v>
      </c>
      <c r="C322" t="s">
        <v>5606</v>
      </c>
      <c r="D322" s="92" t="s">
        <v>428</v>
      </c>
      <c r="E322" s="92" t="s">
        <v>428</v>
      </c>
      <c r="F322" t="s">
        <v>428</v>
      </c>
      <c r="G322" t="s">
        <v>428</v>
      </c>
      <c r="H322" t="s">
        <v>5617</v>
      </c>
      <c r="I322">
        <v>0</v>
      </c>
      <c r="J322" t="s">
        <v>87</v>
      </c>
      <c r="K322">
        <v>0</v>
      </c>
      <c r="L322">
        <v>0</v>
      </c>
    </row>
    <row r="323" spans="1:12">
      <c r="A323" s="93">
        <v>118286</v>
      </c>
      <c r="B323" t="s">
        <v>931</v>
      </c>
      <c r="C323" t="s">
        <v>5606</v>
      </c>
      <c r="D323" s="92" t="s">
        <v>428</v>
      </c>
      <c r="E323" s="92" t="s">
        <v>428</v>
      </c>
      <c r="F323" t="s">
        <v>428</v>
      </c>
      <c r="G323" t="s">
        <v>428</v>
      </c>
      <c r="H323" t="s">
        <v>5617</v>
      </c>
      <c r="I323">
        <v>0</v>
      </c>
      <c r="J323" t="s">
        <v>87</v>
      </c>
      <c r="K323">
        <v>0</v>
      </c>
      <c r="L323">
        <v>0</v>
      </c>
    </row>
    <row r="324" spans="1:12">
      <c r="A324" s="93">
        <v>118347</v>
      </c>
      <c r="B324" t="s">
        <v>932</v>
      </c>
      <c r="C324" t="s">
        <v>5606</v>
      </c>
      <c r="D324" s="92">
        <v>0.31</v>
      </c>
      <c r="E324" s="92">
        <v>0.2</v>
      </c>
      <c r="F324" t="s">
        <v>428</v>
      </c>
      <c r="G324" t="s">
        <v>428</v>
      </c>
      <c r="H324" t="s">
        <v>5615</v>
      </c>
      <c r="I324">
        <v>0</v>
      </c>
      <c r="J324" t="s">
        <v>87</v>
      </c>
      <c r="K324">
        <v>0</v>
      </c>
      <c r="L324">
        <v>0</v>
      </c>
    </row>
    <row r="325" spans="1:12">
      <c r="A325" s="93">
        <v>118541</v>
      </c>
      <c r="B325" t="s">
        <v>933</v>
      </c>
      <c r="C325" t="s">
        <v>5604</v>
      </c>
      <c r="D325" s="92">
        <v>0.19</v>
      </c>
      <c r="E325" s="92">
        <v>0.22</v>
      </c>
      <c r="F325" t="s">
        <v>428</v>
      </c>
      <c r="G325" t="s">
        <v>428</v>
      </c>
      <c r="H325" t="s">
        <v>5617</v>
      </c>
      <c r="I325">
        <v>0</v>
      </c>
      <c r="J325" t="s">
        <v>87</v>
      </c>
      <c r="K325">
        <v>0</v>
      </c>
      <c r="L325">
        <v>0</v>
      </c>
    </row>
    <row r="326" spans="1:12">
      <c r="A326" s="93">
        <v>118684</v>
      </c>
      <c r="B326" t="s">
        <v>934</v>
      </c>
      <c r="C326" t="s">
        <v>5606</v>
      </c>
      <c r="D326" s="92">
        <v>0.28</v>
      </c>
      <c r="E326" s="92">
        <v>0.27</v>
      </c>
      <c r="F326" t="s">
        <v>428</v>
      </c>
      <c r="G326" t="s">
        <v>428</v>
      </c>
      <c r="H326" t="s">
        <v>5615</v>
      </c>
      <c r="I326">
        <v>0</v>
      </c>
      <c r="J326" t="s">
        <v>87</v>
      </c>
      <c r="K326">
        <v>0</v>
      </c>
      <c r="L326">
        <v>0</v>
      </c>
    </row>
    <row r="327" spans="1:12">
      <c r="A327" s="93">
        <v>118693</v>
      </c>
      <c r="B327" t="s">
        <v>935</v>
      </c>
      <c r="C327" t="s">
        <v>5608</v>
      </c>
      <c r="D327" s="92">
        <v>0.46</v>
      </c>
      <c r="E327" s="92">
        <v>0.54</v>
      </c>
      <c r="F327">
        <v>18</v>
      </c>
      <c r="G327">
        <v>22</v>
      </c>
      <c r="H327" t="s">
        <v>5617</v>
      </c>
      <c r="I327">
        <v>0</v>
      </c>
      <c r="J327" t="s">
        <v>87</v>
      </c>
      <c r="K327">
        <v>0</v>
      </c>
      <c r="L327">
        <v>0</v>
      </c>
    </row>
    <row r="328" spans="1:12">
      <c r="A328" s="93">
        <v>118718</v>
      </c>
      <c r="B328" t="s">
        <v>936</v>
      </c>
      <c r="C328" t="s">
        <v>5606</v>
      </c>
      <c r="D328" s="92">
        <v>0.25</v>
      </c>
      <c r="E328" s="92">
        <v>0.21</v>
      </c>
      <c r="F328" t="s">
        <v>428</v>
      </c>
      <c r="G328" t="s">
        <v>428</v>
      </c>
      <c r="H328" t="s">
        <v>5615</v>
      </c>
      <c r="I328">
        <v>0</v>
      </c>
      <c r="J328" t="s">
        <v>87</v>
      </c>
      <c r="K328">
        <v>0</v>
      </c>
      <c r="L328">
        <v>0</v>
      </c>
    </row>
    <row r="329" spans="1:12">
      <c r="A329" s="93">
        <v>118772</v>
      </c>
      <c r="B329" t="s">
        <v>937</v>
      </c>
      <c r="C329" t="s">
        <v>5606</v>
      </c>
      <c r="D329" s="92">
        <v>0.2</v>
      </c>
      <c r="E329" s="92">
        <v>0.17</v>
      </c>
      <c r="F329" t="s">
        <v>428</v>
      </c>
      <c r="G329" t="s">
        <v>428</v>
      </c>
      <c r="H329" t="s">
        <v>5615</v>
      </c>
      <c r="I329">
        <v>0</v>
      </c>
      <c r="J329" t="s">
        <v>87</v>
      </c>
      <c r="K329">
        <v>0</v>
      </c>
      <c r="L329">
        <v>0</v>
      </c>
    </row>
    <row r="330" spans="1:12">
      <c r="A330" s="93">
        <v>118888</v>
      </c>
      <c r="B330" t="s">
        <v>938</v>
      </c>
      <c r="C330" t="s">
        <v>5603</v>
      </c>
      <c r="D330" s="92">
        <v>0.67</v>
      </c>
      <c r="E330" s="92">
        <v>0.6899999999999999</v>
      </c>
      <c r="F330">
        <v>23</v>
      </c>
      <c r="G330">
        <v>26</v>
      </c>
      <c r="H330" t="s">
        <v>5617</v>
      </c>
      <c r="I330">
        <v>0</v>
      </c>
      <c r="J330" t="s">
        <v>87</v>
      </c>
      <c r="K330">
        <v>0</v>
      </c>
      <c r="L330">
        <v>0</v>
      </c>
    </row>
    <row r="331" spans="1:12">
      <c r="A331" s="93">
        <v>118912</v>
      </c>
      <c r="B331" t="s">
        <v>939</v>
      </c>
      <c r="C331" t="s">
        <v>5604</v>
      </c>
      <c r="D331" s="92">
        <v>0.33</v>
      </c>
      <c r="E331" s="92">
        <v>0.28</v>
      </c>
      <c r="F331" t="s">
        <v>428</v>
      </c>
      <c r="G331" t="s">
        <v>428</v>
      </c>
      <c r="H331" t="s">
        <v>5615</v>
      </c>
      <c r="I331">
        <v>0</v>
      </c>
      <c r="J331" t="s">
        <v>87</v>
      </c>
      <c r="K331">
        <v>0</v>
      </c>
      <c r="L331">
        <v>0</v>
      </c>
    </row>
    <row r="332" spans="1:12">
      <c r="A332" s="93">
        <v>118930</v>
      </c>
      <c r="B332" t="s">
        <v>940</v>
      </c>
      <c r="C332" t="s">
        <v>5606</v>
      </c>
      <c r="D332" s="92">
        <v>0.32</v>
      </c>
      <c r="E332" s="92">
        <v>0.29</v>
      </c>
      <c r="F332" t="s">
        <v>428</v>
      </c>
      <c r="G332" t="s">
        <v>428</v>
      </c>
      <c r="H332" t="s">
        <v>5615</v>
      </c>
      <c r="I332">
        <v>0</v>
      </c>
      <c r="J332" t="s">
        <v>87</v>
      </c>
      <c r="K332">
        <v>0</v>
      </c>
      <c r="L332">
        <v>0</v>
      </c>
    </row>
    <row r="333" spans="1:12">
      <c r="A333" s="93">
        <v>118967</v>
      </c>
      <c r="B333" t="s">
        <v>941</v>
      </c>
      <c r="C333" t="s">
        <v>5606</v>
      </c>
      <c r="D333" s="92" t="s">
        <v>428</v>
      </c>
      <c r="E333" s="92" t="s">
        <v>428</v>
      </c>
      <c r="F333" t="s">
        <v>428</v>
      </c>
      <c r="G333" t="s">
        <v>428</v>
      </c>
      <c r="H333" t="s">
        <v>5617</v>
      </c>
      <c r="I333">
        <v>0</v>
      </c>
      <c r="J333" t="s">
        <v>87</v>
      </c>
      <c r="K333">
        <v>0</v>
      </c>
      <c r="L333">
        <v>0</v>
      </c>
    </row>
    <row r="334" spans="1:12">
      <c r="A334" s="93">
        <v>118976</v>
      </c>
      <c r="B334" t="s">
        <v>942</v>
      </c>
      <c r="C334" t="s">
        <v>5604</v>
      </c>
      <c r="D334" s="92">
        <v>0.24</v>
      </c>
      <c r="E334" s="92">
        <v>0.21</v>
      </c>
      <c r="F334" t="s">
        <v>428</v>
      </c>
      <c r="G334" t="s">
        <v>428</v>
      </c>
      <c r="H334" t="s">
        <v>5615</v>
      </c>
      <c r="I334">
        <v>0</v>
      </c>
      <c r="J334" t="s">
        <v>87</v>
      </c>
      <c r="K334">
        <v>0</v>
      </c>
      <c r="L334">
        <v>0</v>
      </c>
    </row>
    <row r="335" spans="1:12">
      <c r="A335" s="93">
        <v>119058</v>
      </c>
      <c r="B335" t="s">
        <v>943</v>
      </c>
      <c r="C335" t="s">
        <v>5607</v>
      </c>
      <c r="D335" s="92" t="s">
        <v>428</v>
      </c>
      <c r="E335" s="92" t="s">
        <v>428</v>
      </c>
      <c r="F335" t="s">
        <v>428</v>
      </c>
      <c r="G335" t="s">
        <v>428</v>
      </c>
      <c r="H335" t="s">
        <v>5615</v>
      </c>
      <c r="I335">
        <v>0</v>
      </c>
      <c r="J335" t="s">
        <v>87</v>
      </c>
      <c r="K335">
        <v>0</v>
      </c>
      <c r="L335">
        <v>0</v>
      </c>
    </row>
    <row r="336" spans="1:12">
      <c r="A336" s="93">
        <v>119067</v>
      </c>
      <c r="B336" t="s">
        <v>944</v>
      </c>
      <c r="C336" t="s">
        <v>5606</v>
      </c>
      <c r="D336" s="92">
        <v>0.35</v>
      </c>
      <c r="E336" s="92">
        <v>0.3</v>
      </c>
      <c r="F336" t="s">
        <v>428</v>
      </c>
      <c r="G336" t="s">
        <v>428</v>
      </c>
      <c r="H336" t="s">
        <v>5615</v>
      </c>
      <c r="I336">
        <v>0</v>
      </c>
      <c r="J336" t="s">
        <v>87</v>
      </c>
      <c r="K336">
        <v>0</v>
      </c>
      <c r="L336">
        <v>0</v>
      </c>
    </row>
    <row r="337" spans="1:12">
      <c r="A337" s="93">
        <v>119137</v>
      </c>
      <c r="B337" t="s">
        <v>945</v>
      </c>
      <c r="C337" t="s">
        <v>5606</v>
      </c>
      <c r="D337" s="92">
        <v>0.43</v>
      </c>
      <c r="E337" s="92">
        <v>0.37</v>
      </c>
      <c r="F337" t="s">
        <v>428</v>
      </c>
      <c r="G337" t="s">
        <v>428</v>
      </c>
      <c r="H337" t="s">
        <v>5615</v>
      </c>
      <c r="I337">
        <v>0</v>
      </c>
      <c r="J337" t="s">
        <v>87</v>
      </c>
      <c r="K337">
        <v>0</v>
      </c>
      <c r="L337">
        <v>0</v>
      </c>
    </row>
    <row r="338" spans="1:12">
      <c r="A338" s="93">
        <v>119164</v>
      </c>
      <c r="B338" t="s">
        <v>946</v>
      </c>
      <c r="C338" t="s">
        <v>5606</v>
      </c>
      <c r="D338" s="92">
        <v>0.33</v>
      </c>
      <c r="E338" s="92">
        <v>0.25</v>
      </c>
      <c r="F338" t="s">
        <v>428</v>
      </c>
      <c r="G338" t="s">
        <v>428</v>
      </c>
      <c r="H338" t="s">
        <v>5615</v>
      </c>
      <c r="I338">
        <v>0</v>
      </c>
      <c r="J338" t="s">
        <v>87</v>
      </c>
      <c r="K338">
        <v>0</v>
      </c>
      <c r="L338">
        <v>0</v>
      </c>
    </row>
    <row r="339" spans="1:12">
      <c r="A339" s="93">
        <v>119173</v>
      </c>
      <c r="B339" t="s">
        <v>947</v>
      </c>
      <c r="C339" t="s">
        <v>5603</v>
      </c>
      <c r="D339" s="92">
        <v>0.65</v>
      </c>
      <c r="E339" s="92">
        <v>0.66</v>
      </c>
      <c r="F339">
        <v>17</v>
      </c>
      <c r="G339">
        <v>19.5</v>
      </c>
      <c r="H339" t="s">
        <v>5617</v>
      </c>
      <c r="I339">
        <v>0</v>
      </c>
      <c r="J339" t="s">
        <v>87</v>
      </c>
      <c r="K339">
        <v>0</v>
      </c>
      <c r="L339">
        <v>0</v>
      </c>
    </row>
    <row r="340" spans="1:12">
      <c r="A340" s="93">
        <v>119216</v>
      </c>
      <c r="B340" t="s">
        <v>948</v>
      </c>
      <c r="C340" t="s">
        <v>5606</v>
      </c>
      <c r="D340" s="92">
        <v>0.29</v>
      </c>
      <c r="E340" s="92">
        <v>0.26</v>
      </c>
      <c r="F340" t="s">
        <v>428</v>
      </c>
      <c r="G340" t="s">
        <v>428</v>
      </c>
      <c r="H340" t="s">
        <v>5615</v>
      </c>
      <c r="I340">
        <v>0</v>
      </c>
      <c r="J340" t="s">
        <v>87</v>
      </c>
      <c r="K340">
        <v>0</v>
      </c>
      <c r="L340">
        <v>0</v>
      </c>
    </row>
    <row r="341" spans="1:12">
      <c r="A341" s="93">
        <v>119270</v>
      </c>
      <c r="B341" t="s">
        <v>949</v>
      </c>
      <c r="C341" t="s">
        <v>5607</v>
      </c>
      <c r="D341" s="92">
        <v>0.45</v>
      </c>
      <c r="E341" s="92">
        <v>0.5</v>
      </c>
      <c r="F341" t="s">
        <v>428</v>
      </c>
      <c r="G341" t="s">
        <v>428</v>
      </c>
      <c r="H341" t="s">
        <v>5617</v>
      </c>
      <c r="I341">
        <v>0</v>
      </c>
      <c r="J341" t="s">
        <v>87</v>
      </c>
      <c r="K341">
        <v>0</v>
      </c>
      <c r="L341">
        <v>0</v>
      </c>
    </row>
    <row r="342" spans="1:12">
      <c r="A342" s="93">
        <v>119331</v>
      </c>
      <c r="B342" t="s">
        <v>950</v>
      </c>
      <c r="C342" t="s">
        <v>5606</v>
      </c>
      <c r="D342" s="92">
        <v>0.4</v>
      </c>
      <c r="E342" s="92">
        <v>0.37</v>
      </c>
      <c r="F342" t="s">
        <v>428</v>
      </c>
      <c r="G342" t="s">
        <v>428</v>
      </c>
      <c r="H342" t="s">
        <v>5615</v>
      </c>
      <c r="I342">
        <v>0</v>
      </c>
      <c r="J342" t="s">
        <v>87</v>
      </c>
      <c r="K342">
        <v>0</v>
      </c>
      <c r="L342">
        <v>0</v>
      </c>
    </row>
    <row r="343" spans="1:12">
      <c r="A343" s="93">
        <v>119605</v>
      </c>
      <c r="B343" t="s">
        <v>951</v>
      </c>
      <c r="C343" t="s">
        <v>5608</v>
      </c>
      <c r="D343" s="92">
        <v>0.4</v>
      </c>
      <c r="E343" s="92">
        <v>0.24</v>
      </c>
      <c r="F343" t="s">
        <v>428</v>
      </c>
      <c r="G343" t="s">
        <v>428</v>
      </c>
      <c r="H343" t="s">
        <v>5617</v>
      </c>
      <c r="I343">
        <v>0</v>
      </c>
      <c r="J343" t="s">
        <v>87</v>
      </c>
      <c r="K343">
        <v>0</v>
      </c>
      <c r="L343">
        <v>0</v>
      </c>
    </row>
    <row r="344" spans="1:12">
      <c r="A344" s="93">
        <v>119678</v>
      </c>
      <c r="B344" t="s">
        <v>952</v>
      </c>
      <c r="C344" t="s">
        <v>5607</v>
      </c>
      <c r="D344" s="92" t="s">
        <v>428</v>
      </c>
      <c r="E344" s="92" t="s">
        <v>428</v>
      </c>
      <c r="F344" t="s">
        <v>428</v>
      </c>
      <c r="G344" t="s">
        <v>428</v>
      </c>
      <c r="H344" t="s">
        <v>5615</v>
      </c>
      <c r="I344">
        <v>0</v>
      </c>
      <c r="J344" t="s">
        <v>87</v>
      </c>
      <c r="K344">
        <v>0</v>
      </c>
      <c r="L344">
        <v>0</v>
      </c>
    </row>
    <row r="345" spans="1:12">
      <c r="A345" s="93">
        <v>119775</v>
      </c>
      <c r="B345" t="s">
        <v>953</v>
      </c>
      <c r="C345" t="s">
        <v>5607</v>
      </c>
      <c r="D345" s="92">
        <v>0.34</v>
      </c>
      <c r="E345" s="92">
        <v>0.32</v>
      </c>
      <c r="F345" t="s">
        <v>428</v>
      </c>
      <c r="G345" t="s">
        <v>428</v>
      </c>
      <c r="H345" t="s">
        <v>5617</v>
      </c>
      <c r="I345">
        <v>0</v>
      </c>
      <c r="J345" t="s">
        <v>87</v>
      </c>
      <c r="K345">
        <v>0</v>
      </c>
      <c r="L345">
        <v>0</v>
      </c>
    </row>
    <row r="346" spans="1:12">
      <c r="A346" s="93">
        <v>120078</v>
      </c>
      <c r="B346" t="s">
        <v>954</v>
      </c>
      <c r="C346" t="s">
        <v>5606</v>
      </c>
      <c r="D346" s="92" t="s">
        <v>428</v>
      </c>
      <c r="E346" s="92" t="s">
        <v>428</v>
      </c>
      <c r="F346" t="s">
        <v>428</v>
      </c>
      <c r="G346" t="s">
        <v>428</v>
      </c>
      <c r="H346" t="s">
        <v>5617</v>
      </c>
      <c r="I346">
        <v>0</v>
      </c>
      <c r="J346" t="s">
        <v>87</v>
      </c>
      <c r="K346">
        <v>0</v>
      </c>
      <c r="L346">
        <v>0</v>
      </c>
    </row>
    <row r="347" spans="1:12">
      <c r="A347" s="93">
        <v>120184</v>
      </c>
      <c r="B347" t="s">
        <v>955</v>
      </c>
      <c r="C347" t="s">
        <v>5608</v>
      </c>
      <c r="D347" s="92">
        <v>0.49</v>
      </c>
      <c r="E347" s="92">
        <v>0.46</v>
      </c>
      <c r="F347">
        <v>17</v>
      </c>
      <c r="G347">
        <v>19.5</v>
      </c>
      <c r="H347" t="s">
        <v>5617</v>
      </c>
      <c r="I347">
        <v>0</v>
      </c>
      <c r="J347" t="s">
        <v>87</v>
      </c>
      <c r="K347">
        <v>0</v>
      </c>
      <c r="L347">
        <v>0</v>
      </c>
    </row>
    <row r="348" spans="1:12">
      <c r="A348" s="93">
        <v>120254</v>
      </c>
      <c r="B348" t="s">
        <v>506</v>
      </c>
      <c r="C348" t="s">
        <v>5612</v>
      </c>
      <c r="D348" s="92">
        <v>0.84</v>
      </c>
      <c r="E348" s="92">
        <v>0.87</v>
      </c>
      <c r="F348">
        <v>28</v>
      </c>
      <c r="G348">
        <v>29.5</v>
      </c>
      <c r="H348" t="s">
        <v>5619</v>
      </c>
      <c r="I348">
        <v>1</v>
      </c>
      <c r="J348" t="s">
        <v>87</v>
      </c>
      <c r="K348">
        <v>0</v>
      </c>
      <c r="L348">
        <v>0</v>
      </c>
    </row>
    <row r="349" spans="1:12">
      <c r="A349" s="93">
        <v>120290</v>
      </c>
      <c r="B349" t="s">
        <v>956</v>
      </c>
      <c r="C349" t="s">
        <v>5606</v>
      </c>
      <c r="D349" s="92">
        <v>0.44</v>
      </c>
      <c r="E349" s="92">
        <v>0.35</v>
      </c>
      <c r="F349" t="s">
        <v>428</v>
      </c>
      <c r="G349" t="s">
        <v>428</v>
      </c>
      <c r="H349" t="s">
        <v>5615</v>
      </c>
      <c r="I349">
        <v>0</v>
      </c>
      <c r="J349" t="s">
        <v>87</v>
      </c>
      <c r="K349">
        <v>0</v>
      </c>
      <c r="L349">
        <v>0</v>
      </c>
    </row>
    <row r="350" spans="1:12">
      <c r="A350" s="93">
        <v>120342</v>
      </c>
      <c r="B350" t="s">
        <v>957</v>
      </c>
      <c r="C350" t="s">
        <v>5606</v>
      </c>
      <c r="D350" s="92">
        <v>0.46</v>
      </c>
      <c r="E350" s="92">
        <v>0.37</v>
      </c>
      <c r="F350" t="s">
        <v>428</v>
      </c>
      <c r="G350" t="s">
        <v>428</v>
      </c>
      <c r="H350" t="s">
        <v>5615</v>
      </c>
      <c r="I350">
        <v>0</v>
      </c>
      <c r="J350" t="s">
        <v>87</v>
      </c>
      <c r="K350">
        <v>0</v>
      </c>
      <c r="L350">
        <v>0</v>
      </c>
    </row>
    <row r="351" spans="1:12">
      <c r="A351" s="93">
        <v>120403</v>
      </c>
      <c r="B351" t="s">
        <v>958</v>
      </c>
      <c r="C351" t="s">
        <v>5610</v>
      </c>
      <c r="D351" s="92">
        <v>0.65</v>
      </c>
      <c r="E351" s="92">
        <v>0.62</v>
      </c>
      <c r="F351" t="s">
        <v>428</v>
      </c>
      <c r="G351" t="s">
        <v>428</v>
      </c>
      <c r="H351" t="s">
        <v>5617</v>
      </c>
      <c r="I351">
        <v>0</v>
      </c>
      <c r="J351" t="s">
        <v>87</v>
      </c>
      <c r="K351">
        <v>0</v>
      </c>
      <c r="L351">
        <v>0</v>
      </c>
    </row>
    <row r="352" spans="1:12">
      <c r="A352" s="93">
        <v>120421</v>
      </c>
      <c r="B352" t="s">
        <v>959</v>
      </c>
      <c r="C352" t="s">
        <v>5606</v>
      </c>
      <c r="D352" s="92">
        <v>0.28</v>
      </c>
      <c r="E352" s="92">
        <v>0.26</v>
      </c>
      <c r="F352" t="s">
        <v>428</v>
      </c>
      <c r="G352" t="s">
        <v>428</v>
      </c>
      <c r="H352" t="s">
        <v>5615</v>
      </c>
      <c r="I352">
        <v>0</v>
      </c>
      <c r="J352" t="s">
        <v>87</v>
      </c>
      <c r="K352">
        <v>0</v>
      </c>
      <c r="L352">
        <v>0</v>
      </c>
    </row>
    <row r="353" spans="1:12">
      <c r="A353" s="93">
        <v>120537</v>
      </c>
      <c r="B353" t="s">
        <v>960</v>
      </c>
      <c r="C353" t="s">
        <v>5602</v>
      </c>
      <c r="D353" s="92">
        <v>0.45</v>
      </c>
      <c r="E353" s="92">
        <v>0.51</v>
      </c>
      <c r="F353">
        <v>18</v>
      </c>
      <c r="G353">
        <v>20.5</v>
      </c>
      <c r="H353" t="s">
        <v>5617</v>
      </c>
      <c r="I353">
        <v>0</v>
      </c>
      <c r="J353" t="s">
        <v>87</v>
      </c>
      <c r="K353">
        <v>0</v>
      </c>
      <c r="L353">
        <v>0</v>
      </c>
    </row>
    <row r="354" spans="1:12">
      <c r="A354" s="93">
        <v>120661</v>
      </c>
      <c r="B354" t="s">
        <v>961</v>
      </c>
      <c r="C354" t="s">
        <v>5606</v>
      </c>
      <c r="D354" s="92" t="s">
        <v>428</v>
      </c>
      <c r="E354" s="92" t="s">
        <v>428</v>
      </c>
      <c r="F354" t="s">
        <v>428</v>
      </c>
      <c r="G354" t="s">
        <v>428</v>
      </c>
      <c r="H354" t="s">
        <v>5617</v>
      </c>
      <c r="I354">
        <v>0</v>
      </c>
      <c r="J354" t="s">
        <v>87</v>
      </c>
      <c r="K354">
        <v>0</v>
      </c>
      <c r="L354">
        <v>0</v>
      </c>
    </row>
    <row r="355" spans="1:12">
      <c r="A355" s="93">
        <v>120698</v>
      </c>
      <c r="B355" t="s">
        <v>962</v>
      </c>
      <c r="C355" t="s">
        <v>5607</v>
      </c>
      <c r="D355" s="92" t="s">
        <v>428</v>
      </c>
      <c r="E355" s="92" t="s">
        <v>428</v>
      </c>
      <c r="F355" t="s">
        <v>428</v>
      </c>
      <c r="G355" t="s">
        <v>428</v>
      </c>
      <c r="H355" t="s">
        <v>5615</v>
      </c>
      <c r="I355">
        <v>0</v>
      </c>
      <c r="J355" t="s">
        <v>87</v>
      </c>
      <c r="K355">
        <v>0</v>
      </c>
      <c r="L355">
        <v>0</v>
      </c>
    </row>
    <row r="356" spans="1:12">
      <c r="A356" s="93">
        <v>120768</v>
      </c>
      <c r="B356" t="s">
        <v>963</v>
      </c>
      <c r="C356" t="s">
        <v>5607</v>
      </c>
      <c r="D356" s="92" t="s">
        <v>428</v>
      </c>
      <c r="E356" s="92" t="s">
        <v>428</v>
      </c>
      <c r="F356" t="s">
        <v>428</v>
      </c>
      <c r="G356" t="s">
        <v>428</v>
      </c>
      <c r="H356" t="s">
        <v>5615</v>
      </c>
      <c r="I356">
        <v>0</v>
      </c>
      <c r="J356" t="s">
        <v>87</v>
      </c>
      <c r="K356">
        <v>0</v>
      </c>
      <c r="L356">
        <v>0</v>
      </c>
    </row>
    <row r="357" spans="1:12">
      <c r="A357" s="93">
        <v>120795</v>
      </c>
      <c r="B357" t="s">
        <v>964</v>
      </c>
      <c r="C357" t="s">
        <v>5607</v>
      </c>
      <c r="D357" s="92" t="s">
        <v>428</v>
      </c>
      <c r="E357" s="92" t="s">
        <v>428</v>
      </c>
      <c r="F357" t="s">
        <v>428</v>
      </c>
      <c r="G357" t="s">
        <v>428</v>
      </c>
      <c r="H357" t="s">
        <v>5615</v>
      </c>
      <c r="I357">
        <v>0</v>
      </c>
      <c r="J357" t="s">
        <v>87</v>
      </c>
      <c r="K357">
        <v>0</v>
      </c>
      <c r="L357">
        <v>0</v>
      </c>
    </row>
    <row r="358" spans="1:12">
      <c r="A358" s="93">
        <v>120838</v>
      </c>
      <c r="B358" t="s">
        <v>965</v>
      </c>
      <c r="C358" t="s">
        <v>5604</v>
      </c>
      <c r="D358" s="92" t="s">
        <v>428</v>
      </c>
      <c r="E358" s="92" t="s">
        <v>428</v>
      </c>
      <c r="F358" t="s">
        <v>428</v>
      </c>
      <c r="G358" t="s">
        <v>428</v>
      </c>
      <c r="H358" t="s">
        <v>5617</v>
      </c>
      <c r="I358">
        <v>0</v>
      </c>
      <c r="J358" t="s">
        <v>87</v>
      </c>
      <c r="K358">
        <v>0</v>
      </c>
      <c r="L358">
        <v>0</v>
      </c>
    </row>
    <row r="359" spans="1:12">
      <c r="A359" s="93">
        <v>120865</v>
      </c>
      <c r="B359" t="s">
        <v>966</v>
      </c>
      <c r="C359" t="s">
        <v>5603</v>
      </c>
      <c r="D359" s="92">
        <v>0.46</v>
      </c>
      <c r="E359" s="92">
        <v>0.33</v>
      </c>
      <c r="F359">
        <v>17</v>
      </c>
      <c r="G359">
        <v>21</v>
      </c>
      <c r="H359" t="s">
        <v>5617</v>
      </c>
      <c r="I359">
        <v>0</v>
      </c>
      <c r="J359" t="s">
        <v>87</v>
      </c>
      <c r="K359">
        <v>0</v>
      </c>
      <c r="L359">
        <v>0</v>
      </c>
    </row>
    <row r="360" spans="1:12">
      <c r="A360" s="93">
        <v>120883</v>
      </c>
      <c r="B360" t="s">
        <v>967</v>
      </c>
      <c r="C360" t="s">
        <v>5603</v>
      </c>
      <c r="D360" s="92">
        <v>0.6899999999999999</v>
      </c>
      <c r="E360" s="92">
        <v>0.67</v>
      </c>
      <c r="F360">
        <v>23</v>
      </c>
      <c r="G360">
        <v>26.5</v>
      </c>
      <c r="H360" t="s">
        <v>5617</v>
      </c>
      <c r="I360">
        <v>0</v>
      </c>
      <c r="J360" t="s">
        <v>87</v>
      </c>
      <c r="K360">
        <v>0</v>
      </c>
      <c r="L360">
        <v>0</v>
      </c>
    </row>
    <row r="361" spans="1:12">
      <c r="A361" s="93">
        <v>120953</v>
      </c>
      <c r="B361" t="s">
        <v>968</v>
      </c>
      <c r="C361" t="s">
        <v>5606</v>
      </c>
      <c r="D361" s="92">
        <v>0.27</v>
      </c>
      <c r="E361" s="92">
        <v>0.27</v>
      </c>
      <c r="F361" t="s">
        <v>428</v>
      </c>
      <c r="G361" t="s">
        <v>428</v>
      </c>
      <c r="H361" t="s">
        <v>5615</v>
      </c>
      <c r="I361">
        <v>0</v>
      </c>
      <c r="J361" t="s">
        <v>87</v>
      </c>
      <c r="K361">
        <v>0</v>
      </c>
      <c r="L361">
        <v>0</v>
      </c>
    </row>
    <row r="362" spans="1:12">
      <c r="A362" s="93">
        <v>120971</v>
      </c>
      <c r="B362" t="s">
        <v>969</v>
      </c>
      <c r="C362" t="s">
        <v>5606</v>
      </c>
      <c r="D362" s="92">
        <v>0.34</v>
      </c>
      <c r="E362" s="92">
        <v>0.26</v>
      </c>
      <c r="F362" t="s">
        <v>428</v>
      </c>
      <c r="G362" t="s">
        <v>428</v>
      </c>
      <c r="H362" t="s">
        <v>5615</v>
      </c>
      <c r="I362">
        <v>0</v>
      </c>
      <c r="J362" t="s">
        <v>87</v>
      </c>
      <c r="K362">
        <v>0</v>
      </c>
      <c r="L362">
        <v>0</v>
      </c>
    </row>
    <row r="363" spans="1:12">
      <c r="A363" s="93">
        <v>121044</v>
      </c>
      <c r="B363" t="s">
        <v>970</v>
      </c>
      <c r="C363" t="s">
        <v>5606</v>
      </c>
      <c r="D363" s="92">
        <v>0.37</v>
      </c>
      <c r="E363" s="92">
        <v>0.23</v>
      </c>
      <c r="F363" t="s">
        <v>428</v>
      </c>
      <c r="G363" t="s">
        <v>428</v>
      </c>
      <c r="H363" t="s">
        <v>5615</v>
      </c>
      <c r="I363">
        <v>0</v>
      </c>
      <c r="J363" t="s">
        <v>87</v>
      </c>
      <c r="K363">
        <v>0</v>
      </c>
      <c r="L363">
        <v>0</v>
      </c>
    </row>
    <row r="364" spans="1:12">
      <c r="A364" s="93">
        <v>121150</v>
      </c>
      <c r="B364" t="s">
        <v>971</v>
      </c>
      <c r="C364" t="s">
        <v>5605</v>
      </c>
      <c r="D364" s="92">
        <v>0.87</v>
      </c>
      <c r="E364" s="92">
        <v>0.88</v>
      </c>
      <c r="F364">
        <v>26</v>
      </c>
      <c r="G364">
        <v>28.5</v>
      </c>
      <c r="H364" t="s">
        <v>5617</v>
      </c>
      <c r="I364">
        <v>0</v>
      </c>
      <c r="J364" t="s">
        <v>87</v>
      </c>
      <c r="K364">
        <v>0</v>
      </c>
      <c r="L364">
        <v>0</v>
      </c>
    </row>
    <row r="365" spans="1:12">
      <c r="A365" s="93">
        <v>121257</v>
      </c>
      <c r="B365" t="s">
        <v>972</v>
      </c>
      <c r="C365" t="s">
        <v>5611</v>
      </c>
      <c r="D365" s="92">
        <v>0.87</v>
      </c>
      <c r="E365" s="92">
        <v>0.93</v>
      </c>
      <c r="F365" t="s">
        <v>428</v>
      </c>
      <c r="G365" t="s">
        <v>428</v>
      </c>
      <c r="H365" t="s">
        <v>5622</v>
      </c>
      <c r="I365">
        <v>0</v>
      </c>
      <c r="J365" t="s">
        <v>87</v>
      </c>
      <c r="K365">
        <v>0</v>
      </c>
      <c r="L365">
        <v>0</v>
      </c>
    </row>
    <row r="366" spans="1:12">
      <c r="A366" s="93">
        <v>121275</v>
      </c>
      <c r="B366" t="s">
        <v>973</v>
      </c>
      <c r="C366" t="s">
        <v>5604</v>
      </c>
      <c r="D366" s="92" t="s">
        <v>428</v>
      </c>
      <c r="E366" s="92" t="s">
        <v>428</v>
      </c>
      <c r="F366" t="s">
        <v>428</v>
      </c>
      <c r="G366" t="s">
        <v>428</v>
      </c>
      <c r="H366" t="s">
        <v>5617</v>
      </c>
      <c r="I366">
        <v>0</v>
      </c>
      <c r="J366" t="s">
        <v>87</v>
      </c>
      <c r="K366">
        <v>0</v>
      </c>
      <c r="L366">
        <v>0</v>
      </c>
    </row>
    <row r="367" spans="1:12">
      <c r="A367" s="93">
        <v>121309</v>
      </c>
      <c r="B367" t="s">
        <v>974</v>
      </c>
      <c r="C367" t="s">
        <v>5602</v>
      </c>
      <c r="D367" s="92">
        <v>0.73</v>
      </c>
      <c r="E367" s="92">
        <v>0.6899999999999999</v>
      </c>
      <c r="F367">
        <v>23</v>
      </c>
      <c r="G367">
        <v>25.5</v>
      </c>
      <c r="H367" t="s">
        <v>5617</v>
      </c>
      <c r="I367">
        <v>0</v>
      </c>
      <c r="J367" t="s">
        <v>87</v>
      </c>
      <c r="K367">
        <v>0</v>
      </c>
      <c r="L367">
        <v>0</v>
      </c>
    </row>
    <row r="368" spans="1:12">
      <c r="A368" s="93">
        <v>121345</v>
      </c>
      <c r="B368" t="s">
        <v>503</v>
      </c>
      <c r="C368" t="s">
        <v>5611</v>
      </c>
      <c r="D368" s="92">
        <v>0.97</v>
      </c>
      <c r="E368" s="92">
        <v>0.96</v>
      </c>
      <c r="F368">
        <v>31</v>
      </c>
      <c r="G368">
        <v>32.5</v>
      </c>
      <c r="H368" t="s">
        <v>5619</v>
      </c>
      <c r="I368">
        <v>1</v>
      </c>
      <c r="J368" t="s">
        <v>87</v>
      </c>
      <c r="K368">
        <v>0</v>
      </c>
      <c r="L368">
        <v>0</v>
      </c>
    </row>
    <row r="369" spans="1:12">
      <c r="A369" s="93">
        <v>121363</v>
      </c>
      <c r="B369" t="s">
        <v>975</v>
      </c>
      <c r="C369" t="s">
        <v>5606</v>
      </c>
      <c r="D369" s="92">
        <v>0.3</v>
      </c>
      <c r="E369" s="92">
        <v>0.3</v>
      </c>
      <c r="F369" t="s">
        <v>428</v>
      </c>
      <c r="G369" t="s">
        <v>428</v>
      </c>
      <c r="H369" t="s">
        <v>5615</v>
      </c>
      <c r="I369">
        <v>0</v>
      </c>
      <c r="J369" t="s">
        <v>87</v>
      </c>
      <c r="K369">
        <v>0</v>
      </c>
      <c r="L369">
        <v>0</v>
      </c>
    </row>
    <row r="370" spans="1:12">
      <c r="A370" s="93">
        <v>121619</v>
      </c>
      <c r="B370" t="s">
        <v>976</v>
      </c>
      <c r="C370" t="s">
        <v>5604</v>
      </c>
      <c r="D370" s="92">
        <v>0.25</v>
      </c>
      <c r="E370" s="92">
        <v>0.21</v>
      </c>
      <c r="F370" t="s">
        <v>428</v>
      </c>
      <c r="G370" t="s">
        <v>428</v>
      </c>
      <c r="H370" t="s">
        <v>5615</v>
      </c>
      <c r="I370">
        <v>0</v>
      </c>
      <c r="J370" t="s">
        <v>87</v>
      </c>
      <c r="K370">
        <v>0</v>
      </c>
      <c r="L370">
        <v>0</v>
      </c>
    </row>
    <row r="371" spans="1:12">
      <c r="A371" s="93">
        <v>121628</v>
      </c>
      <c r="B371" t="s">
        <v>977</v>
      </c>
      <c r="C371" t="s">
        <v>5607</v>
      </c>
      <c r="D371" s="92" t="s">
        <v>428</v>
      </c>
      <c r="E371" s="92" t="s">
        <v>428</v>
      </c>
      <c r="F371" t="s">
        <v>428</v>
      </c>
      <c r="G371" t="s">
        <v>428</v>
      </c>
      <c r="H371" t="s">
        <v>5615</v>
      </c>
      <c r="I371">
        <v>0</v>
      </c>
      <c r="J371" t="s">
        <v>87</v>
      </c>
      <c r="K371">
        <v>0</v>
      </c>
      <c r="L371">
        <v>0</v>
      </c>
    </row>
    <row r="372" spans="1:12">
      <c r="A372" s="93">
        <v>121691</v>
      </c>
      <c r="B372" t="s">
        <v>978</v>
      </c>
      <c r="C372" t="s">
        <v>5603</v>
      </c>
      <c r="D372" s="92">
        <v>0.72</v>
      </c>
      <c r="E372" s="92">
        <v>0.75</v>
      </c>
      <c r="F372">
        <v>22</v>
      </c>
      <c r="G372">
        <v>24.5</v>
      </c>
      <c r="H372" t="s">
        <v>5617</v>
      </c>
      <c r="I372">
        <v>0</v>
      </c>
      <c r="J372" t="s">
        <v>87</v>
      </c>
      <c r="K372">
        <v>0</v>
      </c>
      <c r="L372">
        <v>0</v>
      </c>
    </row>
    <row r="373" spans="1:12">
      <c r="A373" s="93">
        <v>121707</v>
      </c>
      <c r="B373" t="s">
        <v>979</v>
      </c>
      <c r="C373" t="s">
        <v>5606</v>
      </c>
      <c r="D373" s="92">
        <v>0.18</v>
      </c>
      <c r="E373" s="92">
        <v>0.18</v>
      </c>
      <c r="F373" t="s">
        <v>428</v>
      </c>
      <c r="G373" t="s">
        <v>428</v>
      </c>
      <c r="H373" t="s">
        <v>5615</v>
      </c>
      <c r="I373">
        <v>0</v>
      </c>
      <c r="J373" t="s">
        <v>87</v>
      </c>
      <c r="K373">
        <v>0</v>
      </c>
      <c r="L373">
        <v>0</v>
      </c>
    </row>
    <row r="374" spans="1:12">
      <c r="A374" s="93">
        <v>121886</v>
      </c>
      <c r="B374" t="s">
        <v>980</v>
      </c>
      <c r="C374" t="s">
        <v>5604</v>
      </c>
      <c r="D374" s="92">
        <v>0.2</v>
      </c>
      <c r="E374" s="92">
        <v>0.17</v>
      </c>
      <c r="F374" t="s">
        <v>428</v>
      </c>
      <c r="G374" t="s">
        <v>428</v>
      </c>
      <c r="H374" t="s">
        <v>5615</v>
      </c>
      <c r="I374">
        <v>0</v>
      </c>
      <c r="J374" t="s">
        <v>87</v>
      </c>
      <c r="K374">
        <v>0</v>
      </c>
      <c r="L374">
        <v>0</v>
      </c>
    </row>
    <row r="375" spans="1:12">
      <c r="A375" s="93">
        <v>121901</v>
      </c>
      <c r="B375" t="s">
        <v>981</v>
      </c>
      <c r="C375" t="s">
        <v>5606</v>
      </c>
      <c r="D375" s="92">
        <v>0.32</v>
      </c>
      <c r="E375" s="92">
        <v>0.24</v>
      </c>
      <c r="F375" t="s">
        <v>428</v>
      </c>
      <c r="G375" t="s">
        <v>428</v>
      </c>
      <c r="H375" t="s">
        <v>5615</v>
      </c>
      <c r="I375">
        <v>0</v>
      </c>
      <c r="J375" t="s">
        <v>87</v>
      </c>
      <c r="K375">
        <v>0</v>
      </c>
      <c r="L375">
        <v>0</v>
      </c>
    </row>
    <row r="376" spans="1:12">
      <c r="A376" s="93">
        <v>121983</v>
      </c>
      <c r="B376" t="s">
        <v>982</v>
      </c>
      <c r="C376" t="s">
        <v>5604</v>
      </c>
      <c r="D376" s="92">
        <v>0.33</v>
      </c>
      <c r="E376" s="92">
        <v>0</v>
      </c>
      <c r="F376" t="s">
        <v>428</v>
      </c>
      <c r="G376" t="s">
        <v>428</v>
      </c>
      <c r="H376" t="s">
        <v>5617</v>
      </c>
      <c r="I376">
        <v>0</v>
      </c>
      <c r="J376" t="s">
        <v>87</v>
      </c>
      <c r="K376">
        <v>0</v>
      </c>
      <c r="L376">
        <v>0</v>
      </c>
    </row>
    <row r="377" spans="1:12">
      <c r="A377" s="93">
        <v>122117</v>
      </c>
      <c r="B377" t="s">
        <v>983</v>
      </c>
      <c r="C377" t="s">
        <v>5607</v>
      </c>
      <c r="D377" s="92" t="s">
        <v>428</v>
      </c>
      <c r="E377" s="92" t="s">
        <v>428</v>
      </c>
      <c r="F377" t="s">
        <v>428</v>
      </c>
      <c r="G377" t="s">
        <v>428</v>
      </c>
      <c r="H377" t="s">
        <v>5615</v>
      </c>
      <c r="I377">
        <v>0</v>
      </c>
      <c r="J377" t="s">
        <v>87</v>
      </c>
      <c r="K377">
        <v>0</v>
      </c>
      <c r="L377">
        <v>0</v>
      </c>
    </row>
    <row r="378" spans="1:12">
      <c r="A378" s="93">
        <v>122180</v>
      </c>
      <c r="B378" t="s">
        <v>984</v>
      </c>
      <c r="C378" t="s">
        <v>5606</v>
      </c>
      <c r="D378" s="92">
        <v>0.29</v>
      </c>
      <c r="E378" s="92">
        <v>0.22</v>
      </c>
      <c r="F378" t="s">
        <v>428</v>
      </c>
      <c r="G378" t="s">
        <v>428</v>
      </c>
      <c r="H378" t="s">
        <v>5615</v>
      </c>
      <c r="I378">
        <v>0</v>
      </c>
      <c r="J378" t="s">
        <v>87</v>
      </c>
      <c r="K378">
        <v>0</v>
      </c>
      <c r="L378">
        <v>0</v>
      </c>
    </row>
    <row r="379" spans="1:12">
      <c r="A379" s="93">
        <v>122205</v>
      </c>
      <c r="B379" t="s">
        <v>985</v>
      </c>
      <c r="C379" t="s">
        <v>5606</v>
      </c>
      <c r="D379" s="92">
        <v>0.42</v>
      </c>
      <c r="E379" s="92">
        <v>0.35</v>
      </c>
      <c r="F379" t="s">
        <v>428</v>
      </c>
      <c r="G379" t="s">
        <v>428</v>
      </c>
      <c r="H379" t="s">
        <v>5615</v>
      </c>
      <c r="I379">
        <v>0</v>
      </c>
      <c r="J379" t="s">
        <v>87</v>
      </c>
      <c r="K379">
        <v>0</v>
      </c>
      <c r="L379">
        <v>0</v>
      </c>
    </row>
    <row r="380" spans="1:12">
      <c r="A380" s="93">
        <v>122296</v>
      </c>
      <c r="B380" t="s">
        <v>986</v>
      </c>
      <c r="C380" t="s">
        <v>5607</v>
      </c>
      <c r="D380" s="92" t="s">
        <v>428</v>
      </c>
      <c r="E380" s="92" t="s">
        <v>428</v>
      </c>
      <c r="F380" t="s">
        <v>428</v>
      </c>
      <c r="G380" t="s">
        <v>428</v>
      </c>
      <c r="H380" t="s">
        <v>5615</v>
      </c>
      <c r="I380">
        <v>0</v>
      </c>
      <c r="J380" t="s">
        <v>87</v>
      </c>
      <c r="K380">
        <v>0</v>
      </c>
      <c r="L380">
        <v>0</v>
      </c>
    </row>
    <row r="381" spans="1:12">
      <c r="A381" s="93">
        <v>122339</v>
      </c>
      <c r="B381" t="s">
        <v>987</v>
      </c>
      <c r="C381" t="s">
        <v>5606</v>
      </c>
      <c r="D381" s="92">
        <v>0.24</v>
      </c>
      <c r="E381" s="92">
        <v>0.21</v>
      </c>
      <c r="F381" t="s">
        <v>428</v>
      </c>
      <c r="G381" t="s">
        <v>428</v>
      </c>
      <c r="H381" t="s">
        <v>5615</v>
      </c>
      <c r="I381">
        <v>0</v>
      </c>
      <c r="J381" t="s">
        <v>87</v>
      </c>
      <c r="K381">
        <v>0</v>
      </c>
      <c r="L381">
        <v>0</v>
      </c>
    </row>
    <row r="382" spans="1:12">
      <c r="A382" s="93">
        <v>122366</v>
      </c>
      <c r="B382" t="s">
        <v>988</v>
      </c>
      <c r="C382" t="s">
        <v>5606</v>
      </c>
      <c r="D382" s="92" t="s">
        <v>428</v>
      </c>
      <c r="E382" s="92" t="s">
        <v>428</v>
      </c>
      <c r="F382" t="s">
        <v>428</v>
      </c>
      <c r="G382" t="s">
        <v>428</v>
      </c>
      <c r="H382" t="s">
        <v>5617</v>
      </c>
      <c r="I382">
        <v>0</v>
      </c>
      <c r="J382" t="s">
        <v>87</v>
      </c>
      <c r="K382">
        <v>0</v>
      </c>
      <c r="L382">
        <v>0</v>
      </c>
    </row>
    <row r="383" spans="1:12">
      <c r="A383" s="93">
        <v>122375</v>
      </c>
      <c r="B383" t="s">
        <v>989</v>
      </c>
      <c r="C383" t="s">
        <v>5604</v>
      </c>
      <c r="D383" s="92">
        <v>0.26</v>
      </c>
      <c r="E383" s="92">
        <v>0.2</v>
      </c>
      <c r="F383" t="s">
        <v>428</v>
      </c>
      <c r="G383" t="s">
        <v>428</v>
      </c>
      <c r="H383" t="s">
        <v>5615</v>
      </c>
      <c r="I383">
        <v>0</v>
      </c>
      <c r="J383" t="s">
        <v>87</v>
      </c>
      <c r="K383">
        <v>0</v>
      </c>
      <c r="L383">
        <v>0</v>
      </c>
    </row>
    <row r="384" spans="1:12">
      <c r="A384" s="93">
        <v>122384</v>
      </c>
      <c r="B384" t="s">
        <v>990</v>
      </c>
      <c r="C384" t="s">
        <v>5606</v>
      </c>
      <c r="D384" s="92">
        <v>0.41</v>
      </c>
      <c r="E384" s="92">
        <v>0.31</v>
      </c>
      <c r="F384" t="s">
        <v>428</v>
      </c>
      <c r="G384" t="s">
        <v>428</v>
      </c>
      <c r="H384" t="s">
        <v>5615</v>
      </c>
      <c r="I384">
        <v>0</v>
      </c>
      <c r="J384" t="s">
        <v>87</v>
      </c>
      <c r="K384">
        <v>0</v>
      </c>
      <c r="L384">
        <v>0</v>
      </c>
    </row>
    <row r="385" spans="1:12">
      <c r="A385" s="93">
        <v>122409</v>
      </c>
      <c r="B385" t="s">
        <v>991</v>
      </c>
      <c r="C385" t="s">
        <v>5602</v>
      </c>
      <c r="D385" s="92">
        <v>0.73</v>
      </c>
      <c r="E385" s="92">
        <v>0.6899999999999999</v>
      </c>
      <c r="F385">
        <v>23</v>
      </c>
      <c r="G385">
        <v>25.5</v>
      </c>
      <c r="H385" t="s">
        <v>5615</v>
      </c>
      <c r="I385">
        <v>0</v>
      </c>
      <c r="J385" t="s">
        <v>87</v>
      </c>
      <c r="K385">
        <v>0</v>
      </c>
      <c r="L385">
        <v>0</v>
      </c>
    </row>
    <row r="386" spans="1:12">
      <c r="A386" s="93">
        <v>122436</v>
      </c>
      <c r="B386" t="s">
        <v>992</v>
      </c>
      <c r="C386" t="s">
        <v>5603</v>
      </c>
      <c r="D386" s="92">
        <v>0.78</v>
      </c>
      <c r="E386" s="92">
        <v>0.77</v>
      </c>
      <c r="F386">
        <v>26</v>
      </c>
      <c r="G386">
        <v>28</v>
      </c>
      <c r="H386" t="s">
        <v>5617</v>
      </c>
      <c r="I386">
        <v>0</v>
      </c>
      <c r="J386" t="s">
        <v>87</v>
      </c>
      <c r="K386">
        <v>0</v>
      </c>
      <c r="L386">
        <v>0</v>
      </c>
    </row>
    <row r="387" spans="1:12">
      <c r="A387" s="93">
        <v>122454</v>
      </c>
      <c r="B387" t="s">
        <v>993</v>
      </c>
      <c r="C387" t="s">
        <v>5610</v>
      </c>
      <c r="D387" s="92">
        <v>0.37</v>
      </c>
      <c r="E387" s="92">
        <v>0.45</v>
      </c>
      <c r="F387" t="s">
        <v>428</v>
      </c>
      <c r="G387" t="s">
        <v>428</v>
      </c>
      <c r="H387" t="s">
        <v>5617</v>
      </c>
      <c r="I387">
        <v>0</v>
      </c>
      <c r="J387" t="s">
        <v>87</v>
      </c>
      <c r="K387">
        <v>0</v>
      </c>
      <c r="L387">
        <v>0</v>
      </c>
    </row>
    <row r="388" spans="1:12">
      <c r="A388" s="93">
        <v>122506</v>
      </c>
      <c r="B388" t="s">
        <v>994</v>
      </c>
      <c r="C388" t="s">
        <v>5610</v>
      </c>
      <c r="D388" s="92">
        <v>0.62</v>
      </c>
      <c r="E388" s="92">
        <v>0.6</v>
      </c>
      <c r="F388" t="s">
        <v>428</v>
      </c>
      <c r="G388" t="s">
        <v>428</v>
      </c>
      <c r="H388" t="s">
        <v>5618</v>
      </c>
      <c r="I388">
        <v>0</v>
      </c>
      <c r="J388" t="s">
        <v>87</v>
      </c>
      <c r="K388">
        <v>0</v>
      </c>
      <c r="L388">
        <v>0</v>
      </c>
    </row>
    <row r="389" spans="1:12">
      <c r="A389" s="93">
        <v>122597</v>
      </c>
      <c r="B389" t="s">
        <v>995</v>
      </c>
      <c r="C389" t="s">
        <v>5608</v>
      </c>
      <c r="D389" s="92">
        <v>0.53</v>
      </c>
      <c r="E389" s="92">
        <v>0.47</v>
      </c>
      <c r="F389">
        <v>18</v>
      </c>
      <c r="G389">
        <v>21</v>
      </c>
      <c r="H389" t="s">
        <v>5615</v>
      </c>
      <c r="I389">
        <v>0</v>
      </c>
      <c r="J389" t="s">
        <v>87</v>
      </c>
      <c r="K389">
        <v>0</v>
      </c>
      <c r="L389">
        <v>0</v>
      </c>
    </row>
    <row r="390" spans="1:12">
      <c r="A390" s="93">
        <v>122603</v>
      </c>
      <c r="B390" t="s">
        <v>996</v>
      </c>
      <c r="C390" t="s">
        <v>5607</v>
      </c>
      <c r="D390" s="92" t="s">
        <v>428</v>
      </c>
      <c r="E390" s="92" t="s">
        <v>428</v>
      </c>
      <c r="F390" t="s">
        <v>428</v>
      </c>
      <c r="G390" t="s">
        <v>428</v>
      </c>
      <c r="H390" t="s">
        <v>5615</v>
      </c>
      <c r="I390">
        <v>0</v>
      </c>
      <c r="J390" t="s">
        <v>87</v>
      </c>
      <c r="K390">
        <v>0</v>
      </c>
      <c r="L390">
        <v>0</v>
      </c>
    </row>
    <row r="391" spans="1:12">
      <c r="A391" s="93">
        <v>122612</v>
      </c>
      <c r="B391" t="s">
        <v>584</v>
      </c>
      <c r="C391" t="s">
        <v>5603</v>
      </c>
      <c r="D391" s="92">
        <v>0.72</v>
      </c>
      <c r="E391" s="92">
        <v>0.68</v>
      </c>
      <c r="F391">
        <v>23</v>
      </c>
      <c r="G391">
        <v>25.5</v>
      </c>
      <c r="H391" t="s">
        <v>5618</v>
      </c>
      <c r="I391">
        <v>0</v>
      </c>
      <c r="J391" t="s">
        <v>87</v>
      </c>
      <c r="K391">
        <v>0</v>
      </c>
      <c r="L391">
        <v>0</v>
      </c>
    </row>
    <row r="392" spans="1:12">
      <c r="A392" s="93">
        <v>122649</v>
      </c>
      <c r="B392" t="s">
        <v>997</v>
      </c>
      <c r="C392" t="s">
        <v>5607</v>
      </c>
      <c r="D392" s="92" t="s">
        <v>428</v>
      </c>
      <c r="E392" s="92" t="s">
        <v>428</v>
      </c>
      <c r="F392" t="s">
        <v>428</v>
      </c>
      <c r="G392" t="s">
        <v>428</v>
      </c>
      <c r="H392" t="s">
        <v>5615</v>
      </c>
      <c r="I392">
        <v>0</v>
      </c>
      <c r="J392" t="s">
        <v>87</v>
      </c>
      <c r="K392">
        <v>0</v>
      </c>
      <c r="L392">
        <v>0</v>
      </c>
    </row>
    <row r="393" spans="1:12">
      <c r="A393" s="93">
        <v>122658</v>
      </c>
      <c r="B393" t="s">
        <v>998</v>
      </c>
      <c r="C393" t="s">
        <v>5606</v>
      </c>
      <c r="D393" s="92">
        <v>0.31</v>
      </c>
      <c r="E393" s="92">
        <v>0.28</v>
      </c>
      <c r="F393" t="s">
        <v>428</v>
      </c>
      <c r="G393" t="s">
        <v>428</v>
      </c>
      <c r="H393" t="s">
        <v>5615</v>
      </c>
      <c r="I393">
        <v>0</v>
      </c>
      <c r="J393" t="s">
        <v>87</v>
      </c>
      <c r="K393">
        <v>0</v>
      </c>
      <c r="L393">
        <v>0</v>
      </c>
    </row>
    <row r="394" spans="1:12">
      <c r="A394" s="93">
        <v>122685</v>
      </c>
      <c r="B394" t="s">
        <v>999</v>
      </c>
      <c r="C394" t="s">
        <v>5604</v>
      </c>
      <c r="D394" s="92">
        <v>0.53</v>
      </c>
      <c r="E394" s="92">
        <v>0.55</v>
      </c>
      <c r="F394" t="s">
        <v>428</v>
      </c>
      <c r="G394" t="s">
        <v>428</v>
      </c>
      <c r="H394" t="s">
        <v>5617</v>
      </c>
      <c r="I394">
        <v>0</v>
      </c>
      <c r="J394" t="s">
        <v>87</v>
      </c>
      <c r="K394">
        <v>0</v>
      </c>
      <c r="L394">
        <v>0</v>
      </c>
    </row>
    <row r="395" spans="1:12">
      <c r="A395" s="93">
        <v>122728</v>
      </c>
      <c r="B395" t="s">
        <v>1000</v>
      </c>
      <c r="C395" t="s">
        <v>5602</v>
      </c>
      <c r="D395" s="92">
        <v>0.62</v>
      </c>
      <c r="E395" s="92">
        <v>0.53</v>
      </c>
      <c r="F395">
        <v>19</v>
      </c>
      <c r="G395">
        <v>22</v>
      </c>
      <c r="H395" t="s">
        <v>5617</v>
      </c>
      <c r="I395">
        <v>0</v>
      </c>
      <c r="J395" t="s">
        <v>87</v>
      </c>
      <c r="K395">
        <v>0</v>
      </c>
      <c r="L395">
        <v>0</v>
      </c>
    </row>
    <row r="396" spans="1:12">
      <c r="A396" s="93">
        <v>122746</v>
      </c>
      <c r="B396" t="s">
        <v>1001</v>
      </c>
      <c r="C396" t="s">
        <v>5606</v>
      </c>
      <c r="D396" s="92">
        <v>0.31</v>
      </c>
      <c r="E396" s="92">
        <v>0.25</v>
      </c>
      <c r="F396" t="s">
        <v>428</v>
      </c>
      <c r="G396" t="s">
        <v>428</v>
      </c>
      <c r="H396" t="s">
        <v>5615</v>
      </c>
      <c r="I396">
        <v>0</v>
      </c>
      <c r="J396" t="s">
        <v>87</v>
      </c>
      <c r="K396">
        <v>0</v>
      </c>
      <c r="L396">
        <v>0</v>
      </c>
    </row>
    <row r="397" spans="1:12">
      <c r="A397" s="93">
        <v>122755</v>
      </c>
      <c r="B397" t="s">
        <v>1002</v>
      </c>
      <c r="C397" t="s">
        <v>5602</v>
      </c>
      <c r="D397" s="92">
        <v>0.62</v>
      </c>
      <c r="E397" s="92">
        <v>0.55</v>
      </c>
      <c r="F397">
        <v>20</v>
      </c>
      <c r="G397">
        <v>22.5</v>
      </c>
      <c r="H397" t="s">
        <v>5615</v>
      </c>
      <c r="I397">
        <v>0</v>
      </c>
      <c r="J397" t="s">
        <v>87</v>
      </c>
      <c r="K397">
        <v>0</v>
      </c>
      <c r="L397">
        <v>0</v>
      </c>
    </row>
    <row r="398" spans="1:12">
      <c r="A398" s="93">
        <v>122791</v>
      </c>
      <c r="B398" t="s">
        <v>1003</v>
      </c>
      <c r="C398" t="s">
        <v>5606</v>
      </c>
      <c r="D398" s="92">
        <v>0.31</v>
      </c>
      <c r="E398" s="92">
        <v>0.24</v>
      </c>
      <c r="F398" t="s">
        <v>428</v>
      </c>
      <c r="G398" t="s">
        <v>428</v>
      </c>
      <c r="H398" t="s">
        <v>5615</v>
      </c>
      <c r="I398">
        <v>0</v>
      </c>
      <c r="J398" t="s">
        <v>87</v>
      </c>
      <c r="K398">
        <v>0</v>
      </c>
      <c r="L398">
        <v>0</v>
      </c>
    </row>
    <row r="399" spans="1:12">
      <c r="A399" s="93">
        <v>122834</v>
      </c>
      <c r="B399" t="s">
        <v>1004</v>
      </c>
      <c r="C399" t="s">
        <v>5604</v>
      </c>
      <c r="D399" s="92" t="s">
        <v>428</v>
      </c>
      <c r="E399" s="92" t="s">
        <v>428</v>
      </c>
      <c r="F399" t="s">
        <v>428</v>
      </c>
      <c r="G399" t="s">
        <v>428</v>
      </c>
      <c r="H399" t="s">
        <v>5616</v>
      </c>
      <c r="I399">
        <v>0</v>
      </c>
      <c r="J399" t="s">
        <v>87</v>
      </c>
      <c r="K399">
        <v>0</v>
      </c>
      <c r="L399">
        <v>0</v>
      </c>
    </row>
    <row r="400" spans="1:12">
      <c r="A400" s="93">
        <v>122852</v>
      </c>
      <c r="B400" t="s">
        <v>1005</v>
      </c>
      <c r="C400" t="s">
        <v>5604</v>
      </c>
      <c r="D400" s="92" t="s">
        <v>428</v>
      </c>
      <c r="E400" s="92" t="s">
        <v>428</v>
      </c>
      <c r="F400" t="s">
        <v>428</v>
      </c>
      <c r="G400" t="s">
        <v>428</v>
      </c>
      <c r="H400" t="s">
        <v>5616</v>
      </c>
      <c r="I400">
        <v>0</v>
      </c>
      <c r="J400" t="s">
        <v>87</v>
      </c>
      <c r="K400">
        <v>0</v>
      </c>
      <c r="L400">
        <v>0</v>
      </c>
    </row>
    <row r="401" spans="1:12">
      <c r="A401" s="93">
        <v>122889</v>
      </c>
      <c r="B401" t="s">
        <v>1006</v>
      </c>
      <c r="C401" t="s">
        <v>5606</v>
      </c>
      <c r="D401" s="92">
        <v>0.36</v>
      </c>
      <c r="E401" s="92">
        <v>0.36</v>
      </c>
      <c r="F401" t="s">
        <v>428</v>
      </c>
      <c r="G401" t="s">
        <v>428</v>
      </c>
      <c r="H401" t="s">
        <v>5615</v>
      </c>
      <c r="I401">
        <v>0</v>
      </c>
      <c r="J401" t="s">
        <v>87</v>
      </c>
      <c r="K401">
        <v>0</v>
      </c>
      <c r="L401">
        <v>0</v>
      </c>
    </row>
    <row r="402" spans="1:12">
      <c r="A402" s="93">
        <v>122931</v>
      </c>
      <c r="B402" t="s">
        <v>1007</v>
      </c>
      <c r="C402" t="s">
        <v>5605</v>
      </c>
      <c r="D402" s="92">
        <v>0.89</v>
      </c>
      <c r="E402" s="92">
        <v>0.86</v>
      </c>
      <c r="F402">
        <v>28</v>
      </c>
      <c r="G402">
        <v>30</v>
      </c>
      <c r="H402" t="s">
        <v>5621</v>
      </c>
      <c r="I402">
        <v>1</v>
      </c>
      <c r="J402" t="s">
        <v>87</v>
      </c>
      <c r="K402">
        <v>0</v>
      </c>
      <c r="L402">
        <v>0</v>
      </c>
    </row>
    <row r="403" spans="1:12">
      <c r="A403" s="93">
        <v>122977</v>
      </c>
      <c r="B403" t="s">
        <v>1008</v>
      </c>
      <c r="C403" t="s">
        <v>5604</v>
      </c>
      <c r="D403" s="92">
        <v>0.29</v>
      </c>
      <c r="E403" s="92">
        <v>0.16</v>
      </c>
      <c r="F403" t="s">
        <v>428</v>
      </c>
      <c r="G403" t="s">
        <v>428</v>
      </c>
      <c r="H403" t="s">
        <v>5615</v>
      </c>
      <c r="I403">
        <v>0</v>
      </c>
      <c r="J403" t="s">
        <v>87</v>
      </c>
      <c r="K403">
        <v>0</v>
      </c>
      <c r="L403">
        <v>0</v>
      </c>
    </row>
    <row r="404" spans="1:12">
      <c r="A404" s="93">
        <v>123013</v>
      </c>
      <c r="B404" t="s">
        <v>1009</v>
      </c>
      <c r="C404" t="s">
        <v>5606</v>
      </c>
      <c r="D404" s="92">
        <v>0.41</v>
      </c>
      <c r="E404" s="92">
        <v>0.35</v>
      </c>
      <c r="F404" t="s">
        <v>428</v>
      </c>
      <c r="G404" t="s">
        <v>428</v>
      </c>
      <c r="H404" t="s">
        <v>5615</v>
      </c>
      <c r="I404">
        <v>0</v>
      </c>
      <c r="J404" t="s">
        <v>87</v>
      </c>
      <c r="K404">
        <v>0</v>
      </c>
      <c r="L404">
        <v>0</v>
      </c>
    </row>
    <row r="405" spans="1:12">
      <c r="A405" s="93">
        <v>123095</v>
      </c>
      <c r="B405" t="s">
        <v>1010</v>
      </c>
      <c r="C405" t="s">
        <v>5607</v>
      </c>
      <c r="D405" s="92" t="s">
        <v>428</v>
      </c>
      <c r="E405" s="92" t="s">
        <v>428</v>
      </c>
      <c r="F405" t="s">
        <v>428</v>
      </c>
      <c r="G405" t="s">
        <v>428</v>
      </c>
      <c r="H405" t="s">
        <v>5615</v>
      </c>
      <c r="I405">
        <v>0</v>
      </c>
      <c r="J405" t="s">
        <v>87</v>
      </c>
      <c r="K405">
        <v>0</v>
      </c>
      <c r="L405">
        <v>0</v>
      </c>
    </row>
    <row r="406" spans="1:12">
      <c r="A406" s="93">
        <v>123165</v>
      </c>
      <c r="B406" t="s">
        <v>1011</v>
      </c>
      <c r="C406" t="s">
        <v>5612</v>
      </c>
      <c r="D406" s="92">
        <v>0.87</v>
      </c>
      <c r="E406" s="92">
        <v>0.92</v>
      </c>
      <c r="F406">
        <v>28</v>
      </c>
      <c r="G406">
        <v>30</v>
      </c>
      <c r="H406" t="s">
        <v>5622</v>
      </c>
      <c r="I406">
        <v>0</v>
      </c>
      <c r="J406" t="s">
        <v>87</v>
      </c>
      <c r="K406">
        <v>0</v>
      </c>
      <c r="L406">
        <v>0</v>
      </c>
    </row>
    <row r="407" spans="1:12">
      <c r="A407" s="93">
        <v>123217</v>
      </c>
      <c r="B407" t="s">
        <v>1012</v>
      </c>
      <c r="C407" t="s">
        <v>5606</v>
      </c>
      <c r="D407" s="92">
        <v>0.28</v>
      </c>
      <c r="E407" s="92">
        <v>0.25</v>
      </c>
      <c r="F407" t="s">
        <v>428</v>
      </c>
      <c r="G407" t="s">
        <v>428</v>
      </c>
      <c r="H407" t="s">
        <v>5615</v>
      </c>
      <c r="I407">
        <v>0</v>
      </c>
      <c r="J407" t="s">
        <v>87</v>
      </c>
      <c r="K407">
        <v>0</v>
      </c>
      <c r="L407">
        <v>0</v>
      </c>
    </row>
    <row r="408" spans="1:12">
      <c r="A408" s="93">
        <v>123280</v>
      </c>
      <c r="B408" t="s">
        <v>1013</v>
      </c>
      <c r="C408" t="s">
        <v>5607</v>
      </c>
      <c r="D408" s="92">
        <v>0.52</v>
      </c>
      <c r="E408" s="92">
        <v>1</v>
      </c>
      <c r="F408" t="s">
        <v>428</v>
      </c>
      <c r="G408" t="s">
        <v>428</v>
      </c>
      <c r="H408" t="s">
        <v>5617</v>
      </c>
      <c r="I408">
        <v>0</v>
      </c>
      <c r="J408" t="s">
        <v>87</v>
      </c>
      <c r="K408">
        <v>0</v>
      </c>
      <c r="L408">
        <v>0</v>
      </c>
    </row>
    <row r="409" spans="1:12">
      <c r="A409" s="93">
        <v>123299</v>
      </c>
      <c r="B409" t="s">
        <v>1014</v>
      </c>
      <c r="C409" t="s">
        <v>5604</v>
      </c>
      <c r="D409" s="92">
        <v>0.22</v>
      </c>
      <c r="E409" s="92">
        <v>0.19</v>
      </c>
      <c r="F409" t="s">
        <v>428</v>
      </c>
      <c r="G409" t="s">
        <v>428</v>
      </c>
      <c r="H409" t="s">
        <v>5615</v>
      </c>
      <c r="I409">
        <v>0</v>
      </c>
      <c r="J409" t="s">
        <v>87</v>
      </c>
      <c r="K409">
        <v>0</v>
      </c>
      <c r="L409">
        <v>0</v>
      </c>
    </row>
    <row r="410" spans="1:12">
      <c r="A410" s="93">
        <v>123341</v>
      </c>
      <c r="B410" t="s">
        <v>1015</v>
      </c>
      <c r="C410" t="s">
        <v>5606</v>
      </c>
      <c r="D410" s="92">
        <v>0.38</v>
      </c>
      <c r="E410" s="92">
        <v>0.37</v>
      </c>
      <c r="F410" t="s">
        <v>428</v>
      </c>
      <c r="G410" t="s">
        <v>428</v>
      </c>
      <c r="H410" t="s">
        <v>5615</v>
      </c>
      <c r="I410">
        <v>0</v>
      </c>
      <c r="J410" t="s">
        <v>87</v>
      </c>
      <c r="K410">
        <v>0</v>
      </c>
      <c r="L410">
        <v>0</v>
      </c>
    </row>
    <row r="411" spans="1:12">
      <c r="A411" s="93">
        <v>123448</v>
      </c>
      <c r="B411" t="s">
        <v>1016</v>
      </c>
      <c r="C411" t="s">
        <v>5607</v>
      </c>
      <c r="D411" s="92" t="s">
        <v>428</v>
      </c>
      <c r="E411" s="92" t="s">
        <v>428</v>
      </c>
      <c r="F411" t="s">
        <v>428</v>
      </c>
      <c r="G411" t="s">
        <v>428</v>
      </c>
      <c r="H411" t="s">
        <v>5615</v>
      </c>
      <c r="I411">
        <v>0</v>
      </c>
      <c r="J411" t="s">
        <v>87</v>
      </c>
      <c r="K411">
        <v>0</v>
      </c>
      <c r="L411">
        <v>0</v>
      </c>
    </row>
    <row r="412" spans="1:12">
      <c r="A412" s="93">
        <v>123457</v>
      </c>
      <c r="B412" t="s">
        <v>1017</v>
      </c>
      <c r="C412" t="s">
        <v>5602</v>
      </c>
      <c r="D412" s="92">
        <v>0.5</v>
      </c>
      <c r="E412" s="92">
        <v>0.49</v>
      </c>
      <c r="F412">
        <v>18</v>
      </c>
      <c r="G412">
        <v>21</v>
      </c>
      <c r="H412" t="s">
        <v>5616</v>
      </c>
      <c r="I412">
        <v>0</v>
      </c>
      <c r="J412" t="s">
        <v>87</v>
      </c>
      <c r="K412">
        <v>0</v>
      </c>
      <c r="L412">
        <v>0</v>
      </c>
    </row>
    <row r="413" spans="1:12">
      <c r="A413" s="93">
        <v>123484</v>
      </c>
      <c r="B413" t="s">
        <v>1018</v>
      </c>
      <c r="C413" t="s">
        <v>5606</v>
      </c>
      <c r="D413" s="92">
        <v>0.32</v>
      </c>
      <c r="E413" s="92">
        <v>0.3</v>
      </c>
      <c r="F413" t="s">
        <v>428</v>
      </c>
      <c r="G413" t="s">
        <v>428</v>
      </c>
      <c r="H413" t="s">
        <v>5615</v>
      </c>
      <c r="I413">
        <v>0</v>
      </c>
      <c r="J413" t="s">
        <v>87</v>
      </c>
      <c r="K413">
        <v>0</v>
      </c>
      <c r="L413">
        <v>0</v>
      </c>
    </row>
    <row r="414" spans="1:12">
      <c r="A414" s="93">
        <v>123493</v>
      </c>
      <c r="B414" t="s">
        <v>1019</v>
      </c>
      <c r="C414" t="s">
        <v>5606</v>
      </c>
      <c r="D414" s="92" t="s">
        <v>428</v>
      </c>
      <c r="E414" s="92" t="s">
        <v>428</v>
      </c>
      <c r="F414" t="s">
        <v>428</v>
      </c>
      <c r="G414" t="s">
        <v>428</v>
      </c>
      <c r="H414" t="s">
        <v>5615</v>
      </c>
      <c r="I414">
        <v>0</v>
      </c>
      <c r="J414" t="s">
        <v>87</v>
      </c>
      <c r="K414">
        <v>0</v>
      </c>
      <c r="L414">
        <v>0</v>
      </c>
    </row>
    <row r="415" spans="1:12">
      <c r="A415" s="93">
        <v>123509</v>
      </c>
      <c r="B415" t="s">
        <v>1020</v>
      </c>
      <c r="C415" t="s">
        <v>5604</v>
      </c>
      <c r="D415" s="92">
        <v>0.21</v>
      </c>
      <c r="E415" s="92">
        <v>0.15</v>
      </c>
      <c r="F415" t="s">
        <v>428</v>
      </c>
      <c r="G415" t="s">
        <v>428</v>
      </c>
      <c r="H415" t="s">
        <v>5615</v>
      </c>
      <c r="I415">
        <v>0</v>
      </c>
      <c r="J415" t="s">
        <v>87</v>
      </c>
      <c r="K415">
        <v>0</v>
      </c>
      <c r="L415">
        <v>0</v>
      </c>
    </row>
    <row r="416" spans="1:12">
      <c r="A416" s="93">
        <v>123527</v>
      </c>
      <c r="B416" t="s">
        <v>1021</v>
      </c>
      <c r="C416" t="s">
        <v>5606</v>
      </c>
      <c r="D416" s="92">
        <v>0.22</v>
      </c>
      <c r="E416" s="92">
        <v>0.21</v>
      </c>
      <c r="F416" t="s">
        <v>428</v>
      </c>
      <c r="G416" t="s">
        <v>428</v>
      </c>
      <c r="H416" t="s">
        <v>5615</v>
      </c>
      <c r="I416">
        <v>0</v>
      </c>
      <c r="J416" t="s">
        <v>87</v>
      </c>
      <c r="K416">
        <v>0</v>
      </c>
      <c r="L416">
        <v>0</v>
      </c>
    </row>
    <row r="417" spans="1:12">
      <c r="A417" s="93">
        <v>123554</v>
      </c>
      <c r="B417" t="s">
        <v>1022</v>
      </c>
      <c r="C417" t="s">
        <v>5602</v>
      </c>
      <c r="D417" s="92">
        <v>0.7</v>
      </c>
      <c r="E417" s="92">
        <v>0.68</v>
      </c>
      <c r="F417">
        <v>22</v>
      </c>
      <c r="G417">
        <v>25</v>
      </c>
      <c r="H417" t="s">
        <v>5617</v>
      </c>
      <c r="I417">
        <v>0</v>
      </c>
      <c r="J417" t="s">
        <v>87</v>
      </c>
      <c r="K417">
        <v>0</v>
      </c>
      <c r="L417">
        <v>0</v>
      </c>
    </row>
    <row r="418" spans="1:12">
      <c r="A418" s="93">
        <v>123563</v>
      </c>
      <c r="B418" t="s">
        <v>1023</v>
      </c>
      <c r="C418" t="s">
        <v>5604</v>
      </c>
      <c r="D418" s="92">
        <v>0.28</v>
      </c>
      <c r="E418" s="92">
        <v>0.24</v>
      </c>
      <c r="F418" t="s">
        <v>428</v>
      </c>
      <c r="G418" t="s">
        <v>428</v>
      </c>
      <c r="H418" t="s">
        <v>5615</v>
      </c>
      <c r="I418">
        <v>0</v>
      </c>
      <c r="J418" t="s">
        <v>87</v>
      </c>
      <c r="K418">
        <v>0</v>
      </c>
      <c r="L418">
        <v>0</v>
      </c>
    </row>
    <row r="419" spans="1:12">
      <c r="A419" s="93">
        <v>123572</v>
      </c>
      <c r="B419" t="s">
        <v>1024</v>
      </c>
      <c r="C419" t="s">
        <v>5602</v>
      </c>
      <c r="D419" s="92">
        <v>0.61</v>
      </c>
      <c r="E419" s="92">
        <v>0.55</v>
      </c>
      <c r="F419">
        <v>19</v>
      </c>
      <c r="G419">
        <v>21.5</v>
      </c>
      <c r="H419" t="s">
        <v>5615</v>
      </c>
      <c r="I419">
        <v>0</v>
      </c>
      <c r="J419" t="s">
        <v>87</v>
      </c>
      <c r="K419">
        <v>0</v>
      </c>
      <c r="L419">
        <v>0</v>
      </c>
    </row>
    <row r="420" spans="1:12">
      <c r="A420" s="93">
        <v>123633</v>
      </c>
      <c r="B420" t="s">
        <v>1025</v>
      </c>
      <c r="C420" t="s">
        <v>5607</v>
      </c>
      <c r="D420" s="92" t="s">
        <v>428</v>
      </c>
      <c r="E420" s="92" t="s">
        <v>428</v>
      </c>
      <c r="F420" t="s">
        <v>428</v>
      </c>
      <c r="G420" t="s">
        <v>428</v>
      </c>
      <c r="H420" t="s">
        <v>5615</v>
      </c>
      <c r="I420">
        <v>0</v>
      </c>
      <c r="J420" t="s">
        <v>87</v>
      </c>
      <c r="K420">
        <v>0</v>
      </c>
      <c r="L420">
        <v>0</v>
      </c>
    </row>
    <row r="421" spans="1:12">
      <c r="A421" s="93">
        <v>123642</v>
      </c>
      <c r="B421" t="s">
        <v>1026</v>
      </c>
      <c r="C421" t="s">
        <v>5606</v>
      </c>
      <c r="D421" s="92" t="s">
        <v>428</v>
      </c>
      <c r="E421" s="92" t="s">
        <v>428</v>
      </c>
      <c r="F421" t="s">
        <v>428</v>
      </c>
      <c r="G421" t="s">
        <v>428</v>
      </c>
      <c r="H421" t="s">
        <v>5617</v>
      </c>
      <c r="I421">
        <v>0</v>
      </c>
      <c r="J421" t="s">
        <v>87</v>
      </c>
      <c r="K421">
        <v>0</v>
      </c>
      <c r="L421">
        <v>0</v>
      </c>
    </row>
    <row r="422" spans="1:12">
      <c r="A422" s="93">
        <v>123651</v>
      </c>
      <c r="B422" t="s">
        <v>1027</v>
      </c>
      <c r="C422" t="s">
        <v>5603</v>
      </c>
      <c r="D422" s="92">
        <v>0.5600000000000001</v>
      </c>
      <c r="E422" s="92">
        <v>0.44</v>
      </c>
      <c r="F422">
        <v>17</v>
      </c>
      <c r="G422">
        <v>20.5</v>
      </c>
      <c r="H422" t="s">
        <v>5617</v>
      </c>
      <c r="I422">
        <v>0</v>
      </c>
      <c r="J422" t="s">
        <v>87</v>
      </c>
      <c r="K422">
        <v>0</v>
      </c>
      <c r="L422">
        <v>0</v>
      </c>
    </row>
    <row r="423" spans="1:12">
      <c r="A423" s="93">
        <v>123679</v>
      </c>
      <c r="B423" t="s">
        <v>1028</v>
      </c>
      <c r="C423" t="s">
        <v>5606</v>
      </c>
      <c r="D423" s="92" t="s">
        <v>428</v>
      </c>
      <c r="E423" s="92" t="s">
        <v>428</v>
      </c>
      <c r="F423" t="s">
        <v>428</v>
      </c>
      <c r="G423" t="s">
        <v>428</v>
      </c>
      <c r="H423" t="s">
        <v>5617</v>
      </c>
      <c r="I423">
        <v>0</v>
      </c>
      <c r="J423" t="s">
        <v>87</v>
      </c>
      <c r="K423">
        <v>0</v>
      </c>
      <c r="L423">
        <v>0</v>
      </c>
    </row>
    <row r="424" spans="1:12">
      <c r="A424" s="93">
        <v>123800</v>
      </c>
      <c r="B424" t="s">
        <v>1029</v>
      </c>
      <c r="C424" t="s">
        <v>5606</v>
      </c>
      <c r="D424" s="92">
        <v>0.29</v>
      </c>
      <c r="E424" s="92">
        <v>0.27</v>
      </c>
      <c r="F424" t="s">
        <v>428</v>
      </c>
      <c r="G424" t="s">
        <v>428</v>
      </c>
      <c r="H424" t="s">
        <v>5615</v>
      </c>
      <c r="I424">
        <v>0</v>
      </c>
      <c r="J424" t="s">
        <v>87</v>
      </c>
      <c r="K424">
        <v>0</v>
      </c>
      <c r="L424">
        <v>0</v>
      </c>
    </row>
    <row r="425" spans="1:12">
      <c r="A425" s="93">
        <v>123855</v>
      </c>
      <c r="B425" t="s">
        <v>1030</v>
      </c>
      <c r="C425" t="s">
        <v>5607</v>
      </c>
      <c r="D425" s="92" t="s">
        <v>428</v>
      </c>
      <c r="E425" s="92" t="s">
        <v>428</v>
      </c>
      <c r="F425" t="s">
        <v>428</v>
      </c>
      <c r="G425" t="s">
        <v>428</v>
      </c>
      <c r="H425" t="s">
        <v>5615</v>
      </c>
      <c r="I425">
        <v>0</v>
      </c>
      <c r="J425" t="s">
        <v>87</v>
      </c>
      <c r="K425">
        <v>0</v>
      </c>
      <c r="L425">
        <v>0</v>
      </c>
    </row>
    <row r="426" spans="1:12">
      <c r="A426" s="93">
        <v>123916</v>
      </c>
      <c r="B426" t="s">
        <v>1031</v>
      </c>
      <c r="C426" t="s">
        <v>5607</v>
      </c>
      <c r="D426" s="92" t="s">
        <v>428</v>
      </c>
      <c r="E426" s="92" t="s">
        <v>428</v>
      </c>
      <c r="F426" t="s">
        <v>428</v>
      </c>
      <c r="G426" t="s">
        <v>428</v>
      </c>
      <c r="H426" t="s">
        <v>5615</v>
      </c>
      <c r="I426">
        <v>0</v>
      </c>
      <c r="J426" t="s">
        <v>87</v>
      </c>
      <c r="K426">
        <v>0</v>
      </c>
      <c r="L426">
        <v>0</v>
      </c>
    </row>
    <row r="427" spans="1:12">
      <c r="A427" s="93">
        <v>123943</v>
      </c>
      <c r="B427" t="s">
        <v>1032</v>
      </c>
      <c r="C427" t="s">
        <v>5607</v>
      </c>
      <c r="D427" s="92" t="s">
        <v>428</v>
      </c>
      <c r="E427" s="92" t="s">
        <v>428</v>
      </c>
      <c r="F427" t="s">
        <v>428</v>
      </c>
      <c r="G427" t="s">
        <v>428</v>
      </c>
      <c r="H427" t="s">
        <v>5620</v>
      </c>
      <c r="I427">
        <v>0</v>
      </c>
      <c r="J427" t="s">
        <v>87</v>
      </c>
      <c r="K427">
        <v>0</v>
      </c>
      <c r="L427">
        <v>0</v>
      </c>
    </row>
    <row r="428" spans="1:12">
      <c r="A428" s="93">
        <v>123952</v>
      </c>
      <c r="B428" t="s">
        <v>1033</v>
      </c>
      <c r="C428" t="s">
        <v>5604</v>
      </c>
      <c r="D428" s="92">
        <v>0.55</v>
      </c>
      <c r="E428" s="92">
        <v>0.3</v>
      </c>
      <c r="F428" t="s">
        <v>428</v>
      </c>
      <c r="G428" t="s">
        <v>428</v>
      </c>
      <c r="H428" t="s">
        <v>5617</v>
      </c>
      <c r="I428">
        <v>0</v>
      </c>
      <c r="J428" t="s">
        <v>87</v>
      </c>
      <c r="K428">
        <v>0</v>
      </c>
      <c r="L428">
        <v>0</v>
      </c>
    </row>
    <row r="429" spans="1:12">
      <c r="A429" s="93">
        <v>123961</v>
      </c>
      <c r="B429" t="s">
        <v>1034</v>
      </c>
      <c r="C429" t="s">
        <v>5611</v>
      </c>
      <c r="D429" s="92">
        <v>0.92</v>
      </c>
      <c r="E429" s="92">
        <v>0.9</v>
      </c>
      <c r="F429">
        <v>30</v>
      </c>
      <c r="G429">
        <v>31.5</v>
      </c>
      <c r="H429" t="s">
        <v>5623</v>
      </c>
      <c r="I429">
        <v>1</v>
      </c>
      <c r="J429" t="s">
        <v>87</v>
      </c>
      <c r="K429">
        <v>0</v>
      </c>
      <c r="L429">
        <v>0</v>
      </c>
    </row>
    <row r="430" spans="1:12">
      <c r="A430" s="93">
        <v>123970</v>
      </c>
      <c r="B430" t="s">
        <v>1035</v>
      </c>
      <c r="C430" t="s">
        <v>5607</v>
      </c>
      <c r="D430" s="92" t="s">
        <v>428</v>
      </c>
      <c r="E430" s="92" t="s">
        <v>428</v>
      </c>
      <c r="F430" t="s">
        <v>428</v>
      </c>
      <c r="G430" t="s">
        <v>428</v>
      </c>
      <c r="H430" t="s">
        <v>5615</v>
      </c>
      <c r="I430">
        <v>0</v>
      </c>
      <c r="J430" t="s">
        <v>87</v>
      </c>
      <c r="K430">
        <v>0</v>
      </c>
      <c r="L430">
        <v>0</v>
      </c>
    </row>
    <row r="431" spans="1:12">
      <c r="A431" s="93">
        <v>124113</v>
      </c>
      <c r="B431" t="s">
        <v>1036</v>
      </c>
      <c r="C431" t="s">
        <v>5606</v>
      </c>
      <c r="D431" s="92">
        <v>0.32</v>
      </c>
      <c r="E431" s="92">
        <v>0.3</v>
      </c>
      <c r="F431" t="s">
        <v>428</v>
      </c>
      <c r="G431" t="s">
        <v>428</v>
      </c>
      <c r="H431" t="s">
        <v>5615</v>
      </c>
      <c r="I431">
        <v>0</v>
      </c>
      <c r="J431" t="s">
        <v>87</v>
      </c>
      <c r="K431">
        <v>0</v>
      </c>
      <c r="L431">
        <v>0</v>
      </c>
    </row>
    <row r="432" spans="1:12">
      <c r="A432" s="93">
        <v>124283</v>
      </c>
      <c r="B432" t="s">
        <v>1037</v>
      </c>
      <c r="C432" t="s">
        <v>5607</v>
      </c>
      <c r="D432" s="92" t="s">
        <v>428</v>
      </c>
      <c r="E432" s="92" t="s">
        <v>428</v>
      </c>
      <c r="F432" t="s">
        <v>428</v>
      </c>
      <c r="G432" t="s">
        <v>428</v>
      </c>
      <c r="H432" t="s">
        <v>5615</v>
      </c>
      <c r="I432">
        <v>0</v>
      </c>
      <c r="J432" t="s">
        <v>87</v>
      </c>
      <c r="K432">
        <v>0</v>
      </c>
      <c r="L432">
        <v>0</v>
      </c>
    </row>
    <row r="433" spans="1:12">
      <c r="A433" s="93">
        <v>124292</v>
      </c>
      <c r="B433" t="s">
        <v>1038</v>
      </c>
      <c r="C433" t="s">
        <v>5605</v>
      </c>
      <c r="D433" s="92">
        <v>0.8100000000000001</v>
      </c>
      <c r="E433" s="92">
        <v>0.75</v>
      </c>
      <c r="F433">
        <v>25</v>
      </c>
      <c r="G433">
        <v>27.5</v>
      </c>
      <c r="H433" t="s">
        <v>5617</v>
      </c>
      <c r="I433">
        <v>0</v>
      </c>
      <c r="J433" t="s">
        <v>87</v>
      </c>
      <c r="K433">
        <v>0</v>
      </c>
      <c r="L433">
        <v>0</v>
      </c>
    </row>
    <row r="434" spans="1:12">
      <c r="A434" s="93">
        <v>124487</v>
      </c>
      <c r="B434" t="s">
        <v>1039</v>
      </c>
      <c r="C434" t="s">
        <v>5604</v>
      </c>
      <c r="D434" s="92">
        <v>0.24</v>
      </c>
      <c r="E434" s="92">
        <v>0.31</v>
      </c>
      <c r="F434" t="s">
        <v>428</v>
      </c>
      <c r="G434" t="s">
        <v>428</v>
      </c>
      <c r="H434" t="s">
        <v>5617</v>
      </c>
      <c r="I434">
        <v>0</v>
      </c>
      <c r="J434" t="s">
        <v>87</v>
      </c>
      <c r="K434">
        <v>0</v>
      </c>
      <c r="L434">
        <v>0</v>
      </c>
    </row>
    <row r="435" spans="1:12">
      <c r="A435" s="93">
        <v>124706</v>
      </c>
      <c r="B435" t="s">
        <v>1040</v>
      </c>
      <c r="C435" t="s">
        <v>5609</v>
      </c>
      <c r="D435" s="92" t="s">
        <v>428</v>
      </c>
      <c r="E435" s="92" t="s">
        <v>428</v>
      </c>
      <c r="F435" t="s">
        <v>428</v>
      </c>
      <c r="G435" t="s">
        <v>428</v>
      </c>
      <c r="H435" t="s">
        <v>5617</v>
      </c>
      <c r="I435">
        <v>0</v>
      </c>
      <c r="J435" t="s">
        <v>87</v>
      </c>
      <c r="K435">
        <v>0</v>
      </c>
      <c r="L435">
        <v>0</v>
      </c>
    </row>
    <row r="436" spans="1:12">
      <c r="A436" s="93">
        <v>124937</v>
      </c>
      <c r="B436" t="s">
        <v>1041</v>
      </c>
      <c r="C436" t="s">
        <v>5609</v>
      </c>
      <c r="D436" s="92" t="s">
        <v>428</v>
      </c>
      <c r="E436" s="92" t="s">
        <v>428</v>
      </c>
      <c r="F436" t="s">
        <v>428</v>
      </c>
      <c r="G436" t="s">
        <v>428</v>
      </c>
      <c r="H436" t="s">
        <v>5617</v>
      </c>
      <c r="I436">
        <v>0</v>
      </c>
      <c r="J436" t="s">
        <v>87</v>
      </c>
      <c r="K436">
        <v>0</v>
      </c>
      <c r="L436">
        <v>0</v>
      </c>
    </row>
    <row r="437" spans="1:12">
      <c r="A437" s="93">
        <v>125028</v>
      </c>
      <c r="B437" t="s">
        <v>1042</v>
      </c>
      <c r="C437" t="s">
        <v>5606</v>
      </c>
      <c r="D437" s="92">
        <v>0.37</v>
      </c>
      <c r="E437" s="92">
        <v>0.34</v>
      </c>
      <c r="F437" t="s">
        <v>428</v>
      </c>
      <c r="G437" t="s">
        <v>428</v>
      </c>
      <c r="H437" t="s">
        <v>5615</v>
      </c>
      <c r="I437">
        <v>0</v>
      </c>
      <c r="J437" t="s">
        <v>87</v>
      </c>
      <c r="K437">
        <v>0</v>
      </c>
      <c r="L437">
        <v>0</v>
      </c>
    </row>
    <row r="438" spans="1:12">
      <c r="A438" s="93">
        <v>125037</v>
      </c>
      <c r="B438" t="s">
        <v>1043</v>
      </c>
      <c r="C438" t="s">
        <v>5607</v>
      </c>
      <c r="D438" s="92" t="s">
        <v>428</v>
      </c>
      <c r="E438" s="92" t="s">
        <v>428</v>
      </c>
      <c r="F438" t="s">
        <v>428</v>
      </c>
      <c r="G438" t="s">
        <v>428</v>
      </c>
      <c r="H438" t="s">
        <v>5615</v>
      </c>
      <c r="I438">
        <v>0</v>
      </c>
      <c r="J438" t="s">
        <v>87</v>
      </c>
      <c r="K438">
        <v>0</v>
      </c>
      <c r="L438">
        <v>0</v>
      </c>
    </row>
    <row r="439" spans="1:12">
      <c r="A439" s="93">
        <v>125091</v>
      </c>
      <c r="B439" t="s">
        <v>1044</v>
      </c>
      <c r="C439" t="s">
        <v>5606</v>
      </c>
      <c r="D439" s="92">
        <v>0.2</v>
      </c>
      <c r="E439" s="92">
        <v>0.19</v>
      </c>
      <c r="F439" t="s">
        <v>428</v>
      </c>
      <c r="G439" t="s">
        <v>428</v>
      </c>
      <c r="H439" t="s">
        <v>5615</v>
      </c>
      <c r="I439">
        <v>0</v>
      </c>
      <c r="J439" t="s">
        <v>87</v>
      </c>
      <c r="K439">
        <v>0</v>
      </c>
      <c r="L439">
        <v>0</v>
      </c>
    </row>
    <row r="440" spans="1:12">
      <c r="A440" s="93">
        <v>125170</v>
      </c>
      <c r="B440" t="s">
        <v>1045</v>
      </c>
      <c r="C440" t="s">
        <v>5606</v>
      </c>
      <c r="D440" s="92">
        <v>0.28</v>
      </c>
      <c r="E440" s="92">
        <v>0.2</v>
      </c>
      <c r="F440" t="s">
        <v>428</v>
      </c>
      <c r="G440" t="s">
        <v>428</v>
      </c>
      <c r="H440" t="s">
        <v>5615</v>
      </c>
      <c r="I440">
        <v>0</v>
      </c>
      <c r="J440" t="s">
        <v>87</v>
      </c>
      <c r="K440">
        <v>0</v>
      </c>
      <c r="L440">
        <v>0</v>
      </c>
    </row>
    <row r="441" spans="1:12">
      <c r="A441" s="93">
        <v>125231</v>
      </c>
      <c r="B441" t="s">
        <v>1046</v>
      </c>
      <c r="C441" t="s">
        <v>5604</v>
      </c>
      <c r="D441" s="92">
        <v>0.11</v>
      </c>
      <c r="E441" s="92">
        <v>0</v>
      </c>
      <c r="F441" t="s">
        <v>428</v>
      </c>
      <c r="G441" t="s">
        <v>428</v>
      </c>
      <c r="H441" t="s">
        <v>5617</v>
      </c>
      <c r="I441">
        <v>0</v>
      </c>
      <c r="J441" t="s">
        <v>87</v>
      </c>
      <c r="K441">
        <v>0</v>
      </c>
      <c r="L441">
        <v>0</v>
      </c>
    </row>
    <row r="442" spans="1:12">
      <c r="A442" s="93">
        <v>125462</v>
      </c>
      <c r="B442" t="s">
        <v>1047</v>
      </c>
      <c r="C442" t="s">
        <v>5606</v>
      </c>
      <c r="D442" s="92">
        <v>0.35</v>
      </c>
      <c r="E442" s="92">
        <v>0.34</v>
      </c>
      <c r="F442" t="s">
        <v>428</v>
      </c>
      <c r="G442" t="s">
        <v>428</v>
      </c>
      <c r="H442" t="s">
        <v>5615</v>
      </c>
      <c r="I442">
        <v>0</v>
      </c>
      <c r="J442" t="s">
        <v>87</v>
      </c>
      <c r="K442">
        <v>0</v>
      </c>
      <c r="L442">
        <v>0</v>
      </c>
    </row>
    <row r="443" spans="1:12">
      <c r="A443" s="93">
        <v>125471</v>
      </c>
      <c r="B443" t="s">
        <v>1048</v>
      </c>
      <c r="C443" t="s">
        <v>5604</v>
      </c>
      <c r="D443" s="92">
        <v>0.2</v>
      </c>
      <c r="E443" s="92">
        <v>0.18</v>
      </c>
      <c r="F443" t="s">
        <v>428</v>
      </c>
      <c r="G443" t="s">
        <v>428</v>
      </c>
      <c r="H443" t="s">
        <v>5615</v>
      </c>
      <c r="I443">
        <v>0</v>
      </c>
      <c r="J443" t="s">
        <v>87</v>
      </c>
      <c r="K443">
        <v>0</v>
      </c>
      <c r="L443">
        <v>0</v>
      </c>
    </row>
    <row r="444" spans="1:12">
      <c r="A444" s="93">
        <v>125499</v>
      </c>
      <c r="B444" t="s">
        <v>1049</v>
      </c>
      <c r="C444" t="s">
        <v>5606</v>
      </c>
      <c r="D444" s="92">
        <v>0.41</v>
      </c>
      <c r="E444" s="92">
        <v>0.33</v>
      </c>
      <c r="F444" t="s">
        <v>428</v>
      </c>
      <c r="G444" t="s">
        <v>428</v>
      </c>
      <c r="H444" t="s">
        <v>5615</v>
      </c>
      <c r="I444">
        <v>0</v>
      </c>
      <c r="J444" t="s">
        <v>87</v>
      </c>
      <c r="K444">
        <v>0</v>
      </c>
      <c r="L444">
        <v>0</v>
      </c>
    </row>
    <row r="445" spans="1:12">
      <c r="A445" s="93">
        <v>125532</v>
      </c>
      <c r="B445" t="s">
        <v>1050</v>
      </c>
      <c r="C445" t="s">
        <v>5609</v>
      </c>
      <c r="D445" s="92">
        <v>0.55</v>
      </c>
      <c r="E445" s="92">
        <v>0.55</v>
      </c>
      <c r="F445" t="s">
        <v>428</v>
      </c>
      <c r="G445" t="s">
        <v>428</v>
      </c>
      <c r="H445" t="s">
        <v>5616</v>
      </c>
      <c r="I445">
        <v>0</v>
      </c>
      <c r="J445" t="s">
        <v>87</v>
      </c>
      <c r="K445">
        <v>0</v>
      </c>
      <c r="L445">
        <v>0</v>
      </c>
    </row>
    <row r="446" spans="1:12">
      <c r="A446" s="93">
        <v>125718</v>
      </c>
      <c r="B446" t="s">
        <v>1051</v>
      </c>
      <c r="C446" t="s">
        <v>5607</v>
      </c>
      <c r="D446" s="92" t="s">
        <v>428</v>
      </c>
      <c r="E446" s="92" t="s">
        <v>428</v>
      </c>
      <c r="F446" t="s">
        <v>428</v>
      </c>
      <c r="G446" t="s">
        <v>428</v>
      </c>
      <c r="H446" t="s">
        <v>5615</v>
      </c>
      <c r="I446">
        <v>0</v>
      </c>
      <c r="J446" t="s">
        <v>87</v>
      </c>
      <c r="K446">
        <v>0</v>
      </c>
      <c r="L446">
        <v>0</v>
      </c>
    </row>
    <row r="447" spans="1:12">
      <c r="A447" s="93">
        <v>125727</v>
      </c>
      <c r="B447" t="s">
        <v>1052</v>
      </c>
      <c r="C447" t="s">
        <v>5605</v>
      </c>
      <c r="D447" s="92">
        <v>0.77</v>
      </c>
      <c r="E447" s="92">
        <v>0.74</v>
      </c>
      <c r="F447">
        <v>23</v>
      </c>
      <c r="G447">
        <v>26</v>
      </c>
      <c r="H447" t="s">
        <v>5617</v>
      </c>
      <c r="I447">
        <v>0</v>
      </c>
      <c r="J447" t="s">
        <v>87</v>
      </c>
      <c r="K447">
        <v>0</v>
      </c>
      <c r="L447">
        <v>0</v>
      </c>
    </row>
    <row r="448" spans="1:12">
      <c r="A448" s="93">
        <v>125763</v>
      </c>
      <c r="B448" t="s">
        <v>1053</v>
      </c>
      <c r="C448" t="s">
        <v>5602</v>
      </c>
      <c r="D448" s="92">
        <v>0.65</v>
      </c>
      <c r="E448" s="92">
        <v>0.67</v>
      </c>
      <c r="F448">
        <v>20</v>
      </c>
      <c r="G448">
        <v>23</v>
      </c>
      <c r="H448" t="s">
        <v>5617</v>
      </c>
      <c r="I448">
        <v>0</v>
      </c>
      <c r="J448" t="s">
        <v>87</v>
      </c>
      <c r="K448">
        <v>0</v>
      </c>
      <c r="L448">
        <v>0</v>
      </c>
    </row>
    <row r="449" spans="1:12">
      <c r="A449" s="93">
        <v>125897</v>
      </c>
      <c r="B449" t="s">
        <v>1054</v>
      </c>
      <c r="C449" t="s">
        <v>5608</v>
      </c>
      <c r="D449" s="92">
        <v>0.44</v>
      </c>
      <c r="E449" s="92">
        <v>0.41</v>
      </c>
      <c r="F449">
        <v>19</v>
      </c>
      <c r="G449">
        <v>23.5</v>
      </c>
      <c r="H449" t="s">
        <v>5617</v>
      </c>
      <c r="I449">
        <v>0</v>
      </c>
      <c r="J449" t="s">
        <v>87</v>
      </c>
      <c r="K449">
        <v>0</v>
      </c>
      <c r="L449">
        <v>0</v>
      </c>
    </row>
    <row r="450" spans="1:12">
      <c r="A450" s="93">
        <v>126012</v>
      </c>
      <c r="B450" t="s">
        <v>1055</v>
      </c>
      <c r="C450" t="s">
        <v>5607</v>
      </c>
      <c r="D450" s="92" t="s">
        <v>428</v>
      </c>
      <c r="E450" s="92" t="s">
        <v>428</v>
      </c>
      <c r="F450" t="s">
        <v>428</v>
      </c>
      <c r="G450" t="s">
        <v>428</v>
      </c>
      <c r="H450" t="s">
        <v>5615</v>
      </c>
      <c r="I450">
        <v>0</v>
      </c>
      <c r="J450" t="s">
        <v>87</v>
      </c>
      <c r="K450">
        <v>0</v>
      </c>
      <c r="L450">
        <v>0</v>
      </c>
    </row>
    <row r="451" spans="1:12">
      <c r="A451" s="93">
        <v>126030</v>
      </c>
      <c r="B451" t="s">
        <v>1056</v>
      </c>
      <c r="C451" t="s">
        <v>5607</v>
      </c>
      <c r="D451" s="92" t="s">
        <v>428</v>
      </c>
      <c r="E451" s="92" t="s">
        <v>428</v>
      </c>
      <c r="F451" t="s">
        <v>428</v>
      </c>
      <c r="G451" t="s">
        <v>428</v>
      </c>
      <c r="H451" t="s">
        <v>5615</v>
      </c>
      <c r="I451">
        <v>0</v>
      </c>
      <c r="J451" t="s">
        <v>87</v>
      </c>
      <c r="K451">
        <v>0</v>
      </c>
      <c r="L451">
        <v>0</v>
      </c>
    </row>
    <row r="452" spans="1:12">
      <c r="A452" s="93">
        <v>126049</v>
      </c>
      <c r="B452" t="s">
        <v>1057</v>
      </c>
      <c r="C452" t="s">
        <v>5607</v>
      </c>
      <c r="D452" s="92" t="s">
        <v>428</v>
      </c>
      <c r="E452" s="92" t="s">
        <v>428</v>
      </c>
      <c r="F452" t="s">
        <v>428</v>
      </c>
      <c r="G452" t="s">
        <v>428</v>
      </c>
      <c r="H452" t="s">
        <v>5615</v>
      </c>
      <c r="I452">
        <v>0</v>
      </c>
      <c r="J452" t="s">
        <v>87</v>
      </c>
      <c r="K452">
        <v>0</v>
      </c>
      <c r="L452">
        <v>0</v>
      </c>
    </row>
    <row r="453" spans="1:12">
      <c r="A453" s="93">
        <v>126076</v>
      </c>
      <c r="B453" t="s">
        <v>1058</v>
      </c>
      <c r="C453" t="s">
        <v>5607</v>
      </c>
      <c r="D453" s="92">
        <v>0.29</v>
      </c>
      <c r="E453" s="92" t="s">
        <v>428</v>
      </c>
      <c r="F453" t="s">
        <v>428</v>
      </c>
      <c r="G453" t="s">
        <v>428</v>
      </c>
      <c r="H453" t="s">
        <v>5624</v>
      </c>
      <c r="I453">
        <v>1</v>
      </c>
      <c r="J453" t="s">
        <v>87</v>
      </c>
      <c r="K453">
        <v>0</v>
      </c>
      <c r="L453">
        <v>0</v>
      </c>
    </row>
    <row r="454" spans="1:12">
      <c r="A454" s="93">
        <v>126119</v>
      </c>
      <c r="B454" t="s">
        <v>1059</v>
      </c>
      <c r="C454" t="s">
        <v>5606</v>
      </c>
      <c r="D454" s="92">
        <v>0.29</v>
      </c>
      <c r="E454" s="92">
        <v>0.24</v>
      </c>
      <c r="F454" t="s">
        <v>428</v>
      </c>
      <c r="G454" t="s">
        <v>428</v>
      </c>
      <c r="H454" t="s">
        <v>5615</v>
      </c>
      <c r="I454">
        <v>0</v>
      </c>
      <c r="J454" t="s">
        <v>87</v>
      </c>
      <c r="K454">
        <v>0</v>
      </c>
      <c r="L454">
        <v>0</v>
      </c>
    </row>
    <row r="455" spans="1:12">
      <c r="A455" s="93">
        <v>126164</v>
      </c>
      <c r="B455" t="s">
        <v>1060</v>
      </c>
      <c r="C455" t="s">
        <v>5606</v>
      </c>
      <c r="D455" s="92" t="s">
        <v>428</v>
      </c>
      <c r="E455" s="92" t="s">
        <v>428</v>
      </c>
      <c r="F455" t="s">
        <v>428</v>
      </c>
      <c r="G455" t="s">
        <v>428</v>
      </c>
      <c r="H455" t="s">
        <v>5616</v>
      </c>
      <c r="I455">
        <v>0</v>
      </c>
      <c r="J455" t="s">
        <v>87</v>
      </c>
      <c r="K455">
        <v>0</v>
      </c>
      <c r="L455">
        <v>0</v>
      </c>
    </row>
    <row r="456" spans="1:12">
      <c r="A456" s="93">
        <v>126182</v>
      </c>
      <c r="B456" t="s">
        <v>1061</v>
      </c>
      <c r="C456" t="s">
        <v>5608</v>
      </c>
      <c r="D456" s="92">
        <v>0.27</v>
      </c>
      <c r="E456" s="92">
        <v>0.21</v>
      </c>
      <c r="F456">
        <v>17</v>
      </c>
      <c r="G456">
        <v>19.5</v>
      </c>
      <c r="H456" t="s">
        <v>5615</v>
      </c>
      <c r="I456">
        <v>0</v>
      </c>
      <c r="J456" t="s">
        <v>87</v>
      </c>
      <c r="K456">
        <v>0</v>
      </c>
      <c r="L456">
        <v>0</v>
      </c>
    </row>
    <row r="457" spans="1:12">
      <c r="A457" s="93">
        <v>126207</v>
      </c>
      <c r="B457" t="s">
        <v>1062</v>
      </c>
      <c r="C457" t="s">
        <v>5606</v>
      </c>
      <c r="D457" s="92">
        <v>0.35</v>
      </c>
      <c r="E457" s="92">
        <v>0.28</v>
      </c>
      <c r="F457" t="s">
        <v>428</v>
      </c>
      <c r="G457" t="s">
        <v>428</v>
      </c>
      <c r="H457" t="s">
        <v>5615</v>
      </c>
      <c r="I457">
        <v>0</v>
      </c>
      <c r="J457" t="s">
        <v>87</v>
      </c>
      <c r="K457">
        <v>0</v>
      </c>
      <c r="L457">
        <v>0</v>
      </c>
    </row>
    <row r="458" spans="1:12">
      <c r="A458" s="93">
        <v>126289</v>
      </c>
      <c r="B458" t="s">
        <v>1063</v>
      </c>
      <c r="C458" t="s">
        <v>5606</v>
      </c>
      <c r="D458" s="92">
        <v>0.26</v>
      </c>
      <c r="E458" s="92">
        <v>0.23</v>
      </c>
      <c r="F458" t="s">
        <v>428</v>
      </c>
      <c r="G458" t="s">
        <v>428</v>
      </c>
      <c r="H458" t="s">
        <v>5615</v>
      </c>
      <c r="I458">
        <v>0</v>
      </c>
      <c r="J458" t="s">
        <v>87</v>
      </c>
      <c r="K458">
        <v>0</v>
      </c>
      <c r="L458">
        <v>0</v>
      </c>
    </row>
    <row r="459" spans="1:12">
      <c r="A459" s="93">
        <v>126359</v>
      </c>
      <c r="B459" t="s">
        <v>1064</v>
      </c>
      <c r="C459" t="s">
        <v>5609</v>
      </c>
      <c r="D459" s="92" t="s">
        <v>428</v>
      </c>
      <c r="E459" s="92" t="s">
        <v>428</v>
      </c>
      <c r="F459" t="s">
        <v>428</v>
      </c>
      <c r="G459" t="s">
        <v>428</v>
      </c>
      <c r="H459" t="s">
        <v>5617</v>
      </c>
      <c r="I459">
        <v>0</v>
      </c>
      <c r="J459" t="s">
        <v>87</v>
      </c>
      <c r="K459">
        <v>0</v>
      </c>
      <c r="L459">
        <v>0</v>
      </c>
    </row>
    <row r="460" spans="1:12">
      <c r="A460" s="93">
        <v>126401</v>
      </c>
      <c r="B460" t="s">
        <v>1065</v>
      </c>
      <c r="C460" t="s">
        <v>5606</v>
      </c>
      <c r="D460" s="92" t="s">
        <v>428</v>
      </c>
      <c r="E460" s="92" t="s">
        <v>428</v>
      </c>
      <c r="F460" t="s">
        <v>428</v>
      </c>
      <c r="G460" t="s">
        <v>428</v>
      </c>
      <c r="H460" t="s">
        <v>5617</v>
      </c>
      <c r="I460">
        <v>0</v>
      </c>
      <c r="J460" t="s">
        <v>87</v>
      </c>
      <c r="K460">
        <v>0</v>
      </c>
      <c r="L460">
        <v>0</v>
      </c>
    </row>
    <row r="461" spans="1:12">
      <c r="A461" s="93">
        <v>126562</v>
      </c>
      <c r="B461" t="s">
        <v>1066</v>
      </c>
      <c r="C461" t="s">
        <v>5602</v>
      </c>
      <c r="D461" s="92">
        <v>0.45</v>
      </c>
      <c r="E461" s="92">
        <v>0.41</v>
      </c>
      <c r="F461">
        <v>18</v>
      </c>
      <c r="G461">
        <v>21</v>
      </c>
      <c r="H461" t="s">
        <v>5615</v>
      </c>
      <c r="I461">
        <v>0</v>
      </c>
      <c r="J461" t="s">
        <v>87</v>
      </c>
      <c r="K461">
        <v>0</v>
      </c>
      <c r="L461">
        <v>0</v>
      </c>
    </row>
    <row r="462" spans="1:12">
      <c r="A462" s="93">
        <v>126580</v>
      </c>
      <c r="B462" t="s">
        <v>1067</v>
      </c>
      <c r="C462" t="s">
        <v>5602</v>
      </c>
      <c r="D462" s="92">
        <v>0.47</v>
      </c>
      <c r="E462" s="92">
        <v>0.38</v>
      </c>
      <c r="F462">
        <v>20</v>
      </c>
      <c r="G462">
        <v>23</v>
      </c>
      <c r="H462" t="s">
        <v>5615</v>
      </c>
      <c r="I462">
        <v>0</v>
      </c>
      <c r="J462" t="s">
        <v>87</v>
      </c>
      <c r="K462">
        <v>0</v>
      </c>
      <c r="L462">
        <v>0</v>
      </c>
    </row>
    <row r="463" spans="1:12">
      <c r="A463" s="93">
        <v>126605</v>
      </c>
      <c r="B463" t="s">
        <v>1068</v>
      </c>
      <c r="C463" t="s">
        <v>5606</v>
      </c>
      <c r="D463" s="92" t="s">
        <v>428</v>
      </c>
      <c r="E463" s="92" t="s">
        <v>428</v>
      </c>
      <c r="F463" t="s">
        <v>428</v>
      </c>
      <c r="G463" t="s">
        <v>428</v>
      </c>
      <c r="H463" t="s">
        <v>5617</v>
      </c>
      <c r="I463">
        <v>0</v>
      </c>
      <c r="J463" t="s">
        <v>87</v>
      </c>
      <c r="K463">
        <v>0</v>
      </c>
      <c r="L463">
        <v>0</v>
      </c>
    </row>
    <row r="464" spans="1:12">
      <c r="A464" s="93">
        <v>126614</v>
      </c>
      <c r="B464" t="s">
        <v>1069</v>
      </c>
      <c r="C464" t="s">
        <v>5603</v>
      </c>
      <c r="D464" s="92">
        <v>0.7</v>
      </c>
      <c r="E464" s="92">
        <v>0.63</v>
      </c>
      <c r="F464">
        <v>25</v>
      </c>
      <c r="G464">
        <v>27.5</v>
      </c>
      <c r="H464" t="s">
        <v>5615</v>
      </c>
      <c r="I464">
        <v>0</v>
      </c>
      <c r="J464" t="s">
        <v>87</v>
      </c>
      <c r="K464">
        <v>0</v>
      </c>
      <c r="L464">
        <v>0</v>
      </c>
    </row>
    <row r="465" spans="1:12">
      <c r="A465" s="93">
        <v>126669</v>
      </c>
      <c r="B465" t="s">
        <v>1070</v>
      </c>
      <c r="C465" t="s">
        <v>5603</v>
      </c>
      <c r="D465" s="92">
        <v>0.47</v>
      </c>
      <c r="E465" s="92">
        <v>0.33</v>
      </c>
      <c r="F465" t="s">
        <v>428</v>
      </c>
      <c r="G465" t="s">
        <v>428</v>
      </c>
      <c r="H465" t="s">
        <v>5617</v>
      </c>
      <c r="I465">
        <v>0</v>
      </c>
      <c r="J465" t="s">
        <v>87</v>
      </c>
      <c r="K465">
        <v>0</v>
      </c>
      <c r="L465">
        <v>0</v>
      </c>
    </row>
    <row r="466" spans="1:12">
      <c r="A466" s="93">
        <v>126678</v>
      </c>
      <c r="B466" t="s">
        <v>1071</v>
      </c>
      <c r="C466" t="s">
        <v>5611</v>
      </c>
      <c r="D466" s="92">
        <v>0.87</v>
      </c>
      <c r="E466" s="92">
        <v>0.91</v>
      </c>
      <c r="F466" t="s">
        <v>428</v>
      </c>
      <c r="G466" t="s">
        <v>428</v>
      </c>
      <c r="H466" t="s">
        <v>5619</v>
      </c>
      <c r="I466">
        <v>1</v>
      </c>
      <c r="J466" t="s">
        <v>87</v>
      </c>
      <c r="K466">
        <v>0</v>
      </c>
      <c r="L466">
        <v>0</v>
      </c>
    </row>
    <row r="467" spans="1:12">
      <c r="A467" s="93">
        <v>126687</v>
      </c>
      <c r="B467" t="s">
        <v>1072</v>
      </c>
      <c r="C467" t="s">
        <v>5609</v>
      </c>
      <c r="D467" s="92" t="s">
        <v>428</v>
      </c>
      <c r="E467" s="92" t="s">
        <v>428</v>
      </c>
      <c r="F467" t="s">
        <v>428</v>
      </c>
      <c r="G467" t="s">
        <v>428</v>
      </c>
      <c r="H467" t="s">
        <v>5617</v>
      </c>
      <c r="I467">
        <v>0</v>
      </c>
      <c r="J467" t="s">
        <v>87</v>
      </c>
      <c r="K467">
        <v>0</v>
      </c>
      <c r="L467">
        <v>0</v>
      </c>
    </row>
    <row r="468" spans="1:12">
      <c r="A468" s="93">
        <v>126702</v>
      </c>
      <c r="B468" t="s">
        <v>1073</v>
      </c>
      <c r="C468" t="s">
        <v>5604</v>
      </c>
      <c r="D468" s="92">
        <v>0.23</v>
      </c>
      <c r="E468" s="92">
        <v>0.26</v>
      </c>
      <c r="F468" t="s">
        <v>428</v>
      </c>
      <c r="G468" t="s">
        <v>428</v>
      </c>
      <c r="H468" t="s">
        <v>5617</v>
      </c>
      <c r="I468">
        <v>0</v>
      </c>
      <c r="J468" t="s">
        <v>87</v>
      </c>
      <c r="K468">
        <v>0</v>
      </c>
      <c r="L468">
        <v>0</v>
      </c>
    </row>
    <row r="469" spans="1:12">
      <c r="A469" s="93">
        <v>126711</v>
      </c>
      <c r="B469" t="s">
        <v>1074</v>
      </c>
      <c r="C469" t="s">
        <v>5604</v>
      </c>
      <c r="D469" s="92" t="s">
        <v>428</v>
      </c>
      <c r="E469" s="92" t="s">
        <v>428</v>
      </c>
      <c r="F469" t="s">
        <v>428</v>
      </c>
      <c r="G469" t="s">
        <v>428</v>
      </c>
      <c r="H469" t="s">
        <v>5615</v>
      </c>
      <c r="I469">
        <v>0</v>
      </c>
      <c r="J469" t="s">
        <v>87</v>
      </c>
      <c r="K469">
        <v>0</v>
      </c>
      <c r="L469">
        <v>0</v>
      </c>
    </row>
    <row r="470" spans="1:12">
      <c r="A470" s="93">
        <v>126748</v>
      </c>
      <c r="B470" t="s">
        <v>1075</v>
      </c>
      <c r="C470" t="s">
        <v>5606</v>
      </c>
      <c r="D470" s="92">
        <v>0.34</v>
      </c>
      <c r="E470" s="92">
        <v>0.34</v>
      </c>
      <c r="F470" t="s">
        <v>428</v>
      </c>
      <c r="G470" t="s">
        <v>428</v>
      </c>
      <c r="H470" t="s">
        <v>5615</v>
      </c>
      <c r="I470">
        <v>0</v>
      </c>
      <c r="J470" t="s">
        <v>87</v>
      </c>
      <c r="K470">
        <v>0</v>
      </c>
      <c r="L470">
        <v>0</v>
      </c>
    </row>
    <row r="471" spans="1:12">
      <c r="A471" s="93">
        <v>126775</v>
      </c>
      <c r="B471" t="s">
        <v>1076</v>
      </c>
      <c r="C471" t="s">
        <v>5612</v>
      </c>
      <c r="D471" s="92">
        <v>0.77</v>
      </c>
      <c r="E471" s="92">
        <v>0.78</v>
      </c>
      <c r="F471">
        <v>29</v>
      </c>
      <c r="G471">
        <v>30.5</v>
      </c>
      <c r="H471" t="s">
        <v>5615</v>
      </c>
      <c r="I471">
        <v>0</v>
      </c>
      <c r="J471" t="s">
        <v>87</v>
      </c>
      <c r="K471">
        <v>0</v>
      </c>
      <c r="L471">
        <v>0</v>
      </c>
    </row>
    <row r="472" spans="1:12">
      <c r="A472" s="93">
        <v>126784</v>
      </c>
      <c r="B472" t="s">
        <v>1077</v>
      </c>
      <c r="C472" t="s">
        <v>5606</v>
      </c>
      <c r="D472" s="92" t="s">
        <v>428</v>
      </c>
      <c r="E472" s="92" t="s">
        <v>428</v>
      </c>
      <c r="F472" t="s">
        <v>428</v>
      </c>
      <c r="G472" t="s">
        <v>428</v>
      </c>
      <c r="H472" t="s">
        <v>5617</v>
      </c>
      <c r="I472">
        <v>0</v>
      </c>
      <c r="J472" t="s">
        <v>87</v>
      </c>
      <c r="K472">
        <v>0</v>
      </c>
      <c r="L472">
        <v>0</v>
      </c>
    </row>
    <row r="473" spans="1:12">
      <c r="A473" s="93">
        <v>126818</v>
      </c>
      <c r="B473" t="s">
        <v>1078</v>
      </c>
      <c r="C473" t="s">
        <v>5603</v>
      </c>
      <c r="D473" s="92">
        <v>0.67</v>
      </c>
      <c r="E473" s="92">
        <v>0.57</v>
      </c>
      <c r="F473">
        <v>23</v>
      </c>
      <c r="G473">
        <v>25.5</v>
      </c>
      <c r="H473" t="s">
        <v>5617</v>
      </c>
      <c r="I473">
        <v>0</v>
      </c>
      <c r="J473" t="s">
        <v>87</v>
      </c>
      <c r="K473">
        <v>0</v>
      </c>
      <c r="L473">
        <v>0</v>
      </c>
    </row>
    <row r="474" spans="1:12">
      <c r="A474" s="93">
        <v>126827</v>
      </c>
      <c r="B474" t="s">
        <v>1079</v>
      </c>
      <c r="C474" t="s">
        <v>5604</v>
      </c>
      <c r="D474" s="92">
        <v>0.15</v>
      </c>
      <c r="E474" s="92">
        <v>0.14</v>
      </c>
      <c r="F474" t="s">
        <v>428</v>
      </c>
      <c r="G474" t="s">
        <v>428</v>
      </c>
      <c r="H474" t="s">
        <v>5617</v>
      </c>
      <c r="I474">
        <v>0</v>
      </c>
      <c r="J474" t="s">
        <v>87</v>
      </c>
      <c r="K474">
        <v>0</v>
      </c>
      <c r="L474">
        <v>0</v>
      </c>
    </row>
    <row r="475" spans="1:12">
      <c r="A475" s="93">
        <v>126863</v>
      </c>
      <c r="B475" t="s">
        <v>1080</v>
      </c>
      <c r="C475" t="s">
        <v>5606</v>
      </c>
      <c r="D475" s="92">
        <v>0.28</v>
      </c>
      <c r="E475" s="92">
        <v>0.18</v>
      </c>
      <c r="F475" t="s">
        <v>428</v>
      </c>
      <c r="G475" t="s">
        <v>428</v>
      </c>
      <c r="H475" t="s">
        <v>5615</v>
      </c>
      <c r="I475">
        <v>0</v>
      </c>
      <c r="J475" t="s">
        <v>87</v>
      </c>
      <c r="K475">
        <v>0</v>
      </c>
      <c r="L475">
        <v>0</v>
      </c>
    </row>
    <row r="476" spans="1:12">
      <c r="A476" s="93">
        <v>126872</v>
      </c>
      <c r="B476" t="s">
        <v>1081</v>
      </c>
      <c r="C476" t="s">
        <v>5606</v>
      </c>
      <c r="D476" s="92" t="s">
        <v>428</v>
      </c>
      <c r="E476" s="92" t="s">
        <v>428</v>
      </c>
      <c r="F476" t="s">
        <v>428</v>
      </c>
      <c r="G476" t="s">
        <v>428</v>
      </c>
      <c r="H476" t="s">
        <v>5617</v>
      </c>
      <c r="I476">
        <v>0</v>
      </c>
      <c r="J476" t="s">
        <v>87</v>
      </c>
      <c r="K476">
        <v>0</v>
      </c>
      <c r="L476">
        <v>0</v>
      </c>
    </row>
    <row r="477" spans="1:12">
      <c r="A477" s="93">
        <v>126915</v>
      </c>
      <c r="B477" t="s">
        <v>1082</v>
      </c>
      <c r="C477" t="s">
        <v>5606</v>
      </c>
      <c r="D477" s="92" t="s">
        <v>428</v>
      </c>
      <c r="E477" s="92" t="s">
        <v>428</v>
      </c>
      <c r="F477" t="s">
        <v>428</v>
      </c>
      <c r="G477" t="s">
        <v>428</v>
      </c>
      <c r="H477" t="s">
        <v>5615</v>
      </c>
      <c r="I477">
        <v>0</v>
      </c>
      <c r="J477" t="s">
        <v>87</v>
      </c>
      <c r="K477">
        <v>0</v>
      </c>
      <c r="L477">
        <v>0</v>
      </c>
    </row>
    <row r="478" spans="1:12">
      <c r="A478" s="93">
        <v>126942</v>
      </c>
      <c r="B478" t="s">
        <v>1083</v>
      </c>
      <c r="C478" t="s">
        <v>5604</v>
      </c>
      <c r="D478" s="92">
        <v>0.13</v>
      </c>
      <c r="E478" s="92">
        <v>0.1</v>
      </c>
      <c r="F478" t="s">
        <v>428</v>
      </c>
      <c r="G478" t="s">
        <v>428</v>
      </c>
      <c r="H478" t="s">
        <v>5615</v>
      </c>
      <c r="I478">
        <v>0</v>
      </c>
      <c r="J478" t="s">
        <v>87</v>
      </c>
      <c r="K478">
        <v>0</v>
      </c>
      <c r="L478">
        <v>0</v>
      </c>
    </row>
    <row r="479" spans="1:12">
      <c r="A479" s="93">
        <v>126951</v>
      </c>
      <c r="B479" t="s">
        <v>1084</v>
      </c>
      <c r="C479" t="s">
        <v>5606</v>
      </c>
      <c r="D479" s="92" t="s">
        <v>428</v>
      </c>
      <c r="E479" s="92" t="s">
        <v>428</v>
      </c>
      <c r="F479" t="s">
        <v>428</v>
      </c>
      <c r="G479" t="s">
        <v>428</v>
      </c>
      <c r="H479" t="s">
        <v>5617</v>
      </c>
      <c r="I479">
        <v>0</v>
      </c>
      <c r="J479" t="s">
        <v>87</v>
      </c>
      <c r="K479">
        <v>0</v>
      </c>
      <c r="L479">
        <v>0</v>
      </c>
    </row>
    <row r="480" spans="1:12">
      <c r="A480" s="93">
        <v>126979</v>
      </c>
      <c r="B480" t="s">
        <v>1085</v>
      </c>
      <c r="C480" t="s">
        <v>5607</v>
      </c>
      <c r="D480" s="92" t="s">
        <v>428</v>
      </c>
      <c r="E480" s="92" t="s">
        <v>428</v>
      </c>
      <c r="F480" t="s">
        <v>428</v>
      </c>
      <c r="G480" t="s">
        <v>428</v>
      </c>
      <c r="H480" t="s">
        <v>5615</v>
      </c>
      <c r="I480">
        <v>0</v>
      </c>
      <c r="J480" t="s">
        <v>87</v>
      </c>
      <c r="K480">
        <v>0</v>
      </c>
      <c r="L480">
        <v>0</v>
      </c>
    </row>
    <row r="481" spans="1:12">
      <c r="A481" s="93">
        <v>127060</v>
      </c>
      <c r="B481" t="s">
        <v>1086</v>
      </c>
      <c r="C481" t="s">
        <v>5603</v>
      </c>
      <c r="D481" s="92">
        <v>0.79</v>
      </c>
      <c r="E481" s="92">
        <v>0.78</v>
      </c>
      <c r="F481">
        <v>26</v>
      </c>
      <c r="G481">
        <v>28.5</v>
      </c>
      <c r="H481" t="s">
        <v>5618</v>
      </c>
      <c r="I481">
        <v>0</v>
      </c>
      <c r="J481" t="s">
        <v>87</v>
      </c>
      <c r="K481">
        <v>0</v>
      </c>
      <c r="L481">
        <v>0</v>
      </c>
    </row>
    <row r="482" spans="1:12">
      <c r="A482" s="93">
        <v>127185</v>
      </c>
      <c r="B482" t="s">
        <v>1087</v>
      </c>
      <c r="C482" t="s">
        <v>5602</v>
      </c>
      <c r="D482" s="92">
        <v>0.41</v>
      </c>
      <c r="E482" s="92">
        <v>0.31</v>
      </c>
      <c r="F482">
        <v>19</v>
      </c>
      <c r="G482">
        <v>21.5</v>
      </c>
      <c r="H482" t="s">
        <v>5615</v>
      </c>
      <c r="I482">
        <v>0</v>
      </c>
      <c r="J482" t="s">
        <v>87</v>
      </c>
      <c r="K482">
        <v>0</v>
      </c>
      <c r="L482">
        <v>0</v>
      </c>
    </row>
    <row r="483" spans="1:12">
      <c r="A483" s="93">
        <v>127200</v>
      </c>
      <c r="B483" t="s">
        <v>1088</v>
      </c>
      <c r="C483" t="s">
        <v>5606</v>
      </c>
      <c r="D483" s="92">
        <v>0.24</v>
      </c>
      <c r="E483" s="92">
        <v>0.19</v>
      </c>
      <c r="F483" t="s">
        <v>428</v>
      </c>
      <c r="G483" t="s">
        <v>428</v>
      </c>
      <c r="H483" t="s">
        <v>5615</v>
      </c>
      <c r="I483">
        <v>0</v>
      </c>
      <c r="J483" t="s">
        <v>87</v>
      </c>
      <c r="K483">
        <v>0</v>
      </c>
      <c r="L483">
        <v>0</v>
      </c>
    </row>
    <row r="484" spans="1:12">
      <c r="A484" s="93">
        <v>127219</v>
      </c>
      <c r="B484" t="s">
        <v>1089</v>
      </c>
      <c r="C484" t="s">
        <v>5606</v>
      </c>
      <c r="D484" s="92">
        <v>0.74</v>
      </c>
      <c r="E484" s="92">
        <v>0.6</v>
      </c>
      <c r="F484" t="s">
        <v>428</v>
      </c>
      <c r="G484" t="s">
        <v>428</v>
      </c>
      <c r="H484" t="s">
        <v>5616</v>
      </c>
      <c r="I484">
        <v>0</v>
      </c>
      <c r="J484" t="s">
        <v>87</v>
      </c>
      <c r="K484">
        <v>0</v>
      </c>
      <c r="L484">
        <v>0</v>
      </c>
    </row>
    <row r="485" spans="1:12">
      <c r="A485" s="93">
        <v>127228</v>
      </c>
      <c r="B485" t="s">
        <v>1090</v>
      </c>
      <c r="C485" t="s">
        <v>5606</v>
      </c>
      <c r="D485" s="92" t="s">
        <v>428</v>
      </c>
      <c r="E485" s="92" t="s">
        <v>428</v>
      </c>
      <c r="F485" t="s">
        <v>428</v>
      </c>
      <c r="G485" t="s">
        <v>428</v>
      </c>
      <c r="H485" t="s">
        <v>5616</v>
      </c>
      <c r="I485">
        <v>0</v>
      </c>
      <c r="J485" t="s">
        <v>87</v>
      </c>
      <c r="K485">
        <v>0</v>
      </c>
      <c r="L485">
        <v>0</v>
      </c>
    </row>
    <row r="486" spans="1:12">
      <c r="A486" s="93">
        <v>127273</v>
      </c>
      <c r="B486" t="s">
        <v>1091</v>
      </c>
      <c r="C486" t="s">
        <v>5607</v>
      </c>
      <c r="D486" s="92" t="s">
        <v>428</v>
      </c>
      <c r="E486" s="92" t="s">
        <v>428</v>
      </c>
      <c r="F486" t="s">
        <v>428</v>
      </c>
      <c r="G486" t="s">
        <v>428</v>
      </c>
      <c r="H486" t="s">
        <v>5615</v>
      </c>
      <c r="I486">
        <v>0</v>
      </c>
      <c r="J486" t="s">
        <v>87</v>
      </c>
      <c r="K486">
        <v>0</v>
      </c>
      <c r="L486">
        <v>0</v>
      </c>
    </row>
    <row r="487" spans="1:12">
      <c r="A487" s="93">
        <v>127316</v>
      </c>
      <c r="B487" t="s">
        <v>1092</v>
      </c>
      <c r="C487" t="s">
        <v>5606</v>
      </c>
      <c r="D487" s="92" t="s">
        <v>428</v>
      </c>
      <c r="E487" s="92" t="s">
        <v>428</v>
      </c>
      <c r="F487" t="s">
        <v>428</v>
      </c>
      <c r="G487" t="s">
        <v>428</v>
      </c>
      <c r="H487" t="s">
        <v>5616</v>
      </c>
      <c r="I487">
        <v>0</v>
      </c>
      <c r="J487" t="s">
        <v>87</v>
      </c>
      <c r="K487">
        <v>0</v>
      </c>
      <c r="L487">
        <v>0</v>
      </c>
    </row>
    <row r="488" spans="1:12">
      <c r="A488" s="93">
        <v>127389</v>
      </c>
      <c r="B488" t="s">
        <v>1093</v>
      </c>
      <c r="C488" t="s">
        <v>5606</v>
      </c>
      <c r="D488" s="92">
        <v>0.39</v>
      </c>
      <c r="E488" s="92">
        <v>0.27</v>
      </c>
      <c r="F488" t="s">
        <v>428</v>
      </c>
      <c r="G488" t="s">
        <v>428</v>
      </c>
      <c r="H488" t="s">
        <v>5615</v>
      </c>
      <c r="I488">
        <v>0</v>
      </c>
      <c r="J488" t="s">
        <v>87</v>
      </c>
      <c r="K488">
        <v>0</v>
      </c>
      <c r="L488">
        <v>0</v>
      </c>
    </row>
    <row r="489" spans="1:12">
      <c r="A489" s="93">
        <v>127556</v>
      </c>
      <c r="B489" t="s">
        <v>1094</v>
      </c>
      <c r="C489" t="s">
        <v>5608</v>
      </c>
      <c r="D489" s="92">
        <v>0.36</v>
      </c>
      <c r="E489" s="92">
        <v>0.34</v>
      </c>
      <c r="F489">
        <v>18</v>
      </c>
      <c r="G489">
        <v>21</v>
      </c>
      <c r="H489" t="s">
        <v>5615</v>
      </c>
      <c r="I489">
        <v>0</v>
      </c>
      <c r="J489" t="s">
        <v>87</v>
      </c>
      <c r="K489">
        <v>0</v>
      </c>
      <c r="L489">
        <v>0</v>
      </c>
    </row>
    <row r="490" spans="1:12">
      <c r="A490" s="93">
        <v>127565</v>
      </c>
      <c r="B490" t="s">
        <v>1095</v>
      </c>
      <c r="C490" t="s">
        <v>5608</v>
      </c>
      <c r="D490" s="92">
        <v>0.27</v>
      </c>
      <c r="E490" s="92">
        <v>0.22</v>
      </c>
      <c r="F490">
        <v>17</v>
      </c>
      <c r="G490">
        <v>20</v>
      </c>
      <c r="H490" t="s">
        <v>5615</v>
      </c>
      <c r="I490">
        <v>0</v>
      </c>
      <c r="J490" t="s">
        <v>87</v>
      </c>
      <c r="K490">
        <v>0</v>
      </c>
      <c r="L490">
        <v>0</v>
      </c>
    </row>
    <row r="491" spans="1:12">
      <c r="A491" s="93">
        <v>127617</v>
      </c>
      <c r="B491" t="s">
        <v>1096</v>
      </c>
      <c r="C491" t="s">
        <v>5606</v>
      </c>
      <c r="D491" s="92">
        <v>0.43</v>
      </c>
      <c r="E491" s="92">
        <v>0.41</v>
      </c>
      <c r="F491" t="s">
        <v>428</v>
      </c>
      <c r="G491" t="s">
        <v>428</v>
      </c>
      <c r="H491" t="s">
        <v>5615</v>
      </c>
      <c r="I491">
        <v>0</v>
      </c>
      <c r="J491" t="s">
        <v>87</v>
      </c>
      <c r="K491">
        <v>0</v>
      </c>
      <c r="L491">
        <v>0</v>
      </c>
    </row>
    <row r="492" spans="1:12">
      <c r="A492" s="93">
        <v>127653</v>
      </c>
      <c r="B492" t="s">
        <v>1097</v>
      </c>
      <c r="C492" t="s">
        <v>5604</v>
      </c>
      <c r="D492" s="92">
        <v>0.36</v>
      </c>
      <c r="E492" s="92">
        <v>0.25</v>
      </c>
      <c r="F492" t="s">
        <v>428</v>
      </c>
      <c r="G492" t="s">
        <v>428</v>
      </c>
      <c r="H492" t="s">
        <v>5617</v>
      </c>
      <c r="I492">
        <v>0</v>
      </c>
      <c r="J492" t="s">
        <v>87</v>
      </c>
      <c r="K492">
        <v>0</v>
      </c>
      <c r="L492">
        <v>0</v>
      </c>
    </row>
    <row r="493" spans="1:12">
      <c r="A493" s="93">
        <v>127680</v>
      </c>
      <c r="B493" t="s">
        <v>1098</v>
      </c>
      <c r="C493" t="s">
        <v>5604</v>
      </c>
      <c r="D493" s="92">
        <v>1</v>
      </c>
      <c r="E493" s="92">
        <v>1</v>
      </c>
      <c r="F493" t="s">
        <v>428</v>
      </c>
      <c r="G493" t="s">
        <v>428</v>
      </c>
      <c r="H493" t="s">
        <v>5617</v>
      </c>
      <c r="I493">
        <v>0</v>
      </c>
      <c r="J493" t="s">
        <v>87</v>
      </c>
      <c r="K493">
        <v>0</v>
      </c>
      <c r="L493">
        <v>0</v>
      </c>
    </row>
    <row r="494" spans="1:12">
      <c r="A494" s="93">
        <v>127714</v>
      </c>
      <c r="B494" t="s">
        <v>1099</v>
      </c>
      <c r="C494" t="s">
        <v>5604</v>
      </c>
      <c r="D494" s="92">
        <v>0.4</v>
      </c>
      <c r="E494" s="92" t="s">
        <v>428</v>
      </c>
      <c r="F494" t="s">
        <v>428</v>
      </c>
      <c r="G494" t="s">
        <v>428</v>
      </c>
      <c r="H494" t="s">
        <v>5616</v>
      </c>
      <c r="I494">
        <v>0</v>
      </c>
      <c r="J494" t="s">
        <v>87</v>
      </c>
      <c r="K494">
        <v>0</v>
      </c>
      <c r="L494">
        <v>0</v>
      </c>
    </row>
    <row r="495" spans="1:12">
      <c r="A495" s="93">
        <v>127732</v>
      </c>
      <c r="B495" t="s">
        <v>1100</v>
      </c>
      <c r="C495" t="s">
        <v>5606</v>
      </c>
      <c r="D495" s="92">
        <v>0.39</v>
      </c>
      <c r="E495" s="92">
        <v>0.23</v>
      </c>
      <c r="F495" t="s">
        <v>428</v>
      </c>
      <c r="G495" t="s">
        <v>428</v>
      </c>
      <c r="H495" t="s">
        <v>5615</v>
      </c>
      <c r="I495">
        <v>0</v>
      </c>
      <c r="J495" t="s">
        <v>87</v>
      </c>
      <c r="K495">
        <v>0</v>
      </c>
      <c r="L495">
        <v>0</v>
      </c>
    </row>
    <row r="496" spans="1:12">
      <c r="A496" s="93">
        <v>127741</v>
      </c>
      <c r="B496" t="s">
        <v>1101</v>
      </c>
      <c r="C496" t="s">
        <v>5602</v>
      </c>
      <c r="D496" s="92">
        <v>0.48</v>
      </c>
      <c r="E496" s="92">
        <v>0.44</v>
      </c>
      <c r="F496">
        <v>19</v>
      </c>
      <c r="G496">
        <v>22</v>
      </c>
      <c r="H496" t="s">
        <v>5615</v>
      </c>
      <c r="I496">
        <v>0</v>
      </c>
      <c r="J496" t="s">
        <v>87</v>
      </c>
      <c r="K496">
        <v>0</v>
      </c>
      <c r="L496">
        <v>0</v>
      </c>
    </row>
    <row r="497" spans="1:12">
      <c r="A497" s="93">
        <v>127778</v>
      </c>
      <c r="B497" t="s">
        <v>1102</v>
      </c>
      <c r="C497" t="s">
        <v>5606</v>
      </c>
      <c r="D497" s="92">
        <v>0.41</v>
      </c>
      <c r="E497" s="92">
        <v>0.39</v>
      </c>
      <c r="F497" t="s">
        <v>428</v>
      </c>
      <c r="G497" t="s">
        <v>428</v>
      </c>
      <c r="H497" t="s">
        <v>5615</v>
      </c>
      <c r="I497">
        <v>0</v>
      </c>
      <c r="J497" t="s">
        <v>87</v>
      </c>
      <c r="K497">
        <v>0</v>
      </c>
      <c r="L497">
        <v>0</v>
      </c>
    </row>
    <row r="498" spans="1:12">
      <c r="A498" s="93">
        <v>127787</v>
      </c>
      <c r="B498" t="s">
        <v>1103</v>
      </c>
      <c r="C498" t="s">
        <v>5606</v>
      </c>
      <c r="D498" s="92" t="s">
        <v>428</v>
      </c>
      <c r="E498" s="92" t="s">
        <v>428</v>
      </c>
      <c r="F498" t="s">
        <v>428</v>
      </c>
      <c r="G498" t="s">
        <v>428</v>
      </c>
      <c r="H498" t="s">
        <v>5617</v>
      </c>
      <c r="I498">
        <v>0</v>
      </c>
      <c r="J498" t="s">
        <v>87</v>
      </c>
      <c r="K498">
        <v>0</v>
      </c>
      <c r="L498">
        <v>0</v>
      </c>
    </row>
    <row r="499" spans="1:12">
      <c r="A499" s="93">
        <v>127820</v>
      </c>
      <c r="B499" t="s">
        <v>1104</v>
      </c>
      <c r="C499" t="s">
        <v>5606</v>
      </c>
      <c r="D499" s="92">
        <v>0.27</v>
      </c>
      <c r="E499" s="92">
        <v>0.23</v>
      </c>
      <c r="F499" t="s">
        <v>428</v>
      </c>
      <c r="G499" t="s">
        <v>428</v>
      </c>
      <c r="H499" t="s">
        <v>5615</v>
      </c>
      <c r="I499">
        <v>0</v>
      </c>
      <c r="J499" t="s">
        <v>87</v>
      </c>
      <c r="K499">
        <v>0</v>
      </c>
      <c r="L499">
        <v>0</v>
      </c>
    </row>
    <row r="500" spans="1:12">
      <c r="A500" s="93">
        <v>127839</v>
      </c>
      <c r="B500" t="s">
        <v>1105</v>
      </c>
      <c r="C500" t="s">
        <v>5606</v>
      </c>
      <c r="D500" s="92" t="s">
        <v>428</v>
      </c>
      <c r="E500" s="92" t="s">
        <v>428</v>
      </c>
      <c r="F500" t="s">
        <v>428</v>
      </c>
      <c r="G500" t="s">
        <v>428</v>
      </c>
      <c r="H500" t="s">
        <v>5617</v>
      </c>
      <c r="I500">
        <v>0</v>
      </c>
      <c r="J500" t="s">
        <v>87</v>
      </c>
      <c r="K500">
        <v>0</v>
      </c>
      <c r="L500">
        <v>0</v>
      </c>
    </row>
    <row r="501" spans="1:12">
      <c r="A501" s="93">
        <v>127884</v>
      </c>
      <c r="B501" t="s">
        <v>1106</v>
      </c>
      <c r="C501" t="s">
        <v>5604</v>
      </c>
      <c r="D501" s="92">
        <v>0.23</v>
      </c>
      <c r="E501" s="92">
        <v>0.21</v>
      </c>
      <c r="F501" t="s">
        <v>428</v>
      </c>
      <c r="G501" t="s">
        <v>428</v>
      </c>
      <c r="H501" t="s">
        <v>5615</v>
      </c>
      <c r="I501">
        <v>0</v>
      </c>
      <c r="J501" t="s">
        <v>87</v>
      </c>
      <c r="K501">
        <v>0</v>
      </c>
      <c r="L501">
        <v>0</v>
      </c>
    </row>
    <row r="502" spans="1:12">
      <c r="A502" s="93">
        <v>127909</v>
      </c>
      <c r="B502" t="s">
        <v>1107</v>
      </c>
      <c r="C502" t="s">
        <v>5604</v>
      </c>
      <c r="D502" s="92">
        <v>0.24</v>
      </c>
      <c r="E502" s="92">
        <v>0.18</v>
      </c>
      <c r="F502" t="s">
        <v>428</v>
      </c>
      <c r="G502" t="s">
        <v>428</v>
      </c>
      <c r="H502" t="s">
        <v>5615</v>
      </c>
      <c r="I502">
        <v>0</v>
      </c>
      <c r="J502" t="s">
        <v>87</v>
      </c>
      <c r="K502">
        <v>0</v>
      </c>
      <c r="L502">
        <v>0</v>
      </c>
    </row>
    <row r="503" spans="1:12">
      <c r="A503" s="93">
        <v>127918</v>
      </c>
      <c r="B503" t="s">
        <v>1108</v>
      </c>
      <c r="C503" t="s">
        <v>5602</v>
      </c>
      <c r="D503" s="92">
        <v>0.67</v>
      </c>
      <c r="E503" s="92">
        <v>0.66</v>
      </c>
      <c r="F503">
        <v>22</v>
      </c>
      <c r="G503">
        <v>24</v>
      </c>
      <c r="H503" t="s">
        <v>5617</v>
      </c>
      <c r="I503">
        <v>0</v>
      </c>
      <c r="J503" t="s">
        <v>87</v>
      </c>
      <c r="K503">
        <v>0</v>
      </c>
      <c r="L503">
        <v>0</v>
      </c>
    </row>
    <row r="504" spans="1:12">
      <c r="A504" s="93">
        <v>127945</v>
      </c>
      <c r="B504" t="s">
        <v>1109</v>
      </c>
      <c r="C504" t="s">
        <v>5604</v>
      </c>
      <c r="D504" s="92">
        <v>0.47</v>
      </c>
      <c r="E504" s="92">
        <v>0.35</v>
      </c>
      <c r="F504" t="s">
        <v>428</v>
      </c>
      <c r="G504" t="s">
        <v>428</v>
      </c>
      <c r="H504" t="s">
        <v>5617</v>
      </c>
      <c r="I504">
        <v>0</v>
      </c>
      <c r="J504" t="s">
        <v>87</v>
      </c>
      <c r="K504">
        <v>0</v>
      </c>
      <c r="L504">
        <v>0</v>
      </c>
    </row>
    <row r="505" spans="1:12">
      <c r="A505" s="93">
        <v>127954</v>
      </c>
      <c r="B505" t="s">
        <v>1110</v>
      </c>
      <c r="C505" t="s">
        <v>5607</v>
      </c>
      <c r="D505" s="92" t="s">
        <v>428</v>
      </c>
      <c r="E505" s="92" t="s">
        <v>428</v>
      </c>
      <c r="F505" t="s">
        <v>428</v>
      </c>
      <c r="G505" t="s">
        <v>428</v>
      </c>
      <c r="H505" t="s">
        <v>5617</v>
      </c>
      <c r="I505">
        <v>0</v>
      </c>
      <c r="J505" t="s">
        <v>87</v>
      </c>
      <c r="K505">
        <v>0</v>
      </c>
      <c r="L505">
        <v>0</v>
      </c>
    </row>
    <row r="506" spans="1:12">
      <c r="A506" s="93">
        <v>128106</v>
      </c>
      <c r="B506" t="s">
        <v>1111</v>
      </c>
      <c r="C506" t="s">
        <v>5602</v>
      </c>
      <c r="D506" s="92">
        <v>0.32</v>
      </c>
      <c r="E506" s="92">
        <v>0.25</v>
      </c>
      <c r="F506">
        <v>18</v>
      </c>
      <c r="G506">
        <v>20.5</v>
      </c>
      <c r="H506" t="s">
        <v>5615</v>
      </c>
      <c r="I506">
        <v>0</v>
      </c>
      <c r="J506" t="s">
        <v>87</v>
      </c>
      <c r="K506">
        <v>0</v>
      </c>
      <c r="L506">
        <v>0</v>
      </c>
    </row>
    <row r="507" spans="1:12">
      <c r="A507" s="93">
        <v>128151</v>
      </c>
      <c r="B507" t="s">
        <v>1112</v>
      </c>
      <c r="C507" t="s">
        <v>5606</v>
      </c>
      <c r="D507" s="92" t="s">
        <v>428</v>
      </c>
      <c r="E507" s="92" t="s">
        <v>428</v>
      </c>
      <c r="F507" t="s">
        <v>428</v>
      </c>
      <c r="G507" t="s">
        <v>428</v>
      </c>
      <c r="H507" t="s">
        <v>5615</v>
      </c>
      <c r="I507">
        <v>0</v>
      </c>
      <c r="J507" t="s">
        <v>87</v>
      </c>
      <c r="K507">
        <v>0</v>
      </c>
      <c r="L507">
        <v>0</v>
      </c>
    </row>
    <row r="508" spans="1:12">
      <c r="A508" s="93">
        <v>128179</v>
      </c>
      <c r="B508" t="s">
        <v>1113</v>
      </c>
      <c r="C508" t="s">
        <v>5606</v>
      </c>
      <c r="D508" s="92" t="s">
        <v>428</v>
      </c>
      <c r="E508" s="92" t="s">
        <v>428</v>
      </c>
      <c r="F508" t="s">
        <v>428</v>
      </c>
      <c r="G508" t="s">
        <v>428</v>
      </c>
      <c r="H508" t="s">
        <v>5617</v>
      </c>
      <c r="I508">
        <v>0</v>
      </c>
      <c r="J508" t="s">
        <v>87</v>
      </c>
      <c r="K508">
        <v>0</v>
      </c>
      <c r="L508">
        <v>0</v>
      </c>
    </row>
    <row r="509" spans="1:12">
      <c r="A509" s="93">
        <v>128188</v>
      </c>
      <c r="B509" t="s">
        <v>1114</v>
      </c>
      <c r="C509" t="s">
        <v>5606</v>
      </c>
      <c r="D509" s="92" t="s">
        <v>428</v>
      </c>
      <c r="E509" s="92" t="s">
        <v>428</v>
      </c>
      <c r="F509" t="s">
        <v>428</v>
      </c>
      <c r="G509" t="s">
        <v>428</v>
      </c>
      <c r="H509" t="s">
        <v>5617</v>
      </c>
      <c r="I509">
        <v>0</v>
      </c>
      <c r="J509" t="s">
        <v>87</v>
      </c>
      <c r="K509">
        <v>0</v>
      </c>
      <c r="L509">
        <v>0</v>
      </c>
    </row>
    <row r="510" spans="1:12">
      <c r="A510" s="93">
        <v>128258</v>
      </c>
      <c r="B510" t="s">
        <v>1115</v>
      </c>
      <c r="C510" t="s">
        <v>5606</v>
      </c>
      <c r="D510" s="92">
        <v>0.43</v>
      </c>
      <c r="E510" s="92">
        <v>0.4</v>
      </c>
      <c r="F510" t="s">
        <v>428</v>
      </c>
      <c r="G510" t="s">
        <v>428</v>
      </c>
      <c r="H510" t="s">
        <v>5615</v>
      </c>
      <c r="I510">
        <v>0</v>
      </c>
      <c r="J510" t="s">
        <v>87</v>
      </c>
      <c r="K510">
        <v>0</v>
      </c>
      <c r="L510">
        <v>0</v>
      </c>
    </row>
    <row r="511" spans="1:12">
      <c r="A511" s="93">
        <v>128328</v>
      </c>
      <c r="B511" t="s">
        <v>1116</v>
      </c>
      <c r="C511" t="s">
        <v>5602</v>
      </c>
      <c r="D511" s="92">
        <v>0.83</v>
      </c>
      <c r="E511" s="92">
        <v>0.6899999999999999</v>
      </c>
      <c r="F511">
        <v>27</v>
      </c>
      <c r="G511">
        <v>30</v>
      </c>
      <c r="H511" t="s">
        <v>5615</v>
      </c>
      <c r="I511">
        <v>0</v>
      </c>
      <c r="J511" t="s">
        <v>87</v>
      </c>
      <c r="K511">
        <v>0</v>
      </c>
      <c r="L511">
        <v>0</v>
      </c>
    </row>
    <row r="512" spans="1:12">
      <c r="A512" s="93">
        <v>128337</v>
      </c>
      <c r="B512" t="s">
        <v>1117</v>
      </c>
      <c r="C512" t="s">
        <v>5606</v>
      </c>
      <c r="D512" s="92" t="s">
        <v>428</v>
      </c>
      <c r="E512" s="92" t="s">
        <v>428</v>
      </c>
      <c r="F512" t="s">
        <v>428</v>
      </c>
      <c r="G512" t="s">
        <v>428</v>
      </c>
      <c r="H512" t="s">
        <v>5616</v>
      </c>
      <c r="I512">
        <v>0</v>
      </c>
      <c r="J512" t="s">
        <v>87</v>
      </c>
      <c r="K512">
        <v>0</v>
      </c>
      <c r="L512">
        <v>0</v>
      </c>
    </row>
    <row r="513" spans="1:12">
      <c r="A513" s="93">
        <v>128391</v>
      </c>
      <c r="B513" t="s">
        <v>1118</v>
      </c>
      <c r="C513" t="s">
        <v>5602</v>
      </c>
      <c r="D513" s="92">
        <v>0.41</v>
      </c>
      <c r="E513" s="92">
        <v>0.27</v>
      </c>
      <c r="F513">
        <v>19</v>
      </c>
      <c r="G513">
        <v>22</v>
      </c>
      <c r="H513" t="s">
        <v>5617</v>
      </c>
      <c r="I513">
        <v>0</v>
      </c>
      <c r="J513" t="s">
        <v>87</v>
      </c>
      <c r="K513">
        <v>0</v>
      </c>
      <c r="L513">
        <v>0</v>
      </c>
    </row>
    <row r="514" spans="1:12">
      <c r="A514" s="93">
        <v>128498</v>
      </c>
      <c r="B514" t="s">
        <v>1119</v>
      </c>
      <c r="C514" t="s">
        <v>5608</v>
      </c>
      <c r="D514" s="92">
        <v>0.53</v>
      </c>
      <c r="E514" s="92">
        <v>0.48</v>
      </c>
      <c r="F514" t="s">
        <v>428</v>
      </c>
      <c r="G514" t="s">
        <v>428</v>
      </c>
      <c r="H514" t="s">
        <v>5617</v>
      </c>
      <c r="I514">
        <v>0</v>
      </c>
      <c r="J514" t="s">
        <v>87</v>
      </c>
      <c r="K514">
        <v>0</v>
      </c>
      <c r="L514">
        <v>0</v>
      </c>
    </row>
    <row r="515" spans="1:12">
      <c r="A515" s="93">
        <v>128577</v>
      </c>
      <c r="B515" t="s">
        <v>1120</v>
      </c>
      <c r="C515" t="s">
        <v>5606</v>
      </c>
      <c r="D515" s="92">
        <v>0.47</v>
      </c>
      <c r="E515" s="92">
        <v>0.41</v>
      </c>
      <c r="F515" t="s">
        <v>428</v>
      </c>
      <c r="G515" t="s">
        <v>428</v>
      </c>
      <c r="H515" t="s">
        <v>5615</v>
      </c>
      <c r="I515">
        <v>0</v>
      </c>
      <c r="J515" t="s">
        <v>87</v>
      </c>
      <c r="K515">
        <v>0</v>
      </c>
      <c r="L515">
        <v>0</v>
      </c>
    </row>
    <row r="516" spans="1:12">
      <c r="A516" s="93">
        <v>128586</v>
      </c>
      <c r="B516" t="s">
        <v>1121</v>
      </c>
      <c r="C516" t="s">
        <v>5607</v>
      </c>
      <c r="D516" s="92" t="s">
        <v>428</v>
      </c>
      <c r="E516" s="92" t="s">
        <v>428</v>
      </c>
      <c r="F516" t="s">
        <v>428</v>
      </c>
      <c r="G516" t="s">
        <v>428</v>
      </c>
      <c r="H516" t="s">
        <v>5615</v>
      </c>
      <c r="I516">
        <v>0</v>
      </c>
      <c r="J516" t="s">
        <v>87</v>
      </c>
      <c r="K516">
        <v>0</v>
      </c>
      <c r="L516">
        <v>0</v>
      </c>
    </row>
    <row r="517" spans="1:12">
      <c r="A517" s="93">
        <v>128683</v>
      </c>
      <c r="B517" t="s">
        <v>1122</v>
      </c>
      <c r="C517" t="s">
        <v>5604</v>
      </c>
      <c r="D517" s="92">
        <v>0.14</v>
      </c>
      <c r="E517" s="92">
        <v>0.05</v>
      </c>
      <c r="F517" t="s">
        <v>428</v>
      </c>
      <c r="G517" t="s">
        <v>428</v>
      </c>
      <c r="H517" t="s">
        <v>5617</v>
      </c>
      <c r="I517">
        <v>0</v>
      </c>
      <c r="J517" t="s">
        <v>87</v>
      </c>
      <c r="K517">
        <v>0</v>
      </c>
      <c r="L517">
        <v>0</v>
      </c>
    </row>
    <row r="518" spans="1:12">
      <c r="A518" s="93">
        <v>128744</v>
      </c>
      <c r="B518" t="s">
        <v>1123</v>
      </c>
      <c r="C518" t="s">
        <v>5608</v>
      </c>
      <c r="D518" s="92">
        <v>0.3</v>
      </c>
      <c r="E518" s="92">
        <v>0.27</v>
      </c>
      <c r="F518">
        <v>15</v>
      </c>
      <c r="G518">
        <v>17</v>
      </c>
      <c r="H518" t="s">
        <v>5617</v>
      </c>
      <c r="I518">
        <v>0</v>
      </c>
      <c r="J518" t="s">
        <v>87</v>
      </c>
      <c r="K518">
        <v>0</v>
      </c>
      <c r="L518">
        <v>0</v>
      </c>
    </row>
    <row r="519" spans="1:12">
      <c r="A519" s="93">
        <v>128771</v>
      </c>
      <c r="B519" t="s">
        <v>1124</v>
      </c>
      <c r="C519" t="s">
        <v>5602</v>
      </c>
      <c r="D519" s="92">
        <v>0.54</v>
      </c>
      <c r="E519" s="92">
        <v>0.48</v>
      </c>
      <c r="F519">
        <v>16</v>
      </c>
      <c r="G519">
        <v>19</v>
      </c>
      <c r="H519" t="s">
        <v>5615</v>
      </c>
      <c r="I519">
        <v>0</v>
      </c>
      <c r="J519" t="s">
        <v>87</v>
      </c>
      <c r="K519">
        <v>0</v>
      </c>
      <c r="L519">
        <v>0</v>
      </c>
    </row>
    <row r="520" spans="1:12">
      <c r="A520" s="93">
        <v>128780</v>
      </c>
      <c r="B520" t="s">
        <v>1125</v>
      </c>
      <c r="C520" t="s">
        <v>5608</v>
      </c>
      <c r="D520" s="92" t="s">
        <v>428</v>
      </c>
      <c r="E520" s="92" t="s">
        <v>428</v>
      </c>
      <c r="F520" t="s">
        <v>428</v>
      </c>
      <c r="G520" t="s">
        <v>428</v>
      </c>
      <c r="H520" t="s">
        <v>5615</v>
      </c>
      <c r="I520">
        <v>0</v>
      </c>
      <c r="J520" t="s">
        <v>87</v>
      </c>
      <c r="K520">
        <v>0</v>
      </c>
      <c r="L520">
        <v>0</v>
      </c>
    </row>
    <row r="521" spans="1:12">
      <c r="A521" s="93">
        <v>128902</v>
      </c>
      <c r="B521" t="s">
        <v>568</v>
      </c>
      <c r="C521" t="s">
        <v>5612</v>
      </c>
      <c r="D521" s="92">
        <v>0.83</v>
      </c>
      <c r="E521" s="92">
        <v>0.87</v>
      </c>
      <c r="F521" t="s">
        <v>428</v>
      </c>
      <c r="G521" t="s">
        <v>428</v>
      </c>
      <c r="H521" t="s">
        <v>5623</v>
      </c>
      <c r="I521">
        <v>1</v>
      </c>
      <c r="J521" t="s">
        <v>87</v>
      </c>
      <c r="K521">
        <v>0</v>
      </c>
      <c r="L521">
        <v>0</v>
      </c>
    </row>
    <row r="522" spans="1:12">
      <c r="A522" s="93">
        <v>129020</v>
      </c>
      <c r="B522" t="s">
        <v>1126</v>
      </c>
      <c r="C522" t="s">
        <v>5605</v>
      </c>
      <c r="D522" s="92">
        <v>0.82</v>
      </c>
      <c r="E522" s="92">
        <v>0.73</v>
      </c>
      <c r="F522">
        <v>26</v>
      </c>
      <c r="G522">
        <v>28.5</v>
      </c>
      <c r="H522" t="s">
        <v>5615</v>
      </c>
      <c r="I522">
        <v>0</v>
      </c>
      <c r="J522" t="s">
        <v>87</v>
      </c>
      <c r="K522">
        <v>0</v>
      </c>
      <c r="L522">
        <v>0</v>
      </c>
    </row>
    <row r="523" spans="1:12">
      <c r="A523" s="93">
        <v>129154</v>
      </c>
      <c r="B523" t="s">
        <v>1127</v>
      </c>
      <c r="C523" t="s">
        <v>5604</v>
      </c>
      <c r="D523" s="92">
        <v>0.07000000000000001</v>
      </c>
      <c r="E523" s="92">
        <v>0.04</v>
      </c>
      <c r="F523" t="s">
        <v>428</v>
      </c>
      <c r="G523" t="s">
        <v>428</v>
      </c>
      <c r="H523" t="s">
        <v>5617</v>
      </c>
      <c r="I523">
        <v>0</v>
      </c>
      <c r="J523" t="s">
        <v>87</v>
      </c>
      <c r="K523">
        <v>0</v>
      </c>
      <c r="L523">
        <v>0</v>
      </c>
    </row>
    <row r="524" spans="1:12">
      <c r="A524" s="93">
        <v>129181</v>
      </c>
      <c r="B524" t="s">
        <v>1128</v>
      </c>
      <c r="C524" t="s">
        <v>5606</v>
      </c>
      <c r="D524" s="92" t="s">
        <v>428</v>
      </c>
      <c r="E524" s="92" t="s">
        <v>428</v>
      </c>
      <c r="F524" t="s">
        <v>428</v>
      </c>
      <c r="G524" t="s">
        <v>428</v>
      </c>
      <c r="H524" t="s">
        <v>5617</v>
      </c>
      <c r="I524">
        <v>0</v>
      </c>
      <c r="J524" t="s">
        <v>87</v>
      </c>
      <c r="K524">
        <v>0</v>
      </c>
      <c r="L524">
        <v>0</v>
      </c>
    </row>
    <row r="525" spans="1:12">
      <c r="A525" s="93">
        <v>129215</v>
      </c>
      <c r="B525" t="s">
        <v>1129</v>
      </c>
      <c r="C525" t="s">
        <v>5602</v>
      </c>
      <c r="D525" s="92">
        <v>0.5600000000000001</v>
      </c>
      <c r="E525" s="92">
        <v>0.45</v>
      </c>
      <c r="F525" t="s">
        <v>428</v>
      </c>
      <c r="G525" t="s">
        <v>428</v>
      </c>
      <c r="H525" t="s">
        <v>5615</v>
      </c>
      <c r="I525">
        <v>0</v>
      </c>
      <c r="J525" t="s">
        <v>87</v>
      </c>
      <c r="K525">
        <v>0</v>
      </c>
      <c r="L525">
        <v>0</v>
      </c>
    </row>
    <row r="526" spans="1:12">
      <c r="A526" s="93">
        <v>129242</v>
      </c>
      <c r="B526" t="s">
        <v>1130</v>
      </c>
      <c r="C526" t="s">
        <v>5603</v>
      </c>
      <c r="D526" s="92">
        <v>0.82</v>
      </c>
      <c r="E526" s="92">
        <v>0.84</v>
      </c>
      <c r="F526" t="s">
        <v>428</v>
      </c>
      <c r="G526" t="s">
        <v>428</v>
      </c>
      <c r="H526" t="s">
        <v>5618</v>
      </c>
      <c r="I526">
        <v>0</v>
      </c>
      <c r="J526" t="s">
        <v>87</v>
      </c>
      <c r="K526">
        <v>0</v>
      </c>
      <c r="L526">
        <v>0</v>
      </c>
    </row>
    <row r="527" spans="1:12">
      <c r="A527" s="93">
        <v>129367</v>
      </c>
      <c r="B527" t="s">
        <v>1131</v>
      </c>
      <c r="C527" t="s">
        <v>5606</v>
      </c>
      <c r="D527" s="92">
        <v>0.17</v>
      </c>
      <c r="E527" s="92">
        <v>0.17</v>
      </c>
      <c r="F527" t="s">
        <v>428</v>
      </c>
      <c r="G527" t="s">
        <v>428</v>
      </c>
      <c r="H527" t="s">
        <v>5615</v>
      </c>
      <c r="I527">
        <v>0</v>
      </c>
      <c r="J527" t="s">
        <v>87</v>
      </c>
      <c r="K527">
        <v>0</v>
      </c>
      <c r="L527">
        <v>0</v>
      </c>
    </row>
    <row r="528" spans="1:12">
      <c r="A528" s="93">
        <v>129428</v>
      </c>
      <c r="B528" t="s">
        <v>1132</v>
      </c>
      <c r="C528" t="s">
        <v>5607</v>
      </c>
      <c r="D528" s="92" t="s">
        <v>428</v>
      </c>
      <c r="E528" s="92" t="s">
        <v>428</v>
      </c>
      <c r="F528" t="s">
        <v>428</v>
      </c>
      <c r="G528" t="s">
        <v>428</v>
      </c>
      <c r="H528" t="s">
        <v>5615</v>
      </c>
      <c r="I528">
        <v>0</v>
      </c>
      <c r="J528" t="s">
        <v>87</v>
      </c>
      <c r="K528">
        <v>0</v>
      </c>
      <c r="L528">
        <v>0</v>
      </c>
    </row>
    <row r="529" spans="1:12">
      <c r="A529" s="93">
        <v>129482</v>
      </c>
      <c r="B529" t="s">
        <v>1133</v>
      </c>
      <c r="C529" t="s">
        <v>5606</v>
      </c>
      <c r="D529" s="92" t="s">
        <v>428</v>
      </c>
      <c r="E529" s="92" t="s">
        <v>428</v>
      </c>
      <c r="F529" t="s">
        <v>428</v>
      </c>
      <c r="G529" t="s">
        <v>428</v>
      </c>
      <c r="H529" t="s">
        <v>5616</v>
      </c>
      <c r="I529">
        <v>0</v>
      </c>
      <c r="J529" t="s">
        <v>87</v>
      </c>
      <c r="K529">
        <v>0</v>
      </c>
      <c r="L529">
        <v>0</v>
      </c>
    </row>
    <row r="530" spans="1:12">
      <c r="A530" s="93">
        <v>129491</v>
      </c>
      <c r="B530" t="s">
        <v>1134</v>
      </c>
      <c r="C530" t="s">
        <v>5607</v>
      </c>
      <c r="D530" s="92" t="s">
        <v>428</v>
      </c>
      <c r="E530" s="92" t="s">
        <v>428</v>
      </c>
      <c r="F530" t="s">
        <v>428</v>
      </c>
      <c r="G530" t="s">
        <v>428</v>
      </c>
      <c r="H530" t="s">
        <v>5615</v>
      </c>
      <c r="I530">
        <v>0</v>
      </c>
      <c r="J530" t="s">
        <v>87</v>
      </c>
      <c r="K530">
        <v>0</v>
      </c>
      <c r="L530">
        <v>0</v>
      </c>
    </row>
    <row r="531" spans="1:12">
      <c r="A531" s="93">
        <v>129525</v>
      </c>
      <c r="B531" t="s">
        <v>1135</v>
      </c>
      <c r="C531" t="s">
        <v>5602</v>
      </c>
      <c r="D531" s="92">
        <v>0.6</v>
      </c>
      <c r="E531" s="92">
        <v>0.45</v>
      </c>
      <c r="F531">
        <v>17</v>
      </c>
      <c r="G531">
        <v>20.5</v>
      </c>
      <c r="H531" t="s">
        <v>5617</v>
      </c>
      <c r="I531">
        <v>0</v>
      </c>
      <c r="J531" t="s">
        <v>87</v>
      </c>
      <c r="K531">
        <v>0</v>
      </c>
      <c r="L531">
        <v>0</v>
      </c>
    </row>
    <row r="532" spans="1:12">
      <c r="A532" s="93">
        <v>129534</v>
      </c>
      <c r="B532" t="s">
        <v>1136</v>
      </c>
      <c r="C532" t="s">
        <v>5604</v>
      </c>
      <c r="D532" s="92">
        <v>0.6</v>
      </c>
      <c r="E532" s="92">
        <v>0</v>
      </c>
      <c r="F532" t="s">
        <v>428</v>
      </c>
      <c r="G532" t="s">
        <v>428</v>
      </c>
      <c r="H532" t="s">
        <v>5616</v>
      </c>
      <c r="I532">
        <v>0</v>
      </c>
      <c r="J532" t="s">
        <v>87</v>
      </c>
      <c r="K532">
        <v>0</v>
      </c>
      <c r="L532">
        <v>0</v>
      </c>
    </row>
    <row r="533" spans="1:12">
      <c r="A533" s="93">
        <v>129543</v>
      </c>
      <c r="B533" t="s">
        <v>1137</v>
      </c>
      <c r="C533" t="s">
        <v>5606</v>
      </c>
      <c r="D533" s="92">
        <v>0.21</v>
      </c>
      <c r="E533" s="92">
        <v>0.14</v>
      </c>
      <c r="F533" t="s">
        <v>428</v>
      </c>
      <c r="G533" t="s">
        <v>428</v>
      </c>
      <c r="H533" t="s">
        <v>5615</v>
      </c>
      <c r="I533">
        <v>0</v>
      </c>
      <c r="J533" t="s">
        <v>87</v>
      </c>
      <c r="K533">
        <v>0</v>
      </c>
      <c r="L533">
        <v>0</v>
      </c>
    </row>
    <row r="534" spans="1:12">
      <c r="A534" s="93">
        <v>129695</v>
      </c>
      <c r="B534" t="s">
        <v>1138</v>
      </c>
      <c r="C534" t="s">
        <v>5606</v>
      </c>
      <c r="D534" s="92">
        <v>0.28</v>
      </c>
      <c r="E534" s="92">
        <v>0.23</v>
      </c>
      <c r="F534" t="s">
        <v>428</v>
      </c>
      <c r="G534" t="s">
        <v>428</v>
      </c>
      <c r="H534" t="s">
        <v>5615</v>
      </c>
      <c r="I534">
        <v>0</v>
      </c>
      <c r="J534" t="s">
        <v>87</v>
      </c>
      <c r="K534">
        <v>0</v>
      </c>
      <c r="L534">
        <v>0</v>
      </c>
    </row>
    <row r="535" spans="1:12">
      <c r="A535" s="93">
        <v>129729</v>
      </c>
      <c r="B535" t="s">
        <v>1139</v>
      </c>
      <c r="C535" t="s">
        <v>5606</v>
      </c>
      <c r="D535" s="92">
        <v>0.25</v>
      </c>
      <c r="E535" s="92">
        <v>0.17</v>
      </c>
      <c r="F535" t="s">
        <v>428</v>
      </c>
      <c r="G535" t="s">
        <v>428</v>
      </c>
      <c r="H535" t="s">
        <v>5615</v>
      </c>
      <c r="I535">
        <v>0</v>
      </c>
      <c r="J535" t="s">
        <v>87</v>
      </c>
      <c r="K535">
        <v>0</v>
      </c>
      <c r="L535">
        <v>0</v>
      </c>
    </row>
    <row r="536" spans="1:12">
      <c r="A536" s="93">
        <v>129756</v>
      </c>
      <c r="B536" t="s">
        <v>1140</v>
      </c>
      <c r="C536" t="s">
        <v>5606</v>
      </c>
      <c r="D536" s="92">
        <v>0.29</v>
      </c>
      <c r="E536" s="92">
        <v>0.2</v>
      </c>
      <c r="F536" t="s">
        <v>428</v>
      </c>
      <c r="G536" t="s">
        <v>428</v>
      </c>
      <c r="H536" t="s">
        <v>5615</v>
      </c>
      <c r="I536">
        <v>0</v>
      </c>
      <c r="J536" t="s">
        <v>87</v>
      </c>
      <c r="K536">
        <v>0</v>
      </c>
      <c r="L536">
        <v>0</v>
      </c>
    </row>
    <row r="537" spans="1:12">
      <c r="A537" s="93">
        <v>129774</v>
      </c>
      <c r="B537" t="s">
        <v>1141</v>
      </c>
      <c r="C537" t="s">
        <v>5602</v>
      </c>
      <c r="D537" s="92">
        <v>0.43</v>
      </c>
      <c r="E537" s="92">
        <v>0.38</v>
      </c>
      <c r="F537" t="s">
        <v>428</v>
      </c>
      <c r="G537" t="s">
        <v>428</v>
      </c>
      <c r="H537" t="s">
        <v>5617</v>
      </c>
      <c r="I537">
        <v>0</v>
      </c>
      <c r="J537" t="s">
        <v>87</v>
      </c>
      <c r="K537">
        <v>0</v>
      </c>
      <c r="L537">
        <v>0</v>
      </c>
    </row>
    <row r="538" spans="1:12">
      <c r="A538" s="93">
        <v>129808</v>
      </c>
      <c r="B538" t="s">
        <v>1142</v>
      </c>
      <c r="C538" t="s">
        <v>5606</v>
      </c>
      <c r="D538" s="92">
        <v>0.24</v>
      </c>
      <c r="E538" s="92">
        <v>0.16</v>
      </c>
      <c r="F538" t="s">
        <v>428</v>
      </c>
      <c r="G538" t="s">
        <v>428</v>
      </c>
      <c r="H538" t="s">
        <v>5615</v>
      </c>
      <c r="I538">
        <v>0</v>
      </c>
      <c r="J538" t="s">
        <v>87</v>
      </c>
      <c r="K538">
        <v>0</v>
      </c>
      <c r="L538">
        <v>0</v>
      </c>
    </row>
    <row r="539" spans="1:12">
      <c r="A539" s="93">
        <v>129941</v>
      </c>
      <c r="B539" t="s">
        <v>1143</v>
      </c>
      <c r="C539" t="s">
        <v>5602</v>
      </c>
      <c r="D539" s="92">
        <v>0.53</v>
      </c>
      <c r="E539" s="92">
        <v>0.42</v>
      </c>
      <c r="F539">
        <v>20</v>
      </c>
      <c r="G539">
        <v>23</v>
      </c>
      <c r="H539" t="s">
        <v>5617</v>
      </c>
      <c r="I539">
        <v>0</v>
      </c>
      <c r="J539" t="s">
        <v>87</v>
      </c>
      <c r="K539">
        <v>0</v>
      </c>
      <c r="L539">
        <v>0</v>
      </c>
    </row>
    <row r="540" spans="1:12">
      <c r="A540" s="93">
        <v>130004</v>
      </c>
      <c r="B540" t="s">
        <v>1144</v>
      </c>
      <c r="C540" t="s">
        <v>5606</v>
      </c>
      <c r="D540" s="92">
        <v>0.22</v>
      </c>
      <c r="E540" s="92">
        <v>0.21</v>
      </c>
      <c r="F540" t="s">
        <v>428</v>
      </c>
      <c r="G540" t="s">
        <v>428</v>
      </c>
      <c r="H540" t="s">
        <v>5615</v>
      </c>
      <c r="I540">
        <v>0</v>
      </c>
      <c r="J540" t="s">
        <v>87</v>
      </c>
      <c r="K540">
        <v>0</v>
      </c>
      <c r="L540">
        <v>0</v>
      </c>
    </row>
    <row r="541" spans="1:12">
      <c r="A541" s="93">
        <v>130040</v>
      </c>
      <c r="B541" t="s">
        <v>1145</v>
      </c>
      <c r="C541" t="s">
        <v>5606</v>
      </c>
      <c r="D541" s="92">
        <v>0.25</v>
      </c>
      <c r="E541" s="92">
        <v>0.17</v>
      </c>
      <c r="F541" t="s">
        <v>428</v>
      </c>
      <c r="G541" t="s">
        <v>428</v>
      </c>
      <c r="H541" t="s">
        <v>5615</v>
      </c>
      <c r="I541">
        <v>0</v>
      </c>
      <c r="J541" t="s">
        <v>87</v>
      </c>
      <c r="K541">
        <v>0</v>
      </c>
      <c r="L541">
        <v>0</v>
      </c>
    </row>
    <row r="542" spans="1:12">
      <c r="A542" s="93">
        <v>130110</v>
      </c>
      <c r="B542" t="s">
        <v>1146</v>
      </c>
      <c r="C542" t="s">
        <v>5604</v>
      </c>
      <c r="D542" s="92">
        <v>0.65</v>
      </c>
      <c r="E542" s="92">
        <v>0.67</v>
      </c>
      <c r="F542" t="s">
        <v>428</v>
      </c>
      <c r="G542" t="s">
        <v>428</v>
      </c>
      <c r="H542" t="s">
        <v>5616</v>
      </c>
      <c r="I542">
        <v>0</v>
      </c>
      <c r="J542" t="s">
        <v>87</v>
      </c>
      <c r="K542">
        <v>0</v>
      </c>
      <c r="L542">
        <v>0</v>
      </c>
    </row>
    <row r="543" spans="1:12">
      <c r="A543" s="93">
        <v>130183</v>
      </c>
      <c r="B543" t="s">
        <v>1147</v>
      </c>
      <c r="C543" t="s">
        <v>5602</v>
      </c>
      <c r="D543" s="92">
        <v>0.3</v>
      </c>
      <c r="E543" s="92">
        <v>0.21</v>
      </c>
      <c r="F543" t="s">
        <v>428</v>
      </c>
      <c r="G543" t="s">
        <v>428</v>
      </c>
      <c r="H543" t="s">
        <v>5617</v>
      </c>
      <c r="I543">
        <v>0</v>
      </c>
      <c r="J543" t="s">
        <v>87</v>
      </c>
      <c r="K543">
        <v>0</v>
      </c>
      <c r="L543">
        <v>0</v>
      </c>
    </row>
    <row r="544" spans="1:12">
      <c r="A544" s="93">
        <v>130217</v>
      </c>
      <c r="B544" t="s">
        <v>1148</v>
      </c>
      <c r="C544" t="s">
        <v>5606</v>
      </c>
      <c r="D544" s="92">
        <v>0.3</v>
      </c>
      <c r="E544" s="92">
        <v>0.25</v>
      </c>
      <c r="F544" t="s">
        <v>428</v>
      </c>
      <c r="G544" t="s">
        <v>428</v>
      </c>
      <c r="H544" t="s">
        <v>5615</v>
      </c>
      <c r="I544">
        <v>0</v>
      </c>
      <c r="J544" t="s">
        <v>87</v>
      </c>
      <c r="K544">
        <v>0</v>
      </c>
      <c r="L544">
        <v>0</v>
      </c>
    </row>
    <row r="545" spans="1:12">
      <c r="A545" s="93">
        <v>130226</v>
      </c>
      <c r="B545" t="s">
        <v>1149</v>
      </c>
      <c r="C545" t="s">
        <v>5602</v>
      </c>
      <c r="D545" s="92">
        <v>0.78</v>
      </c>
      <c r="E545" s="92">
        <v>0.62</v>
      </c>
      <c r="F545">
        <v>22</v>
      </c>
      <c r="G545">
        <v>24.5</v>
      </c>
      <c r="H545" t="s">
        <v>5617</v>
      </c>
      <c r="I545">
        <v>0</v>
      </c>
      <c r="J545" t="s">
        <v>87</v>
      </c>
      <c r="K545">
        <v>0</v>
      </c>
      <c r="L545">
        <v>0</v>
      </c>
    </row>
    <row r="546" spans="1:12">
      <c r="A546" s="93">
        <v>130253</v>
      </c>
      <c r="B546" t="s">
        <v>1150</v>
      </c>
      <c r="C546" t="s">
        <v>5602</v>
      </c>
      <c r="D546" s="92">
        <v>0.64</v>
      </c>
      <c r="E546" s="92">
        <v>0.59</v>
      </c>
      <c r="F546" t="s">
        <v>428</v>
      </c>
      <c r="G546" t="s">
        <v>428</v>
      </c>
      <c r="H546" t="s">
        <v>5618</v>
      </c>
      <c r="I546">
        <v>0</v>
      </c>
      <c r="J546" t="s">
        <v>87</v>
      </c>
      <c r="K546">
        <v>0</v>
      </c>
      <c r="L546">
        <v>0</v>
      </c>
    </row>
    <row r="547" spans="1:12">
      <c r="A547" s="93">
        <v>130314</v>
      </c>
      <c r="B547" t="s">
        <v>1151</v>
      </c>
      <c r="C547" t="s">
        <v>5602</v>
      </c>
      <c r="D547" s="92">
        <v>0.57</v>
      </c>
      <c r="E547" s="92">
        <v>0.45</v>
      </c>
      <c r="F547">
        <v>15</v>
      </c>
      <c r="G547">
        <v>18.5</v>
      </c>
      <c r="H547" t="s">
        <v>5617</v>
      </c>
      <c r="I547">
        <v>0</v>
      </c>
      <c r="J547" t="s">
        <v>87</v>
      </c>
      <c r="K547">
        <v>0</v>
      </c>
      <c r="L547">
        <v>0</v>
      </c>
    </row>
    <row r="548" spans="1:12">
      <c r="A548" s="93">
        <v>130396</v>
      </c>
      <c r="B548" t="s">
        <v>1152</v>
      </c>
      <c r="C548" t="s">
        <v>5606</v>
      </c>
      <c r="D548" s="92">
        <v>0.22</v>
      </c>
      <c r="E548" s="92">
        <v>0.18</v>
      </c>
      <c r="F548" t="s">
        <v>428</v>
      </c>
      <c r="G548" t="s">
        <v>428</v>
      </c>
      <c r="H548" t="s">
        <v>5615</v>
      </c>
      <c r="I548">
        <v>0</v>
      </c>
      <c r="J548" t="s">
        <v>87</v>
      </c>
      <c r="K548">
        <v>0</v>
      </c>
      <c r="L548">
        <v>0</v>
      </c>
    </row>
    <row r="549" spans="1:12">
      <c r="A549" s="93">
        <v>130448</v>
      </c>
      <c r="B549" t="s">
        <v>1153</v>
      </c>
      <c r="C549" t="s">
        <v>5604</v>
      </c>
      <c r="D549" s="92" t="s">
        <v>428</v>
      </c>
      <c r="E549" s="92" t="s">
        <v>428</v>
      </c>
      <c r="F549">
        <v>12</v>
      </c>
      <c r="G549">
        <v>13.5</v>
      </c>
      <c r="H549" t="s">
        <v>5617</v>
      </c>
      <c r="I549">
        <v>0</v>
      </c>
      <c r="J549" t="s">
        <v>87</v>
      </c>
      <c r="K549">
        <v>0</v>
      </c>
      <c r="L549">
        <v>0</v>
      </c>
    </row>
    <row r="550" spans="1:12">
      <c r="A550" s="93">
        <v>130493</v>
      </c>
      <c r="B550" t="s">
        <v>1154</v>
      </c>
      <c r="C550" t="s">
        <v>5608</v>
      </c>
      <c r="D550" s="92">
        <v>0.51</v>
      </c>
      <c r="E550" s="92">
        <v>0.4</v>
      </c>
      <c r="F550">
        <v>15</v>
      </c>
      <c r="G550">
        <v>17.5</v>
      </c>
      <c r="H550" t="s">
        <v>5615</v>
      </c>
      <c r="I550">
        <v>0</v>
      </c>
      <c r="J550" t="s">
        <v>87</v>
      </c>
      <c r="K550">
        <v>0</v>
      </c>
      <c r="L550">
        <v>0</v>
      </c>
    </row>
    <row r="551" spans="1:12">
      <c r="A551" s="93">
        <v>130509</v>
      </c>
      <c r="B551" t="s">
        <v>1155</v>
      </c>
      <c r="C551" t="s">
        <v>5606</v>
      </c>
      <c r="D551" s="92" t="s">
        <v>428</v>
      </c>
      <c r="E551" s="92" t="s">
        <v>428</v>
      </c>
      <c r="F551" t="s">
        <v>428</v>
      </c>
      <c r="G551" t="s">
        <v>428</v>
      </c>
      <c r="H551" t="s">
        <v>5617</v>
      </c>
      <c r="I551">
        <v>0</v>
      </c>
      <c r="J551" t="s">
        <v>87</v>
      </c>
      <c r="K551">
        <v>0</v>
      </c>
      <c r="L551">
        <v>0</v>
      </c>
    </row>
    <row r="552" spans="1:12">
      <c r="A552" s="93">
        <v>130581</v>
      </c>
      <c r="B552" t="s">
        <v>1156</v>
      </c>
      <c r="C552" t="s">
        <v>5607</v>
      </c>
      <c r="D552" s="92" t="s">
        <v>428</v>
      </c>
      <c r="E552" s="92" t="s">
        <v>428</v>
      </c>
      <c r="F552" t="s">
        <v>428</v>
      </c>
      <c r="G552" t="s">
        <v>428</v>
      </c>
      <c r="H552" t="s">
        <v>5615</v>
      </c>
      <c r="I552">
        <v>0</v>
      </c>
      <c r="J552" t="s">
        <v>87</v>
      </c>
      <c r="K552">
        <v>0</v>
      </c>
      <c r="L552">
        <v>0</v>
      </c>
    </row>
    <row r="553" spans="1:12">
      <c r="A553" s="93">
        <v>130590</v>
      </c>
      <c r="B553" t="s">
        <v>566</v>
      </c>
      <c r="C553" t="s">
        <v>5605</v>
      </c>
      <c r="D553" s="92">
        <v>0.85</v>
      </c>
      <c r="E553" s="92">
        <v>0.89</v>
      </c>
      <c r="F553" t="s">
        <v>428</v>
      </c>
      <c r="G553" t="s">
        <v>428</v>
      </c>
      <c r="H553" t="s">
        <v>5619</v>
      </c>
      <c r="I553">
        <v>1</v>
      </c>
      <c r="J553" t="s">
        <v>87</v>
      </c>
      <c r="K553">
        <v>0</v>
      </c>
      <c r="L553">
        <v>0</v>
      </c>
    </row>
    <row r="554" spans="1:12">
      <c r="A554" s="93">
        <v>130606</v>
      </c>
      <c r="B554" t="s">
        <v>1157</v>
      </c>
      <c r="C554" t="s">
        <v>5606</v>
      </c>
      <c r="D554" s="92">
        <v>0.24</v>
      </c>
      <c r="E554" s="92">
        <v>0.16</v>
      </c>
      <c r="F554" t="s">
        <v>428</v>
      </c>
      <c r="G554" t="s">
        <v>428</v>
      </c>
      <c r="H554" t="s">
        <v>5615</v>
      </c>
      <c r="I554">
        <v>0</v>
      </c>
      <c r="J554" t="s">
        <v>87</v>
      </c>
      <c r="K554">
        <v>0</v>
      </c>
      <c r="L554">
        <v>0</v>
      </c>
    </row>
    <row r="555" spans="1:12">
      <c r="A555" s="93">
        <v>130624</v>
      </c>
      <c r="B555" t="s">
        <v>1158</v>
      </c>
      <c r="C555" t="s">
        <v>5612</v>
      </c>
      <c r="D555" s="92">
        <v>0.86</v>
      </c>
      <c r="E555" s="92">
        <v>0.79</v>
      </c>
      <c r="F555">
        <v>23</v>
      </c>
      <c r="G555">
        <v>25.5</v>
      </c>
      <c r="H555" t="s">
        <v>5615</v>
      </c>
      <c r="I555">
        <v>0</v>
      </c>
      <c r="J555" t="s">
        <v>87</v>
      </c>
      <c r="K555">
        <v>0</v>
      </c>
      <c r="L555">
        <v>0</v>
      </c>
    </row>
    <row r="556" spans="1:12">
      <c r="A556" s="93">
        <v>130697</v>
      </c>
      <c r="B556" t="s">
        <v>582</v>
      </c>
      <c r="C556" t="s">
        <v>5611</v>
      </c>
      <c r="D556" s="92">
        <v>0.91</v>
      </c>
      <c r="E556" s="92">
        <v>0.88</v>
      </c>
      <c r="F556" t="s">
        <v>428</v>
      </c>
      <c r="G556" t="s">
        <v>428</v>
      </c>
      <c r="H556" t="s">
        <v>5619</v>
      </c>
      <c r="I556">
        <v>1</v>
      </c>
      <c r="J556" t="s">
        <v>87</v>
      </c>
      <c r="K556">
        <v>0</v>
      </c>
      <c r="L556">
        <v>0</v>
      </c>
    </row>
    <row r="557" spans="1:12">
      <c r="A557" s="93">
        <v>130776</v>
      </c>
      <c r="B557" t="s">
        <v>1159</v>
      </c>
      <c r="C557" t="s">
        <v>5608</v>
      </c>
      <c r="D557" s="92">
        <v>0.46</v>
      </c>
      <c r="E557" s="92">
        <v>0.41</v>
      </c>
      <c r="F557" t="s">
        <v>428</v>
      </c>
      <c r="G557" t="s">
        <v>428</v>
      </c>
      <c r="H557" t="s">
        <v>5615</v>
      </c>
      <c r="I557">
        <v>0</v>
      </c>
      <c r="J557" t="s">
        <v>87</v>
      </c>
      <c r="K557">
        <v>0</v>
      </c>
      <c r="L557">
        <v>0</v>
      </c>
    </row>
    <row r="558" spans="1:12">
      <c r="A558" s="93">
        <v>130785</v>
      </c>
      <c r="B558" t="s">
        <v>1160</v>
      </c>
      <c r="C558" t="s">
        <v>5607</v>
      </c>
      <c r="D558" s="92" t="s">
        <v>428</v>
      </c>
      <c r="E558" s="92" t="s">
        <v>428</v>
      </c>
      <c r="F558" t="s">
        <v>428</v>
      </c>
      <c r="G558" t="s">
        <v>428</v>
      </c>
      <c r="H558" t="s">
        <v>5615</v>
      </c>
      <c r="I558">
        <v>0</v>
      </c>
      <c r="J558" t="s">
        <v>87</v>
      </c>
      <c r="K558">
        <v>0</v>
      </c>
      <c r="L558">
        <v>0</v>
      </c>
    </row>
    <row r="559" spans="1:12">
      <c r="A559" s="93">
        <v>130794</v>
      </c>
      <c r="B559" t="s">
        <v>1161</v>
      </c>
      <c r="C559" t="s">
        <v>5611</v>
      </c>
      <c r="D559" s="92">
        <v>0.98</v>
      </c>
      <c r="E559" s="92">
        <v>0.99</v>
      </c>
      <c r="F559">
        <v>32</v>
      </c>
      <c r="G559">
        <v>33.5</v>
      </c>
      <c r="H559" t="s">
        <v>5619</v>
      </c>
      <c r="I559">
        <v>1</v>
      </c>
      <c r="J559" t="s">
        <v>87</v>
      </c>
      <c r="K559">
        <v>0</v>
      </c>
      <c r="L559">
        <v>0</v>
      </c>
    </row>
    <row r="560" spans="1:12">
      <c r="A560" s="93">
        <v>130837</v>
      </c>
      <c r="B560" t="s">
        <v>1162</v>
      </c>
      <c r="C560" t="s">
        <v>5606</v>
      </c>
      <c r="D560" s="92" t="s">
        <v>428</v>
      </c>
      <c r="E560" s="92" t="s">
        <v>428</v>
      </c>
      <c r="F560" t="s">
        <v>428</v>
      </c>
      <c r="G560" t="s">
        <v>428</v>
      </c>
      <c r="H560" t="s">
        <v>5615</v>
      </c>
      <c r="I560">
        <v>0</v>
      </c>
      <c r="J560" t="s">
        <v>87</v>
      </c>
      <c r="K560">
        <v>0</v>
      </c>
      <c r="L560">
        <v>0</v>
      </c>
    </row>
    <row r="561" spans="1:12">
      <c r="A561" s="93">
        <v>130907</v>
      </c>
      <c r="B561" t="s">
        <v>1163</v>
      </c>
      <c r="C561" t="s">
        <v>5604</v>
      </c>
      <c r="D561" s="92">
        <v>0.14</v>
      </c>
      <c r="E561" s="92">
        <v>0.08</v>
      </c>
      <c r="F561" t="s">
        <v>428</v>
      </c>
      <c r="G561" t="s">
        <v>428</v>
      </c>
      <c r="H561" t="s">
        <v>5615</v>
      </c>
      <c r="I561">
        <v>0</v>
      </c>
      <c r="J561" t="s">
        <v>87</v>
      </c>
      <c r="K561">
        <v>0</v>
      </c>
      <c r="L561">
        <v>0</v>
      </c>
    </row>
    <row r="562" spans="1:12">
      <c r="A562" s="93">
        <v>130934</v>
      </c>
      <c r="B562" t="s">
        <v>1164</v>
      </c>
      <c r="C562" t="s">
        <v>5604</v>
      </c>
      <c r="D562" s="92">
        <v>0.43</v>
      </c>
      <c r="E562" s="92">
        <v>0.58</v>
      </c>
      <c r="F562">
        <v>14</v>
      </c>
      <c r="G562">
        <v>16</v>
      </c>
      <c r="H562" t="s">
        <v>5615</v>
      </c>
      <c r="I562">
        <v>0</v>
      </c>
      <c r="J562" t="s">
        <v>138</v>
      </c>
      <c r="K562">
        <v>0</v>
      </c>
      <c r="L562">
        <v>0</v>
      </c>
    </row>
    <row r="563" spans="1:12">
      <c r="A563" s="93">
        <v>130943</v>
      </c>
      <c r="B563" t="s">
        <v>1165</v>
      </c>
      <c r="C563" t="s">
        <v>5603</v>
      </c>
      <c r="D563" s="92">
        <v>0.83</v>
      </c>
      <c r="E563" s="92">
        <v>0.72</v>
      </c>
      <c r="F563">
        <v>21</v>
      </c>
      <c r="G563">
        <v>24</v>
      </c>
      <c r="H563" t="s">
        <v>5615</v>
      </c>
      <c r="I563">
        <v>0</v>
      </c>
      <c r="J563" t="s">
        <v>87</v>
      </c>
      <c r="K563">
        <v>0</v>
      </c>
      <c r="L563">
        <v>0</v>
      </c>
    </row>
    <row r="564" spans="1:12">
      <c r="A564" s="93">
        <v>130989</v>
      </c>
      <c r="B564" t="s">
        <v>1166</v>
      </c>
      <c r="C564" t="s">
        <v>5602</v>
      </c>
      <c r="D564" s="92">
        <v>0.52</v>
      </c>
      <c r="E564" s="92">
        <v>0.42</v>
      </c>
      <c r="F564" t="s">
        <v>428</v>
      </c>
      <c r="G564" t="s">
        <v>428</v>
      </c>
      <c r="H564" t="s">
        <v>5617</v>
      </c>
      <c r="I564">
        <v>0</v>
      </c>
      <c r="J564" t="s">
        <v>87</v>
      </c>
      <c r="K564">
        <v>0</v>
      </c>
      <c r="L564">
        <v>0</v>
      </c>
    </row>
    <row r="565" spans="1:12">
      <c r="A565" s="93">
        <v>131098</v>
      </c>
      <c r="B565" t="s">
        <v>1167</v>
      </c>
      <c r="C565" t="s">
        <v>5608</v>
      </c>
      <c r="D565" s="92">
        <v>0.21</v>
      </c>
      <c r="E565" s="92">
        <v>0.16</v>
      </c>
      <c r="F565">
        <v>13</v>
      </c>
      <c r="G565">
        <v>15</v>
      </c>
      <c r="H565" t="s">
        <v>5617</v>
      </c>
      <c r="I565">
        <v>0</v>
      </c>
      <c r="J565" t="s">
        <v>87</v>
      </c>
      <c r="K565">
        <v>0</v>
      </c>
      <c r="L565">
        <v>0</v>
      </c>
    </row>
    <row r="566" spans="1:12">
      <c r="A566" s="93">
        <v>131113</v>
      </c>
      <c r="B566" t="s">
        <v>1168</v>
      </c>
      <c r="C566" t="s">
        <v>5604</v>
      </c>
      <c r="D566" s="92">
        <v>0.28</v>
      </c>
      <c r="E566" s="92">
        <v>0.17</v>
      </c>
      <c r="F566" t="s">
        <v>428</v>
      </c>
      <c r="G566" t="s">
        <v>428</v>
      </c>
      <c r="H566" t="s">
        <v>5616</v>
      </c>
      <c r="I566">
        <v>0</v>
      </c>
      <c r="J566" t="s">
        <v>87</v>
      </c>
      <c r="K566">
        <v>0</v>
      </c>
      <c r="L566">
        <v>0</v>
      </c>
    </row>
    <row r="567" spans="1:12">
      <c r="A567" s="93">
        <v>131159</v>
      </c>
      <c r="B567" t="s">
        <v>1169</v>
      </c>
      <c r="C567" t="s">
        <v>5605</v>
      </c>
      <c r="D567" s="92">
        <v>0.8100000000000001</v>
      </c>
      <c r="E567" s="92">
        <v>0.78</v>
      </c>
      <c r="F567">
        <v>26</v>
      </c>
      <c r="G567">
        <v>28.5</v>
      </c>
      <c r="H567" t="s">
        <v>5618</v>
      </c>
      <c r="I567">
        <v>0</v>
      </c>
      <c r="J567" t="s">
        <v>87</v>
      </c>
      <c r="K567">
        <v>0</v>
      </c>
      <c r="L567">
        <v>0</v>
      </c>
    </row>
    <row r="568" spans="1:12">
      <c r="A568" s="93">
        <v>131283</v>
      </c>
      <c r="B568" t="s">
        <v>1170</v>
      </c>
      <c r="C568" t="s">
        <v>5603</v>
      </c>
      <c r="D568" s="92">
        <v>0.7</v>
      </c>
      <c r="E568" s="92">
        <v>0.57</v>
      </c>
      <c r="F568" t="s">
        <v>428</v>
      </c>
      <c r="G568" t="s">
        <v>428</v>
      </c>
      <c r="H568" t="s">
        <v>5618</v>
      </c>
      <c r="I568">
        <v>0</v>
      </c>
      <c r="J568" t="s">
        <v>87</v>
      </c>
      <c r="K568">
        <v>0</v>
      </c>
      <c r="L568">
        <v>0</v>
      </c>
    </row>
    <row r="569" spans="1:12">
      <c r="A569" s="93">
        <v>131399</v>
      </c>
      <c r="B569" t="s">
        <v>1171</v>
      </c>
      <c r="C569" t="s">
        <v>5608</v>
      </c>
      <c r="D569" s="92">
        <v>0.22</v>
      </c>
      <c r="E569" s="92">
        <v>0.21</v>
      </c>
      <c r="F569" t="s">
        <v>428</v>
      </c>
      <c r="G569" t="s">
        <v>428</v>
      </c>
      <c r="H569" t="s">
        <v>5615</v>
      </c>
      <c r="I569">
        <v>0</v>
      </c>
      <c r="J569" t="s">
        <v>138</v>
      </c>
      <c r="K569">
        <v>0</v>
      </c>
      <c r="L569">
        <v>0</v>
      </c>
    </row>
    <row r="570" spans="1:12">
      <c r="A570" s="93">
        <v>131405</v>
      </c>
      <c r="B570" t="s">
        <v>1172</v>
      </c>
      <c r="C570" t="s">
        <v>5607</v>
      </c>
      <c r="D570" s="92" t="s">
        <v>428</v>
      </c>
      <c r="E570" s="92" t="s">
        <v>428</v>
      </c>
      <c r="F570" t="s">
        <v>428</v>
      </c>
      <c r="G570" t="s">
        <v>428</v>
      </c>
      <c r="H570" t="s">
        <v>5615</v>
      </c>
      <c r="I570">
        <v>0</v>
      </c>
      <c r="J570" t="s">
        <v>87</v>
      </c>
      <c r="K570">
        <v>0</v>
      </c>
      <c r="L570">
        <v>0</v>
      </c>
    </row>
    <row r="571" spans="1:12">
      <c r="A571" s="93">
        <v>131450</v>
      </c>
      <c r="B571" t="s">
        <v>1173</v>
      </c>
      <c r="C571" t="s">
        <v>5608</v>
      </c>
      <c r="D571" s="92">
        <v>0.45</v>
      </c>
      <c r="E571" s="92">
        <v>0.31</v>
      </c>
      <c r="F571">
        <v>14</v>
      </c>
      <c r="G571">
        <v>17</v>
      </c>
      <c r="H571" t="s">
        <v>5617</v>
      </c>
      <c r="I571">
        <v>0</v>
      </c>
      <c r="J571" t="s">
        <v>87</v>
      </c>
      <c r="K571">
        <v>0</v>
      </c>
      <c r="L571">
        <v>0</v>
      </c>
    </row>
    <row r="572" spans="1:12">
      <c r="A572" s="93">
        <v>131469</v>
      </c>
      <c r="B572" t="s">
        <v>1174</v>
      </c>
      <c r="C572" t="s">
        <v>5612</v>
      </c>
      <c r="D572" s="92">
        <v>0.84</v>
      </c>
      <c r="E572" s="92">
        <v>0.77</v>
      </c>
      <c r="F572">
        <v>27</v>
      </c>
      <c r="G572">
        <v>29.5</v>
      </c>
      <c r="H572" t="s">
        <v>5621</v>
      </c>
      <c r="I572">
        <v>1</v>
      </c>
      <c r="J572" t="s">
        <v>87</v>
      </c>
      <c r="K572">
        <v>0</v>
      </c>
      <c r="L572">
        <v>0</v>
      </c>
    </row>
    <row r="573" spans="1:12">
      <c r="A573" s="93">
        <v>131496</v>
      </c>
      <c r="B573" t="s">
        <v>474</v>
      </c>
      <c r="C573" t="s">
        <v>5611</v>
      </c>
      <c r="D573" s="92">
        <v>0.9399999999999999</v>
      </c>
      <c r="E573" s="92">
        <v>0.9399999999999999</v>
      </c>
      <c r="F573">
        <v>30</v>
      </c>
      <c r="G573">
        <v>32</v>
      </c>
      <c r="H573" t="s">
        <v>5619</v>
      </c>
      <c r="I573">
        <v>1</v>
      </c>
      <c r="J573" t="s">
        <v>87</v>
      </c>
      <c r="K573">
        <v>0</v>
      </c>
      <c r="L573">
        <v>0</v>
      </c>
    </row>
    <row r="574" spans="1:12">
      <c r="A574" s="93">
        <v>131520</v>
      </c>
      <c r="B574" t="s">
        <v>1175</v>
      </c>
      <c r="C574" t="s">
        <v>5602</v>
      </c>
      <c r="D574" s="92">
        <v>0.61</v>
      </c>
      <c r="E574" s="92">
        <v>0.76</v>
      </c>
      <c r="F574">
        <v>22</v>
      </c>
      <c r="G574">
        <v>25</v>
      </c>
      <c r="H574" t="s">
        <v>5625</v>
      </c>
      <c r="I574">
        <v>0</v>
      </c>
      <c r="J574" t="s">
        <v>138</v>
      </c>
      <c r="K574">
        <v>0</v>
      </c>
      <c r="L574">
        <v>0</v>
      </c>
    </row>
    <row r="575" spans="1:12">
      <c r="A575" s="93">
        <v>131803</v>
      </c>
      <c r="B575" t="s">
        <v>1176</v>
      </c>
      <c r="C575" t="s">
        <v>5604</v>
      </c>
      <c r="D575" s="92">
        <v>0.29</v>
      </c>
      <c r="E575" s="92">
        <v>0.22</v>
      </c>
      <c r="F575" t="s">
        <v>428</v>
      </c>
      <c r="G575" t="s">
        <v>428</v>
      </c>
      <c r="H575" t="s">
        <v>5617</v>
      </c>
      <c r="I575">
        <v>0</v>
      </c>
      <c r="J575" t="s">
        <v>87</v>
      </c>
      <c r="K575">
        <v>0</v>
      </c>
      <c r="L575">
        <v>0</v>
      </c>
    </row>
    <row r="576" spans="1:12">
      <c r="A576" s="93">
        <v>131830</v>
      </c>
      <c r="B576" t="s">
        <v>1177</v>
      </c>
      <c r="C576" t="s">
        <v>5606</v>
      </c>
      <c r="D576" s="92" t="s">
        <v>428</v>
      </c>
      <c r="E576" s="92" t="s">
        <v>428</v>
      </c>
      <c r="F576" t="s">
        <v>428</v>
      </c>
      <c r="G576" t="s">
        <v>428</v>
      </c>
      <c r="H576" t="s">
        <v>5617</v>
      </c>
      <c r="I576">
        <v>0</v>
      </c>
      <c r="J576" t="s">
        <v>87</v>
      </c>
      <c r="K576">
        <v>0</v>
      </c>
      <c r="L576">
        <v>0</v>
      </c>
    </row>
    <row r="577" spans="1:12">
      <c r="A577" s="93">
        <v>131876</v>
      </c>
      <c r="B577" t="s">
        <v>1178</v>
      </c>
      <c r="C577" t="s">
        <v>5602</v>
      </c>
      <c r="D577" s="92">
        <v>0.43</v>
      </c>
      <c r="E577" s="92">
        <v>0.43</v>
      </c>
      <c r="F577" t="s">
        <v>428</v>
      </c>
      <c r="G577" t="s">
        <v>428</v>
      </c>
      <c r="H577" t="s">
        <v>5617</v>
      </c>
      <c r="I577">
        <v>0</v>
      </c>
      <c r="J577" t="s">
        <v>87</v>
      </c>
      <c r="K577">
        <v>0</v>
      </c>
      <c r="L577">
        <v>0</v>
      </c>
    </row>
    <row r="578" spans="1:12">
      <c r="A578" s="93">
        <v>131973</v>
      </c>
      <c r="B578" t="s">
        <v>1179</v>
      </c>
      <c r="C578" t="s">
        <v>5607</v>
      </c>
      <c r="D578" s="92" t="s">
        <v>428</v>
      </c>
      <c r="E578" s="92" t="s">
        <v>428</v>
      </c>
      <c r="F578" t="s">
        <v>428</v>
      </c>
      <c r="G578" t="s">
        <v>428</v>
      </c>
      <c r="H578" t="s">
        <v>5615</v>
      </c>
      <c r="I578">
        <v>0</v>
      </c>
      <c r="J578" t="s">
        <v>87</v>
      </c>
      <c r="K578">
        <v>0</v>
      </c>
      <c r="L578">
        <v>0</v>
      </c>
    </row>
    <row r="579" spans="1:12">
      <c r="A579" s="93">
        <v>132268</v>
      </c>
      <c r="B579" t="s">
        <v>1180</v>
      </c>
      <c r="C579" t="s">
        <v>5606</v>
      </c>
      <c r="D579" s="92" t="s">
        <v>428</v>
      </c>
      <c r="E579" s="92" t="s">
        <v>428</v>
      </c>
      <c r="F579" t="s">
        <v>428</v>
      </c>
      <c r="G579" t="s">
        <v>428</v>
      </c>
      <c r="H579" t="s">
        <v>5617</v>
      </c>
      <c r="I579">
        <v>0</v>
      </c>
      <c r="J579" t="s">
        <v>87</v>
      </c>
      <c r="K579">
        <v>0</v>
      </c>
      <c r="L579">
        <v>0</v>
      </c>
    </row>
    <row r="580" spans="1:12">
      <c r="A580" s="93">
        <v>132338</v>
      </c>
      <c r="B580" t="s">
        <v>1181</v>
      </c>
      <c r="C580" t="s">
        <v>5604</v>
      </c>
      <c r="D580" s="92">
        <v>0.37</v>
      </c>
      <c r="E580" s="92">
        <v>0.38</v>
      </c>
      <c r="F580" t="s">
        <v>428</v>
      </c>
      <c r="G580" t="s">
        <v>428</v>
      </c>
      <c r="H580" t="s">
        <v>5617</v>
      </c>
      <c r="I580">
        <v>0</v>
      </c>
      <c r="J580" t="s">
        <v>87</v>
      </c>
      <c r="K580">
        <v>0</v>
      </c>
      <c r="L580">
        <v>0</v>
      </c>
    </row>
    <row r="581" spans="1:12">
      <c r="A581" s="93">
        <v>132374</v>
      </c>
      <c r="B581" t="s">
        <v>1182</v>
      </c>
      <c r="C581" t="s">
        <v>5606</v>
      </c>
      <c r="D581" s="92" t="s">
        <v>428</v>
      </c>
      <c r="E581" s="92" t="s">
        <v>428</v>
      </c>
      <c r="F581" t="s">
        <v>428</v>
      </c>
      <c r="G581" t="s">
        <v>428</v>
      </c>
      <c r="H581" t="s">
        <v>5615</v>
      </c>
      <c r="I581">
        <v>0</v>
      </c>
      <c r="J581" t="s">
        <v>87</v>
      </c>
      <c r="K581">
        <v>0</v>
      </c>
      <c r="L581">
        <v>0</v>
      </c>
    </row>
    <row r="582" spans="1:12">
      <c r="A582" s="93">
        <v>132408</v>
      </c>
      <c r="B582" t="s">
        <v>1183</v>
      </c>
      <c r="C582" t="s">
        <v>5608</v>
      </c>
      <c r="D582" s="92">
        <v>0.5</v>
      </c>
      <c r="E582" s="92">
        <v>0.5</v>
      </c>
      <c r="F582">
        <v>17</v>
      </c>
      <c r="G582">
        <v>19.5</v>
      </c>
      <c r="H582" t="s">
        <v>5616</v>
      </c>
      <c r="I582">
        <v>0</v>
      </c>
      <c r="J582" t="s">
        <v>87</v>
      </c>
      <c r="K582">
        <v>0</v>
      </c>
      <c r="L582">
        <v>0</v>
      </c>
    </row>
    <row r="583" spans="1:12">
      <c r="A583" s="93">
        <v>132471</v>
      </c>
      <c r="B583" t="s">
        <v>1184</v>
      </c>
      <c r="C583" t="s">
        <v>5602</v>
      </c>
      <c r="D583" s="92">
        <v>0.33</v>
      </c>
      <c r="E583" s="92">
        <v>0.32</v>
      </c>
      <c r="F583">
        <v>18</v>
      </c>
      <c r="G583">
        <v>19.5</v>
      </c>
      <c r="H583" t="s">
        <v>5616</v>
      </c>
      <c r="I583">
        <v>0</v>
      </c>
      <c r="J583" t="s">
        <v>87</v>
      </c>
      <c r="K583">
        <v>0</v>
      </c>
      <c r="L583">
        <v>0</v>
      </c>
    </row>
    <row r="584" spans="1:12">
      <c r="A584" s="93">
        <v>132602</v>
      </c>
      <c r="B584" t="s">
        <v>1185</v>
      </c>
      <c r="C584" t="s">
        <v>5602</v>
      </c>
      <c r="D584" s="92">
        <v>0.33</v>
      </c>
      <c r="E584" s="92">
        <v>0.48</v>
      </c>
      <c r="F584" t="s">
        <v>428</v>
      </c>
      <c r="G584" t="s">
        <v>428</v>
      </c>
      <c r="H584" t="s">
        <v>5617</v>
      </c>
      <c r="I584">
        <v>0</v>
      </c>
      <c r="J584" t="s">
        <v>138</v>
      </c>
      <c r="K584">
        <v>0</v>
      </c>
      <c r="L584">
        <v>0</v>
      </c>
    </row>
    <row r="585" spans="1:12">
      <c r="A585" s="93">
        <v>132657</v>
      </c>
      <c r="B585" t="s">
        <v>1186</v>
      </c>
      <c r="C585" t="s">
        <v>5608</v>
      </c>
      <c r="D585" s="92">
        <v>0.43</v>
      </c>
      <c r="E585" s="92">
        <v>0.39</v>
      </c>
      <c r="F585">
        <v>15</v>
      </c>
      <c r="G585">
        <v>18</v>
      </c>
      <c r="H585" t="s">
        <v>5617</v>
      </c>
      <c r="I585">
        <v>0</v>
      </c>
      <c r="J585" t="s">
        <v>87</v>
      </c>
      <c r="K585">
        <v>0</v>
      </c>
      <c r="L585">
        <v>0</v>
      </c>
    </row>
    <row r="586" spans="1:12">
      <c r="A586" s="93">
        <v>132675</v>
      </c>
      <c r="B586" t="s">
        <v>1187</v>
      </c>
      <c r="C586" t="s">
        <v>5606</v>
      </c>
      <c r="D586" s="92" t="s">
        <v>428</v>
      </c>
      <c r="E586" s="92" t="s">
        <v>428</v>
      </c>
      <c r="F586" t="s">
        <v>428</v>
      </c>
      <c r="G586" t="s">
        <v>428</v>
      </c>
      <c r="H586" t="s">
        <v>5615</v>
      </c>
      <c r="I586">
        <v>0</v>
      </c>
      <c r="J586" t="s">
        <v>87</v>
      </c>
      <c r="K586">
        <v>0</v>
      </c>
      <c r="L586">
        <v>0</v>
      </c>
    </row>
    <row r="587" spans="1:12">
      <c r="A587" s="93">
        <v>132693</v>
      </c>
      <c r="B587" t="s">
        <v>1188</v>
      </c>
      <c r="C587" t="s">
        <v>5604</v>
      </c>
      <c r="D587" s="92" t="s">
        <v>428</v>
      </c>
      <c r="E587" s="92" t="s">
        <v>428</v>
      </c>
      <c r="F587" t="s">
        <v>428</v>
      </c>
      <c r="G587" t="s">
        <v>428</v>
      </c>
      <c r="H587" t="s">
        <v>5615</v>
      </c>
      <c r="I587">
        <v>0</v>
      </c>
      <c r="J587" t="s">
        <v>87</v>
      </c>
      <c r="K587">
        <v>0</v>
      </c>
      <c r="L587">
        <v>0</v>
      </c>
    </row>
    <row r="588" spans="1:12">
      <c r="A588" s="93">
        <v>132709</v>
      </c>
      <c r="B588" t="s">
        <v>1189</v>
      </c>
      <c r="C588" t="s">
        <v>5604</v>
      </c>
      <c r="D588" s="92" t="s">
        <v>428</v>
      </c>
      <c r="E588" s="92" t="s">
        <v>428</v>
      </c>
      <c r="F588" t="s">
        <v>428</v>
      </c>
      <c r="G588" t="s">
        <v>428</v>
      </c>
      <c r="H588" t="s">
        <v>5615</v>
      </c>
      <c r="I588">
        <v>0</v>
      </c>
      <c r="J588" t="s">
        <v>87</v>
      </c>
      <c r="K588">
        <v>0</v>
      </c>
      <c r="L588">
        <v>0</v>
      </c>
    </row>
    <row r="589" spans="1:12">
      <c r="A589" s="93">
        <v>132842</v>
      </c>
      <c r="B589" t="s">
        <v>1190</v>
      </c>
      <c r="C589" t="s">
        <v>5608</v>
      </c>
      <c r="D589" s="92">
        <v>0.39</v>
      </c>
      <c r="E589" s="92">
        <v>0.39</v>
      </c>
      <c r="F589" t="s">
        <v>428</v>
      </c>
      <c r="G589" t="s">
        <v>428</v>
      </c>
      <c r="H589" t="s">
        <v>5617</v>
      </c>
      <c r="I589">
        <v>0</v>
      </c>
      <c r="J589" t="s">
        <v>87</v>
      </c>
      <c r="K589">
        <v>0</v>
      </c>
      <c r="L589">
        <v>0</v>
      </c>
    </row>
    <row r="590" spans="1:12">
      <c r="A590" s="93">
        <v>132851</v>
      </c>
      <c r="B590" t="s">
        <v>1191</v>
      </c>
      <c r="C590" t="s">
        <v>5604</v>
      </c>
      <c r="D590" s="92" t="s">
        <v>428</v>
      </c>
      <c r="E590" s="92" t="s">
        <v>428</v>
      </c>
      <c r="F590" t="s">
        <v>428</v>
      </c>
      <c r="G590" t="s">
        <v>428</v>
      </c>
      <c r="H590" t="s">
        <v>5615</v>
      </c>
      <c r="I590">
        <v>0</v>
      </c>
      <c r="J590" t="s">
        <v>87</v>
      </c>
      <c r="K590">
        <v>0</v>
      </c>
      <c r="L590">
        <v>0</v>
      </c>
    </row>
    <row r="591" spans="1:12">
      <c r="A591" s="93">
        <v>132879</v>
      </c>
      <c r="B591" t="s">
        <v>1192</v>
      </c>
      <c r="C591" t="s">
        <v>5608</v>
      </c>
      <c r="D591" s="92">
        <v>0.37</v>
      </c>
      <c r="E591" s="92">
        <v>0.13</v>
      </c>
      <c r="F591">
        <v>18</v>
      </c>
      <c r="G591">
        <v>20.5</v>
      </c>
      <c r="H591" t="s">
        <v>5616</v>
      </c>
      <c r="I591">
        <v>0</v>
      </c>
      <c r="J591" t="s">
        <v>87</v>
      </c>
      <c r="K591">
        <v>0</v>
      </c>
      <c r="L591">
        <v>0</v>
      </c>
    </row>
    <row r="592" spans="1:12">
      <c r="A592" s="93">
        <v>132903</v>
      </c>
      <c r="B592" t="s">
        <v>1193</v>
      </c>
      <c r="C592" t="s">
        <v>5603</v>
      </c>
      <c r="D592" s="92">
        <v>0.6899999999999999</v>
      </c>
      <c r="E592" s="92">
        <v>0.68</v>
      </c>
      <c r="F592">
        <v>24</v>
      </c>
      <c r="G592">
        <v>26</v>
      </c>
      <c r="H592" t="s">
        <v>5615</v>
      </c>
      <c r="I592">
        <v>0</v>
      </c>
      <c r="J592" t="s">
        <v>87</v>
      </c>
      <c r="K592">
        <v>0</v>
      </c>
      <c r="L592">
        <v>0</v>
      </c>
    </row>
    <row r="593" spans="1:12">
      <c r="A593" s="93">
        <v>132976</v>
      </c>
      <c r="B593" t="s">
        <v>1194</v>
      </c>
      <c r="C593" t="s">
        <v>5606</v>
      </c>
      <c r="D593" s="92" t="s">
        <v>428</v>
      </c>
      <c r="E593" s="92" t="s">
        <v>428</v>
      </c>
      <c r="F593" t="s">
        <v>428</v>
      </c>
      <c r="G593" t="s">
        <v>428</v>
      </c>
      <c r="H593" t="s">
        <v>5615</v>
      </c>
      <c r="I593">
        <v>0</v>
      </c>
      <c r="J593" t="s">
        <v>87</v>
      </c>
      <c r="K593">
        <v>0</v>
      </c>
      <c r="L593">
        <v>0</v>
      </c>
    </row>
    <row r="594" spans="1:12">
      <c r="A594" s="93">
        <v>133021</v>
      </c>
      <c r="B594" t="s">
        <v>1195</v>
      </c>
      <c r="C594" t="s">
        <v>5604</v>
      </c>
      <c r="D594" s="92" t="s">
        <v>428</v>
      </c>
      <c r="E594" s="92" t="s">
        <v>428</v>
      </c>
      <c r="F594" t="s">
        <v>428</v>
      </c>
      <c r="G594" t="s">
        <v>428</v>
      </c>
      <c r="H594" t="s">
        <v>5615</v>
      </c>
      <c r="I594">
        <v>0</v>
      </c>
      <c r="J594" t="s">
        <v>87</v>
      </c>
      <c r="K594">
        <v>0</v>
      </c>
      <c r="L594">
        <v>0</v>
      </c>
    </row>
    <row r="595" spans="1:12">
      <c r="A595" s="93">
        <v>133155</v>
      </c>
      <c r="B595" t="s">
        <v>1196</v>
      </c>
      <c r="C595" t="s">
        <v>5606</v>
      </c>
      <c r="D595" s="92" t="s">
        <v>428</v>
      </c>
      <c r="E595" s="92" t="s">
        <v>428</v>
      </c>
      <c r="F595" t="s">
        <v>428</v>
      </c>
      <c r="G595" t="s">
        <v>428</v>
      </c>
      <c r="H595" t="s">
        <v>5615</v>
      </c>
      <c r="I595">
        <v>0</v>
      </c>
      <c r="J595" t="s">
        <v>87</v>
      </c>
      <c r="K595">
        <v>0</v>
      </c>
      <c r="L595">
        <v>0</v>
      </c>
    </row>
    <row r="596" spans="1:12">
      <c r="A596" s="93">
        <v>133386</v>
      </c>
      <c r="B596" t="s">
        <v>1197</v>
      </c>
      <c r="C596" t="s">
        <v>5604</v>
      </c>
      <c r="D596" s="92" t="s">
        <v>428</v>
      </c>
      <c r="E596" s="92" t="s">
        <v>428</v>
      </c>
      <c r="F596" t="s">
        <v>428</v>
      </c>
      <c r="G596" t="s">
        <v>428</v>
      </c>
      <c r="H596" t="s">
        <v>5615</v>
      </c>
      <c r="I596">
        <v>0</v>
      </c>
      <c r="J596" t="s">
        <v>87</v>
      </c>
      <c r="K596">
        <v>0</v>
      </c>
      <c r="L596">
        <v>0</v>
      </c>
    </row>
    <row r="597" spans="1:12">
      <c r="A597" s="93">
        <v>133465</v>
      </c>
      <c r="B597" t="s">
        <v>1198</v>
      </c>
      <c r="C597" t="s">
        <v>5604</v>
      </c>
      <c r="D597" s="92">
        <v>0.11</v>
      </c>
      <c r="E597" s="92">
        <v>0.11</v>
      </c>
      <c r="F597" t="s">
        <v>428</v>
      </c>
      <c r="G597" t="s">
        <v>428</v>
      </c>
      <c r="H597" t="s">
        <v>5617</v>
      </c>
      <c r="I597">
        <v>0</v>
      </c>
      <c r="J597" t="s">
        <v>87</v>
      </c>
      <c r="K597">
        <v>0</v>
      </c>
      <c r="L597">
        <v>0</v>
      </c>
    </row>
    <row r="598" spans="1:12">
      <c r="A598" s="93">
        <v>133492</v>
      </c>
      <c r="B598" t="s">
        <v>1199</v>
      </c>
      <c r="C598" t="s">
        <v>5602</v>
      </c>
      <c r="D598" s="92">
        <v>0.66</v>
      </c>
      <c r="E598" s="92">
        <v>0.58</v>
      </c>
      <c r="F598">
        <v>22</v>
      </c>
      <c r="G598">
        <v>25</v>
      </c>
      <c r="H598" t="s">
        <v>5617</v>
      </c>
      <c r="I598">
        <v>0</v>
      </c>
      <c r="J598" t="s">
        <v>87</v>
      </c>
      <c r="K598">
        <v>0</v>
      </c>
      <c r="L598">
        <v>0</v>
      </c>
    </row>
    <row r="599" spans="1:12">
      <c r="A599" s="93">
        <v>133508</v>
      </c>
      <c r="B599" t="s">
        <v>1200</v>
      </c>
      <c r="C599" t="s">
        <v>5604</v>
      </c>
      <c r="D599" s="92" t="s">
        <v>428</v>
      </c>
      <c r="E599" s="92" t="s">
        <v>428</v>
      </c>
      <c r="F599" t="s">
        <v>428</v>
      </c>
      <c r="G599" t="s">
        <v>428</v>
      </c>
      <c r="H599" t="s">
        <v>5615</v>
      </c>
      <c r="I599">
        <v>0</v>
      </c>
      <c r="J599" t="s">
        <v>87</v>
      </c>
      <c r="K599">
        <v>0</v>
      </c>
      <c r="L599">
        <v>0</v>
      </c>
    </row>
    <row r="600" spans="1:12">
      <c r="A600" s="93">
        <v>133526</v>
      </c>
      <c r="B600" t="s">
        <v>1201</v>
      </c>
      <c r="C600" t="s">
        <v>5604</v>
      </c>
      <c r="D600" s="92">
        <v>0.26</v>
      </c>
      <c r="E600" s="92">
        <v>0.4</v>
      </c>
      <c r="F600">
        <v>15</v>
      </c>
      <c r="G600">
        <v>16.5</v>
      </c>
      <c r="H600" t="s">
        <v>5616</v>
      </c>
      <c r="I600">
        <v>0</v>
      </c>
      <c r="J600" t="s">
        <v>138</v>
      </c>
      <c r="K600">
        <v>0</v>
      </c>
      <c r="L600">
        <v>0</v>
      </c>
    </row>
    <row r="601" spans="1:12">
      <c r="A601" s="93">
        <v>133553</v>
      </c>
      <c r="B601" t="s">
        <v>1202</v>
      </c>
      <c r="C601" t="s">
        <v>5603</v>
      </c>
      <c r="D601" s="92">
        <v>0.54</v>
      </c>
      <c r="E601" s="92">
        <v>0.41</v>
      </c>
      <c r="F601" t="s">
        <v>428</v>
      </c>
      <c r="G601" t="s">
        <v>428</v>
      </c>
      <c r="H601" t="s">
        <v>5617</v>
      </c>
      <c r="I601">
        <v>0</v>
      </c>
      <c r="J601" t="s">
        <v>87</v>
      </c>
      <c r="K601">
        <v>0</v>
      </c>
      <c r="L601">
        <v>0</v>
      </c>
    </row>
    <row r="602" spans="1:12">
      <c r="A602" s="93">
        <v>133650</v>
      </c>
      <c r="B602" t="s">
        <v>1203</v>
      </c>
      <c r="C602" t="s">
        <v>5602</v>
      </c>
      <c r="D602" s="92">
        <v>0.41</v>
      </c>
      <c r="E602" s="92">
        <v>0.5600000000000001</v>
      </c>
      <c r="F602">
        <v>19</v>
      </c>
      <c r="G602">
        <v>21.5</v>
      </c>
      <c r="H602" t="s">
        <v>5615</v>
      </c>
      <c r="I602">
        <v>0</v>
      </c>
      <c r="J602" t="s">
        <v>138</v>
      </c>
      <c r="K602">
        <v>0</v>
      </c>
      <c r="L602">
        <v>0</v>
      </c>
    </row>
    <row r="603" spans="1:12">
      <c r="A603" s="93">
        <v>133669</v>
      </c>
      <c r="B603" t="s">
        <v>1204</v>
      </c>
      <c r="C603" t="s">
        <v>5602</v>
      </c>
      <c r="D603" s="92">
        <v>0.5</v>
      </c>
      <c r="E603" s="92">
        <v>0.5</v>
      </c>
      <c r="F603">
        <v>20</v>
      </c>
      <c r="G603">
        <v>22.5</v>
      </c>
      <c r="H603" t="s">
        <v>5615</v>
      </c>
      <c r="I603">
        <v>0</v>
      </c>
      <c r="J603" t="s">
        <v>87</v>
      </c>
      <c r="K603">
        <v>0</v>
      </c>
      <c r="L603">
        <v>0</v>
      </c>
    </row>
    <row r="604" spans="1:12">
      <c r="A604" s="93">
        <v>133702</v>
      </c>
      <c r="B604" t="s">
        <v>1205</v>
      </c>
      <c r="C604" t="s">
        <v>5604</v>
      </c>
      <c r="D604" s="92" t="s">
        <v>428</v>
      </c>
      <c r="E604" s="92" t="s">
        <v>428</v>
      </c>
      <c r="F604" t="s">
        <v>428</v>
      </c>
      <c r="G604" t="s">
        <v>428</v>
      </c>
      <c r="H604" t="s">
        <v>5615</v>
      </c>
      <c r="I604">
        <v>0</v>
      </c>
      <c r="J604" t="s">
        <v>87</v>
      </c>
      <c r="K604">
        <v>0</v>
      </c>
      <c r="L604">
        <v>0</v>
      </c>
    </row>
    <row r="605" spans="1:12">
      <c r="A605" s="93">
        <v>133711</v>
      </c>
      <c r="B605" t="s">
        <v>1206</v>
      </c>
      <c r="C605" t="s">
        <v>5602</v>
      </c>
      <c r="D605" s="92">
        <v>0.6</v>
      </c>
      <c r="E605" s="92">
        <v>0.57</v>
      </c>
      <c r="F605">
        <v>22</v>
      </c>
      <c r="G605">
        <v>24</v>
      </c>
      <c r="H605" t="s">
        <v>5617</v>
      </c>
      <c r="I605">
        <v>0</v>
      </c>
      <c r="J605" t="s">
        <v>87</v>
      </c>
      <c r="K605">
        <v>0</v>
      </c>
      <c r="L605">
        <v>0</v>
      </c>
    </row>
    <row r="606" spans="1:12">
      <c r="A606" s="93">
        <v>133809</v>
      </c>
      <c r="B606" t="s">
        <v>1207</v>
      </c>
      <c r="C606" t="s">
        <v>5602</v>
      </c>
      <c r="D606" s="92">
        <v>0.2</v>
      </c>
      <c r="E606" s="92">
        <v>0.07000000000000001</v>
      </c>
      <c r="F606">
        <v>20</v>
      </c>
      <c r="G606">
        <v>23</v>
      </c>
      <c r="H606" t="s">
        <v>5617</v>
      </c>
      <c r="I606">
        <v>0</v>
      </c>
      <c r="J606" t="s">
        <v>87</v>
      </c>
      <c r="K606">
        <v>0</v>
      </c>
      <c r="L606">
        <v>0</v>
      </c>
    </row>
    <row r="607" spans="1:12">
      <c r="A607" s="93">
        <v>133845</v>
      </c>
      <c r="B607" t="s">
        <v>1208</v>
      </c>
      <c r="C607" t="s">
        <v>5609</v>
      </c>
      <c r="D607" s="92" t="s">
        <v>428</v>
      </c>
      <c r="E607" s="92" t="s">
        <v>428</v>
      </c>
      <c r="F607" t="s">
        <v>428</v>
      </c>
      <c r="G607" t="s">
        <v>428</v>
      </c>
      <c r="H607" t="s">
        <v>5617</v>
      </c>
      <c r="I607">
        <v>0</v>
      </c>
      <c r="J607" t="s">
        <v>87</v>
      </c>
      <c r="K607">
        <v>0</v>
      </c>
      <c r="L607">
        <v>0</v>
      </c>
    </row>
    <row r="608" spans="1:12">
      <c r="A608" s="93">
        <v>133854</v>
      </c>
      <c r="B608" t="s">
        <v>1209</v>
      </c>
      <c r="C608" t="s">
        <v>5609</v>
      </c>
      <c r="D608" s="92" t="s">
        <v>428</v>
      </c>
      <c r="E608" s="92" t="s">
        <v>428</v>
      </c>
      <c r="F608" t="s">
        <v>428</v>
      </c>
      <c r="G608" t="s">
        <v>428</v>
      </c>
      <c r="H608" t="s">
        <v>5617</v>
      </c>
      <c r="I608">
        <v>0</v>
      </c>
      <c r="J608" t="s">
        <v>87</v>
      </c>
      <c r="K608">
        <v>0</v>
      </c>
      <c r="L608">
        <v>0</v>
      </c>
    </row>
    <row r="609" spans="1:12">
      <c r="A609" s="93">
        <v>133863</v>
      </c>
      <c r="B609" t="s">
        <v>1210</v>
      </c>
      <c r="C609" t="s">
        <v>5609</v>
      </c>
      <c r="D609" s="92" t="s">
        <v>428</v>
      </c>
      <c r="E609" s="92" t="s">
        <v>428</v>
      </c>
      <c r="F609" t="s">
        <v>428</v>
      </c>
      <c r="G609" t="s">
        <v>428</v>
      </c>
      <c r="H609" t="s">
        <v>5617</v>
      </c>
      <c r="I609">
        <v>0</v>
      </c>
      <c r="J609" t="s">
        <v>87</v>
      </c>
      <c r="K609">
        <v>0</v>
      </c>
      <c r="L609">
        <v>0</v>
      </c>
    </row>
    <row r="610" spans="1:12">
      <c r="A610" s="93">
        <v>133872</v>
      </c>
      <c r="B610" t="s">
        <v>1211</v>
      </c>
      <c r="C610" t="s">
        <v>5604</v>
      </c>
      <c r="D610" s="92">
        <v>0.58</v>
      </c>
      <c r="E610" s="92">
        <v>0.54</v>
      </c>
      <c r="F610">
        <v>18</v>
      </c>
      <c r="G610">
        <v>20</v>
      </c>
      <c r="H610" t="s">
        <v>5617</v>
      </c>
      <c r="I610">
        <v>0</v>
      </c>
      <c r="J610" t="s">
        <v>87</v>
      </c>
      <c r="K610">
        <v>0</v>
      </c>
      <c r="L610">
        <v>0</v>
      </c>
    </row>
    <row r="611" spans="1:12">
      <c r="A611" s="93">
        <v>133881</v>
      </c>
      <c r="B611" t="s">
        <v>1212</v>
      </c>
      <c r="C611" t="s">
        <v>5603</v>
      </c>
      <c r="D611" s="92">
        <v>0.57</v>
      </c>
      <c r="E611" s="92">
        <v>0.47</v>
      </c>
      <c r="F611">
        <v>24</v>
      </c>
      <c r="G611">
        <v>26.5</v>
      </c>
      <c r="H611" t="s">
        <v>5617</v>
      </c>
      <c r="I611">
        <v>0</v>
      </c>
      <c r="J611" t="s">
        <v>87</v>
      </c>
      <c r="K611">
        <v>0</v>
      </c>
      <c r="L611">
        <v>0</v>
      </c>
    </row>
    <row r="612" spans="1:12">
      <c r="A612" s="93">
        <v>133942</v>
      </c>
      <c r="B612" t="s">
        <v>1213</v>
      </c>
      <c r="C612" t="s">
        <v>5606</v>
      </c>
      <c r="D612" s="92" t="s">
        <v>428</v>
      </c>
      <c r="E612" s="92" t="s">
        <v>428</v>
      </c>
      <c r="F612" t="s">
        <v>428</v>
      </c>
      <c r="G612" t="s">
        <v>428</v>
      </c>
      <c r="H612" t="s">
        <v>5615</v>
      </c>
      <c r="I612">
        <v>0</v>
      </c>
      <c r="J612" t="s">
        <v>87</v>
      </c>
      <c r="K612">
        <v>0</v>
      </c>
      <c r="L612">
        <v>0</v>
      </c>
    </row>
    <row r="613" spans="1:12">
      <c r="A613" s="93">
        <v>133951</v>
      </c>
      <c r="B613" t="s">
        <v>1214</v>
      </c>
      <c r="C613" t="s">
        <v>5602</v>
      </c>
      <c r="D613" s="92">
        <v>0.5600000000000001</v>
      </c>
      <c r="E613" s="92">
        <v>0.57</v>
      </c>
      <c r="F613">
        <v>23</v>
      </c>
      <c r="G613">
        <v>25</v>
      </c>
      <c r="H613" t="s">
        <v>5615</v>
      </c>
      <c r="I613">
        <v>0</v>
      </c>
      <c r="J613" t="s">
        <v>87</v>
      </c>
      <c r="K613">
        <v>0</v>
      </c>
      <c r="L613">
        <v>0</v>
      </c>
    </row>
    <row r="614" spans="1:12">
      <c r="A614" s="93">
        <v>133960</v>
      </c>
      <c r="B614" t="s">
        <v>1215</v>
      </c>
      <c r="C614" t="s">
        <v>5604</v>
      </c>
      <c r="D614" s="92">
        <v>0.32</v>
      </c>
      <c r="E614" s="92">
        <v>0.32</v>
      </c>
      <c r="F614" t="s">
        <v>428</v>
      </c>
      <c r="G614" t="s">
        <v>428</v>
      </c>
      <c r="H614" t="s">
        <v>5615</v>
      </c>
      <c r="I614">
        <v>0</v>
      </c>
      <c r="J614" t="s">
        <v>87</v>
      </c>
      <c r="K614">
        <v>0</v>
      </c>
      <c r="L614">
        <v>0</v>
      </c>
    </row>
    <row r="615" spans="1:12">
      <c r="A615" s="93">
        <v>133979</v>
      </c>
      <c r="B615" t="s">
        <v>1216</v>
      </c>
      <c r="C615" t="s">
        <v>5608</v>
      </c>
      <c r="D615" s="92">
        <v>0.38</v>
      </c>
      <c r="E615" s="92">
        <v>0.49</v>
      </c>
      <c r="F615" t="s">
        <v>428</v>
      </c>
      <c r="G615" t="s">
        <v>428</v>
      </c>
      <c r="H615" t="s">
        <v>5617</v>
      </c>
      <c r="I615">
        <v>0</v>
      </c>
      <c r="J615" t="s">
        <v>138</v>
      </c>
      <c r="K615">
        <v>0</v>
      </c>
      <c r="L615">
        <v>0</v>
      </c>
    </row>
    <row r="616" spans="1:12">
      <c r="A616" s="93">
        <v>133997</v>
      </c>
      <c r="B616" t="s">
        <v>1217</v>
      </c>
      <c r="C616" t="s">
        <v>5606</v>
      </c>
      <c r="D616" s="92" t="s">
        <v>428</v>
      </c>
      <c r="E616" s="92" t="s">
        <v>428</v>
      </c>
      <c r="F616" t="s">
        <v>428</v>
      </c>
      <c r="G616" t="s">
        <v>428</v>
      </c>
      <c r="H616" t="s">
        <v>5617</v>
      </c>
      <c r="I616">
        <v>0</v>
      </c>
      <c r="J616" t="s">
        <v>87</v>
      </c>
      <c r="K616">
        <v>0</v>
      </c>
      <c r="L616">
        <v>0</v>
      </c>
    </row>
    <row r="617" spans="1:12">
      <c r="A617" s="93">
        <v>134079</v>
      </c>
      <c r="B617" t="s">
        <v>1218</v>
      </c>
      <c r="C617" t="s">
        <v>5602</v>
      </c>
      <c r="D617" s="92">
        <v>0.6</v>
      </c>
      <c r="E617" s="92">
        <v>0.53</v>
      </c>
      <c r="F617">
        <v>24</v>
      </c>
      <c r="G617">
        <v>26.5</v>
      </c>
      <c r="H617" t="s">
        <v>5617</v>
      </c>
      <c r="I617">
        <v>0</v>
      </c>
      <c r="J617" t="s">
        <v>87</v>
      </c>
      <c r="K617">
        <v>0</v>
      </c>
      <c r="L617">
        <v>0</v>
      </c>
    </row>
    <row r="618" spans="1:12">
      <c r="A618" s="93">
        <v>134097</v>
      </c>
      <c r="B618" t="s">
        <v>1219</v>
      </c>
      <c r="C618" t="s">
        <v>5605</v>
      </c>
      <c r="D618" s="92">
        <v>0.8</v>
      </c>
      <c r="E618" s="92">
        <v>0.78</v>
      </c>
      <c r="F618">
        <v>25</v>
      </c>
      <c r="G618">
        <v>27</v>
      </c>
      <c r="H618" t="s">
        <v>5615</v>
      </c>
      <c r="I618">
        <v>0</v>
      </c>
      <c r="J618" t="s">
        <v>87</v>
      </c>
      <c r="K618">
        <v>0</v>
      </c>
      <c r="L618">
        <v>0</v>
      </c>
    </row>
    <row r="619" spans="1:12">
      <c r="A619" s="93">
        <v>134112</v>
      </c>
      <c r="B619" t="s">
        <v>1220</v>
      </c>
      <c r="C619" t="s">
        <v>5604</v>
      </c>
      <c r="D619" s="92" t="s">
        <v>428</v>
      </c>
      <c r="E619" s="92" t="s">
        <v>428</v>
      </c>
      <c r="F619" t="s">
        <v>428</v>
      </c>
      <c r="G619" t="s">
        <v>428</v>
      </c>
      <c r="H619" t="s">
        <v>5617</v>
      </c>
      <c r="I619">
        <v>0</v>
      </c>
      <c r="J619" t="s">
        <v>87</v>
      </c>
      <c r="K619">
        <v>0</v>
      </c>
      <c r="L619">
        <v>0</v>
      </c>
    </row>
    <row r="620" spans="1:12">
      <c r="A620" s="93">
        <v>134130</v>
      </c>
      <c r="B620" t="s">
        <v>1221</v>
      </c>
      <c r="C620" t="s">
        <v>5605</v>
      </c>
      <c r="D620" s="92">
        <v>0.87</v>
      </c>
      <c r="E620" s="92">
        <v>0.83</v>
      </c>
      <c r="F620">
        <v>27</v>
      </c>
      <c r="G620">
        <v>29</v>
      </c>
      <c r="H620" t="s">
        <v>5615</v>
      </c>
      <c r="I620">
        <v>0</v>
      </c>
      <c r="J620" t="s">
        <v>87</v>
      </c>
      <c r="K620">
        <v>0</v>
      </c>
      <c r="L620">
        <v>0</v>
      </c>
    </row>
    <row r="621" spans="1:12">
      <c r="A621" s="93">
        <v>134149</v>
      </c>
      <c r="B621" t="s">
        <v>1222</v>
      </c>
      <c r="C621" t="s">
        <v>5607</v>
      </c>
      <c r="D621" s="92">
        <v>0.27</v>
      </c>
      <c r="E621" s="92">
        <v>0.35</v>
      </c>
      <c r="F621" t="s">
        <v>428</v>
      </c>
      <c r="G621" t="s">
        <v>428</v>
      </c>
      <c r="H621" t="s">
        <v>5617</v>
      </c>
      <c r="I621">
        <v>0</v>
      </c>
      <c r="J621" t="s">
        <v>87</v>
      </c>
      <c r="K621">
        <v>0</v>
      </c>
      <c r="L621">
        <v>0</v>
      </c>
    </row>
    <row r="622" spans="1:12">
      <c r="A622" s="93">
        <v>134237</v>
      </c>
      <c r="B622" t="s">
        <v>1223</v>
      </c>
      <c r="C622" t="s">
        <v>5604</v>
      </c>
      <c r="D622" s="92">
        <v>0.41</v>
      </c>
      <c r="E622" s="92">
        <v>0.32</v>
      </c>
      <c r="F622" t="s">
        <v>428</v>
      </c>
      <c r="G622" t="s">
        <v>428</v>
      </c>
      <c r="H622" t="s">
        <v>5617</v>
      </c>
      <c r="I622">
        <v>0</v>
      </c>
      <c r="J622" t="s">
        <v>87</v>
      </c>
      <c r="K622">
        <v>0</v>
      </c>
      <c r="L622">
        <v>0</v>
      </c>
    </row>
    <row r="623" spans="1:12">
      <c r="A623" s="93">
        <v>134291</v>
      </c>
      <c r="B623" t="s">
        <v>1224</v>
      </c>
      <c r="C623" t="s">
        <v>5606</v>
      </c>
      <c r="D623" s="92">
        <v>0.65</v>
      </c>
      <c r="E623" s="92">
        <v>0.64</v>
      </c>
      <c r="F623" t="s">
        <v>428</v>
      </c>
      <c r="G623" t="s">
        <v>428</v>
      </c>
      <c r="H623" t="s">
        <v>5615</v>
      </c>
      <c r="I623">
        <v>0</v>
      </c>
      <c r="J623" t="s">
        <v>87</v>
      </c>
      <c r="K623">
        <v>0</v>
      </c>
      <c r="L623">
        <v>0</v>
      </c>
    </row>
    <row r="624" spans="1:12">
      <c r="A624" s="93">
        <v>134307</v>
      </c>
      <c r="B624" t="s">
        <v>1225</v>
      </c>
      <c r="C624" t="s">
        <v>5606</v>
      </c>
      <c r="D624" s="92" t="s">
        <v>428</v>
      </c>
      <c r="E624" s="92" t="s">
        <v>428</v>
      </c>
      <c r="F624" t="s">
        <v>428</v>
      </c>
      <c r="G624" t="s">
        <v>428</v>
      </c>
      <c r="H624" t="s">
        <v>5615</v>
      </c>
      <c r="I624">
        <v>0</v>
      </c>
      <c r="J624" t="s">
        <v>87</v>
      </c>
      <c r="K624">
        <v>0</v>
      </c>
      <c r="L624">
        <v>0</v>
      </c>
    </row>
    <row r="625" spans="1:12">
      <c r="A625" s="93">
        <v>134343</v>
      </c>
      <c r="B625" t="s">
        <v>1226</v>
      </c>
      <c r="C625" t="s">
        <v>5604</v>
      </c>
      <c r="D625" s="92" t="s">
        <v>428</v>
      </c>
      <c r="E625" s="92" t="s">
        <v>428</v>
      </c>
      <c r="F625" t="s">
        <v>428</v>
      </c>
      <c r="G625" t="s">
        <v>428</v>
      </c>
      <c r="H625" t="s">
        <v>5615</v>
      </c>
      <c r="I625">
        <v>0</v>
      </c>
      <c r="J625" t="s">
        <v>87</v>
      </c>
      <c r="K625">
        <v>0</v>
      </c>
      <c r="L625">
        <v>0</v>
      </c>
    </row>
    <row r="626" spans="1:12">
      <c r="A626" s="93">
        <v>134422</v>
      </c>
      <c r="B626" t="s">
        <v>1227</v>
      </c>
      <c r="C626" t="s">
        <v>5607</v>
      </c>
      <c r="D626" s="92">
        <v>0.5</v>
      </c>
      <c r="E626" s="92">
        <v>0.5</v>
      </c>
      <c r="F626" t="s">
        <v>428</v>
      </c>
      <c r="G626" t="s">
        <v>428</v>
      </c>
      <c r="H626" t="s">
        <v>5617</v>
      </c>
      <c r="I626">
        <v>0</v>
      </c>
      <c r="J626" t="s">
        <v>87</v>
      </c>
      <c r="K626">
        <v>0</v>
      </c>
      <c r="L626">
        <v>0</v>
      </c>
    </row>
    <row r="627" spans="1:12">
      <c r="A627" s="93">
        <v>134495</v>
      </c>
      <c r="B627" t="s">
        <v>1228</v>
      </c>
      <c r="C627" t="s">
        <v>5606</v>
      </c>
      <c r="D627" s="92">
        <v>0.36</v>
      </c>
      <c r="E627" s="92">
        <v>0.29</v>
      </c>
      <c r="F627" t="s">
        <v>428</v>
      </c>
      <c r="G627" t="s">
        <v>428</v>
      </c>
      <c r="H627" t="s">
        <v>5615</v>
      </c>
      <c r="I627">
        <v>0</v>
      </c>
      <c r="J627" t="s">
        <v>87</v>
      </c>
      <c r="K627">
        <v>0</v>
      </c>
      <c r="L627">
        <v>0</v>
      </c>
    </row>
    <row r="628" spans="1:12">
      <c r="A628" s="93">
        <v>134510</v>
      </c>
      <c r="B628" t="s">
        <v>1229</v>
      </c>
      <c r="C628" t="s">
        <v>5604</v>
      </c>
      <c r="D628" s="92">
        <v>0.59</v>
      </c>
      <c r="E628" s="92">
        <v>0</v>
      </c>
      <c r="F628" t="s">
        <v>428</v>
      </c>
      <c r="G628" t="s">
        <v>428</v>
      </c>
      <c r="H628" t="s">
        <v>5624</v>
      </c>
      <c r="I628">
        <v>1</v>
      </c>
      <c r="J628" t="s">
        <v>87</v>
      </c>
      <c r="K628">
        <v>0</v>
      </c>
      <c r="L628">
        <v>0</v>
      </c>
    </row>
    <row r="629" spans="1:12">
      <c r="A629" s="93">
        <v>134608</v>
      </c>
      <c r="B629" t="s">
        <v>1230</v>
      </c>
      <c r="C629" t="s">
        <v>5604</v>
      </c>
      <c r="D629" s="92" t="s">
        <v>428</v>
      </c>
      <c r="E629" s="92" t="s">
        <v>428</v>
      </c>
      <c r="F629" t="s">
        <v>428</v>
      </c>
      <c r="G629" t="s">
        <v>428</v>
      </c>
      <c r="H629" t="s">
        <v>5615</v>
      </c>
      <c r="I629">
        <v>0</v>
      </c>
      <c r="J629" t="s">
        <v>87</v>
      </c>
      <c r="K629">
        <v>0</v>
      </c>
      <c r="L629">
        <v>0</v>
      </c>
    </row>
    <row r="630" spans="1:12">
      <c r="A630" s="93">
        <v>134680</v>
      </c>
      <c r="B630" t="s">
        <v>1231</v>
      </c>
      <c r="C630" t="s">
        <v>5607</v>
      </c>
      <c r="D630" s="92">
        <v>0.26</v>
      </c>
      <c r="E630" s="92">
        <v>0.22</v>
      </c>
      <c r="F630" t="s">
        <v>428</v>
      </c>
      <c r="G630" t="s">
        <v>428</v>
      </c>
      <c r="H630" t="s">
        <v>5617</v>
      </c>
      <c r="I630">
        <v>0</v>
      </c>
      <c r="J630" t="s">
        <v>87</v>
      </c>
      <c r="K630">
        <v>0</v>
      </c>
      <c r="L630">
        <v>0</v>
      </c>
    </row>
    <row r="631" spans="1:12">
      <c r="A631" s="93">
        <v>134811</v>
      </c>
      <c r="B631" t="s">
        <v>1232</v>
      </c>
      <c r="C631" t="s">
        <v>5604</v>
      </c>
      <c r="D631" s="92">
        <v>0.3</v>
      </c>
      <c r="E631" s="92">
        <v>0.38</v>
      </c>
      <c r="F631" t="s">
        <v>428</v>
      </c>
      <c r="G631" t="s">
        <v>428</v>
      </c>
      <c r="H631" t="s">
        <v>5617</v>
      </c>
      <c r="I631">
        <v>0</v>
      </c>
      <c r="J631" t="s">
        <v>87</v>
      </c>
      <c r="K631">
        <v>0</v>
      </c>
      <c r="L631">
        <v>0</v>
      </c>
    </row>
    <row r="632" spans="1:12">
      <c r="A632" s="93">
        <v>134909</v>
      </c>
      <c r="B632" t="s">
        <v>1233</v>
      </c>
      <c r="C632" t="s">
        <v>5607</v>
      </c>
      <c r="D632" s="92" t="s">
        <v>428</v>
      </c>
      <c r="E632" s="92" t="s">
        <v>428</v>
      </c>
      <c r="F632" t="s">
        <v>428</v>
      </c>
      <c r="G632" t="s">
        <v>428</v>
      </c>
      <c r="H632" t="s">
        <v>5617</v>
      </c>
      <c r="I632">
        <v>0</v>
      </c>
      <c r="J632" t="s">
        <v>87</v>
      </c>
      <c r="K632">
        <v>0</v>
      </c>
      <c r="L632">
        <v>0</v>
      </c>
    </row>
    <row r="633" spans="1:12">
      <c r="A633" s="93">
        <v>134945</v>
      </c>
      <c r="B633" t="s">
        <v>1234</v>
      </c>
      <c r="C633" t="s">
        <v>5602</v>
      </c>
      <c r="D633" s="92">
        <v>0.41</v>
      </c>
      <c r="E633" s="92">
        <v>0.33</v>
      </c>
      <c r="F633" t="s">
        <v>428</v>
      </c>
      <c r="G633" t="s">
        <v>428</v>
      </c>
      <c r="H633" t="s">
        <v>5617</v>
      </c>
      <c r="I633">
        <v>0</v>
      </c>
      <c r="J633" t="s">
        <v>87</v>
      </c>
      <c r="K633">
        <v>0</v>
      </c>
      <c r="L633">
        <v>0</v>
      </c>
    </row>
    <row r="634" spans="1:12">
      <c r="A634" s="93">
        <v>135063</v>
      </c>
      <c r="B634" t="s">
        <v>1235</v>
      </c>
      <c r="C634" t="s">
        <v>5607</v>
      </c>
      <c r="D634" s="92">
        <v>0.12</v>
      </c>
      <c r="E634" s="92">
        <v>0</v>
      </c>
      <c r="F634" t="s">
        <v>428</v>
      </c>
      <c r="G634" t="s">
        <v>428</v>
      </c>
      <c r="H634" t="s">
        <v>5616</v>
      </c>
      <c r="I634">
        <v>0</v>
      </c>
      <c r="J634" t="s">
        <v>87</v>
      </c>
      <c r="K634">
        <v>0</v>
      </c>
      <c r="L634">
        <v>0</v>
      </c>
    </row>
    <row r="635" spans="1:12">
      <c r="A635" s="93">
        <v>135081</v>
      </c>
      <c r="B635" t="s">
        <v>1236</v>
      </c>
      <c r="C635" t="s">
        <v>5608</v>
      </c>
      <c r="D635" s="92">
        <v>0.46</v>
      </c>
      <c r="E635" s="92">
        <v>0.47</v>
      </c>
      <c r="F635" t="s">
        <v>428</v>
      </c>
      <c r="G635" t="s">
        <v>428</v>
      </c>
      <c r="H635" t="s">
        <v>5617</v>
      </c>
      <c r="I635">
        <v>0</v>
      </c>
      <c r="J635" t="s">
        <v>87</v>
      </c>
      <c r="K635">
        <v>0</v>
      </c>
      <c r="L635">
        <v>0</v>
      </c>
    </row>
    <row r="636" spans="1:12">
      <c r="A636" s="93">
        <v>135160</v>
      </c>
      <c r="B636" t="s">
        <v>1237</v>
      </c>
      <c r="C636" t="s">
        <v>5604</v>
      </c>
      <c r="D636" s="92" t="s">
        <v>428</v>
      </c>
      <c r="E636" s="92" t="s">
        <v>428</v>
      </c>
      <c r="F636" t="s">
        <v>428</v>
      </c>
      <c r="G636" t="s">
        <v>428</v>
      </c>
      <c r="H636" t="s">
        <v>5615</v>
      </c>
      <c r="I636">
        <v>0</v>
      </c>
      <c r="J636" t="s">
        <v>87</v>
      </c>
      <c r="K636">
        <v>0</v>
      </c>
      <c r="L636">
        <v>0</v>
      </c>
    </row>
    <row r="637" spans="1:12">
      <c r="A637" s="93">
        <v>135188</v>
      </c>
      <c r="B637" t="s">
        <v>1238</v>
      </c>
      <c r="C637" t="s">
        <v>5604</v>
      </c>
      <c r="D637" s="92" t="s">
        <v>428</v>
      </c>
      <c r="E637" s="92" t="s">
        <v>428</v>
      </c>
      <c r="F637" t="s">
        <v>428</v>
      </c>
      <c r="G637" t="s">
        <v>428</v>
      </c>
      <c r="H637" t="s">
        <v>5615</v>
      </c>
      <c r="I637">
        <v>0</v>
      </c>
      <c r="J637" t="s">
        <v>87</v>
      </c>
      <c r="K637">
        <v>0</v>
      </c>
      <c r="L637">
        <v>0</v>
      </c>
    </row>
    <row r="638" spans="1:12">
      <c r="A638" s="93">
        <v>135267</v>
      </c>
      <c r="B638" t="s">
        <v>1239</v>
      </c>
      <c r="C638" t="s">
        <v>5606</v>
      </c>
      <c r="D638" s="92" t="s">
        <v>428</v>
      </c>
      <c r="E638" s="92" t="s">
        <v>428</v>
      </c>
      <c r="F638" t="s">
        <v>428</v>
      </c>
      <c r="G638" t="s">
        <v>428</v>
      </c>
      <c r="H638" t="s">
        <v>5615</v>
      </c>
      <c r="I638">
        <v>0</v>
      </c>
      <c r="J638" t="s">
        <v>87</v>
      </c>
      <c r="K638">
        <v>0</v>
      </c>
      <c r="L638">
        <v>0</v>
      </c>
    </row>
    <row r="639" spans="1:12">
      <c r="A639" s="93">
        <v>135294</v>
      </c>
      <c r="B639" t="s">
        <v>1240</v>
      </c>
      <c r="C639" t="s">
        <v>5606</v>
      </c>
      <c r="D639" s="92" t="s">
        <v>428</v>
      </c>
      <c r="E639" s="92" t="s">
        <v>428</v>
      </c>
      <c r="F639" t="s">
        <v>428</v>
      </c>
      <c r="G639" t="s">
        <v>428</v>
      </c>
      <c r="H639" t="s">
        <v>5615</v>
      </c>
      <c r="I639">
        <v>0</v>
      </c>
      <c r="J639" t="s">
        <v>87</v>
      </c>
      <c r="K639">
        <v>0</v>
      </c>
      <c r="L639">
        <v>0</v>
      </c>
    </row>
    <row r="640" spans="1:12">
      <c r="A640" s="93">
        <v>135364</v>
      </c>
      <c r="B640" t="s">
        <v>1241</v>
      </c>
      <c r="C640" t="s">
        <v>5607</v>
      </c>
      <c r="D640" s="92">
        <v>0.75</v>
      </c>
      <c r="E640" s="92">
        <v>0.5</v>
      </c>
      <c r="F640" t="s">
        <v>428</v>
      </c>
      <c r="G640" t="s">
        <v>428</v>
      </c>
      <c r="H640" t="s">
        <v>5624</v>
      </c>
      <c r="I640">
        <v>1</v>
      </c>
      <c r="J640" t="s">
        <v>87</v>
      </c>
      <c r="K640">
        <v>0</v>
      </c>
      <c r="L640">
        <v>0</v>
      </c>
    </row>
    <row r="641" spans="1:12">
      <c r="A641" s="93">
        <v>135391</v>
      </c>
      <c r="B641" t="s">
        <v>1242</v>
      </c>
      <c r="C641" t="s">
        <v>5604</v>
      </c>
      <c r="D641" s="92" t="s">
        <v>428</v>
      </c>
      <c r="E641" s="92" t="s">
        <v>428</v>
      </c>
      <c r="F641" t="s">
        <v>428</v>
      </c>
      <c r="G641" t="s">
        <v>428</v>
      </c>
      <c r="H641" t="s">
        <v>5615</v>
      </c>
      <c r="I641">
        <v>0</v>
      </c>
      <c r="J641" t="s">
        <v>87</v>
      </c>
      <c r="K641">
        <v>0</v>
      </c>
      <c r="L641">
        <v>0</v>
      </c>
    </row>
    <row r="642" spans="1:12">
      <c r="A642" s="93">
        <v>135407</v>
      </c>
      <c r="B642" t="s">
        <v>1243</v>
      </c>
      <c r="C642" t="s">
        <v>5606</v>
      </c>
      <c r="D642" s="92" t="s">
        <v>428</v>
      </c>
      <c r="E642" s="92" t="s">
        <v>428</v>
      </c>
      <c r="F642" t="s">
        <v>428</v>
      </c>
      <c r="G642" t="s">
        <v>428</v>
      </c>
      <c r="H642" t="s">
        <v>5615</v>
      </c>
      <c r="I642">
        <v>0</v>
      </c>
      <c r="J642" t="s">
        <v>87</v>
      </c>
      <c r="K642">
        <v>0</v>
      </c>
      <c r="L642">
        <v>0</v>
      </c>
    </row>
    <row r="643" spans="1:12">
      <c r="A643" s="93">
        <v>135610</v>
      </c>
      <c r="B643" t="s">
        <v>1244</v>
      </c>
      <c r="C643" t="s">
        <v>5604</v>
      </c>
      <c r="D643" s="92">
        <v>0.2</v>
      </c>
      <c r="E643" s="92">
        <v>0.2</v>
      </c>
      <c r="F643" t="s">
        <v>428</v>
      </c>
      <c r="G643" t="s">
        <v>428</v>
      </c>
      <c r="H643" t="s">
        <v>5615</v>
      </c>
      <c r="I643">
        <v>0</v>
      </c>
      <c r="J643" t="s">
        <v>87</v>
      </c>
      <c r="K643">
        <v>0</v>
      </c>
      <c r="L643">
        <v>0</v>
      </c>
    </row>
    <row r="644" spans="1:12">
      <c r="A644" s="93">
        <v>135647</v>
      </c>
      <c r="B644" t="s">
        <v>1245</v>
      </c>
      <c r="C644" t="s">
        <v>5606</v>
      </c>
      <c r="D644" s="92">
        <v>0.15</v>
      </c>
      <c r="E644" s="92">
        <v>0.17</v>
      </c>
      <c r="F644" t="s">
        <v>428</v>
      </c>
      <c r="G644" t="s">
        <v>428</v>
      </c>
      <c r="H644" t="s">
        <v>5615</v>
      </c>
      <c r="I644">
        <v>0</v>
      </c>
      <c r="J644" t="s">
        <v>87</v>
      </c>
      <c r="K644">
        <v>0</v>
      </c>
      <c r="L644">
        <v>0</v>
      </c>
    </row>
    <row r="645" spans="1:12">
      <c r="A645" s="93">
        <v>135717</v>
      </c>
      <c r="B645" t="s">
        <v>1246</v>
      </c>
      <c r="C645" t="s">
        <v>5604</v>
      </c>
      <c r="D645" s="92" t="s">
        <v>428</v>
      </c>
      <c r="E645" s="92" t="s">
        <v>428</v>
      </c>
      <c r="F645" t="s">
        <v>428</v>
      </c>
      <c r="G645" t="s">
        <v>428</v>
      </c>
      <c r="H645" t="s">
        <v>5615</v>
      </c>
      <c r="I645">
        <v>0</v>
      </c>
      <c r="J645" t="s">
        <v>87</v>
      </c>
      <c r="K645">
        <v>0</v>
      </c>
      <c r="L645">
        <v>0</v>
      </c>
    </row>
    <row r="646" spans="1:12">
      <c r="A646" s="93">
        <v>135726</v>
      </c>
      <c r="B646" t="s">
        <v>1247</v>
      </c>
      <c r="C646" t="s">
        <v>5612</v>
      </c>
      <c r="D646" s="92">
        <v>0.82</v>
      </c>
      <c r="E646" s="92">
        <v>0.82</v>
      </c>
      <c r="F646">
        <v>28</v>
      </c>
      <c r="G646">
        <v>30</v>
      </c>
      <c r="H646" t="s">
        <v>5622</v>
      </c>
      <c r="I646">
        <v>0</v>
      </c>
      <c r="J646" t="s">
        <v>87</v>
      </c>
      <c r="K646">
        <v>0</v>
      </c>
      <c r="L646">
        <v>0</v>
      </c>
    </row>
    <row r="647" spans="1:12">
      <c r="A647" s="93">
        <v>135735</v>
      </c>
      <c r="B647" t="s">
        <v>1248</v>
      </c>
      <c r="C647" t="s">
        <v>5606</v>
      </c>
      <c r="D647" s="92" t="s">
        <v>428</v>
      </c>
      <c r="E647" s="92" t="s">
        <v>428</v>
      </c>
      <c r="F647" t="s">
        <v>428</v>
      </c>
      <c r="G647" t="s">
        <v>428</v>
      </c>
      <c r="H647" t="s">
        <v>5615</v>
      </c>
      <c r="I647">
        <v>0</v>
      </c>
      <c r="J647" t="s">
        <v>87</v>
      </c>
      <c r="K647">
        <v>0</v>
      </c>
      <c r="L647">
        <v>0</v>
      </c>
    </row>
    <row r="648" spans="1:12">
      <c r="A648" s="93">
        <v>136066</v>
      </c>
      <c r="B648" t="s">
        <v>1249</v>
      </c>
      <c r="C648" t="s">
        <v>5607</v>
      </c>
      <c r="D648" s="92">
        <v>0.25</v>
      </c>
      <c r="E648" s="92">
        <v>0.17</v>
      </c>
      <c r="F648" t="s">
        <v>428</v>
      </c>
      <c r="G648" t="s">
        <v>428</v>
      </c>
      <c r="H648" t="s">
        <v>5617</v>
      </c>
      <c r="I648">
        <v>0</v>
      </c>
      <c r="J648" t="s">
        <v>87</v>
      </c>
      <c r="K648">
        <v>0</v>
      </c>
      <c r="L648">
        <v>0</v>
      </c>
    </row>
    <row r="649" spans="1:12">
      <c r="A649" s="93">
        <v>136145</v>
      </c>
      <c r="B649" t="s">
        <v>1250</v>
      </c>
      <c r="C649" t="s">
        <v>5604</v>
      </c>
      <c r="D649" s="92">
        <v>0.46</v>
      </c>
      <c r="E649" s="92">
        <v>0.32</v>
      </c>
      <c r="F649" t="s">
        <v>428</v>
      </c>
      <c r="G649" t="s">
        <v>428</v>
      </c>
      <c r="H649" t="s">
        <v>5615</v>
      </c>
      <c r="I649">
        <v>0</v>
      </c>
      <c r="J649" t="s">
        <v>87</v>
      </c>
      <c r="K649">
        <v>0</v>
      </c>
      <c r="L649">
        <v>0</v>
      </c>
    </row>
    <row r="650" spans="1:12">
      <c r="A650" s="93">
        <v>136172</v>
      </c>
      <c r="B650" t="s">
        <v>1251</v>
      </c>
      <c r="C650" t="s">
        <v>5603</v>
      </c>
      <c r="D650" s="92">
        <v>0.54</v>
      </c>
      <c r="E650" s="92">
        <v>0.49</v>
      </c>
      <c r="F650">
        <v>21</v>
      </c>
      <c r="G650">
        <v>23.5</v>
      </c>
      <c r="H650" t="s">
        <v>5615</v>
      </c>
      <c r="I650">
        <v>0</v>
      </c>
      <c r="J650" t="s">
        <v>87</v>
      </c>
      <c r="K650">
        <v>0</v>
      </c>
      <c r="L650">
        <v>0</v>
      </c>
    </row>
    <row r="651" spans="1:12">
      <c r="A651" s="93">
        <v>136215</v>
      </c>
      <c r="B651" t="s">
        <v>1252</v>
      </c>
      <c r="C651" t="s">
        <v>5602</v>
      </c>
      <c r="D651" s="92">
        <v>0.47</v>
      </c>
      <c r="E651" s="92">
        <v>0.41</v>
      </c>
      <c r="F651">
        <v>22</v>
      </c>
      <c r="G651">
        <v>25</v>
      </c>
      <c r="H651" t="s">
        <v>5617</v>
      </c>
      <c r="I651">
        <v>0</v>
      </c>
      <c r="J651" t="s">
        <v>87</v>
      </c>
      <c r="K651">
        <v>0</v>
      </c>
      <c r="L651">
        <v>0</v>
      </c>
    </row>
    <row r="652" spans="1:12">
      <c r="A652" s="93">
        <v>136233</v>
      </c>
      <c r="B652" t="s">
        <v>1253</v>
      </c>
      <c r="C652" t="s">
        <v>5604</v>
      </c>
      <c r="D652" s="92" t="s">
        <v>428</v>
      </c>
      <c r="E652" s="92" t="s">
        <v>428</v>
      </c>
      <c r="F652" t="s">
        <v>428</v>
      </c>
      <c r="G652" t="s">
        <v>428</v>
      </c>
      <c r="H652" t="s">
        <v>5615</v>
      </c>
      <c r="I652">
        <v>0</v>
      </c>
      <c r="J652" t="s">
        <v>87</v>
      </c>
      <c r="K652">
        <v>0</v>
      </c>
      <c r="L652">
        <v>0</v>
      </c>
    </row>
    <row r="653" spans="1:12">
      <c r="A653" s="93">
        <v>136288</v>
      </c>
      <c r="B653" t="s">
        <v>1254</v>
      </c>
      <c r="C653" t="s">
        <v>5607</v>
      </c>
      <c r="D653" s="92">
        <v>0.27</v>
      </c>
      <c r="E653" s="92">
        <v>0.48</v>
      </c>
      <c r="F653" t="s">
        <v>428</v>
      </c>
      <c r="G653" t="s">
        <v>428</v>
      </c>
      <c r="H653" t="s">
        <v>5617</v>
      </c>
      <c r="I653">
        <v>0</v>
      </c>
      <c r="J653" t="s">
        <v>87</v>
      </c>
      <c r="K653">
        <v>0</v>
      </c>
      <c r="L653">
        <v>0</v>
      </c>
    </row>
    <row r="654" spans="1:12">
      <c r="A654" s="93">
        <v>136303</v>
      </c>
      <c r="B654" t="s">
        <v>1255</v>
      </c>
      <c r="C654" t="s">
        <v>5606</v>
      </c>
      <c r="D654" s="92" t="s">
        <v>428</v>
      </c>
      <c r="E654" s="92" t="s">
        <v>428</v>
      </c>
      <c r="F654" t="s">
        <v>428</v>
      </c>
      <c r="G654" t="s">
        <v>428</v>
      </c>
      <c r="H654" t="s">
        <v>5615</v>
      </c>
      <c r="I654">
        <v>0</v>
      </c>
      <c r="J654" t="s">
        <v>87</v>
      </c>
      <c r="K654">
        <v>0</v>
      </c>
      <c r="L654">
        <v>0</v>
      </c>
    </row>
    <row r="655" spans="1:12">
      <c r="A655" s="93">
        <v>136330</v>
      </c>
      <c r="B655" t="s">
        <v>1256</v>
      </c>
      <c r="C655" t="s">
        <v>5602</v>
      </c>
      <c r="D655" s="92">
        <v>0.5</v>
      </c>
      <c r="E655" s="92">
        <v>0.41</v>
      </c>
      <c r="F655">
        <v>21</v>
      </c>
      <c r="G655">
        <v>24</v>
      </c>
      <c r="H655" t="s">
        <v>5617</v>
      </c>
      <c r="I655">
        <v>0</v>
      </c>
      <c r="J655" t="s">
        <v>87</v>
      </c>
      <c r="K655">
        <v>0</v>
      </c>
      <c r="L655">
        <v>0</v>
      </c>
    </row>
    <row r="656" spans="1:12">
      <c r="A656" s="93">
        <v>136358</v>
      </c>
      <c r="B656" t="s">
        <v>1257</v>
      </c>
      <c r="C656" t="s">
        <v>5604</v>
      </c>
      <c r="D656" s="92" t="s">
        <v>428</v>
      </c>
      <c r="E656" s="92" t="s">
        <v>428</v>
      </c>
      <c r="F656" t="s">
        <v>428</v>
      </c>
      <c r="G656" t="s">
        <v>428</v>
      </c>
      <c r="H656" t="s">
        <v>5615</v>
      </c>
      <c r="I656">
        <v>0</v>
      </c>
      <c r="J656" t="s">
        <v>87</v>
      </c>
      <c r="K656">
        <v>0</v>
      </c>
      <c r="L656">
        <v>0</v>
      </c>
    </row>
    <row r="657" spans="1:12">
      <c r="A657" s="93">
        <v>136400</v>
      </c>
      <c r="B657" t="s">
        <v>1258</v>
      </c>
      <c r="C657" t="s">
        <v>5604</v>
      </c>
      <c r="D657" s="92" t="s">
        <v>428</v>
      </c>
      <c r="E657" s="92" t="s">
        <v>428</v>
      </c>
      <c r="F657" t="s">
        <v>428</v>
      </c>
      <c r="G657" t="s">
        <v>428</v>
      </c>
      <c r="H657" t="s">
        <v>5615</v>
      </c>
      <c r="I657">
        <v>0</v>
      </c>
      <c r="J657" t="s">
        <v>87</v>
      </c>
      <c r="K657">
        <v>0</v>
      </c>
      <c r="L657">
        <v>0</v>
      </c>
    </row>
    <row r="658" spans="1:12">
      <c r="A658" s="93">
        <v>136473</v>
      </c>
      <c r="B658" t="s">
        <v>1259</v>
      </c>
      <c r="C658" t="s">
        <v>5604</v>
      </c>
      <c r="D658" s="92" t="s">
        <v>428</v>
      </c>
      <c r="E658" s="92" t="s">
        <v>428</v>
      </c>
      <c r="F658" t="s">
        <v>428</v>
      </c>
      <c r="G658" t="s">
        <v>428</v>
      </c>
      <c r="H658" t="s">
        <v>5615</v>
      </c>
      <c r="I658">
        <v>0</v>
      </c>
      <c r="J658" t="s">
        <v>87</v>
      </c>
      <c r="K658">
        <v>0</v>
      </c>
      <c r="L658">
        <v>0</v>
      </c>
    </row>
    <row r="659" spans="1:12">
      <c r="A659" s="93">
        <v>136516</v>
      </c>
      <c r="B659" t="s">
        <v>1260</v>
      </c>
      <c r="C659" t="s">
        <v>5604</v>
      </c>
      <c r="D659" s="92" t="s">
        <v>428</v>
      </c>
      <c r="E659" s="92" t="s">
        <v>428</v>
      </c>
      <c r="F659" t="s">
        <v>428</v>
      </c>
      <c r="G659" t="s">
        <v>428</v>
      </c>
      <c r="H659" t="s">
        <v>5615</v>
      </c>
      <c r="I659">
        <v>0</v>
      </c>
      <c r="J659" t="s">
        <v>87</v>
      </c>
      <c r="K659">
        <v>0</v>
      </c>
      <c r="L659">
        <v>0</v>
      </c>
    </row>
    <row r="660" spans="1:12">
      <c r="A660" s="93">
        <v>136659</v>
      </c>
      <c r="B660" t="s">
        <v>1261</v>
      </c>
      <c r="C660" t="s">
        <v>5606</v>
      </c>
      <c r="D660" s="92" t="s">
        <v>428</v>
      </c>
      <c r="E660" s="92" t="s">
        <v>428</v>
      </c>
      <c r="F660" t="s">
        <v>428</v>
      </c>
      <c r="G660" t="s">
        <v>428</v>
      </c>
      <c r="H660" t="s">
        <v>5615</v>
      </c>
      <c r="I660">
        <v>0</v>
      </c>
      <c r="J660" t="s">
        <v>87</v>
      </c>
      <c r="K660">
        <v>0</v>
      </c>
      <c r="L660">
        <v>0</v>
      </c>
    </row>
    <row r="661" spans="1:12">
      <c r="A661" s="93">
        <v>136701</v>
      </c>
      <c r="B661" t="s">
        <v>1262</v>
      </c>
      <c r="C661" t="s">
        <v>5607</v>
      </c>
      <c r="D661" s="92" t="s">
        <v>428</v>
      </c>
      <c r="E661" s="92" t="s">
        <v>428</v>
      </c>
      <c r="F661" t="s">
        <v>428</v>
      </c>
      <c r="G661" t="s">
        <v>428</v>
      </c>
      <c r="H661" t="s">
        <v>5615</v>
      </c>
      <c r="I661">
        <v>0</v>
      </c>
      <c r="J661" t="s">
        <v>87</v>
      </c>
      <c r="K661">
        <v>0</v>
      </c>
      <c r="L661">
        <v>0</v>
      </c>
    </row>
    <row r="662" spans="1:12">
      <c r="A662" s="93">
        <v>136774</v>
      </c>
      <c r="B662" t="s">
        <v>1263</v>
      </c>
      <c r="C662" t="s">
        <v>5610</v>
      </c>
      <c r="D662" s="92">
        <v>0.68</v>
      </c>
      <c r="E662" s="92">
        <v>0.68</v>
      </c>
      <c r="F662" t="s">
        <v>428</v>
      </c>
      <c r="G662" t="s">
        <v>428</v>
      </c>
      <c r="H662" t="s">
        <v>5617</v>
      </c>
      <c r="I662">
        <v>0</v>
      </c>
      <c r="J662" t="s">
        <v>87</v>
      </c>
      <c r="K662">
        <v>0</v>
      </c>
      <c r="L662">
        <v>0</v>
      </c>
    </row>
    <row r="663" spans="1:12">
      <c r="A663" s="93">
        <v>136826</v>
      </c>
      <c r="B663" t="s">
        <v>1264</v>
      </c>
      <c r="C663" t="s">
        <v>5606</v>
      </c>
      <c r="D663" s="92">
        <v>0.28</v>
      </c>
      <c r="E663" s="92">
        <v>0.27</v>
      </c>
      <c r="F663" t="s">
        <v>428</v>
      </c>
      <c r="G663" t="s">
        <v>428</v>
      </c>
      <c r="H663" t="s">
        <v>5615</v>
      </c>
      <c r="I663">
        <v>0</v>
      </c>
      <c r="J663" t="s">
        <v>87</v>
      </c>
      <c r="K663">
        <v>0</v>
      </c>
      <c r="L663">
        <v>0</v>
      </c>
    </row>
    <row r="664" spans="1:12">
      <c r="A664" s="93">
        <v>136950</v>
      </c>
      <c r="B664" t="s">
        <v>1265</v>
      </c>
      <c r="C664" t="s">
        <v>5605</v>
      </c>
      <c r="D664" s="92">
        <v>0.71</v>
      </c>
      <c r="E664" s="92">
        <v>0.76</v>
      </c>
      <c r="F664" t="s">
        <v>428</v>
      </c>
      <c r="G664" t="s">
        <v>428</v>
      </c>
      <c r="H664" t="s">
        <v>5617</v>
      </c>
      <c r="I664">
        <v>0</v>
      </c>
      <c r="J664" t="s">
        <v>87</v>
      </c>
      <c r="K664">
        <v>0</v>
      </c>
      <c r="L664">
        <v>0</v>
      </c>
    </row>
    <row r="665" spans="1:12">
      <c r="A665" s="93">
        <v>137032</v>
      </c>
      <c r="B665" t="s">
        <v>1266</v>
      </c>
      <c r="C665" t="s">
        <v>5602</v>
      </c>
      <c r="D665" s="92">
        <v>0.41</v>
      </c>
      <c r="E665" s="92">
        <v>0.37</v>
      </c>
      <c r="F665">
        <v>20</v>
      </c>
      <c r="G665">
        <v>23</v>
      </c>
      <c r="H665" t="s">
        <v>5617</v>
      </c>
      <c r="I665">
        <v>0</v>
      </c>
      <c r="J665" t="s">
        <v>87</v>
      </c>
      <c r="K665">
        <v>0</v>
      </c>
      <c r="L665">
        <v>0</v>
      </c>
    </row>
    <row r="666" spans="1:12">
      <c r="A666" s="93">
        <v>137078</v>
      </c>
      <c r="B666" t="s">
        <v>1267</v>
      </c>
      <c r="C666" t="s">
        <v>5604</v>
      </c>
      <c r="D666" s="92" t="s">
        <v>428</v>
      </c>
      <c r="E666" s="92" t="s">
        <v>428</v>
      </c>
      <c r="F666" t="s">
        <v>428</v>
      </c>
      <c r="G666" t="s">
        <v>428</v>
      </c>
      <c r="H666" t="s">
        <v>5615</v>
      </c>
      <c r="I666">
        <v>0</v>
      </c>
      <c r="J666" t="s">
        <v>87</v>
      </c>
      <c r="K666">
        <v>0</v>
      </c>
      <c r="L666">
        <v>0</v>
      </c>
    </row>
    <row r="667" spans="1:12">
      <c r="A667" s="93">
        <v>137087</v>
      </c>
      <c r="B667" t="s">
        <v>1268</v>
      </c>
      <c r="C667" t="s">
        <v>5606</v>
      </c>
      <c r="D667" s="92" t="s">
        <v>428</v>
      </c>
      <c r="E667" s="92" t="s">
        <v>428</v>
      </c>
      <c r="F667" t="s">
        <v>428</v>
      </c>
      <c r="G667" t="s">
        <v>428</v>
      </c>
      <c r="H667" t="s">
        <v>5615</v>
      </c>
      <c r="I667">
        <v>0</v>
      </c>
      <c r="J667" t="s">
        <v>87</v>
      </c>
      <c r="K667">
        <v>0</v>
      </c>
      <c r="L667">
        <v>0</v>
      </c>
    </row>
    <row r="668" spans="1:12">
      <c r="A668" s="93">
        <v>137096</v>
      </c>
      <c r="B668" t="s">
        <v>1269</v>
      </c>
      <c r="C668" t="s">
        <v>5604</v>
      </c>
      <c r="D668" s="92" t="s">
        <v>428</v>
      </c>
      <c r="E668" s="92" t="s">
        <v>428</v>
      </c>
      <c r="F668" t="s">
        <v>428</v>
      </c>
      <c r="G668" t="s">
        <v>428</v>
      </c>
      <c r="H668" t="s">
        <v>5615</v>
      </c>
      <c r="I668">
        <v>0</v>
      </c>
      <c r="J668" t="s">
        <v>87</v>
      </c>
      <c r="K668">
        <v>0</v>
      </c>
      <c r="L668">
        <v>0</v>
      </c>
    </row>
    <row r="669" spans="1:12">
      <c r="A669" s="93">
        <v>137148</v>
      </c>
      <c r="B669" t="s">
        <v>1270</v>
      </c>
      <c r="C669" t="s">
        <v>5604</v>
      </c>
      <c r="D669" s="92">
        <v>0.75</v>
      </c>
      <c r="E669" s="92">
        <v>1</v>
      </c>
      <c r="F669" t="s">
        <v>428</v>
      </c>
      <c r="G669" t="s">
        <v>428</v>
      </c>
      <c r="H669" t="s">
        <v>5617</v>
      </c>
      <c r="I669">
        <v>0</v>
      </c>
      <c r="J669" t="s">
        <v>87</v>
      </c>
      <c r="K669">
        <v>0</v>
      </c>
      <c r="L669">
        <v>0</v>
      </c>
    </row>
    <row r="670" spans="1:12">
      <c r="A670" s="93">
        <v>137209</v>
      </c>
      <c r="B670" t="s">
        <v>1271</v>
      </c>
      <c r="C670" t="s">
        <v>5604</v>
      </c>
      <c r="D670" s="92" t="s">
        <v>428</v>
      </c>
      <c r="E670" s="92" t="s">
        <v>428</v>
      </c>
      <c r="F670" t="s">
        <v>428</v>
      </c>
      <c r="G670" t="s">
        <v>428</v>
      </c>
      <c r="H670" t="s">
        <v>5615</v>
      </c>
      <c r="I670">
        <v>0</v>
      </c>
      <c r="J670" t="s">
        <v>87</v>
      </c>
      <c r="K670">
        <v>0</v>
      </c>
      <c r="L670">
        <v>0</v>
      </c>
    </row>
    <row r="671" spans="1:12">
      <c r="A671" s="93">
        <v>137245</v>
      </c>
      <c r="B671" t="s">
        <v>1272</v>
      </c>
      <c r="C671" t="s">
        <v>5606</v>
      </c>
      <c r="D671" s="92" t="s">
        <v>428</v>
      </c>
      <c r="E671" s="92" t="s">
        <v>428</v>
      </c>
      <c r="F671" t="s">
        <v>428</v>
      </c>
      <c r="G671" t="s">
        <v>428</v>
      </c>
      <c r="H671" t="s">
        <v>5615</v>
      </c>
      <c r="I671">
        <v>0</v>
      </c>
      <c r="J671" t="s">
        <v>87</v>
      </c>
      <c r="K671">
        <v>0</v>
      </c>
      <c r="L671">
        <v>0</v>
      </c>
    </row>
    <row r="672" spans="1:12">
      <c r="A672" s="93">
        <v>137272</v>
      </c>
      <c r="B672" t="s">
        <v>1273</v>
      </c>
      <c r="C672" t="s">
        <v>5607</v>
      </c>
      <c r="D672" s="92">
        <v>0.5600000000000001</v>
      </c>
      <c r="E672" s="92">
        <v>0.58</v>
      </c>
      <c r="F672" t="s">
        <v>428</v>
      </c>
      <c r="G672" t="s">
        <v>428</v>
      </c>
      <c r="H672" t="s">
        <v>5617</v>
      </c>
      <c r="I672">
        <v>0</v>
      </c>
      <c r="J672" t="s">
        <v>87</v>
      </c>
      <c r="K672">
        <v>0</v>
      </c>
      <c r="L672">
        <v>0</v>
      </c>
    </row>
    <row r="673" spans="1:12">
      <c r="A673" s="93">
        <v>137281</v>
      </c>
      <c r="B673" t="s">
        <v>1274</v>
      </c>
      <c r="C673" t="s">
        <v>5604</v>
      </c>
      <c r="D673" s="92" t="s">
        <v>428</v>
      </c>
      <c r="E673" s="92" t="s">
        <v>428</v>
      </c>
      <c r="F673" t="s">
        <v>428</v>
      </c>
      <c r="G673" t="s">
        <v>428</v>
      </c>
      <c r="H673" t="s">
        <v>5615</v>
      </c>
      <c r="I673">
        <v>0</v>
      </c>
      <c r="J673" t="s">
        <v>87</v>
      </c>
      <c r="K673">
        <v>0</v>
      </c>
      <c r="L673">
        <v>0</v>
      </c>
    </row>
    <row r="674" spans="1:12">
      <c r="A674" s="93">
        <v>137315</v>
      </c>
      <c r="B674" t="s">
        <v>1275</v>
      </c>
      <c r="C674" t="s">
        <v>5604</v>
      </c>
      <c r="D674" s="92" t="s">
        <v>428</v>
      </c>
      <c r="E674" s="92" t="s">
        <v>428</v>
      </c>
      <c r="F674" t="s">
        <v>428</v>
      </c>
      <c r="G674" t="s">
        <v>428</v>
      </c>
      <c r="H674" t="s">
        <v>5615</v>
      </c>
      <c r="I674">
        <v>0</v>
      </c>
      <c r="J674" t="s">
        <v>87</v>
      </c>
      <c r="K674">
        <v>0</v>
      </c>
      <c r="L674">
        <v>0</v>
      </c>
    </row>
    <row r="675" spans="1:12">
      <c r="A675" s="93">
        <v>137351</v>
      </c>
      <c r="B675" t="s">
        <v>1276</v>
      </c>
      <c r="C675" t="s">
        <v>5603</v>
      </c>
      <c r="D675" s="92">
        <v>0.67</v>
      </c>
      <c r="E675" s="92">
        <v>0.6899999999999999</v>
      </c>
      <c r="F675">
        <v>24</v>
      </c>
      <c r="G675">
        <v>26</v>
      </c>
      <c r="H675" t="s">
        <v>5615</v>
      </c>
      <c r="I675">
        <v>0</v>
      </c>
      <c r="J675" t="s">
        <v>87</v>
      </c>
      <c r="K675">
        <v>0</v>
      </c>
      <c r="L675">
        <v>0</v>
      </c>
    </row>
    <row r="676" spans="1:12">
      <c r="A676" s="93">
        <v>137476</v>
      </c>
      <c r="B676" t="s">
        <v>1277</v>
      </c>
      <c r="C676" t="s">
        <v>5608</v>
      </c>
      <c r="D676" s="92">
        <v>0.38</v>
      </c>
      <c r="E676" s="92">
        <v>0.36</v>
      </c>
      <c r="F676">
        <v>17</v>
      </c>
      <c r="G676">
        <v>19</v>
      </c>
      <c r="H676" t="s">
        <v>5617</v>
      </c>
      <c r="I676">
        <v>0</v>
      </c>
      <c r="J676" t="s">
        <v>87</v>
      </c>
      <c r="K676">
        <v>0</v>
      </c>
      <c r="L676">
        <v>0</v>
      </c>
    </row>
    <row r="677" spans="1:12">
      <c r="A677" s="93">
        <v>137546</v>
      </c>
      <c r="B677" t="s">
        <v>1278</v>
      </c>
      <c r="C677" t="s">
        <v>5603</v>
      </c>
      <c r="D677" s="92">
        <v>0.63</v>
      </c>
      <c r="E677" s="92">
        <v>0.5600000000000001</v>
      </c>
      <c r="F677" t="s">
        <v>428</v>
      </c>
      <c r="G677" t="s">
        <v>428</v>
      </c>
      <c r="H677" t="s">
        <v>5618</v>
      </c>
      <c r="I677">
        <v>0</v>
      </c>
      <c r="J677" t="s">
        <v>87</v>
      </c>
      <c r="K677">
        <v>0</v>
      </c>
      <c r="L677">
        <v>0</v>
      </c>
    </row>
    <row r="678" spans="1:12">
      <c r="A678" s="93">
        <v>137564</v>
      </c>
      <c r="B678" t="s">
        <v>1279</v>
      </c>
      <c r="C678" t="s">
        <v>5602</v>
      </c>
      <c r="D678" s="92">
        <v>0.41</v>
      </c>
      <c r="E678" s="92">
        <v>0.3</v>
      </c>
      <c r="F678">
        <v>18</v>
      </c>
      <c r="G678">
        <v>21</v>
      </c>
      <c r="H678" t="s">
        <v>5617</v>
      </c>
      <c r="I678">
        <v>0</v>
      </c>
      <c r="J678" t="s">
        <v>87</v>
      </c>
      <c r="K678">
        <v>0</v>
      </c>
      <c r="L678">
        <v>0</v>
      </c>
    </row>
    <row r="679" spans="1:12">
      <c r="A679" s="93">
        <v>137713</v>
      </c>
      <c r="B679" t="s">
        <v>1280</v>
      </c>
      <c r="C679" t="s">
        <v>5606</v>
      </c>
      <c r="D679" s="92" t="s">
        <v>428</v>
      </c>
      <c r="E679" s="92" t="s">
        <v>428</v>
      </c>
      <c r="F679" t="s">
        <v>428</v>
      </c>
      <c r="G679" t="s">
        <v>428</v>
      </c>
      <c r="H679" t="s">
        <v>5615</v>
      </c>
      <c r="I679">
        <v>0</v>
      </c>
      <c r="J679" t="s">
        <v>87</v>
      </c>
      <c r="K679">
        <v>0</v>
      </c>
      <c r="L679">
        <v>0</v>
      </c>
    </row>
    <row r="680" spans="1:12">
      <c r="A680" s="93">
        <v>137759</v>
      </c>
      <c r="B680" t="s">
        <v>1281</v>
      </c>
      <c r="C680" t="s">
        <v>5604</v>
      </c>
      <c r="D680" s="92">
        <v>0.35</v>
      </c>
      <c r="E680" s="92">
        <v>0.27</v>
      </c>
      <c r="F680" t="s">
        <v>428</v>
      </c>
      <c r="G680" t="s">
        <v>428</v>
      </c>
      <c r="H680" t="s">
        <v>5615</v>
      </c>
      <c r="I680">
        <v>0</v>
      </c>
      <c r="J680" t="s">
        <v>87</v>
      </c>
      <c r="K680">
        <v>0</v>
      </c>
      <c r="L680">
        <v>0</v>
      </c>
    </row>
    <row r="681" spans="1:12">
      <c r="A681" s="93">
        <v>137777</v>
      </c>
      <c r="B681" t="s">
        <v>1282</v>
      </c>
      <c r="C681" t="s">
        <v>5604</v>
      </c>
      <c r="D681" s="92">
        <v>0.55</v>
      </c>
      <c r="E681" s="92">
        <v>0.33</v>
      </c>
      <c r="F681" t="s">
        <v>428</v>
      </c>
      <c r="G681" t="s">
        <v>428</v>
      </c>
      <c r="H681" t="s">
        <v>5613</v>
      </c>
      <c r="I681">
        <v>1</v>
      </c>
      <c r="J681" t="s">
        <v>87</v>
      </c>
      <c r="K681">
        <v>0</v>
      </c>
      <c r="L681">
        <v>0</v>
      </c>
    </row>
    <row r="682" spans="1:12">
      <c r="A682" s="93">
        <v>137801</v>
      </c>
      <c r="B682" t="s">
        <v>1283</v>
      </c>
      <c r="C682" t="s">
        <v>5604</v>
      </c>
      <c r="D682" s="92">
        <v>0.64</v>
      </c>
      <c r="E682" s="92">
        <v>0.75</v>
      </c>
      <c r="F682" t="s">
        <v>428</v>
      </c>
      <c r="G682" t="s">
        <v>428</v>
      </c>
      <c r="H682" t="s">
        <v>5617</v>
      </c>
      <c r="I682">
        <v>0</v>
      </c>
      <c r="J682" t="s">
        <v>87</v>
      </c>
      <c r="K682">
        <v>0</v>
      </c>
      <c r="L682">
        <v>0</v>
      </c>
    </row>
    <row r="683" spans="1:12">
      <c r="A683" s="93">
        <v>137847</v>
      </c>
      <c r="B683" t="s">
        <v>586</v>
      </c>
      <c r="C683" t="s">
        <v>5602</v>
      </c>
      <c r="D683" s="92">
        <v>0.59</v>
      </c>
      <c r="E683" s="92">
        <v>0.49</v>
      </c>
      <c r="F683">
        <v>22</v>
      </c>
      <c r="G683">
        <v>24.5</v>
      </c>
      <c r="H683" t="s">
        <v>5617</v>
      </c>
      <c r="I683">
        <v>0</v>
      </c>
      <c r="J683" t="s">
        <v>87</v>
      </c>
      <c r="K683">
        <v>0</v>
      </c>
      <c r="L683">
        <v>0</v>
      </c>
    </row>
    <row r="684" spans="1:12">
      <c r="A684" s="93">
        <v>137865</v>
      </c>
      <c r="B684" t="s">
        <v>1284</v>
      </c>
      <c r="C684" t="s">
        <v>5606</v>
      </c>
      <c r="D684" s="92">
        <v>0.36</v>
      </c>
      <c r="E684" s="92">
        <v>0.27</v>
      </c>
      <c r="F684" t="s">
        <v>428</v>
      </c>
      <c r="G684" t="s">
        <v>428</v>
      </c>
      <c r="H684" t="s">
        <v>5615</v>
      </c>
      <c r="I684">
        <v>0</v>
      </c>
      <c r="J684" t="s">
        <v>87</v>
      </c>
      <c r="K684">
        <v>0</v>
      </c>
      <c r="L684">
        <v>0</v>
      </c>
    </row>
    <row r="685" spans="1:12">
      <c r="A685" s="93">
        <v>137953</v>
      </c>
      <c r="B685" t="s">
        <v>1285</v>
      </c>
      <c r="C685" t="s">
        <v>5608</v>
      </c>
      <c r="D685" s="92">
        <v>0.37</v>
      </c>
      <c r="E685" s="92">
        <v>0.29</v>
      </c>
      <c r="F685">
        <v>16</v>
      </c>
      <c r="G685">
        <v>18</v>
      </c>
      <c r="H685" t="s">
        <v>5616</v>
      </c>
      <c r="I685">
        <v>0</v>
      </c>
      <c r="J685" t="s">
        <v>87</v>
      </c>
      <c r="K685">
        <v>0</v>
      </c>
      <c r="L685">
        <v>0</v>
      </c>
    </row>
    <row r="686" spans="1:12">
      <c r="A686" s="93">
        <v>137962</v>
      </c>
      <c r="B686" t="s">
        <v>1286</v>
      </c>
      <c r="C686" t="s">
        <v>5604</v>
      </c>
      <c r="D686" s="92">
        <v>0.23</v>
      </c>
      <c r="E686" s="92">
        <v>0.2</v>
      </c>
      <c r="F686">
        <v>15</v>
      </c>
      <c r="G686">
        <v>17</v>
      </c>
      <c r="H686" t="s">
        <v>5617</v>
      </c>
      <c r="I686">
        <v>0</v>
      </c>
      <c r="J686" t="s">
        <v>87</v>
      </c>
      <c r="K686">
        <v>0</v>
      </c>
      <c r="L686">
        <v>0</v>
      </c>
    </row>
    <row r="687" spans="1:12">
      <c r="A687" s="93">
        <v>138187</v>
      </c>
      <c r="B687" t="s">
        <v>1287</v>
      </c>
      <c r="C687" t="s">
        <v>5604</v>
      </c>
      <c r="D687" s="92">
        <v>0.25</v>
      </c>
      <c r="E687" s="92">
        <v>0.25</v>
      </c>
      <c r="F687" t="s">
        <v>428</v>
      </c>
      <c r="G687" t="s">
        <v>428</v>
      </c>
      <c r="H687" t="s">
        <v>5615</v>
      </c>
      <c r="I687">
        <v>0</v>
      </c>
      <c r="J687" t="s">
        <v>87</v>
      </c>
      <c r="K687">
        <v>0</v>
      </c>
      <c r="L687">
        <v>0</v>
      </c>
    </row>
    <row r="688" spans="1:12">
      <c r="A688" s="93">
        <v>138275</v>
      </c>
      <c r="B688" t="s">
        <v>1288</v>
      </c>
      <c r="C688" t="s">
        <v>5608</v>
      </c>
      <c r="D688" s="92">
        <v>0.34</v>
      </c>
      <c r="E688" s="92">
        <v>0.26</v>
      </c>
      <c r="F688">
        <v>17</v>
      </c>
      <c r="G688">
        <v>18.5</v>
      </c>
      <c r="H688" t="s">
        <v>5616</v>
      </c>
      <c r="I688">
        <v>0</v>
      </c>
      <c r="J688" t="s">
        <v>87</v>
      </c>
      <c r="K688">
        <v>0</v>
      </c>
      <c r="L688">
        <v>0</v>
      </c>
    </row>
    <row r="689" spans="1:12">
      <c r="A689" s="93">
        <v>138284</v>
      </c>
      <c r="B689" t="s">
        <v>1289</v>
      </c>
      <c r="C689" t="s">
        <v>5606</v>
      </c>
      <c r="D689" s="92">
        <v>0.84</v>
      </c>
      <c r="E689" s="92">
        <v>0.66</v>
      </c>
      <c r="F689" t="s">
        <v>428</v>
      </c>
      <c r="G689" t="s">
        <v>428</v>
      </c>
      <c r="H689" t="s">
        <v>5615</v>
      </c>
      <c r="I689">
        <v>0</v>
      </c>
      <c r="J689" t="s">
        <v>87</v>
      </c>
      <c r="K689">
        <v>0</v>
      </c>
      <c r="L689">
        <v>0</v>
      </c>
    </row>
    <row r="690" spans="1:12">
      <c r="A690" s="93">
        <v>138293</v>
      </c>
      <c r="B690" t="s">
        <v>1290</v>
      </c>
      <c r="C690" t="s">
        <v>5602</v>
      </c>
      <c r="D690" s="92">
        <v>0.29</v>
      </c>
      <c r="E690" s="92">
        <v>0.2</v>
      </c>
      <c r="F690">
        <v>17</v>
      </c>
      <c r="G690">
        <v>18.5</v>
      </c>
      <c r="H690" t="s">
        <v>5617</v>
      </c>
      <c r="I690">
        <v>0</v>
      </c>
      <c r="J690" t="s">
        <v>87</v>
      </c>
      <c r="K690">
        <v>0</v>
      </c>
      <c r="L690">
        <v>0</v>
      </c>
    </row>
    <row r="691" spans="1:12">
      <c r="A691" s="93">
        <v>138309</v>
      </c>
      <c r="B691" t="s">
        <v>1291</v>
      </c>
      <c r="C691" t="s">
        <v>5604</v>
      </c>
      <c r="D691" s="92">
        <v>0.15</v>
      </c>
      <c r="E691" s="92">
        <v>0.18</v>
      </c>
      <c r="F691" t="s">
        <v>428</v>
      </c>
      <c r="G691" t="s">
        <v>428</v>
      </c>
      <c r="H691" t="s">
        <v>5617</v>
      </c>
      <c r="I691">
        <v>0</v>
      </c>
      <c r="J691" t="s">
        <v>87</v>
      </c>
      <c r="K691">
        <v>0</v>
      </c>
      <c r="L691">
        <v>0</v>
      </c>
    </row>
    <row r="692" spans="1:12">
      <c r="A692" s="93">
        <v>138354</v>
      </c>
      <c r="B692" t="s">
        <v>1292</v>
      </c>
      <c r="C692" t="s">
        <v>5602</v>
      </c>
      <c r="D692" s="92">
        <v>0.49</v>
      </c>
      <c r="E692" s="92">
        <v>0.44</v>
      </c>
      <c r="F692">
        <v>21</v>
      </c>
      <c r="G692">
        <v>23.5</v>
      </c>
      <c r="H692" t="s">
        <v>5615</v>
      </c>
      <c r="I692">
        <v>0</v>
      </c>
      <c r="J692" t="s">
        <v>87</v>
      </c>
      <c r="K692">
        <v>0</v>
      </c>
      <c r="L692">
        <v>0</v>
      </c>
    </row>
    <row r="693" spans="1:12">
      <c r="A693" s="93">
        <v>138372</v>
      </c>
      <c r="B693" t="s">
        <v>1293</v>
      </c>
      <c r="C693" t="s">
        <v>5606</v>
      </c>
      <c r="D693" s="92" t="s">
        <v>428</v>
      </c>
      <c r="E693" s="92" t="s">
        <v>428</v>
      </c>
      <c r="F693" t="s">
        <v>428</v>
      </c>
      <c r="G693" t="s">
        <v>428</v>
      </c>
      <c r="H693" t="s">
        <v>5615</v>
      </c>
      <c r="I693">
        <v>0</v>
      </c>
      <c r="J693" t="s">
        <v>87</v>
      </c>
      <c r="K693">
        <v>0</v>
      </c>
      <c r="L693">
        <v>0</v>
      </c>
    </row>
    <row r="694" spans="1:12">
      <c r="A694" s="93">
        <v>138479</v>
      </c>
      <c r="B694" t="s">
        <v>1294</v>
      </c>
      <c r="C694" t="s">
        <v>5606</v>
      </c>
      <c r="D694" s="92" t="s">
        <v>428</v>
      </c>
      <c r="E694" s="92" t="s">
        <v>428</v>
      </c>
      <c r="F694" t="s">
        <v>428</v>
      </c>
      <c r="G694" t="s">
        <v>428</v>
      </c>
      <c r="H694" t="s">
        <v>5615</v>
      </c>
      <c r="I694">
        <v>0</v>
      </c>
      <c r="J694" t="s">
        <v>87</v>
      </c>
      <c r="K694">
        <v>0</v>
      </c>
      <c r="L694">
        <v>0</v>
      </c>
    </row>
    <row r="695" spans="1:12">
      <c r="A695" s="93">
        <v>138497</v>
      </c>
      <c r="B695" t="s">
        <v>1295</v>
      </c>
      <c r="C695" t="s">
        <v>5606</v>
      </c>
      <c r="D695" s="92" t="s">
        <v>428</v>
      </c>
      <c r="E695" s="92" t="s">
        <v>428</v>
      </c>
      <c r="F695" t="s">
        <v>428</v>
      </c>
      <c r="G695" t="s">
        <v>428</v>
      </c>
      <c r="H695" t="s">
        <v>5615</v>
      </c>
      <c r="I695">
        <v>0</v>
      </c>
      <c r="J695" t="s">
        <v>87</v>
      </c>
      <c r="K695">
        <v>0</v>
      </c>
      <c r="L695">
        <v>0</v>
      </c>
    </row>
    <row r="696" spans="1:12">
      <c r="A696" s="93">
        <v>138558</v>
      </c>
      <c r="B696" t="s">
        <v>1296</v>
      </c>
      <c r="C696" t="s">
        <v>5608</v>
      </c>
      <c r="D696" s="92">
        <v>0.21</v>
      </c>
      <c r="E696" s="92">
        <v>0.17</v>
      </c>
      <c r="F696">
        <v>17</v>
      </c>
      <c r="G696">
        <v>19.5</v>
      </c>
      <c r="H696" t="s">
        <v>5615</v>
      </c>
      <c r="I696">
        <v>0</v>
      </c>
      <c r="J696" t="s">
        <v>87</v>
      </c>
      <c r="K696">
        <v>0</v>
      </c>
      <c r="L696">
        <v>0</v>
      </c>
    </row>
    <row r="697" spans="1:12">
      <c r="A697" s="93">
        <v>138600</v>
      </c>
      <c r="B697" t="s">
        <v>1297</v>
      </c>
      <c r="C697" t="s">
        <v>5603</v>
      </c>
      <c r="D697" s="92">
        <v>0.7</v>
      </c>
      <c r="E697" s="92">
        <v>0.72</v>
      </c>
      <c r="F697" t="s">
        <v>428</v>
      </c>
      <c r="G697" t="s">
        <v>428</v>
      </c>
      <c r="H697" t="s">
        <v>5616</v>
      </c>
      <c r="I697">
        <v>0</v>
      </c>
      <c r="J697" t="s">
        <v>87</v>
      </c>
      <c r="K697">
        <v>0</v>
      </c>
      <c r="L697">
        <v>0</v>
      </c>
    </row>
    <row r="698" spans="1:12">
      <c r="A698" s="93">
        <v>138655</v>
      </c>
      <c r="B698" t="s">
        <v>1298</v>
      </c>
      <c r="C698" t="s">
        <v>5606</v>
      </c>
      <c r="D698" s="92" t="s">
        <v>428</v>
      </c>
      <c r="E698" s="92" t="s">
        <v>428</v>
      </c>
      <c r="F698" t="s">
        <v>428</v>
      </c>
      <c r="G698" t="s">
        <v>428</v>
      </c>
      <c r="H698" t="s">
        <v>5616</v>
      </c>
      <c r="I698">
        <v>0</v>
      </c>
      <c r="J698" t="s">
        <v>87</v>
      </c>
      <c r="K698">
        <v>0</v>
      </c>
      <c r="L698">
        <v>0</v>
      </c>
    </row>
    <row r="699" spans="1:12">
      <c r="A699" s="93">
        <v>138664</v>
      </c>
      <c r="B699" t="s">
        <v>1299</v>
      </c>
      <c r="C699" t="s">
        <v>5606</v>
      </c>
      <c r="D699" s="92" t="s">
        <v>428</v>
      </c>
      <c r="E699" s="92" t="s">
        <v>428</v>
      </c>
      <c r="F699" t="s">
        <v>428</v>
      </c>
      <c r="G699" t="s">
        <v>428</v>
      </c>
      <c r="H699" t="s">
        <v>5616</v>
      </c>
      <c r="I699">
        <v>0</v>
      </c>
      <c r="J699" t="s">
        <v>87</v>
      </c>
      <c r="K699">
        <v>0</v>
      </c>
      <c r="L699">
        <v>0</v>
      </c>
    </row>
    <row r="700" spans="1:12">
      <c r="A700" s="93">
        <v>138682</v>
      </c>
      <c r="B700" t="s">
        <v>1300</v>
      </c>
      <c r="C700" t="s">
        <v>5606</v>
      </c>
      <c r="D700" s="92" t="s">
        <v>428</v>
      </c>
      <c r="E700" s="92" t="s">
        <v>428</v>
      </c>
      <c r="F700" t="s">
        <v>428</v>
      </c>
      <c r="G700" t="s">
        <v>428</v>
      </c>
      <c r="H700" t="s">
        <v>5615</v>
      </c>
      <c r="I700">
        <v>0</v>
      </c>
      <c r="J700" t="s">
        <v>87</v>
      </c>
      <c r="K700">
        <v>0</v>
      </c>
      <c r="L700">
        <v>0</v>
      </c>
    </row>
    <row r="701" spans="1:12">
      <c r="A701" s="93">
        <v>138691</v>
      </c>
      <c r="B701" t="s">
        <v>1301</v>
      </c>
      <c r="C701" t="s">
        <v>5607</v>
      </c>
      <c r="D701" s="92" t="s">
        <v>428</v>
      </c>
      <c r="E701" s="92" t="s">
        <v>428</v>
      </c>
      <c r="F701" t="s">
        <v>428</v>
      </c>
      <c r="G701" t="s">
        <v>428</v>
      </c>
      <c r="H701" t="s">
        <v>5615</v>
      </c>
      <c r="I701">
        <v>0</v>
      </c>
      <c r="J701" t="s">
        <v>87</v>
      </c>
      <c r="K701">
        <v>0</v>
      </c>
      <c r="L701">
        <v>0</v>
      </c>
    </row>
    <row r="702" spans="1:12">
      <c r="A702" s="93">
        <v>138716</v>
      </c>
      <c r="B702" t="s">
        <v>1302</v>
      </c>
      <c r="C702" t="s">
        <v>5602</v>
      </c>
      <c r="D702" s="92">
        <v>0.31</v>
      </c>
      <c r="E702" s="92">
        <v>0.47</v>
      </c>
      <c r="F702">
        <v>17</v>
      </c>
      <c r="G702">
        <v>18.5</v>
      </c>
      <c r="H702" t="s">
        <v>5615</v>
      </c>
      <c r="I702">
        <v>0</v>
      </c>
      <c r="J702" t="s">
        <v>138</v>
      </c>
      <c r="K702">
        <v>0</v>
      </c>
      <c r="L702">
        <v>0</v>
      </c>
    </row>
    <row r="703" spans="1:12">
      <c r="A703" s="93">
        <v>138761</v>
      </c>
      <c r="B703" t="s">
        <v>1303</v>
      </c>
      <c r="C703" t="s">
        <v>5607</v>
      </c>
      <c r="D703" s="92">
        <v>0.17</v>
      </c>
      <c r="E703" s="92">
        <v>0.16</v>
      </c>
      <c r="F703" t="s">
        <v>428</v>
      </c>
      <c r="G703" t="s">
        <v>428</v>
      </c>
      <c r="H703" t="s">
        <v>5617</v>
      </c>
      <c r="I703">
        <v>0</v>
      </c>
      <c r="J703" t="s">
        <v>87</v>
      </c>
      <c r="K703">
        <v>0</v>
      </c>
      <c r="L703">
        <v>0</v>
      </c>
    </row>
    <row r="704" spans="1:12">
      <c r="A704" s="93">
        <v>138789</v>
      </c>
      <c r="B704" t="s">
        <v>1304</v>
      </c>
      <c r="C704" t="s">
        <v>5602</v>
      </c>
      <c r="D704" s="92">
        <v>0.31</v>
      </c>
      <c r="E704" s="92">
        <v>0.3</v>
      </c>
      <c r="F704">
        <v>19</v>
      </c>
      <c r="G704">
        <v>21</v>
      </c>
      <c r="H704" t="s">
        <v>5615</v>
      </c>
      <c r="I704">
        <v>0</v>
      </c>
      <c r="J704" t="s">
        <v>87</v>
      </c>
      <c r="K704">
        <v>0</v>
      </c>
      <c r="L704">
        <v>0</v>
      </c>
    </row>
    <row r="705" spans="1:12">
      <c r="A705" s="93">
        <v>138813</v>
      </c>
      <c r="B705" t="s">
        <v>1305</v>
      </c>
      <c r="C705" t="s">
        <v>5610</v>
      </c>
      <c r="D705" s="92">
        <v>0.17</v>
      </c>
      <c r="E705" s="92">
        <v>0.18</v>
      </c>
      <c r="F705" t="s">
        <v>428</v>
      </c>
      <c r="G705" t="s">
        <v>428</v>
      </c>
      <c r="H705" t="s">
        <v>5617</v>
      </c>
      <c r="I705">
        <v>0</v>
      </c>
      <c r="J705" t="s">
        <v>87</v>
      </c>
      <c r="K705">
        <v>0</v>
      </c>
      <c r="L705">
        <v>0</v>
      </c>
    </row>
    <row r="706" spans="1:12">
      <c r="A706" s="93">
        <v>138840</v>
      </c>
      <c r="B706" t="s">
        <v>1306</v>
      </c>
      <c r="C706" t="s">
        <v>5606</v>
      </c>
      <c r="D706" s="92" t="s">
        <v>428</v>
      </c>
      <c r="E706" s="92" t="s">
        <v>428</v>
      </c>
      <c r="F706" t="s">
        <v>428</v>
      </c>
      <c r="G706" t="s">
        <v>428</v>
      </c>
      <c r="H706" t="s">
        <v>5615</v>
      </c>
      <c r="I706">
        <v>0</v>
      </c>
      <c r="J706" t="s">
        <v>87</v>
      </c>
      <c r="K706">
        <v>0</v>
      </c>
      <c r="L706">
        <v>0</v>
      </c>
    </row>
    <row r="707" spans="1:12">
      <c r="A707" s="93">
        <v>138868</v>
      </c>
      <c r="B707" t="s">
        <v>1307</v>
      </c>
      <c r="C707" t="s">
        <v>5608</v>
      </c>
      <c r="D707" s="92">
        <v>0.4</v>
      </c>
      <c r="E707" s="92">
        <v>0.4</v>
      </c>
      <c r="F707">
        <v>17</v>
      </c>
      <c r="G707">
        <v>19.5</v>
      </c>
      <c r="H707" t="s">
        <v>5617</v>
      </c>
      <c r="I707">
        <v>0</v>
      </c>
      <c r="J707" t="s">
        <v>87</v>
      </c>
      <c r="K707">
        <v>0</v>
      </c>
      <c r="L707">
        <v>0</v>
      </c>
    </row>
    <row r="708" spans="1:12">
      <c r="A708" s="93">
        <v>138901</v>
      </c>
      <c r="B708" t="s">
        <v>1308</v>
      </c>
      <c r="C708" t="s">
        <v>5604</v>
      </c>
      <c r="D708" s="92" t="s">
        <v>428</v>
      </c>
      <c r="E708" s="92" t="s">
        <v>428</v>
      </c>
      <c r="F708" t="s">
        <v>428</v>
      </c>
      <c r="G708" t="s">
        <v>428</v>
      </c>
      <c r="H708" t="s">
        <v>5615</v>
      </c>
      <c r="I708">
        <v>0</v>
      </c>
      <c r="J708" t="s">
        <v>87</v>
      </c>
      <c r="K708">
        <v>0</v>
      </c>
      <c r="L708">
        <v>0</v>
      </c>
    </row>
    <row r="709" spans="1:12">
      <c r="A709" s="93">
        <v>138929</v>
      </c>
      <c r="B709" t="s">
        <v>1309</v>
      </c>
      <c r="C709" t="s">
        <v>5607</v>
      </c>
      <c r="D709" s="92" t="s">
        <v>428</v>
      </c>
      <c r="E709" s="92" t="s">
        <v>428</v>
      </c>
      <c r="F709" t="s">
        <v>428</v>
      </c>
      <c r="G709" t="s">
        <v>428</v>
      </c>
      <c r="H709" t="s">
        <v>5615</v>
      </c>
      <c r="I709">
        <v>0</v>
      </c>
      <c r="J709" t="s">
        <v>87</v>
      </c>
      <c r="K709">
        <v>0</v>
      </c>
      <c r="L709">
        <v>0</v>
      </c>
    </row>
    <row r="710" spans="1:12">
      <c r="A710" s="93">
        <v>138947</v>
      </c>
      <c r="B710" t="s">
        <v>1310</v>
      </c>
      <c r="C710" t="s">
        <v>5608</v>
      </c>
      <c r="D710" s="92">
        <v>0.38</v>
      </c>
      <c r="E710" s="92">
        <v>0.54</v>
      </c>
      <c r="F710">
        <v>18</v>
      </c>
      <c r="G710">
        <v>19.5</v>
      </c>
      <c r="H710" t="s">
        <v>5617</v>
      </c>
      <c r="I710">
        <v>0</v>
      </c>
      <c r="J710" t="s">
        <v>138</v>
      </c>
      <c r="K710">
        <v>0</v>
      </c>
      <c r="L710">
        <v>0</v>
      </c>
    </row>
    <row r="711" spans="1:12">
      <c r="A711" s="93">
        <v>138956</v>
      </c>
      <c r="B711" t="s">
        <v>1311</v>
      </c>
      <c r="C711" t="s">
        <v>5606</v>
      </c>
      <c r="D711" s="92" t="s">
        <v>428</v>
      </c>
      <c r="E711" s="92" t="s">
        <v>428</v>
      </c>
      <c r="F711" t="s">
        <v>428</v>
      </c>
      <c r="G711" t="s">
        <v>428</v>
      </c>
      <c r="H711" t="s">
        <v>5615</v>
      </c>
      <c r="I711">
        <v>0</v>
      </c>
      <c r="J711" t="s">
        <v>87</v>
      </c>
      <c r="K711">
        <v>0</v>
      </c>
      <c r="L711">
        <v>0</v>
      </c>
    </row>
    <row r="712" spans="1:12">
      <c r="A712" s="93">
        <v>139010</v>
      </c>
      <c r="B712" t="s">
        <v>1312</v>
      </c>
      <c r="C712" t="s">
        <v>5604</v>
      </c>
      <c r="D712" s="92">
        <v>0.09</v>
      </c>
      <c r="E712" s="92">
        <v>0.05</v>
      </c>
      <c r="F712" t="s">
        <v>428</v>
      </c>
      <c r="G712" t="s">
        <v>428</v>
      </c>
      <c r="H712" t="s">
        <v>5615</v>
      </c>
      <c r="I712">
        <v>0</v>
      </c>
      <c r="J712" t="s">
        <v>87</v>
      </c>
      <c r="K712">
        <v>0</v>
      </c>
      <c r="L712">
        <v>0</v>
      </c>
    </row>
    <row r="713" spans="1:12">
      <c r="A713" s="93">
        <v>139144</v>
      </c>
      <c r="B713" t="s">
        <v>1313</v>
      </c>
      <c r="C713" t="s">
        <v>5602</v>
      </c>
      <c r="D713" s="92">
        <v>0.64</v>
      </c>
      <c r="E713" s="92">
        <v>0.59</v>
      </c>
      <c r="F713">
        <v>24</v>
      </c>
      <c r="G713">
        <v>26.5</v>
      </c>
      <c r="H713" t="s">
        <v>5618</v>
      </c>
      <c r="I713">
        <v>0</v>
      </c>
      <c r="J713" t="s">
        <v>87</v>
      </c>
      <c r="K713">
        <v>0</v>
      </c>
      <c r="L713">
        <v>0</v>
      </c>
    </row>
    <row r="714" spans="1:12">
      <c r="A714" s="93">
        <v>139153</v>
      </c>
      <c r="B714" t="s">
        <v>1314</v>
      </c>
      <c r="C714" t="s">
        <v>5604</v>
      </c>
      <c r="D714" s="92">
        <v>0.05</v>
      </c>
      <c r="E714" s="92">
        <v>0.08</v>
      </c>
      <c r="F714" t="s">
        <v>428</v>
      </c>
      <c r="G714" t="s">
        <v>428</v>
      </c>
      <c r="H714" t="s">
        <v>5617</v>
      </c>
      <c r="I714">
        <v>0</v>
      </c>
      <c r="J714" t="s">
        <v>87</v>
      </c>
      <c r="K714">
        <v>0</v>
      </c>
      <c r="L714">
        <v>0</v>
      </c>
    </row>
    <row r="715" spans="1:12">
      <c r="A715" s="93">
        <v>139199</v>
      </c>
      <c r="B715" t="s">
        <v>1315</v>
      </c>
      <c r="C715" t="s">
        <v>5608</v>
      </c>
      <c r="D715" s="92">
        <v>0.47</v>
      </c>
      <c r="E715" s="92">
        <v>0.44</v>
      </c>
      <c r="F715">
        <v>19</v>
      </c>
      <c r="G715">
        <v>21.5</v>
      </c>
      <c r="H715" t="s">
        <v>5617</v>
      </c>
      <c r="I715">
        <v>0</v>
      </c>
      <c r="J715" t="s">
        <v>87</v>
      </c>
      <c r="K715">
        <v>0</v>
      </c>
      <c r="L715">
        <v>0</v>
      </c>
    </row>
    <row r="716" spans="1:12">
      <c r="A716" s="93">
        <v>139205</v>
      </c>
      <c r="B716" t="s">
        <v>1316</v>
      </c>
      <c r="C716" t="s">
        <v>5602</v>
      </c>
      <c r="D716" s="92">
        <v>0.19</v>
      </c>
      <c r="E716" s="92">
        <v>0.18</v>
      </c>
      <c r="F716" t="s">
        <v>428</v>
      </c>
      <c r="G716" t="s">
        <v>428</v>
      </c>
      <c r="H716" t="s">
        <v>5617</v>
      </c>
      <c r="I716">
        <v>0</v>
      </c>
      <c r="J716" t="s">
        <v>87</v>
      </c>
      <c r="K716">
        <v>0</v>
      </c>
      <c r="L716">
        <v>0</v>
      </c>
    </row>
    <row r="717" spans="1:12">
      <c r="A717" s="93">
        <v>139214</v>
      </c>
      <c r="B717" t="s">
        <v>1317</v>
      </c>
      <c r="C717" t="s">
        <v>5609</v>
      </c>
      <c r="D717" s="92" t="s">
        <v>428</v>
      </c>
      <c r="E717" s="92" t="s">
        <v>428</v>
      </c>
      <c r="F717" t="s">
        <v>428</v>
      </c>
      <c r="G717" t="s">
        <v>428</v>
      </c>
      <c r="H717" t="s">
        <v>5617</v>
      </c>
      <c r="I717">
        <v>0</v>
      </c>
      <c r="J717" t="s">
        <v>87</v>
      </c>
      <c r="K717">
        <v>0</v>
      </c>
      <c r="L717">
        <v>0</v>
      </c>
    </row>
    <row r="718" spans="1:12">
      <c r="A718" s="93">
        <v>139250</v>
      </c>
      <c r="B718" t="s">
        <v>1318</v>
      </c>
      <c r="C718" t="s">
        <v>5604</v>
      </c>
      <c r="D718" s="92">
        <v>0.27</v>
      </c>
      <c r="E718" s="92">
        <v>0.11</v>
      </c>
      <c r="F718">
        <v>16</v>
      </c>
      <c r="G718">
        <v>18.5</v>
      </c>
      <c r="H718" t="s">
        <v>5615</v>
      </c>
      <c r="I718">
        <v>0</v>
      </c>
      <c r="J718" t="s">
        <v>87</v>
      </c>
      <c r="K718">
        <v>0</v>
      </c>
      <c r="L718">
        <v>0</v>
      </c>
    </row>
    <row r="719" spans="1:12">
      <c r="A719" s="93">
        <v>139278</v>
      </c>
      <c r="B719" t="s">
        <v>1319</v>
      </c>
      <c r="C719" t="s">
        <v>5606</v>
      </c>
      <c r="D719" s="92" t="s">
        <v>428</v>
      </c>
      <c r="E719" s="92" t="s">
        <v>428</v>
      </c>
      <c r="F719" t="s">
        <v>428</v>
      </c>
      <c r="G719" t="s">
        <v>428</v>
      </c>
      <c r="H719" t="s">
        <v>5615</v>
      </c>
      <c r="I719">
        <v>0</v>
      </c>
      <c r="J719" t="s">
        <v>87</v>
      </c>
      <c r="K719">
        <v>0</v>
      </c>
      <c r="L719">
        <v>0</v>
      </c>
    </row>
    <row r="720" spans="1:12">
      <c r="A720" s="93">
        <v>139287</v>
      </c>
      <c r="B720" t="s">
        <v>1320</v>
      </c>
      <c r="C720" t="s">
        <v>5604</v>
      </c>
      <c r="D720" s="92">
        <v>0.28</v>
      </c>
      <c r="E720" s="92">
        <v>0.18</v>
      </c>
      <c r="F720" t="s">
        <v>428</v>
      </c>
      <c r="G720" t="s">
        <v>428</v>
      </c>
      <c r="H720" t="s">
        <v>5613</v>
      </c>
      <c r="I720">
        <v>1</v>
      </c>
      <c r="J720" t="s">
        <v>87</v>
      </c>
      <c r="K720">
        <v>0</v>
      </c>
      <c r="L720">
        <v>0</v>
      </c>
    </row>
    <row r="721" spans="1:12">
      <c r="A721" s="93">
        <v>139311</v>
      </c>
      <c r="B721" t="s">
        <v>1321</v>
      </c>
      <c r="C721" t="s">
        <v>5602</v>
      </c>
      <c r="D721" s="92">
        <v>0.33</v>
      </c>
      <c r="E721" s="92">
        <v>0.33</v>
      </c>
      <c r="F721" t="s">
        <v>428</v>
      </c>
      <c r="G721" t="s">
        <v>428</v>
      </c>
      <c r="H721" t="s">
        <v>5615</v>
      </c>
      <c r="I721">
        <v>0</v>
      </c>
      <c r="J721" t="s">
        <v>87</v>
      </c>
      <c r="K721">
        <v>0</v>
      </c>
      <c r="L721">
        <v>0</v>
      </c>
    </row>
    <row r="722" spans="1:12">
      <c r="A722" s="93">
        <v>139348</v>
      </c>
      <c r="B722" t="s">
        <v>1322</v>
      </c>
      <c r="C722" t="s">
        <v>5607</v>
      </c>
      <c r="D722" s="92" t="s">
        <v>428</v>
      </c>
      <c r="E722" s="92" t="s">
        <v>428</v>
      </c>
      <c r="F722" t="s">
        <v>428</v>
      </c>
      <c r="G722" t="s">
        <v>428</v>
      </c>
      <c r="H722" t="s">
        <v>5615</v>
      </c>
      <c r="I722">
        <v>0</v>
      </c>
      <c r="J722" t="s">
        <v>87</v>
      </c>
      <c r="K722">
        <v>0</v>
      </c>
      <c r="L722">
        <v>0</v>
      </c>
    </row>
    <row r="723" spans="1:12">
      <c r="A723" s="93">
        <v>139357</v>
      </c>
      <c r="B723" t="s">
        <v>1323</v>
      </c>
      <c r="C723" t="s">
        <v>5606</v>
      </c>
      <c r="D723" s="92" t="s">
        <v>428</v>
      </c>
      <c r="E723" s="92" t="s">
        <v>428</v>
      </c>
      <c r="F723" t="s">
        <v>428</v>
      </c>
      <c r="G723" t="s">
        <v>428</v>
      </c>
      <c r="H723" t="s">
        <v>5615</v>
      </c>
      <c r="I723">
        <v>0</v>
      </c>
      <c r="J723" t="s">
        <v>87</v>
      </c>
      <c r="K723">
        <v>0</v>
      </c>
      <c r="L723">
        <v>0</v>
      </c>
    </row>
    <row r="724" spans="1:12">
      <c r="A724" s="93">
        <v>139366</v>
      </c>
      <c r="B724" t="s">
        <v>1324</v>
      </c>
      <c r="C724" t="s">
        <v>5608</v>
      </c>
      <c r="D724" s="92">
        <v>0.3</v>
      </c>
      <c r="E724" s="92">
        <v>0.25</v>
      </c>
      <c r="F724">
        <v>17</v>
      </c>
      <c r="G724">
        <v>20</v>
      </c>
      <c r="H724" t="s">
        <v>5615</v>
      </c>
      <c r="I724">
        <v>0</v>
      </c>
      <c r="J724" t="s">
        <v>87</v>
      </c>
      <c r="K724">
        <v>0</v>
      </c>
      <c r="L724">
        <v>0</v>
      </c>
    </row>
    <row r="725" spans="1:12">
      <c r="A725" s="93">
        <v>139384</v>
      </c>
      <c r="B725" t="s">
        <v>1325</v>
      </c>
      <c r="C725" t="s">
        <v>5606</v>
      </c>
      <c r="D725" s="92" t="s">
        <v>428</v>
      </c>
      <c r="E725" s="92" t="s">
        <v>428</v>
      </c>
      <c r="F725" t="s">
        <v>428</v>
      </c>
      <c r="G725" t="s">
        <v>428</v>
      </c>
      <c r="H725" t="s">
        <v>5615</v>
      </c>
      <c r="I725">
        <v>0</v>
      </c>
      <c r="J725" t="s">
        <v>87</v>
      </c>
      <c r="K725">
        <v>0</v>
      </c>
      <c r="L725">
        <v>0</v>
      </c>
    </row>
    <row r="726" spans="1:12">
      <c r="A726" s="93">
        <v>139393</v>
      </c>
      <c r="B726" t="s">
        <v>1326</v>
      </c>
      <c r="C726" t="s">
        <v>5603</v>
      </c>
      <c r="D726" s="92">
        <v>0.63</v>
      </c>
      <c r="E726" s="92">
        <v>0.48</v>
      </c>
      <c r="F726">
        <v>24</v>
      </c>
      <c r="G726">
        <v>26.5</v>
      </c>
      <c r="H726" t="s">
        <v>5617</v>
      </c>
      <c r="I726">
        <v>0</v>
      </c>
      <c r="J726" t="s">
        <v>87</v>
      </c>
      <c r="K726">
        <v>0</v>
      </c>
      <c r="L726">
        <v>0</v>
      </c>
    </row>
    <row r="727" spans="1:12">
      <c r="A727" s="93">
        <v>139463</v>
      </c>
      <c r="B727" t="s">
        <v>1327</v>
      </c>
      <c r="C727" t="s">
        <v>5604</v>
      </c>
      <c r="D727" s="92">
        <v>0.21</v>
      </c>
      <c r="E727" s="92">
        <v>0.24</v>
      </c>
      <c r="F727" t="s">
        <v>428</v>
      </c>
      <c r="G727" t="s">
        <v>428</v>
      </c>
      <c r="H727" t="s">
        <v>5615</v>
      </c>
      <c r="I727">
        <v>0</v>
      </c>
      <c r="J727" t="s">
        <v>87</v>
      </c>
      <c r="K727">
        <v>0</v>
      </c>
      <c r="L727">
        <v>0</v>
      </c>
    </row>
    <row r="728" spans="1:12">
      <c r="A728" s="93">
        <v>139579</v>
      </c>
      <c r="B728" t="s">
        <v>1328</v>
      </c>
      <c r="C728" t="s">
        <v>5608</v>
      </c>
      <c r="D728" s="92">
        <v>0.09</v>
      </c>
      <c r="E728" s="92">
        <v>0.07000000000000001</v>
      </c>
      <c r="F728" t="s">
        <v>428</v>
      </c>
      <c r="G728" t="s">
        <v>428</v>
      </c>
      <c r="H728" t="s">
        <v>5617</v>
      </c>
      <c r="I728">
        <v>0</v>
      </c>
      <c r="J728" t="s">
        <v>87</v>
      </c>
      <c r="K728">
        <v>0</v>
      </c>
      <c r="L728">
        <v>0</v>
      </c>
    </row>
    <row r="729" spans="1:12">
      <c r="A729" s="93">
        <v>139621</v>
      </c>
      <c r="B729" t="s">
        <v>1329</v>
      </c>
      <c r="C729" t="s">
        <v>5604</v>
      </c>
      <c r="D729" s="92">
        <v>0.25</v>
      </c>
      <c r="E729" s="92">
        <v>0.25</v>
      </c>
      <c r="F729" t="s">
        <v>428</v>
      </c>
      <c r="G729" t="s">
        <v>428</v>
      </c>
      <c r="H729" t="s">
        <v>5615</v>
      </c>
      <c r="I729">
        <v>0</v>
      </c>
      <c r="J729" t="s">
        <v>87</v>
      </c>
      <c r="K729">
        <v>0</v>
      </c>
      <c r="L729">
        <v>0</v>
      </c>
    </row>
    <row r="730" spans="1:12">
      <c r="A730" s="93">
        <v>139630</v>
      </c>
      <c r="B730" t="s">
        <v>1330</v>
      </c>
      <c r="C730" t="s">
        <v>5608</v>
      </c>
      <c r="D730" s="92">
        <v>0.33</v>
      </c>
      <c r="E730" s="92">
        <v>0.22</v>
      </c>
      <c r="F730">
        <v>18</v>
      </c>
      <c r="G730">
        <v>19.5</v>
      </c>
      <c r="H730" t="s">
        <v>5617</v>
      </c>
      <c r="I730">
        <v>0</v>
      </c>
      <c r="J730" t="s">
        <v>87</v>
      </c>
      <c r="K730">
        <v>0</v>
      </c>
      <c r="L730">
        <v>0</v>
      </c>
    </row>
    <row r="731" spans="1:12">
      <c r="A731" s="93">
        <v>139658</v>
      </c>
      <c r="B731" t="s">
        <v>1331</v>
      </c>
      <c r="C731" t="s">
        <v>5612</v>
      </c>
      <c r="D731" s="92">
        <v>0.91</v>
      </c>
      <c r="E731" s="92">
        <v>0.84</v>
      </c>
      <c r="F731">
        <v>30</v>
      </c>
      <c r="G731">
        <v>31.5</v>
      </c>
      <c r="H731" t="s">
        <v>5619</v>
      </c>
      <c r="I731">
        <v>1</v>
      </c>
      <c r="J731" t="s">
        <v>87</v>
      </c>
      <c r="K731">
        <v>0</v>
      </c>
      <c r="L731">
        <v>0</v>
      </c>
    </row>
    <row r="732" spans="1:12">
      <c r="A732" s="93">
        <v>139700</v>
      </c>
      <c r="B732" t="s">
        <v>1332</v>
      </c>
      <c r="C732" t="s">
        <v>5604</v>
      </c>
      <c r="D732" s="92" t="s">
        <v>428</v>
      </c>
      <c r="E732" s="92" t="s">
        <v>428</v>
      </c>
      <c r="F732" t="s">
        <v>428</v>
      </c>
      <c r="G732" t="s">
        <v>428</v>
      </c>
      <c r="H732" t="s">
        <v>5615</v>
      </c>
      <c r="I732">
        <v>0</v>
      </c>
      <c r="J732" t="s">
        <v>87</v>
      </c>
      <c r="K732">
        <v>0</v>
      </c>
      <c r="L732">
        <v>0</v>
      </c>
    </row>
    <row r="733" spans="1:12">
      <c r="A733" s="93">
        <v>139719</v>
      </c>
      <c r="B733" t="s">
        <v>1333</v>
      </c>
      <c r="C733" t="s">
        <v>5603</v>
      </c>
      <c r="D733" s="92">
        <v>0.25</v>
      </c>
      <c r="E733" s="92">
        <v>0.4</v>
      </c>
      <c r="F733">
        <v>10</v>
      </c>
      <c r="G733">
        <v>14.5</v>
      </c>
      <c r="H733" t="s">
        <v>5615</v>
      </c>
      <c r="I733">
        <v>0</v>
      </c>
      <c r="J733" t="s">
        <v>138</v>
      </c>
      <c r="K733">
        <v>0</v>
      </c>
      <c r="L733">
        <v>0</v>
      </c>
    </row>
    <row r="734" spans="1:12">
      <c r="A734" s="93">
        <v>139746</v>
      </c>
      <c r="B734" t="s">
        <v>1334</v>
      </c>
      <c r="C734" t="s">
        <v>5606</v>
      </c>
      <c r="D734" s="92" t="s">
        <v>428</v>
      </c>
      <c r="E734" s="92" t="s">
        <v>428</v>
      </c>
      <c r="F734" t="s">
        <v>428</v>
      </c>
      <c r="G734" t="s">
        <v>428</v>
      </c>
      <c r="H734" t="s">
        <v>5615</v>
      </c>
      <c r="I734">
        <v>0</v>
      </c>
      <c r="J734" t="s">
        <v>87</v>
      </c>
      <c r="K734">
        <v>0</v>
      </c>
      <c r="L734">
        <v>0</v>
      </c>
    </row>
    <row r="735" spans="1:12">
      <c r="A735" s="93">
        <v>139755</v>
      </c>
      <c r="B735" t="s">
        <v>1335</v>
      </c>
      <c r="C735" t="s">
        <v>5612</v>
      </c>
      <c r="D735" s="92">
        <v>0.86</v>
      </c>
      <c r="E735" s="92">
        <v>0.82</v>
      </c>
      <c r="F735">
        <v>30</v>
      </c>
      <c r="G735">
        <v>32</v>
      </c>
      <c r="H735" t="s">
        <v>5620</v>
      </c>
      <c r="I735">
        <v>0</v>
      </c>
      <c r="J735" t="s">
        <v>87</v>
      </c>
      <c r="K735">
        <v>0</v>
      </c>
      <c r="L735">
        <v>0</v>
      </c>
    </row>
    <row r="736" spans="1:12">
      <c r="A736" s="93">
        <v>139764</v>
      </c>
      <c r="B736" t="s">
        <v>1336</v>
      </c>
      <c r="C736" t="s">
        <v>5602</v>
      </c>
      <c r="D736" s="92">
        <v>0.33</v>
      </c>
      <c r="E736" s="92">
        <v>0.29</v>
      </c>
      <c r="F736">
        <v>19</v>
      </c>
      <c r="G736">
        <v>21</v>
      </c>
      <c r="H736" t="s">
        <v>5615</v>
      </c>
      <c r="I736">
        <v>0</v>
      </c>
      <c r="J736" t="s">
        <v>87</v>
      </c>
      <c r="K736">
        <v>0</v>
      </c>
      <c r="L736">
        <v>0</v>
      </c>
    </row>
    <row r="737" spans="1:12">
      <c r="A737" s="93">
        <v>139861</v>
      </c>
      <c r="B737" t="s">
        <v>1337</v>
      </c>
      <c r="C737" t="s">
        <v>5602</v>
      </c>
      <c r="D737" s="92">
        <v>0.59</v>
      </c>
      <c r="E737" s="92">
        <v>0.5600000000000001</v>
      </c>
      <c r="F737">
        <v>22</v>
      </c>
      <c r="G737">
        <v>24</v>
      </c>
      <c r="H737" t="s">
        <v>5615</v>
      </c>
      <c r="I737">
        <v>0</v>
      </c>
      <c r="J737" t="s">
        <v>87</v>
      </c>
      <c r="K737">
        <v>0</v>
      </c>
      <c r="L737">
        <v>0</v>
      </c>
    </row>
    <row r="738" spans="1:12">
      <c r="A738" s="93">
        <v>139931</v>
      </c>
      <c r="B738" t="s">
        <v>1338</v>
      </c>
      <c r="C738" t="s">
        <v>5602</v>
      </c>
      <c r="D738" s="92">
        <v>0.51</v>
      </c>
      <c r="E738" s="92">
        <v>0.48</v>
      </c>
      <c r="F738">
        <v>22</v>
      </c>
      <c r="G738">
        <v>24</v>
      </c>
      <c r="H738" t="s">
        <v>5615</v>
      </c>
      <c r="I738">
        <v>0</v>
      </c>
      <c r="J738" t="s">
        <v>87</v>
      </c>
      <c r="K738">
        <v>0</v>
      </c>
      <c r="L738">
        <v>0</v>
      </c>
    </row>
    <row r="739" spans="1:12">
      <c r="A739" s="93">
        <v>139940</v>
      </c>
      <c r="B739" t="s">
        <v>1339</v>
      </c>
      <c r="C739" t="s">
        <v>5603</v>
      </c>
      <c r="D739" s="92">
        <v>0.53</v>
      </c>
      <c r="E739" s="92">
        <v>0.5600000000000001</v>
      </c>
      <c r="F739">
        <v>20</v>
      </c>
      <c r="G739">
        <v>23</v>
      </c>
      <c r="H739" t="s">
        <v>5616</v>
      </c>
      <c r="I739">
        <v>0</v>
      </c>
      <c r="J739" t="s">
        <v>87</v>
      </c>
      <c r="K739">
        <v>0</v>
      </c>
      <c r="L739">
        <v>0</v>
      </c>
    </row>
    <row r="740" spans="1:12">
      <c r="A740" s="93">
        <v>139959</v>
      </c>
      <c r="B740" t="s">
        <v>1340</v>
      </c>
      <c r="C740" t="s">
        <v>5605</v>
      </c>
      <c r="D740" s="92">
        <v>0.84</v>
      </c>
      <c r="E740" s="92">
        <v>0.82</v>
      </c>
      <c r="F740">
        <v>26</v>
      </c>
      <c r="G740">
        <v>28.5</v>
      </c>
      <c r="H740" t="s">
        <v>5615</v>
      </c>
      <c r="I740">
        <v>0</v>
      </c>
      <c r="J740" t="s">
        <v>87</v>
      </c>
      <c r="K740">
        <v>0</v>
      </c>
      <c r="L740">
        <v>0</v>
      </c>
    </row>
    <row r="741" spans="1:12">
      <c r="A741" s="93">
        <v>139968</v>
      </c>
      <c r="B741" t="s">
        <v>1341</v>
      </c>
      <c r="C741" t="s">
        <v>5604</v>
      </c>
      <c r="D741" s="92">
        <v>0.5</v>
      </c>
      <c r="E741" s="92" t="s">
        <v>428</v>
      </c>
      <c r="F741">
        <v>15</v>
      </c>
      <c r="G741">
        <v>17.5</v>
      </c>
      <c r="H741" t="s">
        <v>5615</v>
      </c>
      <c r="I741">
        <v>0</v>
      </c>
      <c r="J741" t="s">
        <v>87</v>
      </c>
      <c r="K741">
        <v>0</v>
      </c>
      <c r="L741">
        <v>0</v>
      </c>
    </row>
    <row r="742" spans="1:12">
      <c r="A742" s="93">
        <v>139986</v>
      </c>
      <c r="B742" t="s">
        <v>1342</v>
      </c>
      <c r="C742" t="s">
        <v>5606</v>
      </c>
      <c r="D742" s="92" t="s">
        <v>428</v>
      </c>
      <c r="E742" s="92" t="s">
        <v>428</v>
      </c>
      <c r="F742" t="s">
        <v>428</v>
      </c>
      <c r="G742" t="s">
        <v>428</v>
      </c>
      <c r="H742" t="s">
        <v>5615</v>
      </c>
      <c r="I742">
        <v>0</v>
      </c>
      <c r="J742" t="s">
        <v>87</v>
      </c>
      <c r="K742">
        <v>0</v>
      </c>
      <c r="L742">
        <v>0</v>
      </c>
    </row>
    <row r="743" spans="1:12">
      <c r="A743" s="93">
        <v>139995</v>
      </c>
      <c r="B743" t="s">
        <v>1343</v>
      </c>
      <c r="C743" t="s">
        <v>5606</v>
      </c>
      <c r="D743" s="92" t="s">
        <v>428</v>
      </c>
      <c r="E743" s="92" t="s">
        <v>428</v>
      </c>
      <c r="F743" t="s">
        <v>428</v>
      </c>
      <c r="G743" t="s">
        <v>428</v>
      </c>
      <c r="H743" t="s">
        <v>5617</v>
      </c>
      <c r="I743">
        <v>0</v>
      </c>
      <c r="J743" t="s">
        <v>87</v>
      </c>
      <c r="K743">
        <v>0</v>
      </c>
      <c r="L743">
        <v>0</v>
      </c>
    </row>
    <row r="744" spans="1:12">
      <c r="A744" s="93">
        <v>140003</v>
      </c>
      <c r="B744" t="s">
        <v>1344</v>
      </c>
      <c r="C744" t="s">
        <v>5606</v>
      </c>
      <c r="D744" s="92">
        <v>0.6</v>
      </c>
      <c r="E744" s="92">
        <v>0.53</v>
      </c>
      <c r="F744" t="s">
        <v>428</v>
      </c>
      <c r="G744" t="s">
        <v>428</v>
      </c>
      <c r="H744" t="s">
        <v>5617</v>
      </c>
      <c r="I744">
        <v>0</v>
      </c>
      <c r="J744" t="s">
        <v>87</v>
      </c>
      <c r="K744">
        <v>0</v>
      </c>
      <c r="L744">
        <v>0</v>
      </c>
    </row>
    <row r="745" spans="1:12">
      <c r="A745" s="93">
        <v>140012</v>
      </c>
      <c r="B745" t="s">
        <v>1345</v>
      </c>
      <c r="C745" t="s">
        <v>5606</v>
      </c>
      <c r="D745" s="92" t="s">
        <v>428</v>
      </c>
      <c r="E745" s="92" t="s">
        <v>428</v>
      </c>
      <c r="F745" t="s">
        <v>428</v>
      </c>
      <c r="G745" t="s">
        <v>428</v>
      </c>
      <c r="H745" t="s">
        <v>5615</v>
      </c>
      <c r="I745">
        <v>0</v>
      </c>
      <c r="J745" t="s">
        <v>87</v>
      </c>
      <c r="K745">
        <v>0</v>
      </c>
      <c r="L745">
        <v>0</v>
      </c>
    </row>
    <row r="746" spans="1:12">
      <c r="A746" s="93">
        <v>140146</v>
      </c>
      <c r="B746" t="s">
        <v>1346</v>
      </c>
      <c r="C746" t="s">
        <v>5607</v>
      </c>
      <c r="D746" s="92" t="s">
        <v>428</v>
      </c>
      <c r="E746" s="92" t="s">
        <v>428</v>
      </c>
      <c r="F746" t="s">
        <v>428</v>
      </c>
      <c r="G746" t="s">
        <v>428</v>
      </c>
      <c r="H746" t="s">
        <v>5615</v>
      </c>
      <c r="I746">
        <v>0</v>
      </c>
      <c r="J746" t="s">
        <v>87</v>
      </c>
      <c r="K746">
        <v>0</v>
      </c>
      <c r="L746">
        <v>0</v>
      </c>
    </row>
    <row r="747" spans="1:12">
      <c r="A747" s="93">
        <v>140234</v>
      </c>
      <c r="B747" t="s">
        <v>1347</v>
      </c>
      <c r="C747" t="s">
        <v>5602</v>
      </c>
      <c r="D747" s="92">
        <v>0.49</v>
      </c>
      <c r="E747" s="92">
        <v>0.43</v>
      </c>
      <c r="F747">
        <v>20</v>
      </c>
      <c r="G747">
        <v>22</v>
      </c>
      <c r="H747" t="s">
        <v>5617</v>
      </c>
      <c r="I747">
        <v>0</v>
      </c>
      <c r="J747" t="s">
        <v>87</v>
      </c>
      <c r="K747">
        <v>0</v>
      </c>
      <c r="L747">
        <v>0</v>
      </c>
    </row>
    <row r="748" spans="1:12">
      <c r="A748" s="93">
        <v>140243</v>
      </c>
      <c r="B748" t="s">
        <v>1348</v>
      </c>
      <c r="C748" t="s">
        <v>5606</v>
      </c>
      <c r="D748" s="92" t="s">
        <v>428</v>
      </c>
      <c r="E748" s="92" t="s">
        <v>428</v>
      </c>
      <c r="F748" t="s">
        <v>428</v>
      </c>
      <c r="G748" t="s">
        <v>428</v>
      </c>
      <c r="H748" t="s">
        <v>5615</v>
      </c>
      <c r="I748">
        <v>0</v>
      </c>
      <c r="J748" t="s">
        <v>87</v>
      </c>
      <c r="K748">
        <v>0</v>
      </c>
      <c r="L748">
        <v>0</v>
      </c>
    </row>
    <row r="749" spans="1:12">
      <c r="A749" s="93">
        <v>140252</v>
      </c>
      <c r="B749" t="s">
        <v>1349</v>
      </c>
      <c r="C749" t="s">
        <v>5604</v>
      </c>
      <c r="D749" s="92">
        <v>0.25</v>
      </c>
      <c r="E749" s="92">
        <v>0.24</v>
      </c>
      <c r="F749">
        <v>17</v>
      </c>
      <c r="G749">
        <v>19.5</v>
      </c>
      <c r="H749" t="s">
        <v>5617</v>
      </c>
      <c r="I749">
        <v>0</v>
      </c>
      <c r="J749" t="s">
        <v>87</v>
      </c>
      <c r="K749">
        <v>0</v>
      </c>
      <c r="L749">
        <v>0</v>
      </c>
    </row>
    <row r="750" spans="1:12">
      <c r="A750" s="93">
        <v>140331</v>
      </c>
      <c r="B750" t="s">
        <v>1350</v>
      </c>
      <c r="C750" t="s">
        <v>5606</v>
      </c>
      <c r="D750" s="92" t="s">
        <v>428</v>
      </c>
      <c r="E750" s="92" t="s">
        <v>428</v>
      </c>
      <c r="F750" t="s">
        <v>428</v>
      </c>
      <c r="G750" t="s">
        <v>428</v>
      </c>
      <c r="H750" t="s">
        <v>5615</v>
      </c>
      <c r="I750">
        <v>0</v>
      </c>
      <c r="J750" t="s">
        <v>87</v>
      </c>
      <c r="K750">
        <v>0</v>
      </c>
      <c r="L750">
        <v>0</v>
      </c>
    </row>
    <row r="751" spans="1:12">
      <c r="A751" s="93">
        <v>140340</v>
      </c>
      <c r="B751" t="s">
        <v>1351</v>
      </c>
      <c r="C751" t="s">
        <v>5607</v>
      </c>
      <c r="D751" s="92">
        <v>0.19</v>
      </c>
      <c r="E751" s="92">
        <v>0.18</v>
      </c>
      <c r="F751" t="s">
        <v>428</v>
      </c>
      <c r="G751" t="s">
        <v>428</v>
      </c>
      <c r="H751" t="s">
        <v>5617</v>
      </c>
      <c r="I751">
        <v>0</v>
      </c>
      <c r="J751" t="s">
        <v>87</v>
      </c>
      <c r="K751">
        <v>0</v>
      </c>
      <c r="L751">
        <v>0</v>
      </c>
    </row>
    <row r="752" spans="1:12">
      <c r="A752" s="93">
        <v>140447</v>
      </c>
      <c r="B752" t="s">
        <v>1352</v>
      </c>
      <c r="C752" t="s">
        <v>5603</v>
      </c>
      <c r="D752" s="92">
        <v>0.63</v>
      </c>
      <c r="E752" s="92">
        <v>0.5600000000000001</v>
      </c>
      <c r="F752">
        <v>25</v>
      </c>
      <c r="G752">
        <v>27</v>
      </c>
      <c r="H752" t="s">
        <v>5617</v>
      </c>
      <c r="I752">
        <v>0</v>
      </c>
      <c r="J752" t="s">
        <v>87</v>
      </c>
      <c r="K752">
        <v>0</v>
      </c>
      <c r="L752">
        <v>0</v>
      </c>
    </row>
    <row r="753" spans="1:12">
      <c r="A753" s="93">
        <v>140553</v>
      </c>
      <c r="B753" t="s">
        <v>1353</v>
      </c>
      <c r="C753" t="s">
        <v>5602</v>
      </c>
      <c r="D753" s="92">
        <v>0.5</v>
      </c>
      <c r="E753" s="92">
        <v>0.65</v>
      </c>
      <c r="F753">
        <v>19</v>
      </c>
      <c r="G753">
        <v>21.5</v>
      </c>
      <c r="H753" t="s">
        <v>5625</v>
      </c>
      <c r="I753">
        <v>0</v>
      </c>
      <c r="J753" t="s">
        <v>138</v>
      </c>
      <c r="K753">
        <v>0</v>
      </c>
      <c r="L753">
        <v>0</v>
      </c>
    </row>
    <row r="754" spans="1:12">
      <c r="A754" s="93">
        <v>140562</v>
      </c>
      <c r="B754" t="s">
        <v>1354</v>
      </c>
      <c r="C754" t="s">
        <v>5607</v>
      </c>
      <c r="D754" s="92" t="s">
        <v>428</v>
      </c>
      <c r="E754" s="92" t="s">
        <v>428</v>
      </c>
      <c r="F754" t="s">
        <v>428</v>
      </c>
      <c r="G754" t="s">
        <v>428</v>
      </c>
      <c r="H754" t="s">
        <v>5615</v>
      </c>
      <c r="I754">
        <v>0</v>
      </c>
      <c r="J754" t="s">
        <v>87</v>
      </c>
      <c r="K754">
        <v>0</v>
      </c>
      <c r="L754">
        <v>0</v>
      </c>
    </row>
    <row r="755" spans="1:12">
      <c r="A755" s="93">
        <v>140678</v>
      </c>
      <c r="B755" t="s">
        <v>1355</v>
      </c>
      <c r="C755" t="s">
        <v>5606</v>
      </c>
      <c r="D755" s="92" t="s">
        <v>428</v>
      </c>
      <c r="E755" s="92" t="s">
        <v>428</v>
      </c>
      <c r="F755" t="s">
        <v>428</v>
      </c>
      <c r="G755" t="s">
        <v>428</v>
      </c>
      <c r="H755" t="s">
        <v>5615</v>
      </c>
      <c r="I755">
        <v>0</v>
      </c>
      <c r="J755" t="s">
        <v>87</v>
      </c>
      <c r="K755">
        <v>0</v>
      </c>
      <c r="L755">
        <v>0</v>
      </c>
    </row>
    <row r="756" spans="1:12">
      <c r="A756" s="93">
        <v>140696</v>
      </c>
      <c r="B756" t="s">
        <v>1356</v>
      </c>
      <c r="C756" t="s">
        <v>5602</v>
      </c>
      <c r="D756" s="92">
        <v>0.5</v>
      </c>
      <c r="E756" s="92">
        <v>0.47</v>
      </c>
      <c r="F756">
        <v>22</v>
      </c>
      <c r="G756">
        <v>24.5</v>
      </c>
      <c r="H756" t="s">
        <v>5617</v>
      </c>
      <c r="I756">
        <v>0</v>
      </c>
      <c r="J756" t="s">
        <v>87</v>
      </c>
      <c r="K756">
        <v>0</v>
      </c>
      <c r="L756">
        <v>0</v>
      </c>
    </row>
    <row r="757" spans="1:12">
      <c r="A757" s="93">
        <v>140720</v>
      </c>
      <c r="B757" t="s">
        <v>1357</v>
      </c>
      <c r="C757" t="s">
        <v>5608</v>
      </c>
      <c r="D757" s="92">
        <v>0.2</v>
      </c>
      <c r="E757" s="92">
        <v>0.35</v>
      </c>
      <c r="F757">
        <v>14</v>
      </c>
      <c r="G757">
        <v>15.5</v>
      </c>
      <c r="H757" t="s">
        <v>5617</v>
      </c>
      <c r="I757">
        <v>0</v>
      </c>
      <c r="J757" t="s">
        <v>138</v>
      </c>
      <c r="K757">
        <v>0</v>
      </c>
      <c r="L757">
        <v>0</v>
      </c>
    </row>
    <row r="758" spans="1:12">
      <c r="A758" s="93">
        <v>140818</v>
      </c>
      <c r="B758" t="s">
        <v>1358</v>
      </c>
      <c r="C758" t="s">
        <v>5602</v>
      </c>
      <c r="D758" s="92">
        <v>0.48</v>
      </c>
      <c r="E758" s="92">
        <v>0.4</v>
      </c>
      <c r="F758">
        <v>19</v>
      </c>
      <c r="G758">
        <v>21.5</v>
      </c>
      <c r="H758" t="s">
        <v>5617</v>
      </c>
      <c r="I758">
        <v>0</v>
      </c>
      <c r="J758" t="s">
        <v>87</v>
      </c>
      <c r="K758">
        <v>0</v>
      </c>
      <c r="L758">
        <v>0</v>
      </c>
    </row>
    <row r="759" spans="1:12">
      <c r="A759" s="93">
        <v>140827</v>
      </c>
      <c r="B759" t="s">
        <v>1359</v>
      </c>
      <c r="C759" t="s">
        <v>5606</v>
      </c>
      <c r="D759" s="92" t="s">
        <v>428</v>
      </c>
      <c r="E759" s="92" t="s">
        <v>428</v>
      </c>
      <c r="F759" t="s">
        <v>428</v>
      </c>
      <c r="G759" t="s">
        <v>428</v>
      </c>
      <c r="H759" t="s">
        <v>5615</v>
      </c>
      <c r="I759">
        <v>0</v>
      </c>
      <c r="J759" t="s">
        <v>87</v>
      </c>
      <c r="K759">
        <v>0</v>
      </c>
      <c r="L759">
        <v>0</v>
      </c>
    </row>
    <row r="760" spans="1:12">
      <c r="A760" s="93">
        <v>140872</v>
      </c>
      <c r="B760" t="s">
        <v>1360</v>
      </c>
      <c r="C760" t="s">
        <v>5602</v>
      </c>
      <c r="D760" s="92">
        <v>0.35</v>
      </c>
      <c r="E760" s="92">
        <v>0.3</v>
      </c>
      <c r="F760">
        <v>18</v>
      </c>
      <c r="G760">
        <v>20.5</v>
      </c>
      <c r="H760" t="s">
        <v>5617</v>
      </c>
      <c r="I760">
        <v>0</v>
      </c>
      <c r="J760" t="s">
        <v>87</v>
      </c>
      <c r="K760">
        <v>0</v>
      </c>
      <c r="L760">
        <v>0</v>
      </c>
    </row>
    <row r="761" spans="1:12">
      <c r="A761" s="93">
        <v>140942</v>
      </c>
      <c r="B761" t="s">
        <v>1361</v>
      </c>
      <c r="C761" t="s">
        <v>5606</v>
      </c>
      <c r="D761" s="92" t="s">
        <v>428</v>
      </c>
      <c r="E761" s="92" t="s">
        <v>428</v>
      </c>
      <c r="F761" t="s">
        <v>428</v>
      </c>
      <c r="G761" t="s">
        <v>428</v>
      </c>
      <c r="H761" t="s">
        <v>5615</v>
      </c>
      <c r="I761">
        <v>0</v>
      </c>
      <c r="J761" t="s">
        <v>87</v>
      </c>
      <c r="K761">
        <v>0</v>
      </c>
      <c r="L761">
        <v>0</v>
      </c>
    </row>
    <row r="762" spans="1:12">
      <c r="A762" s="93">
        <v>140951</v>
      </c>
      <c r="B762" t="s">
        <v>1362</v>
      </c>
      <c r="C762" t="s">
        <v>5602</v>
      </c>
      <c r="D762" s="92">
        <v>0.67</v>
      </c>
      <c r="E762" s="92">
        <v>0.55</v>
      </c>
      <c r="F762">
        <v>21</v>
      </c>
      <c r="G762">
        <v>24</v>
      </c>
      <c r="H762" t="s">
        <v>5617</v>
      </c>
      <c r="I762">
        <v>0</v>
      </c>
      <c r="J762" t="s">
        <v>87</v>
      </c>
      <c r="K762">
        <v>0</v>
      </c>
      <c r="L762">
        <v>0</v>
      </c>
    </row>
    <row r="763" spans="1:12">
      <c r="A763" s="93">
        <v>140960</v>
      </c>
      <c r="B763" t="s">
        <v>1363</v>
      </c>
      <c r="C763" t="s">
        <v>5602</v>
      </c>
      <c r="D763" s="92">
        <v>0.27</v>
      </c>
      <c r="E763" s="92">
        <v>0.42</v>
      </c>
      <c r="F763">
        <v>16</v>
      </c>
      <c r="G763">
        <v>17</v>
      </c>
      <c r="H763" t="s">
        <v>5615</v>
      </c>
      <c r="I763">
        <v>0</v>
      </c>
      <c r="J763" t="s">
        <v>138</v>
      </c>
      <c r="K763">
        <v>0</v>
      </c>
      <c r="L763">
        <v>0</v>
      </c>
    </row>
    <row r="764" spans="1:12">
      <c r="A764" s="93">
        <v>140988</v>
      </c>
      <c r="B764" t="s">
        <v>1364</v>
      </c>
      <c r="C764" t="s">
        <v>5608</v>
      </c>
      <c r="D764" s="92">
        <v>0.42</v>
      </c>
      <c r="E764" s="92">
        <v>0.3</v>
      </c>
      <c r="F764">
        <v>18</v>
      </c>
      <c r="G764">
        <v>20.5</v>
      </c>
      <c r="H764" t="s">
        <v>5617</v>
      </c>
      <c r="I764">
        <v>0</v>
      </c>
      <c r="J764" t="s">
        <v>87</v>
      </c>
      <c r="K764">
        <v>0</v>
      </c>
      <c r="L764">
        <v>0</v>
      </c>
    </row>
    <row r="765" spans="1:12">
      <c r="A765" s="93">
        <v>141006</v>
      </c>
      <c r="B765" t="s">
        <v>1365</v>
      </c>
      <c r="C765" t="s">
        <v>5606</v>
      </c>
      <c r="D765" s="92" t="s">
        <v>428</v>
      </c>
      <c r="E765" s="92" t="s">
        <v>428</v>
      </c>
      <c r="F765" t="s">
        <v>428</v>
      </c>
      <c r="G765" t="s">
        <v>428</v>
      </c>
      <c r="H765" t="s">
        <v>5615</v>
      </c>
      <c r="I765">
        <v>0</v>
      </c>
      <c r="J765" t="s">
        <v>87</v>
      </c>
      <c r="K765">
        <v>0</v>
      </c>
      <c r="L765">
        <v>0</v>
      </c>
    </row>
    <row r="766" spans="1:12">
      <c r="A766" s="93">
        <v>141015</v>
      </c>
      <c r="B766" t="s">
        <v>1366</v>
      </c>
      <c r="C766" t="s">
        <v>5606</v>
      </c>
      <c r="D766" s="92" t="s">
        <v>428</v>
      </c>
      <c r="E766" s="92" t="s">
        <v>428</v>
      </c>
      <c r="F766" t="s">
        <v>428</v>
      </c>
      <c r="G766" t="s">
        <v>428</v>
      </c>
      <c r="H766" t="s">
        <v>5617</v>
      </c>
      <c r="I766">
        <v>0</v>
      </c>
      <c r="J766" t="s">
        <v>87</v>
      </c>
      <c r="K766">
        <v>0</v>
      </c>
      <c r="L766">
        <v>0</v>
      </c>
    </row>
    <row r="767" spans="1:12">
      <c r="A767" s="93">
        <v>141060</v>
      </c>
      <c r="B767" t="s">
        <v>1367</v>
      </c>
      <c r="C767" t="s">
        <v>5602</v>
      </c>
      <c r="D767" s="92">
        <v>0.77</v>
      </c>
      <c r="E767" s="92">
        <v>0.89</v>
      </c>
      <c r="F767">
        <v>22</v>
      </c>
      <c r="G767">
        <v>24</v>
      </c>
      <c r="H767" t="s">
        <v>5617</v>
      </c>
      <c r="I767">
        <v>0</v>
      </c>
      <c r="J767" t="s">
        <v>138</v>
      </c>
      <c r="K767">
        <v>0</v>
      </c>
      <c r="L767">
        <v>0</v>
      </c>
    </row>
    <row r="768" spans="1:12">
      <c r="A768" s="93">
        <v>141167</v>
      </c>
      <c r="B768" t="s">
        <v>1368</v>
      </c>
      <c r="C768" t="s">
        <v>5608</v>
      </c>
      <c r="D768" s="92">
        <v>0.23</v>
      </c>
      <c r="E768" s="92">
        <v>0.11</v>
      </c>
      <c r="F768" t="s">
        <v>428</v>
      </c>
      <c r="G768" t="s">
        <v>428</v>
      </c>
      <c r="H768" t="s">
        <v>5617</v>
      </c>
      <c r="I768">
        <v>0</v>
      </c>
      <c r="J768" t="s">
        <v>87</v>
      </c>
      <c r="K768">
        <v>0</v>
      </c>
      <c r="L768">
        <v>0</v>
      </c>
    </row>
    <row r="769" spans="1:12">
      <c r="A769" s="93">
        <v>141185</v>
      </c>
      <c r="B769" t="s">
        <v>1369</v>
      </c>
      <c r="C769" t="s">
        <v>5602</v>
      </c>
      <c r="D769" s="92">
        <v>0.48</v>
      </c>
      <c r="E769" s="92">
        <v>0.28</v>
      </c>
      <c r="F769">
        <v>18</v>
      </c>
      <c r="G769">
        <v>20.5</v>
      </c>
      <c r="H769" t="s">
        <v>5617</v>
      </c>
      <c r="I769">
        <v>0</v>
      </c>
      <c r="J769" t="s">
        <v>87</v>
      </c>
      <c r="K769">
        <v>0</v>
      </c>
      <c r="L769">
        <v>0</v>
      </c>
    </row>
    <row r="770" spans="1:12">
      <c r="A770" s="93">
        <v>141237</v>
      </c>
      <c r="B770" t="s">
        <v>1370</v>
      </c>
      <c r="C770" t="s">
        <v>5604</v>
      </c>
      <c r="D770" s="92">
        <v>0.29</v>
      </c>
      <c r="E770" s="92">
        <v>0.05</v>
      </c>
      <c r="F770">
        <v>18</v>
      </c>
      <c r="G770">
        <v>20</v>
      </c>
      <c r="H770" t="s">
        <v>5617</v>
      </c>
      <c r="I770">
        <v>0</v>
      </c>
      <c r="J770" t="s">
        <v>87</v>
      </c>
      <c r="K770">
        <v>0</v>
      </c>
      <c r="L770">
        <v>0</v>
      </c>
    </row>
    <row r="771" spans="1:12">
      <c r="A771" s="93">
        <v>141255</v>
      </c>
      <c r="B771" t="s">
        <v>1371</v>
      </c>
      <c r="C771" t="s">
        <v>5606</v>
      </c>
      <c r="D771" s="92" t="s">
        <v>428</v>
      </c>
      <c r="E771" s="92" t="s">
        <v>428</v>
      </c>
      <c r="F771" t="s">
        <v>428</v>
      </c>
      <c r="G771" t="s">
        <v>428</v>
      </c>
      <c r="H771" t="s">
        <v>5615</v>
      </c>
      <c r="I771">
        <v>0</v>
      </c>
      <c r="J771" t="s">
        <v>87</v>
      </c>
      <c r="K771">
        <v>0</v>
      </c>
      <c r="L771">
        <v>0</v>
      </c>
    </row>
    <row r="772" spans="1:12">
      <c r="A772" s="93">
        <v>141264</v>
      </c>
      <c r="B772" t="s">
        <v>1372</v>
      </c>
      <c r="C772" t="s">
        <v>5602</v>
      </c>
      <c r="D772" s="92">
        <v>0.36</v>
      </c>
      <c r="E772" s="92">
        <v>0.33</v>
      </c>
      <c r="F772">
        <v>19</v>
      </c>
      <c r="G772">
        <v>21</v>
      </c>
      <c r="H772" t="s">
        <v>5615</v>
      </c>
      <c r="I772">
        <v>0</v>
      </c>
      <c r="J772" t="s">
        <v>87</v>
      </c>
      <c r="K772">
        <v>0</v>
      </c>
      <c r="L772">
        <v>0</v>
      </c>
    </row>
    <row r="773" spans="1:12">
      <c r="A773" s="93">
        <v>141325</v>
      </c>
      <c r="B773" t="s">
        <v>1373</v>
      </c>
      <c r="C773" t="s">
        <v>5602</v>
      </c>
      <c r="D773" s="92">
        <v>0.55</v>
      </c>
      <c r="E773" s="92">
        <v>0.46</v>
      </c>
      <c r="F773">
        <v>19</v>
      </c>
      <c r="G773">
        <v>22.5</v>
      </c>
      <c r="H773" t="s">
        <v>5616</v>
      </c>
      <c r="I773">
        <v>0</v>
      </c>
      <c r="J773" t="s">
        <v>87</v>
      </c>
      <c r="K773">
        <v>0</v>
      </c>
      <c r="L773">
        <v>0</v>
      </c>
    </row>
    <row r="774" spans="1:12">
      <c r="A774" s="93">
        <v>141334</v>
      </c>
      <c r="B774" t="s">
        <v>1374</v>
      </c>
      <c r="C774" t="s">
        <v>5608</v>
      </c>
      <c r="D774" s="92">
        <v>0.41</v>
      </c>
      <c r="E774" s="92">
        <v>0.43</v>
      </c>
      <c r="F774">
        <v>18</v>
      </c>
      <c r="G774">
        <v>20</v>
      </c>
      <c r="H774" t="s">
        <v>5615</v>
      </c>
      <c r="I774">
        <v>0</v>
      </c>
      <c r="J774" t="s">
        <v>87</v>
      </c>
      <c r="K774">
        <v>0</v>
      </c>
      <c r="L774">
        <v>0</v>
      </c>
    </row>
    <row r="775" spans="1:12">
      <c r="A775" s="93">
        <v>141361</v>
      </c>
      <c r="B775" t="s">
        <v>1375</v>
      </c>
      <c r="C775" t="s">
        <v>5602</v>
      </c>
      <c r="D775" s="92">
        <v>0.5</v>
      </c>
      <c r="E775" s="92">
        <v>0.57</v>
      </c>
      <c r="F775">
        <v>18</v>
      </c>
      <c r="G775">
        <v>21.5</v>
      </c>
      <c r="H775" t="s">
        <v>5617</v>
      </c>
      <c r="I775">
        <v>0</v>
      </c>
      <c r="J775" t="s">
        <v>87</v>
      </c>
      <c r="K775">
        <v>0</v>
      </c>
      <c r="L775">
        <v>0</v>
      </c>
    </row>
    <row r="776" spans="1:12">
      <c r="A776" s="93">
        <v>141486</v>
      </c>
      <c r="B776" t="s">
        <v>1376</v>
      </c>
      <c r="C776" t="s">
        <v>5602</v>
      </c>
      <c r="D776" s="92">
        <v>0.5</v>
      </c>
      <c r="E776" s="92">
        <v>0.42</v>
      </c>
      <c r="F776">
        <v>19</v>
      </c>
      <c r="G776">
        <v>21</v>
      </c>
      <c r="H776" t="s">
        <v>5616</v>
      </c>
      <c r="I776">
        <v>0</v>
      </c>
      <c r="J776" t="s">
        <v>87</v>
      </c>
      <c r="K776">
        <v>0</v>
      </c>
      <c r="L776">
        <v>0</v>
      </c>
    </row>
    <row r="777" spans="1:12">
      <c r="A777" s="93">
        <v>141565</v>
      </c>
      <c r="B777" t="s">
        <v>1377</v>
      </c>
      <c r="C777" t="s">
        <v>5602</v>
      </c>
      <c r="D777" s="92">
        <v>0.38</v>
      </c>
      <c r="E777" s="92">
        <v>0.26</v>
      </c>
      <c r="F777">
        <v>18</v>
      </c>
      <c r="G777">
        <v>21</v>
      </c>
      <c r="H777" t="s">
        <v>5615</v>
      </c>
      <c r="I777">
        <v>0</v>
      </c>
      <c r="J777" t="s">
        <v>87</v>
      </c>
      <c r="K777">
        <v>0</v>
      </c>
      <c r="L777">
        <v>0</v>
      </c>
    </row>
    <row r="778" spans="1:12">
      <c r="A778" s="93">
        <v>141574</v>
      </c>
      <c r="B778" t="s">
        <v>1378</v>
      </c>
      <c r="C778" t="s">
        <v>5602</v>
      </c>
      <c r="D778" s="92">
        <v>0.58</v>
      </c>
      <c r="E778" s="92">
        <v>0.39</v>
      </c>
      <c r="F778">
        <v>20</v>
      </c>
      <c r="G778">
        <v>23</v>
      </c>
      <c r="H778" t="s">
        <v>5615</v>
      </c>
      <c r="I778">
        <v>0</v>
      </c>
      <c r="J778" t="s">
        <v>87</v>
      </c>
      <c r="K778">
        <v>0</v>
      </c>
      <c r="L778">
        <v>0</v>
      </c>
    </row>
    <row r="779" spans="1:12">
      <c r="A779" s="93">
        <v>141644</v>
      </c>
      <c r="B779" t="s">
        <v>1379</v>
      </c>
      <c r="C779" t="s">
        <v>5602</v>
      </c>
      <c r="D779" s="92">
        <v>0.44</v>
      </c>
      <c r="E779" s="92">
        <v>0.37</v>
      </c>
      <c r="F779" t="s">
        <v>428</v>
      </c>
      <c r="G779" t="s">
        <v>428</v>
      </c>
      <c r="H779" t="s">
        <v>5617</v>
      </c>
      <c r="I779">
        <v>0</v>
      </c>
      <c r="J779" t="s">
        <v>87</v>
      </c>
      <c r="K779">
        <v>0</v>
      </c>
      <c r="L779">
        <v>0</v>
      </c>
    </row>
    <row r="780" spans="1:12">
      <c r="A780" s="93">
        <v>141680</v>
      </c>
      <c r="B780" t="s">
        <v>1380</v>
      </c>
      <c r="C780" t="s">
        <v>5606</v>
      </c>
      <c r="D780" s="92">
        <v>0.27</v>
      </c>
      <c r="E780" s="92">
        <v>0.26</v>
      </c>
      <c r="F780" t="s">
        <v>428</v>
      </c>
      <c r="G780" t="s">
        <v>428</v>
      </c>
      <c r="H780" t="s">
        <v>5615</v>
      </c>
      <c r="I780">
        <v>0</v>
      </c>
      <c r="J780" t="s">
        <v>87</v>
      </c>
      <c r="K780">
        <v>0</v>
      </c>
      <c r="L780">
        <v>0</v>
      </c>
    </row>
    <row r="781" spans="1:12">
      <c r="A781" s="93">
        <v>141796</v>
      </c>
      <c r="B781" t="s">
        <v>1381</v>
      </c>
      <c r="C781" t="s">
        <v>5606</v>
      </c>
      <c r="D781" s="92">
        <v>0.27</v>
      </c>
      <c r="E781" s="92">
        <v>0.2</v>
      </c>
      <c r="F781" t="s">
        <v>428</v>
      </c>
      <c r="G781" t="s">
        <v>428</v>
      </c>
      <c r="H781" t="s">
        <v>5615</v>
      </c>
      <c r="I781">
        <v>0</v>
      </c>
      <c r="J781" t="s">
        <v>87</v>
      </c>
      <c r="K781">
        <v>0</v>
      </c>
      <c r="L781">
        <v>0</v>
      </c>
    </row>
    <row r="782" spans="1:12">
      <c r="A782" s="93">
        <v>141802</v>
      </c>
      <c r="B782" t="s">
        <v>1382</v>
      </c>
      <c r="C782" t="s">
        <v>5606</v>
      </c>
      <c r="D782" s="92">
        <v>0.27</v>
      </c>
      <c r="E782" s="92">
        <v>0.25</v>
      </c>
      <c r="F782" t="s">
        <v>428</v>
      </c>
      <c r="G782" t="s">
        <v>428</v>
      </c>
      <c r="H782" t="s">
        <v>5615</v>
      </c>
      <c r="I782">
        <v>0</v>
      </c>
      <c r="J782" t="s">
        <v>87</v>
      </c>
      <c r="K782">
        <v>0</v>
      </c>
      <c r="L782">
        <v>0</v>
      </c>
    </row>
    <row r="783" spans="1:12">
      <c r="A783" s="93">
        <v>141811</v>
      </c>
      <c r="B783" t="s">
        <v>1383</v>
      </c>
      <c r="C783" t="s">
        <v>5606</v>
      </c>
      <c r="D783" s="92">
        <v>0.24</v>
      </c>
      <c r="E783" s="92">
        <v>0.2</v>
      </c>
      <c r="F783" t="s">
        <v>428</v>
      </c>
      <c r="G783" t="s">
        <v>428</v>
      </c>
      <c r="H783" t="s">
        <v>5615</v>
      </c>
      <c r="I783">
        <v>0</v>
      </c>
      <c r="J783" t="s">
        <v>87</v>
      </c>
      <c r="K783">
        <v>0</v>
      </c>
      <c r="L783">
        <v>0</v>
      </c>
    </row>
    <row r="784" spans="1:12">
      <c r="A784" s="93">
        <v>141839</v>
      </c>
      <c r="B784" t="s">
        <v>1384</v>
      </c>
      <c r="C784" t="s">
        <v>5604</v>
      </c>
      <c r="D784" s="92" t="s">
        <v>428</v>
      </c>
      <c r="E784" s="92" t="s">
        <v>428</v>
      </c>
      <c r="F784" t="s">
        <v>428</v>
      </c>
      <c r="G784" t="s">
        <v>428</v>
      </c>
      <c r="H784" t="s">
        <v>5615</v>
      </c>
      <c r="I784">
        <v>0</v>
      </c>
      <c r="J784" t="s">
        <v>87</v>
      </c>
      <c r="K784">
        <v>0</v>
      </c>
      <c r="L784">
        <v>0</v>
      </c>
    </row>
    <row r="785" spans="1:12">
      <c r="A785" s="93">
        <v>141936</v>
      </c>
      <c r="B785" t="s">
        <v>1385</v>
      </c>
      <c r="C785" t="s">
        <v>5607</v>
      </c>
      <c r="D785" s="92" t="s">
        <v>428</v>
      </c>
      <c r="E785" s="92" t="s">
        <v>428</v>
      </c>
      <c r="F785" t="s">
        <v>428</v>
      </c>
      <c r="G785" t="s">
        <v>428</v>
      </c>
      <c r="H785" t="s">
        <v>5615</v>
      </c>
      <c r="I785">
        <v>0</v>
      </c>
      <c r="J785" t="s">
        <v>87</v>
      </c>
      <c r="K785">
        <v>0</v>
      </c>
      <c r="L785">
        <v>0</v>
      </c>
    </row>
    <row r="786" spans="1:12">
      <c r="A786" s="93">
        <v>141981</v>
      </c>
      <c r="B786" t="s">
        <v>1386</v>
      </c>
      <c r="C786" t="s">
        <v>5607</v>
      </c>
      <c r="D786" s="92">
        <v>0.27</v>
      </c>
      <c r="E786" s="92">
        <v>0.17</v>
      </c>
      <c r="F786" t="s">
        <v>428</v>
      </c>
      <c r="G786" t="s">
        <v>428</v>
      </c>
      <c r="H786" t="s">
        <v>5615</v>
      </c>
      <c r="I786">
        <v>0</v>
      </c>
      <c r="J786" t="s">
        <v>87</v>
      </c>
      <c r="K786">
        <v>0</v>
      </c>
      <c r="L786">
        <v>0</v>
      </c>
    </row>
    <row r="787" spans="1:12">
      <c r="A787" s="93">
        <v>141990</v>
      </c>
      <c r="B787" t="s">
        <v>1387</v>
      </c>
      <c r="C787" t="s">
        <v>5606</v>
      </c>
      <c r="D787" s="92">
        <v>0.24</v>
      </c>
      <c r="E787" s="92">
        <v>0.21</v>
      </c>
      <c r="F787" t="s">
        <v>428</v>
      </c>
      <c r="G787" t="s">
        <v>428</v>
      </c>
      <c r="H787" t="s">
        <v>5615</v>
      </c>
      <c r="I787">
        <v>0</v>
      </c>
      <c r="J787" t="s">
        <v>87</v>
      </c>
      <c r="K787">
        <v>0</v>
      </c>
      <c r="L787">
        <v>0</v>
      </c>
    </row>
    <row r="788" spans="1:12">
      <c r="A788" s="93">
        <v>142054</v>
      </c>
      <c r="B788" t="s">
        <v>1388</v>
      </c>
      <c r="C788" t="s">
        <v>5609</v>
      </c>
      <c r="D788" s="92">
        <v>0.59</v>
      </c>
      <c r="E788" s="92">
        <v>0.51</v>
      </c>
      <c r="F788" t="s">
        <v>428</v>
      </c>
      <c r="G788" t="s">
        <v>428</v>
      </c>
      <c r="H788" t="s">
        <v>5617</v>
      </c>
      <c r="I788">
        <v>0</v>
      </c>
      <c r="J788" t="s">
        <v>87</v>
      </c>
      <c r="K788">
        <v>0</v>
      </c>
      <c r="L788">
        <v>0</v>
      </c>
    </row>
    <row r="789" spans="1:12">
      <c r="A789" s="93">
        <v>142090</v>
      </c>
      <c r="B789" t="s">
        <v>1389</v>
      </c>
      <c r="C789" t="s">
        <v>5604</v>
      </c>
      <c r="D789" s="92">
        <v>0.46</v>
      </c>
      <c r="E789" s="92">
        <v>0</v>
      </c>
      <c r="F789">
        <v>17</v>
      </c>
      <c r="G789">
        <v>20.5</v>
      </c>
      <c r="H789" t="s">
        <v>5617</v>
      </c>
      <c r="I789">
        <v>0</v>
      </c>
      <c r="J789" t="s">
        <v>87</v>
      </c>
      <c r="K789">
        <v>0</v>
      </c>
      <c r="L789">
        <v>0</v>
      </c>
    </row>
    <row r="790" spans="1:12">
      <c r="A790" s="93">
        <v>142115</v>
      </c>
      <c r="B790" t="s">
        <v>1390</v>
      </c>
      <c r="C790" t="s">
        <v>5602</v>
      </c>
      <c r="D790" s="92">
        <v>0.39</v>
      </c>
      <c r="E790" s="92">
        <v>0.33</v>
      </c>
      <c r="F790">
        <v>20</v>
      </c>
      <c r="G790">
        <v>23</v>
      </c>
      <c r="H790" t="s">
        <v>5615</v>
      </c>
      <c r="I790">
        <v>0</v>
      </c>
      <c r="J790" t="s">
        <v>87</v>
      </c>
      <c r="K790">
        <v>0</v>
      </c>
      <c r="L790">
        <v>0</v>
      </c>
    </row>
    <row r="791" spans="1:12">
      <c r="A791" s="93">
        <v>142179</v>
      </c>
      <c r="B791" t="s">
        <v>1391</v>
      </c>
      <c r="C791" t="s">
        <v>5606</v>
      </c>
      <c r="D791" s="92" t="s">
        <v>428</v>
      </c>
      <c r="E791" s="92" t="s">
        <v>428</v>
      </c>
      <c r="F791" t="s">
        <v>428</v>
      </c>
      <c r="G791" t="s">
        <v>428</v>
      </c>
      <c r="H791" t="s">
        <v>5615</v>
      </c>
      <c r="I791">
        <v>0</v>
      </c>
      <c r="J791" t="s">
        <v>87</v>
      </c>
      <c r="K791">
        <v>0</v>
      </c>
      <c r="L791">
        <v>0</v>
      </c>
    </row>
    <row r="792" spans="1:12">
      <c r="A792" s="93">
        <v>142276</v>
      </c>
      <c r="B792" t="s">
        <v>1392</v>
      </c>
      <c r="C792" t="s">
        <v>5604</v>
      </c>
      <c r="D792" s="92">
        <v>0.29</v>
      </c>
      <c r="E792" s="92">
        <v>0.31</v>
      </c>
      <c r="F792" t="s">
        <v>428</v>
      </c>
      <c r="G792" t="s">
        <v>428</v>
      </c>
      <c r="H792" t="s">
        <v>5615</v>
      </c>
      <c r="I792">
        <v>0</v>
      </c>
      <c r="J792" t="s">
        <v>87</v>
      </c>
      <c r="K792">
        <v>0</v>
      </c>
      <c r="L792">
        <v>0</v>
      </c>
    </row>
    <row r="793" spans="1:12">
      <c r="A793" s="93">
        <v>142285</v>
      </c>
      <c r="B793" t="s">
        <v>1393</v>
      </c>
      <c r="C793" t="s">
        <v>5602</v>
      </c>
      <c r="D793" s="92">
        <v>0.5600000000000001</v>
      </c>
      <c r="E793" s="92">
        <v>0.45</v>
      </c>
      <c r="F793">
        <v>21</v>
      </c>
      <c r="G793">
        <v>24</v>
      </c>
      <c r="H793" t="s">
        <v>5615</v>
      </c>
      <c r="I793">
        <v>0</v>
      </c>
      <c r="J793" t="s">
        <v>87</v>
      </c>
      <c r="K793">
        <v>0</v>
      </c>
      <c r="L793">
        <v>0</v>
      </c>
    </row>
    <row r="794" spans="1:12">
      <c r="A794" s="93">
        <v>142294</v>
      </c>
      <c r="B794" t="s">
        <v>1394</v>
      </c>
      <c r="C794" t="s">
        <v>5602</v>
      </c>
      <c r="D794" s="92">
        <v>0.61</v>
      </c>
      <c r="E794" s="92">
        <v>0.59</v>
      </c>
      <c r="F794" t="s">
        <v>428</v>
      </c>
      <c r="G794" t="s">
        <v>428</v>
      </c>
      <c r="H794" t="s">
        <v>5617</v>
      </c>
      <c r="I794">
        <v>0</v>
      </c>
      <c r="J794" t="s">
        <v>87</v>
      </c>
      <c r="K794">
        <v>0</v>
      </c>
      <c r="L794">
        <v>0</v>
      </c>
    </row>
    <row r="795" spans="1:12">
      <c r="A795" s="93">
        <v>142328</v>
      </c>
      <c r="B795" t="s">
        <v>1395</v>
      </c>
      <c r="C795" t="s">
        <v>5602</v>
      </c>
      <c r="D795" s="92">
        <v>0.23</v>
      </c>
      <c r="E795" s="92">
        <v>0.2</v>
      </c>
      <c r="F795">
        <v>18</v>
      </c>
      <c r="G795">
        <v>20.5</v>
      </c>
      <c r="H795" t="s">
        <v>5615</v>
      </c>
      <c r="I795">
        <v>0</v>
      </c>
      <c r="J795" t="s">
        <v>87</v>
      </c>
      <c r="K795">
        <v>0</v>
      </c>
      <c r="L795">
        <v>0</v>
      </c>
    </row>
    <row r="796" spans="1:12">
      <c r="A796" s="93">
        <v>142337</v>
      </c>
      <c r="B796" t="s">
        <v>1396</v>
      </c>
      <c r="C796" t="s">
        <v>5607</v>
      </c>
      <c r="D796" s="92" t="s">
        <v>428</v>
      </c>
      <c r="E796" s="92" t="s">
        <v>428</v>
      </c>
      <c r="F796" t="s">
        <v>428</v>
      </c>
      <c r="G796" t="s">
        <v>428</v>
      </c>
      <c r="H796" t="s">
        <v>5617</v>
      </c>
      <c r="I796">
        <v>0</v>
      </c>
      <c r="J796" t="s">
        <v>87</v>
      </c>
      <c r="K796">
        <v>0</v>
      </c>
      <c r="L796">
        <v>0</v>
      </c>
    </row>
    <row r="797" spans="1:12">
      <c r="A797" s="93">
        <v>142407</v>
      </c>
      <c r="B797" t="s">
        <v>1397</v>
      </c>
      <c r="C797" t="s">
        <v>5606</v>
      </c>
      <c r="D797" s="92" t="s">
        <v>428</v>
      </c>
      <c r="E797" s="92" t="s">
        <v>428</v>
      </c>
      <c r="F797" t="s">
        <v>428</v>
      </c>
      <c r="G797" t="s">
        <v>428</v>
      </c>
      <c r="H797" t="s">
        <v>5616</v>
      </c>
      <c r="I797">
        <v>0</v>
      </c>
      <c r="J797" t="s">
        <v>87</v>
      </c>
      <c r="K797">
        <v>0</v>
      </c>
      <c r="L797">
        <v>0</v>
      </c>
    </row>
    <row r="798" spans="1:12">
      <c r="A798" s="93">
        <v>142416</v>
      </c>
      <c r="B798" t="s">
        <v>1398</v>
      </c>
      <c r="C798" t="s">
        <v>5606</v>
      </c>
      <c r="D798" s="92" t="s">
        <v>428</v>
      </c>
      <c r="E798" s="92" t="s">
        <v>428</v>
      </c>
      <c r="F798" t="s">
        <v>428</v>
      </c>
      <c r="G798" t="s">
        <v>428</v>
      </c>
      <c r="H798" t="s">
        <v>5613</v>
      </c>
      <c r="I798">
        <v>1</v>
      </c>
      <c r="J798" t="s">
        <v>87</v>
      </c>
      <c r="K798">
        <v>0</v>
      </c>
      <c r="L798">
        <v>0</v>
      </c>
    </row>
    <row r="799" spans="1:12">
      <c r="A799" s="93">
        <v>142443</v>
      </c>
      <c r="B799" t="s">
        <v>1399</v>
      </c>
      <c r="C799" t="s">
        <v>5606</v>
      </c>
      <c r="D799" s="92">
        <v>0.31</v>
      </c>
      <c r="E799" s="92">
        <v>0.22</v>
      </c>
      <c r="F799" t="s">
        <v>428</v>
      </c>
      <c r="G799" t="s">
        <v>428</v>
      </c>
      <c r="H799" t="s">
        <v>5615</v>
      </c>
      <c r="I799">
        <v>0</v>
      </c>
      <c r="J799" t="s">
        <v>87</v>
      </c>
      <c r="K799">
        <v>0</v>
      </c>
      <c r="L799">
        <v>0</v>
      </c>
    </row>
    <row r="800" spans="1:12">
      <c r="A800" s="93">
        <v>142461</v>
      </c>
      <c r="B800" t="s">
        <v>1400</v>
      </c>
      <c r="C800" t="s">
        <v>5602</v>
      </c>
      <c r="D800" s="92">
        <v>0.5</v>
      </c>
      <c r="E800" s="92">
        <v>0.54</v>
      </c>
      <c r="F800">
        <v>21</v>
      </c>
      <c r="G800">
        <v>24</v>
      </c>
      <c r="H800" t="s">
        <v>5617</v>
      </c>
      <c r="I800">
        <v>0</v>
      </c>
      <c r="J800" t="s">
        <v>87</v>
      </c>
      <c r="K800">
        <v>0</v>
      </c>
      <c r="L800">
        <v>0</v>
      </c>
    </row>
    <row r="801" spans="1:12">
      <c r="A801" s="93">
        <v>142489</v>
      </c>
      <c r="B801" t="s">
        <v>1401</v>
      </c>
      <c r="C801" t="s">
        <v>5606</v>
      </c>
      <c r="D801" s="92" t="s">
        <v>428</v>
      </c>
      <c r="E801" s="92" t="s">
        <v>428</v>
      </c>
      <c r="F801" t="s">
        <v>428</v>
      </c>
      <c r="G801" t="s">
        <v>428</v>
      </c>
      <c r="H801" t="s">
        <v>5617</v>
      </c>
      <c r="I801">
        <v>0</v>
      </c>
      <c r="J801" t="s">
        <v>87</v>
      </c>
      <c r="K801">
        <v>0</v>
      </c>
      <c r="L801">
        <v>0</v>
      </c>
    </row>
    <row r="802" spans="1:12">
      <c r="A802" s="93">
        <v>142522</v>
      </c>
      <c r="B802" t="s">
        <v>1402</v>
      </c>
      <c r="C802" t="s">
        <v>5604</v>
      </c>
      <c r="D802" s="92">
        <v>0.48</v>
      </c>
      <c r="E802" s="92">
        <v>0.46</v>
      </c>
      <c r="F802">
        <v>20</v>
      </c>
      <c r="G802">
        <v>22.5</v>
      </c>
      <c r="H802" t="s">
        <v>5624</v>
      </c>
      <c r="I802">
        <v>1</v>
      </c>
      <c r="J802" t="s">
        <v>87</v>
      </c>
      <c r="K802">
        <v>0</v>
      </c>
      <c r="L802">
        <v>0</v>
      </c>
    </row>
    <row r="803" spans="1:12">
      <c r="A803" s="93">
        <v>142559</v>
      </c>
      <c r="B803" t="s">
        <v>1403</v>
      </c>
      <c r="C803" t="s">
        <v>5606</v>
      </c>
      <c r="D803" s="92">
        <v>0.29</v>
      </c>
      <c r="E803" s="92">
        <v>0.25</v>
      </c>
      <c r="F803" t="s">
        <v>428</v>
      </c>
      <c r="G803" t="s">
        <v>428</v>
      </c>
      <c r="H803" t="s">
        <v>5615</v>
      </c>
      <c r="I803">
        <v>0</v>
      </c>
      <c r="J803" t="s">
        <v>87</v>
      </c>
      <c r="K803">
        <v>0</v>
      </c>
      <c r="L803">
        <v>0</v>
      </c>
    </row>
    <row r="804" spans="1:12">
      <c r="A804" s="93">
        <v>142832</v>
      </c>
      <c r="B804" t="s">
        <v>1404</v>
      </c>
      <c r="C804" t="s">
        <v>5607</v>
      </c>
      <c r="D804" s="92" t="s">
        <v>428</v>
      </c>
      <c r="E804" s="92" t="s">
        <v>428</v>
      </c>
      <c r="F804" t="s">
        <v>428</v>
      </c>
      <c r="G804" t="s">
        <v>428</v>
      </c>
      <c r="H804" t="s">
        <v>5615</v>
      </c>
      <c r="I804">
        <v>0</v>
      </c>
      <c r="J804" t="s">
        <v>87</v>
      </c>
      <c r="K804">
        <v>0</v>
      </c>
      <c r="L804">
        <v>1</v>
      </c>
    </row>
    <row r="805" spans="1:12">
      <c r="A805" s="93">
        <v>142887</v>
      </c>
      <c r="B805" t="s">
        <v>562</v>
      </c>
      <c r="C805" t="s">
        <v>5604</v>
      </c>
      <c r="D805" s="92">
        <v>0.48</v>
      </c>
      <c r="E805" s="92">
        <v>0.38</v>
      </c>
      <c r="F805" t="s">
        <v>428</v>
      </c>
      <c r="G805" t="s">
        <v>428</v>
      </c>
      <c r="H805" t="s">
        <v>5617</v>
      </c>
      <c r="I805">
        <v>0</v>
      </c>
      <c r="J805" t="s">
        <v>87</v>
      </c>
      <c r="K805">
        <v>0</v>
      </c>
      <c r="L805">
        <v>1</v>
      </c>
    </row>
    <row r="806" spans="1:12">
      <c r="A806" s="93">
        <v>142957</v>
      </c>
      <c r="B806" t="s">
        <v>1405</v>
      </c>
      <c r="C806" t="s">
        <v>5607</v>
      </c>
      <c r="D806" s="92" t="s">
        <v>428</v>
      </c>
      <c r="E806" s="92" t="s">
        <v>428</v>
      </c>
      <c r="F806" t="s">
        <v>428</v>
      </c>
      <c r="G806" t="s">
        <v>428</v>
      </c>
      <c r="H806" t="s">
        <v>5615</v>
      </c>
      <c r="I806">
        <v>0</v>
      </c>
      <c r="J806" t="s">
        <v>87</v>
      </c>
      <c r="K806">
        <v>0</v>
      </c>
      <c r="L806">
        <v>1</v>
      </c>
    </row>
    <row r="807" spans="1:12">
      <c r="A807" s="93">
        <v>143048</v>
      </c>
      <c r="B807" t="s">
        <v>500</v>
      </c>
      <c r="C807" t="s">
        <v>5610</v>
      </c>
      <c r="D807" s="92">
        <v>0.62</v>
      </c>
      <c r="E807" s="92">
        <v>0.47</v>
      </c>
      <c r="F807">
        <v>22</v>
      </c>
      <c r="G807">
        <v>24.5</v>
      </c>
      <c r="H807" t="s">
        <v>5617</v>
      </c>
      <c r="I807">
        <v>0</v>
      </c>
      <c r="J807" t="s">
        <v>87</v>
      </c>
      <c r="K807">
        <v>0</v>
      </c>
      <c r="L807">
        <v>1</v>
      </c>
    </row>
    <row r="808" spans="1:12">
      <c r="A808" s="93">
        <v>143084</v>
      </c>
      <c r="B808" t="s">
        <v>1406</v>
      </c>
      <c r="C808" t="s">
        <v>5603</v>
      </c>
      <c r="D808" s="92">
        <v>0.76</v>
      </c>
      <c r="E808" s="92">
        <v>0.63</v>
      </c>
      <c r="F808" t="s">
        <v>428</v>
      </c>
      <c r="G808" t="s">
        <v>428</v>
      </c>
      <c r="H808" t="s">
        <v>5626</v>
      </c>
      <c r="I808">
        <v>0</v>
      </c>
      <c r="J808" t="s">
        <v>87</v>
      </c>
      <c r="K808">
        <v>0</v>
      </c>
      <c r="L808">
        <v>0</v>
      </c>
    </row>
    <row r="809" spans="1:12">
      <c r="A809" s="93">
        <v>143118</v>
      </c>
      <c r="B809" t="s">
        <v>434</v>
      </c>
      <c r="C809" t="s">
        <v>5602</v>
      </c>
      <c r="D809" s="92">
        <v>0.57</v>
      </c>
      <c r="E809" s="92">
        <v>0.52</v>
      </c>
      <c r="F809">
        <v>19</v>
      </c>
      <c r="G809">
        <v>21.5</v>
      </c>
      <c r="H809" t="s">
        <v>5616</v>
      </c>
      <c r="I809">
        <v>0</v>
      </c>
      <c r="J809" t="s">
        <v>87</v>
      </c>
      <c r="K809">
        <v>0</v>
      </c>
      <c r="L809">
        <v>1</v>
      </c>
    </row>
    <row r="810" spans="1:12">
      <c r="A810" s="93">
        <v>143215</v>
      </c>
      <c r="B810" t="s">
        <v>1407</v>
      </c>
      <c r="C810" t="s">
        <v>5606</v>
      </c>
      <c r="D810" s="92">
        <v>0.38</v>
      </c>
      <c r="E810" s="92">
        <v>0.27</v>
      </c>
      <c r="F810" t="s">
        <v>428</v>
      </c>
      <c r="G810" t="s">
        <v>428</v>
      </c>
      <c r="H810" t="s">
        <v>5613</v>
      </c>
      <c r="I810">
        <v>1</v>
      </c>
      <c r="J810" t="s">
        <v>87</v>
      </c>
      <c r="K810">
        <v>1</v>
      </c>
      <c r="L810">
        <v>0</v>
      </c>
    </row>
    <row r="811" spans="1:12">
      <c r="A811" s="93">
        <v>143233</v>
      </c>
      <c r="B811" t="s">
        <v>1408</v>
      </c>
      <c r="C811" t="s">
        <v>5607</v>
      </c>
      <c r="D811" s="92" t="s">
        <v>428</v>
      </c>
      <c r="E811" s="92" t="s">
        <v>428</v>
      </c>
      <c r="F811" t="s">
        <v>428</v>
      </c>
      <c r="G811" t="s">
        <v>428</v>
      </c>
      <c r="H811" t="s">
        <v>5615</v>
      </c>
      <c r="I811">
        <v>0</v>
      </c>
      <c r="J811" t="s">
        <v>87</v>
      </c>
      <c r="K811">
        <v>0</v>
      </c>
      <c r="L811">
        <v>0</v>
      </c>
    </row>
    <row r="812" spans="1:12">
      <c r="A812" s="93">
        <v>143279</v>
      </c>
      <c r="B812" t="s">
        <v>1409</v>
      </c>
      <c r="C812" t="s">
        <v>5606</v>
      </c>
      <c r="D812" s="92">
        <v>0.36</v>
      </c>
      <c r="E812" s="92">
        <v>0.24</v>
      </c>
      <c r="F812" t="s">
        <v>428</v>
      </c>
      <c r="G812" t="s">
        <v>428</v>
      </c>
      <c r="H812" t="s">
        <v>5616</v>
      </c>
      <c r="I812">
        <v>0</v>
      </c>
      <c r="J812" t="s">
        <v>87</v>
      </c>
      <c r="K812">
        <v>1</v>
      </c>
      <c r="L812">
        <v>0</v>
      </c>
    </row>
    <row r="813" spans="1:12">
      <c r="A813" s="93">
        <v>143288</v>
      </c>
      <c r="B813" t="s">
        <v>1410</v>
      </c>
      <c r="C813" t="s">
        <v>5608</v>
      </c>
      <c r="D813" s="92">
        <v>0.41</v>
      </c>
      <c r="E813" s="92">
        <v>0.21</v>
      </c>
      <c r="F813">
        <v>18</v>
      </c>
      <c r="G813">
        <v>20.5</v>
      </c>
      <c r="H813" t="s">
        <v>5624</v>
      </c>
      <c r="I813">
        <v>1</v>
      </c>
      <c r="J813" t="s">
        <v>87</v>
      </c>
      <c r="K813">
        <v>0</v>
      </c>
      <c r="L813">
        <v>0</v>
      </c>
    </row>
    <row r="814" spans="1:12">
      <c r="A814" s="93">
        <v>143297</v>
      </c>
      <c r="B814" t="s">
        <v>1411</v>
      </c>
      <c r="C814" t="s">
        <v>5607</v>
      </c>
      <c r="D814" s="92" t="s">
        <v>428</v>
      </c>
      <c r="E814" s="92" t="s">
        <v>428</v>
      </c>
      <c r="F814" t="s">
        <v>428</v>
      </c>
      <c r="G814" t="s">
        <v>428</v>
      </c>
      <c r="H814" t="s">
        <v>5615</v>
      </c>
      <c r="I814">
        <v>0</v>
      </c>
      <c r="J814" t="s">
        <v>87</v>
      </c>
      <c r="K814">
        <v>0</v>
      </c>
      <c r="L814">
        <v>0</v>
      </c>
    </row>
    <row r="815" spans="1:12">
      <c r="A815" s="93">
        <v>143303</v>
      </c>
      <c r="B815" t="s">
        <v>1412</v>
      </c>
      <c r="C815" t="s">
        <v>5606</v>
      </c>
      <c r="D815" s="92" t="s">
        <v>428</v>
      </c>
      <c r="E815" s="92" t="s">
        <v>428</v>
      </c>
      <c r="F815" t="s">
        <v>428</v>
      </c>
      <c r="G815" t="s">
        <v>428</v>
      </c>
      <c r="H815" t="s">
        <v>5615</v>
      </c>
      <c r="I815">
        <v>0</v>
      </c>
      <c r="J815" t="s">
        <v>87</v>
      </c>
      <c r="K815">
        <v>0</v>
      </c>
      <c r="L815">
        <v>0</v>
      </c>
    </row>
    <row r="816" spans="1:12">
      <c r="A816" s="93">
        <v>143358</v>
      </c>
      <c r="B816" t="s">
        <v>1413</v>
      </c>
      <c r="C816" t="s">
        <v>5603</v>
      </c>
      <c r="D816" s="92">
        <v>0.74</v>
      </c>
      <c r="E816" s="92">
        <v>0.6</v>
      </c>
      <c r="F816">
        <v>22</v>
      </c>
      <c r="G816">
        <v>25</v>
      </c>
      <c r="H816" t="s">
        <v>5616</v>
      </c>
      <c r="I816">
        <v>0</v>
      </c>
      <c r="J816" t="s">
        <v>87</v>
      </c>
      <c r="K816">
        <v>0</v>
      </c>
      <c r="L816">
        <v>0</v>
      </c>
    </row>
    <row r="817" spans="1:12">
      <c r="A817" s="93">
        <v>143613</v>
      </c>
      <c r="B817" t="s">
        <v>1414</v>
      </c>
      <c r="C817" t="s">
        <v>5606</v>
      </c>
      <c r="D817" s="92">
        <v>0.38</v>
      </c>
      <c r="E817" s="92">
        <v>0.3</v>
      </c>
      <c r="F817" t="s">
        <v>428</v>
      </c>
      <c r="G817" t="s">
        <v>428</v>
      </c>
      <c r="H817" t="s">
        <v>5614</v>
      </c>
      <c r="I817">
        <v>1</v>
      </c>
      <c r="J817" t="s">
        <v>87</v>
      </c>
      <c r="K817">
        <v>1</v>
      </c>
      <c r="L817">
        <v>0</v>
      </c>
    </row>
    <row r="818" spans="1:12">
      <c r="A818" s="93">
        <v>143659</v>
      </c>
      <c r="B818" t="s">
        <v>1415</v>
      </c>
      <c r="C818" t="s">
        <v>5607</v>
      </c>
      <c r="D818" s="92" t="s">
        <v>428</v>
      </c>
      <c r="E818" s="92" t="s">
        <v>428</v>
      </c>
      <c r="F818" t="s">
        <v>428</v>
      </c>
      <c r="G818" t="s">
        <v>428</v>
      </c>
      <c r="H818" t="s">
        <v>5615</v>
      </c>
      <c r="I818">
        <v>0</v>
      </c>
      <c r="J818" t="s">
        <v>87</v>
      </c>
      <c r="K818">
        <v>0</v>
      </c>
      <c r="L818">
        <v>1</v>
      </c>
    </row>
    <row r="819" spans="1:12">
      <c r="A819" s="93">
        <v>143853</v>
      </c>
      <c r="B819" t="s">
        <v>1416</v>
      </c>
      <c r="C819" t="s">
        <v>5607</v>
      </c>
      <c r="D819" s="92" t="s">
        <v>428</v>
      </c>
      <c r="E819" s="92" t="s">
        <v>428</v>
      </c>
      <c r="F819" t="s">
        <v>428</v>
      </c>
      <c r="G819" t="s">
        <v>428</v>
      </c>
      <c r="H819" t="s">
        <v>5615</v>
      </c>
      <c r="I819">
        <v>0</v>
      </c>
      <c r="J819" t="s">
        <v>87</v>
      </c>
      <c r="K819">
        <v>0</v>
      </c>
      <c r="L819">
        <v>1</v>
      </c>
    </row>
    <row r="820" spans="1:12">
      <c r="A820" s="93">
        <v>143978</v>
      </c>
      <c r="B820" t="s">
        <v>1417</v>
      </c>
      <c r="C820" t="s">
        <v>5607</v>
      </c>
      <c r="D820" s="92" t="s">
        <v>428</v>
      </c>
      <c r="E820" s="92" t="s">
        <v>428</v>
      </c>
      <c r="F820" t="s">
        <v>428</v>
      </c>
      <c r="G820" t="s">
        <v>428</v>
      </c>
      <c r="H820" t="s">
        <v>5615</v>
      </c>
      <c r="I820">
        <v>0</v>
      </c>
      <c r="J820" t="s">
        <v>87</v>
      </c>
      <c r="K820">
        <v>0</v>
      </c>
      <c r="L820">
        <v>1</v>
      </c>
    </row>
    <row r="821" spans="1:12">
      <c r="A821" s="93">
        <v>144005</v>
      </c>
      <c r="B821" t="s">
        <v>1418</v>
      </c>
      <c r="C821" t="s">
        <v>5602</v>
      </c>
      <c r="D821" s="92">
        <v>0.14</v>
      </c>
      <c r="E821" s="92">
        <v>0.13</v>
      </c>
      <c r="F821">
        <v>16</v>
      </c>
      <c r="G821">
        <v>18</v>
      </c>
      <c r="H821" t="s">
        <v>5624</v>
      </c>
      <c r="I821">
        <v>1</v>
      </c>
      <c r="J821" t="s">
        <v>87</v>
      </c>
      <c r="K821">
        <v>1</v>
      </c>
      <c r="L821">
        <v>1</v>
      </c>
    </row>
    <row r="822" spans="1:12">
      <c r="A822" s="93">
        <v>144014</v>
      </c>
      <c r="B822" t="s">
        <v>1419</v>
      </c>
      <c r="C822" t="s">
        <v>5607</v>
      </c>
      <c r="D822" s="92" t="s">
        <v>428</v>
      </c>
      <c r="E822" s="92" t="s">
        <v>428</v>
      </c>
      <c r="F822" t="s">
        <v>428</v>
      </c>
      <c r="G822" t="s">
        <v>428</v>
      </c>
      <c r="H822" t="s">
        <v>5615</v>
      </c>
      <c r="I822">
        <v>0</v>
      </c>
      <c r="J822" t="s">
        <v>87</v>
      </c>
      <c r="K822">
        <v>0</v>
      </c>
      <c r="L822">
        <v>1</v>
      </c>
    </row>
    <row r="823" spans="1:12">
      <c r="A823" s="93">
        <v>144050</v>
      </c>
      <c r="B823" t="s">
        <v>480</v>
      </c>
      <c r="C823" t="s">
        <v>5611</v>
      </c>
      <c r="D823" s="92">
        <v>0.9399999999999999</v>
      </c>
      <c r="E823" s="92">
        <v>0.88</v>
      </c>
      <c r="F823">
        <v>32</v>
      </c>
      <c r="G823">
        <v>33.5</v>
      </c>
      <c r="H823" t="s">
        <v>5619</v>
      </c>
      <c r="I823">
        <v>1</v>
      </c>
      <c r="J823" t="s">
        <v>87</v>
      </c>
      <c r="K823">
        <v>0</v>
      </c>
      <c r="L823">
        <v>1</v>
      </c>
    </row>
    <row r="824" spans="1:12">
      <c r="A824" s="93">
        <v>144157</v>
      </c>
      <c r="B824" t="s">
        <v>1420</v>
      </c>
      <c r="C824" t="s">
        <v>5606</v>
      </c>
      <c r="D824" s="92">
        <v>0.33</v>
      </c>
      <c r="E824" s="92">
        <v>0.27</v>
      </c>
      <c r="F824" t="s">
        <v>428</v>
      </c>
      <c r="G824" t="s">
        <v>428</v>
      </c>
      <c r="H824" t="s">
        <v>5614</v>
      </c>
      <c r="I824">
        <v>1</v>
      </c>
      <c r="J824" t="s">
        <v>87</v>
      </c>
      <c r="K824">
        <v>1</v>
      </c>
      <c r="L824">
        <v>1</v>
      </c>
    </row>
    <row r="825" spans="1:12">
      <c r="A825" s="93">
        <v>144166</v>
      </c>
      <c r="B825" t="s">
        <v>1421</v>
      </c>
      <c r="C825" t="s">
        <v>5606</v>
      </c>
      <c r="D825" s="92">
        <v>0.2</v>
      </c>
      <c r="E825" s="92">
        <v>0.2</v>
      </c>
      <c r="F825" t="s">
        <v>428</v>
      </c>
      <c r="G825" t="s">
        <v>428</v>
      </c>
      <c r="H825" t="s">
        <v>5614</v>
      </c>
      <c r="I825">
        <v>1</v>
      </c>
      <c r="J825" t="s">
        <v>87</v>
      </c>
      <c r="K825">
        <v>1</v>
      </c>
      <c r="L825">
        <v>1</v>
      </c>
    </row>
    <row r="826" spans="1:12">
      <c r="A826" s="93">
        <v>144175</v>
      </c>
      <c r="B826" t="s">
        <v>1422</v>
      </c>
      <c r="C826" t="s">
        <v>5606</v>
      </c>
      <c r="D826" s="92">
        <v>0.22</v>
      </c>
      <c r="E826" s="92">
        <v>0.23</v>
      </c>
      <c r="F826" t="s">
        <v>428</v>
      </c>
      <c r="G826" t="s">
        <v>428</v>
      </c>
      <c r="H826" t="s">
        <v>5614</v>
      </c>
      <c r="I826">
        <v>1</v>
      </c>
      <c r="J826" t="s">
        <v>87</v>
      </c>
      <c r="K826">
        <v>1</v>
      </c>
      <c r="L826">
        <v>1</v>
      </c>
    </row>
    <row r="827" spans="1:12">
      <c r="A827" s="93">
        <v>144184</v>
      </c>
      <c r="B827" t="s">
        <v>1423</v>
      </c>
      <c r="C827" t="s">
        <v>5606</v>
      </c>
      <c r="D827" s="92">
        <v>0.29</v>
      </c>
      <c r="E827" s="92">
        <v>0.25</v>
      </c>
      <c r="F827" t="s">
        <v>428</v>
      </c>
      <c r="G827" t="s">
        <v>428</v>
      </c>
      <c r="H827" t="s">
        <v>5614</v>
      </c>
      <c r="I827">
        <v>1</v>
      </c>
      <c r="J827" t="s">
        <v>87</v>
      </c>
      <c r="K827">
        <v>1</v>
      </c>
      <c r="L827">
        <v>1</v>
      </c>
    </row>
    <row r="828" spans="1:12">
      <c r="A828" s="93">
        <v>144193</v>
      </c>
      <c r="B828" t="s">
        <v>1424</v>
      </c>
      <c r="C828" t="s">
        <v>5606</v>
      </c>
      <c r="D828" s="92">
        <v>0.27</v>
      </c>
      <c r="E828" s="92">
        <v>0.24</v>
      </c>
      <c r="F828" t="s">
        <v>428</v>
      </c>
      <c r="G828" t="s">
        <v>428</v>
      </c>
      <c r="H828" t="s">
        <v>5614</v>
      </c>
      <c r="I828">
        <v>1</v>
      </c>
      <c r="J828" t="s">
        <v>87</v>
      </c>
      <c r="K828">
        <v>1</v>
      </c>
      <c r="L828">
        <v>1</v>
      </c>
    </row>
    <row r="829" spans="1:12">
      <c r="A829" s="93">
        <v>144209</v>
      </c>
      <c r="B829" t="s">
        <v>1425</v>
      </c>
      <c r="C829" t="s">
        <v>5606</v>
      </c>
      <c r="D829" s="92">
        <v>0.27</v>
      </c>
      <c r="E829" s="92">
        <v>0.26</v>
      </c>
      <c r="F829" t="s">
        <v>428</v>
      </c>
      <c r="G829" t="s">
        <v>428</v>
      </c>
      <c r="H829" t="s">
        <v>5614</v>
      </c>
      <c r="I829">
        <v>1</v>
      </c>
      <c r="J829" t="s">
        <v>87</v>
      </c>
      <c r="K829">
        <v>1</v>
      </c>
      <c r="L829">
        <v>1</v>
      </c>
    </row>
    <row r="830" spans="1:12">
      <c r="A830" s="93">
        <v>144218</v>
      </c>
      <c r="B830" t="s">
        <v>1426</v>
      </c>
      <c r="C830" t="s">
        <v>5606</v>
      </c>
      <c r="D830" s="92">
        <v>0.25</v>
      </c>
      <c r="E830" s="92">
        <v>0.2</v>
      </c>
      <c r="F830" t="s">
        <v>428</v>
      </c>
      <c r="G830" t="s">
        <v>428</v>
      </c>
      <c r="H830" t="s">
        <v>5614</v>
      </c>
      <c r="I830">
        <v>1</v>
      </c>
      <c r="J830" t="s">
        <v>87</v>
      </c>
      <c r="K830">
        <v>1</v>
      </c>
      <c r="L830">
        <v>1</v>
      </c>
    </row>
    <row r="831" spans="1:12">
      <c r="A831" s="93">
        <v>144281</v>
      </c>
      <c r="B831" t="s">
        <v>545</v>
      </c>
      <c r="C831" t="s">
        <v>5602</v>
      </c>
      <c r="D831" s="92">
        <v>0.45</v>
      </c>
      <c r="E831" s="92">
        <v>0.31</v>
      </c>
      <c r="F831" t="s">
        <v>428</v>
      </c>
      <c r="G831" t="s">
        <v>428</v>
      </c>
      <c r="H831" t="s">
        <v>5626</v>
      </c>
      <c r="I831">
        <v>0</v>
      </c>
      <c r="J831" t="s">
        <v>87</v>
      </c>
      <c r="K831">
        <v>0</v>
      </c>
      <c r="L831">
        <v>1</v>
      </c>
    </row>
    <row r="832" spans="1:12">
      <c r="A832" s="93">
        <v>144351</v>
      </c>
      <c r="B832" t="s">
        <v>1427</v>
      </c>
      <c r="C832" t="s">
        <v>5602</v>
      </c>
      <c r="D832" s="92">
        <v>0.51</v>
      </c>
      <c r="E832" s="92">
        <v>0.29</v>
      </c>
      <c r="F832">
        <v>19</v>
      </c>
      <c r="G832">
        <v>21.5</v>
      </c>
      <c r="H832" t="s">
        <v>5624</v>
      </c>
      <c r="I832">
        <v>1</v>
      </c>
      <c r="J832" t="s">
        <v>87</v>
      </c>
      <c r="K832">
        <v>0</v>
      </c>
      <c r="L832">
        <v>1</v>
      </c>
    </row>
    <row r="833" spans="1:12">
      <c r="A833" s="93">
        <v>144467</v>
      </c>
      <c r="B833" t="s">
        <v>1428</v>
      </c>
      <c r="C833" t="s">
        <v>5606</v>
      </c>
      <c r="D833" s="92" t="s">
        <v>428</v>
      </c>
      <c r="E833" s="92" t="s">
        <v>428</v>
      </c>
      <c r="F833" t="s">
        <v>428</v>
      </c>
      <c r="G833" t="s">
        <v>428</v>
      </c>
      <c r="H833" t="s">
        <v>5617</v>
      </c>
      <c r="I833">
        <v>0</v>
      </c>
      <c r="J833" t="s">
        <v>87</v>
      </c>
      <c r="K833">
        <v>0</v>
      </c>
      <c r="L833">
        <v>1</v>
      </c>
    </row>
    <row r="834" spans="1:12">
      <c r="A834" s="93">
        <v>144485</v>
      </c>
      <c r="B834" t="s">
        <v>1429</v>
      </c>
      <c r="C834" t="s">
        <v>5606</v>
      </c>
      <c r="D834" s="92" t="s">
        <v>428</v>
      </c>
      <c r="E834" s="92" t="s">
        <v>428</v>
      </c>
      <c r="F834" t="s">
        <v>428</v>
      </c>
      <c r="G834" t="s">
        <v>428</v>
      </c>
      <c r="H834" t="s">
        <v>5617</v>
      </c>
      <c r="I834">
        <v>0</v>
      </c>
      <c r="J834" t="s">
        <v>87</v>
      </c>
      <c r="K834">
        <v>0</v>
      </c>
      <c r="L834">
        <v>1</v>
      </c>
    </row>
    <row r="835" spans="1:12">
      <c r="A835" s="93">
        <v>144564</v>
      </c>
      <c r="B835" t="s">
        <v>1430</v>
      </c>
      <c r="C835" t="s">
        <v>5606</v>
      </c>
      <c r="D835" s="92">
        <v>0.46</v>
      </c>
      <c r="E835" s="92">
        <v>0.35</v>
      </c>
      <c r="F835" t="s">
        <v>428</v>
      </c>
      <c r="G835" t="s">
        <v>428</v>
      </c>
      <c r="H835" t="s">
        <v>5624</v>
      </c>
      <c r="I835">
        <v>1</v>
      </c>
      <c r="J835" t="s">
        <v>87</v>
      </c>
      <c r="K835">
        <v>1</v>
      </c>
      <c r="L835">
        <v>0</v>
      </c>
    </row>
    <row r="836" spans="1:12">
      <c r="A836" s="93">
        <v>144740</v>
      </c>
      <c r="B836" t="s">
        <v>484</v>
      </c>
      <c r="C836" t="s">
        <v>5603</v>
      </c>
      <c r="D836" s="92">
        <v>0.73</v>
      </c>
      <c r="E836" s="92">
        <v>0.64</v>
      </c>
      <c r="F836" t="s">
        <v>428</v>
      </c>
      <c r="G836" t="s">
        <v>428</v>
      </c>
      <c r="H836" t="s">
        <v>5626</v>
      </c>
      <c r="I836">
        <v>0</v>
      </c>
      <c r="J836" t="s">
        <v>87</v>
      </c>
      <c r="K836">
        <v>0</v>
      </c>
      <c r="L836">
        <v>1</v>
      </c>
    </row>
    <row r="837" spans="1:12">
      <c r="A837" s="93">
        <v>144865</v>
      </c>
      <c r="B837" t="s">
        <v>1431</v>
      </c>
      <c r="C837" t="s">
        <v>5606</v>
      </c>
      <c r="D837" s="92">
        <v>0.37</v>
      </c>
      <c r="E837" s="92">
        <v>0.29</v>
      </c>
      <c r="F837" t="s">
        <v>428</v>
      </c>
      <c r="G837" t="s">
        <v>428</v>
      </c>
      <c r="H837" t="s">
        <v>5614</v>
      </c>
      <c r="I837">
        <v>1</v>
      </c>
      <c r="J837" t="s">
        <v>87</v>
      </c>
      <c r="K837">
        <v>1</v>
      </c>
      <c r="L837">
        <v>1</v>
      </c>
    </row>
    <row r="838" spans="1:12">
      <c r="A838" s="93">
        <v>144883</v>
      </c>
      <c r="B838" t="s">
        <v>1432</v>
      </c>
      <c r="C838" t="s">
        <v>5607</v>
      </c>
      <c r="D838" s="92">
        <v>0.11</v>
      </c>
      <c r="E838" s="92">
        <v>0.1</v>
      </c>
      <c r="F838" t="s">
        <v>428</v>
      </c>
      <c r="G838" t="s">
        <v>428</v>
      </c>
      <c r="H838" t="s">
        <v>5617</v>
      </c>
      <c r="I838">
        <v>0</v>
      </c>
      <c r="J838" t="s">
        <v>87</v>
      </c>
      <c r="K838">
        <v>0</v>
      </c>
      <c r="L838">
        <v>1</v>
      </c>
    </row>
    <row r="839" spans="1:12">
      <c r="A839" s="93">
        <v>144892</v>
      </c>
      <c r="B839" t="s">
        <v>435</v>
      </c>
      <c r="C839" t="s">
        <v>5602</v>
      </c>
      <c r="D839" s="92">
        <v>0.57</v>
      </c>
      <c r="E839" s="92">
        <v>0.44</v>
      </c>
      <c r="F839">
        <v>18</v>
      </c>
      <c r="G839">
        <v>21</v>
      </c>
      <c r="H839" t="s">
        <v>5613</v>
      </c>
      <c r="I839">
        <v>1</v>
      </c>
      <c r="J839" t="s">
        <v>87</v>
      </c>
      <c r="K839">
        <v>1</v>
      </c>
      <c r="L839">
        <v>0</v>
      </c>
    </row>
    <row r="840" spans="1:12">
      <c r="A840" s="93">
        <v>144944</v>
      </c>
      <c r="B840" t="s">
        <v>1433</v>
      </c>
      <c r="C840" t="s">
        <v>5606</v>
      </c>
      <c r="D840" s="92">
        <v>0.45</v>
      </c>
      <c r="E840" s="92">
        <v>0.37</v>
      </c>
      <c r="F840" t="s">
        <v>428</v>
      </c>
      <c r="G840" t="s">
        <v>428</v>
      </c>
      <c r="H840" t="s">
        <v>5614</v>
      </c>
      <c r="I840">
        <v>1</v>
      </c>
      <c r="J840" t="s">
        <v>87</v>
      </c>
      <c r="K840">
        <v>1</v>
      </c>
      <c r="L840">
        <v>1</v>
      </c>
    </row>
    <row r="841" spans="1:12">
      <c r="A841" s="93">
        <v>144962</v>
      </c>
      <c r="B841" t="s">
        <v>429</v>
      </c>
      <c r="C841" t="s">
        <v>5602</v>
      </c>
      <c r="D841" s="92">
        <v>0.7</v>
      </c>
      <c r="E841" s="92">
        <v>0.54</v>
      </c>
      <c r="F841">
        <v>20</v>
      </c>
      <c r="G841">
        <v>23</v>
      </c>
      <c r="H841" t="s">
        <v>5626</v>
      </c>
      <c r="I841">
        <v>0</v>
      </c>
      <c r="J841" t="s">
        <v>87</v>
      </c>
      <c r="K841">
        <v>0</v>
      </c>
      <c r="L841">
        <v>1</v>
      </c>
    </row>
    <row r="842" spans="1:12">
      <c r="A842" s="93">
        <v>144971</v>
      </c>
      <c r="B842" t="s">
        <v>1434</v>
      </c>
      <c r="C842" t="s">
        <v>5602</v>
      </c>
      <c r="D842" s="92">
        <v>0.52</v>
      </c>
      <c r="E842" s="92">
        <v>0.32</v>
      </c>
      <c r="F842">
        <v>19</v>
      </c>
      <c r="G842">
        <v>22</v>
      </c>
      <c r="H842" t="s">
        <v>5616</v>
      </c>
      <c r="I842">
        <v>0</v>
      </c>
      <c r="J842" t="s">
        <v>87</v>
      </c>
      <c r="K842">
        <v>0</v>
      </c>
      <c r="L842">
        <v>0</v>
      </c>
    </row>
    <row r="843" spans="1:12">
      <c r="A843" s="93">
        <v>145239</v>
      </c>
      <c r="B843" t="s">
        <v>1435</v>
      </c>
      <c r="C843" t="s">
        <v>5609</v>
      </c>
      <c r="D843" s="92" t="s">
        <v>428</v>
      </c>
      <c r="E843" s="92" t="s">
        <v>428</v>
      </c>
      <c r="F843" t="s">
        <v>428</v>
      </c>
      <c r="G843" t="s">
        <v>428</v>
      </c>
      <c r="H843" t="s">
        <v>5616</v>
      </c>
      <c r="I843">
        <v>0</v>
      </c>
      <c r="J843" t="s">
        <v>87</v>
      </c>
      <c r="K843">
        <v>0</v>
      </c>
      <c r="L843">
        <v>1</v>
      </c>
    </row>
    <row r="844" spans="1:12">
      <c r="A844" s="93">
        <v>145275</v>
      </c>
      <c r="B844" t="s">
        <v>1436</v>
      </c>
      <c r="C844" t="s">
        <v>5607</v>
      </c>
      <c r="D844" s="92" t="s">
        <v>428</v>
      </c>
      <c r="E844" s="92" t="s">
        <v>428</v>
      </c>
      <c r="F844" t="s">
        <v>428</v>
      </c>
      <c r="G844" t="s">
        <v>428</v>
      </c>
      <c r="H844" t="s">
        <v>5615</v>
      </c>
      <c r="I844">
        <v>0</v>
      </c>
      <c r="J844" t="s">
        <v>87</v>
      </c>
      <c r="K844">
        <v>0</v>
      </c>
      <c r="L844">
        <v>1</v>
      </c>
    </row>
    <row r="845" spans="1:12">
      <c r="A845" s="93">
        <v>145336</v>
      </c>
      <c r="B845" t="s">
        <v>1437</v>
      </c>
      <c r="C845" t="s">
        <v>5608</v>
      </c>
      <c r="D845" s="92">
        <v>0.25</v>
      </c>
      <c r="E845" s="92">
        <v>0.25</v>
      </c>
      <c r="F845">
        <v>17</v>
      </c>
      <c r="G845">
        <v>19</v>
      </c>
      <c r="H845" t="s">
        <v>5624</v>
      </c>
      <c r="I845">
        <v>1</v>
      </c>
      <c r="J845" t="s">
        <v>87</v>
      </c>
      <c r="K845">
        <v>1</v>
      </c>
      <c r="L845">
        <v>1</v>
      </c>
    </row>
    <row r="846" spans="1:12">
      <c r="A846" s="93">
        <v>145354</v>
      </c>
      <c r="B846" t="s">
        <v>1438</v>
      </c>
      <c r="C846" t="s">
        <v>5606</v>
      </c>
      <c r="D846" s="92" t="s">
        <v>428</v>
      </c>
      <c r="E846" s="92" t="s">
        <v>428</v>
      </c>
      <c r="F846" t="s">
        <v>428</v>
      </c>
      <c r="G846" t="s">
        <v>428</v>
      </c>
      <c r="H846" t="s">
        <v>5615</v>
      </c>
      <c r="I846">
        <v>0</v>
      </c>
      <c r="J846" t="s">
        <v>87</v>
      </c>
      <c r="K846">
        <v>0</v>
      </c>
      <c r="L846">
        <v>0</v>
      </c>
    </row>
    <row r="847" spans="1:12">
      <c r="A847" s="93">
        <v>145372</v>
      </c>
      <c r="B847" t="s">
        <v>1439</v>
      </c>
      <c r="C847" t="s">
        <v>5602</v>
      </c>
      <c r="D847" s="92">
        <v>0.5</v>
      </c>
      <c r="E847" s="92">
        <v>0.4</v>
      </c>
      <c r="F847">
        <v>18</v>
      </c>
      <c r="G847">
        <v>21.5</v>
      </c>
      <c r="H847" t="s">
        <v>5613</v>
      </c>
      <c r="I847">
        <v>1</v>
      </c>
      <c r="J847" t="s">
        <v>87</v>
      </c>
      <c r="K847">
        <v>0</v>
      </c>
      <c r="L847">
        <v>0</v>
      </c>
    </row>
    <row r="848" spans="1:12">
      <c r="A848" s="93">
        <v>145460</v>
      </c>
      <c r="B848" t="s">
        <v>1440</v>
      </c>
      <c r="C848" t="s">
        <v>5607</v>
      </c>
      <c r="D848" s="92">
        <v>0.44</v>
      </c>
      <c r="E848" s="92">
        <v>0.31</v>
      </c>
      <c r="F848" t="s">
        <v>428</v>
      </c>
      <c r="G848" t="s">
        <v>428</v>
      </c>
      <c r="H848" t="s">
        <v>5617</v>
      </c>
      <c r="I848">
        <v>0</v>
      </c>
      <c r="J848" t="s">
        <v>87</v>
      </c>
      <c r="K848">
        <v>0</v>
      </c>
      <c r="L848">
        <v>1</v>
      </c>
    </row>
    <row r="849" spans="1:12">
      <c r="A849" s="93">
        <v>145497</v>
      </c>
      <c r="B849" t="s">
        <v>1441</v>
      </c>
      <c r="C849" t="s">
        <v>5604</v>
      </c>
      <c r="D849" s="92">
        <v>0.05</v>
      </c>
      <c r="E849" s="92" t="s">
        <v>428</v>
      </c>
      <c r="F849">
        <v>20</v>
      </c>
      <c r="G849">
        <v>23.5</v>
      </c>
      <c r="H849" t="s">
        <v>5617</v>
      </c>
      <c r="I849">
        <v>0</v>
      </c>
      <c r="J849" t="s">
        <v>87</v>
      </c>
      <c r="K849">
        <v>0</v>
      </c>
      <c r="L849">
        <v>1</v>
      </c>
    </row>
    <row r="850" spans="1:12">
      <c r="A850" s="93">
        <v>145521</v>
      </c>
      <c r="B850" t="s">
        <v>1442</v>
      </c>
      <c r="C850" t="s">
        <v>5606</v>
      </c>
      <c r="D850" s="92">
        <v>0.42</v>
      </c>
      <c r="E850" s="92">
        <v>0.24</v>
      </c>
      <c r="F850" t="s">
        <v>428</v>
      </c>
      <c r="G850" t="s">
        <v>428</v>
      </c>
      <c r="H850" t="s">
        <v>5614</v>
      </c>
      <c r="I850">
        <v>1</v>
      </c>
      <c r="J850" t="s">
        <v>87</v>
      </c>
      <c r="K850">
        <v>1</v>
      </c>
      <c r="L850">
        <v>0</v>
      </c>
    </row>
    <row r="851" spans="1:12">
      <c r="A851" s="93">
        <v>145558</v>
      </c>
      <c r="B851" t="s">
        <v>1443</v>
      </c>
      <c r="C851" t="s">
        <v>5607</v>
      </c>
      <c r="D851" s="92" t="s">
        <v>428</v>
      </c>
      <c r="E851" s="92" t="s">
        <v>428</v>
      </c>
      <c r="F851" t="s">
        <v>428</v>
      </c>
      <c r="G851" t="s">
        <v>428</v>
      </c>
      <c r="H851" t="s">
        <v>5615</v>
      </c>
      <c r="I851">
        <v>0</v>
      </c>
      <c r="J851" t="s">
        <v>87</v>
      </c>
      <c r="K851">
        <v>0</v>
      </c>
      <c r="L851">
        <v>1</v>
      </c>
    </row>
    <row r="852" spans="1:12">
      <c r="A852" s="93">
        <v>145600</v>
      </c>
      <c r="B852" t="s">
        <v>447</v>
      </c>
      <c r="C852" t="s">
        <v>5603</v>
      </c>
      <c r="D852" s="92">
        <v>0.51</v>
      </c>
      <c r="E852" s="92">
        <v>0.45</v>
      </c>
      <c r="F852">
        <v>21</v>
      </c>
      <c r="G852">
        <v>24</v>
      </c>
      <c r="H852" t="s">
        <v>5614</v>
      </c>
      <c r="I852">
        <v>1</v>
      </c>
      <c r="J852" t="s">
        <v>87</v>
      </c>
      <c r="K852">
        <v>1</v>
      </c>
      <c r="L852">
        <v>1</v>
      </c>
    </row>
    <row r="853" spans="1:12">
      <c r="A853" s="93">
        <v>145619</v>
      </c>
      <c r="B853" t="s">
        <v>1444</v>
      </c>
      <c r="C853" t="s">
        <v>5602</v>
      </c>
      <c r="D853" s="92">
        <v>0.52</v>
      </c>
      <c r="E853" s="92">
        <v>0.36</v>
      </c>
      <c r="F853" t="s">
        <v>428</v>
      </c>
      <c r="G853" t="s">
        <v>428</v>
      </c>
      <c r="H853" t="s">
        <v>5626</v>
      </c>
      <c r="I853">
        <v>0</v>
      </c>
      <c r="J853" t="s">
        <v>87</v>
      </c>
      <c r="K853">
        <v>0</v>
      </c>
      <c r="L853">
        <v>1</v>
      </c>
    </row>
    <row r="854" spans="1:12">
      <c r="A854" s="93">
        <v>145628</v>
      </c>
      <c r="B854" t="s">
        <v>1445</v>
      </c>
      <c r="C854" t="s">
        <v>5607</v>
      </c>
      <c r="D854" s="92" t="s">
        <v>428</v>
      </c>
      <c r="E854" s="92" t="s">
        <v>428</v>
      </c>
      <c r="F854" t="s">
        <v>428</v>
      </c>
      <c r="G854" t="s">
        <v>428</v>
      </c>
      <c r="H854" t="s">
        <v>5615</v>
      </c>
      <c r="I854">
        <v>0</v>
      </c>
      <c r="J854" t="s">
        <v>87</v>
      </c>
      <c r="K854">
        <v>0</v>
      </c>
      <c r="L854">
        <v>1</v>
      </c>
    </row>
    <row r="855" spans="1:12">
      <c r="A855" s="93">
        <v>145637</v>
      </c>
      <c r="B855" t="s">
        <v>457</v>
      </c>
      <c r="C855" t="s">
        <v>5605</v>
      </c>
      <c r="D855" s="92">
        <v>0.79</v>
      </c>
      <c r="E855" s="92">
        <v>0.75</v>
      </c>
      <c r="F855">
        <v>26</v>
      </c>
      <c r="G855">
        <v>29</v>
      </c>
      <c r="H855" t="s">
        <v>5614</v>
      </c>
      <c r="I855">
        <v>1</v>
      </c>
      <c r="J855" t="s">
        <v>87</v>
      </c>
      <c r="K855">
        <v>1</v>
      </c>
      <c r="L855">
        <v>0</v>
      </c>
    </row>
    <row r="856" spans="1:12">
      <c r="A856" s="93">
        <v>145646</v>
      </c>
      <c r="B856" t="s">
        <v>1446</v>
      </c>
      <c r="C856" t="s">
        <v>5603</v>
      </c>
      <c r="D856" s="92">
        <v>0.8100000000000001</v>
      </c>
      <c r="E856" s="92">
        <v>0.64</v>
      </c>
      <c r="F856">
        <v>25</v>
      </c>
      <c r="G856">
        <v>27</v>
      </c>
      <c r="H856" t="s">
        <v>5618</v>
      </c>
      <c r="I856">
        <v>0</v>
      </c>
      <c r="J856" t="s">
        <v>87</v>
      </c>
      <c r="K856">
        <v>0</v>
      </c>
      <c r="L856">
        <v>0</v>
      </c>
    </row>
    <row r="857" spans="1:12">
      <c r="A857" s="93">
        <v>145682</v>
      </c>
      <c r="B857" t="s">
        <v>1447</v>
      </c>
      <c r="C857" t="s">
        <v>5606</v>
      </c>
      <c r="D857" s="92">
        <v>0.38</v>
      </c>
      <c r="E857" s="92">
        <v>0.21</v>
      </c>
      <c r="F857" t="s">
        <v>428</v>
      </c>
      <c r="G857" t="s">
        <v>428</v>
      </c>
      <c r="H857" t="s">
        <v>5614</v>
      </c>
      <c r="I857">
        <v>1</v>
      </c>
      <c r="J857" t="s">
        <v>87</v>
      </c>
      <c r="K857">
        <v>1</v>
      </c>
      <c r="L857">
        <v>0</v>
      </c>
    </row>
    <row r="858" spans="1:12">
      <c r="A858" s="93">
        <v>145691</v>
      </c>
      <c r="B858" t="s">
        <v>512</v>
      </c>
      <c r="C858" t="s">
        <v>5603</v>
      </c>
      <c r="D858" s="92">
        <v>0.71</v>
      </c>
      <c r="E858" s="92">
        <v>0.53</v>
      </c>
      <c r="F858" t="s">
        <v>428</v>
      </c>
      <c r="G858" t="s">
        <v>428</v>
      </c>
      <c r="H858" t="s">
        <v>5613</v>
      </c>
      <c r="I858">
        <v>1</v>
      </c>
      <c r="J858" t="s">
        <v>87</v>
      </c>
      <c r="K858">
        <v>0</v>
      </c>
      <c r="L858">
        <v>0</v>
      </c>
    </row>
    <row r="859" spans="1:12">
      <c r="A859" s="93">
        <v>145707</v>
      </c>
      <c r="B859" t="s">
        <v>1448</v>
      </c>
      <c r="C859" t="s">
        <v>5606</v>
      </c>
      <c r="D859" s="92">
        <v>0.65</v>
      </c>
      <c r="E859" s="92">
        <v>0.51</v>
      </c>
      <c r="F859" t="s">
        <v>428</v>
      </c>
      <c r="G859" t="s">
        <v>428</v>
      </c>
      <c r="H859" t="s">
        <v>5614</v>
      </c>
      <c r="I859">
        <v>1</v>
      </c>
      <c r="J859" t="s">
        <v>87</v>
      </c>
      <c r="K859">
        <v>1</v>
      </c>
      <c r="L859">
        <v>0</v>
      </c>
    </row>
    <row r="860" spans="1:12">
      <c r="A860" s="93">
        <v>145725</v>
      </c>
      <c r="B860" t="s">
        <v>501</v>
      </c>
      <c r="C860" t="s">
        <v>5605</v>
      </c>
      <c r="D860" s="92">
        <v>0.6899999999999999</v>
      </c>
      <c r="E860" s="92">
        <v>0.61</v>
      </c>
      <c r="F860">
        <v>26</v>
      </c>
      <c r="G860">
        <v>28.5</v>
      </c>
      <c r="H860" t="s">
        <v>5624</v>
      </c>
      <c r="I860">
        <v>1</v>
      </c>
      <c r="J860" t="s">
        <v>87</v>
      </c>
      <c r="K860">
        <v>0</v>
      </c>
      <c r="L860">
        <v>1</v>
      </c>
    </row>
    <row r="861" spans="1:12">
      <c r="A861" s="93">
        <v>145770</v>
      </c>
      <c r="B861" t="s">
        <v>1449</v>
      </c>
      <c r="C861" t="s">
        <v>5604</v>
      </c>
      <c r="D861" s="92">
        <v>0.05</v>
      </c>
      <c r="E861" s="92">
        <v>0.07000000000000001</v>
      </c>
      <c r="F861" t="s">
        <v>428</v>
      </c>
      <c r="G861" t="s">
        <v>428</v>
      </c>
      <c r="H861" t="s">
        <v>5617</v>
      </c>
      <c r="I861">
        <v>0</v>
      </c>
      <c r="J861" t="s">
        <v>87</v>
      </c>
      <c r="K861">
        <v>0</v>
      </c>
      <c r="L861">
        <v>1</v>
      </c>
    </row>
    <row r="862" spans="1:12">
      <c r="A862" s="93">
        <v>145813</v>
      </c>
      <c r="B862" t="s">
        <v>502</v>
      </c>
      <c r="C862" t="s">
        <v>5603</v>
      </c>
      <c r="D862" s="92">
        <v>0.62</v>
      </c>
      <c r="E862" s="92">
        <v>0.49</v>
      </c>
      <c r="F862">
        <v>21</v>
      </c>
      <c r="G862">
        <v>23.5</v>
      </c>
      <c r="H862" t="s">
        <v>5613</v>
      </c>
      <c r="I862">
        <v>1</v>
      </c>
      <c r="J862" t="s">
        <v>87</v>
      </c>
      <c r="K862">
        <v>1</v>
      </c>
      <c r="L862">
        <v>0</v>
      </c>
    </row>
    <row r="863" spans="1:12">
      <c r="A863" s="93">
        <v>145831</v>
      </c>
      <c r="B863" t="s">
        <v>1450</v>
      </c>
      <c r="C863" t="s">
        <v>5606</v>
      </c>
      <c r="D863" s="92">
        <v>0.34</v>
      </c>
      <c r="E863" s="92">
        <v>0.21</v>
      </c>
      <c r="F863" t="s">
        <v>428</v>
      </c>
      <c r="G863" t="s">
        <v>428</v>
      </c>
      <c r="H863" t="s">
        <v>5624</v>
      </c>
      <c r="I863">
        <v>1</v>
      </c>
      <c r="J863" t="s">
        <v>87</v>
      </c>
      <c r="K863">
        <v>1</v>
      </c>
      <c r="L863">
        <v>0</v>
      </c>
    </row>
    <row r="864" spans="1:12">
      <c r="A864" s="93">
        <v>145886</v>
      </c>
      <c r="B864" t="s">
        <v>1451</v>
      </c>
      <c r="C864" t="s">
        <v>5607</v>
      </c>
      <c r="D864" s="92" t="s">
        <v>428</v>
      </c>
      <c r="E864" s="92" t="s">
        <v>428</v>
      </c>
      <c r="F864" t="s">
        <v>428</v>
      </c>
      <c r="G864" t="s">
        <v>428</v>
      </c>
      <c r="H864" t="s">
        <v>5615</v>
      </c>
      <c r="I864">
        <v>0</v>
      </c>
      <c r="J864" t="s">
        <v>87</v>
      </c>
      <c r="K864">
        <v>0</v>
      </c>
      <c r="L864">
        <v>1</v>
      </c>
    </row>
    <row r="865" spans="1:12">
      <c r="A865" s="93">
        <v>146010</v>
      </c>
      <c r="B865" t="s">
        <v>1452</v>
      </c>
      <c r="C865" t="s">
        <v>5607</v>
      </c>
      <c r="D865" s="92">
        <v>0.15</v>
      </c>
      <c r="E865" s="92">
        <v>0.11</v>
      </c>
      <c r="F865" t="s">
        <v>428</v>
      </c>
      <c r="G865" t="s">
        <v>428</v>
      </c>
      <c r="H865" t="s">
        <v>5616</v>
      </c>
      <c r="I865">
        <v>0</v>
      </c>
      <c r="J865" t="s">
        <v>87</v>
      </c>
      <c r="K865">
        <v>0</v>
      </c>
      <c r="L865">
        <v>1</v>
      </c>
    </row>
    <row r="866" spans="1:12">
      <c r="A866" s="93">
        <v>146205</v>
      </c>
      <c r="B866" t="s">
        <v>1453</v>
      </c>
      <c r="C866" t="s">
        <v>5606</v>
      </c>
      <c r="D866" s="92">
        <v>0.36</v>
      </c>
      <c r="E866" s="92">
        <v>0.29</v>
      </c>
      <c r="F866" t="s">
        <v>428</v>
      </c>
      <c r="G866" t="s">
        <v>428</v>
      </c>
      <c r="H866" t="s">
        <v>5614</v>
      </c>
      <c r="I866">
        <v>1</v>
      </c>
      <c r="J866" t="s">
        <v>87</v>
      </c>
      <c r="K866">
        <v>1</v>
      </c>
      <c r="L866">
        <v>0</v>
      </c>
    </row>
    <row r="867" spans="1:12">
      <c r="A867" s="93">
        <v>146241</v>
      </c>
      <c r="B867" t="s">
        <v>1454</v>
      </c>
      <c r="C867" t="s">
        <v>5607</v>
      </c>
      <c r="D867" s="92" t="s">
        <v>428</v>
      </c>
      <c r="E867" s="92" t="s">
        <v>428</v>
      </c>
      <c r="F867" t="s">
        <v>428</v>
      </c>
      <c r="G867" t="s">
        <v>428</v>
      </c>
      <c r="H867" t="s">
        <v>5615</v>
      </c>
      <c r="I867">
        <v>0</v>
      </c>
      <c r="J867" t="s">
        <v>87</v>
      </c>
      <c r="K867">
        <v>0</v>
      </c>
      <c r="L867">
        <v>1</v>
      </c>
    </row>
    <row r="868" spans="1:12">
      <c r="A868" s="93">
        <v>146278</v>
      </c>
      <c r="B868" t="s">
        <v>1455</v>
      </c>
      <c r="C868" t="s">
        <v>5606</v>
      </c>
      <c r="D868" s="92">
        <v>0.47</v>
      </c>
      <c r="E868" s="92">
        <v>0.36</v>
      </c>
      <c r="F868" t="s">
        <v>428</v>
      </c>
      <c r="G868" t="s">
        <v>428</v>
      </c>
      <c r="H868" t="s">
        <v>5624</v>
      </c>
      <c r="I868">
        <v>1</v>
      </c>
      <c r="J868" t="s">
        <v>87</v>
      </c>
      <c r="K868">
        <v>1</v>
      </c>
      <c r="L868">
        <v>0</v>
      </c>
    </row>
    <row r="869" spans="1:12">
      <c r="A869" s="93">
        <v>146296</v>
      </c>
      <c r="B869" t="s">
        <v>1456</v>
      </c>
      <c r="C869" t="s">
        <v>5606</v>
      </c>
      <c r="D869" s="92">
        <v>0.29</v>
      </c>
      <c r="E869" s="92">
        <v>0.24</v>
      </c>
      <c r="F869" t="s">
        <v>428</v>
      </c>
      <c r="G869" t="s">
        <v>428</v>
      </c>
      <c r="H869" t="s">
        <v>5614</v>
      </c>
      <c r="I869">
        <v>1</v>
      </c>
      <c r="J869" t="s">
        <v>87</v>
      </c>
      <c r="K869">
        <v>1</v>
      </c>
      <c r="L869">
        <v>1</v>
      </c>
    </row>
    <row r="870" spans="1:12">
      <c r="A870" s="93">
        <v>146339</v>
      </c>
      <c r="B870" t="s">
        <v>1457</v>
      </c>
      <c r="C870" t="s">
        <v>5602</v>
      </c>
      <c r="D870" s="92">
        <v>0.55</v>
      </c>
      <c r="E870" s="92">
        <v>0.46</v>
      </c>
      <c r="F870">
        <v>19</v>
      </c>
      <c r="G870">
        <v>21.5</v>
      </c>
      <c r="H870" t="s">
        <v>5617</v>
      </c>
      <c r="I870">
        <v>0</v>
      </c>
      <c r="J870" t="s">
        <v>87</v>
      </c>
      <c r="K870">
        <v>0</v>
      </c>
      <c r="L870">
        <v>1</v>
      </c>
    </row>
    <row r="871" spans="1:12">
      <c r="A871" s="93">
        <v>146348</v>
      </c>
      <c r="B871" t="s">
        <v>1458</v>
      </c>
      <c r="C871" t="s">
        <v>5606</v>
      </c>
      <c r="D871" s="92">
        <v>0.39</v>
      </c>
      <c r="E871" s="92">
        <v>0.26</v>
      </c>
      <c r="F871" t="s">
        <v>428</v>
      </c>
      <c r="G871" t="s">
        <v>428</v>
      </c>
      <c r="H871" t="s">
        <v>5614</v>
      </c>
      <c r="I871">
        <v>1</v>
      </c>
      <c r="J871" t="s">
        <v>87</v>
      </c>
      <c r="K871">
        <v>1</v>
      </c>
      <c r="L871">
        <v>1</v>
      </c>
    </row>
    <row r="872" spans="1:12">
      <c r="A872" s="93">
        <v>146366</v>
      </c>
      <c r="B872" t="s">
        <v>1459</v>
      </c>
      <c r="C872" t="s">
        <v>5606</v>
      </c>
      <c r="D872" s="92">
        <v>0.52</v>
      </c>
      <c r="E872" s="92">
        <v>0.5</v>
      </c>
      <c r="F872" t="s">
        <v>428</v>
      </c>
      <c r="G872" t="s">
        <v>428</v>
      </c>
      <c r="H872" t="s">
        <v>5624</v>
      </c>
      <c r="I872">
        <v>1</v>
      </c>
      <c r="J872" t="s">
        <v>87</v>
      </c>
      <c r="K872">
        <v>1</v>
      </c>
      <c r="L872">
        <v>0</v>
      </c>
    </row>
    <row r="873" spans="1:12">
      <c r="A873" s="93">
        <v>146393</v>
      </c>
      <c r="B873" t="s">
        <v>589</v>
      </c>
      <c r="C873" t="s">
        <v>5602</v>
      </c>
      <c r="D873" s="92">
        <v>0.19</v>
      </c>
      <c r="E873" s="92">
        <v>0.08</v>
      </c>
      <c r="F873" t="s">
        <v>428</v>
      </c>
      <c r="G873" t="s">
        <v>428</v>
      </c>
      <c r="H873" t="s">
        <v>5617</v>
      </c>
      <c r="I873">
        <v>0</v>
      </c>
      <c r="J873" t="s">
        <v>87</v>
      </c>
      <c r="K873">
        <v>0</v>
      </c>
      <c r="L873">
        <v>1</v>
      </c>
    </row>
    <row r="874" spans="1:12">
      <c r="A874" s="93">
        <v>146418</v>
      </c>
      <c r="B874" t="s">
        <v>1460</v>
      </c>
      <c r="C874" t="s">
        <v>5606</v>
      </c>
      <c r="D874" s="92">
        <v>0.41</v>
      </c>
      <c r="E874" s="92">
        <v>0.3</v>
      </c>
      <c r="F874" t="s">
        <v>428</v>
      </c>
      <c r="G874" t="s">
        <v>428</v>
      </c>
      <c r="H874" t="s">
        <v>5614</v>
      </c>
      <c r="I874">
        <v>1</v>
      </c>
      <c r="J874" t="s">
        <v>87</v>
      </c>
      <c r="K874">
        <v>1</v>
      </c>
      <c r="L874">
        <v>0</v>
      </c>
    </row>
    <row r="875" spans="1:12">
      <c r="A875" s="93">
        <v>146427</v>
      </c>
      <c r="B875" t="s">
        <v>459</v>
      </c>
      <c r="C875" t="s">
        <v>5603</v>
      </c>
      <c r="D875" s="92">
        <v>0.78</v>
      </c>
      <c r="E875" s="92">
        <v>0.73</v>
      </c>
      <c r="F875" t="s">
        <v>428</v>
      </c>
      <c r="G875" t="s">
        <v>428</v>
      </c>
      <c r="H875" t="s">
        <v>5616</v>
      </c>
      <c r="I875">
        <v>0</v>
      </c>
      <c r="J875" t="s">
        <v>87</v>
      </c>
      <c r="K875">
        <v>0</v>
      </c>
      <c r="L875">
        <v>0</v>
      </c>
    </row>
    <row r="876" spans="1:12">
      <c r="A876" s="93">
        <v>146472</v>
      </c>
      <c r="B876" t="s">
        <v>1461</v>
      </c>
      <c r="C876" t="s">
        <v>5606</v>
      </c>
      <c r="D876" s="92">
        <v>0.38</v>
      </c>
      <c r="E876" s="92">
        <v>0.3</v>
      </c>
      <c r="F876" t="s">
        <v>428</v>
      </c>
      <c r="G876" t="s">
        <v>428</v>
      </c>
      <c r="H876" t="s">
        <v>5614</v>
      </c>
      <c r="I876">
        <v>1</v>
      </c>
      <c r="J876" t="s">
        <v>87</v>
      </c>
      <c r="K876">
        <v>1</v>
      </c>
      <c r="L876">
        <v>1</v>
      </c>
    </row>
    <row r="877" spans="1:12">
      <c r="A877" s="93">
        <v>146481</v>
      </c>
      <c r="B877" t="s">
        <v>540</v>
      </c>
      <c r="C877" t="s">
        <v>5603</v>
      </c>
      <c r="D877" s="92">
        <v>0.72</v>
      </c>
      <c r="E877" s="92">
        <v>0.68</v>
      </c>
      <c r="F877" t="s">
        <v>428</v>
      </c>
      <c r="G877" t="s">
        <v>428</v>
      </c>
      <c r="H877" t="s">
        <v>5613</v>
      </c>
      <c r="I877">
        <v>1</v>
      </c>
      <c r="J877" t="s">
        <v>87</v>
      </c>
      <c r="K877">
        <v>0</v>
      </c>
      <c r="L877">
        <v>1</v>
      </c>
    </row>
    <row r="878" spans="1:12">
      <c r="A878" s="93">
        <v>146490</v>
      </c>
      <c r="B878" t="s">
        <v>1462</v>
      </c>
      <c r="C878" t="s">
        <v>5607</v>
      </c>
      <c r="D878" s="92" t="s">
        <v>428</v>
      </c>
      <c r="E878" s="92" t="s">
        <v>428</v>
      </c>
      <c r="F878" t="s">
        <v>428</v>
      </c>
      <c r="G878" t="s">
        <v>428</v>
      </c>
      <c r="H878" t="s">
        <v>5615</v>
      </c>
      <c r="I878">
        <v>0</v>
      </c>
      <c r="J878" t="s">
        <v>87</v>
      </c>
      <c r="K878">
        <v>0</v>
      </c>
      <c r="L878">
        <v>1</v>
      </c>
    </row>
    <row r="879" spans="1:12">
      <c r="A879" s="93">
        <v>146506</v>
      </c>
      <c r="B879" t="s">
        <v>1463</v>
      </c>
      <c r="C879" t="s">
        <v>5606</v>
      </c>
      <c r="D879" s="92">
        <v>0.47</v>
      </c>
      <c r="E879" s="92">
        <v>0.39</v>
      </c>
      <c r="F879" t="s">
        <v>428</v>
      </c>
      <c r="G879" t="s">
        <v>428</v>
      </c>
      <c r="H879" t="s">
        <v>5614</v>
      </c>
      <c r="I879">
        <v>1</v>
      </c>
      <c r="J879" t="s">
        <v>87</v>
      </c>
      <c r="K879">
        <v>1</v>
      </c>
      <c r="L879">
        <v>0</v>
      </c>
    </row>
    <row r="880" spans="1:12">
      <c r="A880" s="93">
        <v>146533</v>
      </c>
      <c r="B880" t="s">
        <v>1464</v>
      </c>
      <c r="C880" t="s">
        <v>5607</v>
      </c>
      <c r="D880" s="92" t="s">
        <v>428</v>
      </c>
      <c r="E880" s="92" t="s">
        <v>428</v>
      </c>
      <c r="F880" t="s">
        <v>428</v>
      </c>
      <c r="G880" t="s">
        <v>428</v>
      </c>
      <c r="H880" t="s">
        <v>5615</v>
      </c>
      <c r="I880">
        <v>0</v>
      </c>
      <c r="J880" t="s">
        <v>87</v>
      </c>
      <c r="K880">
        <v>0</v>
      </c>
      <c r="L880">
        <v>0</v>
      </c>
    </row>
    <row r="881" spans="1:12">
      <c r="A881" s="93">
        <v>146603</v>
      </c>
      <c r="B881" t="s">
        <v>1465</v>
      </c>
      <c r="C881" t="s">
        <v>5606</v>
      </c>
      <c r="D881" s="92">
        <v>0.45</v>
      </c>
      <c r="E881" s="92">
        <v>0.34</v>
      </c>
      <c r="F881" t="s">
        <v>428</v>
      </c>
      <c r="G881" t="s">
        <v>428</v>
      </c>
      <c r="H881" t="s">
        <v>5624</v>
      </c>
      <c r="I881">
        <v>1</v>
      </c>
      <c r="J881" t="s">
        <v>87</v>
      </c>
      <c r="K881">
        <v>1</v>
      </c>
      <c r="L881">
        <v>0</v>
      </c>
    </row>
    <row r="882" spans="1:12">
      <c r="A882" s="93">
        <v>146612</v>
      </c>
      <c r="B882" t="s">
        <v>554</v>
      </c>
      <c r="C882" t="s">
        <v>5602</v>
      </c>
      <c r="D882" s="92">
        <v>0.63</v>
      </c>
      <c r="E882" s="92">
        <v>0.47</v>
      </c>
      <c r="F882">
        <v>21</v>
      </c>
      <c r="G882">
        <v>23.5</v>
      </c>
      <c r="H882" t="s">
        <v>5613</v>
      </c>
      <c r="I882">
        <v>1</v>
      </c>
      <c r="J882" t="s">
        <v>87</v>
      </c>
      <c r="K882">
        <v>0</v>
      </c>
      <c r="L882">
        <v>1</v>
      </c>
    </row>
    <row r="883" spans="1:12">
      <c r="A883" s="93">
        <v>146667</v>
      </c>
      <c r="B883" t="s">
        <v>1466</v>
      </c>
      <c r="C883" t="s">
        <v>5602</v>
      </c>
      <c r="D883" s="92">
        <v>0.5600000000000001</v>
      </c>
      <c r="E883" s="92">
        <v>0.42</v>
      </c>
      <c r="F883">
        <v>19</v>
      </c>
      <c r="G883">
        <v>21.5</v>
      </c>
      <c r="H883" t="s">
        <v>5617</v>
      </c>
      <c r="I883">
        <v>0</v>
      </c>
      <c r="J883" t="s">
        <v>87</v>
      </c>
      <c r="K883">
        <v>0</v>
      </c>
      <c r="L883">
        <v>0</v>
      </c>
    </row>
    <row r="884" spans="1:12">
      <c r="A884" s="93">
        <v>146676</v>
      </c>
      <c r="B884" t="s">
        <v>1467</v>
      </c>
      <c r="C884" t="s">
        <v>5604</v>
      </c>
      <c r="D884" s="92">
        <v>0.23</v>
      </c>
      <c r="E884" s="92">
        <v>0.23</v>
      </c>
      <c r="F884">
        <v>15</v>
      </c>
      <c r="G884">
        <v>17</v>
      </c>
      <c r="H884" t="s">
        <v>5613</v>
      </c>
      <c r="I884">
        <v>1</v>
      </c>
      <c r="J884" t="s">
        <v>87</v>
      </c>
      <c r="K884">
        <v>0</v>
      </c>
      <c r="L884">
        <v>0</v>
      </c>
    </row>
    <row r="885" spans="1:12">
      <c r="A885" s="93">
        <v>146685</v>
      </c>
      <c r="B885" t="s">
        <v>1468</v>
      </c>
      <c r="C885" t="s">
        <v>5606</v>
      </c>
      <c r="D885" s="92">
        <v>0.39</v>
      </c>
      <c r="E885" s="92">
        <v>0.2</v>
      </c>
      <c r="F885" t="s">
        <v>428</v>
      </c>
      <c r="G885" t="s">
        <v>428</v>
      </c>
      <c r="H885" t="s">
        <v>5614</v>
      </c>
      <c r="I885">
        <v>1</v>
      </c>
      <c r="J885" t="s">
        <v>87</v>
      </c>
      <c r="K885">
        <v>1</v>
      </c>
      <c r="L885">
        <v>0</v>
      </c>
    </row>
    <row r="886" spans="1:12">
      <c r="A886" s="93">
        <v>146700</v>
      </c>
      <c r="B886" t="s">
        <v>1469</v>
      </c>
      <c r="C886" t="s">
        <v>5606</v>
      </c>
      <c r="D886" s="92" t="s">
        <v>428</v>
      </c>
      <c r="E886" s="92" t="s">
        <v>428</v>
      </c>
      <c r="F886" t="s">
        <v>428</v>
      </c>
      <c r="G886" t="s">
        <v>428</v>
      </c>
      <c r="H886" t="s">
        <v>5616</v>
      </c>
      <c r="I886">
        <v>0</v>
      </c>
      <c r="J886" t="s">
        <v>87</v>
      </c>
      <c r="K886">
        <v>0</v>
      </c>
      <c r="L886">
        <v>1</v>
      </c>
    </row>
    <row r="887" spans="1:12">
      <c r="A887" s="93">
        <v>146719</v>
      </c>
      <c r="B887" t="s">
        <v>518</v>
      </c>
      <c r="C887" t="s">
        <v>5603</v>
      </c>
      <c r="D887" s="92">
        <v>0.75</v>
      </c>
      <c r="E887" s="92">
        <v>0.64</v>
      </c>
      <c r="F887">
        <v>24</v>
      </c>
      <c r="G887">
        <v>26.5</v>
      </c>
      <c r="H887" t="s">
        <v>5626</v>
      </c>
      <c r="I887">
        <v>0</v>
      </c>
      <c r="J887" t="s">
        <v>87</v>
      </c>
      <c r="K887">
        <v>0</v>
      </c>
      <c r="L887">
        <v>1</v>
      </c>
    </row>
    <row r="888" spans="1:12">
      <c r="A888" s="93">
        <v>146728</v>
      </c>
      <c r="B888" t="s">
        <v>1470</v>
      </c>
      <c r="C888" t="s">
        <v>5607</v>
      </c>
      <c r="D888" s="92" t="s">
        <v>428</v>
      </c>
      <c r="E888" s="92" t="s">
        <v>428</v>
      </c>
      <c r="F888" t="s">
        <v>428</v>
      </c>
      <c r="G888" t="s">
        <v>428</v>
      </c>
      <c r="H888" t="s">
        <v>5615</v>
      </c>
      <c r="I888">
        <v>0</v>
      </c>
      <c r="J888" t="s">
        <v>87</v>
      </c>
      <c r="K888">
        <v>0</v>
      </c>
      <c r="L888">
        <v>1</v>
      </c>
    </row>
    <row r="889" spans="1:12">
      <c r="A889" s="93">
        <v>146755</v>
      </c>
      <c r="B889" t="s">
        <v>1471</v>
      </c>
      <c r="C889" t="s">
        <v>5610</v>
      </c>
      <c r="D889" s="92" t="s">
        <v>428</v>
      </c>
      <c r="E889" s="92" t="s">
        <v>428</v>
      </c>
      <c r="F889" t="s">
        <v>428</v>
      </c>
      <c r="G889" t="s">
        <v>428</v>
      </c>
      <c r="H889" t="s">
        <v>5615</v>
      </c>
      <c r="I889">
        <v>0</v>
      </c>
      <c r="J889" t="s">
        <v>87</v>
      </c>
      <c r="K889">
        <v>0</v>
      </c>
      <c r="L889">
        <v>0</v>
      </c>
    </row>
    <row r="890" spans="1:12">
      <c r="A890" s="93">
        <v>146816</v>
      </c>
      <c r="B890" t="s">
        <v>1472</v>
      </c>
      <c r="C890" t="s">
        <v>5606</v>
      </c>
      <c r="D890" s="92" t="s">
        <v>428</v>
      </c>
      <c r="E890" s="92" t="s">
        <v>428</v>
      </c>
      <c r="F890" t="s">
        <v>428</v>
      </c>
      <c r="G890" t="s">
        <v>428</v>
      </c>
      <c r="H890" t="s">
        <v>5617</v>
      </c>
      <c r="I890">
        <v>0</v>
      </c>
      <c r="J890" t="s">
        <v>87</v>
      </c>
      <c r="K890">
        <v>0</v>
      </c>
      <c r="L890">
        <v>1</v>
      </c>
    </row>
    <row r="891" spans="1:12">
      <c r="A891" s="93">
        <v>146825</v>
      </c>
      <c r="B891" t="s">
        <v>1473</v>
      </c>
      <c r="C891" t="s">
        <v>5602</v>
      </c>
      <c r="D891" s="92">
        <v>0.29</v>
      </c>
      <c r="E891" s="92">
        <v>0.16</v>
      </c>
      <c r="F891">
        <v>18</v>
      </c>
      <c r="G891">
        <v>20</v>
      </c>
      <c r="H891" t="s">
        <v>5616</v>
      </c>
      <c r="I891">
        <v>0</v>
      </c>
      <c r="J891" t="s">
        <v>87</v>
      </c>
      <c r="K891">
        <v>0</v>
      </c>
      <c r="L891">
        <v>0</v>
      </c>
    </row>
    <row r="892" spans="1:12">
      <c r="A892" s="93">
        <v>146977</v>
      </c>
      <c r="B892" t="s">
        <v>1474</v>
      </c>
      <c r="C892" t="s">
        <v>5607</v>
      </c>
      <c r="D892" s="92" t="s">
        <v>428</v>
      </c>
      <c r="E892" s="92" t="s">
        <v>428</v>
      </c>
      <c r="F892" t="s">
        <v>428</v>
      </c>
      <c r="G892" t="s">
        <v>428</v>
      </c>
      <c r="H892" t="s">
        <v>5615</v>
      </c>
      <c r="I892">
        <v>0</v>
      </c>
      <c r="J892" t="s">
        <v>87</v>
      </c>
      <c r="K892">
        <v>0</v>
      </c>
      <c r="L892">
        <v>1</v>
      </c>
    </row>
    <row r="893" spans="1:12">
      <c r="A893" s="93">
        <v>147004</v>
      </c>
      <c r="B893" t="s">
        <v>1475</v>
      </c>
      <c r="C893" t="s">
        <v>5606</v>
      </c>
      <c r="D893" s="92">
        <v>0.42</v>
      </c>
      <c r="E893" s="92">
        <v>0.36</v>
      </c>
      <c r="F893" t="s">
        <v>428</v>
      </c>
      <c r="G893" t="s">
        <v>428</v>
      </c>
      <c r="H893" t="s">
        <v>5624</v>
      </c>
      <c r="I893">
        <v>1</v>
      </c>
      <c r="J893" t="s">
        <v>87</v>
      </c>
      <c r="K893">
        <v>1</v>
      </c>
      <c r="L893">
        <v>1</v>
      </c>
    </row>
    <row r="894" spans="1:12">
      <c r="A894" s="93">
        <v>147013</v>
      </c>
      <c r="B894" t="s">
        <v>1476</v>
      </c>
      <c r="C894" t="s">
        <v>5602</v>
      </c>
      <c r="D894" s="92">
        <v>0.55</v>
      </c>
      <c r="E894" s="92">
        <v>0.38</v>
      </c>
      <c r="F894">
        <v>20</v>
      </c>
      <c r="G894">
        <v>22</v>
      </c>
      <c r="H894" t="s">
        <v>5617</v>
      </c>
      <c r="I894">
        <v>0</v>
      </c>
      <c r="J894" t="s">
        <v>87</v>
      </c>
      <c r="K894">
        <v>0</v>
      </c>
      <c r="L894">
        <v>0</v>
      </c>
    </row>
    <row r="895" spans="1:12">
      <c r="A895" s="93">
        <v>147031</v>
      </c>
      <c r="B895" t="s">
        <v>1477</v>
      </c>
      <c r="C895" t="s">
        <v>5607</v>
      </c>
      <c r="D895" s="92" t="s">
        <v>428</v>
      </c>
      <c r="E895" s="92" t="s">
        <v>428</v>
      </c>
      <c r="F895" t="s">
        <v>428</v>
      </c>
      <c r="G895" t="s">
        <v>428</v>
      </c>
      <c r="H895" t="s">
        <v>5615</v>
      </c>
      <c r="I895">
        <v>0</v>
      </c>
      <c r="J895" t="s">
        <v>87</v>
      </c>
      <c r="K895">
        <v>0</v>
      </c>
      <c r="L895">
        <v>1</v>
      </c>
    </row>
    <row r="896" spans="1:12">
      <c r="A896" s="93">
        <v>147129</v>
      </c>
      <c r="B896" t="s">
        <v>1478</v>
      </c>
      <c r="C896" t="s">
        <v>5602</v>
      </c>
      <c r="D896" s="92">
        <v>0.46</v>
      </c>
      <c r="E896" s="92" t="s">
        <v>428</v>
      </c>
      <c r="F896">
        <v>19</v>
      </c>
      <c r="G896">
        <v>21</v>
      </c>
      <c r="H896" t="s">
        <v>5617</v>
      </c>
      <c r="I896">
        <v>0</v>
      </c>
      <c r="J896" t="s">
        <v>87</v>
      </c>
      <c r="K896">
        <v>0</v>
      </c>
      <c r="L896">
        <v>0</v>
      </c>
    </row>
    <row r="897" spans="1:12">
      <c r="A897" s="93">
        <v>147165</v>
      </c>
      <c r="B897" t="s">
        <v>1479</v>
      </c>
      <c r="C897" t="s">
        <v>5607</v>
      </c>
      <c r="D897" s="92">
        <v>1</v>
      </c>
      <c r="E897" s="92" t="s">
        <v>428</v>
      </c>
      <c r="F897" t="s">
        <v>428</v>
      </c>
      <c r="G897" t="s">
        <v>428</v>
      </c>
      <c r="H897" t="s">
        <v>5617</v>
      </c>
      <c r="I897">
        <v>0</v>
      </c>
      <c r="J897" t="s">
        <v>87</v>
      </c>
      <c r="K897">
        <v>0</v>
      </c>
      <c r="L897">
        <v>0</v>
      </c>
    </row>
    <row r="898" spans="1:12">
      <c r="A898" s="93">
        <v>147244</v>
      </c>
      <c r="B898" t="s">
        <v>549</v>
      </c>
      <c r="C898" t="s">
        <v>5602</v>
      </c>
      <c r="D898" s="92">
        <v>0.6</v>
      </c>
      <c r="E898" s="92">
        <v>0.46</v>
      </c>
      <c r="F898">
        <v>19</v>
      </c>
      <c r="G898">
        <v>22.5</v>
      </c>
      <c r="H898" t="s">
        <v>5616</v>
      </c>
      <c r="I898">
        <v>0</v>
      </c>
      <c r="J898" t="s">
        <v>87</v>
      </c>
      <c r="K898">
        <v>0</v>
      </c>
      <c r="L898">
        <v>0</v>
      </c>
    </row>
    <row r="899" spans="1:12">
      <c r="A899" s="93">
        <v>147341</v>
      </c>
      <c r="B899" t="s">
        <v>509</v>
      </c>
      <c r="C899" t="s">
        <v>5602</v>
      </c>
      <c r="D899" s="92">
        <v>0.5600000000000001</v>
      </c>
      <c r="E899" s="92">
        <v>0.38</v>
      </c>
      <c r="F899">
        <v>19</v>
      </c>
      <c r="G899">
        <v>22.5</v>
      </c>
      <c r="H899" t="s">
        <v>5613</v>
      </c>
      <c r="I899">
        <v>1</v>
      </c>
      <c r="J899" t="s">
        <v>87</v>
      </c>
      <c r="K899">
        <v>0</v>
      </c>
      <c r="L899">
        <v>0</v>
      </c>
    </row>
    <row r="900" spans="1:12">
      <c r="A900" s="93">
        <v>147369</v>
      </c>
      <c r="B900" t="s">
        <v>1480</v>
      </c>
      <c r="C900" t="s">
        <v>5607</v>
      </c>
      <c r="D900" s="92">
        <v>0.71</v>
      </c>
      <c r="E900" s="92">
        <v>0.51</v>
      </c>
      <c r="F900" t="s">
        <v>428</v>
      </c>
      <c r="G900" t="s">
        <v>428</v>
      </c>
      <c r="H900" t="s">
        <v>5616</v>
      </c>
      <c r="I900">
        <v>0</v>
      </c>
      <c r="J900" t="s">
        <v>87</v>
      </c>
      <c r="K900">
        <v>0</v>
      </c>
      <c r="L900">
        <v>1</v>
      </c>
    </row>
    <row r="901" spans="1:12">
      <c r="A901" s="93">
        <v>147378</v>
      </c>
      <c r="B901" t="s">
        <v>1481</v>
      </c>
      <c r="C901" t="s">
        <v>5606</v>
      </c>
      <c r="D901" s="92">
        <v>0.4</v>
      </c>
      <c r="E901" s="92">
        <v>0.33</v>
      </c>
      <c r="F901" t="s">
        <v>428</v>
      </c>
      <c r="G901" t="s">
        <v>428</v>
      </c>
      <c r="H901" t="s">
        <v>5614</v>
      </c>
      <c r="I901">
        <v>1</v>
      </c>
      <c r="J901" t="s">
        <v>87</v>
      </c>
      <c r="K901">
        <v>1</v>
      </c>
      <c r="L901">
        <v>1</v>
      </c>
    </row>
    <row r="902" spans="1:12">
      <c r="A902" s="93">
        <v>147396</v>
      </c>
      <c r="B902" t="s">
        <v>1482</v>
      </c>
      <c r="C902" t="s">
        <v>5606</v>
      </c>
      <c r="D902" s="92" t="s">
        <v>428</v>
      </c>
      <c r="E902" s="92" t="s">
        <v>428</v>
      </c>
      <c r="F902" t="s">
        <v>428</v>
      </c>
      <c r="G902" t="s">
        <v>428</v>
      </c>
      <c r="H902" t="s">
        <v>5616</v>
      </c>
      <c r="I902">
        <v>0</v>
      </c>
      <c r="J902" t="s">
        <v>87</v>
      </c>
      <c r="K902">
        <v>0</v>
      </c>
      <c r="L902">
        <v>0</v>
      </c>
    </row>
    <row r="903" spans="1:12">
      <c r="A903" s="93">
        <v>147411</v>
      </c>
      <c r="B903" t="s">
        <v>1483</v>
      </c>
      <c r="C903" t="s">
        <v>5606</v>
      </c>
      <c r="D903" s="92">
        <v>0.3</v>
      </c>
      <c r="E903" s="92">
        <v>0.29</v>
      </c>
      <c r="F903" t="s">
        <v>428</v>
      </c>
      <c r="G903" t="s">
        <v>428</v>
      </c>
      <c r="H903" t="s">
        <v>5614</v>
      </c>
      <c r="I903">
        <v>1</v>
      </c>
      <c r="J903" t="s">
        <v>87</v>
      </c>
      <c r="K903">
        <v>1</v>
      </c>
      <c r="L903">
        <v>1</v>
      </c>
    </row>
    <row r="904" spans="1:12">
      <c r="A904" s="93">
        <v>147439</v>
      </c>
      <c r="B904" t="s">
        <v>1484</v>
      </c>
      <c r="C904" t="s">
        <v>5606</v>
      </c>
      <c r="D904" s="92" t="s">
        <v>428</v>
      </c>
      <c r="E904" s="92" t="s">
        <v>428</v>
      </c>
      <c r="F904" t="s">
        <v>428</v>
      </c>
      <c r="G904" t="s">
        <v>428</v>
      </c>
      <c r="H904" t="s">
        <v>5616</v>
      </c>
      <c r="I904">
        <v>0</v>
      </c>
      <c r="J904" t="s">
        <v>87</v>
      </c>
      <c r="K904">
        <v>0</v>
      </c>
      <c r="L904">
        <v>0</v>
      </c>
    </row>
    <row r="905" spans="1:12">
      <c r="A905" s="93">
        <v>147536</v>
      </c>
      <c r="B905" t="s">
        <v>1485</v>
      </c>
      <c r="C905" t="s">
        <v>5608</v>
      </c>
      <c r="D905" s="92">
        <v>0.34</v>
      </c>
      <c r="E905" s="92">
        <v>0.41</v>
      </c>
      <c r="F905" t="s">
        <v>428</v>
      </c>
      <c r="G905" t="s">
        <v>428</v>
      </c>
      <c r="H905" t="s">
        <v>5614</v>
      </c>
      <c r="I905">
        <v>1</v>
      </c>
      <c r="J905" t="s">
        <v>87</v>
      </c>
      <c r="K905">
        <v>0</v>
      </c>
      <c r="L905">
        <v>1</v>
      </c>
    </row>
    <row r="906" spans="1:12">
      <c r="A906" s="93">
        <v>147590</v>
      </c>
      <c r="B906" t="s">
        <v>1486</v>
      </c>
      <c r="C906" t="s">
        <v>5607</v>
      </c>
      <c r="D906" s="92" t="s">
        <v>428</v>
      </c>
      <c r="E906" s="92" t="s">
        <v>428</v>
      </c>
      <c r="F906" t="s">
        <v>428</v>
      </c>
      <c r="G906" t="s">
        <v>428</v>
      </c>
      <c r="H906" t="s">
        <v>5615</v>
      </c>
      <c r="I906">
        <v>0</v>
      </c>
      <c r="J906" t="s">
        <v>87</v>
      </c>
      <c r="K906">
        <v>0</v>
      </c>
      <c r="L906">
        <v>1</v>
      </c>
    </row>
    <row r="907" spans="1:12">
      <c r="A907" s="93">
        <v>147660</v>
      </c>
      <c r="B907" t="s">
        <v>1487</v>
      </c>
      <c r="C907" t="s">
        <v>5603</v>
      </c>
      <c r="D907" s="92">
        <v>0.66</v>
      </c>
      <c r="E907" s="92">
        <v>0.47</v>
      </c>
      <c r="F907">
        <v>22</v>
      </c>
      <c r="G907">
        <v>24.5</v>
      </c>
      <c r="H907" t="s">
        <v>5617</v>
      </c>
      <c r="I907">
        <v>0</v>
      </c>
      <c r="J907" t="s">
        <v>87</v>
      </c>
      <c r="K907">
        <v>0</v>
      </c>
      <c r="L907">
        <v>1</v>
      </c>
    </row>
    <row r="908" spans="1:12">
      <c r="A908" s="93">
        <v>147679</v>
      </c>
      <c r="B908" t="s">
        <v>489</v>
      </c>
      <c r="C908" t="s">
        <v>5602</v>
      </c>
      <c r="D908" s="92">
        <v>0.53</v>
      </c>
      <c r="E908" s="92">
        <v>0.39</v>
      </c>
      <c r="F908">
        <v>18</v>
      </c>
      <c r="G908">
        <v>21</v>
      </c>
      <c r="H908" t="s">
        <v>5613</v>
      </c>
      <c r="I908">
        <v>1</v>
      </c>
      <c r="J908" t="s">
        <v>87</v>
      </c>
      <c r="K908">
        <v>0</v>
      </c>
      <c r="L908">
        <v>1</v>
      </c>
    </row>
    <row r="909" spans="1:12">
      <c r="A909" s="93">
        <v>147697</v>
      </c>
      <c r="B909" t="s">
        <v>1488</v>
      </c>
      <c r="C909" t="s">
        <v>5607</v>
      </c>
      <c r="D909" s="92" t="s">
        <v>428</v>
      </c>
      <c r="E909" s="92" t="s">
        <v>428</v>
      </c>
      <c r="F909" t="s">
        <v>428</v>
      </c>
      <c r="G909" t="s">
        <v>428</v>
      </c>
      <c r="H909" t="s">
        <v>5615</v>
      </c>
      <c r="I909">
        <v>0</v>
      </c>
      <c r="J909" t="s">
        <v>87</v>
      </c>
      <c r="K909">
        <v>0</v>
      </c>
      <c r="L909">
        <v>0</v>
      </c>
    </row>
    <row r="910" spans="1:12">
      <c r="A910" s="93">
        <v>147703</v>
      </c>
      <c r="B910" t="s">
        <v>440</v>
      </c>
      <c r="C910" t="s">
        <v>5602</v>
      </c>
      <c r="D910" s="92">
        <v>0.47</v>
      </c>
      <c r="E910" s="92">
        <v>0.32</v>
      </c>
      <c r="F910">
        <v>19</v>
      </c>
      <c r="G910">
        <v>22</v>
      </c>
      <c r="H910" t="s">
        <v>5613</v>
      </c>
      <c r="I910">
        <v>1</v>
      </c>
      <c r="J910" t="s">
        <v>87</v>
      </c>
      <c r="K910">
        <v>1</v>
      </c>
      <c r="L910">
        <v>0</v>
      </c>
    </row>
    <row r="911" spans="1:12">
      <c r="A911" s="93">
        <v>147749</v>
      </c>
      <c r="B911" t="s">
        <v>1489</v>
      </c>
      <c r="C911" t="s">
        <v>5609</v>
      </c>
      <c r="D911" s="92" t="s">
        <v>428</v>
      </c>
      <c r="E911" s="92" t="s">
        <v>428</v>
      </c>
      <c r="F911" t="s">
        <v>428</v>
      </c>
      <c r="G911" t="s">
        <v>428</v>
      </c>
      <c r="H911" t="s">
        <v>5617</v>
      </c>
      <c r="I911">
        <v>0</v>
      </c>
      <c r="J911" t="s">
        <v>87</v>
      </c>
      <c r="K911">
        <v>0</v>
      </c>
      <c r="L911">
        <v>1</v>
      </c>
    </row>
    <row r="912" spans="1:12">
      <c r="A912" s="93">
        <v>147767</v>
      </c>
      <c r="B912" t="s">
        <v>477</v>
      </c>
      <c r="C912" t="s">
        <v>5611</v>
      </c>
      <c r="D912" s="92">
        <v>0.9399999999999999</v>
      </c>
      <c r="E912" s="92">
        <v>0.92</v>
      </c>
      <c r="F912">
        <v>32</v>
      </c>
      <c r="G912">
        <v>33</v>
      </c>
      <c r="H912" t="s">
        <v>5619</v>
      </c>
      <c r="I912">
        <v>1</v>
      </c>
      <c r="J912" t="s">
        <v>87</v>
      </c>
      <c r="K912">
        <v>0</v>
      </c>
      <c r="L912">
        <v>1</v>
      </c>
    </row>
    <row r="913" spans="1:12">
      <c r="A913" s="93">
        <v>147776</v>
      </c>
      <c r="B913" t="s">
        <v>445</v>
      </c>
      <c r="C913" t="s">
        <v>5608</v>
      </c>
      <c r="D913" s="92">
        <v>0.24</v>
      </c>
      <c r="E913" s="92">
        <v>0.19</v>
      </c>
      <c r="F913">
        <v>16</v>
      </c>
      <c r="G913">
        <v>18</v>
      </c>
      <c r="H913" t="s">
        <v>5613</v>
      </c>
      <c r="I913">
        <v>1</v>
      </c>
      <c r="J913" t="s">
        <v>87</v>
      </c>
      <c r="K913">
        <v>1</v>
      </c>
      <c r="L913">
        <v>1</v>
      </c>
    </row>
    <row r="914" spans="1:12">
      <c r="A914" s="93">
        <v>147800</v>
      </c>
      <c r="B914" t="s">
        <v>1490</v>
      </c>
      <c r="C914" t="s">
        <v>5606</v>
      </c>
      <c r="D914" s="92">
        <v>0.36</v>
      </c>
      <c r="E914" s="92">
        <v>0.29</v>
      </c>
      <c r="F914" t="s">
        <v>428</v>
      </c>
      <c r="G914" t="s">
        <v>428</v>
      </c>
      <c r="H914" t="s">
        <v>5614</v>
      </c>
      <c r="I914">
        <v>1</v>
      </c>
      <c r="J914" t="s">
        <v>87</v>
      </c>
      <c r="K914">
        <v>1</v>
      </c>
      <c r="L914">
        <v>1</v>
      </c>
    </row>
    <row r="915" spans="1:12">
      <c r="A915" s="93">
        <v>147828</v>
      </c>
      <c r="B915" t="s">
        <v>441</v>
      </c>
      <c r="C915" t="s">
        <v>5602</v>
      </c>
      <c r="D915" s="92">
        <v>0.58</v>
      </c>
      <c r="E915" s="92">
        <v>0.3</v>
      </c>
      <c r="F915">
        <v>21</v>
      </c>
      <c r="G915">
        <v>24</v>
      </c>
      <c r="H915" t="s">
        <v>5616</v>
      </c>
      <c r="I915">
        <v>0</v>
      </c>
      <c r="J915" t="s">
        <v>87</v>
      </c>
      <c r="K915">
        <v>0</v>
      </c>
      <c r="L915">
        <v>1</v>
      </c>
    </row>
    <row r="916" spans="1:12">
      <c r="A916" s="93">
        <v>147916</v>
      </c>
      <c r="B916" t="s">
        <v>1491</v>
      </c>
      <c r="C916" t="s">
        <v>5606</v>
      </c>
      <c r="D916" s="92">
        <v>0.35</v>
      </c>
      <c r="E916" s="92">
        <v>0.25</v>
      </c>
      <c r="F916" t="s">
        <v>428</v>
      </c>
      <c r="G916" t="s">
        <v>428</v>
      </c>
      <c r="H916" t="s">
        <v>5614</v>
      </c>
      <c r="I916">
        <v>1</v>
      </c>
      <c r="J916" t="s">
        <v>87</v>
      </c>
      <c r="K916">
        <v>1</v>
      </c>
      <c r="L916">
        <v>0</v>
      </c>
    </row>
    <row r="917" spans="1:12">
      <c r="A917" s="93">
        <v>148007</v>
      </c>
      <c r="B917" t="s">
        <v>1492</v>
      </c>
      <c r="C917" t="s">
        <v>5606</v>
      </c>
      <c r="D917" s="92">
        <v>0.32</v>
      </c>
      <c r="E917" s="92">
        <v>0.29</v>
      </c>
      <c r="F917" t="s">
        <v>428</v>
      </c>
      <c r="G917" t="s">
        <v>428</v>
      </c>
      <c r="H917" t="s">
        <v>5624</v>
      </c>
      <c r="I917">
        <v>1</v>
      </c>
      <c r="J917" t="s">
        <v>87</v>
      </c>
      <c r="K917">
        <v>1</v>
      </c>
      <c r="L917">
        <v>1</v>
      </c>
    </row>
    <row r="918" spans="1:12">
      <c r="A918" s="93">
        <v>148016</v>
      </c>
      <c r="B918" t="s">
        <v>1493</v>
      </c>
      <c r="C918" t="s">
        <v>5602</v>
      </c>
      <c r="D918" s="92">
        <v>0.79</v>
      </c>
      <c r="E918" s="92">
        <v>0.6</v>
      </c>
      <c r="F918">
        <v>22</v>
      </c>
      <c r="G918">
        <v>25</v>
      </c>
      <c r="H918" t="s">
        <v>5620</v>
      </c>
      <c r="I918">
        <v>0</v>
      </c>
      <c r="J918" t="s">
        <v>87</v>
      </c>
      <c r="K918">
        <v>0</v>
      </c>
      <c r="L918">
        <v>0</v>
      </c>
    </row>
    <row r="919" spans="1:12">
      <c r="A919" s="93">
        <v>148131</v>
      </c>
      <c r="B919" t="s">
        <v>1494</v>
      </c>
      <c r="C919" t="s">
        <v>5602</v>
      </c>
      <c r="D919" s="92">
        <v>0.5</v>
      </c>
      <c r="E919" s="92">
        <v>0.35</v>
      </c>
      <c r="F919">
        <v>18</v>
      </c>
      <c r="G919">
        <v>21</v>
      </c>
      <c r="H919" t="s">
        <v>5617</v>
      </c>
      <c r="I919">
        <v>0</v>
      </c>
      <c r="J919" t="s">
        <v>87</v>
      </c>
      <c r="K919">
        <v>0</v>
      </c>
      <c r="L919">
        <v>0</v>
      </c>
    </row>
    <row r="920" spans="1:12">
      <c r="A920" s="93">
        <v>148140</v>
      </c>
      <c r="B920" t="s">
        <v>1495</v>
      </c>
      <c r="C920" t="s">
        <v>5606</v>
      </c>
      <c r="D920" s="92" t="s">
        <v>428</v>
      </c>
      <c r="E920" s="92" t="s">
        <v>428</v>
      </c>
      <c r="F920" t="s">
        <v>428</v>
      </c>
      <c r="G920" t="s">
        <v>428</v>
      </c>
      <c r="H920" t="s">
        <v>5617</v>
      </c>
      <c r="I920">
        <v>0</v>
      </c>
      <c r="J920" t="s">
        <v>87</v>
      </c>
      <c r="K920">
        <v>0</v>
      </c>
      <c r="L920">
        <v>0</v>
      </c>
    </row>
    <row r="921" spans="1:12">
      <c r="A921" s="93">
        <v>148177</v>
      </c>
      <c r="B921" t="s">
        <v>1496</v>
      </c>
      <c r="C921" t="s">
        <v>5604</v>
      </c>
      <c r="D921" s="92">
        <v>0.28</v>
      </c>
      <c r="E921" s="92">
        <v>0.29</v>
      </c>
      <c r="F921" t="s">
        <v>428</v>
      </c>
      <c r="G921" t="s">
        <v>428</v>
      </c>
      <c r="H921" t="s">
        <v>5617</v>
      </c>
      <c r="I921">
        <v>0</v>
      </c>
      <c r="J921" t="s">
        <v>87</v>
      </c>
      <c r="K921">
        <v>0</v>
      </c>
      <c r="L921">
        <v>1</v>
      </c>
    </row>
    <row r="922" spans="1:12">
      <c r="A922" s="93">
        <v>148256</v>
      </c>
      <c r="B922" t="s">
        <v>1497</v>
      </c>
      <c r="C922" t="s">
        <v>5606</v>
      </c>
      <c r="D922" s="92">
        <v>0.59</v>
      </c>
      <c r="E922" s="92">
        <v>0.44</v>
      </c>
      <c r="F922" t="s">
        <v>428</v>
      </c>
      <c r="G922" t="s">
        <v>428</v>
      </c>
      <c r="H922" t="s">
        <v>5614</v>
      </c>
      <c r="I922">
        <v>1</v>
      </c>
      <c r="J922" t="s">
        <v>87</v>
      </c>
      <c r="K922">
        <v>1</v>
      </c>
      <c r="L922">
        <v>0</v>
      </c>
    </row>
    <row r="923" spans="1:12">
      <c r="A923" s="93">
        <v>148292</v>
      </c>
      <c r="B923" t="s">
        <v>1498</v>
      </c>
      <c r="C923" t="s">
        <v>5606</v>
      </c>
      <c r="D923" s="92">
        <v>0.39</v>
      </c>
      <c r="E923" s="92">
        <v>0.32</v>
      </c>
      <c r="F923" t="s">
        <v>428</v>
      </c>
      <c r="G923" t="s">
        <v>428</v>
      </c>
      <c r="H923" t="s">
        <v>5624</v>
      </c>
      <c r="I923">
        <v>1</v>
      </c>
      <c r="J923" t="s">
        <v>87</v>
      </c>
      <c r="K923">
        <v>1</v>
      </c>
      <c r="L923">
        <v>0</v>
      </c>
    </row>
    <row r="924" spans="1:12">
      <c r="A924" s="93">
        <v>148335</v>
      </c>
      <c r="B924" t="s">
        <v>450</v>
      </c>
      <c r="C924" t="s">
        <v>5607</v>
      </c>
      <c r="D924" s="92">
        <v>0.39</v>
      </c>
      <c r="E924" s="92">
        <v>0.39</v>
      </c>
      <c r="F924" t="s">
        <v>428</v>
      </c>
      <c r="G924" t="s">
        <v>428</v>
      </c>
      <c r="H924" t="s">
        <v>5617</v>
      </c>
      <c r="I924">
        <v>0</v>
      </c>
      <c r="J924" t="s">
        <v>87</v>
      </c>
      <c r="K924">
        <v>0</v>
      </c>
      <c r="L924">
        <v>1</v>
      </c>
    </row>
    <row r="925" spans="1:12">
      <c r="A925" s="93">
        <v>148380</v>
      </c>
      <c r="B925" t="s">
        <v>1499</v>
      </c>
      <c r="C925" t="s">
        <v>5606</v>
      </c>
      <c r="D925" s="92">
        <v>0.36</v>
      </c>
      <c r="E925" s="92">
        <v>0.29</v>
      </c>
      <c r="F925" t="s">
        <v>428</v>
      </c>
      <c r="G925" t="s">
        <v>428</v>
      </c>
      <c r="H925" t="s">
        <v>5614</v>
      </c>
      <c r="I925">
        <v>1</v>
      </c>
      <c r="J925" t="s">
        <v>87</v>
      </c>
      <c r="K925">
        <v>1</v>
      </c>
      <c r="L925">
        <v>0</v>
      </c>
    </row>
    <row r="926" spans="1:12">
      <c r="A926" s="93">
        <v>148399</v>
      </c>
      <c r="B926" t="s">
        <v>1500</v>
      </c>
      <c r="C926" t="s">
        <v>5606</v>
      </c>
      <c r="D926" s="92" t="s">
        <v>428</v>
      </c>
      <c r="E926" s="92" t="s">
        <v>428</v>
      </c>
      <c r="F926" t="s">
        <v>428</v>
      </c>
      <c r="G926" t="s">
        <v>428</v>
      </c>
      <c r="H926" t="s">
        <v>5617</v>
      </c>
      <c r="I926">
        <v>0</v>
      </c>
      <c r="J926" t="s">
        <v>87</v>
      </c>
      <c r="K926">
        <v>0</v>
      </c>
      <c r="L926">
        <v>0</v>
      </c>
    </row>
    <row r="927" spans="1:12">
      <c r="A927" s="93">
        <v>148405</v>
      </c>
      <c r="B927" t="s">
        <v>1501</v>
      </c>
      <c r="C927" t="s">
        <v>5602</v>
      </c>
      <c r="D927" s="92">
        <v>0.46</v>
      </c>
      <c r="E927" s="92">
        <v>0.3</v>
      </c>
      <c r="F927">
        <v>19</v>
      </c>
      <c r="G927">
        <v>21.5</v>
      </c>
      <c r="H927" t="s">
        <v>5616</v>
      </c>
      <c r="I927">
        <v>0</v>
      </c>
      <c r="J927" t="s">
        <v>87</v>
      </c>
      <c r="K927">
        <v>0</v>
      </c>
      <c r="L927">
        <v>0</v>
      </c>
    </row>
    <row r="928" spans="1:12">
      <c r="A928" s="93">
        <v>148487</v>
      </c>
      <c r="B928" t="s">
        <v>1502</v>
      </c>
      <c r="C928" t="s">
        <v>5603</v>
      </c>
      <c r="D928" s="92">
        <v>0.36</v>
      </c>
      <c r="E928" s="92">
        <v>0.27</v>
      </c>
      <c r="F928">
        <v>19</v>
      </c>
      <c r="G928">
        <v>21.5</v>
      </c>
      <c r="H928" t="s">
        <v>5613</v>
      </c>
      <c r="I928">
        <v>1</v>
      </c>
      <c r="J928" t="s">
        <v>87</v>
      </c>
      <c r="K928">
        <v>0</v>
      </c>
      <c r="L928">
        <v>1</v>
      </c>
    </row>
    <row r="929" spans="1:12">
      <c r="A929" s="93">
        <v>148496</v>
      </c>
      <c r="B929" t="s">
        <v>433</v>
      </c>
      <c r="C929" t="s">
        <v>5602</v>
      </c>
      <c r="D929" s="92">
        <v>0.61</v>
      </c>
      <c r="E929" s="92">
        <v>0.53</v>
      </c>
      <c r="F929">
        <v>20</v>
      </c>
      <c r="G929">
        <v>22.5</v>
      </c>
      <c r="H929" t="s">
        <v>5613</v>
      </c>
      <c r="I929">
        <v>1</v>
      </c>
      <c r="J929" t="s">
        <v>87</v>
      </c>
      <c r="K929">
        <v>0</v>
      </c>
      <c r="L929">
        <v>1</v>
      </c>
    </row>
    <row r="930" spans="1:12">
      <c r="A930" s="93">
        <v>148511</v>
      </c>
      <c r="B930" t="s">
        <v>1503</v>
      </c>
      <c r="C930" t="s">
        <v>5607</v>
      </c>
      <c r="D930" s="92" t="s">
        <v>428</v>
      </c>
      <c r="E930" s="92" t="s">
        <v>428</v>
      </c>
      <c r="F930" t="s">
        <v>428</v>
      </c>
      <c r="G930" t="s">
        <v>428</v>
      </c>
      <c r="H930" t="s">
        <v>5615</v>
      </c>
      <c r="I930">
        <v>0</v>
      </c>
      <c r="J930" t="s">
        <v>87</v>
      </c>
      <c r="K930">
        <v>0</v>
      </c>
      <c r="L930">
        <v>1</v>
      </c>
    </row>
    <row r="931" spans="1:12">
      <c r="A931" s="93">
        <v>148575</v>
      </c>
      <c r="B931" t="s">
        <v>1504</v>
      </c>
      <c r="C931" t="s">
        <v>5607</v>
      </c>
      <c r="D931" s="92" t="s">
        <v>428</v>
      </c>
      <c r="E931" s="92" t="s">
        <v>428</v>
      </c>
      <c r="F931" t="s">
        <v>428</v>
      </c>
      <c r="G931" t="s">
        <v>428</v>
      </c>
      <c r="H931" t="s">
        <v>5615</v>
      </c>
      <c r="I931">
        <v>0</v>
      </c>
      <c r="J931" t="s">
        <v>87</v>
      </c>
      <c r="K931">
        <v>0</v>
      </c>
      <c r="L931">
        <v>0</v>
      </c>
    </row>
    <row r="932" spans="1:12">
      <c r="A932" s="93">
        <v>148584</v>
      </c>
      <c r="B932" t="s">
        <v>1505</v>
      </c>
      <c r="C932" t="s">
        <v>5602</v>
      </c>
      <c r="D932" s="92">
        <v>0.61</v>
      </c>
      <c r="E932" s="92">
        <v>0.52</v>
      </c>
      <c r="F932">
        <v>20</v>
      </c>
      <c r="G932">
        <v>23</v>
      </c>
      <c r="H932" t="s">
        <v>5616</v>
      </c>
      <c r="I932">
        <v>0</v>
      </c>
      <c r="J932" t="s">
        <v>87</v>
      </c>
      <c r="K932">
        <v>0</v>
      </c>
      <c r="L932">
        <v>1</v>
      </c>
    </row>
    <row r="933" spans="1:12">
      <c r="A933" s="93">
        <v>148593</v>
      </c>
      <c r="B933" t="s">
        <v>1506</v>
      </c>
      <c r="C933" t="s">
        <v>5607</v>
      </c>
      <c r="D933" s="92" t="s">
        <v>428</v>
      </c>
      <c r="E933" s="92" t="s">
        <v>428</v>
      </c>
      <c r="F933" t="s">
        <v>428</v>
      </c>
      <c r="G933" t="s">
        <v>428</v>
      </c>
      <c r="H933" t="s">
        <v>5615</v>
      </c>
      <c r="I933">
        <v>0</v>
      </c>
      <c r="J933" t="s">
        <v>87</v>
      </c>
      <c r="K933">
        <v>0</v>
      </c>
      <c r="L933">
        <v>0</v>
      </c>
    </row>
    <row r="934" spans="1:12">
      <c r="A934" s="93">
        <v>148627</v>
      </c>
      <c r="B934" t="s">
        <v>524</v>
      </c>
      <c r="C934" t="s">
        <v>5602</v>
      </c>
      <c r="D934" s="92">
        <v>0.51</v>
      </c>
      <c r="E934" s="92">
        <v>0.39</v>
      </c>
      <c r="F934">
        <v>19</v>
      </c>
      <c r="G934">
        <v>21.5</v>
      </c>
      <c r="H934" t="s">
        <v>5616</v>
      </c>
      <c r="I934">
        <v>0</v>
      </c>
      <c r="J934" t="s">
        <v>87</v>
      </c>
      <c r="K934">
        <v>0</v>
      </c>
      <c r="L934">
        <v>1</v>
      </c>
    </row>
    <row r="935" spans="1:12">
      <c r="A935" s="93">
        <v>148654</v>
      </c>
      <c r="B935" t="s">
        <v>493</v>
      </c>
      <c r="C935" t="s">
        <v>5602</v>
      </c>
      <c r="D935" s="92">
        <v>0.49</v>
      </c>
      <c r="E935" s="92">
        <v>0.39</v>
      </c>
      <c r="F935">
        <v>20</v>
      </c>
      <c r="G935">
        <v>23</v>
      </c>
      <c r="H935" t="s">
        <v>5613</v>
      </c>
      <c r="I935">
        <v>1</v>
      </c>
      <c r="J935" t="s">
        <v>87</v>
      </c>
      <c r="K935">
        <v>1</v>
      </c>
      <c r="L935">
        <v>0</v>
      </c>
    </row>
    <row r="936" spans="1:12">
      <c r="A936" s="93">
        <v>148672</v>
      </c>
      <c r="B936" t="s">
        <v>1507</v>
      </c>
      <c r="C936" t="s">
        <v>5606</v>
      </c>
      <c r="D936" s="92">
        <v>0.5</v>
      </c>
      <c r="E936" s="92">
        <v>0.43</v>
      </c>
      <c r="F936" t="s">
        <v>428</v>
      </c>
      <c r="G936" t="s">
        <v>428</v>
      </c>
      <c r="H936" t="s">
        <v>5614</v>
      </c>
      <c r="I936">
        <v>1</v>
      </c>
      <c r="J936" t="s">
        <v>87</v>
      </c>
      <c r="K936">
        <v>1</v>
      </c>
      <c r="L936">
        <v>0</v>
      </c>
    </row>
    <row r="937" spans="1:12">
      <c r="A937" s="93">
        <v>148821</v>
      </c>
      <c r="B937" t="s">
        <v>1508</v>
      </c>
      <c r="C937" t="s">
        <v>5606</v>
      </c>
      <c r="D937" s="92">
        <v>0.39</v>
      </c>
      <c r="E937" s="92">
        <v>0.3</v>
      </c>
      <c r="F937" t="s">
        <v>428</v>
      </c>
      <c r="G937" t="s">
        <v>428</v>
      </c>
      <c r="H937" t="s">
        <v>5616</v>
      </c>
      <c r="I937">
        <v>0</v>
      </c>
      <c r="J937" t="s">
        <v>87</v>
      </c>
      <c r="K937">
        <v>1</v>
      </c>
      <c r="L937">
        <v>0</v>
      </c>
    </row>
    <row r="938" spans="1:12">
      <c r="A938" s="93">
        <v>148876</v>
      </c>
      <c r="B938" t="s">
        <v>1509</v>
      </c>
      <c r="C938" t="s">
        <v>5604</v>
      </c>
      <c r="D938" s="92" t="s">
        <v>428</v>
      </c>
      <c r="E938" s="92" t="s">
        <v>428</v>
      </c>
      <c r="F938" t="s">
        <v>428</v>
      </c>
      <c r="G938" t="s">
        <v>428</v>
      </c>
      <c r="H938" t="s">
        <v>5624</v>
      </c>
      <c r="I938">
        <v>1</v>
      </c>
      <c r="J938" t="s">
        <v>87</v>
      </c>
      <c r="K938">
        <v>0</v>
      </c>
      <c r="L938">
        <v>1</v>
      </c>
    </row>
    <row r="939" spans="1:12">
      <c r="A939" s="93">
        <v>148885</v>
      </c>
      <c r="B939" t="s">
        <v>1510</v>
      </c>
      <c r="C939" t="s">
        <v>5607</v>
      </c>
      <c r="D939" s="92" t="s">
        <v>428</v>
      </c>
      <c r="E939" s="92" t="s">
        <v>428</v>
      </c>
      <c r="F939" t="s">
        <v>428</v>
      </c>
      <c r="G939" t="s">
        <v>428</v>
      </c>
      <c r="H939" t="s">
        <v>5615</v>
      </c>
      <c r="I939">
        <v>0</v>
      </c>
      <c r="J939" t="s">
        <v>87</v>
      </c>
      <c r="K939">
        <v>0</v>
      </c>
      <c r="L939">
        <v>1</v>
      </c>
    </row>
    <row r="940" spans="1:12">
      <c r="A940" s="93">
        <v>148937</v>
      </c>
      <c r="B940" t="s">
        <v>1511</v>
      </c>
      <c r="C940" t="s">
        <v>5606</v>
      </c>
      <c r="D940" s="92">
        <v>0.45</v>
      </c>
      <c r="E940" s="92">
        <v>0.36</v>
      </c>
      <c r="F940" t="s">
        <v>428</v>
      </c>
      <c r="G940" t="s">
        <v>428</v>
      </c>
      <c r="H940" t="s">
        <v>5616</v>
      </c>
      <c r="I940">
        <v>0</v>
      </c>
      <c r="J940" t="s">
        <v>87</v>
      </c>
      <c r="K940">
        <v>1</v>
      </c>
      <c r="L940">
        <v>0</v>
      </c>
    </row>
    <row r="941" spans="1:12">
      <c r="A941" s="93">
        <v>148982</v>
      </c>
      <c r="B941" t="s">
        <v>1512</v>
      </c>
      <c r="C941" t="s">
        <v>5607</v>
      </c>
      <c r="D941" s="92" t="s">
        <v>428</v>
      </c>
      <c r="E941" s="92" t="s">
        <v>428</v>
      </c>
      <c r="F941" t="s">
        <v>428</v>
      </c>
      <c r="G941" t="s">
        <v>428</v>
      </c>
      <c r="H941" t="s">
        <v>5615</v>
      </c>
      <c r="I941">
        <v>0</v>
      </c>
      <c r="J941" t="s">
        <v>87</v>
      </c>
      <c r="K941">
        <v>0</v>
      </c>
      <c r="L941">
        <v>1</v>
      </c>
    </row>
    <row r="942" spans="1:12">
      <c r="A942" s="93">
        <v>148991</v>
      </c>
      <c r="B942" t="s">
        <v>1513</v>
      </c>
      <c r="C942" t="s">
        <v>5606</v>
      </c>
      <c r="D942" s="92">
        <v>0.53</v>
      </c>
      <c r="E942" s="92">
        <v>0.34</v>
      </c>
      <c r="F942" t="s">
        <v>428</v>
      </c>
      <c r="G942" t="s">
        <v>428</v>
      </c>
      <c r="H942" t="s">
        <v>5613</v>
      </c>
      <c r="I942">
        <v>1</v>
      </c>
      <c r="J942" t="s">
        <v>87</v>
      </c>
      <c r="K942">
        <v>1</v>
      </c>
      <c r="L942">
        <v>0</v>
      </c>
    </row>
    <row r="943" spans="1:12">
      <c r="A943" s="93">
        <v>149028</v>
      </c>
      <c r="B943" t="s">
        <v>1514</v>
      </c>
      <c r="C943" t="s">
        <v>5607</v>
      </c>
      <c r="D943" s="92" t="s">
        <v>428</v>
      </c>
      <c r="E943" s="92" t="s">
        <v>428</v>
      </c>
      <c r="F943" t="s">
        <v>428</v>
      </c>
      <c r="G943" t="s">
        <v>428</v>
      </c>
      <c r="H943" t="s">
        <v>5615</v>
      </c>
      <c r="I943">
        <v>0</v>
      </c>
      <c r="J943" t="s">
        <v>87</v>
      </c>
      <c r="K943">
        <v>0</v>
      </c>
      <c r="L943">
        <v>0</v>
      </c>
    </row>
    <row r="944" spans="1:12">
      <c r="A944" s="93">
        <v>149222</v>
      </c>
      <c r="B944" t="s">
        <v>1515</v>
      </c>
      <c r="C944" t="s">
        <v>5602</v>
      </c>
      <c r="D944" s="92">
        <v>0.44</v>
      </c>
      <c r="E944" s="92">
        <v>0.3</v>
      </c>
      <c r="F944">
        <v>19</v>
      </c>
      <c r="G944">
        <v>22</v>
      </c>
      <c r="H944" t="s">
        <v>5613</v>
      </c>
      <c r="I944">
        <v>1</v>
      </c>
      <c r="J944" t="s">
        <v>87</v>
      </c>
      <c r="K944">
        <v>1</v>
      </c>
      <c r="L944">
        <v>0</v>
      </c>
    </row>
    <row r="945" spans="1:12">
      <c r="A945" s="93">
        <v>149231</v>
      </c>
      <c r="B945" t="s">
        <v>1516</v>
      </c>
      <c r="C945" t="s">
        <v>5602</v>
      </c>
      <c r="D945" s="92">
        <v>0.47</v>
      </c>
      <c r="E945" s="92">
        <v>0.29</v>
      </c>
      <c r="F945">
        <v>20</v>
      </c>
      <c r="G945">
        <v>23</v>
      </c>
      <c r="H945" t="s">
        <v>5613</v>
      </c>
      <c r="I945">
        <v>1</v>
      </c>
      <c r="J945" t="s">
        <v>87</v>
      </c>
      <c r="K945">
        <v>1</v>
      </c>
      <c r="L945">
        <v>0</v>
      </c>
    </row>
    <row r="946" spans="1:12">
      <c r="A946" s="93">
        <v>149310</v>
      </c>
      <c r="B946" t="s">
        <v>1517</v>
      </c>
      <c r="C946" t="s">
        <v>5606</v>
      </c>
      <c r="D946" s="92" t="s">
        <v>428</v>
      </c>
      <c r="E946" s="92" t="s">
        <v>428</v>
      </c>
      <c r="F946" t="s">
        <v>428</v>
      </c>
      <c r="G946" t="s">
        <v>428</v>
      </c>
      <c r="H946" t="s">
        <v>5617</v>
      </c>
      <c r="I946">
        <v>0</v>
      </c>
      <c r="J946" t="s">
        <v>87</v>
      </c>
      <c r="K946">
        <v>0</v>
      </c>
      <c r="L946">
        <v>1</v>
      </c>
    </row>
    <row r="947" spans="1:12">
      <c r="A947" s="93">
        <v>149329</v>
      </c>
      <c r="B947" t="s">
        <v>1518</v>
      </c>
      <c r="C947" t="s">
        <v>5607</v>
      </c>
      <c r="D947" s="92">
        <v>0.22</v>
      </c>
      <c r="E947" s="92" t="s">
        <v>428</v>
      </c>
      <c r="F947" t="s">
        <v>428</v>
      </c>
      <c r="G947" t="s">
        <v>428</v>
      </c>
      <c r="H947" t="s">
        <v>5624</v>
      </c>
      <c r="I947">
        <v>1</v>
      </c>
      <c r="J947" t="s">
        <v>87</v>
      </c>
      <c r="K947">
        <v>0</v>
      </c>
      <c r="L947">
        <v>1</v>
      </c>
    </row>
    <row r="948" spans="1:12">
      <c r="A948" s="93">
        <v>149365</v>
      </c>
      <c r="B948" t="s">
        <v>1519</v>
      </c>
      <c r="C948" t="s">
        <v>5606</v>
      </c>
      <c r="D948" s="92">
        <v>0.22</v>
      </c>
      <c r="E948" s="92">
        <v>0.21</v>
      </c>
      <c r="F948" t="s">
        <v>428</v>
      </c>
      <c r="G948" t="s">
        <v>428</v>
      </c>
      <c r="H948" t="s">
        <v>5614</v>
      </c>
      <c r="I948">
        <v>1</v>
      </c>
      <c r="J948" t="s">
        <v>87</v>
      </c>
      <c r="K948">
        <v>1</v>
      </c>
      <c r="L948">
        <v>1</v>
      </c>
    </row>
    <row r="949" spans="1:12">
      <c r="A949" s="93">
        <v>149505</v>
      </c>
      <c r="B949" t="s">
        <v>1520</v>
      </c>
      <c r="C949" t="s">
        <v>5602</v>
      </c>
      <c r="D949" s="92">
        <v>0.59</v>
      </c>
      <c r="E949" s="92">
        <v>0.41</v>
      </c>
      <c r="F949">
        <v>20</v>
      </c>
      <c r="G949">
        <v>23.5</v>
      </c>
      <c r="H949" t="s">
        <v>5616</v>
      </c>
      <c r="I949">
        <v>0</v>
      </c>
      <c r="J949" t="s">
        <v>87</v>
      </c>
      <c r="K949">
        <v>0</v>
      </c>
      <c r="L949">
        <v>1</v>
      </c>
    </row>
    <row r="950" spans="1:12">
      <c r="A950" s="93">
        <v>149514</v>
      </c>
      <c r="B950" t="s">
        <v>1521</v>
      </c>
      <c r="C950" t="s">
        <v>5603</v>
      </c>
      <c r="D950" s="92">
        <v>0.5</v>
      </c>
      <c r="E950" s="92">
        <v>0.3</v>
      </c>
      <c r="F950">
        <v>20</v>
      </c>
      <c r="G950">
        <v>23.5</v>
      </c>
      <c r="H950" t="s">
        <v>5617</v>
      </c>
      <c r="I950">
        <v>0</v>
      </c>
      <c r="J950" t="s">
        <v>87</v>
      </c>
      <c r="K950">
        <v>0</v>
      </c>
      <c r="L950">
        <v>1</v>
      </c>
    </row>
    <row r="951" spans="1:12">
      <c r="A951" s="93">
        <v>149532</v>
      </c>
      <c r="B951" t="s">
        <v>1522</v>
      </c>
      <c r="C951" t="s">
        <v>5606</v>
      </c>
      <c r="D951" s="92">
        <v>0.28</v>
      </c>
      <c r="E951" s="92">
        <v>0.23</v>
      </c>
      <c r="F951" t="s">
        <v>428</v>
      </c>
      <c r="G951" t="s">
        <v>428</v>
      </c>
      <c r="H951" t="s">
        <v>5614</v>
      </c>
      <c r="I951">
        <v>1</v>
      </c>
      <c r="J951" t="s">
        <v>87</v>
      </c>
      <c r="K951">
        <v>1</v>
      </c>
      <c r="L951">
        <v>1</v>
      </c>
    </row>
    <row r="952" spans="1:12">
      <c r="A952" s="93">
        <v>149639</v>
      </c>
      <c r="B952" t="s">
        <v>1523</v>
      </c>
      <c r="C952" t="s">
        <v>5604</v>
      </c>
      <c r="D952" s="92">
        <v>0.66</v>
      </c>
      <c r="E952" s="92">
        <v>0.47</v>
      </c>
      <c r="F952">
        <v>20</v>
      </c>
      <c r="G952">
        <v>22.5</v>
      </c>
      <c r="H952" t="s">
        <v>5617</v>
      </c>
      <c r="I952">
        <v>0</v>
      </c>
      <c r="J952" t="s">
        <v>87</v>
      </c>
      <c r="K952">
        <v>0</v>
      </c>
      <c r="L952">
        <v>1</v>
      </c>
    </row>
    <row r="953" spans="1:12">
      <c r="A953" s="93">
        <v>149727</v>
      </c>
      <c r="B953" t="s">
        <v>1524</v>
      </c>
      <c r="C953" t="s">
        <v>5606</v>
      </c>
      <c r="D953" s="92">
        <v>0.4</v>
      </c>
      <c r="E953" s="92">
        <v>0.31</v>
      </c>
      <c r="F953" t="s">
        <v>428</v>
      </c>
      <c r="G953" t="s">
        <v>428</v>
      </c>
      <c r="H953" t="s">
        <v>5614</v>
      </c>
      <c r="I953">
        <v>1</v>
      </c>
      <c r="J953" t="s">
        <v>87</v>
      </c>
      <c r="K953">
        <v>1</v>
      </c>
      <c r="L953">
        <v>1</v>
      </c>
    </row>
    <row r="954" spans="1:12">
      <c r="A954" s="93">
        <v>149763</v>
      </c>
      <c r="B954" t="s">
        <v>1525</v>
      </c>
      <c r="C954" t="s">
        <v>5607</v>
      </c>
      <c r="D954" s="92" t="s">
        <v>428</v>
      </c>
      <c r="E954" s="92" t="s">
        <v>428</v>
      </c>
      <c r="F954" t="s">
        <v>428</v>
      </c>
      <c r="G954" t="s">
        <v>428</v>
      </c>
      <c r="H954" t="s">
        <v>5615</v>
      </c>
      <c r="I954">
        <v>0</v>
      </c>
      <c r="J954" t="s">
        <v>87</v>
      </c>
      <c r="K954">
        <v>0</v>
      </c>
      <c r="L954">
        <v>1</v>
      </c>
    </row>
    <row r="955" spans="1:12">
      <c r="A955" s="93">
        <v>149772</v>
      </c>
      <c r="B955" t="s">
        <v>437</v>
      </c>
      <c r="C955" t="s">
        <v>5602</v>
      </c>
      <c r="D955" s="92">
        <v>0.53</v>
      </c>
      <c r="E955" s="92">
        <v>0.39</v>
      </c>
      <c r="F955">
        <v>18</v>
      </c>
      <c r="G955">
        <v>20.5</v>
      </c>
      <c r="H955" t="s">
        <v>5613</v>
      </c>
      <c r="I955">
        <v>1</v>
      </c>
      <c r="J955" t="s">
        <v>87</v>
      </c>
      <c r="K955">
        <v>1</v>
      </c>
      <c r="L955">
        <v>0</v>
      </c>
    </row>
    <row r="956" spans="1:12">
      <c r="A956" s="93">
        <v>149781</v>
      </c>
      <c r="B956" t="s">
        <v>1526</v>
      </c>
      <c r="C956" t="s">
        <v>5612</v>
      </c>
      <c r="D956" s="92">
        <v>0.91</v>
      </c>
      <c r="E956" s="92">
        <v>0.92</v>
      </c>
      <c r="F956">
        <v>27</v>
      </c>
      <c r="G956">
        <v>29.5</v>
      </c>
      <c r="H956" t="s">
        <v>5617</v>
      </c>
      <c r="I956">
        <v>0</v>
      </c>
      <c r="J956" t="s">
        <v>87</v>
      </c>
      <c r="K956">
        <v>0</v>
      </c>
      <c r="L956">
        <v>1</v>
      </c>
    </row>
    <row r="957" spans="1:12">
      <c r="A957" s="93">
        <v>149842</v>
      </c>
      <c r="B957" t="s">
        <v>1527</v>
      </c>
      <c r="C957" t="s">
        <v>5606</v>
      </c>
      <c r="D957" s="92">
        <v>0.43</v>
      </c>
      <c r="E957" s="92">
        <v>0.37</v>
      </c>
      <c r="F957" t="s">
        <v>428</v>
      </c>
      <c r="G957" t="s">
        <v>428</v>
      </c>
      <c r="H957" t="s">
        <v>5614</v>
      </c>
      <c r="I957">
        <v>1</v>
      </c>
      <c r="J957" t="s">
        <v>87</v>
      </c>
      <c r="K957">
        <v>1</v>
      </c>
      <c r="L957">
        <v>1</v>
      </c>
    </row>
    <row r="958" spans="1:12">
      <c r="A958" s="93">
        <v>150048</v>
      </c>
      <c r="B958" t="s">
        <v>1528</v>
      </c>
      <c r="C958" t="s">
        <v>5606</v>
      </c>
      <c r="D958" s="92">
        <v>0.39</v>
      </c>
      <c r="E958" s="92">
        <v>0.34</v>
      </c>
      <c r="F958" t="s">
        <v>428</v>
      </c>
      <c r="G958" t="s">
        <v>428</v>
      </c>
      <c r="H958" t="s">
        <v>5616</v>
      </c>
      <c r="I958">
        <v>0</v>
      </c>
      <c r="J958" t="s">
        <v>87</v>
      </c>
      <c r="K958">
        <v>0</v>
      </c>
      <c r="L958">
        <v>0</v>
      </c>
    </row>
    <row r="959" spans="1:12">
      <c r="A959" s="93">
        <v>150066</v>
      </c>
      <c r="B959" t="s">
        <v>1529</v>
      </c>
      <c r="C959" t="s">
        <v>5602</v>
      </c>
      <c r="D959" s="92">
        <v>0.58</v>
      </c>
      <c r="E959" s="92">
        <v>0.36</v>
      </c>
      <c r="F959">
        <v>19</v>
      </c>
      <c r="G959">
        <v>22</v>
      </c>
      <c r="H959" t="s">
        <v>5617</v>
      </c>
      <c r="I959">
        <v>0</v>
      </c>
      <c r="J959" t="s">
        <v>87</v>
      </c>
      <c r="K959">
        <v>0</v>
      </c>
      <c r="L959">
        <v>0</v>
      </c>
    </row>
    <row r="960" spans="1:12">
      <c r="A960" s="93">
        <v>150136</v>
      </c>
      <c r="B960" t="s">
        <v>1530</v>
      </c>
      <c r="C960" t="s">
        <v>5602</v>
      </c>
      <c r="D960" s="92">
        <v>0.62</v>
      </c>
      <c r="E960" s="92">
        <v>0.51</v>
      </c>
      <c r="F960">
        <v>20</v>
      </c>
      <c r="G960">
        <v>22</v>
      </c>
      <c r="H960" t="s">
        <v>5617</v>
      </c>
      <c r="I960">
        <v>0</v>
      </c>
      <c r="J960" t="s">
        <v>87</v>
      </c>
      <c r="K960">
        <v>0</v>
      </c>
      <c r="L960">
        <v>0</v>
      </c>
    </row>
    <row r="961" spans="1:12">
      <c r="A961" s="93">
        <v>150145</v>
      </c>
      <c r="B961" t="s">
        <v>1531</v>
      </c>
      <c r="C961" t="s">
        <v>5602</v>
      </c>
      <c r="D961" s="92">
        <v>0.67</v>
      </c>
      <c r="E961" s="92">
        <v>0.43</v>
      </c>
      <c r="F961">
        <v>20</v>
      </c>
      <c r="G961">
        <v>22.5</v>
      </c>
      <c r="H961" t="s">
        <v>5616</v>
      </c>
      <c r="I961">
        <v>0</v>
      </c>
      <c r="J961" t="s">
        <v>87</v>
      </c>
      <c r="K961">
        <v>0</v>
      </c>
      <c r="L961">
        <v>0</v>
      </c>
    </row>
    <row r="962" spans="1:12">
      <c r="A962" s="93">
        <v>150163</v>
      </c>
      <c r="B962" t="s">
        <v>600</v>
      </c>
      <c r="C962" t="s">
        <v>5603</v>
      </c>
      <c r="D962" s="92">
        <v>0.76</v>
      </c>
      <c r="E962" s="92">
        <v>0.66</v>
      </c>
      <c r="F962">
        <v>25</v>
      </c>
      <c r="G962">
        <v>27.5</v>
      </c>
      <c r="H962" t="s">
        <v>5617</v>
      </c>
      <c r="I962">
        <v>0</v>
      </c>
      <c r="J962" t="s">
        <v>87</v>
      </c>
      <c r="K962">
        <v>0</v>
      </c>
      <c r="L962">
        <v>0</v>
      </c>
    </row>
    <row r="963" spans="1:12">
      <c r="A963" s="93">
        <v>150172</v>
      </c>
      <c r="B963" t="s">
        <v>1532</v>
      </c>
      <c r="C963" t="s">
        <v>5602</v>
      </c>
      <c r="D963" s="92">
        <v>0.26</v>
      </c>
      <c r="E963" s="92">
        <v>0.22</v>
      </c>
      <c r="F963" t="s">
        <v>428</v>
      </c>
      <c r="G963" t="s">
        <v>428</v>
      </c>
      <c r="H963" t="s">
        <v>5616</v>
      </c>
      <c r="I963">
        <v>0</v>
      </c>
      <c r="J963" t="s">
        <v>87</v>
      </c>
      <c r="K963">
        <v>0</v>
      </c>
      <c r="L963">
        <v>1</v>
      </c>
    </row>
    <row r="964" spans="1:12">
      <c r="A964" s="93">
        <v>150215</v>
      </c>
      <c r="B964" t="s">
        <v>1533</v>
      </c>
      <c r="C964" t="s">
        <v>5607</v>
      </c>
      <c r="D964" s="92" t="s">
        <v>428</v>
      </c>
      <c r="E964" s="92" t="s">
        <v>428</v>
      </c>
      <c r="F964" t="s">
        <v>428</v>
      </c>
      <c r="G964" t="s">
        <v>428</v>
      </c>
      <c r="H964" t="s">
        <v>5615</v>
      </c>
      <c r="I964">
        <v>0</v>
      </c>
      <c r="J964" t="s">
        <v>87</v>
      </c>
      <c r="K964">
        <v>0</v>
      </c>
      <c r="L964">
        <v>0</v>
      </c>
    </row>
    <row r="965" spans="1:12">
      <c r="A965" s="93">
        <v>150251</v>
      </c>
      <c r="B965" t="s">
        <v>1534</v>
      </c>
      <c r="C965" t="s">
        <v>5606</v>
      </c>
      <c r="D965" s="92" t="s">
        <v>428</v>
      </c>
      <c r="E965" s="92" t="s">
        <v>428</v>
      </c>
      <c r="F965" t="s">
        <v>428</v>
      </c>
      <c r="G965" t="s">
        <v>428</v>
      </c>
      <c r="H965" t="s">
        <v>5617</v>
      </c>
      <c r="I965">
        <v>0</v>
      </c>
      <c r="J965" t="s">
        <v>87</v>
      </c>
      <c r="K965">
        <v>0</v>
      </c>
      <c r="L965">
        <v>1</v>
      </c>
    </row>
    <row r="966" spans="1:12">
      <c r="A966" s="93">
        <v>150288</v>
      </c>
      <c r="B966" t="s">
        <v>1535</v>
      </c>
      <c r="C966" t="s">
        <v>5607</v>
      </c>
      <c r="D966" s="92" t="s">
        <v>428</v>
      </c>
      <c r="E966" s="92" t="s">
        <v>428</v>
      </c>
      <c r="F966" t="s">
        <v>428</v>
      </c>
      <c r="G966" t="s">
        <v>428</v>
      </c>
      <c r="H966" t="s">
        <v>5615</v>
      </c>
      <c r="I966">
        <v>0</v>
      </c>
      <c r="J966" t="s">
        <v>87</v>
      </c>
      <c r="K966">
        <v>0</v>
      </c>
      <c r="L966">
        <v>0</v>
      </c>
    </row>
    <row r="967" spans="1:12">
      <c r="A967" s="93">
        <v>150400</v>
      </c>
      <c r="B967" t="s">
        <v>496</v>
      </c>
      <c r="C967" t="s">
        <v>5605</v>
      </c>
      <c r="D967" s="92">
        <v>0.82</v>
      </c>
      <c r="E967" s="92">
        <v>0.79</v>
      </c>
      <c r="F967">
        <v>24</v>
      </c>
      <c r="G967">
        <v>26.5</v>
      </c>
      <c r="H967" t="s">
        <v>5627</v>
      </c>
      <c r="I967">
        <v>0</v>
      </c>
      <c r="J967" t="s">
        <v>87</v>
      </c>
      <c r="K967">
        <v>0</v>
      </c>
      <c r="L967">
        <v>0</v>
      </c>
    </row>
    <row r="968" spans="1:12">
      <c r="A968" s="93">
        <v>150455</v>
      </c>
      <c r="B968" t="s">
        <v>1536</v>
      </c>
      <c r="C968" t="s">
        <v>5605</v>
      </c>
      <c r="D968" s="92">
        <v>0.7</v>
      </c>
      <c r="E968" s="92">
        <v>0.66</v>
      </c>
      <c r="F968" t="s">
        <v>428</v>
      </c>
      <c r="G968" t="s">
        <v>428</v>
      </c>
      <c r="H968" t="s">
        <v>5617</v>
      </c>
      <c r="I968">
        <v>0</v>
      </c>
      <c r="J968" t="s">
        <v>87</v>
      </c>
      <c r="K968">
        <v>0</v>
      </c>
      <c r="L968">
        <v>0</v>
      </c>
    </row>
    <row r="969" spans="1:12">
      <c r="A969" s="93">
        <v>150534</v>
      </c>
      <c r="B969" t="s">
        <v>1537</v>
      </c>
      <c r="C969" t="s">
        <v>5603</v>
      </c>
      <c r="D969" s="92">
        <v>0.67</v>
      </c>
      <c r="E969" s="92">
        <v>0.52</v>
      </c>
      <c r="F969">
        <v>23</v>
      </c>
      <c r="G969">
        <v>26</v>
      </c>
      <c r="H969" t="s">
        <v>5616</v>
      </c>
      <c r="I969">
        <v>0</v>
      </c>
      <c r="J969" t="s">
        <v>87</v>
      </c>
      <c r="K969">
        <v>0</v>
      </c>
      <c r="L969">
        <v>0</v>
      </c>
    </row>
    <row r="970" spans="1:12">
      <c r="A970" s="93">
        <v>150604</v>
      </c>
      <c r="B970" t="s">
        <v>1538</v>
      </c>
      <c r="C970" t="s">
        <v>5602</v>
      </c>
      <c r="D970" s="92">
        <v>0.62</v>
      </c>
      <c r="E970" s="92">
        <v>0.5</v>
      </c>
      <c r="F970">
        <v>19</v>
      </c>
      <c r="G970">
        <v>22</v>
      </c>
      <c r="H970" t="s">
        <v>5616</v>
      </c>
      <c r="I970">
        <v>0</v>
      </c>
      <c r="J970" t="s">
        <v>87</v>
      </c>
      <c r="K970">
        <v>0</v>
      </c>
      <c r="L970">
        <v>0</v>
      </c>
    </row>
    <row r="971" spans="1:12">
      <c r="A971" s="93">
        <v>150668</v>
      </c>
      <c r="B971" t="s">
        <v>1539</v>
      </c>
      <c r="C971" t="s">
        <v>5602</v>
      </c>
      <c r="D971" s="92">
        <v>0.6899999999999999</v>
      </c>
      <c r="E971" s="92">
        <v>0.57</v>
      </c>
      <c r="F971">
        <v>22</v>
      </c>
      <c r="G971">
        <v>25.5</v>
      </c>
      <c r="H971" t="s">
        <v>5616</v>
      </c>
      <c r="I971">
        <v>0</v>
      </c>
      <c r="J971" t="s">
        <v>87</v>
      </c>
      <c r="K971">
        <v>0</v>
      </c>
      <c r="L971">
        <v>0</v>
      </c>
    </row>
    <row r="972" spans="1:12">
      <c r="A972" s="93">
        <v>150677</v>
      </c>
      <c r="B972" t="s">
        <v>1540</v>
      </c>
      <c r="C972" t="s">
        <v>5602</v>
      </c>
      <c r="D972" s="92">
        <v>0.62</v>
      </c>
      <c r="E972" s="92">
        <v>0.49</v>
      </c>
      <c r="F972">
        <v>21</v>
      </c>
      <c r="G972">
        <v>24</v>
      </c>
      <c r="H972" t="s">
        <v>5616</v>
      </c>
      <c r="I972">
        <v>0</v>
      </c>
      <c r="J972" t="s">
        <v>87</v>
      </c>
      <c r="K972">
        <v>0</v>
      </c>
      <c r="L972">
        <v>0</v>
      </c>
    </row>
    <row r="973" spans="1:12">
      <c r="A973" s="93">
        <v>150756</v>
      </c>
      <c r="B973" t="s">
        <v>1541</v>
      </c>
      <c r="C973" t="s">
        <v>5602</v>
      </c>
      <c r="D973" s="92">
        <v>0.6899999999999999</v>
      </c>
      <c r="E973" s="92">
        <v>0.53</v>
      </c>
      <c r="F973">
        <v>22</v>
      </c>
      <c r="G973">
        <v>24.5</v>
      </c>
      <c r="H973" t="s">
        <v>5617</v>
      </c>
      <c r="I973">
        <v>0</v>
      </c>
      <c r="J973" t="s">
        <v>87</v>
      </c>
      <c r="K973">
        <v>0</v>
      </c>
      <c r="L973">
        <v>0</v>
      </c>
    </row>
    <row r="974" spans="1:12">
      <c r="A974" s="93">
        <v>150774</v>
      </c>
      <c r="B974" t="s">
        <v>1542</v>
      </c>
      <c r="C974" t="s">
        <v>5604</v>
      </c>
      <c r="D974" s="92">
        <v>0.47</v>
      </c>
      <c r="E974" s="92">
        <v>0.37</v>
      </c>
      <c r="F974">
        <v>19</v>
      </c>
      <c r="G974">
        <v>24</v>
      </c>
      <c r="H974" t="s">
        <v>5617</v>
      </c>
      <c r="I974">
        <v>0</v>
      </c>
      <c r="J974" t="s">
        <v>87</v>
      </c>
      <c r="K974">
        <v>0</v>
      </c>
      <c r="L974">
        <v>0</v>
      </c>
    </row>
    <row r="975" spans="1:12">
      <c r="A975" s="93">
        <v>150853</v>
      </c>
      <c r="B975" t="s">
        <v>1543</v>
      </c>
      <c r="C975" t="s">
        <v>5606</v>
      </c>
      <c r="D975" s="92" t="s">
        <v>428</v>
      </c>
      <c r="E975" s="92" t="s">
        <v>428</v>
      </c>
      <c r="F975" t="s">
        <v>428</v>
      </c>
      <c r="G975" t="s">
        <v>428</v>
      </c>
      <c r="H975" t="s">
        <v>5613</v>
      </c>
      <c r="I975">
        <v>1</v>
      </c>
      <c r="J975" t="s">
        <v>87</v>
      </c>
      <c r="K975">
        <v>0</v>
      </c>
      <c r="L975">
        <v>0</v>
      </c>
    </row>
    <row r="976" spans="1:12">
      <c r="A976" s="93">
        <v>150941</v>
      </c>
      <c r="B976" t="s">
        <v>1544</v>
      </c>
      <c r="C976" t="s">
        <v>5602</v>
      </c>
      <c r="D976" s="92">
        <v>0.63</v>
      </c>
      <c r="E976" s="92">
        <v>0.43</v>
      </c>
      <c r="F976">
        <v>18</v>
      </c>
      <c r="G976">
        <v>21.5</v>
      </c>
      <c r="H976" t="s">
        <v>5616</v>
      </c>
      <c r="I976">
        <v>0</v>
      </c>
      <c r="J976" t="s">
        <v>87</v>
      </c>
      <c r="K976">
        <v>0</v>
      </c>
      <c r="L976">
        <v>0</v>
      </c>
    </row>
    <row r="977" spans="1:12">
      <c r="A977" s="93">
        <v>150987</v>
      </c>
      <c r="B977" t="s">
        <v>1545</v>
      </c>
      <c r="C977" t="s">
        <v>5606</v>
      </c>
      <c r="D977" s="92">
        <v>0.23</v>
      </c>
      <c r="E977" s="92">
        <v>0.19</v>
      </c>
      <c r="F977" t="s">
        <v>428</v>
      </c>
      <c r="G977" t="s">
        <v>428</v>
      </c>
      <c r="H977" t="s">
        <v>5615</v>
      </c>
      <c r="I977">
        <v>0</v>
      </c>
      <c r="J977" t="s">
        <v>87</v>
      </c>
      <c r="K977">
        <v>0</v>
      </c>
      <c r="L977">
        <v>0</v>
      </c>
    </row>
    <row r="978" spans="1:12">
      <c r="A978" s="93">
        <v>151102</v>
      </c>
      <c r="B978" t="s">
        <v>1546</v>
      </c>
      <c r="C978" t="s">
        <v>5602</v>
      </c>
      <c r="D978" s="92">
        <v>0.24</v>
      </c>
      <c r="E978" s="92">
        <v>0.12</v>
      </c>
      <c r="F978">
        <v>18</v>
      </c>
      <c r="G978">
        <v>21</v>
      </c>
      <c r="H978" t="s">
        <v>5615</v>
      </c>
      <c r="I978">
        <v>0</v>
      </c>
      <c r="J978" t="s">
        <v>87</v>
      </c>
      <c r="K978">
        <v>0</v>
      </c>
      <c r="L978">
        <v>0</v>
      </c>
    </row>
    <row r="979" spans="1:12">
      <c r="A979" s="93">
        <v>151111</v>
      </c>
      <c r="B979" t="s">
        <v>1547</v>
      </c>
      <c r="C979" t="s">
        <v>5602</v>
      </c>
      <c r="D979" s="92">
        <v>0.47</v>
      </c>
      <c r="E979" s="92">
        <v>0.36</v>
      </c>
      <c r="F979">
        <v>19</v>
      </c>
      <c r="G979">
        <v>22.5</v>
      </c>
      <c r="H979" t="s">
        <v>5617</v>
      </c>
      <c r="I979">
        <v>0</v>
      </c>
      <c r="J979" t="s">
        <v>87</v>
      </c>
      <c r="K979">
        <v>0</v>
      </c>
      <c r="L979">
        <v>0</v>
      </c>
    </row>
    <row r="980" spans="1:12">
      <c r="A980" s="93">
        <v>151166</v>
      </c>
      <c r="B980" t="s">
        <v>1548</v>
      </c>
      <c r="C980" t="s">
        <v>5607</v>
      </c>
      <c r="D980" s="92">
        <v>0.07000000000000001</v>
      </c>
      <c r="E980" s="92">
        <v>0</v>
      </c>
      <c r="F980" t="s">
        <v>428</v>
      </c>
      <c r="G980" t="s">
        <v>428</v>
      </c>
      <c r="H980" t="s">
        <v>5617</v>
      </c>
      <c r="I980">
        <v>0</v>
      </c>
      <c r="J980" t="s">
        <v>87</v>
      </c>
      <c r="K980">
        <v>0</v>
      </c>
      <c r="L980">
        <v>0</v>
      </c>
    </row>
    <row r="981" spans="1:12">
      <c r="A981" s="93">
        <v>151263</v>
      </c>
      <c r="B981" t="s">
        <v>1549</v>
      </c>
      <c r="C981" t="s">
        <v>5602</v>
      </c>
      <c r="D981" s="92">
        <v>0.54</v>
      </c>
      <c r="E981" s="92">
        <v>0.35</v>
      </c>
      <c r="F981">
        <v>20</v>
      </c>
      <c r="G981">
        <v>23</v>
      </c>
      <c r="H981" t="s">
        <v>5617</v>
      </c>
      <c r="I981">
        <v>0</v>
      </c>
      <c r="J981" t="s">
        <v>87</v>
      </c>
      <c r="K981">
        <v>0</v>
      </c>
      <c r="L981">
        <v>0</v>
      </c>
    </row>
    <row r="982" spans="1:12">
      <c r="A982" s="93">
        <v>151290</v>
      </c>
      <c r="B982" t="s">
        <v>1550</v>
      </c>
      <c r="C982" t="s">
        <v>5608</v>
      </c>
      <c r="D982" s="92">
        <v>0.32</v>
      </c>
      <c r="E982" s="92">
        <v>0.27</v>
      </c>
      <c r="F982">
        <v>17</v>
      </c>
      <c r="G982">
        <v>20.5</v>
      </c>
      <c r="H982" t="s">
        <v>5617</v>
      </c>
      <c r="I982">
        <v>0</v>
      </c>
      <c r="J982" t="s">
        <v>87</v>
      </c>
      <c r="K982">
        <v>0</v>
      </c>
      <c r="L982">
        <v>0</v>
      </c>
    </row>
    <row r="983" spans="1:12">
      <c r="A983" s="93">
        <v>151306</v>
      </c>
      <c r="B983" t="s">
        <v>1551</v>
      </c>
      <c r="C983" t="s">
        <v>5602</v>
      </c>
      <c r="D983" s="92">
        <v>0.38</v>
      </c>
      <c r="E983" s="92">
        <v>0.22</v>
      </c>
      <c r="F983">
        <v>19</v>
      </c>
      <c r="G983">
        <v>22</v>
      </c>
      <c r="H983" t="s">
        <v>5615</v>
      </c>
      <c r="I983">
        <v>0</v>
      </c>
      <c r="J983" t="s">
        <v>87</v>
      </c>
      <c r="K983">
        <v>0</v>
      </c>
      <c r="L983">
        <v>0</v>
      </c>
    </row>
    <row r="984" spans="1:12">
      <c r="A984" s="93">
        <v>151324</v>
      </c>
      <c r="B984" t="s">
        <v>1552</v>
      </c>
      <c r="C984" t="s">
        <v>5608</v>
      </c>
      <c r="D984" s="92">
        <v>0.38</v>
      </c>
      <c r="E984" s="92">
        <v>0.22</v>
      </c>
      <c r="F984">
        <v>16</v>
      </c>
      <c r="G984">
        <v>19</v>
      </c>
      <c r="H984" t="s">
        <v>5616</v>
      </c>
      <c r="I984">
        <v>0</v>
      </c>
      <c r="J984" t="s">
        <v>87</v>
      </c>
      <c r="K984">
        <v>0</v>
      </c>
      <c r="L984">
        <v>0</v>
      </c>
    </row>
    <row r="985" spans="1:12">
      <c r="A985" s="93">
        <v>151333</v>
      </c>
      <c r="B985" t="s">
        <v>1553</v>
      </c>
      <c r="C985" t="s">
        <v>5602</v>
      </c>
      <c r="D985" s="92">
        <v>0.31</v>
      </c>
      <c r="E985" s="92">
        <v>0.33</v>
      </c>
      <c r="F985">
        <v>18</v>
      </c>
      <c r="G985">
        <v>20.5</v>
      </c>
      <c r="H985" t="s">
        <v>5615</v>
      </c>
      <c r="I985">
        <v>0</v>
      </c>
      <c r="J985" t="s">
        <v>87</v>
      </c>
      <c r="K985">
        <v>0</v>
      </c>
      <c r="L985">
        <v>0</v>
      </c>
    </row>
    <row r="986" spans="1:12">
      <c r="A986" s="93">
        <v>151342</v>
      </c>
      <c r="B986" t="s">
        <v>1554</v>
      </c>
      <c r="C986" t="s">
        <v>5602</v>
      </c>
      <c r="D986" s="92">
        <v>0.27</v>
      </c>
      <c r="E986" s="92">
        <v>0.2</v>
      </c>
      <c r="F986">
        <v>18</v>
      </c>
      <c r="G986">
        <v>20.5</v>
      </c>
      <c r="H986" t="s">
        <v>5615</v>
      </c>
      <c r="I986">
        <v>0</v>
      </c>
      <c r="J986" t="s">
        <v>87</v>
      </c>
      <c r="K986">
        <v>0</v>
      </c>
      <c r="L986">
        <v>0</v>
      </c>
    </row>
    <row r="987" spans="1:12">
      <c r="A987" s="93">
        <v>151351</v>
      </c>
      <c r="B987" t="s">
        <v>1555</v>
      </c>
      <c r="C987" t="s">
        <v>5603</v>
      </c>
      <c r="D987" s="92">
        <v>0.76</v>
      </c>
      <c r="E987" s="92">
        <v>0.64</v>
      </c>
      <c r="F987">
        <v>24</v>
      </c>
      <c r="G987">
        <v>27</v>
      </c>
      <c r="H987" t="s">
        <v>5617</v>
      </c>
      <c r="I987">
        <v>0</v>
      </c>
      <c r="J987" t="s">
        <v>87</v>
      </c>
      <c r="K987">
        <v>0</v>
      </c>
      <c r="L987">
        <v>0</v>
      </c>
    </row>
    <row r="988" spans="1:12">
      <c r="A988" s="93">
        <v>151360</v>
      </c>
      <c r="B988" t="s">
        <v>1556</v>
      </c>
      <c r="C988" t="s">
        <v>5602</v>
      </c>
      <c r="D988" s="92">
        <v>0.25</v>
      </c>
      <c r="E988" s="92">
        <v>0.16</v>
      </c>
      <c r="F988">
        <v>18</v>
      </c>
      <c r="G988">
        <v>20.5</v>
      </c>
      <c r="H988" t="s">
        <v>5615</v>
      </c>
      <c r="I988">
        <v>0</v>
      </c>
      <c r="J988" t="s">
        <v>87</v>
      </c>
      <c r="K988">
        <v>0</v>
      </c>
      <c r="L988">
        <v>1</v>
      </c>
    </row>
    <row r="989" spans="1:12">
      <c r="A989" s="93">
        <v>151379</v>
      </c>
      <c r="B989" t="s">
        <v>1557</v>
      </c>
      <c r="C989" t="s">
        <v>5608</v>
      </c>
      <c r="D989" s="92">
        <v>0.3</v>
      </c>
      <c r="E989" s="92">
        <v>0.17</v>
      </c>
      <c r="F989">
        <v>17</v>
      </c>
      <c r="G989">
        <v>20</v>
      </c>
      <c r="H989" t="s">
        <v>5615</v>
      </c>
      <c r="I989">
        <v>0</v>
      </c>
      <c r="J989" t="s">
        <v>87</v>
      </c>
      <c r="K989">
        <v>0</v>
      </c>
      <c r="L989">
        <v>0</v>
      </c>
    </row>
    <row r="990" spans="1:12">
      <c r="A990" s="93">
        <v>151388</v>
      </c>
      <c r="B990" t="s">
        <v>1558</v>
      </c>
      <c r="C990" t="s">
        <v>5602</v>
      </c>
      <c r="D990" s="92">
        <v>0.29</v>
      </c>
      <c r="E990" s="92">
        <v>0.23</v>
      </c>
      <c r="F990">
        <v>18</v>
      </c>
      <c r="G990">
        <v>20.5</v>
      </c>
      <c r="H990" t="s">
        <v>5615</v>
      </c>
      <c r="I990">
        <v>0</v>
      </c>
      <c r="J990" t="s">
        <v>87</v>
      </c>
      <c r="K990">
        <v>0</v>
      </c>
      <c r="L990">
        <v>0</v>
      </c>
    </row>
    <row r="991" spans="1:12">
      <c r="A991" s="93">
        <v>151458</v>
      </c>
      <c r="B991" t="s">
        <v>1559</v>
      </c>
      <c r="C991" t="s">
        <v>5607</v>
      </c>
      <c r="D991" s="92">
        <v>0.73</v>
      </c>
      <c r="E991" s="92">
        <v>0.92</v>
      </c>
      <c r="F991" t="s">
        <v>428</v>
      </c>
      <c r="G991" t="s">
        <v>428</v>
      </c>
      <c r="H991" t="s">
        <v>5616</v>
      </c>
      <c r="I991">
        <v>0</v>
      </c>
      <c r="J991" t="s">
        <v>87</v>
      </c>
      <c r="K991">
        <v>0</v>
      </c>
      <c r="L991">
        <v>0</v>
      </c>
    </row>
    <row r="992" spans="1:12">
      <c r="A992" s="93">
        <v>151467</v>
      </c>
      <c r="B992" t="s">
        <v>1560</v>
      </c>
      <c r="C992" t="s">
        <v>5609</v>
      </c>
      <c r="D992" s="92" t="s">
        <v>428</v>
      </c>
      <c r="E992" s="92" t="s">
        <v>428</v>
      </c>
      <c r="F992" t="s">
        <v>428</v>
      </c>
      <c r="G992" t="s">
        <v>428</v>
      </c>
      <c r="H992" t="s">
        <v>5616</v>
      </c>
      <c r="I992">
        <v>0</v>
      </c>
      <c r="J992" t="s">
        <v>87</v>
      </c>
      <c r="K992">
        <v>0</v>
      </c>
      <c r="L992">
        <v>0</v>
      </c>
    </row>
    <row r="993" spans="1:12">
      <c r="A993" s="93">
        <v>151494</v>
      </c>
      <c r="B993" t="s">
        <v>1561</v>
      </c>
      <c r="C993" t="s">
        <v>5607</v>
      </c>
      <c r="D993" s="92">
        <v>0.07000000000000001</v>
      </c>
      <c r="E993" s="92">
        <v>0.11</v>
      </c>
      <c r="F993" t="s">
        <v>428</v>
      </c>
      <c r="G993" t="s">
        <v>428</v>
      </c>
      <c r="H993" t="s">
        <v>5617</v>
      </c>
      <c r="I993">
        <v>0</v>
      </c>
      <c r="J993" t="s">
        <v>87</v>
      </c>
      <c r="K993">
        <v>0</v>
      </c>
      <c r="L993">
        <v>0</v>
      </c>
    </row>
    <row r="994" spans="1:12">
      <c r="A994" s="93">
        <v>151500</v>
      </c>
      <c r="B994" t="s">
        <v>1562</v>
      </c>
      <c r="C994" t="s">
        <v>5607</v>
      </c>
      <c r="D994" s="92">
        <v>1</v>
      </c>
      <c r="E994" s="92" t="s">
        <v>428</v>
      </c>
      <c r="F994" t="s">
        <v>428</v>
      </c>
      <c r="G994" t="s">
        <v>428</v>
      </c>
      <c r="H994" t="s">
        <v>5617</v>
      </c>
      <c r="I994">
        <v>0</v>
      </c>
      <c r="J994" t="s">
        <v>87</v>
      </c>
      <c r="K994">
        <v>0</v>
      </c>
      <c r="L994">
        <v>0</v>
      </c>
    </row>
    <row r="995" spans="1:12">
      <c r="A995" s="93">
        <v>151519</v>
      </c>
      <c r="B995" t="s">
        <v>1563</v>
      </c>
      <c r="C995" t="s">
        <v>5607</v>
      </c>
      <c r="D995" s="92">
        <v>0.07000000000000001</v>
      </c>
      <c r="E995" s="92">
        <v>0</v>
      </c>
      <c r="F995" t="s">
        <v>428</v>
      </c>
      <c r="G995" t="s">
        <v>428</v>
      </c>
      <c r="H995" t="s">
        <v>5617</v>
      </c>
      <c r="I995">
        <v>0</v>
      </c>
      <c r="J995" t="s">
        <v>87</v>
      </c>
      <c r="K995">
        <v>0</v>
      </c>
      <c r="L995">
        <v>0</v>
      </c>
    </row>
    <row r="996" spans="1:12">
      <c r="A996" s="93">
        <v>151616</v>
      </c>
      <c r="B996" t="s">
        <v>1564</v>
      </c>
      <c r="C996" t="s">
        <v>5607</v>
      </c>
      <c r="D996" s="92">
        <v>0.5</v>
      </c>
      <c r="E996" s="92">
        <v>0.5</v>
      </c>
      <c r="F996" t="s">
        <v>428</v>
      </c>
      <c r="G996" t="s">
        <v>428</v>
      </c>
      <c r="H996" t="s">
        <v>5617</v>
      </c>
      <c r="I996">
        <v>0</v>
      </c>
      <c r="J996" t="s">
        <v>87</v>
      </c>
      <c r="K996">
        <v>0</v>
      </c>
      <c r="L996">
        <v>1</v>
      </c>
    </row>
    <row r="997" spans="1:12">
      <c r="A997" s="93">
        <v>151661</v>
      </c>
      <c r="B997" t="s">
        <v>1565</v>
      </c>
      <c r="C997" t="s">
        <v>5606</v>
      </c>
      <c r="D997" s="92" t="s">
        <v>428</v>
      </c>
      <c r="E997" s="92" t="s">
        <v>428</v>
      </c>
      <c r="F997" t="s">
        <v>428</v>
      </c>
      <c r="G997" t="s">
        <v>428</v>
      </c>
      <c r="H997" t="s">
        <v>5617</v>
      </c>
      <c r="I997">
        <v>0</v>
      </c>
      <c r="J997" t="s">
        <v>87</v>
      </c>
      <c r="K997">
        <v>0</v>
      </c>
      <c r="L997">
        <v>0</v>
      </c>
    </row>
    <row r="998" spans="1:12">
      <c r="A998" s="93">
        <v>151777</v>
      </c>
      <c r="B998" t="s">
        <v>1566</v>
      </c>
      <c r="C998" t="s">
        <v>5602</v>
      </c>
      <c r="D998" s="92">
        <v>0.55</v>
      </c>
      <c r="E998" s="92">
        <v>0.41</v>
      </c>
      <c r="F998">
        <v>18</v>
      </c>
      <c r="G998">
        <v>24</v>
      </c>
      <c r="H998" t="s">
        <v>5617</v>
      </c>
      <c r="I998">
        <v>0</v>
      </c>
      <c r="J998" t="s">
        <v>87</v>
      </c>
      <c r="K998">
        <v>0</v>
      </c>
      <c r="L998">
        <v>0</v>
      </c>
    </row>
    <row r="999" spans="1:12">
      <c r="A999" s="93">
        <v>151786</v>
      </c>
      <c r="B999" t="s">
        <v>551</v>
      </c>
      <c r="C999" t="s">
        <v>5602</v>
      </c>
      <c r="D999" s="92">
        <v>0.55</v>
      </c>
      <c r="E999" s="92">
        <v>0.32</v>
      </c>
      <c r="F999">
        <v>19</v>
      </c>
      <c r="G999">
        <v>22</v>
      </c>
      <c r="H999" t="s">
        <v>5616</v>
      </c>
      <c r="I999">
        <v>0</v>
      </c>
      <c r="J999" t="s">
        <v>87</v>
      </c>
      <c r="K999">
        <v>0</v>
      </c>
      <c r="L999">
        <v>0</v>
      </c>
    </row>
    <row r="1000" spans="1:12">
      <c r="A1000" s="93">
        <v>151801</v>
      </c>
      <c r="B1000" t="s">
        <v>1567</v>
      </c>
      <c r="C1000" t="s">
        <v>5602</v>
      </c>
      <c r="D1000" s="92">
        <v>0.65</v>
      </c>
      <c r="E1000" s="92">
        <v>0.49</v>
      </c>
      <c r="F1000">
        <v>21</v>
      </c>
      <c r="G1000">
        <v>24</v>
      </c>
      <c r="H1000" t="s">
        <v>5617</v>
      </c>
      <c r="I1000">
        <v>0</v>
      </c>
      <c r="J1000" t="s">
        <v>87</v>
      </c>
      <c r="K1000">
        <v>0</v>
      </c>
      <c r="L1000">
        <v>0</v>
      </c>
    </row>
    <row r="1001" spans="1:12">
      <c r="A1001" s="93">
        <v>151810</v>
      </c>
      <c r="B1001" t="s">
        <v>1568</v>
      </c>
      <c r="C1001" t="s">
        <v>5608</v>
      </c>
      <c r="D1001" s="92">
        <v>0.07000000000000001</v>
      </c>
      <c r="E1001" s="92">
        <v>0.07000000000000001</v>
      </c>
      <c r="F1001" t="s">
        <v>428</v>
      </c>
      <c r="G1001" t="s">
        <v>428</v>
      </c>
      <c r="H1001" t="s">
        <v>5617</v>
      </c>
      <c r="I1001">
        <v>0</v>
      </c>
      <c r="J1001" t="s">
        <v>87</v>
      </c>
      <c r="K1001">
        <v>0</v>
      </c>
      <c r="L1001">
        <v>0</v>
      </c>
    </row>
    <row r="1002" spans="1:12">
      <c r="A1002" s="93">
        <v>151865</v>
      </c>
      <c r="B1002" t="s">
        <v>1569</v>
      </c>
      <c r="C1002" t="s">
        <v>5607</v>
      </c>
      <c r="D1002" s="92" t="s">
        <v>428</v>
      </c>
      <c r="E1002" s="92" t="s">
        <v>428</v>
      </c>
      <c r="F1002" t="s">
        <v>428</v>
      </c>
      <c r="G1002" t="s">
        <v>428</v>
      </c>
      <c r="H1002" t="s">
        <v>5615</v>
      </c>
      <c r="I1002">
        <v>0</v>
      </c>
      <c r="J1002" t="s">
        <v>87</v>
      </c>
      <c r="K1002">
        <v>0</v>
      </c>
      <c r="L1002">
        <v>0</v>
      </c>
    </row>
    <row r="1003" spans="1:12">
      <c r="A1003" s="93">
        <v>151944</v>
      </c>
      <c r="B1003" t="s">
        <v>1570</v>
      </c>
      <c r="C1003" t="s">
        <v>5607</v>
      </c>
      <c r="D1003" s="92">
        <v>0.14</v>
      </c>
      <c r="E1003" s="92">
        <v>0.25</v>
      </c>
      <c r="F1003" t="s">
        <v>428</v>
      </c>
      <c r="G1003" t="s">
        <v>428</v>
      </c>
      <c r="H1003" t="s">
        <v>5617</v>
      </c>
      <c r="I1003">
        <v>0</v>
      </c>
      <c r="J1003" t="s">
        <v>87</v>
      </c>
      <c r="K1003">
        <v>0</v>
      </c>
      <c r="L1003">
        <v>0</v>
      </c>
    </row>
    <row r="1004" spans="1:12">
      <c r="A1004" s="93">
        <v>151962</v>
      </c>
      <c r="B1004" t="s">
        <v>1571</v>
      </c>
      <c r="C1004" t="s">
        <v>5604</v>
      </c>
      <c r="D1004" s="92">
        <v>1</v>
      </c>
      <c r="E1004" s="92" t="s">
        <v>428</v>
      </c>
      <c r="F1004" t="s">
        <v>428</v>
      </c>
      <c r="G1004" t="s">
        <v>428</v>
      </c>
      <c r="H1004" t="s">
        <v>5617</v>
      </c>
      <c r="I1004">
        <v>0</v>
      </c>
      <c r="J1004" t="s">
        <v>87</v>
      </c>
      <c r="K1004">
        <v>0</v>
      </c>
      <c r="L1004">
        <v>0</v>
      </c>
    </row>
    <row r="1005" spans="1:12">
      <c r="A1005" s="93">
        <v>152044</v>
      </c>
      <c r="B1005" t="s">
        <v>1572</v>
      </c>
      <c r="C1005" t="s">
        <v>5606</v>
      </c>
      <c r="D1005" s="92" t="s">
        <v>428</v>
      </c>
      <c r="E1005" s="92" t="s">
        <v>428</v>
      </c>
      <c r="F1005" t="s">
        <v>428</v>
      </c>
      <c r="G1005" t="s">
        <v>428</v>
      </c>
      <c r="H1005" t="s">
        <v>5624</v>
      </c>
      <c r="I1005">
        <v>1</v>
      </c>
      <c r="J1005" t="s">
        <v>87</v>
      </c>
      <c r="K1005">
        <v>0</v>
      </c>
      <c r="L1005">
        <v>0</v>
      </c>
    </row>
    <row r="1006" spans="1:12">
      <c r="A1006" s="93">
        <v>152080</v>
      </c>
      <c r="B1006" t="s">
        <v>476</v>
      </c>
      <c r="C1006" t="s">
        <v>5611</v>
      </c>
      <c r="D1006" s="92">
        <v>0.95</v>
      </c>
      <c r="E1006" s="92">
        <v>0.93</v>
      </c>
      <c r="F1006">
        <v>32</v>
      </c>
      <c r="G1006">
        <v>33.5</v>
      </c>
      <c r="H1006" t="s">
        <v>5619</v>
      </c>
      <c r="I1006">
        <v>1</v>
      </c>
      <c r="J1006" t="s">
        <v>87</v>
      </c>
      <c r="K1006">
        <v>0</v>
      </c>
      <c r="L1006">
        <v>0</v>
      </c>
    </row>
    <row r="1007" spans="1:12">
      <c r="A1007" s="93">
        <v>152099</v>
      </c>
      <c r="B1007" t="s">
        <v>1573</v>
      </c>
      <c r="C1007" t="s">
        <v>5604</v>
      </c>
      <c r="D1007" s="92">
        <v>0.48</v>
      </c>
      <c r="E1007" s="92">
        <v>0.22</v>
      </c>
      <c r="F1007">
        <v>18</v>
      </c>
      <c r="G1007">
        <v>21</v>
      </c>
      <c r="H1007" t="s">
        <v>5617</v>
      </c>
      <c r="I1007">
        <v>0</v>
      </c>
      <c r="J1007" t="s">
        <v>87</v>
      </c>
      <c r="K1007">
        <v>0</v>
      </c>
      <c r="L1007">
        <v>0</v>
      </c>
    </row>
    <row r="1008" spans="1:12">
      <c r="A1008" s="93">
        <v>152248</v>
      </c>
      <c r="B1008" t="s">
        <v>1574</v>
      </c>
      <c r="C1008" t="s">
        <v>5602</v>
      </c>
      <c r="D1008" s="92">
        <v>0.31</v>
      </c>
      <c r="E1008" s="92">
        <v>0.25</v>
      </c>
      <c r="F1008">
        <v>18</v>
      </c>
      <c r="G1008">
        <v>21</v>
      </c>
      <c r="H1008" t="s">
        <v>5616</v>
      </c>
      <c r="I1008">
        <v>0</v>
      </c>
      <c r="J1008" t="s">
        <v>87</v>
      </c>
      <c r="K1008">
        <v>0</v>
      </c>
      <c r="L1008">
        <v>1</v>
      </c>
    </row>
    <row r="1009" spans="1:12">
      <c r="A1009" s="93">
        <v>152266</v>
      </c>
      <c r="B1009" t="s">
        <v>1575</v>
      </c>
      <c r="C1009" t="s">
        <v>5602</v>
      </c>
      <c r="D1009" s="92">
        <v>0.22</v>
      </c>
      <c r="E1009" s="92">
        <v>0.14</v>
      </c>
      <c r="F1009">
        <v>19</v>
      </c>
      <c r="G1009">
        <v>21</v>
      </c>
      <c r="H1009" t="s">
        <v>5615</v>
      </c>
      <c r="I1009">
        <v>0</v>
      </c>
      <c r="J1009" t="s">
        <v>87</v>
      </c>
      <c r="K1009">
        <v>0</v>
      </c>
      <c r="L1009">
        <v>1</v>
      </c>
    </row>
    <row r="1010" spans="1:12">
      <c r="A1010" s="93">
        <v>152318</v>
      </c>
      <c r="B1010" t="s">
        <v>1576</v>
      </c>
      <c r="C1010" t="s">
        <v>5612</v>
      </c>
      <c r="D1010" s="92">
        <v>0.77</v>
      </c>
      <c r="E1010" s="92">
        <v>0.66</v>
      </c>
      <c r="F1010">
        <v>27</v>
      </c>
      <c r="G1010">
        <v>29.5</v>
      </c>
      <c r="H1010" t="s">
        <v>5617</v>
      </c>
      <c r="I1010">
        <v>0</v>
      </c>
      <c r="J1010" t="s">
        <v>87</v>
      </c>
      <c r="K1010">
        <v>0</v>
      </c>
      <c r="L1010">
        <v>0</v>
      </c>
    </row>
    <row r="1011" spans="1:12">
      <c r="A1011" s="93">
        <v>152336</v>
      </c>
      <c r="B1011" t="s">
        <v>1577</v>
      </c>
      <c r="C1011" t="s">
        <v>5602</v>
      </c>
      <c r="D1011" s="92">
        <v>0.54</v>
      </c>
      <c r="E1011" s="92">
        <v>0.33</v>
      </c>
      <c r="F1011">
        <v>19</v>
      </c>
      <c r="G1011">
        <v>21.5</v>
      </c>
      <c r="H1011" t="s">
        <v>5616</v>
      </c>
      <c r="I1011">
        <v>0</v>
      </c>
      <c r="J1011" t="s">
        <v>87</v>
      </c>
      <c r="K1011">
        <v>0</v>
      </c>
      <c r="L1011">
        <v>0</v>
      </c>
    </row>
    <row r="1012" spans="1:12">
      <c r="A1012" s="93">
        <v>152363</v>
      </c>
      <c r="B1012" t="s">
        <v>1578</v>
      </c>
      <c r="C1012" t="s">
        <v>5602</v>
      </c>
      <c r="D1012" s="92">
        <v>0.5</v>
      </c>
      <c r="E1012" s="92">
        <v>0.36</v>
      </c>
      <c r="F1012">
        <v>21</v>
      </c>
      <c r="G1012">
        <v>22.5</v>
      </c>
      <c r="H1012" t="s">
        <v>5616</v>
      </c>
      <c r="I1012">
        <v>0</v>
      </c>
      <c r="J1012" t="s">
        <v>87</v>
      </c>
      <c r="K1012">
        <v>0</v>
      </c>
      <c r="L1012">
        <v>0</v>
      </c>
    </row>
    <row r="1013" spans="1:12">
      <c r="A1013" s="93">
        <v>152381</v>
      </c>
      <c r="B1013" t="s">
        <v>1579</v>
      </c>
      <c r="C1013" t="s">
        <v>5608</v>
      </c>
      <c r="D1013" s="92">
        <v>0.47</v>
      </c>
      <c r="E1013" s="92">
        <v>0.2</v>
      </c>
      <c r="F1013">
        <v>17</v>
      </c>
      <c r="G1013">
        <v>19.5</v>
      </c>
      <c r="H1013" t="s">
        <v>5617</v>
      </c>
      <c r="I1013">
        <v>0</v>
      </c>
      <c r="J1013" t="s">
        <v>87</v>
      </c>
      <c r="K1013">
        <v>0</v>
      </c>
      <c r="L1013">
        <v>0</v>
      </c>
    </row>
    <row r="1014" spans="1:12">
      <c r="A1014" s="93">
        <v>152390</v>
      </c>
      <c r="B1014" t="s">
        <v>1580</v>
      </c>
      <c r="C1014" t="s">
        <v>5602</v>
      </c>
      <c r="D1014" s="92">
        <v>0.79</v>
      </c>
      <c r="E1014" s="92">
        <v>0.77</v>
      </c>
      <c r="F1014">
        <v>22</v>
      </c>
      <c r="G1014">
        <v>25</v>
      </c>
      <c r="H1014" t="s">
        <v>5613</v>
      </c>
      <c r="I1014">
        <v>1</v>
      </c>
      <c r="J1014" t="s">
        <v>87</v>
      </c>
      <c r="K1014">
        <v>0</v>
      </c>
      <c r="L1014">
        <v>0</v>
      </c>
    </row>
    <row r="1015" spans="1:12">
      <c r="A1015" s="93">
        <v>152451</v>
      </c>
      <c r="B1015" t="s">
        <v>1581</v>
      </c>
      <c r="C1015" t="s">
        <v>5607</v>
      </c>
      <c r="D1015" s="92" t="s">
        <v>428</v>
      </c>
      <c r="E1015" s="92" t="s">
        <v>428</v>
      </c>
      <c r="F1015" t="s">
        <v>428</v>
      </c>
      <c r="G1015" t="s">
        <v>428</v>
      </c>
      <c r="H1015" t="s">
        <v>5615</v>
      </c>
      <c r="I1015">
        <v>0</v>
      </c>
      <c r="J1015" t="s">
        <v>87</v>
      </c>
      <c r="K1015">
        <v>0</v>
      </c>
      <c r="L1015">
        <v>0</v>
      </c>
    </row>
    <row r="1016" spans="1:12">
      <c r="A1016" s="93">
        <v>152497</v>
      </c>
      <c r="B1016" t="s">
        <v>1582</v>
      </c>
      <c r="C1016" t="s">
        <v>5606</v>
      </c>
      <c r="D1016" s="92" t="s">
        <v>428</v>
      </c>
      <c r="E1016" s="92" t="s">
        <v>428</v>
      </c>
      <c r="F1016" t="s">
        <v>428</v>
      </c>
      <c r="G1016" t="s">
        <v>428</v>
      </c>
      <c r="H1016" t="s">
        <v>5617</v>
      </c>
      <c r="I1016">
        <v>0</v>
      </c>
      <c r="J1016" t="s">
        <v>87</v>
      </c>
      <c r="K1016">
        <v>0</v>
      </c>
      <c r="L1016">
        <v>0</v>
      </c>
    </row>
    <row r="1017" spans="1:12">
      <c r="A1017" s="93">
        <v>152530</v>
      </c>
      <c r="B1017" t="s">
        <v>1583</v>
      </c>
      <c r="C1017" t="s">
        <v>5602</v>
      </c>
      <c r="D1017" s="92">
        <v>0.76</v>
      </c>
      <c r="E1017" s="92">
        <v>0.57</v>
      </c>
      <c r="F1017">
        <v>22</v>
      </c>
      <c r="G1017">
        <v>25.5</v>
      </c>
      <c r="H1017" t="s">
        <v>5617</v>
      </c>
      <c r="I1017">
        <v>0</v>
      </c>
      <c r="J1017" t="s">
        <v>87</v>
      </c>
      <c r="K1017">
        <v>0</v>
      </c>
      <c r="L1017">
        <v>0</v>
      </c>
    </row>
    <row r="1018" spans="1:12">
      <c r="A1018" s="93">
        <v>152567</v>
      </c>
      <c r="B1018" t="s">
        <v>1584</v>
      </c>
      <c r="C1018" t="s">
        <v>5602</v>
      </c>
      <c r="D1018" s="92">
        <v>0.55</v>
      </c>
      <c r="E1018" s="92">
        <v>0.31</v>
      </c>
      <c r="F1018">
        <v>20</v>
      </c>
      <c r="G1018">
        <v>23.5</v>
      </c>
      <c r="H1018" t="s">
        <v>5617</v>
      </c>
      <c r="I1018">
        <v>0</v>
      </c>
      <c r="J1018" t="s">
        <v>87</v>
      </c>
      <c r="K1018">
        <v>0</v>
      </c>
      <c r="L1018">
        <v>0</v>
      </c>
    </row>
    <row r="1019" spans="1:12">
      <c r="A1019" s="93">
        <v>152600</v>
      </c>
      <c r="B1019" t="s">
        <v>595</v>
      </c>
      <c r="C1019" t="s">
        <v>5602</v>
      </c>
      <c r="D1019" s="92">
        <v>0.66</v>
      </c>
      <c r="E1019" s="92">
        <v>0.44</v>
      </c>
      <c r="F1019">
        <v>23</v>
      </c>
      <c r="G1019">
        <v>26</v>
      </c>
      <c r="H1019" t="s">
        <v>5617</v>
      </c>
      <c r="I1019">
        <v>0</v>
      </c>
      <c r="J1019" t="s">
        <v>87</v>
      </c>
      <c r="K1019">
        <v>0</v>
      </c>
      <c r="L1019">
        <v>0</v>
      </c>
    </row>
    <row r="1020" spans="1:12">
      <c r="A1020" s="93">
        <v>152637</v>
      </c>
      <c r="B1020" t="s">
        <v>1585</v>
      </c>
      <c r="C1020" t="s">
        <v>5604</v>
      </c>
      <c r="D1020" s="92">
        <v>0.25</v>
      </c>
      <c r="E1020" s="92">
        <v>0.11</v>
      </c>
      <c r="F1020" t="s">
        <v>428</v>
      </c>
      <c r="G1020" t="s">
        <v>428</v>
      </c>
      <c r="H1020" t="s">
        <v>5615</v>
      </c>
      <c r="I1020">
        <v>0</v>
      </c>
      <c r="J1020" t="s">
        <v>87</v>
      </c>
      <c r="K1020">
        <v>0</v>
      </c>
      <c r="L1020">
        <v>0</v>
      </c>
    </row>
    <row r="1021" spans="1:12">
      <c r="A1021" s="93">
        <v>152673</v>
      </c>
      <c r="B1021" t="s">
        <v>1586</v>
      </c>
      <c r="C1021" t="s">
        <v>5603</v>
      </c>
      <c r="D1021" s="92">
        <v>0.73</v>
      </c>
      <c r="E1021" s="92">
        <v>0.6</v>
      </c>
      <c r="F1021">
        <v>23</v>
      </c>
      <c r="G1021">
        <v>25.5</v>
      </c>
      <c r="H1021" t="s">
        <v>5616</v>
      </c>
      <c r="I1021">
        <v>0</v>
      </c>
      <c r="J1021" t="s">
        <v>87</v>
      </c>
      <c r="K1021">
        <v>0</v>
      </c>
      <c r="L1021">
        <v>0</v>
      </c>
    </row>
    <row r="1022" spans="1:12">
      <c r="A1022" s="93">
        <v>152798</v>
      </c>
      <c r="B1022" t="s">
        <v>1587</v>
      </c>
      <c r="C1022" t="s">
        <v>5604</v>
      </c>
      <c r="D1022" s="92" t="s">
        <v>428</v>
      </c>
      <c r="E1022" s="92" t="s">
        <v>428</v>
      </c>
      <c r="F1022" t="s">
        <v>428</v>
      </c>
      <c r="G1022" t="s">
        <v>428</v>
      </c>
      <c r="H1022" t="s">
        <v>5615</v>
      </c>
      <c r="I1022">
        <v>0</v>
      </c>
      <c r="J1022" t="s">
        <v>87</v>
      </c>
      <c r="K1022">
        <v>0</v>
      </c>
      <c r="L1022">
        <v>0</v>
      </c>
    </row>
    <row r="1023" spans="1:12">
      <c r="A1023" s="93">
        <v>152992</v>
      </c>
      <c r="B1023" t="s">
        <v>1588</v>
      </c>
      <c r="C1023" t="s">
        <v>5602</v>
      </c>
      <c r="D1023" s="92">
        <v>0.46</v>
      </c>
      <c r="E1023" s="92">
        <v>0.3</v>
      </c>
      <c r="F1023" t="s">
        <v>428</v>
      </c>
      <c r="G1023" t="s">
        <v>428</v>
      </c>
      <c r="H1023" t="s">
        <v>5617</v>
      </c>
      <c r="I1023">
        <v>0</v>
      </c>
      <c r="J1023" t="s">
        <v>87</v>
      </c>
      <c r="K1023">
        <v>0</v>
      </c>
      <c r="L1023">
        <v>0</v>
      </c>
    </row>
    <row r="1024" spans="1:12">
      <c r="A1024" s="93">
        <v>153001</v>
      </c>
      <c r="B1024" t="s">
        <v>1589</v>
      </c>
      <c r="C1024" t="s">
        <v>5602</v>
      </c>
      <c r="D1024" s="92">
        <v>0.5</v>
      </c>
      <c r="E1024" s="92">
        <v>0.36</v>
      </c>
      <c r="F1024">
        <v>19</v>
      </c>
      <c r="G1024">
        <v>22.5</v>
      </c>
      <c r="H1024" t="s">
        <v>5617</v>
      </c>
      <c r="I1024">
        <v>0</v>
      </c>
      <c r="J1024" t="s">
        <v>87</v>
      </c>
      <c r="K1024">
        <v>0</v>
      </c>
      <c r="L1024">
        <v>0</v>
      </c>
    </row>
    <row r="1025" spans="1:12">
      <c r="A1025" s="93">
        <v>153074</v>
      </c>
      <c r="B1025" t="s">
        <v>1590</v>
      </c>
      <c r="C1025" t="s">
        <v>5606</v>
      </c>
      <c r="D1025" s="92" t="s">
        <v>428</v>
      </c>
      <c r="E1025" s="92" t="s">
        <v>428</v>
      </c>
      <c r="F1025" t="s">
        <v>428</v>
      </c>
      <c r="G1025" t="s">
        <v>428</v>
      </c>
      <c r="H1025" t="s">
        <v>5613</v>
      </c>
      <c r="I1025">
        <v>1</v>
      </c>
      <c r="J1025" t="s">
        <v>87</v>
      </c>
      <c r="K1025">
        <v>0</v>
      </c>
      <c r="L1025">
        <v>0</v>
      </c>
    </row>
    <row r="1026" spans="1:12">
      <c r="A1026" s="93">
        <v>153083</v>
      </c>
      <c r="B1026" t="s">
        <v>1591</v>
      </c>
      <c r="C1026" t="s">
        <v>5606</v>
      </c>
      <c r="D1026" s="92" t="s">
        <v>428</v>
      </c>
      <c r="E1026" s="92" t="s">
        <v>428</v>
      </c>
      <c r="F1026" t="s">
        <v>428</v>
      </c>
      <c r="G1026" t="s">
        <v>428</v>
      </c>
      <c r="H1026" t="s">
        <v>5616</v>
      </c>
      <c r="I1026">
        <v>0</v>
      </c>
      <c r="J1026" t="s">
        <v>87</v>
      </c>
      <c r="K1026">
        <v>0</v>
      </c>
      <c r="L1026">
        <v>0</v>
      </c>
    </row>
    <row r="1027" spans="1:12">
      <c r="A1027" s="93">
        <v>153108</v>
      </c>
      <c r="B1027" t="s">
        <v>1592</v>
      </c>
      <c r="C1027" t="s">
        <v>5602</v>
      </c>
      <c r="D1027" s="92">
        <v>0.67</v>
      </c>
      <c r="E1027" s="92">
        <v>0.6</v>
      </c>
      <c r="F1027">
        <v>21</v>
      </c>
      <c r="G1027">
        <v>23.5</v>
      </c>
      <c r="H1027" t="s">
        <v>5617</v>
      </c>
      <c r="I1027">
        <v>0</v>
      </c>
      <c r="J1027" t="s">
        <v>87</v>
      </c>
      <c r="K1027">
        <v>0</v>
      </c>
      <c r="L1027">
        <v>0</v>
      </c>
    </row>
    <row r="1028" spans="1:12">
      <c r="A1028" s="93">
        <v>153126</v>
      </c>
      <c r="B1028" t="s">
        <v>1593</v>
      </c>
      <c r="C1028" t="s">
        <v>5602</v>
      </c>
      <c r="D1028" s="92">
        <v>0.63</v>
      </c>
      <c r="E1028" s="92">
        <v>0.5</v>
      </c>
      <c r="F1028">
        <v>20</v>
      </c>
      <c r="G1028">
        <v>22.5</v>
      </c>
      <c r="H1028" t="s">
        <v>5617</v>
      </c>
      <c r="I1028">
        <v>0</v>
      </c>
      <c r="J1028" t="s">
        <v>87</v>
      </c>
      <c r="K1028">
        <v>0</v>
      </c>
      <c r="L1028">
        <v>0</v>
      </c>
    </row>
    <row r="1029" spans="1:12">
      <c r="A1029" s="93">
        <v>153144</v>
      </c>
      <c r="B1029" t="s">
        <v>1594</v>
      </c>
      <c r="C1029" t="s">
        <v>5603</v>
      </c>
      <c r="D1029" s="92">
        <v>0.68</v>
      </c>
      <c r="E1029" s="92">
        <v>0.71</v>
      </c>
      <c r="F1029">
        <v>22</v>
      </c>
      <c r="G1029">
        <v>25</v>
      </c>
      <c r="H1029" t="s">
        <v>5626</v>
      </c>
      <c r="I1029">
        <v>0</v>
      </c>
      <c r="J1029" t="s">
        <v>87</v>
      </c>
      <c r="K1029">
        <v>0</v>
      </c>
      <c r="L1029">
        <v>0</v>
      </c>
    </row>
    <row r="1030" spans="1:12">
      <c r="A1030" s="93">
        <v>153162</v>
      </c>
      <c r="B1030" t="s">
        <v>1595</v>
      </c>
      <c r="C1030" t="s">
        <v>5603</v>
      </c>
      <c r="D1030" s="92">
        <v>0.67</v>
      </c>
      <c r="E1030" s="92">
        <v>0.68</v>
      </c>
      <c r="F1030">
        <v>23</v>
      </c>
      <c r="G1030">
        <v>26</v>
      </c>
      <c r="H1030" t="s">
        <v>5617</v>
      </c>
      <c r="I1030">
        <v>0</v>
      </c>
      <c r="J1030" t="s">
        <v>87</v>
      </c>
      <c r="K1030">
        <v>0</v>
      </c>
      <c r="L1030">
        <v>0</v>
      </c>
    </row>
    <row r="1031" spans="1:12">
      <c r="A1031" s="93">
        <v>153171</v>
      </c>
      <c r="B1031" t="s">
        <v>1596</v>
      </c>
      <c r="C1031" t="s">
        <v>5606</v>
      </c>
      <c r="D1031" s="92" t="s">
        <v>428</v>
      </c>
      <c r="E1031" s="92" t="s">
        <v>428</v>
      </c>
      <c r="F1031" t="s">
        <v>428</v>
      </c>
      <c r="G1031" t="s">
        <v>428</v>
      </c>
      <c r="H1031" t="s">
        <v>5616</v>
      </c>
      <c r="I1031">
        <v>0</v>
      </c>
      <c r="J1031" t="s">
        <v>87</v>
      </c>
      <c r="K1031">
        <v>0</v>
      </c>
      <c r="L1031">
        <v>0</v>
      </c>
    </row>
    <row r="1032" spans="1:12">
      <c r="A1032" s="93">
        <v>153214</v>
      </c>
      <c r="B1032" t="s">
        <v>1597</v>
      </c>
      <c r="C1032" t="s">
        <v>5606</v>
      </c>
      <c r="D1032" s="92" t="s">
        <v>428</v>
      </c>
      <c r="E1032" s="92" t="s">
        <v>428</v>
      </c>
      <c r="F1032" t="s">
        <v>428</v>
      </c>
      <c r="G1032" t="s">
        <v>428</v>
      </c>
      <c r="H1032" t="s">
        <v>5615</v>
      </c>
      <c r="I1032">
        <v>0</v>
      </c>
      <c r="J1032" t="s">
        <v>87</v>
      </c>
      <c r="K1032">
        <v>0</v>
      </c>
      <c r="L1032">
        <v>0</v>
      </c>
    </row>
    <row r="1033" spans="1:12">
      <c r="A1033" s="93">
        <v>153241</v>
      </c>
      <c r="B1033" t="s">
        <v>1598</v>
      </c>
      <c r="C1033" t="s">
        <v>5607</v>
      </c>
      <c r="D1033" s="92">
        <v>0.49</v>
      </c>
      <c r="E1033" s="92">
        <v>1</v>
      </c>
      <c r="F1033" t="s">
        <v>428</v>
      </c>
      <c r="G1033" t="s">
        <v>428</v>
      </c>
      <c r="H1033" t="s">
        <v>5624</v>
      </c>
      <c r="I1033">
        <v>1</v>
      </c>
      <c r="J1033" t="s">
        <v>87</v>
      </c>
      <c r="K1033">
        <v>0</v>
      </c>
      <c r="L1033">
        <v>0</v>
      </c>
    </row>
    <row r="1034" spans="1:12">
      <c r="A1034" s="93">
        <v>153250</v>
      </c>
      <c r="B1034" t="s">
        <v>1599</v>
      </c>
      <c r="C1034" t="s">
        <v>5602</v>
      </c>
      <c r="D1034" s="92">
        <v>0.68</v>
      </c>
      <c r="E1034" s="92">
        <v>0.34</v>
      </c>
      <c r="F1034">
        <v>22</v>
      </c>
      <c r="G1034">
        <v>24.5</v>
      </c>
      <c r="H1034" t="s">
        <v>5617</v>
      </c>
      <c r="I1034">
        <v>0</v>
      </c>
      <c r="J1034" t="s">
        <v>87</v>
      </c>
      <c r="K1034">
        <v>0</v>
      </c>
      <c r="L1034">
        <v>0</v>
      </c>
    </row>
    <row r="1035" spans="1:12">
      <c r="A1035" s="93">
        <v>153269</v>
      </c>
      <c r="B1035" t="s">
        <v>1600</v>
      </c>
      <c r="C1035" t="s">
        <v>5605</v>
      </c>
      <c r="D1035" s="92">
        <v>0.75</v>
      </c>
      <c r="E1035" s="92">
        <v>0.61</v>
      </c>
      <c r="F1035">
        <v>25</v>
      </c>
      <c r="G1035">
        <v>27.5</v>
      </c>
      <c r="H1035" t="s">
        <v>5617</v>
      </c>
      <c r="I1035">
        <v>0</v>
      </c>
      <c r="J1035" t="s">
        <v>87</v>
      </c>
      <c r="K1035">
        <v>0</v>
      </c>
      <c r="L1035">
        <v>0</v>
      </c>
    </row>
    <row r="1036" spans="1:12">
      <c r="A1036" s="93">
        <v>153278</v>
      </c>
      <c r="B1036" t="s">
        <v>1601</v>
      </c>
      <c r="C1036" t="s">
        <v>5602</v>
      </c>
      <c r="D1036" s="92">
        <v>0.45</v>
      </c>
      <c r="E1036" s="92">
        <v>0.3</v>
      </c>
      <c r="F1036">
        <v>17</v>
      </c>
      <c r="G1036">
        <v>19.5</v>
      </c>
      <c r="H1036" t="s">
        <v>5613</v>
      </c>
      <c r="I1036">
        <v>1</v>
      </c>
      <c r="J1036" t="s">
        <v>87</v>
      </c>
      <c r="K1036">
        <v>0</v>
      </c>
      <c r="L1036">
        <v>0</v>
      </c>
    </row>
    <row r="1037" spans="1:12">
      <c r="A1037" s="93">
        <v>153296</v>
      </c>
      <c r="B1037" t="s">
        <v>1602</v>
      </c>
      <c r="C1037" t="s">
        <v>5606</v>
      </c>
      <c r="D1037" s="92">
        <v>0.44</v>
      </c>
      <c r="E1037" s="92">
        <v>0.43</v>
      </c>
      <c r="F1037" t="s">
        <v>428</v>
      </c>
      <c r="G1037" t="s">
        <v>428</v>
      </c>
      <c r="H1037" t="s">
        <v>5615</v>
      </c>
      <c r="I1037">
        <v>0</v>
      </c>
      <c r="J1037" t="s">
        <v>87</v>
      </c>
      <c r="K1037">
        <v>0</v>
      </c>
      <c r="L1037">
        <v>0</v>
      </c>
    </row>
    <row r="1038" spans="1:12">
      <c r="A1038" s="93">
        <v>153302</v>
      </c>
      <c r="B1038" t="s">
        <v>1603</v>
      </c>
      <c r="C1038" t="s">
        <v>5603</v>
      </c>
      <c r="D1038" s="92">
        <v>0.54</v>
      </c>
      <c r="E1038" s="92">
        <v>0.22</v>
      </c>
      <c r="F1038">
        <v>20</v>
      </c>
      <c r="G1038">
        <v>24</v>
      </c>
      <c r="H1038" t="s">
        <v>5616</v>
      </c>
      <c r="I1038">
        <v>0</v>
      </c>
      <c r="J1038" t="s">
        <v>87</v>
      </c>
      <c r="K1038">
        <v>0</v>
      </c>
      <c r="L1038">
        <v>0</v>
      </c>
    </row>
    <row r="1039" spans="1:12">
      <c r="A1039" s="93">
        <v>153311</v>
      </c>
      <c r="B1039" t="s">
        <v>1604</v>
      </c>
      <c r="C1039" t="s">
        <v>5606</v>
      </c>
      <c r="D1039" s="92">
        <v>0.39</v>
      </c>
      <c r="E1039" s="92">
        <v>0.3</v>
      </c>
      <c r="F1039" t="s">
        <v>428</v>
      </c>
      <c r="G1039" t="s">
        <v>428</v>
      </c>
      <c r="H1039" t="s">
        <v>5615</v>
      </c>
      <c r="I1039">
        <v>0</v>
      </c>
      <c r="J1039" t="s">
        <v>87</v>
      </c>
      <c r="K1039">
        <v>0</v>
      </c>
      <c r="L1039">
        <v>0</v>
      </c>
    </row>
    <row r="1040" spans="1:12">
      <c r="A1040" s="93">
        <v>153320</v>
      </c>
      <c r="B1040" t="s">
        <v>1605</v>
      </c>
      <c r="C1040" t="s">
        <v>5602</v>
      </c>
      <c r="D1040" s="92">
        <v>0.46</v>
      </c>
      <c r="E1040" s="92">
        <v>0.14</v>
      </c>
      <c r="F1040">
        <v>20</v>
      </c>
      <c r="G1040">
        <v>22.5</v>
      </c>
      <c r="H1040" t="s">
        <v>5616</v>
      </c>
      <c r="I1040">
        <v>0</v>
      </c>
      <c r="J1040" t="s">
        <v>87</v>
      </c>
      <c r="K1040">
        <v>0</v>
      </c>
      <c r="L1040">
        <v>0</v>
      </c>
    </row>
    <row r="1041" spans="1:12">
      <c r="A1041" s="93">
        <v>153339</v>
      </c>
      <c r="B1041" t="s">
        <v>1606</v>
      </c>
      <c r="C1041" t="s">
        <v>5606</v>
      </c>
      <c r="D1041" s="92" t="s">
        <v>428</v>
      </c>
      <c r="E1041" s="92" t="s">
        <v>428</v>
      </c>
      <c r="F1041" t="s">
        <v>428</v>
      </c>
      <c r="G1041" t="s">
        <v>428</v>
      </c>
      <c r="H1041" t="s">
        <v>5624</v>
      </c>
      <c r="I1041">
        <v>1</v>
      </c>
      <c r="J1041" t="s">
        <v>87</v>
      </c>
      <c r="K1041">
        <v>0</v>
      </c>
      <c r="L1041">
        <v>0</v>
      </c>
    </row>
    <row r="1042" spans="1:12">
      <c r="A1042" s="93">
        <v>153366</v>
      </c>
      <c r="B1042" t="s">
        <v>1607</v>
      </c>
      <c r="C1042" t="s">
        <v>5602</v>
      </c>
      <c r="D1042" s="92">
        <v>0.5</v>
      </c>
      <c r="E1042" s="92">
        <v>0.38</v>
      </c>
      <c r="F1042">
        <v>18</v>
      </c>
      <c r="G1042">
        <v>21</v>
      </c>
      <c r="H1042" t="s">
        <v>5616</v>
      </c>
      <c r="I1042">
        <v>0</v>
      </c>
      <c r="J1042" t="s">
        <v>87</v>
      </c>
      <c r="K1042">
        <v>0</v>
      </c>
      <c r="L1042">
        <v>0</v>
      </c>
    </row>
    <row r="1043" spans="1:12">
      <c r="A1043" s="93">
        <v>153375</v>
      </c>
      <c r="B1043" t="s">
        <v>1608</v>
      </c>
      <c r="C1043" t="s">
        <v>5602</v>
      </c>
      <c r="D1043" s="92">
        <v>0.47</v>
      </c>
      <c r="E1043" s="92">
        <v>0.26</v>
      </c>
      <c r="F1043">
        <v>18</v>
      </c>
      <c r="G1043">
        <v>20.5</v>
      </c>
      <c r="H1043" t="s">
        <v>5617</v>
      </c>
      <c r="I1043">
        <v>0</v>
      </c>
      <c r="J1043" t="s">
        <v>87</v>
      </c>
      <c r="K1043">
        <v>0</v>
      </c>
      <c r="L1043">
        <v>0</v>
      </c>
    </row>
    <row r="1044" spans="1:12">
      <c r="A1044" s="93">
        <v>153384</v>
      </c>
      <c r="B1044" t="s">
        <v>483</v>
      </c>
      <c r="C1044" t="s">
        <v>5611</v>
      </c>
      <c r="D1044" s="92">
        <v>0.87</v>
      </c>
      <c r="E1044" s="92">
        <v>0.76</v>
      </c>
      <c r="F1044">
        <v>30</v>
      </c>
      <c r="G1044">
        <v>31.5</v>
      </c>
      <c r="H1044" t="s">
        <v>5619</v>
      </c>
      <c r="I1044">
        <v>1</v>
      </c>
      <c r="J1044" t="s">
        <v>87</v>
      </c>
      <c r="K1044">
        <v>0</v>
      </c>
      <c r="L1044">
        <v>0</v>
      </c>
    </row>
    <row r="1045" spans="1:12">
      <c r="A1045" s="93">
        <v>153409</v>
      </c>
      <c r="B1045" t="s">
        <v>1609</v>
      </c>
      <c r="C1045" t="s">
        <v>5604</v>
      </c>
      <c r="D1045" s="92">
        <v>0.5</v>
      </c>
      <c r="E1045" s="92" t="s">
        <v>428</v>
      </c>
      <c r="F1045" t="s">
        <v>428</v>
      </c>
      <c r="G1045" t="s">
        <v>428</v>
      </c>
      <c r="H1045" t="s">
        <v>5617</v>
      </c>
      <c r="I1045">
        <v>0</v>
      </c>
      <c r="J1045" t="s">
        <v>87</v>
      </c>
      <c r="K1045">
        <v>0</v>
      </c>
      <c r="L1045">
        <v>0</v>
      </c>
    </row>
    <row r="1046" spans="1:12">
      <c r="A1046" s="93">
        <v>153418</v>
      </c>
      <c r="B1046" t="s">
        <v>1610</v>
      </c>
      <c r="C1046" t="s">
        <v>5604</v>
      </c>
      <c r="D1046" s="92">
        <v>1</v>
      </c>
      <c r="E1046" s="92" t="s">
        <v>428</v>
      </c>
      <c r="F1046" t="s">
        <v>428</v>
      </c>
      <c r="G1046" t="s">
        <v>428</v>
      </c>
      <c r="H1046" t="s">
        <v>5617</v>
      </c>
      <c r="I1046">
        <v>0</v>
      </c>
      <c r="J1046" t="s">
        <v>87</v>
      </c>
      <c r="K1046">
        <v>0</v>
      </c>
      <c r="L1046">
        <v>0</v>
      </c>
    </row>
    <row r="1047" spans="1:12">
      <c r="A1047" s="93">
        <v>153427</v>
      </c>
      <c r="B1047" t="s">
        <v>1611</v>
      </c>
      <c r="C1047" t="s">
        <v>5604</v>
      </c>
      <c r="D1047" s="92">
        <v>1</v>
      </c>
      <c r="E1047" s="92">
        <v>1</v>
      </c>
      <c r="F1047" t="s">
        <v>428</v>
      </c>
      <c r="G1047" t="s">
        <v>428</v>
      </c>
      <c r="H1047" t="s">
        <v>5617</v>
      </c>
      <c r="I1047">
        <v>0</v>
      </c>
      <c r="J1047" t="s">
        <v>87</v>
      </c>
      <c r="K1047">
        <v>0</v>
      </c>
      <c r="L1047">
        <v>0</v>
      </c>
    </row>
    <row r="1048" spans="1:12">
      <c r="A1048" s="93">
        <v>153445</v>
      </c>
      <c r="B1048" t="s">
        <v>1612</v>
      </c>
      <c r="C1048" t="s">
        <v>5606</v>
      </c>
      <c r="D1048" s="92">
        <v>0.25</v>
      </c>
      <c r="E1048" s="92">
        <v>0.15</v>
      </c>
      <c r="F1048" t="s">
        <v>428</v>
      </c>
      <c r="G1048" t="s">
        <v>428</v>
      </c>
      <c r="H1048" t="s">
        <v>5615</v>
      </c>
      <c r="I1048">
        <v>0</v>
      </c>
      <c r="J1048" t="s">
        <v>87</v>
      </c>
      <c r="K1048">
        <v>0</v>
      </c>
      <c r="L1048">
        <v>0</v>
      </c>
    </row>
    <row r="1049" spans="1:12">
      <c r="A1049" s="93">
        <v>153463</v>
      </c>
      <c r="B1049" t="s">
        <v>1613</v>
      </c>
      <c r="C1049" t="s">
        <v>5606</v>
      </c>
      <c r="D1049" s="92" t="s">
        <v>428</v>
      </c>
      <c r="E1049" s="92" t="s">
        <v>428</v>
      </c>
      <c r="F1049" t="s">
        <v>428</v>
      </c>
      <c r="G1049" t="s">
        <v>428</v>
      </c>
      <c r="H1049" t="s">
        <v>5616</v>
      </c>
      <c r="I1049">
        <v>0</v>
      </c>
      <c r="J1049" t="s">
        <v>87</v>
      </c>
      <c r="K1049">
        <v>0</v>
      </c>
      <c r="L1049">
        <v>0</v>
      </c>
    </row>
    <row r="1050" spans="1:12">
      <c r="A1050" s="93">
        <v>153472</v>
      </c>
      <c r="B1050" t="s">
        <v>1614</v>
      </c>
      <c r="C1050" t="s">
        <v>5606</v>
      </c>
      <c r="D1050" s="92">
        <v>0.39</v>
      </c>
      <c r="E1050" s="92">
        <v>0.36</v>
      </c>
      <c r="F1050" t="s">
        <v>428</v>
      </c>
      <c r="G1050" t="s">
        <v>428</v>
      </c>
      <c r="H1050" t="s">
        <v>5624</v>
      </c>
      <c r="I1050">
        <v>1</v>
      </c>
      <c r="J1050" t="s">
        <v>87</v>
      </c>
      <c r="K1050">
        <v>0</v>
      </c>
      <c r="L1050">
        <v>0</v>
      </c>
    </row>
    <row r="1051" spans="1:12">
      <c r="A1051" s="93">
        <v>153524</v>
      </c>
      <c r="B1051" t="s">
        <v>1615</v>
      </c>
      <c r="C1051" t="s">
        <v>5606</v>
      </c>
      <c r="D1051" s="92" t="s">
        <v>428</v>
      </c>
      <c r="E1051" s="92" t="s">
        <v>428</v>
      </c>
      <c r="F1051" t="s">
        <v>428</v>
      </c>
      <c r="G1051" t="s">
        <v>428</v>
      </c>
      <c r="H1051" t="s">
        <v>5615</v>
      </c>
      <c r="I1051">
        <v>0</v>
      </c>
      <c r="J1051" t="s">
        <v>87</v>
      </c>
      <c r="K1051">
        <v>0</v>
      </c>
      <c r="L1051">
        <v>0</v>
      </c>
    </row>
    <row r="1052" spans="1:12">
      <c r="A1052" s="93">
        <v>153533</v>
      </c>
      <c r="B1052" t="s">
        <v>1616</v>
      </c>
      <c r="C1052" t="s">
        <v>5606</v>
      </c>
      <c r="D1052" s="92" t="s">
        <v>428</v>
      </c>
      <c r="E1052" s="92" t="s">
        <v>428</v>
      </c>
      <c r="F1052" t="s">
        <v>428</v>
      </c>
      <c r="G1052" t="s">
        <v>428</v>
      </c>
      <c r="H1052" t="s">
        <v>5615</v>
      </c>
      <c r="I1052">
        <v>0</v>
      </c>
      <c r="J1052" t="s">
        <v>87</v>
      </c>
      <c r="K1052">
        <v>0</v>
      </c>
      <c r="L1052">
        <v>0</v>
      </c>
    </row>
    <row r="1053" spans="1:12">
      <c r="A1053" s="93">
        <v>153542</v>
      </c>
      <c r="B1053" t="s">
        <v>1617</v>
      </c>
      <c r="C1053" t="s">
        <v>5606</v>
      </c>
      <c r="D1053" s="92" t="s">
        <v>428</v>
      </c>
      <c r="E1053" s="92" t="s">
        <v>428</v>
      </c>
      <c r="F1053" t="s">
        <v>428</v>
      </c>
      <c r="G1053" t="s">
        <v>428</v>
      </c>
      <c r="H1053" t="s">
        <v>5615</v>
      </c>
      <c r="I1053">
        <v>0</v>
      </c>
      <c r="J1053" t="s">
        <v>87</v>
      </c>
      <c r="K1053">
        <v>0</v>
      </c>
      <c r="L1053">
        <v>0</v>
      </c>
    </row>
    <row r="1054" spans="1:12">
      <c r="A1054" s="93">
        <v>153588</v>
      </c>
      <c r="B1054" t="s">
        <v>1618</v>
      </c>
      <c r="C1054" t="s">
        <v>5606</v>
      </c>
      <c r="D1054" s="92" t="s">
        <v>428</v>
      </c>
      <c r="E1054" s="92" t="s">
        <v>428</v>
      </c>
      <c r="F1054" t="s">
        <v>428</v>
      </c>
      <c r="G1054" t="s">
        <v>428</v>
      </c>
      <c r="H1054" t="s">
        <v>5616</v>
      </c>
      <c r="I1054">
        <v>0</v>
      </c>
      <c r="J1054" t="s">
        <v>87</v>
      </c>
      <c r="K1054">
        <v>0</v>
      </c>
      <c r="L1054">
        <v>0</v>
      </c>
    </row>
    <row r="1055" spans="1:12">
      <c r="A1055" s="93">
        <v>153597</v>
      </c>
      <c r="B1055" t="s">
        <v>1619</v>
      </c>
      <c r="C1055" t="s">
        <v>5606</v>
      </c>
      <c r="D1055" s="92" t="s">
        <v>428</v>
      </c>
      <c r="E1055" s="92" t="s">
        <v>428</v>
      </c>
      <c r="F1055" t="s">
        <v>428</v>
      </c>
      <c r="G1055" t="s">
        <v>428</v>
      </c>
      <c r="H1055" t="s">
        <v>5624</v>
      </c>
      <c r="I1055">
        <v>1</v>
      </c>
      <c r="J1055" t="s">
        <v>87</v>
      </c>
      <c r="K1055">
        <v>0</v>
      </c>
      <c r="L1055">
        <v>0</v>
      </c>
    </row>
    <row r="1056" spans="1:12">
      <c r="A1056" s="93">
        <v>153603</v>
      </c>
      <c r="B1056" t="s">
        <v>1620</v>
      </c>
      <c r="C1056" t="s">
        <v>5602</v>
      </c>
      <c r="D1056" s="92">
        <v>0.74</v>
      </c>
      <c r="E1056" s="92">
        <v>0.61</v>
      </c>
      <c r="F1056">
        <v>22</v>
      </c>
      <c r="G1056">
        <v>25</v>
      </c>
      <c r="H1056" t="s">
        <v>5617</v>
      </c>
      <c r="I1056">
        <v>0</v>
      </c>
      <c r="J1056" t="s">
        <v>87</v>
      </c>
      <c r="K1056">
        <v>0</v>
      </c>
      <c r="L1056">
        <v>0</v>
      </c>
    </row>
    <row r="1057" spans="1:12">
      <c r="A1057" s="93">
        <v>153621</v>
      </c>
      <c r="B1057" t="s">
        <v>1621</v>
      </c>
      <c r="C1057" t="s">
        <v>5602</v>
      </c>
      <c r="D1057" s="92">
        <v>0.26</v>
      </c>
      <c r="E1057" s="92">
        <v>0.16</v>
      </c>
      <c r="F1057">
        <v>17</v>
      </c>
      <c r="G1057">
        <v>19</v>
      </c>
      <c r="H1057" t="s">
        <v>5613</v>
      </c>
      <c r="I1057">
        <v>1</v>
      </c>
      <c r="J1057" t="s">
        <v>87</v>
      </c>
      <c r="K1057">
        <v>0</v>
      </c>
      <c r="L1057">
        <v>0</v>
      </c>
    </row>
    <row r="1058" spans="1:12">
      <c r="A1058" s="93">
        <v>153630</v>
      </c>
      <c r="B1058" t="s">
        <v>1622</v>
      </c>
      <c r="C1058" t="s">
        <v>5606</v>
      </c>
      <c r="D1058" s="92">
        <v>0.39</v>
      </c>
      <c r="E1058" s="92">
        <v>0.37</v>
      </c>
      <c r="F1058" t="s">
        <v>428</v>
      </c>
      <c r="G1058" t="s">
        <v>428</v>
      </c>
      <c r="H1058" t="s">
        <v>5615</v>
      </c>
      <c r="I1058">
        <v>0</v>
      </c>
      <c r="J1058" t="s">
        <v>87</v>
      </c>
      <c r="K1058">
        <v>0</v>
      </c>
      <c r="L1058">
        <v>0</v>
      </c>
    </row>
    <row r="1059" spans="1:12">
      <c r="A1059" s="93">
        <v>153658</v>
      </c>
      <c r="B1059" t="s">
        <v>1623</v>
      </c>
      <c r="C1059" t="s">
        <v>5603</v>
      </c>
      <c r="D1059" s="92">
        <v>0.72</v>
      </c>
      <c r="E1059" s="92">
        <v>0.64</v>
      </c>
      <c r="F1059">
        <v>23</v>
      </c>
      <c r="G1059">
        <v>25.5</v>
      </c>
      <c r="H1059" t="s">
        <v>5617</v>
      </c>
      <c r="I1059">
        <v>0</v>
      </c>
      <c r="J1059" t="s">
        <v>87</v>
      </c>
      <c r="K1059">
        <v>0</v>
      </c>
      <c r="L1059">
        <v>0</v>
      </c>
    </row>
    <row r="1060" spans="1:12">
      <c r="A1060" s="93">
        <v>153737</v>
      </c>
      <c r="B1060" t="s">
        <v>1624</v>
      </c>
      <c r="C1060" t="s">
        <v>5606</v>
      </c>
      <c r="D1060" s="92">
        <v>0.31</v>
      </c>
      <c r="E1060" s="92">
        <v>0.16</v>
      </c>
      <c r="F1060" t="s">
        <v>428</v>
      </c>
      <c r="G1060" t="s">
        <v>428</v>
      </c>
      <c r="H1060" t="s">
        <v>5614</v>
      </c>
      <c r="I1060">
        <v>1</v>
      </c>
      <c r="J1060" t="s">
        <v>87</v>
      </c>
      <c r="K1060">
        <v>0</v>
      </c>
      <c r="L1060">
        <v>0</v>
      </c>
    </row>
    <row r="1061" spans="1:12">
      <c r="A1061" s="93">
        <v>153746</v>
      </c>
      <c r="B1061" t="s">
        <v>1625</v>
      </c>
      <c r="C1061" t="s">
        <v>5606</v>
      </c>
      <c r="D1061" s="92" t="s">
        <v>428</v>
      </c>
      <c r="E1061" s="92" t="s">
        <v>428</v>
      </c>
      <c r="F1061" t="s">
        <v>428</v>
      </c>
      <c r="G1061" t="s">
        <v>428</v>
      </c>
      <c r="H1061" t="s">
        <v>5616</v>
      </c>
      <c r="I1061">
        <v>0</v>
      </c>
      <c r="J1061" t="s">
        <v>87</v>
      </c>
      <c r="K1061">
        <v>0</v>
      </c>
      <c r="L1061">
        <v>0</v>
      </c>
    </row>
    <row r="1062" spans="1:12">
      <c r="A1062" s="93">
        <v>153764</v>
      </c>
      <c r="B1062" t="s">
        <v>1626</v>
      </c>
      <c r="C1062" t="s">
        <v>5606</v>
      </c>
      <c r="D1062" s="92" t="s">
        <v>428</v>
      </c>
      <c r="E1062" s="92" t="s">
        <v>428</v>
      </c>
      <c r="F1062" t="s">
        <v>428</v>
      </c>
      <c r="G1062" t="s">
        <v>428</v>
      </c>
      <c r="H1062" t="s">
        <v>5616</v>
      </c>
      <c r="I1062">
        <v>0</v>
      </c>
      <c r="J1062" t="s">
        <v>87</v>
      </c>
      <c r="K1062">
        <v>0</v>
      </c>
      <c r="L1062">
        <v>0</v>
      </c>
    </row>
    <row r="1063" spans="1:12">
      <c r="A1063" s="93">
        <v>153773</v>
      </c>
      <c r="B1063" t="s">
        <v>1627</v>
      </c>
      <c r="C1063" t="s">
        <v>5606</v>
      </c>
      <c r="D1063" s="92" t="s">
        <v>428</v>
      </c>
      <c r="E1063" s="92" t="s">
        <v>428</v>
      </c>
      <c r="F1063" t="s">
        <v>428</v>
      </c>
      <c r="G1063" t="s">
        <v>428</v>
      </c>
      <c r="H1063" t="s">
        <v>5613</v>
      </c>
      <c r="I1063">
        <v>1</v>
      </c>
      <c r="J1063" t="s">
        <v>87</v>
      </c>
      <c r="K1063">
        <v>0</v>
      </c>
      <c r="L1063">
        <v>0</v>
      </c>
    </row>
    <row r="1064" spans="1:12">
      <c r="A1064" s="93">
        <v>153782</v>
      </c>
      <c r="B1064" t="s">
        <v>1628</v>
      </c>
      <c r="C1064" t="s">
        <v>5606</v>
      </c>
      <c r="D1064" s="92" t="s">
        <v>428</v>
      </c>
      <c r="E1064" s="92" t="s">
        <v>428</v>
      </c>
      <c r="F1064" t="s">
        <v>428</v>
      </c>
      <c r="G1064" t="s">
        <v>428</v>
      </c>
      <c r="H1064" t="s">
        <v>5616</v>
      </c>
      <c r="I1064">
        <v>0</v>
      </c>
      <c r="J1064" t="s">
        <v>87</v>
      </c>
      <c r="K1064">
        <v>0</v>
      </c>
      <c r="L1064">
        <v>0</v>
      </c>
    </row>
    <row r="1065" spans="1:12">
      <c r="A1065" s="93">
        <v>153825</v>
      </c>
      <c r="B1065" t="s">
        <v>1629</v>
      </c>
      <c r="C1065" t="s">
        <v>5602</v>
      </c>
      <c r="D1065" s="92">
        <v>0.68</v>
      </c>
      <c r="E1065" s="92">
        <v>0.61</v>
      </c>
      <c r="F1065">
        <v>20</v>
      </c>
      <c r="G1065">
        <v>22.5</v>
      </c>
      <c r="H1065" t="s">
        <v>5616</v>
      </c>
      <c r="I1065">
        <v>0</v>
      </c>
      <c r="J1065" t="s">
        <v>87</v>
      </c>
      <c r="K1065">
        <v>0</v>
      </c>
      <c r="L1065">
        <v>0</v>
      </c>
    </row>
    <row r="1066" spans="1:12">
      <c r="A1066" s="93">
        <v>153834</v>
      </c>
      <c r="B1066" t="s">
        <v>461</v>
      </c>
      <c r="C1066" t="s">
        <v>5602</v>
      </c>
      <c r="D1066" s="92">
        <v>0.79</v>
      </c>
      <c r="E1066" s="92">
        <v>0.62</v>
      </c>
      <c r="F1066">
        <v>23</v>
      </c>
      <c r="G1066">
        <v>25.5</v>
      </c>
      <c r="H1066" t="s">
        <v>5616</v>
      </c>
      <c r="I1066">
        <v>0</v>
      </c>
      <c r="J1066" t="s">
        <v>87</v>
      </c>
      <c r="K1066">
        <v>0</v>
      </c>
      <c r="L1066">
        <v>0</v>
      </c>
    </row>
    <row r="1067" spans="1:12">
      <c r="A1067" s="93">
        <v>153861</v>
      </c>
      <c r="B1067" t="s">
        <v>1630</v>
      </c>
      <c r="C1067" t="s">
        <v>5603</v>
      </c>
      <c r="D1067" s="92">
        <v>0.44</v>
      </c>
      <c r="E1067" s="92">
        <v>0.35</v>
      </c>
      <c r="F1067" t="s">
        <v>428</v>
      </c>
      <c r="G1067" t="s">
        <v>428</v>
      </c>
      <c r="H1067" t="s">
        <v>5617</v>
      </c>
      <c r="I1067">
        <v>0</v>
      </c>
      <c r="J1067" t="s">
        <v>87</v>
      </c>
      <c r="K1067">
        <v>0</v>
      </c>
      <c r="L1067">
        <v>0</v>
      </c>
    </row>
    <row r="1068" spans="1:12">
      <c r="A1068" s="93">
        <v>153922</v>
      </c>
      <c r="B1068" t="s">
        <v>1631</v>
      </c>
      <c r="C1068" t="s">
        <v>5606</v>
      </c>
      <c r="D1068" s="92">
        <v>0.35</v>
      </c>
      <c r="E1068" s="92">
        <v>0.34</v>
      </c>
      <c r="F1068" t="s">
        <v>428</v>
      </c>
      <c r="G1068" t="s">
        <v>428</v>
      </c>
      <c r="H1068" t="s">
        <v>5615</v>
      </c>
      <c r="I1068">
        <v>0</v>
      </c>
      <c r="J1068" t="s">
        <v>87</v>
      </c>
      <c r="K1068">
        <v>0</v>
      </c>
      <c r="L1068">
        <v>0</v>
      </c>
    </row>
    <row r="1069" spans="1:12">
      <c r="A1069" s="93">
        <v>153977</v>
      </c>
      <c r="B1069" t="s">
        <v>1632</v>
      </c>
      <c r="C1069" t="s">
        <v>5602</v>
      </c>
      <c r="D1069" s="92">
        <v>0.5</v>
      </c>
      <c r="E1069" s="92" t="s">
        <v>428</v>
      </c>
      <c r="F1069" t="s">
        <v>428</v>
      </c>
      <c r="G1069" t="s">
        <v>428</v>
      </c>
      <c r="H1069" t="s">
        <v>5617</v>
      </c>
      <c r="I1069">
        <v>0</v>
      </c>
      <c r="J1069" t="s">
        <v>87</v>
      </c>
      <c r="K1069">
        <v>0</v>
      </c>
      <c r="L1069">
        <v>0</v>
      </c>
    </row>
    <row r="1070" spans="1:12">
      <c r="A1070" s="93">
        <v>154004</v>
      </c>
      <c r="B1070" t="s">
        <v>1633</v>
      </c>
      <c r="C1070" t="s">
        <v>5602</v>
      </c>
      <c r="D1070" s="92">
        <v>0.54</v>
      </c>
      <c r="E1070" s="92">
        <v>0.33</v>
      </c>
      <c r="F1070">
        <v>20</v>
      </c>
      <c r="G1070">
        <v>23</v>
      </c>
      <c r="H1070" t="s">
        <v>5617</v>
      </c>
      <c r="I1070">
        <v>0</v>
      </c>
      <c r="J1070" t="s">
        <v>87</v>
      </c>
      <c r="K1070">
        <v>0</v>
      </c>
      <c r="L1070">
        <v>0</v>
      </c>
    </row>
    <row r="1071" spans="1:12">
      <c r="A1071" s="93">
        <v>154013</v>
      </c>
      <c r="B1071" t="s">
        <v>1634</v>
      </c>
      <c r="C1071" t="s">
        <v>5602</v>
      </c>
      <c r="D1071" s="92">
        <v>0.66</v>
      </c>
      <c r="E1071" s="92">
        <v>0.4</v>
      </c>
      <c r="F1071">
        <v>18</v>
      </c>
      <c r="G1071">
        <v>21</v>
      </c>
      <c r="H1071" t="s">
        <v>5617</v>
      </c>
      <c r="I1071">
        <v>0</v>
      </c>
      <c r="J1071" t="s">
        <v>87</v>
      </c>
      <c r="K1071">
        <v>0</v>
      </c>
      <c r="L1071">
        <v>0</v>
      </c>
    </row>
    <row r="1072" spans="1:12">
      <c r="A1072" s="93">
        <v>154022</v>
      </c>
      <c r="B1072" t="s">
        <v>1635</v>
      </c>
      <c r="C1072" t="s">
        <v>5602</v>
      </c>
      <c r="D1072" s="92">
        <v>0.13</v>
      </c>
      <c r="E1072" s="92">
        <v>0.1</v>
      </c>
      <c r="F1072" t="s">
        <v>428</v>
      </c>
      <c r="G1072" t="s">
        <v>428</v>
      </c>
      <c r="H1072" t="s">
        <v>5617</v>
      </c>
      <c r="I1072">
        <v>0</v>
      </c>
      <c r="J1072" t="s">
        <v>87</v>
      </c>
      <c r="K1072">
        <v>0</v>
      </c>
      <c r="L1072">
        <v>0</v>
      </c>
    </row>
    <row r="1073" spans="1:12">
      <c r="A1073" s="93">
        <v>154059</v>
      </c>
      <c r="B1073" t="s">
        <v>1636</v>
      </c>
      <c r="C1073" t="s">
        <v>5606</v>
      </c>
      <c r="D1073" s="92">
        <v>0.51</v>
      </c>
      <c r="E1073" s="92">
        <v>0.37</v>
      </c>
      <c r="F1073" t="s">
        <v>428</v>
      </c>
      <c r="G1073" t="s">
        <v>428</v>
      </c>
      <c r="H1073" t="s">
        <v>5615</v>
      </c>
      <c r="I1073">
        <v>0</v>
      </c>
      <c r="J1073" t="s">
        <v>87</v>
      </c>
      <c r="K1073">
        <v>0</v>
      </c>
      <c r="L1073">
        <v>0</v>
      </c>
    </row>
    <row r="1074" spans="1:12">
      <c r="A1074" s="93">
        <v>154095</v>
      </c>
      <c r="B1074" t="s">
        <v>594</v>
      </c>
      <c r="C1074" t="s">
        <v>5602</v>
      </c>
      <c r="D1074" s="92">
        <v>0.66</v>
      </c>
      <c r="E1074" s="92">
        <v>0.45</v>
      </c>
      <c r="F1074">
        <v>20</v>
      </c>
      <c r="G1074">
        <v>22.5</v>
      </c>
      <c r="H1074" t="s">
        <v>5615</v>
      </c>
      <c r="I1074">
        <v>0</v>
      </c>
      <c r="J1074" t="s">
        <v>87</v>
      </c>
      <c r="K1074">
        <v>0</v>
      </c>
      <c r="L1074">
        <v>0</v>
      </c>
    </row>
    <row r="1075" spans="1:12">
      <c r="A1075" s="93">
        <v>154101</v>
      </c>
      <c r="B1075" t="s">
        <v>1637</v>
      </c>
      <c r="C1075" t="s">
        <v>5602</v>
      </c>
      <c r="D1075" s="92">
        <v>0.65</v>
      </c>
      <c r="E1075" s="92">
        <v>0.46</v>
      </c>
      <c r="F1075">
        <v>21</v>
      </c>
      <c r="G1075">
        <v>24.5</v>
      </c>
      <c r="H1075" t="s">
        <v>5617</v>
      </c>
      <c r="I1075">
        <v>0</v>
      </c>
      <c r="J1075" t="s">
        <v>87</v>
      </c>
      <c r="K1075">
        <v>0</v>
      </c>
      <c r="L1075">
        <v>0</v>
      </c>
    </row>
    <row r="1076" spans="1:12">
      <c r="A1076" s="93">
        <v>154110</v>
      </c>
      <c r="B1076" t="s">
        <v>1638</v>
      </c>
      <c r="C1076" t="s">
        <v>5606</v>
      </c>
      <c r="D1076" s="92">
        <v>0.45</v>
      </c>
      <c r="E1076" s="92">
        <v>0.2</v>
      </c>
      <c r="F1076" t="s">
        <v>428</v>
      </c>
      <c r="G1076" t="s">
        <v>428</v>
      </c>
      <c r="H1076" t="s">
        <v>5615</v>
      </c>
      <c r="I1076">
        <v>0</v>
      </c>
      <c r="J1076" t="s">
        <v>87</v>
      </c>
      <c r="K1076">
        <v>0</v>
      </c>
      <c r="L1076">
        <v>0</v>
      </c>
    </row>
    <row r="1077" spans="1:12">
      <c r="A1077" s="93">
        <v>154129</v>
      </c>
      <c r="B1077" t="s">
        <v>1639</v>
      </c>
      <c r="C1077" t="s">
        <v>5606</v>
      </c>
      <c r="D1077" s="92">
        <v>0.61</v>
      </c>
      <c r="E1077" s="92">
        <v>0.36</v>
      </c>
      <c r="F1077" t="s">
        <v>428</v>
      </c>
      <c r="G1077" t="s">
        <v>428</v>
      </c>
      <c r="H1077" t="s">
        <v>5615</v>
      </c>
      <c r="I1077">
        <v>0</v>
      </c>
      <c r="J1077" t="s">
        <v>87</v>
      </c>
      <c r="K1077">
        <v>0</v>
      </c>
      <c r="L1077">
        <v>0</v>
      </c>
    </row>
    <row r="1078" spans="1:12">
      <c r="A1078" s="93">
        <v>154156</v>
      </c>
      <c r="B1078" t="s">
        <v>1640</v>
      </c>
      <c r="C1078" t="s">
        <v>5607</v>
      </c>
      <c r="D1078" s="92" t="s">
        <v>428</v>
      </c>
      <c r="E1078" s="92" t="s">
        <v>428</v>
      </c>
      <c r="F1078" t="s">
        <v>428</v>
      </c>
      <c r="G1078" t="s">
        <v>428</v>
      </c>
      <c r="H1078" t="s">
        <v>5615</v>
      </c>
      <c r="I1078">
        <v>0</v>
      </c>
      <c r="J1078" t="s">
        <v>87</v>
      </c>
      <c r="K1078">
        <v>0</v>
      </c>
      <c r="L1078">
        <v>0</v>
      </c>
    </row>
    <row r="1079" spans="1:12">
      <c r="A1079" s="93">
        <v>154165</v>
      </c>
      <c r="B1079" t="s">
        <v>1641</v>
      </c>
      <c r="C1079" t="s">
        <v>5606</v>
      </c>
      <c r="D1079" s="92">
        <v>0.63</v>
      </c>
      <c r="E1079" s="92">
        <v>0.36</v>
      </c>
      <c r="F1079" t="s">
        <v>428</v>
      </c>
      <c r="G1079" t="s">
        <v>428</v>
      </c>
      <c r="H1079" t="s">
        <v>5613</v>
      </c>
      <c r="I1079">
        <v>1</v>
      </c>
      <c r="J1079" t="s">
        <v>87</v>
      </c>
      <c r="K1079">
        <v>0</v>
      </c>
      <c r="L1079">
        <v>0</v>
      </c>
    </row>
    <row r="1080" spans="1:12">
      <c r="A1080" s="93">
        <v>154174</v>
      </c>
      <c r="B1080" t="s">
        <v>1642</v>
      </c>
      <c r="C1080" t="s">
        <v>5604</v>
      </c>
      <c r="D1080" s="92" t="s">
        <v>428</v>
      </c>
      <c r="E1080" s="92" t="s">
        <v>428</v>
      </c>
      <c r="F1080" t="s">
        <v>428</v>
      </c>
      <c r="G1080" t="s">
        <v>428</v>
      </c>
      <c r="H1080" t="s">
        <v>5617</v>
      </c>
      <c r="I1080">
        <v>0</v>
      </c>
      <c r="J1080" t="s">
        <v>87</v>
      </c>
      <c r="K1080">
        <v>0</v>
      </c>
      <c r="L1080">
        <v>0</v>
      </c>
    </row>
    <row r="1081" spans="1:12">
      <c r="A1081" s="93">
        <v>154208</v>
      </c>
      <c r="B1081" t="s">
        <v>1643</v>
      </c>
      <c r="C1081" t="s">
        <v>5606</v>
      </c>
      <c r="D1081" s="92" t="s">
        <v>428</v>
      </c>
      <c r="E1081" s="92" t="s">
        <v>428</v>
      </c>
      <c r="F1081" t="s">
        <v>428</v>
      </c>
      <c r="G1081" t="s">
        <v>428</v>
      </c>
      <c r="H1081" t="s">
        <v>5616</v>
      </c>
      <c r="I1081">
        <v>0</v>
      </c>
      <c r="J1081" t="s">
        <v>87</v>
      </c>
      <c r="K1081">
        <v>0</v>
      </c>
      <c r="L1081">
        <v>0</v>
      </c>
    </row>
    <row r="1082" spans="1:12">
      <c r="A1082" s="93">
        <v>154235</v>
      </c>
      <c r="B1082" t="s">
        <v>1644</v>
      </c>
      <c r="C1082" t="s">
        <v>5602</v>
      </c>
      <c r="D1082" s="92">
        <v>0.61</v>
      </c>
      <c r="E1082" s="92">
        <v>0.51</v>
      </c>
      <c r="F1082">
        <v>20</v>
      </c>
      <c r="G1082">
        <v>22.5</v>
      </c>
      <c r="H1082" t="s">
        <v>5617</v>
      </c>
      <c r="I1082">
        <v>0</v>
      </c>
      <c r="J1082" t="s">
        <v>87</v>
      </c>
      <c r="K1082">
        <v>0</v>
      </c>
      <c r="L1082">
        <v>0</v>
      </c>
    </row>
    <row r="1083" spans="1:12">
      <c r="A1083" s="93">
        <v>154262</v>
      </c>
      <c r="B1083" t="s">
        <v>1645</v>
      </c>
      <c r="C1083" t="s">
        <v>5607</v>
      </c>
      <c r="D1083" s="92" t="s">
        <v>428</v>
      </c>
      <c r="E1083" s="92" t="s">
        <v>428</v>
      </c>
      <c r="F1083" t="s">
        <v>428</v>
      </c>
      <c r="G1083" t="s">
        <v>428</v>
      </c>
      <c r="H1083" t="s">
        <v>5615</v>
      </c>
      <c r="I1083">
        <v>0</v>
      </c>
      <c r="J1083" t="s">
        <v>87</v>
      </c>
      <c r="K1083">
        <v>0</v>
      </c>
      <c r="L1083">
        <v>0</v>
      </c>
    </row>
    <row r="1084" spans="1:12">
      <c r="A1084" s="93">
        <v>154332</v>
      </c>
      <c r="B1084" t="s">
        <v>1646</v>
      </c>
      <c r="C1084" t="s">
        <v>5606</v>
      </c>
      <c r="D1084" s="92" t="s">
        <v>428</v>
      </c>
      <c r="E1084" s="92" t="s">
        <v>428</v>
      </c>
      <c r="F1084" t="s">
        <v>428</v>
      </c>
      <c r="G1084" t="s">
        <v>428</v>
      </c>
      <c r="H1084" t="s">
        <v>5616</v>
      </c>
      <c r="I1084">
        <v>0</v>
      </c>
      <c r="J1084" t="s">
        <v>87</v>
      </c>
      <c r="K1084">
        <v>0</v>
      </c>
      <c r="L1084">
        <v>0</v>
      </c>
    </row>
    <row r="1085" spans="1:12">
      <c r="A1085" s="93">
        <v>154341</v>
      </c>
      <c r="B1085" t="s">
        <v>1647</v>
      </c>
      <c r="C1085" t="s">
        <v>5606</v>
      </c>
      <c r="D1085" s="92" t="s">
        <v>428</v>
      </c>
      <c r="E1085" s="92" t="s">
        <v>428</v>
      </c>
      <c r="F1085" t="s">
        <v>428</v>
      </c>
      <c r="G1085" t="s">
        <v>428</v>
      </c>
      <c r="H1085" t="s">
        <v>5616</v>
      </c>
      <c r="I1085">
        <v>0</v>
      </c>
      <c r="J1085" t="s">
        <v>87</v>
      </c>
      <c r="K1085">
        <v>0</v>
      </c>
      <c r="L1085">
        <v>0</v>
      </c>
    </row>
    <row r="1086" spans="1:12">
      <c r="A1086" s="93">
        <v>154350</v>
      </c>
      <c r="B1086" t="s">
        <v>1648</v>
      </c>
      <c r="C1086" t="s">
        <v>5603</v>
      </c>
      <c r="D1086" s="92">
        <v>0.68</v>
      </c>
      <c r="E1086" s="92">
        <v>0.58</v>
      </c>
      <c r="F1086">
        <v>21</v>
      </c>
      <c r="G1086">
        <v>24</v>
      </c>
      <c r="H1086" t="s">
        <v>5617</v>
      </c>
      <c r="I1086">
        <v>0</v>
      </c>
      <c r="J1086" t="s">
        <v>87</v>
      </c>
      <c r="K1086">
        <v>0</v>
      </c>
      <c r="L1086">
        <v>0</v>
      </c>
    </row>
    <row r="1087" spans="1:12">
      <c r="A1087" s="93">
        <v>154378</v>
      </c>
      <c r="B1087" t="s">
        <v>1649</v>
      </c>
      <c r="C1087" t="s">
        <v>5606</v>
      </c>
      <c r="D1087" s="92">
        <v>0.38</v>
      </c>
      <c r="E1087" s="92">
        <v>0.28</v>
      </c>
      <c r="F1087" t="s">
        <v>428</v>
      </c>
      <c r="G1087" t="s">
        <v>428</v>
      </c>
      <c r="H1087" t="s">
        <v>5615</v>
      </c>
      <c r="I1087">
        <v>0</v>
      </c>
      <c r="J1087" t="s">
        <v>87</v>
      </c>
      <c r="K1087">
        <v>0</v>
      </c>
      <c r="L1087">
        <v>0</v>
      </c>
    </row>
    <row r="1088" spans="1:12">
      <c r="A1088" s="93">
        <v>154396</v>
      </c>
      <c r="B1088" t="s">
        <v>1650</v>
      </c>
      <c r="C1088" t="s">
        <v>5606</v>
      </c>
      <c r="D1088" s="92">
        <v>0.49</v>
      </c>
      <c r="E1088" s="92">
        <v>0.44</v>
      </c>
      <c r="F1088" t="s">
        <v>428</v>
      </c>
      <c r="G1088" t="s">
        <v>428</v>
      </c>
      <c r="H1088" t="s">
        <v>5615</v>
      </c>
      <c r="I1088">
        <v>0</v>
      </c>
      <c r="J1088" t="s">
        <v>87</v>
      </c>
      <c r="K1088">
        <v>0</v>
      </c>
      <c r="L1088">
        <v>0</v>
      </c>
    </row>
    <row r="1089" spans="1:12">
      <c r="A1089" s="93">
        <v>154448</v>
      </c>
      <c r="B1089" t="s">
        <v>1651</v>
      </c>
      <c r="C1089" t="s">
        <v>5606</v>
      </c>
      <c r="D1089" s="92" t="s">
        <v>428</v>
      </c>
      <c r="E1089" s="92" t="s">
        <v>428</v>
      </c>
      <c r="F1089" t="s">
        <v>428</v>
      </c>
      <c r="G1089" t="s">
        <v>428</v>
      </c>
      <c r="H1089" t="s">
        <v>5616</v>
      </c>
      <c r="I1089">
        <v>0</v>
      </c>
      <c r="J1089" t="s">
        <v>87</v>
      </c>
      <c r="K1089">
        <v>0</v>
      </c>
      <c r="L1089">
        <v>0</v>
      </c>
    </row>
    <row r="1090" spans="1:12">
      <c r="A1090" s="93">
        <v>154457</v>
      </c>
      <c r="B1090" t="s">
        <v>1652</v>
      </c>
      <c r="C1090" t="s">
        <v>5606</v>
      </c>
      <c r="D1090" s="92" t="s">
        <v>428</v>
      </c>
      <c r="E1090" s="92" t="s">
        <v>428</v>
      </c>
      <c r="F1090" t="s">
        <v>428</v>
      </c>
      <c r="G1090" t="s">
        <v>428</v>
      </c>
      <c r="H1090" t="s">
        <v>5616</v>
      </c>
      <c r="I1090">
        <v>0</v>
      </c>
      <c r="J1090" t="s">
        <v>87</v>
      </c>
      <c r="K1090">
        <v>0</v>
      </c>
      <c r="L1090">
        <v>0</v>
      </c>
    </row>
    <row r="1091" spans="1:12">
      <c r="A1091" s="93">
        <v>154466</v>
      </c>
      <c r="B1091" t="s">
        <v>1653</v>
      </c>
      <c r="C1091" t="s">
        <v>5606</v>
      </c>
      <c r="D1091" s="92" t="s">
        <v>428</v>
      </c>
      <c r="E1091" s="92" t="s">
        <v>428</v>
      </c>
      <c r="F1091" t="s">
        <v>428</v>
      </c>
      <c r="G1091" t="s">
        <v>428</v>
      </c>
      <c r="H1091" t="s">
        <v>5624</v>
      </c>
      <c r="I1091">
        <v>1</v>
      </c>
      <c r="J1091" t="s">
        <v>87</v>
      </c>
      <c r="K1091">
        <v>0</v>
      </c>
      <c r="L1091">
        <v>0</v>
      </c>
    </row>
    <row r="1092" spans="1:12">
      <c r="A1092" s="93">
        <v>154493</v>
      </c>
      <c r="B1092" t="s">
        <v>1654</v>
      </c>
      <c r="C1092" t="s">
        <v>5604</v>
      </c>
      <c r="D1092" s="92">
        <v>0.5600000000000001</v>
      </c>
      <c r="E1092" s="92">
        <v>0.33</v>
      </c>
      <c r="F1092">
        <v>17</v>
      </c>
      <c r="G1092">
        <v>20.5</v>
      </c>
      <c r="H1092" t="s">
        <v>5626</v>
      </c>
      <c r="I1092">
        <v>0</v>
      </c>
      <c r="J1092" t="s">
        <v>87</v>
      </c>
      <c r="K1092">
        <v>0</v>
      </c>
      <c r="L1092">
        <v>0</v>
      </c>
    </row>
    <row r="1093" spans="1:12">
      <c r="A1093" s="93">
        <v>154518</v>
      </c>
      <c r="B1093" t="s">
        <v>1655</v>
      </c>
      <c r="C1093" t="s">
        <v>5608</v>
      </c>
      <c r="D1093" s="92">
        <v>0.27</v>
      </c>
      <c r="E1093" s="92">
        <v>0.21</v>
      </c>
      <c r="F1093">
        <v>18</v>
      </c>
      <c r="G1093">
        <v>20.5</v>
      </c>
      <c r="H1093" t="s">
        <v>5617</v>
      </c>
      <c r="I1093">
        <v>0</v>
      </c>
      <c r="J1093" t="s">
        <v>87</v>
      </c>
      <c r="K1093">
        <v>0</v>
      </c>
      <c r="L1093">
        <v>0</v>
      </c>
    </row>
    <row r="1094" spans="1:12">
      <c r="A1094" s="93">
        <v>154527</v>
      </c>
      <c r="B1094" t="s">
        <v>1656</v>
      </c>
      <c r="C1094" t="s">
        <v>5602</v>
      </c>
      <c r="D1094" s="92">
        <v>0.7</v>
      </c>
      <c r="E1094" s="92">
        <v>0.43</v>
      </c>
      <c r="F1094">
        <v>21</v>
      </c>
      <c r="G1094">
        <v>23.5</v>
      </c>
      <c r="H1094" t="s">
        <v>5616</v>
      </c>
      <c r="I1094">
        <v>0</v>
      </c>
      <c r="J1094" t="s">
        <v>87</v>
      </c>
      <c r="K1094">
        <v>0</v>
      </c>
      <c r="L1094">
        <v>0</v>
      </c>
    </row>
    <row r="1095" spans="1:12">
      <c r="A1095" s="93">
        <v>154536</v>
      </c>
      <c r="B1095" t="s">
        <v>1657</v>
      </c>
      <c r="C1095" t="s">
        <v>5607</v>
      </c>
      <c r="D1095" s="92" t="s">
        <v>428</v>
      </c>
      <c r="E1095" s="92" t="s">
        <v>428</v>
      </c>
      <c r="F1095" t="s">
        <v>428</v>
      </c>
      <c r="G1095" t="s">
        <v>428</v>
      </c>
      <c r="H1095" t="s">
        <v>5615</v>
      </c>
      <c r="I1095">
        <v>0</v>
      </c>
      <c r="J1095" t="s">
        <v>87</v>
      </c>
      <c r="K1095">
        <v>0</v>
      </c>
      <c r="L1095">
        <v>0</v>
      </c>
    </row>
    <row r="1096" spans="1:12">
      <c r="A1096" s="93">
        <v>154545</v>
      </c>
      <c r="B1096" t="s">
        <v>1658</v>
      </c>
      <c r="C1096" t="s">
        <v>5606</v>
      </c>
      <c r="D1096" s="92" t="s">
        <v>428</v>
      </c>
      <c r="E1096" s="92" t="s">
        <v>428</v>
      </c>
      <c r="F1096" t="s">
        <v>428</v>
      </c>
      <c r="G1096" t="s">
        <v>428</v>
      </c>
      <c r="H1096" t="s">
        <v>5616</v>
      </c>
      <c r="I1096">
        <v>0</v>
      </c>
      <c r="J1096" t="s">
        <v>87</v>
      </c>
      <c r="K1096">
        <v>0</v>
      </c>
      <c r="L1096">
        <v>0</v>
      </c>
    </row>
    <row r="1097" spans="1:12">
      <c r="A1097" s="93">
        <v>154572</v>
      </c>
      <c r="B1097" t="s">
        <v>1659</v>
      </c>
      <c r="C1097" t="s">
        <v>5606</v>
      </c>
      <c r="D1097" s="92">
        <v>0.29</v>
      </c>
      <c r="E1097" s="92">
        <v>0.23</v>
      </c>
      <c r="F1097" t="s">
        <v>428</v>
      </c>
      <c r="G1097" t="s">
        <v>428</v>
      </c>
      <c r="H1097" t="s">
        <v>5615</v>
      </c>
      <c r="I1097">
        <v>0</v>
      </c>
      <c r="J1097" t="s">
        <v>87</v>
      </c>
      <c r="K1097">
        <v>0</v>
      </c>
      <c r="L1097">
        <v>0</v>
      </c>
    </row>
    <row r="1098" spans="1:12">
      <c r="A1098" s="93">
        <v>154590</v>
      </c>
      <c r="B1098" t="s">
        <v>1660</v>
      </c>
      <c r="C1098" t="s">
        <v>5602</v>
      </c>
      <c r="D1098" s="92">
        <v>0.3</v>
      </c>
      <c r="E1098" s="92">
        <v>0.21</v>
      </c>
      <c r="F1098">
        <v>17</v>
      </c>
      <c r="G1098">
        <v>19</v>
      </c>
      <c r="H1098" t="s">
        <v>5617</v>
      </c>
      <c r="I1098">
        <v>0</v>
      </c>
      <c r="J1098" t="s">
        <v>87</v>
      </c>
      <c r="K1098">
        <v>0</v>
      </c>
      <c r="L1098">
        <v>0</v>
      </c>
    </row>
    <row r="1099" spans="1:12">
      <c r="A1099" s="93">
        <v>154642</v>
      </c>
      <c r="B1099" t="s">
        <v>1661</v>
      </c>
      <c r="C1099" t="s">
        <v>5606</v>
      </c>
      <c r="D1099" s="92">
        <v>0.51</v>
      </c>
      <c r="E1099" s="92">
        <v>0.49</v>
      </c>
      <c r="F1099" t="s">
        <v>428</v>
      </c>
      <c r="G1099" t="s">
        <v>428</v>
      </c>
      <c r="H1099" t="s">
        <v>5615</v>
      </c>
      <c r="I1099">
        <v>0</v>
      </c>
      <c r="J1099" t="s">
        <v>87</v>
      </c>
      <c r="K1099">
        <v>0</v>
      </c>
      <c r="L1099">
        <v>0</v>
      </c>
    </row>
    <row r="1100" spans="1:12">
      <c r="A1100" s="93">
        <v>154688</v>
      </c>
      <c r="B1100" t="s">
        <v>1662</v>
      </c>
      <c r="C1100" t="s">
        <v>5602</v>
      </c>
      <c r="D1100" s="92">
        <v>0.58</v>
      </c>
      <c r="E1100" s="92">
        <v>0.49</v>
      </c>
      <c r="F1100">
        <v>20</v>
      </c>
      <c r="G1100">
        <v>22.5</v>
      </c>
      <c r="H1100" t="s">
        <v>5617</v>
      </c>
      <c r="I1100">
        <v>0</v>
      </c>
      <c r="J1100" t="s">
        <v>87</v>
      </c>
      <c r="K1100">
        <v>0</v>
      </c>
      <c r="L1100">
        <v>0</v>
      </c>
    </row>
    <row r="1101" spans="1:12">
      <c r="A1101" s="93">
        <v>154697</v>
      </c>
      <c r="B1101" t="s">
        <v>1663</v>
      </c>
      <c r="C1101" t="s">
        <v>5606</v>
      </c>
      <c r="D1101" s="92">
        <v>0.42</v>
      </c>
      <c r="E1101" s="92">
        <v>0.38</v>
      </c>
      <c r="F1101" t="s">
        <v>428</v>
      </c>
      <c r="G1101" t="s">
        <v>428</v>
      </c>
      <c r="H1101" t="s">
        <v>5615</v>
      </c>
      <c r="I1101">
        <v>0</v>
      </c>
      <c r="J1101" t="s">
        <v>87</v>
      </c>
      <c r="K1101">
        <v>0</v>
      </c>
      <c r="L1101">
        <v>0</v>
      </c>
    </row>
    <row r="1102" spans="1:12">
      <c r="A1102" s="93">
        <v>154712</v>
      </c>
      <c r="B1102" t="s">
        <v>1664</v>
      </c>
      <c r="C1102" t="s">
        <v>5603</v>
      </c>
      <c r="D1102" s="92">
        <v>0.64</v>
      </c>
      <c r="E1102" s="92">
        <v>0.53</v>
      </c>
      <c r="F1102">
        <v>21</v>
      </c>
      <c r="G1102">
        <v>24.5</v>
      </c>
      <c r="H1102" t="s">
        <v>5617</v>
      </c>
      <c r="I1102">
        <v>0</v>
      </c>
      <c r="J1102" t="s">
        <v>87</v>
      </c>
      <c r="K1102">
        <v>0</v>
      </c>
      <c r="L1102">
        <v>0</v>
      </c>
    </row>
    <row r="1103" spans="1:12">
      <c r="A1103" s="93">
        <v>154721</v>
      </c>
      <c r="B1103" t="s">
        <v>1665</v>
      </c>
      <c r="C1103" t="s">
        <v>5604</v>
      </c>
      <c r="D1103" s="92">
        <v>0.41</v>
      </c>
      <c r="E1103" s="92">
        <v>0.35</v>
      </c>
      <c r="F1103">
        <v>18</v>
      </c>
      <c r="G1103">
        <v>20.5</v>
      </c>
      <c r="H1103" t="s">
        <v>5617</v>
      </c>
      <c r="I1103">
        <v>0</v>
      </c>
      <c r="J1103" t="s">
        <v>87</v>
      </c>
      <c r="K1103">
        <v>0</v>
      </c>
      <c r="L1103">
        <v>0</v>
      </c>
    </row>
    <row r="1104" spans="1:12">
      <c r="A1104" s="93">
        <v>154749</v>
      </c>
      <c r="B1104" t="s">
        <v>1666</v>
      </c>
      <c r="C1104" t="s">
        <v>5602</v>
      </c>
      <c r="D1104" s="92">
        <v>0.59</v>
      </c>
      <c r="E1104" s="92">
        <v>0.5</v>
      </c>
      <c r="F1104" t="s">
        <v>428</v>
      </c>
      <c r="G1104" t="s">
        <v>428</v>
      </c>
      <c r="H1104" t="s">
        <v>5617</v>
      </c>
      <c r="I1104">
        <v>0</v>
      </c>
      <c r="J1104" t="s">
        <v>87</v>
      </c>
      <c r="K1104">
        <v>0</v>
      </c>
      <c r="L1104">
        <v>0</v>
      </c>
    </row>
    <row r="1105" spans="1:12">
      <c r="A1105" s="93">
        <v>154767</v>
      </c>
      <c r="B1105" t="s">
        <v>1667</v>
      </c>
      <c r="C1105" t="s">
        <v>5606</v>
      </c>
      <c r="D1105" s="92" t="s">
        <v>428</v>
      </c>
      <c r="E1105" s="92" t="s">
        <v>428</v>
      </c>
      <c r="F1105" t="s">
        <v>428</v>
      </c>
      <c r="G1105" t="s">
        <v>428</v>
      </c>
      <c r="H1105" t="s">
        <v>5617</v>
      </c>
      <c r="I1105">
        <v>0</v>
      </c>
      <c r="J1105" t="s">
        <v>87</v>
      </c>
      <c r="K1105">
        <v>0</v>
      </c>
      <c r="L1105">
        <v>0</v>
      </c>
    </row>
    <row r="1106" spans="1:12">
      <c r="A1106" s="93">
        <v>154776</v>
      </c>
      <c r="B1106" t="s">
        <v>1668</v>
      </c>
      <c r="C1106" t="s">
        <v>5607</v>
      </c>
      <c r="D1106" s="92" t="s">
        <v>428</v>
      </c>
      <c r="E1106" s="92" t="s">
        <v>428</v>
      </c>
      <c r="F1106" t="s">
        <v>428</v>
      </c>
      <c r="G1106" t="s">
        <v>428</v>
      </c>
      <c r="H1106" t="s">
        <v>5617</v>
      </c>
      <c r="I1106">
        <v>0</v>
      </c>
      <c r="J1106" t="s">
        <v>87</v>
      </c>
      <c r="K1106">
        <v>0</v>
      </c>
      <c r="L1106">
        <v>0</v>
      </c>
    </row>
    <row r="1107" spans="1:12">
      <c r="A1107" s="93">
        <v>154794</v>
      </c>
      <c r="B1107" t="s">
        <v>1669</v>
      </c>
      <c r="C1107" t="s">
        <v>5606</v>
      </c>
      <c r="D1107" s="92">
        <v>0.41</v>
      </c>
      <c r="E1107" s="92">
        <v>0.25</v>
      </c>
      <c r="F1107" t="s">
        <v>428</v>
      </c>
      <c r="G1107" t="s">
        <v>428</v>
      </c>
      <c r="H1107" t="s">
        <v>5617</v>
      </c>
      <c r="I1107">
        <v>0</v>
      </c>
      <c r="J1107" t="s">
        <v>87</v>
      </c>
      <c r="K1107">
        <v>0</v>
      </c>
      <c r="L1107">
        <v>0</v>
      </c>
    </row>
    <row r="1108" spans="1:12">
      <c r="A1108" s="93">
        <v>154800</v>
      </c>
      <c r="B1108" t="s">
        <v>1670</v>
      </c>
      <c r="C1108" t="s">
        <v>5606</v>
      </c>
      <c r="D1108" s="92">
        <v>0.35</v>
      </c>
      <c r="E1108" s="92">
        <v>0.27</v>
      </c>
      <c r="F1108" t="s">
        <v>428</v>
      </c>
      <c r="G1108" t="s">
        <v>428</v>
      </c>
      <c r="H1108" t="s">
        <v>5615</v>
      </c>
      <c r="I1108">
        <v>0</v>
      </c>
      <c r="J1108" t="s">
        <v>87</v>
      </c>
      <c r="K1108">
        <v>0</v>
      </c>
      <c r="L1108">
        <v>0</v>
      </c>
    </row>
    <row r="1109" spans="1:12">
      <c r="A1109" s="93">
        <v>154837</v>
      </c>
      <c r="B1109" t="s">
        <v>1671</v>
      </c>
      <c r="C1109" t="s">
        <v>5607</v>
      </c>
      <c r="D1109" s="92" t="s">
        <v>428</v>
      </c>
      <c r="E1109" s="92" t="s">
        <v>428</v>
      </c>
      <c r="F1109" t="s">
        <v>428</v>
      </c>
      <c r="G1109" t="s">
        <v>428</v>
      </c>
      <c r="H1109" t="s">
        <v>5617</v>
      </c>
      <c r="I1109">
        <v>0</v>
      </c>
      <c r="J1109" t="s">
        <v>87</v>
      </c>
      <c r="K1109">
        <v>0</v>
      </c>
      <c r="L1109">
        <v>0</v>
      </c>
    </row>
    <row r="1110" spans="1:12">
      <c r="A1110" s="93">
        <v>154855</v>
      </c>
      <c r="B1110" t="s">
        <v>1672</v>
      </c>
      <c r="C1110" t="s">
        <v>5608</v>
      </c>
      <c r="D1110" s="92">
        <v>0.3</v>
      </c>
      <c r="E1110" s="92">
        <v>0.18</v>
      </c>
      <c r="F1110">
        <v>17</v>
      </c>
      <c r="G1110">
        <v>19.5</v>
      </c>
      <c r="H1110" t="s">
        <v>5617</v>
      </c>
      <c r="I1110">
        <v>0</v>
      </c>
      <c r="J1110" t="s">
        <v>87</v>
      </c>
      <c r="K1110">
        <v>0</v>
      </c>
      <c r="L1110">
        <v>0</v>
      </c>
    </row>
    <row r="1111" spans="1:12">
      <c r="A1111" s="93">
        <v>154907</v>
      </c>
      <c r="B1111" t="s">
        <v>1673</v>
      </c>
      <c r="C1111" t="s">
        <v>5606</v>
      </c>
      <c r="D1111" s="92">
        <v>0.48</v>
      </c>
      <c r="E1111" s="92">
        <v>0.29</v>
      </c>
      <c r="F1111" t="s">
        <v>428</v>
      </c>
      <c r="G1111" t="s">
        <v>428</v>
      </c>
      <c r="H1111" t="s">
        <v>5615</v>
      </c>
      <c r="I1111">
        <v>0</v>
      </c>
      <c r="J1111" t="s">
        <v>87</v>
      </c>
      <c r="K1111">
        <v>0</v>
      </c>
      <c r="L1111">
        <v>0</v>
      </c>
    </row>
    <row r="1112" spans="1:12">
      <c r="A1112" s="93">
        <v>154925</v>
      </c>
      <c r="B1112" t="s">
        <v>1674</v>
      </c>
      <c r="C1112" t="s">
        <v>5606</v>
      </c>
      <c r="D1112" s="92">
        <v>0.54</v>
      </c>
      <c r="E1112" s="92">
        <v>0.48</v>
      </c>
      <c r="F1112" t="s">
        <v>428</v>
      </c>
      <c r="G1112" t="s">
        <v>428</v>
      </c>
      <c r="H1112" t="s">
        <v>5615</v>
      </c>
      <c r="I1112">
        <v>0</v>
      </c>
      <c r="J1112" t="s">
        <v>87</v>
      </c>
      <c r="K1112">
        <v>0</v>
      </c>
      <c r="L1112">
        <v>0</v>
      </c>
    </row>
    <row r="1113" spans="1:12">
      <c r="A1113" s="93">
        <v>154934</v>
      </c>
      <c r="B1113" t="s">
        <v>1675</v>
      </c>
      <c r="C1113" t="s">
        <v>5606</v>
      </c>
      <c r="D1113" s="92">
        <v>0.48</v>
      </c>
      <c r="E1113" s="92">
        <v>0.39</v>
      </c>
      <c r="F1113" t="s">
        <v>428</v>
      </c>
      <c r="G1113" t="s">
        <v>428</v>
      </c>
      <c r="H1113" t="s">
        <v>5615</v>
      </c>
      <c r="I1113">
        <v>0</v>
      </c>
      <c r="J1113" t="s">
        <v>87</v>
      </c>
      <c r="K1113">
        <v>0</v>
      </c>
      <c r="L1113">
        <v>0</v>
      </c>
    </row>
    <row r="1114" spans="1:12">
      <c r="A1114" s="93">
        <v>154952</v>
      </c>
      <c r="B1114" t="s">
        <v>1676</v>
      </c>
      <c r="C1114" t="s">
        <v>5606</v>
      </c>
      <c r="D1114" s="92">
        <v>0.41</v>
      </c>
      <c r="E1114" s="92">
        <v>0.36</v>
      </c>
      <c r="F1114" t="s">
        <v>428</v>
      </c>
      <c r="G1114" t="s">
        <v>428</v>
      </c>
      <c r="H1114" t="s">
        <v>5615</v>
      </c>
      <c r="I1114">
        <v>0</v>
      </c>
      <c r="J1114" t="s">
        <v>87</v>
      </c>
      <c r="K1114">
        <v>0</v>
      </c>
      <c r="L1114">
        <v>0</v>
      </c>
    </row>
    <row r="1115" spans="1:12">
      <c r="A1115" s="93">
        <v>154998</v>
      </c>
      <c r="B1115" t="s">
        <v>1677</v>
      </c>
      <c r="C1115" t="s">
        <v>5606</v>
      </c>
      <c r="D1115" s="92" t="s">
        <v>428</v>
      </c>
      <c r="E1115" s="92" t="s">
        <v>428</v>
      </c>
      <c r="F1115" t="s">
        <v>428</v>
      </c>
      <c r="G1115" t="s">
        <v>428</v>
      </c>
      <c r="H1115" t="s">
        <v>5615</v>
      </c>
      <c r="I1115">
        <v>0</v>
      </c>
      <c r="J1115" t="s">
        <v>87</v>
      </c>
      <c r="K1115">
        <v>0</v>
      </c>
      <c r="L1115">
        <v>0</v>
      </c>
    </row>
    <row r="1116" spans="1:12">
      <c r="A1116" s="93">
        <v>155007</v>
      </c>
      <c r="B1116" t="s">
        <v>1678</v>
      </c>
      <c r="C1116" t="s">
        <v>5604</v>
      </c>
      <c r="D1116" s="92" t="s">
        <v>428</v>
      </c>
      <c r="E1116" s="92" t="s">
        <v>428</v>
      </c>
      <c r="F1116" t="s">
        <v>428</v>
      </c>
      <c r="G1116" t="s">
        <v>428</v>
      </c>
      <c r="H1116" t="s">
        <v>5616</v>
      </c>
      <c r="I1116">
        <v>0</v>
      </c>
      <c r="J1116" t="s">
        <v>87</v>
      </c>
      <c r="K1116">
        <v>0</v>
      </c>
      <c r="L1116">
        <v>0</v>
      </c>
    </row>
    <row r="1117" spans="1:12">
      <c r="A1117" s="93">
        <v>155025</v>
      </c>
      <c r="B1117" t="s">
        <v>1679</v>
      </c>
      <c r="C1117" t="s">
        <v>5602</v>
      </c>
      <c r="D1117" s="92">
        <v>0.41</v>
      </c>
      <c r="E1117" s="92">
        <v>0.26</v>
      </c>
      <c r="F1117">
        <v>19</v>
      </c>
      <c r="G1117">
        <v>22</v>
      </c>
      <c r="H1117" t="s">
        <v>5615</v>
      </c>
      <c r="I1117">
        <v>0</v>
      </c>
      <c r="J1117" t="s">
        <v>87</v>
      </c>
      <c r="K1117">
        <v>0</v>
      </c>
      <c r="L1117">
        <v>0</v>
      </c>
    </row>
    <row r="1118" spans="1:12">
      <c r="A1118" s="93">
        <v>155052</v>
      </c>
      <c r="B1118" t="s">
        <v>1680</v>
      </c>
      <c r="C1118" t="s">
        <v>5606</v>
      </c>
      <c r="D1118" s="92">
        <v>0.67</v>
      </c>
      <c r="E1118" s="92">
        <v>0.7</v>
      </c>
      <c r="F1118" t="s">
        <v>428</v>
      </c>
      <c r="G1118" t="s">
        <v>428</v>
      </c>
      <c r="H1118" t="s">
        <v>5615</v>
      </c>
      <c r="I1118">
        <v>0</v>
      </c>
      <c r="J1118" t="s">
        <v>87</v>
      </c>
      <c r="K1118">
        <v>0</v>
      </c>
      <c r="L1118">
        <v>0</v>
      </c>
    </row>
    <row r="1119" spans="1:12">
      <c r="A1119" s="93">
        <v>155061</v>
      </c>
      <c r="B1119" t="s">
        <v>1681</v>
      </c>
      <c r="C1119" t="s">
        <v>5602</v>
      </c>
      <c r="D1119" s="92">
        <v>0.39</v>
      </c>
      <c r="E1119" s="92">
        <v>0.21</v>
      </c>
      <c r="F1119" t="s">
        <v>428</v>
      </c>
      <c r="G1119" t="s">
        <v>428</v>
      </c>
      <c r="H1119" t="s">
        <v>5615</v>
      </c>
      <c r="I1119">
        <v>0</v>
      </c>
      <c r="J1119" t="s">
        <v>87</v>
      </c>
      <c r="K1119">
        <v>0</v>
      </c>
      <c r="L1119">
        <v>0</v>
      </c>
    </row>
    <row r="1120" spans="1:12">
      <c r="A1120" s="93">
        <v>155070</v>
      </c>
      <c r="B1120" t="s">
        <v>1682</v>
      </c>
      <c r="C1120" t="s">
        <v>5607</v>
      </c>
      <c r="D1120" s="92">
        <v>0.48</v>
      </c>
      <c r="E1120" s="92">
        <v>0.23</v>
      </c>
      <c r="F1120" t="s">
        <v>428</v>
      </c>
      <c r="G1120" t="s">
        <v>428</v>
      </c>
      <c r="H1120" t="s">
        <v>5616</v>
      </c>
      <c r="I1120">
        <v>0</v>
      </c>
      <c r="J1120" t="s">
        <v>87</v>
      </c>
      <c r="K1120">
        <v>0</v>
      </c>
      <c r="L1120">
        <v>0</v>
      </c>
    </row>
    <row r="1121" spans="1:12">
      <c r="A1121" s="93">
        <v>155089</v>
      </c>
      <c r="B1121" t="s">
        <v>1683</v>
      </c>
      <c r="C1121" t="s">
        <v>5602</v>
      </c>
      <c r="D1121" s="92">
        <v>0.38</v>
      </c>
      <c r="E1121" s="92">
        <v>0.18</v>
      </c>
      <c r="F1121">
        <v>19</v>
      </c>
      <c r="G1121">
        <v>21.5</v>
      </c>
      <c r="H1121" t="s">
        <v>5617</v>
      </c>
      <c r="I1121">
        <v>0</v>
      </c>
      <c r="J1121" t="s">
        <v>87</v>
      </c>
      <c r="K1121">
        <v>0</v>
      </c>
      <c r="L1121">
        <v>0</v>
      </c>
    </row>
    <row r="1122" spans="1:12">
      <c r="A1122" s="93">
        <v>155098</v>
      </c>
      <c r="B1122" t="s">
        <v>1684</v>
      </c>
      <c r="C1122" t="s">
        <v>5606</v>
      </c>
      <c r="D1122" s="92">
        <v>0.42</v>
      </c>
      <c r="E1122" s="92">
        <v>0.39</v>
      </c>
      <c r="F1122" t="s">
        <v>428</v>
      </c>
      <c r="G1122" t="s">
        <v>428</v>
      </c>
      <c r="H1122" t="s">
        <v>5615</v>
      </c>
      <c r="I1122">
        <v>0</v>
      </c>
      <c r="J1122" t="s">
        <v>87</v>
      </c>
      <c r="K1122">
        <v>0</v>
      </c>
      <c r="L1122">
        <v>0</v>
      </c>
    </row>
    <row r="1123" spans="1:12">
      <c r="A1123" s="93">
        <v>155104</v>
      </c>
      <c r="B1123" t="s">
        <v>1685</v>
      </c>
      <c r="C1123" t="s">
        <v>5606</v>
      </c>
      <c r="D1123" s="92">
        <v>0.47</v>
      </c>
      <c r="E1123" s="92">
        <v>0.42</v>
      </c>
      <c r="F1123" t="s">
        <v>428</v>
      </c>
      <c r="G1123" t="s">
        <v>428</v>
      </c>
      <c r="H1123" t="s">
        <v>5615</v>
      </c>
      <c r="I1123">
        <v>0</v>
      </c>
      <c r="J1123" t="s">
        <v>87</v>
      </c>
      <c r="K1123">
        <v>0</v>
      </c>
      <c r="L1123">
        <v>0</v>
      </c>
    </row>
    <row r="1124" spans="1:12">
      <c r="A1124" s="93">
        <v>155140</v>
      </c>
      <c r="B1124" t="s">
        <v>1686</v>
      </c>
      <c r="C1124" t="s">
        <v>5604</v>
      </c>
      <c r="D1124" s="92" t="s">
        <v>428</v>
      </c>
      <c r="E1124" s="92" t="s">
        <v>428</v>
      </c>
      <c r="F1124">
        <v>16</v>
      </c>
      <c r="G1124">
        <v>18</v>
      </c>
      <c r="H1124" t="s">
        <v>5615</v>
      </c>
      <c r="I1124">
        <v>0</v>
      </c>
      <c r="J1124" t="s">
        <v>87</v>
      </c>
      <c r="K1124">
        <v>0</v>
      </c>
      <c r="L1124">
        <v>0</v>
      </c>
    </row>
    <row r="1125" spans="1:12">
      <c r="A1125" s="93">
        <v>155177</v>
      </c>
      <c r="B1125" t="s">
        <v>1687</v>
      </c>
      <c r="C1125" t="s">
        <v>5604</v>
      </c>
      <c r="D1125" s="92">
        <v>0.55</v>
      </c>
      <c r="E1125" s="92">
        <v>0.24</v>
      </c>
      <c r="F1125" t="s">
        <v>428</v>
      </c>
      <c r="G1125" t="s">
        <v>428</v>
      </c>
      <c r="H1125" t="s">
        <v>5616</v>
      </c>
      <c r="I1125">
        <v>0</v>
      </c>
      <c r="J1125" t="s">
        <v>87</v>
      </c>
      <c r="K1125">
        <v>0</v>
      </c>
      <c r="L1125">
        <v>0</v>
      </c>
    </row>
    <row r="1126" spans="1:12">
      <c r="A1126" s="93">
        <v>155186</v>
      </c>
      <c r="B1126" t="s">
        <v>1442</v>
      </c>
      <c r="C1126" t="s">
        <v>5606</v>
      </c>
      <c r="D1126" s="92">
        <v>0.47</v>
      </c>
      <c r="E1126" s="92">
        <v>0.38</v>
      </c>
      <c r="F1126" t="s">
        <v>428</v>
      </c>
      <c r="G1126" t="s">
        <v>428</v>
      </c>
      <c r="H1126" t="s">
        <v>5615</v>
      </c>
      <c r="I1126">
        <v>0</v>
      </c>
      <c r="J1126" t="s">
        <v>87</v>
      </c>
      <c r="K1126">
        <v>0</v>
      </c>
      <c r="L1126">
        <v>0</v>
      </c>
    </row>
    <row r="1127" spans="1:12">
      <c r="A1127" s="93">
        <v>155195</v>
      </c>
      <c r="B1127" t="s">
        <v>1688</v>
      </c>
      <c r="C1127" t="s">
        <v>5606</v>
      </c>
      <c r="D1127" s="92">
        <v>0.45</v>
      </c>
      <c r="E1127" s="92">
        <v>0.4</v>
      </c>
      <c r="F1127" t="s">
        <v>428</v>
      </c>
      <c r="G1127" t="s">
        <v>428</v>
      </c>
      <c r="H1127" t="s">
        <v>5615</v>
      </c>
      <c r="I1127">
        <v>0</v>
      </c>
      <c r="J1127" t="s">
        <v>87</v>
      </c>
      <c r="K1127">
        <v>0</v>
      </c>
      <c r="L1127">
        <v>0</v>
      </c>
    </row>
    <row r="1128" spans="1:12">
      <c r="A1128" s="93">
        <v>155201</v>
      </c>
      <c r="B1128" t="s">
        <v>1689</v>
      </c>
      <c r="C1128" t="s">
        <v>5606</v>
      </c>
      <c r="D1128" s="92">
        <v>0.42</v>
      </c>
      <c r="E1128" s="92">
        <v>0.36</v>
      </c>
      <c r="F1128" t="s">
        <v>428</v>
      </c>
      <c r="G1128" t="s">
        <v>428</v>
      </c>
      <c r="H1128" t="s">
        <v>5615</v>
      </c>
      <c r="I1128">
        <v>0</v>
      </c>
      <c r="J1128" t="s">
        <v>87</v>
      </c>
      <c r="K1128">
        <v>0</v>
      </c>
      <c r="L1128">
        <v>0</v>
      </c>
    </row>
    <row r="1129" spans="1:12">
      <c r="A1129" s="93">
        <v>155210</v>
      </c>
      <c r="B1129" t="s">
        <v>1690</v>
      </c>
      <c r="C1129" t="s">
        <v>5606</v>
      </c>
      <c r="D1129" s="92">
        <v>0.34</v>
      </c>
      <c r="E1129" s="92">
        <v>0.32</v>
      </c>
      <c r="F1129" t="s">
        <v>428</v>
      </c>
      <c r="G1129" t="s">
        <v>428</v>
      </c>
      <c r="H1129" t="s">
        <v>5615</v>
      </c>
      <c r="I1129">
        <v>0</v>
      </c>
      <c r="J1129" t="s">
        <v>87</v>
      </c>
      <c r="K1129">
        <v>0</v>
      </c>
      <c r="L1129">
        <v>0</v>
      </c>
    </row>
    <row r="1130" spans="1:12">
      <c r="A1130" s="93">
        <v>155283</v>
      </c>
      <c r="B1130" t="s">
        <v>1691</v>
      </c>
      <c r="C1130" t="s">
        <v>5607</v>
      </c>
      <c r="D1130" s="92" t="s">
        <v>428</v>
      </c>
      <c r="E1130" s="92" t="s">
        <v>428</v>
      </c>
      <c r="F1130" t="s">
        <v>428</v>
      </c>
      <c r="G1130" t="s">
        <v>428</v>
      </c>
      <c r="H1130" t="s">
        <v>5617</v>
      </c>
      <c r="I1130">
        <v>0</v>
      </c>
      <c r="J1130" t="s">
        <v>87</v>
      </c>
      <c r="K1130">
        <v>0</v>
      </c>
      <c r="L1130">
        <v>0</v>
      </c>
    </row>
    <row r="1131" spans="1:12">
      <c r="A1131" s="93">
        <v>155292</v>
      </c>
      <c r="B1131" t="s">
        <v>1692</v>
      </c>
      <c r="C1131" t="s">
        <v>5606</v>
      </c>
      <c r="D1131" s="92" t="s">
        <v>428</v>
      </c>
      <c r="E1131" s="92" t="s">
        <v>428</v>
      </c>
      <c r="F1131" t="s">
        <v>428</v>
      </c>
      <c r="G1131" t="s">
        <v>428</v>
      </c>
      <c r="H1131" t="s">
        <v>5615</v>
      </c>
      <c r="I1131">
        <v>0</v>
      </c>
      <c r="J1131" t="s">
        <v>87</v>
      </c>
      <c r="K1131">
        <v>0</v>
      </c>
      <c r="L1131">
        <v>0</v>
      </c>
    </row>
    <row r="1132" spans="1:12">
      <c r="A1132" s="93">
        <v>155308</v>
      </c>
      <c r="B1132" t="s">
        <v>1693</v>
      </c>
      <c r="C1132" t="s">
        <v>5604</v>
      </c>
      <c r="D1132" s="92">
        <v>0.33</v>
      </c>
      <c r="E1132" s="92">
        <v>1</v>
      </c>
      <c r="F1132" t="s">
        <v>428</v>
      </c>
      <c r="G1132" t="s">
        <v>428</v>
      </c>
      <c r="H1132" t="s">
        <v>5624</v>
      </c>
      <c r="I1132">
        <v>1</v>
      </c>
      <c r="J1132" t="s">
        <v>87</v>
      </c>
      <c r="K1132">
        <v>0</v>
      </c>
      <c r="L1132">
        <v>0</v>
      </c>
    </row>
    <row r="1133" spans="1:12">
      <c r="A1133" s="93">
        <v>155317</v>
      </c>
      <c r="B1133" t="s">
        <v>1694</v>
      </c>
      <c r="C1133" t="s">
        <v>5602</v>
      </c>
      <c r="D1133" s="92">
        <v>0.63</v>
      </c>
      <c r="E1133" s="92">
        <v>0.51</v>
      </c>
      <c r="F1133">
        <v>23</v>
      </c>
      <c r="G1133">
        <v>26</v>
      </c>
      <c r="H1133" t="s">
        <v>5617</v>
      </c>
      <c r="I1133">
        <v>0</v>
      </c>
      <c r="J1133" t="s">
        <v>87</v>
      </c>
      <c r="K1133">
        <v>0</v>
      </c>
      <c r="L1133">
        <v>0</v>
      </c>
    </row>
    <row r="1134" spans="1:12">
      <c r="A1134" s="93">
        <v>155335</v>
      </c>
      <c r="B1134" t="s">
        <v>1695</v>
      </c>
      <c r="C1134" t="s">
        <v>5602</v>
      </c>
      <c r="D1134" s="92">
        <v>0.47</v>
      </c>
      <c r="E1134" s="92">
        <v>0.24</v>
      </c>
      <c r="F1134">
        <v>20</v>
      </c>
      <c r="G1134">
        <v>23.5</v>
      </c>
      <c r="H1134" t="s">
        <v>5616</v>
      </c>
      <c r="I1134">
        <v>0</v>
      </c>
      <c r="J1134" t="s">
        <v>87</v>
      </c>
      <c r="K1134">
        <v>0</v>
      </c>
      <c r="L1134">
        <v>0</v>
      </c>
    </row>
    <row r="1135" spans="1:12">
      <c r="A1135" s="93">
        <v>155399</v>
      </c>
      <c r="B1135" t="s">
        <v>1696</v>
      </c>
      <c r="C1135" t="s">
        <v>5603</v>
      </c>
      <c r="D1135" s="92">
        <v>0.63</v>
      </c>
      <c r="E1135" s="92">
        <v>0.4</v>
      </c>
      <c r="F1135" t="s">
        <v>428</v>
      </c>
      <c r="G1135" t="s">
        <v>428</v>
      </c>
      <c r="H1135" t="s">
        <v>5615</v>
      </c>
      <c r="I1135">
        <v>0</v>
      </c>
      <c r="J1135" t="s">
        <v>87</v>
      </c>
      <c r="K1135">
        <v>0</v>
      </c>
      <c r="L1135">
        <v>0</v>
      </c>
    </row>
    <row r="1136" spans="1:12">
      <c r="A1136" s="93">
        <v>155414</v>
      </c>
      <c r="B1136" t="s">
        <v>1697</v>
      </c>
      <c r="C1136" t="s">
        <v>5602</v>
      </c>
      <c r="D1136" s="92">
        <v>0.36</v>
      </c>
      <c r="E1136" s="92">
        <v>0.28</v>
      </c>
      <c r="F1136">
        <v>19</v>
      </c>
      <c r="G1136">
        <v>21.5</v>
      </c>
      <c r="H1136" t="s">
        <v>5617</v>
      </c>
      <c r="I1136">
        <v>0</v>
      </c>
      <c r="J1136" t="s">
        <v>87</v>
      </c>
      <c r="K1136">
        <v>0</v>
      </c>
      <c r="L1136">
        <v>0</v>
      </c>
    </row>
    <row r="1137" spans="1:12">
      <c r="A1137" s="93">
        <v>155450</v>
      </c>
      <c r="B1137" t="s">
        <v>1698</v>
      </c>
      <c r="C1137" t="s">
        <v>5606</v>
      </c>
      <c r="D1137" s="92">
        <v>0.27</v>
      </c>
      <c r="E1137" s="92">
        <v>0.21</v>
      </c>
      <c r="F1137" t="s">
        <v>428</v>
      </c>
      <c r="G1137" t="s">
        <v>428</v>
      </c>
      <c r="H1137" t="s">
        <v>5615</v>
      </c>
      <c r="I1137">
        <v>0</v>
      </c>
      <c r="J1137" t="s">
        <v>87</v>
      </c>
      <c r="K1137">
        <v>0</v>
      </c>
      <c r="L1137">
        <v>0</v>
      </c>
    </row>
    <row r="1138" spans="1:12">
      <c r="A1138" s="93">
        <v>155487</v>
      </c>
      <c r="B1138" t="s">
        <v>1699</v>
      </c>
      <c r="C1138" t="s">
        <v>5606</v>
      </c>
      <c r="D1138" s="92" t="s">
        <v>428</v>
      </c>
      <c r="E1138" s="92" t="s">
        <v>428</v>
      </c>
      <c r="F1138" t="s">
        <v>428</v>
      </c>
      <c r="G1138" t="s">
        <v>428</v>
      </c>
      <c r="H1138" t="s">
        <v>5615</v>
      </c>
      <c r="I1138">
        <v>0</v>
      </c>
      <c r="J1138" t="s">
        <v>87</v>
      </c>
      <c r="K1138">
        <v>0</v>
      </c>
      <c r="L1138">
        <v>0</v>
      </c>
    </row>
    <row r="1139" spans="1:12">
      <c r="A1139" s="93">
        <v>155496</v>
      </c>
      <c r="B1139" t="s">
        <v>1700</v>
      </c>
      <c r="C1139" t="s">
        <v>5602</v>
      </c>
      <c r="D1139" s="92">
        <v>0.39</v>
      </c>
      <c r="E1139" s="92">
        <v>0.11</v>
      </c>
      <c r="F1139">
        <v>19</v>
      </c>
      <c r="G1139">
        <v>22</v>
      </c>
      <c r="H1139" t="s">
        <v>5616</v>
      </c>
      <c r="I1139">
        <v>0</v>
      </c>
      <c r="J1139" t="s">
        <v>87</v>
      </c>
      <c r="K1139">
        <v>0</v>
      </c>
      <c r="L1139">
        <v>0</v>
      </c>
    </row>
    <row r="1140" spans="1:12">
      <c r="A1140" s="93">
        <v>155511</v>
      </c>
      <c r="B1140" t="s">
        <v>1701</v>
      </c>
      <c r="C1140" t="s">
        <v>5602</v>
      </c>
      <c r="D1140" s="92">
        <v>0.48</v>
      </c>
      <c r="E1140" s="92">
        <v>0.42</v>
      </c>
      <c r="F1140">
        <v>19</v>
      </c>
      <c r="G1140">
        <v>21.5</v>
      </c>
      <c r="H1140" t="s">
        <v>5617</v>
      </c>
      <c r="I1140">
        <v>0</v>
      </c>
      <c r="J1140" t="s">
        <v>87</v>
      </c>
      <c r="K1140">
        <v>0</v>
      </c>
      <c r="L1140">
        <v>0</v>
      </c>
    </row>
    <row r="1141" spans="1:12">
      <c r="A1141" s="93">
        <v>155520</v>
      </c>
      <c r="B1141" t="s">
        <v>1702</v>
      </c>
      <c r="C1141" t="s">
        <v>5602</v>
      </c>
      <c r="D1141" s="92">
        <v>0.53</v>
      </c>
      <c r="E1141" s="92">
        <v>0.36</v>
      </c>
      <c r="F1141">
        <v>18</v>
      </c>
      <c r="G1141">
        <v>21.5</v>
      </c>
      <c r="H1141" t="s">
        <v>5617</v>
      </c>
      <c r="I1141">
        <v>0</v>
      </c>
      <c r="J1141" t="s">
        <v>87</v>
      </c>
      <c r="K1141">
        <v>0</v>
      </c>
      <c r="L1141">
        <v>0</v>
      </c>
    </row>
    <row r="1142" spans="1:12">
      <c r="A1142" s="93">
        <v>155566</v>
      </c>
      <c r="B1142" t="s">
        <v>1703</v>
      </c>
      <c r="C1142" t="s">
        <v>5606</v>
      </c>
      <c r="D1142" s="92">
        <v>0.44</v>
      </c>
      <c r="E1142" s="92">
        <v>0.43</v>
      </c>
      <c r="F1142" t="s">
        <v>428</v>
      </c>
      <c r="G1142" t="s">
        <v>428</v>
      </c>
      <c r="H1142" t="s">
        <v>5615</v>
      </c>
      <c r="I1142">
        <v>0</v>
      </c>
      <c r="J1142" t="s">
        <v>87</v>
      </c>
      <c r="K1142">
        <v>0</v>
      </c>
      <c r="L1142">
        <v>0</v>
      </c>
    </row>
    <row r="1143" spans="1:12">
      <c r="A1143" s="93">
        <v>155593</v>
      </c>
      <c r="B1143" t="s">
        <v>1704</v>
      </c>
      <c r="C1143" t="s">
        <v>5606</v>
      </c>
      <c r="D1143" s="92" t="s">
        <v>428</v>
      </c>
      <c r="E1143" s="92" t="s">
        <v>428</v>
      </c>
      <c r="F1143" t="s">
        <v>428</v>
      </c>
      <c r="G1143" t="s">
        <v>428</v>
      </c>
      <c r="H1143" t="s">
        <v>5615</v>
      </c>
      <c r="I1143">
        <v>0</v>
      </c>
      <c r="J1143" t="s">
        <v>87</v>
      </c>
      <c r="K1143">
        <v>0</v>
      </c>
      <c r="L1143">
        <v>0</v>
      </c>
    </row>
    <row r="1144" spans="1:12">
      <c r="A1144" s="93">
        <v>155618</v>
      </c>
      <c r="B1144" t="s">
        <v>1705</v>
      </c>
      <c r="C1144" t="s">
        <v>5606</v>
      </c>
      <c r="D1144" s="92">
        <v>0.61</v>
      </c>
      <c r="E1144" s="92">
        <v>0.52</v>
      </c>
      <c r="F1144" t="s">
        <v>428</v>
      </c>
      <c r="G1144" t="s">
        <v>428</v>
      </c>
      <c r="H1144" t="s">
        <v>5615</v>
      </c>
      <c r="I1144">
        <v>0</v>
      </c>
      <c r="J1144" t="s">
        <v>87</v>
      </c>
      <c r="K1144">
        <v>0</v>
      </c>
      <c r="L1144">
        <v>0</v>
      </c>
    </row>
    <row r="1145" spans="1:12">
      <c r="A1145" s="93">
        <v>155627</v>
      </c>
      <c r="B1145" t="s">
        <v>1706</v>
      </c>
      <c r="C1145" t="s">
        <v>5603</v>
      </c>
      <c r="D1145" s="92">
        <v>0.36</v>
      </c>
      <c r="E1145" s="92">
        <v>0.18</v>
      </c>
      <c r="F1145" t="s">
        <v>428</v>
      </c>
      <c r="G1145" t="s">
        <v>428</v>
      </c>
      <c r="H1145" t="s">
        <v>5617</v>
      </c>
      <c r="I1145">
        <v>0</v>
      </c>
      <c r="J1145" t="s">
        <v>87</v>
      </c>
      <c r="K1145">
        <v>0</v>
      </c>
      <c r="L1145">
        <v>0</v>
      </c>
    </row>
    <row r="1146" spans="1:12">
      <c r="A1146" s="93">
        <v>155636</v>
      </c>
      <c r="B1146" t="s">
        <v>1707</v>
      </c>
      <c r="C1146" t="s">
        <v>5604</v>
      </c>
      <c r="D1146" s="92" t="s">
        <v>428</v>
      </c>
      <c r="E1146" s="92" t="s">
        <v>428</v>
      </c>
      <c r="F1146" t="s">
        <v>428</v>
      </c>
      <c r="G1146" t="s">
        <v>428</v>
      </c>
      <c r="H1146" t="s">
        <v>5615</v>
      </c>
      <c r="I1146">
        <v>0</v>
      </c>
      <c r="J1146" t="s">
        <v>87</v>
      </c>
      <c r="K1146">
        <v>0</v>
      </c>
      <c r="L1146">
        <v>0</v>
      </c>
    </row>
    <row r="1147" spans="1:12">
      <c r="A1147" s="93">
        <v>155681</v>
      </c>
      <c r="B1147" t="s">
        <v>1708</v>
      </c>
      <c r="C1147" t="s">
        <v>5604</v>
      </c>
      <c r="D1147" s="92">
        <v>0.48</v>
      </c>
      <c r="E1147" s="92">
        <v>0.42</v>
      </c>
      <c r="F1147">
        <v>19</v>
      </c>
      <c r="G1147">
        <v>21.5</v>
      </c>
      <c r="H1147" t="s">
        <v>5615</v>
      </c>
      <c r="I1147">
        <v>0</v>
      </c>
      <c r="J1147" t="s">
        <v>87</v>
      </c>
      <c r="K1147">
        <v>0</v>
      </c>
      <c r="L1147">
        <v>0</v>
      </c>
    </row>
    <row r="1148" spans="1:12">
      <c r="A1148" s="93">
        <v>155715</v>
      </c>
      <c r="B1148" t="s">
        <v>1709</v>
      </c>
      <c r="C1148" t="s">
        <v>5606</v>
      </c>
      <c r="D1148" s="92">
        <v>0.5</v>
      </c>
      <c r="E1148" s="92">
        <v>0.4</v>
      </c>
      <c r="F1148" t="s">
        <v>428</v>
      </c>
      <c r="G1148" t="s">
        <v>428</v>
      </c>
      <c r="H1148" t="s">
        <v>5615</v>
      </c>
      <c r="I1148">
        <v>0</v>
      </c>
      <c r="J1148" t="s">
        <v>87</v>
      </c>
      <c r="K1148">
        <v>0</v>
      </c>
      <c r="L1148">
        <v>0</v>
      </c>
    </row>
    <row r="1149" spans="1:12">
      <c r="A1149" s="93">
        <v>155812</v>
      </c>
      <c r="B1149" t="s">
        <v>1710</v>
      </c>
      <c r="C1149" t="s">
        <v>5602</v>
      </c>
      <c r="D1149" s="92">
        <v>0.36</v>
      </c>
      <c r="E1149" s="92">
        <v>0.3</v>
      </c>
      <c r="F1149">
        <v>19</v>
      </c>
      <c r="G1149">
        <v>21.5</v>
      </c>
      <c r="H1149" t="s">
        <v>5617</v>
      </c>
      <c r="I1149">
        <v>0</v>
      </c>
      <c r="J1149" t="s">
        <v>87</v>
      </c>
      <c r="K1149">
        <v>0</v>
      </c>
      <c r="L1149">
        <v>0</v>
      </c>
    </row>
    <row r="1150" spans="1:12">
      <c r="A1150" s="93">
        <v>155830</v>
      </c>
      <c r="B1150" t="s">
        <v>1711</v>
      </c>
      <c r="C1150" t="s">
        <v>5606</v>
      </c>
      <c r="D1150" s="92" t="s">
        <v>428</v>
      </c>
      <c r="E1150" s="92" t="s">
        <v>428</v>
      </c>
      <c r="F1150" t="s">
        <v>428</v>
      </c>
      <c r="G1150" t="s">
        <v>428</v>
      </c>
      <c r="H1150" t="s">
        <v>5615</v>
      </c>
      <c r="I1150">
        <v>0</v>
      </c>
      <c r="J1150" t="s">
        <v>87</v>
      </c>
      <c r="K1150">
        <v>0</v>
      </c>
      <c r="L1150">
        <v>0</v>
      </c>
    </row>
    <row r="1151" spans="1:12">
      <c r="A1151" s="93">
        <v>155858</v>
      </c>
      <c r="B1151" t="s">
        <v>1712</v>
      </c>
      <c r="C1151" t="s">
        <v>5606</v>
      </c>
      <c r="D1151" s="92">
        <v>0.44</v>
      </c>
      <c r="E1151" s="92">
        <v>0.41</v>
      </c>
      <c r="F1151" t="s">
        <v>428</v>
      </c>
      <c r="G1151" t="s">
        <v>428</v>
      </c>
      <c r="H1151" t="s">
        <v>5615</v>
      </c>
      <c r="I1151">
        <v>0</v>
      </c>
      <c r="J1151" t="s">
        <v>87</v>
      </c>
      <c r="K1151">
        <v>0</v>
      </c>
      <c r="L1151">
        <v>0</v>
      </c>
    </row>
    <row r="1152" spans="1:12">
      <c r="A1152" s="93">
        <v>155900</v>
      </c>
      <c r="B1152" t="s">
        <v>1713</v>
      </c>
      <c r="C1152" t="s">
        <v>5602</v>
      </c>
      <c r="D1152" s="92">
        <v>0.45</v>
      </c>
      <c r="E1152" s="92">
        <v>0.24</v>
      </c>
      <c r="F1152">
        <v>18</v>
      </c>
      <c r="G1152">
        <v>20.5</v>
      </c>
      <c r="H1152" t="s">
        <v>5617</v>
      </c>
      <c r="I1152">
        <v>0</v>
      </c>
      <c r="J1152" t="s">
        <v>87</v>
      </c>
      <c r="K1152">
        <v>0</v>
      </c>
      <c r="L1152">
        <v>0</v>
      </c>
    </row>
    <row r="1153" spans="1:12">
      <c r="A1153" s="93">
        <v>155937</v>
      </c>
      <c r="B1153" t="s">
        <v>1714</v>
      </c>
      <c r="C1153" t="s">
        <v>5602</v>
      </c>
      <c r="D1153" s="92">
        <v>0.42</v>
      </c>
      <c r="E1153" s="92">
        <v>0.37</v>
      </c>
      <c r="F1153">
        <v>18</v>
      </c>
      <c r="G1153">
        <v>20.5</v>
      </c>
      <c r="H1153" t="s">
        <v>5617</v>
      </c>
      <c r="I1153">
        <v>0</v>
      </c>
      <c r="J1153" t="s">
        <v>87</v>
      </c>
      <c r="K1153">
        <v>0</v>
      </c>
      <c r="L1153">
        <v>0</v>
      </c>
    </row>
    <row r="1154" spans="1:12">
      <c r="A1154" s="93">
        <v>155973</v>
      </c>
      <c r="B1154" t="s">
        <v>1715</v>
      </c>
      <c r="C1154" t="s">
        <v>5602</v>
      </c>
      <c r="D1154" s="92">
        <v>0.46</v>
      </c>
      <c r="E1154" s="92">
        <v>0.23</v>
      </c>
      <c r="F1154">
        <v>18</v>
      </c>
      <c r="G1154">
        <v>21</v>
      </c>
      <c r="H1154" t="s">
        <v>5616</v>
      </c>
      <c r="I1154">
        <v>0</v>
      </c>
      <c r="J1154" t="s">
        <v>87</v>
      </c>
      <c r="K1154">
        <v>0</v>
      </c>
      <c r="L1154">
        <v>0</v>
      </c>
    </row>
    <row r="1155" spans="1:12">
      <c r="A1155" s="93">
        <v>156082</v>
      </c>
      <c r="B1155" t="s">
        <v>1716</v>
      </c>
      <c r="C1155" t="s">
        <v>5602</v>
      </c>
      <c r="D1155" s="92">
        <v>0.34</v>
      </c>
      <c r="E1155" s="92">
        <v>0.21</v>
      </c>
      <c r="F1155" t="s">
        <v>428</v>
      </c>
      <c r="G1155" t="s">
        <v>428</v>
      </c>
      <c r="H1155" t="s">
        <v>5615</v>
      </c>
      <c r="I1155">
        <v>0</v>
      </c>
      <c r="J1155" t="s">
        <v>87</v>
      </c>
      <c r="K1155">
        <v>0</v>
      </c>
      <c r="L1155">
        <v>0</v>
      </c>
    </row>
    <row r="1156" spans="1:12">
      <c r="A1156" s="93">
        <v>156107</v>
      </c>
      <c r="B1156" t="s">
        <v>1717</v>
      </c>
      <c r="C1156" t="s">
        <v>5606</v>
      </c>
      <c r="D1156" s="92">
        <v>0.41</v>
      </c>
      <c r="E1156" s="92">
        <v>0.33</v>
      </c>
      <c r="F1156" t="s">
        <v>428</v>
      </c>
      <c r="G1156" t="s">
        <v>428</v>
      </c>
      <c r="H1156" t="s">
        <v>5615</v>
      </c>
      <c r="I1156">
        <v>0</v>
      </c>
      <c r="J1156" t="s">
        <v>87</v>
      </c>
      <c r="K1156">
        <v>0</v>
      </c>
      <c r="L1156">
        <v>0</v>
      </c>
    </row>
    <row r="1157" spans="1:12">
      <c r="A1157" s="93">
        <v>156125</v>
      </c>
      <c r="B1157" t="s">
        <v>1718</v>
      </c>
      <c r="C1157" t="s">
        <v>5602</v>
      </c>
      <c r="D1157" s="92">
        <v>0.46</v>
      </c>
      <c r="E1157" s="92">
        <v>0.31</v>
      </c>
      <c r="F1157">
        <v>21</v>
      </c>
      <c r="G1157">
        <v>24</v>
      </c>
      <c r="H1157" t="s">
        <v>5615</v>
      </c>
      <c r="I1157">
        <v>0</v>
      </c>
      <c r="J1157" t="s">
        <v>87</v>
      </c>
      <c r="K1157">
        <v>0</v>
      </c>
      <c r="L1157">
        <v>0</v>
      </c>
    </row>
    <row r="1158" spans="1:12">
      <c r="A1158" s="93">
        <v>156134</v>
      </c>
      <c r="B1158" t="s">
        <v>1719</v>
      </c>
      <c r="C1158" t="s">
        <v>5606</v>
      </c>
      <c r="D1158" s="92" t="s">
        <v>428</v>
      </c>
      <c r="E1158" s="92" t="s">
        <v>428</v>
      </c>
      <c r="F1158" t="s">
        <v>428</v>
      </c>
      <c r="G1158" t="s">
        <v>428</v>
      </c>
      <c r="H1158" t="s">
        <v>5617</v>
      </c>
      <c r="I1158">
        <v>0</v>
      </c>
      <c r="J1158" t="s">
        <v>87</v>
      </c>
      <c r="K1158">
        <v>0</v>
      </c>
      <c r="L1158">
        <v>0</v>
      </c>
    </row>
    <row r="1159" spans="1:12">
      <c r="A1159" s="93">
        <v>156189</v>
      </c>
      <c r="B1159" t="s">
        <v>1720</v>
      </c>
      <c r="C1159" t="s">
        <v>5602</v>
      </c>
      <c r="D1159" s="92">
        <v>0.37</v>
      </c>
      <c r="E1159" s="92">
        <v>0</v>
      </c>
      <c r="F1159">
        <v>18</v>
      </c>
      <c r="G1159">
        <v>21.5</v>
      </c>
      <c r="H1159" t="s">
        <v>5616</v>
      </c>
      <c r="I1159">
        <v>0</v>
      </c>
      <c r="J1159" t="s">
        <v>87</v>
      </c>
      <c r="K1159">
        <v>0</v>
      </c>
      <c r="L1159">
        <v>0</v>
      </c>
    </row>
    <row r="1160" spans="1:12">
      <c r="A1160" s="93">
        <v>156213</v>
      </c>
      <c r="B1160" t="s">
        <v>1721</v>
      </c>
      <c r="C1160" t="s">
        <v>5602</v>
      </c>
      <c r="D1160" s="92">
        <v>0.64</v>
      </c>
      <c r="E1160" s="92">
        <v>0.38</v>
      </c>
      <c r="F1160">
        <v>21</v>
      </c>
      <c r="G1160">
        <v>24.5</v>
      </c>
      <c r="H1160" t="s">
        <v>5617</v>
      </c>
      <c r="I1160">
        <v>0</v>
      </c>
      <c r="J1160" t="s">
        <v>87</v>
      </c>
      <c r="K1160">
        <v>0</v>
      </c>
      <c r="L1160">
        <v>0</v>
      </c>
    </row>
    <row r="1161" spans="1:12">
      <c r="A1161" s="93">
        <v>156222</v>
      </c>
      <c r="B1161" t="s">
        <v>1722</v>
      </c>
      <c r="C1161" t="s">
        <v>5607</v>
      </c>
      <c r="D1161" s="92" t="s">
        <v>428</v>
      </c>
      <c r="E1161" s="92" t="s">
        <v>428</v>
      </c>
      <c r="F1161" t="s">
        <v>428</v>
      </c>
      <c r="G1161" t="s">
        <v>428</v>
      </c>
      <c r="H1161" t="s">
        <v>5615</v>
      </c>
      <c r="I1161">
        <v>0</v>
      </c>
      <c r="J1161" t="s">
        <v>87</v>
      </c>
      <c r="K1161">
        <v>0</v>
      </c>
      <c r="L1161">
        <v>0</v>
      </c>
    </row>
    <row r="1162" spans="1:12">
      <c r="A1162" s="93">
        <v>156231</v>
      </c>
      <c r="B1162" t="s">
        <v>1723</v>
      </c>
      <c r="C1162" t="s">
        <v>5606</v>
      </c>
      <c r="D1162" s="92">
        <v>0.27</v>
      </c>
      <c r="E1162" s="92">
        <v>0.08</v>
      </c>
      <c r="F1162" t="s">
        <v>428</v>
      </c>
      <c r="G1162" t="s">
        <v>428</v>
      </c>
      <c r="H1162" t="s">
        <v>5615</v>
      </c>
      <c r="I1162">
        <v>0</v>
      </c>
      <c r="J1162" t="s">
        <v>87</v>
      </c>
      <c r="K1162">
        <v>0</v>
      </c>
      <c r="L1162">
        <v>0</v>
      </c>
    </row>
    <row r="1163" spans="1:12">
      <c r="A1163" s="93">
        <v>156277</v>
      </c>
      <c r="B1163" t="s">
        <v>1724</v>
      </c>
      <c r="C1163" t="s">
        <v>5606</v>
      </c>
      <c r="D1163" s="92" t="s">
        <v>428</v>
      </c>
      <c r="E1163" s="92" t="s">
        <v>428</v>
      </c>
      <c r="F1163" t="s">
        <v>428</v>
      </c>
      <c r="G1163" t="s">
        <v>428</v>
      </c>
      <c r="H1163" t="s">
        <v>5616</v>
      </c>
      <c r="I1163">
        <v>0</v>
      </c>
      <c r="J1163" t="s">
        <v>87</v>
      </c>
      <c r="K1163">
        <v>0</v>
      </c>
      <c r="L1163">
        <v>0</v>
      </c>
    </row>
    <row r="1164" spans="1:12">
      <c r="A1164" s="93">
        <v>156286</v>
      </c>
      <c r="B1164" t="s">
        <v>1725</v>
      </c>
      <c r="C1164" t="s">
        <v>5602</v>
      </c>
      <c r="D1164" s="92">
        <v>0.66</v>
      </c>
      <c r="E1164" s="92">
        <v>0.62</v>
      </c>
      <c r="F1164">
        <v>22</v>
      </c>
      <c r="G1164">
        <v>24.5</v>
      </c>
      <c r="H1164" t="s">
        <v>5617</v>
      </c>
      <c r="I1164">
        <v>0</v>
      </c>
      <c r="J1164" t="s">
        <v>87</v>
      </c>
      <c r="K1164">
        <v>0</v>
      </c>
      <c r="L1164">
        <v>0</v>
      </c>
    </row>
    <row r="1165" spans="1:12">
      <c r="A1165" s="93">
        <v>156295</v>
      </c>
      <c r="B1165" t="s">
        <v>1726</v>
      </c>
      <c r="C1165" t="s">
        <v>5602</v>
      </c>
      <c r="D1165" s="92">
        <v>0.63</v>
      </c>
      <c r="E1165" s="92">
        <v>0.63</v>
      </c>
      <c r="F1165">
        <v>22</v>
      </c>
      <c r="G1165">
        <v>24.5</v>
      </c>
      <c r="H1165" t="s">
        <v>5614</v>
      </c>
      <c r="I1165">
        <v>1</v>
      </c>
      <c r="J1165" t="s">
        <v>87</v>
      </c>
      <c r="K1165">
        <v>0</v>
      </c>
      <c r="L1165">
        <v>0</v>
      </c>
    </row>
    <row r="1166" spans="1:12">
      <c r="A1166" s="93">
        <v>156310</v>
      </c>
      <c r="B1166" t="s">
        <v>1727</v>
      </c>
      <c r="C1166" t="s">
        <v>5606</v>
      </c>
      <c r="D1166" s="92" t="s">
        <v>428</v>
      </c>
      <c r="E1166" s="92" t="s">
        <v>428</v>
      </c>
      <c r="F1166" t="s">
        <v>428</v>
      </c>
      <c r="G1166" t="s">
        <v>428</v>
      </c>
      <c r="H1166" t="s">
        <v>5616</v>
      </c>
      <c r="I1166">
        <v>0</v>
      </c>
      <c r="J1166" t="s">
        <v>87</v>
      </c>
      <c r="K1166">
        <v>0</v>
      </c>
      <c r="L1166">
        <v>0</v>
      </c>
    </row>
    <row r="1167" spans="1:12">
      <c r="A1167" s="93">
        <v>156338</v>
      </c>
      <c r="B1167" t="s">
        <v>1728</v>
      </c>
      <c r="C1167" t="s">
        <v>5606</v>
      </c>
      <c r="D1167" s="92">
        <v>0.31</v>
      </c>
      <c r="E1167" s="92">
        <v>0.17</v>
      </c>
      <c r="F1167" t="s">
        <v>428</v>
      </c>
      <c r="G1167" t="s">
        <v>428</v>
      </c>
      <c r="H1167" t="s">
        <v>5615</v>
      </c>
      <c r="I1167">
        <v>0</v>
      </c>
      <c r="J1167" t="s">
        <v>87</v>
      </c>
      <c r="K1167">
        <v>0</v>
      </c>
      <c r="L1167">
        <v>0</v>
      </c>
    </row>
    <row r="1168" spans="1:12">
      <c r="A1168" s="93">
        <v>156356</v>
      </c>
      <c r="B1168" t="s">
        <v>1729</v>
      </c>
      <c r="C1168" t="s">
        <v>5603</v>
      </c>
      <c r="D1168" s="92">
        <v>0.28</v>
      </c>
      <c r="E1168" s="92">
        <v>0.26</v>
      </c>
      <c r="F1168">
        <v>20</v>
      </c>
      <c r="G1168">
        <v>23</v>
      </c>
      <c r="H1168" t="s">
        <v>5616</v>
      </c>
      <c r="I1168">
        <v>0</v>
      </c>
      <c r="J1168" t="s">
        <v>87</v>
      </c>
      <c r="K1168">
        <v>0</v>
      </c>
      <c r="L1168">
        <v>0</v>
      </c>
    </row>
    <row r="1169" spans="1:12">
      <c r="A1169" s="93">
        <v>156365</v>
      </c>
      <c r="B1169" t="s">
        <v>1730</v>
      </c>
      <c r="C1169" t="s">
        <v>5602</v>
      </c>
      <c r="D1169" s="92">
        <v>0.38</v>
      </c>
      <c r="E1169" s="92">
        <v>0.19</v>
      </c>
      <c r="F1169">
        <v>19</v>
      </c>
      <c r="G1169">
        <v>21.5</v>
      </c>
      <c r="H1169" t="s">
        <v>5616</v>
      </c>
      <c r="I1169">
        <v>0</v>
      </c>
      <c r="J1169" t="s">
        <v>87</v>
      </c>
      <c r="K1169">
        <v>0</v>
      </c>
      <c r="L1169">
        <v>0</v>
      </c>
    </row>
    <row r="1170" spans="1:12">
      <c r="A1170" s="93">
        <v>156392</v>
      </c>
      <c r="B1170" t="s">
        <v>1731</v>
      </c>
      <c r="C1170" t="s">
        <v>5606</v>
      </c>
      <c r="D1170" s="92">
        <v>0.28</v>
      </c>
      <c r="E1170" s="92">
        <v>0.17</v>
      </c>
      <c r="F1170" t="s">
        <v>428</v>
      </c>
      <c r="G1170" t="s">
        <v>428</v>
      </c>
      <c r="H1170" t="s">
        <v>5615</v>
      </c>
      <c r="I1170">
        <v>0</v>
      </c>
      <c r="J1170" t="s">
        <v>87</v>
      </c>
      <c r="K1170">
        <v>0</v>
      </c>
      <c r="L1170">
        <v>0</v>
      </c>
    </row>
    <row r="1171" spans="1:12">
      <c r="A1171" s="93">
        <v>156408</v>
      </c>
      <c r="B1171" t="s">
        <v>1732</v>
      </c>
      <c r="C1171" t="s">
        <v>5605</v>
      </c>
      <c r="D1171" s="92">
        <v>0.85</v>
      </c>
      <c r="E1171" s="92">
        <v>0.74</v>
      </c>
      <c r="F1171">
        <v>26</v>
      </c>
      <c r="G1171">
        <v>28.5</v>
      </c>
      <c r="H1171" t="s">
        <v>5617</v>
      </c>
      <c r="I1171">
        <v>0</v>
      </c>
      <c r="J1171" t="s">
        <v>87</v>
      </c>
      <c r="K1171">
        <v>0</v>
      </c>
      <c r="L1171">
        <v>0</v>
      </c>
    </row>
    <row r="1172" spans="1:12">
      <c r="A1172" s="93">
        <v>156417</v>
      </c>
      <c r="B1172" t="s">
        <v>1733</v>
      </c>
      <c r="C1172" t="s">
        <v>5604</v>
      </c>
      <c r="D1172" s="92">
        <v>0.5</v>
      </c>
      <c r="E1172" s="92" t="s">
        <v>428</v>
      </c>
      <c r="F1172" t="s">
        <v>428</v>
      </c>
      <c r="G1172" t="s">
        <v>428</v>
      </c>
      <c r="H1172" t="s">
        <v>5624</v>
      </c>
      <c r="I1172">
        <v>1</v>
      </c>
      <c r="J1172" t="s">
        <v>87</v>
      </c>
      <c r="K1172">
        <v>0</v>
      </c>
      <c r="L1172">
        <v>0</v>
      </c>
    </row>
    <row r="1173" spans="1:12">
      <c r="A1173" s="93">
        <v>156426</v>
      </c>
      <c r="B1173" t="s">
        <v>1734</v>
      </c>
      <c r="C1173" t="s">
        <v>5606</v>
      </c>
      <c r="D1173" s="92" t="s">
        <v>428</v>
      </c>
      <c r="E1173" s="92" t="s">
        <v>428</v>
      </c>
      <c r="F1173" t="s">
        <v>428</v>
      </c>
      <c r="G1173" t="s">
        <v>428</v>
      </c>
      <c r="H1173" t="s">
        <v>5613</v>
      </c>
      <c r="I1173">
        <v>1</v>
      </c>
      <c r="J1173" t="s">
        <v>87</v>
      </c>
      <c r="K1173">
        <v>0</v>
      </c>
      <c r="L1173">
        <v>0</v>
      </c>
    </row>
    <row r="1174" spans="1:12">
      <c r="A1174" s="93">
        <v>156471</v>
      </c>
      <c r="B1174" t="s">
        <v>1735</v>
      </c>
      <c r="C1174" t="s">
        <v>5604</v>
      </c>
      <c r="D1174" s="92">
        <v>0.63</v>
      </c>
      <c r="E1174" s="92">
        <v>0.42</v>
      </c>
      <c r="F1174" t="s">
        <v>428</v>
      </c>
      <c r="G1174" t="s">
        <v>428</v>
      </c>
      <c r="H1174" t="s">
        <v>5617</v>
      </c>
      <c r="I1174">
        <v>0</v>
      </c>
      <c r="J1174" t="s">
        <v>87</v>
      </c>
      <c r="K1174">
        <v>0</v>
      </c>
      <c r="L1174">
        <v>0</v>
      </c>
    </row>
    <row r="1175" spans="1:12">
      <c r="A1175" s="93">
        <v>156541</v>
      </c>
      <c r="B1175" t="s">
        <v>1736</v>
      </c>
      <c r="C1175" t="s">
        <v>5602</v>
      </c>
      <c r="D1175" s="92">
        <v>0.38</v>
      </c>
      <c r="E1175" s="92">
        <v>0.25</v>
      </c>
      <c r="F1175">
        <v>19</v>
      </c>
      <c r="G1175">
        <v>22</v>
      </c>
      <c r="H1175" t="s">
        <v>5617</v>
      </c>
      <c r="I1175">
        <v>0</v>
      </c>
      <c r="J1175" t="s">
        <v>87</v>
      </c>
      <c r="K1175">
        <v>0</v>
      </c>
      <c r="L1175">
        <v>0</v>
      </c>
    </row>
    <row r="1176" spans="1:12">
      <c r="A1176" s="93">
        <v>156620</v>
      </c>
      <c r="B1176" t="s">
        <v>1737</v>
      </c>
      <c r="C1176" t="s">
        <v>5602</v>
      </c>
      <c r="D1176" s="92">
        <v>0.45</v>
      </c>
      <c r="E1176" s="92">
        <v>0.35</v>
      </c>
      <c r="F1176">
        <v>20</v>
      </c>
      <c r="G1176">
        <v>22.5</v>
      </c>
      <c r="H1176" t="s">
        <v>5615</v>
      </c>
      <c r="I1176">
        <v>0</v>
      </c>
      <c r="J1176" t="s">
        <v>87</v>
      </c>
      <c r="K1176">
        <v>0</v>
      </c>
      <c r="L1176">
        <v>0</v>
      </c>
    </row>
    <row r="1177" spans="1:12">
      <c r="A1177" s="93">
        <v>156648</v>
      </c>
      <c r="B1177" t="s">
        <v>1738</v>
      </c>
      <c r="C1177" t="s">
        <v>5606</v>
      </c>
      <c r="D1177" s="92">
        <v>0.32</v>
      </c>
      <c r="E1177" s="92">
        <v>0.23</v>
      </c>
      <c r="F1177" t="s">
        <v>428</v>
      </c>
      <c r="G1177" t="s">
        <v>428</v>
      </c>
      <c r="H1177" t="s">
        <v>5615</v>
      </c>
      <c r="I1177">
        <v>0</v>
      </c>
      <c r="J1177" t="s">
        <v>87</v>
      </c>
      <c r="K1177">
        <v>0</v>
      </c>
      <c r="L1177">
        <v>0</v>
      </c>
    </row>
    <row r="1178" spans="1:12">
      <c r="A1178" s="93">
        <v>156727</v>
      </c>
      <c r="B1178" t="s">
        <v>1739</v>
      </c>
      <c r="C1178" t="s">
        <v>5607</v>
      </c>
      <c r="D1178" s="92" t="s">
        <v>428</v>
      </c>
      <c r="E1178" s="92" t="s">
        <v>428</v>
      </c>
      <c r="F1178" t="s">
        <v>428</v>
      </c>
      <c r="G1178" t="s">
        <v>428</v>
      </c>
      <c r="H1178" t="s">
        <v>5615</v>
      </c>
      <c r="I1178">
        <v>0</v>
      </c>
      <c r="J1178" t="s">
        <v>87</v>
      </c>
      <c r="K1178">
        <v>0</v>
      </c>
      <c r="L1178">
        <v>0</v>
      </c>
    </row>
    <row r="1179" spans="1:12">
      <c r="A1179" s="93">
        <v>156745</v>
      </c>
      <c r="B1179" t="s">
        <v>1740</v>
      </c>
      <c r="C1179" t="s">
        <v>5602</v>
      </c>
      <c r="D1179" s="92">
        <v>0.5600000000000001</v>
      </c>
      <c r="E1179" s="92">
        <v>0.45</v>
      </c>
      <c r="F1179">
        <v>20</v>
      </c>
      <c r="G1179">
        <v>23</v>
      </c>
      <c r="H1179" t="s">
        <v>5617</v>
      </c>
      <c r="I1179">
        <v>0</v>
      </c>
      <c r="J1179" t="s">
        <v>87</v>
      </c>
      <c r="K1179">
        <v>0</v>
      </c>
      <c r="L1179">
        <v>0</v>
      </c>
    </row>
    <row r="1180" spans="1:12">
      <c r="A1180" s="93">
        <v>156754</v>
      </c>
      <c r="B1180" t="s">
        <v>1741</v>
      </c>
      <c r="C1180" t="s">
        <v>5606</v>
      </c>
      <c r="D1180" s="92" t="s">
        <v>428</v>
      </c>
      <c r="E1180" s="92" t="s">
        <v>428</v>
      </c>
      <c r="F1180" t="s">
        <v>428</v>
      </c>
      <c r="G1180" t="s">
        <v>428</v>
      </c>
      <c r="H1180" t="s">
        <v>5616</v>
      </c>
      <c r="I1180">
        <v>0</v>
      </c>
      <c r="J1180" t="s">
        <v>87</v>
      </c>
      <c r="K1180">
        <v>0</v>
      </c>
      <c r="L1180">
        <v>0</v>
      </c>
    </row>
    <row r="1181" spans="1:12">
      <c r="A1181" s="93">
        <v>156790</v>
      </c>
      <c r="B1181" t="s">
        <v>1742</v>
      </c>
      <c r="C1181" t="s">
        <v>5606</v>
      </c>
      <c r="D1181" s="92">
        <v>0.32</v>
      </c>
      <c r="E1181" s="92">
        <v>0.27</v>
      </c>
      <c r="F1181" t="s">
        <v>428</v>
      </c>
      <c r="G1181" t="s">
        <v>428</v>
      </c>
      <c r="H1181" t="s">
        <v>5615</v>
      </c>
      <c r="I1181">
        <v>0</v>
      </c>
      <c r="J1181" t="s">
        <v>87</v>
      </c>
      <c r="K1181">
        <v>0</v>
      </c>
      <c r="L1181">
        <v>0</v>
      </c>
    </row>
    <row r="1182" spans="1:12">
      <c r="A1182" s="93">
        <v>156842</v>
      </c>
      <c r="B1182" t="s">
        <v>1743</v>
      </c>
      <c r="C1182" t="s">
        <v>5606</v>
      </c>
      <c r="D1182" s="92" t="s">
        <v>428</v>
      </c>
      <c r="E1182" s="92" t="s">
        <v>428</v>
      </c>
      <c r="F1182" t="s">
        <v>428</v>
      </c>
      <c r="G1182" t="s">
        <v>428</v>
      </c>
      <c r="H1182" t="s">
        <v>5613</v>
      </c>
      <c r="I1182">
        <v>1</v>
      </c>
      <c r="J1182" t="s">
        <v>87</v>
      </c>
      <c r="K1182">
        <v>0</v>
      </c>
      <c r="L1182">
        <v>0</v>
      </c>
    </row>
    <row r="1183" spans="1:12">
      <c r="A1183" s="93">
        <v>156851</v>
      </c>
      <c r="B1183" t="s">
        <v>1744</v>
      </c>
      <c r="C1183" t="s">
        <v>5606</v>
      </c>
      <c r="D1183" s="92">
        <v>0.3</v>
      </c>
      <c r="E1183" s="92">
        <v>0.2</v>
      </c>
      <c r="F1183" t="s">
        <v>428</v>
      </c>
      <c r="G1183" t="s">
        <v>428</v>
      </c>
      <c r="H1183" t="s">
        <v>5615</v>
      </c>
      <c r="I1183">
        <v>0</v>
      </c>
      <c r="J1183" t="s">
        <v>87</v>
      </c>
      <c r="K1183">
        <v>0</v>
      </c>
      <c r="L1183">
        <v>0</v>
      </c>
    </row>
    <row r="1184" spans="1:12">
      <c r="A1184" s="93">
        <v>156860</v>
      </c>
      <c r="B1184" t="s">
        <v>1745</v>
      </c>
      <c r="C1184" t="s">
        <v>5606</v>
      </c>
      <c r="D1184" s="92">
        <v>0.32</v>
      </c>
      <c r="E1184" s="92">
        <v>0.23</v>
      </c>
      <c r="F1184" t="s">
        <v>428</v>
      </c>
      <c r="G1184" t="s">
        <v>428</v>
      </c>
      <c r="H1184" t="s">
        <v>5615</v>
      </c>
      <c r="I1184">
        <v>0</v>
      </c>
      <c r="J1184" t="s">
        <v>87</v>
      </c>
      <c r="K1184">
        <v>0</v>
      </c>
      <c r="L1184">
        <v>0</v>
      </c>
    </row>
    <row r="1185" spans="1:12">
      <c r="A1185" s="93">
        <v>156921</v>
      </c>
      <c r="B1185" t="s">
        <v>1746</v>
      </c>
      <c r="C1185" t="s">
        <v>5606</v>
      </c>
      <c r="D1185" s="92">
        <v>0.22</v>
      </c>
      <c r="E1185" s="92">
        <v>0.17</v>
      </c>
      <c r="F1185" t="s">
        <v>428</v>
      </c>
      <c r="G1185" t="s">
        <v>428</v>
      </c>
      <c r="H1185" t="s">
        <v>5615</v>
      </c>
      <c r="I1185">
        <v>0</v>
      </c>
      <c r="J1185" t="s">
        <v>87</v>
      </c>
      <c r="K1185">
        <v>0</v>
      </c>
      <c r="L1185">
        <v>0</v>
      </c>
    </row>
    <row r="1186" spans="1:12">
      <c r="A1186" s="93">
        <v>156967</v>
      </c>
      <c r="B1186" t="s">
        <v>1747</v>
      </c>
      <c r="C1186" t="s">
        <v>5606</v>
      </c>
      <c r="D1186" s="92" t="s">
        <v>428</v>
      </c>
      <c r="E1186" s="92" t="s">
        <v>428</v>
      </c>
      <c r="F1186" t="s">
        <v>428</v>
      </c>
      <c r="G1186" t="s">
        <v>428</v>
      </c>
      <c r="H1186" t="s">
        <v>5613</v>
      </c>
      <c r="I1186">
        <v>1</v>
      </c>
      <c r="J1186" t="s">
        <v>87</v>
      </c>
      <c r="K1186">
        <v>0</v>
      </c>
      <c r="L1186">
        <v>0</v>
      </c>
    </row>
    <row r="1187" spans="1:12">
      <c r="A1187" s="93">
        <v>157021</v>
      </c>
      <c r="B1187" t="s">
        <v>1748</v>
      </c>
      <c r="C1187" t="s">
        <v>5604</v>
      </c>
      <c r="D1187" s="92" t="s">
        <v>428</v>
      </c>
      <c r="E1187" s="92" t="s">
        <v>428</v>
      </c>
      <c r="F1187" t="s">
        <v>428</v>
      </c>
      <c r="G1187" t="s">
        <v>428</v>
      </c>
      <c r="H1187" t="s">
        <v>5617</v>
      </c>
      <c r="I1187">
        <v>0</v>
      </c>
      <c r="J1187" t="s">
        <v>87</v>
      </c>
      <c r="K1187">
        <v>0</v>
      </c>
      <c r="L1187">
        <v>0</v>
      </c>
    </row>
    <row r="1188" spans="1:12">
      <c r="A1188" s="93">
        <v>157030</v>
      </c>
      <c r="B1188" t="s">
        <v>1749</v>
      </c>
      <c r="C1188" t="s">
        <v>5602</v>
      </c>
      <c r="D1188" s="92">
        <v>0.32</v>
      </c>
      <c r="E1188" s="92">
        <v>0</v>
      </c>
      <c r="F1188">
        <v>19</v>
      </c>
      <c r="G1188">
        <v>21.5</v>
      </c>
      <c r="H1188" t="s">
        <v>5613</v>
      </c>
      <c r="I1188">
        <v>1</v>
      </c>
      <c r="J1188" t="s">
        <v>87</v>
      </c>
      <c r="K1188">
        <v>0</v>
      </c>
      <c r="L1188">
        <v>0</v>
      </c>
    </row>
    <row r="1189" spans="1:12">
      <c r="A1189" s="93">
        <v>157058</v>
      </c>
      <c r="B1189" t="s">
        <v>1750</v>
      </c>
      <c r="C1189" t="s">
        <v>5608</v>
      </c>
      <c r="D1189" s="92">
        <v>0.21</v>
      </c>
      <c r="E1189" s="92">
        <v>0.35</v>
      </c>
      <c r="F1189">
        <v>17</v>
      </c>
      <c r="G1189">
        <v>19</v>
      </c>
      <c r="H1189" t="s">
        <v>5617</v>
      </c>
      <c r="I1189">
        <v>0</v>
      </c>
      <c r="J1189" t="s">
        <v>138</v>
      </c>
      <c r="K1189">
        <v>0</v>
      </c>
      <c r="L1189">
        <v>0</v>
      </c>
    </row>
    <row r="1190" spans="1:12">
      <c r="A1190" s="93">
        <v>157076</v>
      </c>
      <c r="B1190" t="s">
        <v>1751</v>
      </c>
      <c r="C1190" t="s">
        <v>5602</v>
      </c>
      <c r="D1190" s="92">
        <v>0.4</v>
      </c>
      <c r="E1190" s="92">
        <v>0.22</v>
      </c>
      <c r="F1190">
        <v>18</v>
      </c>
      <c r="G1190">
        <v>21</v>
      </c>
      <c r="H1190" t="s">
        <v>5616</v>
      </c>
      <c r="I1190">
        <v>0</v>
      </c>
      <c r="J1190" t="s">
        <v>87</v>
      </c>
      <c r="K1190">
        <v>0</v>
      </c>
      <c r="L1190">
        <v>0</v>
      </c>
    </row>
    <row r="1191" spans="1:12">
      <c r="A1191" s="93">
        <v>157085</v>
      </c>
      <c r="B1191" t="s">
        <v>1752</v>
      </c>
      <c r="C1191" t="s">
        <v>5602</v>
      </c>
      <c r="D1191" s="92">
        <v>0.64</v>
      </c>
      <c r="E1191" s="92">
        <v>0.53</v>
      </c>
      <c r="F1191">
        <v>22</v>
      </c>
      <c r="G1191">
        <v>25.5</v>
      </c>
      <c r="H1191" t="s">
        <v>5617</v>
      </c>
      <c r="I1191">
        <v>0</v>
      </c>
      <c r="J1191" t="s">
        <v>87</v>
      </c>
      <c r="K1191">
        <v>0</v>
      </c>
      <c r="L1191">
        <v>0</v>
      </c>
    </row>
    <row r="1192" spans="1:12">
      <c r="A1192" s="93">
        <v>157100</v>
      </c>
      <c r="B1192" t="s">
        <v>1753</v>
      </c>
      <c r="C1192" t="s">
        <v>5608</v>
      </c>
      <c r="D1192" s="92">
        <v>0.36</v>
      </c>
      <c r="E1192" s="92">
        <v>0.24</v>
      </c>
      <c r="F1192">
        <v>18</v>
      </c>
      <c r="G1192">
        <v>20.5</v>
      </c>
      <c r="H1192" t="s">
        <v>5617</v>
      </c>
      <c r="I1192">
        <v>0</v>
      </c>
      <c r="J1192" t="s">
        <v>87</v>
      </c>
      <c r="K1192">
        <v>0</v>
      </c>
      <c r="L1192">
        <v>0</v>
      </c>
    </row>
    <row r="1193" spans="1:12">
      <c r="A1193" s="93">
        <v>157207</v>
      </c>
      <c r="B1193" t="s">
        <v>1754</v>
      </c>
      <c r="C1193" t="s">
        <v>5607</v>
      </c>
      <c r="D1193" s="92" t="s">
        <v>428</v>
      </c>
      <c r="E1193" s="92" t="s">
        <v>428</v>
      </c>
      <c r="F1193" t="s">
        <v>428</v>
      </c>
      <c r="G1193" t="s">
        <v>428</v>
      </c>
      <c r="H1193" t="s">
        <v>5615</v>
      </c>
      <c r="I1193">
        <v>0</v>
      </c>
      <c r="J1193" t="s">
        <v>87</v>
      </c>
      <c r="K1193">
        <v>0</v>
      </c>
      <c r="L1193">
        <v>0</v>
      </c>
    </row>
    <row r="1194" spans="1:12">
      <c r="A1194" s="93">
        <v>157216</v>
      </c>
      <c r="B1194" t="s">
        <v>1755</v>
      </c>
      <c r="C1194" t="s">
        <v>5602</v>
      </c>
      <c r="D1194" s="92">
        <v>0.31</v>
      </c>
      <c r="E1194" s="92">
        <v>0.11</v>
      </c>
      <c r="F1194" t="s">
        <v>428</v>
      </c>
      <c r="G1194" t="s">
        <v>428</v>
      </c>
      <c r="H1194" t="s">
        <v>5617</v>
      </c>
      <c r="I1194">
        <v>0</v>
      </c>
      <c r="J1194" t="s">
        <v>87</v>
      </c>
      <c r="K1194">
        <v>0</v>
      </c>
      <c r="L1194">
        <v>0</v>
      </c>
    </row>
    <row r="1195" spans="1:12">
      <c r="A1195" s="93">
        <v>157270</v>
      </c>
      <c r="B1195" t="s">
        <v>1756</v>
      </c>
      <c r="C1195" t="s">
        <v>5607</v>
      </c>
      <c r="D1195" s="92">
        <v>0.67</v>
      </c>
      <c r="E1195" s="92">
        <v>0</v>
      </c>
      <c r="F1195" t="s">
        <v>428</v>
      </c>
      <c r="G1195" t="s">
        <v>428</v>
      </c>
      <c r="H1195" t="s">
        <v>5617</v>
      </c>
      <c r="I1195">
        <v>0</v>
      </c>
      <c r="J1195" t="s">
        <v>87</v>
      </c>
      <c r="K1195">
        <v>0</v>
      </c>
      <c r="L1195">
        <v>0</v>
      </c>
    </row>
    <row r="1196" spans="1:12">
      <c r="A1196" s="93">
        <v>157289</v>
      </c>
      <c r="B1196" t="s">
        <v>593</v>
      </c>
      <c r="C1196" t="s">
        <v>5602</v>
      </c>
      <c r="D1196" s="92">
        <v>0.53</v>
      </c>
      <c r="E1196" s="92">
        <v>0.51</v>
      </c>
      <c r="F1196">
        <v>22</v>
      </c>
      <c r="G1196">
        <v>25.5</v>
      </c>
      <c r="H1196" t="s">
        <v>5617</v>
      </c>
      <c r="I1196">
        <v>0</v>
      </c>
      <c r="J1196" t="s">
        <v>87</v>
      </c>
      <c r="K1196">
        <v>0</v>
      </c>
      <c r="L1196">
        <v>0</v>
      </c>
    </row>
    <row r="1197" spans="1:12">
      <c r="A1197" s="93">
        <v>157298</v>
      </c>
      <c r="B1197" t="s">
        <v>1757</v>
      </c>
      <c r="C1197" t="s">
        <v>5607</v>
      </c>
      <c r="D1197" s="92" t="s">
        <v>428</v>
      </c>
      <c r="E1197" s="92" t="s">
        <v>428</v>
      </c>
      <c r="F1197" t="s">
        <v>428</v>
      </c>
      <c r="G1197" t="s">
        <v>428</v>
      </c>
      <c r="H1197" t="s">
        <v>5615</v>
      </c>
      <c r="I1197">
        <v>0</v>
      </c>
      <c r="J1197" t="s">
        <v>87</v>
      </c>
      <c r="K1197">
        <v>0</v>
      </c>
      <c r="L1197">
        <v>0</v>
      </c>
    </row>
    <row r="1198" spans="1:12">
      <c r="A1198" s="93">
        <v>157304</v>
      </c>
      <c r="B1198" t="s">
        <v>1758</v>
      </c>
      <c r="C1198" t="s">
        <v>5606</v>
      </c>
      <c r="D1198" s="92">
        <v>0.43</v>
      </c>
      <c r="E1198" s="92">
        <v>0.38</v>
      </c>
      <c r="F1198" t="s">
        <v>428</v>
      </c>
      <c r="G1198" t="s">
        <v>428</v>
      </c>
      <c r="H1198" t="s">
        <v>5615</v>
      </c>
      <c r="I1198">
        <v>0</v>
      </c>
      <c r="J1198" t="s">
        <v>87</v>
      </c>
      <c r="K1198">
        <v>0</v>
      </c>
      <c r="L1198">
        <v>0</v>
      </c>
    </row>
    <row r="1199" spans="1:12">
      <c r="A1199" s="93">
        <v>157331</v>
      </c>
      <c r="B1199" t="s">
        <v>1759</v>
      </c>
      <c r="C1199" t="s">
        <v>5606</v>
      </c>
      <c r="D1199" s="92">
        <v>0.36</v>
      </c>
      <c r="E1199" s="92">
        <v>0.3</v>
      </c>
      <c r="F1199" t="s">
        <v>428</v>
      </c>
      <c r="G1199" t="s">
        <v>428</v>
      </c>
      <c r="H1199" t="s">
        <v>5615</v>
      </c>
      <c r="I1199">
        <v>0</v>
      </c>
      <c r="J1199" t="s">
        <v>87</v>
      </c>
      <c r="K1199">
        <v>0</v>
      </c>
      <c r="L1199">
        <v>0</v>
      </c>
    </row>
    <row r="1200" spans="1:12">
      <c r="A1200" s="93">
        <v>157377</v>
      </c>
      <c r="B1200" t="s">
        <v>1760</v>
      </c>
      <c r="C1200" t="s">
        <v>5608</v>
      </c>
      <c r="D1200" s="92">
        <v>0.47</v>
      </c>
      <c r="E1200" s="92">
        <v>0.35</v>
      </c>
      <c r="F1200">
        <v>18</v>
      </c>
      <c r="G1200">
        <v>20.5</v>
      </c>
      <c r="H1200" t="s">
        <v>5617</v>
      </c>
      <c r="I1200">
        <v>0</v>
      </c>
      <c r="J1200" t="s">
        <v>87</v>
      </c>
      <c r="K1200">
        <v>0</v>
      </c>
      <c r="L1200">
        <v>0</v>
      </c>
    </row>
    <row r="1201" spans="1:12">
      <c r="A1201" s="93">
        <v>157386</v>
      </c>
      <c r="B1201" t="s">
        <v>1761</v>
      </c>
      <c r="C1201" t="s">
        <v>5602</v>
      </c>
      <c r="D1201" s="92">
        <v>0.44</v>
      </c>
      <c r="E1201" s="92">
        <v>0.31</v>
      </c>
      <c r="F1201">
        <v>20</v>
      </c>
      <c r="G1201">
        <v>23</v>
      </c>
      <c r="H1201" t="s">
        <v>5615</v>
      </c>
      <c r="I1201">
        <v>0</v>
      </c>
      <c r="J1201" t="s">
        <v>87</v>
      </c>
      <c r="K1201">
        <v>0</v>
      </c>
      <c r="L1201">
        <v>0</v>
      </c>
    </row>
    <row r="1202" spans="1:12">
      <c r="A1202" s="93">
        <v>157401</v>
      </c>
      <c r="B1202" t="s">
        <v>1762</v>
      </c>
      <c r="C1202" t="s">
        <v>5602</v>
      </c>
      <c r="D1202" s="92">
        <v>0.49</v>
      </c>
      <c r="E1202" s="92">
        <v>0.36</v>
      </c>
      <c r="F1202">
        <v>21</v>
      </c>
      <c r="G1202">
        <v>24</v>
      </c>
      <c r="H1202" t="s">
        <v>5615</v>
      </c>
      <c r="I1202">
        <v>0</v>
      </c>
      <c r="J1202" t="s">
        <v>87</v>
      </c>
      <c r="K1202">
        <v>0</v>
      </c>
      <c r="L1202">
        <v>0</v>
      </c>
    </row>
    <row r="1203" spans="1:12">
      <c r="A1203" s="93">
        <v>157438</v>
      </c>
      <c r="B1203" t="s">
        <v>1763</v>
      </c>
      <c r="C1203" t="s">
        <v>5606</v>
      </c>
      <c r="D1203" s="92">
        <v>0.37</v>
      </c>
      <c r="E1203" s="92">
        <v>0.32</v>
      </c>
      <c r="F1203" t="s">
        <v>428</v>
      </c>
      <c r="G1203" t="s">
        <v>428</v>
      </c>
      <c r="H1203" t="s">
        <v>5615</v>
      </c>
      <c r="I1203">
        <v>0</v>
      </c>
      <c r="J1203" t="s">
        <v>87</v>
      </c>
      <c r="K1203">
        <v>0</v>
      </c>
      <c r="L1203">
        <v>0</v>
      </c>
    </row>
    <row r="1204" spans="1:12">
      <c r="A1204" s="93">
        <v>157447</v>
      </c>
      <c r="B1204" t="s">
        <v>1764</v>
      </c>
      <c r="C1204" t="s">
        <v>5602</v>
      </c>
      <c r="D1204" s="92">
        <v>0.38</v>
      </c>
      <c r="E1204" s="92">
        <v>0.23</v>
      </c>
      <c r="F1204">
        <v>20</v>
      </c>
      <c r="G1204">
        <v>23</v>
      </c>
      <c r="H1204" t="s">
        <v>5615</v>
      </c>
      <c r="I1204">
        <v>0</v>
      </c>
      <c r="J1204" t="s">
        <v>87</v>
      </c>
      <c r="K1204">
        <v>0</v>
      </c>
      <c r="L1204">
        <v>0</v>
      </c>
    </row>
    <row r="1205" spans="1:12">
      <c r="A1205" s="93">
        <v>157465</v>
      </c>
      <c r="B1205" t="s">
        <v>1765</v>
      </c>
      <c r="C1205" t="s">
        <v>5604</v>
      </c>
      <c r="D1205" s="92" t="s">
        <v>428</v>
      </c>
      <c r="E1205" s="92" t="s">
        <v>428</v>
      </c>
      <c r="F1205" t="s">
        <v>428</v>
      </c>
      <c r="G1205" t="s">
        <v>428</v>
      </c>
      <c r="H1205" t="s">
        <v>5617</v>
      </c>
      <c r="I1205">
        <v>0</v>
      </c>
      <c r="J1205" t="s">
        <v>87</v>
      </c>
      <c r="K1205">
        <v>0</v>
      </c>
      <c r="L1205">
        <v>0</v>
      </c>
    </row>
    <row r="1206" spans="1:12">
      <c r="A1206" s="93">
        <v>157483</v>
      </c>
      <c r="B1206" t="s">
        <v>1766</v>
      </c>
      <c r="C1206" t="s">
        <v>5606</v>
      </c>
      <c r="D1206" s="92">
        <v>0.46</v>
      </c>
      <c r="E1206" s="92">
        <v>0.33</v>
      </c>
      <c r="F1206" t="s">
        <v>428</v>
      </c>
      <c r="G1206" t="s">
        <v>428</v>
      </c>
      <c r="H1206" t="s">
        <v>5615</v>
      </c>
      <c r="I1206">
        <v>0</v>
      </c>
      <c r="J1206" t="s">
        <v>87</v>
      </c>
      <c r="K1206">
        <v>0</v>
      </c>
      <c r="L1206">
        <v>0</v>
      </c>
    </row>
    <row r="1207" spans="1:12">
      <c r="A1207" s="93">
        <v>157535</v>
      </c>
      <c r="B1207" t="s">
        <v>1767</v>
      </c>
      <c r="C1207" t="s">
        <v>5604</v>
      </c>
      <c r="D1207" s="92">
        <v>0.31</v>
      </c>
      <c r="E1207" s="92">
        <v>0.13</v>
      </c>
      <c r="F1207">
        <v>17</v>
      </c>
      <c r="G1207">
        <v>19.5</v>
      </c>
      <c r="H1207" t="s">
        <v>5616</v>
      </c>
      <c r="I1207">
        <v>0</v>
      </c>
      <c r="J1207" t="s">
        <v>87</v>
      </c>
      <c r="K1207">
        <v>0</v>
      </c>
      <c r="L1207">
        <v>0</v>
      </c>
    </row>
    <row r="1208" spans="1:12">
      <c r="A1208" s="93">
        <v>157553</v>
      </c>
      <c r="B1208" t="s">
        <v>1768</v>
      </c>
      <c r="C1208" t="s">
        <v>5606</v>
      </c>
      <c r="D1208" s="92">
        <v>0.26</v>
      </c>
      <c r="E1208" s="92">
        <v>0.25</v>
      </c>
      <c r="F1208" t="s">
        <v>428</v>
      </c>
      <c r="G1208" t="s">
        <v>428</v>
      </c>
      <c r="H1208" t="s">
        <v>5615</v>
      </c>
      <c r="I1208">
        <v>0</v>
      </c>
      <c r="J1208" t="s">
        <v>87</v>
      </c>
      <c r="K1208">
        <v>0</v>
      </c>
      <c r="L1208">
        <v>0</v>
      </c>
    </row>
    <row r="1209" spans="1:12">
      <c r="A1209" s="93">
        <v>157599</v>
      </c>
      <c r="B1209" t="s">
        <v>1769</v>
      </c>
      <c r="C1209" t="s">
        <v>5607</v>
      </c>
      <c r="D1209" s="92" t="s">
        <v>428</v>
      </c>
      <c r="E1209" s="92" t="s">
        <v>428</v>
      </c>
      <c r="F1209" t="s">
        <v>428</v>
      </c>
      <c r="G1209" t="s">
        <v>428</v>
      </c>
      <c r="H1209" t="s">
        <v>5617</v>
      </c>
      <c r="I1209">
        <v>0</v>
      </c>
      <c r="J1209" t="s">
        <v>87</v>
      </c>
      <c r="K1209">
        <v>0</v>
      </c>
      <c r="L1209">
        <v>0</v>
      </c>
    </row>
    <row r="1210" spans="1:12">
      <c r="A1210" s="93">
        <v>157614</v>
      </c>
      <c r="B1210" t="s">
        <v>1770</v>
      </c>
      <c r="C1210" t="s">
        <v>5606</v>
      </c>
      <c r="D1210" s="92" t="s">
        <v>428</v>
      </c>
      <c r="E1210" s="92" t="s">
        <v>428</v>
      </c>
      <c r="F1210" t="s">
        <v>428</v>
      </c>
      <c r="G1210" t="s">
        <v>428</v>
      </c>
      <c r="H1210" t="s">
        <v>5616</v>
      </c>
      <c r="I1210">
        <v>0</v>
      </c>
      <c r="J1210" t="s">
        <v>87</v>
      </c>
      <c r="K1210">
        <v>0</v>
      </c>
      <c r="L1210">
        <v>0</v>
      </c>
    </row>
    <row r="1211" spans="1:12">
      <c r="A1211" s="93">
        <v>157650</v>
      </c>
      <c r="B1211" t="s">
        <v>1771</v>
      </c>
      <c r="C1211" t="s">
        <v>5606</v>
      </c>
      <c r="D1211" s="92" t="s">
        <v>428</v>
      </c>
      <c r="E1211" s="92" t="s">
        <v>428</v>
      </c>
      <c r="F1211" t="s">
        <v>428</v>
      </c>
      <c r="G1211" t="s">
        <v>428</v>
      </c>
      <c r="H1211" t="s">
        <v>5616</v>
      </c>
      <c r="I1211">
        <v>0</v>
      </c>
      <c r="J1211" t="s">
        <v>87</v>
      </c>
      <c r="K1211">
        <v>0</v>
      </c>
      <c r="L1211">
        <v>0</v>
      </c>
    </row>
    <row r="1212" spans="1:12">
      <c r="A1212" s="93">
        <v>157669</v>
      </c>
      <c r="B1212" t="s">
        <v>1772</v>
      </c>
      <c r="C1212" t="s">
        <v>5606</v>
      </c>
      <c r="D1212" s="92" t="s">
        <v>428</v>
      </c>
      <c r="E1212" s="92" t="s">
        <v>428</v>
      </c>
      <c r="F1212" t="s">
        <v>428</v>
      </c>
      <c r="G1212" t="s">
        <v>428</v>
      </c>
      <c r="H1212" t="s">
        <v>5616</v>
      </c>
      <c r="I1212">
        <v>0</v>
      </c>
      <c r="J1212" t="s">
        <v>87</v>
      </c>
      <c r="K1212">
        <v>0</v>
      </c>
      <c r="L1212">
        <v>0</v>
      </c>
    </row>
    <row r="1213" spans="1:12">
      <c r="A1213" s="93">
        <v>157678</v>
      </c>
      <c r="B1213" t="s">
        <v>1773</v>
      </c>
      <c r="C1213" t="s">
        <v>5606</v>
      </c>
      <c r="D1213" s="92" t="s">
        <v>428</v>
      </c>
      <c r="E1213" s="92" t="s">
        <v>428</v>
      </c>
      <c r="F1213" t="s">
        <v>428</v>
      </c>
      <c r="G1213" t="s">
        <v>428</v>
      </c>
      <c r="H1213" t="s">
        <v>5613</v>
      </c>
      <c r="I1213">
        <v>1</v>
      </c>
      <c r="J1213" t="s">
        <v>87</v>
      </c>
      <c r="K1213">
        <v>0</v>
      </c>
      <c r="L1213">
        <v>0</v>
      </c>
    </row>
    <row r="1214" spans="1:12">
      <c r="A1214" s="93">
        <v>157711</v>
      </c>
      <c r="B1214" t="s">
        <v>1774</v>
      </c>
      <c r="C1214" t="s">
        <v>5606</v>
      </c>
      <c r="D1214" s="92">
        <v>0.29</v>
      </c>
      <c r="E1214" s="92">
        <v>0.07000000000000001</v>
      </c>
      <c r="F1214" t="s">
        <v>428</v>
      </c>
      <c r="G1214" t="s">
        <v>428</v>
      </c>
      <c r="H1214" t="s">
        <v>5615</v>
      </c>
      <c r="I1214">
        <v>0</v>
      </c>
      <c r="J1214" t="s">
        <v>87</v>
      </c>
      <c r="K1214">
        <v>0</v>
      </c>
      <c r="L1214">
        <v>0</v>
      </c>
    </row>
    <row r="1215" spans="1:12">
      <c r="A1215" s="93">
        <v>157739</v>
      </c>
      <c r="B1215" t="s">
        <v>1775</v>
      </c>
      <c r="C1215" t="s">
        <v>5606</v>
      </c>
      <c r="D1215" s="92">
        <v>0.34</v>
      </c>
      <c r="E1215" s="92">
        <v>0.26</v>
      </c>
      <c r="F1215" t="s">
        <v>428</v>
      </c>
      <c r="G1215" t="s">
        <v>428</v>
      </c>
      <c r="H1215" t="s">
        <v>5615</v>
      </c>
      <c r="I1215">
        <v>0</v>
      </c>
      <c r="J1215" t="s">
        <v>87</v>
      </c>
      <c r="K1215">
        <v>0</v>
      </c>
      <c r="L1215">
        <v>0</v>
      </c>
    </row>
    <row r="1216" spans="1:12">
      <c r="A1216" s="93">
        <v>157748</v>
      </c>
      <c r="B1216" t="s">
        <v>1776</v>
      </c>
      <c r="C1216" t="s">
        <v>5604</v>
      </c>
      <c r="D1216" s="92">
        <v>0.38</v>
      </c>
      <c r="E1216" s="92">
        <v>0.29</v>
      </c>
      <c r="F1216">
        <v>18</v>
      </c>
      <c r="G1216">
        <v>22</v>
      </c>
      <c r="H1216" t="s">
        <v>5620</v>
      </c>
      <c r="I1216">
        <v>0</v>
      </c>
      <c r="J1216" t="s">
        <v>87</v>
      </c>
      <c r="K1216">
        <v>0</v>
      </c>
      <c r="L1216">
        <v>0</v>
      </c>
    </row>
    <row r="1217" spans="1:12">
      <c r="A1217" s="93">
        <v>157757</v>
      </c>
      <c r="B1217" t="s">
        <v>1777</v>
      </c>
      <c r="C1217" t="s">
        <v>5602</v>
      </c>
      <c r="D1217" s="92">
        <v>0.43</v>
      </c>
      <c r="E1217" s="92">
        <v>0.29</v>
      </c>
      <c r="F1217">
        <v>18</v>
      </c>
      <c r="G1217">
        <v>20.5</v>
      </c>
      <c r="H1217" t="s">
        <v>5617</v>
      </c>
      <c r="I1217">
        <v>0</v>
      </c>
      <c r="J1217" t="s">
        <v>87</v>
      </c>
      <c r="K1217">
        <v>0</v>
      </c>
      <c r="L1217">
        <v>0</v>
      </c>
    </row>
    <row r="1218" spans="1:12">
      <c r="A1218" s="93">
        <v>157766</v>
      </c>
      <c r="B1218" t="s">
        <v>1778</v>
      </c>
      <c r="C1218" t="s">
        <v>5604</v>
      </c>
      <c r="D1218" s="92" t="s">
        <v>428</v>
      </c>
      <c r="E1218" s="92" t="s">
        <v>428</v>
      </c>
      <c r="F1218" t="s">
        <v>428</v>
      </c>
      <c r="G1218" t="s">
        <v>428</v>
      </c>
      <c r="H1218" t="s">
        <v>5617</v>
      </c>
      <c r="I1218">
        <v>0</v>
      </c>
      <c r="J1218" t="s">
        <v>87</v>
      </c>
      <c r="K1218">
        <v>0</v>
      </c>
      <c r="L1218">
        <v>0</v>
      </c>
    </row>
    <row r="1219" spans="1:12">
      <c r="A1219" s="93">
        <v>157793</v>
      </c>
      <c r="B1219" t="s">
        <v>1779</v>
      </c>
      <c r="C1219" t="s">
        <v>5604</v>
      </c>
      <c r="D1219" s="92" t="s">
        <v>428</v>
      </c>
      <c r="E1219" s="92" t="s">
        <v>428</v>
      </c>
      <c r="F1219" t="s">
        <v>428</v>
      </c>
      <c r="G1219" t="s">
        <v>428</v>
      </c>
      <c r="H1219" t="s">
        <v>5617</v>
      </c>
      <c r="I1219">
        <v>0</v>
      </c>
      <c r="J1219" t="s">
        <v>87</v>
      </c>
      <c r="K1219">
        <v>0</v>
      </c>
      <c r="L1219">
        <v>0</v>
      </c>
    </row>
    <row r="1220" spans="1:12">
      <c r="A1220" s="93">
        <v>157809</v>
      </c>
      <c r="B1220" t="s">
        <v>1780</v>
      </c>
      <c r="C1220" t="s">
        <v>5602</v>
      </c>
      <c r="D1220" s="92">
        <v>0.48</v>
      </c>
      <c r="E1220" s="92">
        <v>0.35</v>
      </c>
      <c r="F1220">
        <v>20</v>
      </c>
      <c r="G1220">
        <v>22</v>
      </c>
      <c r="H1220" t="s">
        <v>5617</v>
      </c>
      <c r="I1220">
        <v>0</v>
      </c>
      <c r="J1220" t="s">
        <v>87</v>
      </c>
      <c r="K1220">
        <v>0</v>
      </c>
      <c r="L1220">
        <v>0</v>
      </c>
    </row>
    <row r="1221" spans="1:12">
      <c r="A1221" s="93">
        <v>157818</v>
      </c>
      <c r="B1221" t="s">
        <v>1781</v>
      </c>
      <c r="C1221" t="s">
        <v>5603</v>
      </c>
      <c r="D1221" s="92">
        <v>0.73</v>
      </c>
      <c r="E1221" s="92">
        <v>0.65</v>
      </c>
      <c r="F1221" t="s">
        <v>428</v>
      </c>
      <c r="G1221" t="s">
        <v>428</v>
      </c>
      <c r="H1221" t="s">
        <v>5617</v>
      </c>
      <c r="I1221">
        <v>0</v>
      </c>
      <c r="J1221" t="s">
        <v>87</v>
      </c>
      <c r="K1221">
        <v>0</v>
      </c>
      <c r="L1221">
        <v>0</v>
      </c>
    </row>
    <row r="1222" spans="1:12">
      <c r="A1222" s="93">
        <v>157827</v>
      </c>
      <c r="B1222" t="s">
        <v>1782</v>
      </c>
      <c r="C1222" t="s">
        <v>5606</v>
      </c>
      <c r="D1222" s="92" t="s">
        <v>428</v>
      </c>
      <c r="E1222" s="92" t="s">
        <v>428</v>
      </c>
      <c r="F1222" t="s">
        <v>428</v>
      </c>
      <c r="G1222" t="s">
        <v>428</v>
      </c>
      <c r="H1222" t="s">
        <v>5616</v>
      </c>
      <c r="I1222">
        <v>0</v>
      </c>
      <c r="J1222" t="s">
        <v>87</v>
      </c>
      <c r="K1222">
        <v>0</v>
      </c>
      <c r="L1222">
        <v>0</v>
      </c>
    </row>
    <row r="1223" spans="1:12">
      <c r="A1223" s="93">
        <v>157863</v>
      </c>
      <c r="B1223" t="s">
        <v>1783</v>
      </c>
      <c r="C1223" t="s">
        <v>5602</v>
      </c>
      <c r="D1223" s="92">
        <v>0.3</v>
      </c>
      <c r="E1223" s="92">
        <v>0.14</v>
      </c>
      <c r="F1223">
        <v>18</v>
      </c>
      <c r="G1223">
        <v>20</v>
      </c>
      <c r="H1223" t="s">
        <v>5617</v>
      </c>
      <c r="I1223">
        <v>0</v>
      </c>
      <c r="J1223" t="s">
        <v>87</v>
      </c>
      <c r="K1223">
        <v>0</v>
      </c>
      <c r="L1223">
        <v>0</v>
      </c>
    </row>
    <row r="1224" spans="1:12">
      <c r="A1224" s="93">
        <v>157951</v>
      </c>
      <c r="B1224" t="s">
        <v>1784</v>
      </c>
      <c r="C1224" t="s">
        <v>5602</v>
      </c>
      <c r="D1224" s="92">
        <v>0.52</v>
      </c>
      <c r="E1224" s="92">
        <v>0.33</v>
      </c>
      <c r="F1224">
        <v>19</v>
      </c>
      <c r="G1224">
        <v>22.5</v>
      </c>
      <c r="H1224" t="s">
        <v>5617</v>
      </c>
      <c r="I1224">
        <v>0</v>
      </c>
      <c r="J1224" t="s">
        <v>87</v>
      </c>
      <c r="K1224">
        <v>0</v>
      </c>
      <c r="L1224">
        <v>0</v>
      </c>
    </row>
    <row r="1225" spans="1:12">
      <c r="A1225" s="93">
        <v>158088</v>
      </c>
      <c r="B1225" t="s">
        <v>1785</v>
      </c>
      <c r="C1225" t="s">
        <v>5606</v>
      </c>
      <c r="D1225" s="92" t="s">
        <v>428</v>
      </c>
      <c r="E1225" s="92" t="s">
        <v>428</v>
      </c>
      <c r="F1225" t="s">
        <v>428</v>
      </c>
      <c r="G1225" t="s">
        <v>428</v>
      </c>
      <c r="H1225" t="s">
        <v>5615</v>
      </c>
      <c r="I1225">
        <v>0</v>
      </c>
      <c r="J1225" t="s">
        <v>87</v>
      </c>
      <c r="K1225">
        <v>0</v>
      </c>
      <c r="L1225">
        <v>0</v>
      </c>
    </row>
    <row r="1226" spans="1:12">
      <c r="A1226" s="93">
        <v>158325</v>
      </c>
      <c r="B1226" t="s">
        <v>1786</v>
      </c>
      <c r="C1226" t="s">
        <v>5606</v>
      </c>
      <c r="D1226" s="92" t="s">
        <v>428</v>
      </c>
      <c r="E1226" s="92" t="s">
        <v>428</v>
      </c>
      <c r="F1226" t="s">
        <v>428</v>
      </c>
      <c r="G1226" t="s">
        <v>428</v>
      </c>
      <c r="H1226" t="s">
        <v>5615</v>
      </c>
      <c r="I1226">
        <v>0</v>
      </c>
      <c r="J1226" t="s">
        <v>87</v>
      </c>
      <c r="K1226">
        <v>0</v>
      </c>
      <c r="L1226">
        <v>0</v>
      </c>
    </row>
    <row r="1227" spans="1:12">
      <c r="A1227" s="93">
        <v>158343</v>
      </c>
      <c r="B1227" t="s">
        <v>1787</v>
      </c>
      <c r="C1227" t="s">
        <v>5606</v>
      </c>
      <c r="D1227" s="92" t="s">
        <v>428</v>
      </c>
      <c r="E1227" s="92" t="s">
        <v>428</v>
      </c>
      <c r="F1227" t="s">
        <v>428</v>
      </c>
      <c r="G1227" t="s">
        <v>428</v>
      </c>
      <c r="H1227" t="s">
        <v>5617</v>
      </c>
      <c r="I1227">
        <v>0</v>
      </c>
      <c r="J1227" t="s">
        <v>87</v>
      </c>
      <c r="K1227">
        <v>0</v>
      </c>
      <c r="L1227">
        <v>0</v>
      </c>
    </row>
    <row r="1228" spans="1:12">
      <c r="A1228" s="93">
        <v>158352</v>
      </c>
      <c r="B1228" t="s">
        <v>1788</v>
      </c>
      <c r="C1228" t="s">
        <v>5606</v>
      </c>
      <c r="D1228" s="92" t="s">
        <v>428</v>
      </c>
      <c r="E1228" s="92" t="s">
        <v>428</v>
      </c>
      <c r="F1228" t="s">
        <v>428</v>
      </c>
      <c r="G1228" t="s">
        <v>428</v>
      </c>
      <c r="H1228" t="s">
        <v>5615</v>
      </c>
      <c r="I1228">
        <v>0</v>
      </c>
      <c r="J1228" t="s">
        <v>87</v>
      </c>
      <c r="K1228">
        <v>0</v>
      </c>
      <c r="L1228">
        <v>0</v>
      </c>
    </row>
    <row r="1229" spans="1:12">
      <c r="A1229" s="93">
        <v>158431</v>
      </c>
      <c r="B1229" t="s">
        <v>1789</v>
      </c>
      <c r="C1229" t="s">
        <v>5606</v>
      </c>
      <c r="D1229" s="92">
        <v>0.28</v>
      </c>
      <c r="E1229" s="92">
        <v>0.21</v>
      </c>
      <c r="F1229" t="s">
        <v>428</v>
      </c>
      <c r="G1229" t="s">
        <v>428</v>
      </c>
      <c r="H1229" t="s">
        <v>5615</v>
      </c>
      <c r="I1229">
        <v>0</v>
      </c>
      <c r="J1229" t="s">
        <v>87</v>
      </c>
      <c r="K1229">
        <v>0</v>
      </c>
      <c r="L1229">
        <v>0</v>
      </c>
    </row>
    <row r="1230" spans="1:12">
      <c r="A1230" s="93">
        <v>158440</v>
      </c>
      <c r="B1230" t="s">
        <v>1790</v>
      </c>
      <c r="C1230" t="s">
        <v>5606</v>
      </c>
      <c r="D1230" s="92" t="s">
        <v>428</v>
      </c>
      <c r="E1230" s="92" t="s">
        <v>428</v>
      </c>
      <c r="F1230" t="s">
        <v>428</v>
      </c>
      <c r="G1230" t="s">
        <v>428</v>
      </c>
      <c r="H1230" t="s">
        <v>5616</v>
      </c>
      <c r="I1230">
        <v>0</v>
      </c>
      <c r="J1230" t="s">
        <v>87</v>
      </c>
      <c r="K1230">
        <v>0</v>
      </c>
      <c r="L1230">
        <v>0</v>
      </c>
    </row>
    <row r="1231" spans="1:12">
      <c r="A1231" s="93">
        <v>158477</v>
      </c>
      <c r="B1231" t="s">
        <v>1791</v>
      </c>
      <c r="C1231" t="s">
        <v>5602</v>
      </c>
      <c r="D1231" s="92">
        <v>0.52</v>
      </c>
      <c r="E1231" s="92">
        <v>0.38</v>
      </c>
      <c r="F1231">
        <v>22</v>
      </c>
      <c r="G1231">
        <v>25</v>
      </c>
      <c r="H1231" t="s">
        <v>5617</v>
      </c>
      <c r="I1231">
        <v>0</v>
      </c>
      <c r="J1231" t="s">
        <v>87</v>
      </c>
      <c r="K1231">
        <v>0</v>
      </c>
      <c r="L1231">
        <v>0</v>
      </c>
    </row>
    <row r="1232" spans="1:12">
      <c r="A1232" s="93">
        <v>158662</v>
      </c>
      <c r="B1232" t="s">
        <v>1792</v>
      </c>
      <c r="C1232" t="s">
        <v>5606</v>
      </c>
      <c r="D1232" s="92">
        <v>0.19</v>
      </c>
      <c r="E1232" s="92">
        <v>0.15</v>
      </c>
      <c r="F1232" t="s">
        <v>428</v>
      </c>
      <c r="G1232" t="s">
        <v>428</v>
      </c>
      <c r="H1232" t="s">
        <v>5615</v>
      </c>
      <c r="I1232">
        <v>0</v>
      </c>
      <c r="J1232" t="s">
        <v>87</v>
      </c>
      <c r="K1232">
        <v>0</v>
      </c>
      <c r="L1232">
        <v>0</v>
      </c>
    </row>
    <row r="1233" spans="1:12">
      <c r="A1233" s="93">
        <v>158723</v>
      </c>
      <c r="B1233" t="s">
        <v>1793</v>
      </c>
      <c r="C1233" t="s">
        <v>5606</v>
      </c>
      <c r="D1233" s="92" t="s">
        <v>428</v>
      </c>
      <c r="E1233" s="92" t="s">
        <v>428</v>
      </c>
      <c r="F1233" t="s">
        <v>428</v>
      </c>
      <c r="G1233" t="s">
        <v>428</v>
      </c>
      <c r="H1233" t="s">
        <v>5617</v>
      </c>
      <c r="I1233">
        <v>0</v>
      </c>
      <c r="J1233" t="s">
        <v>87</v>
      </c>
      <c r="K1233">
        <v>0</v>
      </c>
      <c r="L1233">
        <v>0</v>
      </c>
    </row>
    <row r="1234" spans="1:12">
      <c r="A1234" s="93">
        <v>158802</v>
      </c>
      <c r="B1234" t="s">
        <v>1794</v>
      </c>
      <c r="C1234" t="s">
        <v>5603</v>
      </c>
      <c r="D1234" s="92">
        <v>0.39</v>
      </c>
      <c r="E1234" s="92">
        <v>0.51</v>
      </c>
      <c r="F1234">
        <v>18</v>
      </c>
      <c r="G1234">
        <v>19.5</v>
      </c>
      <c r="H1234" t="s">
        <v>5616</v>
      </c>
      <c r="I1234">
        <v>0</v>
      </c>
      <c r="J1234" t="s">
        <v>138</v>
      </c>
      <c r="K1234">
        <v>0</v>
      </c>
      <c r="L1234">
        <v>0</v>
      </c>
    </row>
    <row r="1235" spans="1:12">
      <c r="A1235" s="93">
        <v>158884</v>
      </c>
      <c r="B1235" t="s">
        <v>1795</v>
      </c>
      <c r="C1235" t="s">
        <v>5606</v>
      </c>
      <c r="D1235" s="92" t="s">
        <v>428</v>
      </c>
      <c r="E1235" s="92" t="s">
        <v>428</v>
      </c>
      <c r="F1235" t="s">
        <v>428</v>
      </c>
      <c r="G1235" t="s">
        <v>428</v>
      </c>
      <c r="H1235" t="s">
        <v>5615</v>
      </c>
      <c r="I1235">
        <v>0</v>
      </c>
      <c r="J1235" t="s">
        <v>87</v>
      </c>
      <c r="K1235">
        <v>0</v>
      </c>
      <c r="L1235">
        <v>0</v>
      </c>
    </row>
    <row r="1236" spans="1:12">
      <c r="A1236" s="93">
        <v>159009</v>
      </c>
      <c r="B1236" t="s">
        <v>1796</v>
      </c>
      <c r="C1236" t="s">
        <v>5602</v>
      </c>
      <c r="D1236" s="92">
        <v>0.34</v>
      </c>
      <c r="E1236" s="92">
        <v>0.5</v>
      </c>
      <c r="F1236">
        <v>16</v>
      </c>
      <c r="G1236">
        <v>18</v>
      </c>
      <c r="H1236" t="s">
        <v>5617</v>
      </c>
      <c r="I1236">
        <v>0</v>
      </c>
      <c r="J1236" t="s">
        <v>138</v>
      </c>
      <c r="K1236">
        <v>0</v>
      </c>
      <c r="L1236">
        <v>0</v>
      </c>
    </row>
    <row r="1237" spans="1:12">
      <c r="A1237" s="93">
        <v>159197</v>
      </c>
      <c r="B1237" t="s">
        <v>1797</v>
      </c>
      <c r="C1237" t="s">
        <v>5606</v>
      </c>
      <c r="D1237" s="92" t="s">
        <v>428</v>
      </c>
      <c r="E1237" s="92" t="s">
        <v>428</v>
      </c>
      <c r="F1237" t="s">
        <v>428</v>
      </c>
      <c r="G1237" t="s">
        <v>428</v>
      </c>
      <c r="H1237" t="s">
        <v>5617</v>
      </c>
      <c r="I1237">
        <v>0</v>
      </c>
      <c r="J1237" t="s">
        <v>87</v>
      </c>
      <c r="K1237">
        <v>0</v>
      </c>
      <c r="L1237">
        <v>0</v>
      </c>
    </row>
    <row r="1238" spans="1:12">
      <c r="A1238" s="93">
        <v>159373</v>
      </c>
      <c r="B1238" t="s">
        <v>1798</v>
      </c>
      <c r="C1238" t="s">
        <v>5607</v>
      </c>
      <c r="D1238" s="92" t="s">
        <v>428</v>
      </c>
      <c r="E1238" s="92" t="s">
        <v>428</v>
      </c>
      <c r="F1238" t="s">
        <v>428</v>
      </c>
      <c r="G1238" t="s">
        <v>428</v>
      </c>
      <c r="H1238" t="s">
        <v>5615</v>
      </c>
      <c r="I1238">
        <v>0</v>
      </c>
      <c r="J1238" t="s">
        <v>87</v>
      </c>
      <c r="K1238">
        <v>0</v>
      </c>
      <c r="L1238">
        <v>0</v>
      </c>
    </row>
    <row r="1239" spans="1:12">
      <c r="A1239" s="93">
        <v>159382</v>
      </c>
      <c r="B1239" t="s">
        <v>1799</v>
      </c>
      <c r="C1239" t="s">
        <v>5608</v>
      </c>
      <c r="D1239" s="92">
        <v>0.24</v>
      </c>
      <c r="E1239" s="92">
        <v>0.18</v>
      </c>
      <c r="F1239">
        <v>18</v>
      </c>
      <c r="G1239">
        <v>20.5</v>
      </c>
      <c r="H1239" t="s">
        <v>5615</v>
      </c>
      <c r="I1239">
        <v>0</v>
      </c>
      <c r="J1239" t="s">
        <v>87</v>
      </c>
      <c r="K1239">
        <v>0</v>
      </c>
      <c r="L1239">
        <v>0</v>
      </c>
    </row>
    <row r="1240" spans="1:12">
      <c r="A1240" s="93">
        <v>159391</v>
      </c>
      <c r="B1240" t="s">
        <v>1800</v>
      </c>
      <c r="C1240" t="s">
        <v>5603</v>
      </c>
      <c r="D1240" s="92">
        <v>0.65</v>
      </c>
      <c r="E1240" s="92">
        <v>0.55</v>
      </c>
      <c r="F1240">
        <v>23</v>
      </c>
      <c r="G1240">
        <v>25.5</v>
      </c>
      <c r="H1240" t="s">
        <v>5617</v>
      </c>
      <c r="I1240">
        <v>0</v>
      </c>
      <c r="J1240" t="s">
        <v>87</v>
      </c>
      <c r="K1240">
        <v>0</v>
      </c>
      <c r="L1240">
        <v>0</v>
      </c>
    </row>
    <row r="1241" spans="1:12">
      <c r="A1241" s="93">
        <v>159407</v>
      </c>
      <c r="B1241" t="s">
        <v>1801</v>
      </c>
      <c r="C1241" t="s">
        <v>5606</v>
      </c>
      <c r="D1241" s="92">
        <v>0.3</v>
      </c>
      <c r="E1241" s="92">
        <v>0.26</v>
      </c>
      <c r="F1241" t="s">
        <v>428</v>
      </c>
      <c r="G1241" t="s">
        <v>428</v>
      </c>
      <c r="H1241" t="s">
        <v>5615</v>
      </c>
      <c r="I1241">
        <v>0</v>
      </c>
      <c r="J1241" t="s">
        <v>87</v>
      </c>
      <c r="K1241">
        <v>0</v>
      </c>
      <c r="L1241">
        <v>0</v>
      </c>
    </row>
    <row r="1242" spans="1:12">
      <c r="A1242" s="93">
        <v>159416</v>
      </c>
      <c r="B1242" t="s">
        <v>1802</v>
      </c>
      <c r="C1242" t="s">
        <v>5602</v>
      </c>
      <c r="D1242" s="92">
        <v>0.34</v>
      </c>
      <c r="E1242" s="92">
        <v>0.23</v>
      </c>
      <c r="F1242">
        <v>20</v>
      </c>
      <c r="G1242">
        <v>22.5</v>
      </c>
      <c r="H1242" t="s">
        <v>5615</v>
      </c>
      <c r="I1242">
        <v>0</v>
      </c>
      <c r="J1242" t="s">
        <v>87</v>
      </c>
      <c r="K1242">
        <v>0</v>
      </c>
      <c r="L1242">
        <v>0</v>
      </c>
    </row>
    <row r="1243" spans="1:12">
      <c r="A1243" s="93">
        <v>159568</v>
      </c>
      <c r="B1243" t="s">
        <v>1803</v>
      </c>
      <c r="C1243" t="s">
        <v>5602</v>
      </c>
      <c r="D1243" s="92">
        <v>0.37</v>
      </c>
      <c r="E1243" s="92">
        <v>0.19</v>
      </c>
      <c r="F1243">
        <v>18</v>
      </c>
      <c r="G1243">
        <v>20.5</v>
      </c>
      <c r="H1243" t="s">
        <v>5616</v>
      </c>
      <c r="I1243">
        <v>0</v>
      </c>
      <c r="J1243" t="s">
        <v>87</v>
      </c>
      <c r="K1243">
        <v>0</v>
      </c>
      <c r="L1243">
        <v>0</v>
      </c>
    </row>
    <row r="1244" spans="1:12">
      <c r="A1244" s="93">
        <v>159647</v>
      </c>
      <c r="B1244" t="s">
        <v>1804</v>
      </c>
      <c r="C1244" t="s">
        <v>5603</v>
      </c>
      <c r="D1244" s="92">
        <v>0.53</v>
      </c>
      <c r="E1244" s="92">
        <v>0.38</v>
      </c>
      <c r="F1244">
        <v>21</v>
      </c>
      <c r="G1244">
        <v>24</v>
      </c>
      <c r="H1244" t="s">
        <v>5615</v>
      </c>
      <c r="I1244">
        <v>0</v>
      </c>
      <c r="J1244" t="s">
        <v>87</v>
      </c>
      <c r="K1244">
        <v>0</v>
      </c>
      <c r="L1244">
        <v>0</v>
      </c>
    </row>
    <row r="1245" spans="1:12">
      <c r="A1245" s="93">
        <v>159656</v>
      </c>
      <c r="B1245" t="s">
        <v>1805</v>
      </c>
      <c r="C1245" t="s">
        <v>5603</v>
      </c>
      <c r="D1245" s="92">
        <v>0.61</v>
      </c>
      <c r="E1245" s="92">
        <v>0.5600000000000001</v>
      </c>
      <c r="F1245">
        <v>23</v>
      </c>
      <c r="G1245">
        <v>26</v>
      </c>
      <c r="H1245" t="s">
        <v>5617</v>
      </c>
      <c r="I1245">
        <v>0</v>
      </c>
      <c r="J1245" t="s">
        <v>87</v>
      </c>
      <c r="K1245">
        <v>0</v>
      </c>
      <c r="L1245">
        <v>0</v>
      </c>
    </row>
    <row r="1246" spans="1:12">
      <c r="A1246" s="93">
        <v>159717</v>
      </c>
      <c r="B1246" t="s">
        <v>1806</v>
      </c>
      <c r="C1246" t="s">
        <v>5602</v>
      </c>
      <c r="D1246" s="92">
        <v>0.41</v>
      </c>
      <c r="E1246" s="92">
        <v>0.3</v>
      </c>
      <c r="F1246">
        <v>20</v>
      </c>
      <c r="G1246">
        <v>22</v>
      </c>
      <c r="H1246" t="s">
        <v>5615</v>
      </c>
      <c r="I1246">
        <v>0</v>
      </c>
      <c r="J1246" t="s">
        <v>87</v>
      </c>
      <c r="K1246">
        <v>0</v>
      </c>
      <c r="L1246">
        <v>0</v>
      </c>
    </row>
    <row r="1247" spans="1:12">
      <c r="A1247" s="93">
        <v>159939</v>
      </c>
      <c r="B1247" t="s">
        <v>1807</v>
      </c>
      <c r="C1247" t="s">
        <v>5602</v>
      </c>
      <c r="D1247" s="92">
        <v>0.35</v>
      </c>
      <c r="E1247" s="92">
        <v>0.27</v>
      </c>
      <c r="F1247">
        <v>20</v>
      </c>
      <c r="G1247">
        <v>22</v>
      </c>
      <c r="H1247" t="s">
        <v>5615</v>
      </c>
      <c r="I1247">
        <v>0</v>
      </c>
      <c r="J1247" t="s">
        <v>87</v>
      </c>
      <c r="K1247">
        <v>0</v>
      </c>
      <c r="L1247">
        <v>0</v>
      </c>
    </row>
    <row r="1248" spans="1:12">
      <c r="A1248" s="93">
        <v>159948</v>
      </c>
      <c r="B1248" t="s">
        <v>1808</v>
      </c>
      <c r="C1248" t="s">
        <v>5604</v>
      </c>
      <c r="D1248" s="92">
        <v>0.21</v>
      </c>
      <c r="E1248" s="92">
        <v>0.26</v>
      </c>
      <c r="F1248" t="s">
        <v>428</v>
      </c>
      <c r="G1248" t="s">
        <v>428</v>
      </c>
      <c r="H1248" t="s">
        <v>5615</v>
      </c>
      <c r="I1248">
        <v>0</v>
      </c>
      <c r="J1248" t="s">
        <v>87</v>
      </c>
      <c r="K1248">
        <v>0</v>
      </c>
      <c r="L1248">
        <v>0</v>
      </c>
    </row>
    <row r="1249" spans="1:12">
      <c r="A1249" s="93">
        <v>159966</v>
      </c>
      <c r="B1249" t="s">
        <v>1809</v>
      </c>
      <c r="C1249" t="s">
        <v>5602</v>
      </c>
      <c r="D1249" s="92">
        <v>0.44</v>
      </c>
      <c r="E1249" s="92">
        <v>0.32</v>
      </c>
      <c r="F1249">
        <v>20</v>
      </c>
      <c r="G1249">
        <v>22</v>
      </c>
      <c r="H1249" t="s">
        <v>5615</v>
      </c>
      <c r="I1249">
        <v>0</v>
      </c>
      <c r="J1249" t="s">
        <v>87</v>
      </c>
      <c r="K1249">
        <v>0</v>
      </c>
      <c r="L1249">
        <v>0</v>
      </c>
    </row>
    <row r="1250" spans="1:12">
      <c r="A1250" s="93">
        <v>159993</v>
      </c>
      <c r="B1250" t="s">
        <v>1810</v>
      </c>
      <c r="C1250" t="s">
        <v>5602</v>
      </c>
      <c r="D1250" s="92">
        <v>0.42</v>
      </c>
      <c r="E1250" s="92">
        <v>0.37</v>
      </c>
      <c r="F1250">
        <v>20</v>
      </c>
      <c r="G1250">
        <v>22.5</v>
      </c>
      <c r="H1250" t="s">
        <v>5615</v>
      </c>
      <c r="I1250">
        <v>0</v>
      </c>
      <c r="J1250" t="s">
        <v>87</v>
      </c>
      <c r="K1250">
        <v>0</v>
      </c>
      <c r="L1250">
        <v>0</v>
      </c>
    </row>
    <row r="1251" spans="1:12">
      <c r="A1251" s="93">
        <v>160010</v>
      </c>
      <c r="B1251" t="s">
        <v>1811</v>
      </c>
      <c r="C1251" t="s">
        <v>5606</v>
      </c>
      <c r="D1251" s="92" t="s">
        <v>428</v>
      </c>
      <c r="E1251" s="92" t="s">
        <v>428</v>
      </c>
      <c r="F1251" t="s">
        <v>428</v>
      </c>
      <c r="G1251" t="s">
        <v>428</v>
      </c>
      <c r="H1251" t="s">
        <v>5615</v>
      </c>
      <c r="I1251">
        <v>0</v>
      </c>
      <c r="J1251" t="s">
        <v>87</v>
      </c>
      <c r="K1251">
        <v>0</v>
      </c>
      <c r="L1251">
        <v>0</v>
      </c>
    </row>
    <row r="1252" spans="1:12">
      <c r="A1252" s="93">
        <v>160029</v>
      </c>
      <c r="B1252" t="s">
        <v>1812</v>
      </c>
      <c r="C1252" t="s">
        <v>5607</v>
      </c>
      <c r="D1252" s="92" t="s">
        <v>428</v>
      </c>
      <c r="E1252" s="92" t="s">
        <v>428</v>
      </c>
      <c r="F1252" t="s">
        <v>428</v>
      </c>
      <c r="G1252" t="s">
        <v>428</v>
      </c>
      <c r="H1252" t="s">
        <v>5615</v>
      </c>
      <c r="I1252">
        <v>0</v>
      </c>
      <c r="J1252" t="s">
        <v>87</v>
      </c>
      <c r="K1252">
        <v>0</v>
      </c>
      <c r="L1252">
        <v>0</v>
      </c>
    </row>
    <row r="1253" spans="1:12">
      <c r="A1253" s="93">
        <v>160038</v>
      </c>
      <c r="B1253" t="s">
        <v>1813</v>
      </c>
      <c r="C1253" t="s">
        <v>5602</v>
      </c>
      <c r="D1253" s="92">
        <v>0.32</v>
      </c>
      <c r="E1253" s="92">
        <v>0.26</v>
      </c>
      <c r="F1253">
        <v>19</v>
      </c>
      <c r="G1253">
        <v>21.5</v>
      </c>
      <c r="H1253" t="s">
        <v>5615</v>
      </c>
      <c r="I1253">
        <v>0</v>
      </c>
      <c r="J1253" t="s">
        <v>87</v>
      </c>
      <c r="K1253">
        <v>0</v>
      </c>
      <c r="L1253">
        <v>0</v>
      </c>
    </row>
    <row r="1254" spans="1:12">
      <c r="A1254" s="93">
        <v>160065</v>
      </c>
      <c r="B1254" t="s">
        <v>1814</v>
      </c>
      <c r="C1254" t="s">
        <v>5602</v>
      </c>
      <c r="D1254" s="92">
        <v>0.31</v>
      </c>
      <c r="E1254" s="92">
        <v>0.16</v>
      </c>
      <c r="F1254">
        <v>18</v>
      </c>
      <c r="G1254">
        <v>20</v>
      </c>
      <c r="H1254" t="s">
        <v>5616</v>
      </c>
      <c r="I1254">
        <v>0</v>
      </c>
      <c r="J1254" t="s">
        <v>87</v>
      </c>
      <c r="K1254">
        <v>0</v>
      </c>
      <c r="L1254">
        <v>0</v>
      </c>
    </row>
    <row r="1255" spans="1:12">
      <c r="A1255" s="93">
        <v>160074</v>
      </c>
      <c r="B1255" t="s">
        <v>1815</v>
      </c>
      <c r="C1255" t="s">
        <v>5602</v>
      </c>
      <c r="D1255" s="92">
        <v>0.4</v>
      </c>
      <c r="E1255" s="92">
        <v>0.33</v>
      </c>
      <c r="F1255">
        <v>20</v>
      </c>
      <c r="G1255">
        <v>21.5</v>
      </c>
      <c r="H1255" t="s">
        <v>5616</v>
      </c>
      <c r="I1255">
        <v>0</v>
      </c>
      <c r="J1255" t="s">
        <v>87</v>
      </c>
      <c r="K1255">
        <v>0</v>
      </c>
      <c r="L1255">
        <v>0</v>
      </c>
    </row>
    <row r="1256" spans="1:12">
      <c r="A1256" s="93">
        <v>160409</v>
      </c>
      <c r="B1256" t="s">
        <v>1816</v>
      </c>
      <c r="C1256" t="s">
        <v>5604</v>
      </c>
      <c r="D1256" s="92">
        <v>0.58</v>
      </c>
      <c r="E1256" s="92">
        <v>0.57</v>
      </c>
      <c r="F1256" t="s">
        <v>428</v>
      </c>
      <c r="G1256" t="s">
        <v>428</v>
      </c>
      <c r="H1256" t="s">
        <v>5617</v>
      </c>
      <c r="I1256">
        <v>0</v>
      </c>
      <c r="J1256" t="s">
        <v>87</v>
      </c>
      <c r="K1256">
        <v>0</v>
      </c>
      <c r="L1256">
        <v>0</v>
      </c>
    </row>
    <row r="1257" spans="1:12">
      <c r="A1257" s="93">
        <v>160481</v>
      </c>
      <c r="B1257" t="s">
        <v>1817</v>
      </c>
      <c r="C1257" t="s">
        <v>5606</v>
      </c>
      <c r="D1257" s="92" t="s">
        <v>428</v>
      </c>
      <c r="E1257" s="92" t="s">
        <v>428</v>
      </c>
      <c r="F1257" t="s">
        <v>428</v>
      </c>
      <c r="G1257" t="s">
        <v>428</v>
      </c>
      <c r="H1257" t="s">
        <v>5615</v>
      </c>
      <c r="I1257">
        <v>0</v>
      </c>
      <c r="J1257" t="s">
        <v>87</v>
      </c>
      <c r="K1257">
        <v>0</v>
      </c>
      <c r="L1257">
        <v>0</v>
      </c>
    </row>
    <row r="1258" spans="1:12">
      <c r="A1258" s="93">
        <v>160524</v>
      </c>
      <c r="B1258" t="s">
        <v>1818</v>
      </c>
      <c r="C1258" t="s">
        <v>5606</v>
      </c>
      <c r="D1258" s="92" t="s">
        <v>428</v>
      </c>
      <c r="E1258" s="92" t="s">
        <v>428</v>
      </c>
      <c r="F1258" t="s">
        <v>428</v>
      </c>
      <c r="G1258" t="s">
        <v>428</v>
      </c>
      <c r="H1258" t="s">
        <v>5617</v>
      </c>
      <c r="I1258">
        <v>0</v>
      </c>
      <c r="J1258" t="s">
        <v>87</v>
      </c>
      <c r="K1258">
        <v>0</v>
      </c>
      <c r="L1258">
        <v>0</v>
      </c>
    </row>
    <row r="1259" spans="1:12">
      <c r="A1259" s="93">
        <v>160579</v>
      </c>
      <c r="B1259" t="s">
        <v>1819</v>
      </c>
      <c r="C1259" t="s">
        <v>5606</v>
      </c>
      <c r="D1259" s="92">
        <v>0.4</v>
      </c>
      <c r="E1259" s="92">
        <v>0.28</v>
      </c>
      <c r="F1259" t="s">
        <v>428</v>
      </c>
      <c r="G1259" t="s">
        <v>428</v>
      </c>
      <c r="H1259" t="s">
        <v>5615</v>
      </c>
      <c r="I1259">
        <v>0</v>
      </c>
      <c r="J1259" t="s">
        <v>87</v>
      </c>
      <c r="K1259">
        <v>0</v>
      </c>
      <c r="L1259">
        <v>0</v>
      </c>
    </row>
    <row r="1260" spans="1:12">
      <c r="A1260" s="93">
        <v>160612</v>
      </c>
      <c r="B1260" t="s">
        <v>1820</v>
      </c>
      <c r="C1260" t="s">
        <v>5602</v>
      </c>
      <c r="D1260" s="92">
        <v>0.39</v>
      </c>
      <c r="E1260" s="92">
        <v>0.33</v>
      </c>
      <c r="F1260">
        <v>19</v>
      </c>
      <c r="G1260">
        <v>21.5</v>
      </c>
      <c r="H1260" t="s">
        <v>5615</v>
      </c>
      <c r="I1260">
        <v>0</v>
      </c>
      <c r="J1260" t="s">
        <v>87</v>
      </c>
      <c r="K1260">
        <v>0</v>
      </c>
      <c r="L1260">
        <v>0</v>
      </c>
    </row>
    <row r="1261" spans="1:12">
      <c r="A1261" s="93">
        <v>160621</v>
      </c>
      <c r="B1261" t="s">
        <v>1821</v>
      </c>
      <c r="C1261" t="s">
        <v>5608</v>
      </c>
      <c r="D1261" s="92">
        <v>0.29</v>
      </c>
      <c r="E1261" s="92">
        <v>0.44</v>
      </c>
      <c r="F1261">
        <v>20</v>
      </c>
      <c r="G1261">
        <v>23.5</v>
      </c>
      <c r="H1261" t="s">
        <v>5616</v>
      </c>
      <c r="I1261">
        <v>0</v>
      </c>
      <c r="J1261" t="s">
        <v>138</v>
      </c>
      <c r="K1261">
        <v>0</v>
      </c>
      <c r="L1261">
        <v>0</v>
      </c>
    </row>
    <row r="1262" spans="1:12">
      <c r="A1262" s="93">
        <v>160630</v>
      </c>
      <c r="B1262" t="s">
        <v>1822</v>
      </c>
      <c r="C1262" t="s">
        <v>5608</v>
      </c>
      <c r="D1262" s="92">
        <v>0.16</v>
      </c>
      <c r="E1262" s="92">
        <v>0.31</v>
      </c>
      <c r="F1262">
        <v>16</v>
      </c>
      <c r="G1262">
        <v>17.5</v>
      </c>
      <c r="H1262" t="s">
        <v>5615</v>
      </c>
      <c r="I1262">
        <v>0</v>
      </c>
      <c r="J1262" t="s">
        <v>138</v>
      </c>
      <c r="K1262">
        <v>0</v>
      </c>
      <c r="L1262">
        <v>0</v>
      </c>
    </row>
    <row r="1263" spans="1:12">
      <c r="A1263" s="93">
        <v>160649</v>
      </c>
      <c r="B1263" t="s">
        <v>1823</v>
      </c>
      <c r="C1263" t="s">
        <v>5606</v>
      </c>
      <c r="D1263" s="92" t="s">
        <v>428</v>
      </c>
      <c r="E1263" s="92" t="s">
        <v>428</v>
      </c>
      <c r="F1263" t="s">
        <v>428</v>
      </c>
      <c r="G1263" t="s">
        <v>428</v>
      </c>
      <c r="H1263" t="s">
        <v>5615</v>
      </c>
      <c r="I1263">
        <v>0</v>
      </c>
      <c r="J1263" t="s">
        <v>138</v>
      </c>
      <c r="K1263">
        <v>0</v>
      </c>
      <c r="L1263">
        <v>0</v>
      </c>
    </row>
    <row r="1264" spans="1:12">
      <c r="A1264" s="93">
        <v>160658</v>
      </c>
      <c r="B1264" t="s">
        <v>1824</v>
      </c>
      <c r="C1264" t="s">
        <v>5602</v>
      </c>
      <c r="D1264" s="92">
        <v>0.45</v>
      </c>
      <c r="E1264" s="92">
        <v>0.36</v>
      </c>
      <c r="F1264">
        <v>21</v>
      </c>
      <c r="G1264">
        <v>23.5</v>
      </c>
      <c r="H1264" t="s">
        <v>5615</v>
      </c>
      <c r="I1264">
        <v>0</v>
      </c>
      <c r="J1264" t="s">
        <v>87</v>
      </c>
      <c r="K1264">
        <v>0</v>
      </c>
      <c r="L1264">
        <v>0</v>
      </c>
    </row>
    <row r="1265" spans="1:12">
      <c r="A1265" s="93">
        <v>160667</v>
      </c>
      <c r="B1265" t="s">
        <v>1825</v>
      </c>
      <c r="C1265" t="s">
        <v>5606</v>
      </c>
      <c r="D1265" s="92">
        <v>0.41</v>
      </c>
      <c r="E1265" s="92">
        <v>0.36</v>
      </c>
      <c r="F1265" t="s">
        <v>428</v>
      </c>
      <c r="G1265" t="s">
        <v>428</v>
      </c>
      <c r="H1265" t="s">
        <v>5615</v>
      </c>
      <c r="I1265">
        <v>0</v>
      </c>
      <c r="J1265" t="s">
        <v>87</v>
      </c>
      <c r="K1265">
        <v>0</v>
      </c>
      <c r="L1265">
        <v>0</v>
      </c>
    </row>
    <row r="1266" spans="1:12">
      <c r="A1266" s="93">
        <v>160755</v>
      </c>
      <c r="B1266" t="s">
        <v>1826</v>
      </c>
      <c r="C1266" t="s">
        <v>5605</v>
      </c>
      <c r="D1266" s="92">
        <v>0.83</v>
      </c>
      <c r="E1266" s="92">
        <v>0.75</v>
      </c>
      <c r="F1266">
        <v>29</v>
      </c>
      <c r="G1266">
        <v>30.5</v>
      </c>
      <c r="H1266" t="s">
        <v>5622</v>
      </c>
      <c r="I1266">
        <v>0</v>
      </c>
      <c r="J1266" t="s">
        <v>87</v>
      </c>
      <c r="K1266">
        <v>0</v>
      </c>
      <c r="L1266">
        <v>0</v>
      </c>
    </row>
    <row r="1267" spans="1:12">
      <c r="A1267" s="93">
        <v>160904</v>
      </c>
      <c r="B1267" t="s">
        <v>1827</v>
      </c>
      <c r="C1267" t="s">
        <v>5602</v>
      </c>
      <c r="D1267" s="92">
        <v>0.41</v>
      </c>
      <c r="E1267" s="92">
        <v>0.57</v>
      </c>
      <c r="F1267">
        <v>20</v>
      </c>
      <c r="G1267">
        <v>23</v>
      </c>
      <c r="H1267" t="s">
        <v>5617</v>
      </c>
      <c r="I1267">
        <v>0</v>
      </c>
      <c r="J1267" t="s">
        <v>138</v>
      </c>
      <c r="K1267">
        <v>0</v>
      </c>
      <c r="L1267">
        <v>0</v>
      </c>
    </row>
    <row r="1268" spans="1:12">
      <c r="A1268" s="93">
        <v>160913</v>
      </c>
      <c r="B1268" t="s">
        <v>1828</v>
      </c>
      <c r="C1268" t="s">
        <v>5606</v>
      </c>
      <c r="D1268" s="92" t="s">
        <v>428</v>
      </c>
      <c r="E1268" s="92" t="s">
        <v>428</v>
      </c>
      <c r="F1268" t="s">
        <v>428</v>
      </c>
      <c r="G1268" t="s">
        <v>428</v>
      </c>
      <c r="H1268" t="s">
        <v>5615</v>
      </c>
      <c r="I1268">
        <v>0</v>
      </c>
      <c r="J1268" t="s">
        <v>87</v>
      </c>
      <c r="K1268">
        <v>0</v>
      </c>
      <c r="L1268">
        <v>0</v>
      </c>
    </row>
    <row r="1269" spans="1:12">
      <c r="A1269" s="93">
        <v>160940</v>
      </c>
      <c r="B1269" t="s">
        <v>1829</v>
      </c>
      <c r="C1269" t="s">
        <v>5604</v>
      </c>
      <c r="D1269" s="92" t="s">
        <v>428</v>
      </c>
      <c r="E1269" s="92" t="s">
        <v>428</v>
      </c>
      <c r="F1269" t="s">
        <v>428</v>
      </c>
      <c r="G1269" t="s">
        <v>428</v>
      </c>
      <c r="H1269" t="s">
        <v>5617</v>
      </c>
      <c r="I1269">
        <v>0</v>
      </c>
      <c r="J1269" t="s">
        <v>87</v>
      </c>
      <c r="K1269">
        <v>0</v>
      </c>
      <c r="L1269">
        <v>0</v>
      </c>
    </row>
    <row r="1270" spans="1:12">
      <c r="A1270" s="93">
        <v>160959</v>
      </c>
      <c r="B1270" t="s">
        <v>1830</v>
      </c>
      <c r="C1270" t="s">
        <v>5605</v>
      </c>
      <c r="D1270" s="92">
        <v>0.6899999999999999</v>
      </c>
      <c r="E1270" s="92">
        <v>0.6</v>
      </c>
      <c r="F1270" t="s">
        <v>428</v>
      </c>
      <c r="G1270" t="s">
        <v>428</v>
      </c>
      <c r="H1270" t="s">
        <v>5616</v>
      </c>
      <c r="I1270">
        <v>0</v>
      </c>
      <c r="J1270" t="s">
        <v>87</v>
      </c>
      <c r="K1270">
        <v>0</v>
      </c>
      <c r="L1270">
        <v>0</v>
      </c>
    </row>
    <row r="1271" spans="1:12">
      <c r="A1271" s="93">
        <v>160977</v>
      </c>
      <c r="B1271" t="s">
        <v>1831</v>
      </c>
      <c r="C1271" t="s">
        <v>5611</v>
      </c>
      <c r="D1271" s="92">
        <v>0.88</v>
      </c>
      <c r="E1271" s="92">
        <v>0.86</v>
      </c>
      <c r="F1271" t="s">
        <v>428</v>
      </c>
      <c r="G1271" t="s">
        <v>428</v>
      </c>
      <c r="H1271" t="s">
        <v>5623</v>
      </c>
      <c r="I1271">
        <v>1</v>
      </c>
      <c r="J1271" t="s">
        <v>87</v>
      </c>
      <c r="K1271">
        <v>0</v>
      </c>
      <c r="L1271">
        <v>0</v>
      </c>
    </row>
    <row r="1272" spans="1:12">
      <c r="A1272" s="93">
        <v>160995</v>
      </c>
      <c r="B1272" t="s">
        <v>1832</v>
      </c>
      <c r="C1272" t="s">
        <v>5606</v>
      </c>
      <c r="D1272" s="92" t="s">
        <v>428</v>
      </c>
      <c r="E1272" s="92" t="s">
        <v>428</v>
      </c>
      <c r="F1272" t="s">
        <v>428</v>
      </c>
      <c r="G1272" t="s">
        <v>428</v>
      </c>
      <c r="H1272" t="s">
        <v>5616</v>
      </c>
      <c r="I1272">
        <v>0</v>
      </c>
      <c r="J1272" t="s">
        <v>87</v>
      </c>
      <c r="K1272">
        <v>0</v>
      </c>
      <c r="L1272">
        <v>0</v>
      </c>
    </row>
    <row r="1273" spans="1:12">
      <c r="A1273" s="93">
        <v>161004</v>
      </c>
      <c r="B1273" t="s">
        <v>1833</v>
      </c>
      <c r="C1273" t="s">
        <v>5611</v>
      </c>
      <c r="D1273" s="92">
        <v>0.9399999999999999</v>
      </c>
      <c r="E1273" s="92">
        <v>0.88</v>
      </c>
      <c r="F1273" t="s">
        <v>428</v>
      </c>
      <c r="G1273" t="s">
        <v>428</v>
      </c>
      <c r="H1273" t="s">
        <v>5619</v>
      </c>
      <c r="I1273">
        <v>1</v>
      </c>
      <c r="J1273" t="s">
        <v>87</v>
      </c>
      <c r="K1273">
        <v>0</v>
      </c>
      <c r="L1273">
        <v>0</v>
      </c>
    </row>
    <row r="1274" spans="1:12">
      <c r="A1274" s="93">
        <v>161022</v>
      </c>
      <c r="B1274" t="s">
        <v>1834</v>
      </c>
      <c r="C1274" t="s">
        <v>5609</v>
      </c>
      <c r="D1274" s="92" t="s">
        <v>428</v>
      </c>
      <c r="E1274" s="92" t="s">
        <v>428</v>
      </c>
      <c r="F1274">
        <v>15</v>
      </c>
      <c r="G1274">
        <v>16.5</v>
      </c>
      <c r="H1274" t="s">
        <v>5617</v>
      </c>
      <c r="I1274">
        <v>0</v>
      </c>
      <c r="J1274" t="s">
        <v>87</v>
      </c>
      <c r="K1274">
        <v>0</v>
      </c>
      <c r="L1274">
        <v>0</v>
      </c>
    </row>
    <row r="1275" spans="1:12">
      <c r="A1275" s="93">
        <v>161077</v>
      </c>
      <c r="B1275" t="s">
        <v>1835</v>
      </c>
      <c r="C1275" t="s">
        <v>5606</v>
      </c>
      <c r="D1275" s="92">
        <v>0.34</v>
      </c>
      <c r="E1275" s="92">
        <v>0.24</v>
      </c>
      <c r="F1275" t="s">
        <v>428</v>
      </c>
      <c r="G1275" t="s">
        <v>428</v>
      </c>
      <c r="H1275" t="s">
        <v>5615</v>
      </c>
      <c r="I1275">
        <v>0</v>
      </c>
      <c r="J1275" t="s">
        <v>87</v>
      </c>
      <c r="K1275">
        <v>0</v>
      </c>
      <c r="L1275">
        <v>0</v>
      </c>
    </row>
    <row r="1276" spans="1:12">
      <c r="A1276" s="93">
        <v>161086</v>
      </c>
      <c r="B1276" t="s">
        <v>1836</v>
      </c>
      <c r="C1276" t="s">
        <v>5611</v>
      </c>
      <c r="D1276" s="92">
        <v>0.89</v>
      </c>
      <c r="E1276" s="92">
        <v>0.84</v>
      </c>
      <c r="F1276">
        <v>30</v>
      </c>
      <c r="G1276">
        <v>31.5</v>
      </c>
      <c r="H1276" t="s">
        <v>5619</v>
      </c>
      <c r="I1276">
        <v>1</v>
      </c>
      <c r="J1276" t="s">
        <v>87</v>
      </c>
      <c r="K1276">
        <v>0</v>
      </c>
      <c r="L1276">
        <v>0</v>
      </c>
    </row>
    <row r="1277" spans="1:12">
      <c r="A1277" s="93">
        <v>161138</v>
      </c>
      <c r="B1277" t="s">
        <v>1837</v>
      </c>
      <c r="C1277" t="s">
        <v>5606</v>
      </c>
      <c r="D1277" s="92">
        <v>0.34</v>
      </c>
      <c r="E1277" s="92">
        <v>0.26</v>
      </c>
      <c r="F1277" t="s">
        <v>428</v>
      </c>
      <c r="G1277" t="s">
        <v>428</v>
      </c>
      <c r="H1277" t="s">
        <v>5615</v>
      </c>
      <c r="I1277">
        <v>0</v>
      </c>
      <c r="J1277" t="s">
        <v>87</v>
      </c>
      <c r="K1277">
        <v>0</v>
      </c>
      <c r="L1277">
        <v>0</v>
      </c>
    </row>
    <row r="1278" spans="1:12">
      <c r="A1278" s="93">
        <v>161192</v>
      </c>
      <c r="B1278" t="s">
        <v>1838</v>
      </c>
      <c r="C1278" t="s">
        <v>5606</v>
      </c>
      <c r="D1278" s="92">
        <v>0.38</v>
      </c>
      <c r="E1278" s="92">
        <v>0</v>
      </c>
      <c r="F1278" t="s">
        <v>428</v>
      </c>
      <c r="G1278" t="s">
        <v>428</v>
      </c>
      <c r="H1278" t="s">
        <v>5615</v>
      </c>
      <c r="I1278">
        <v>0</v>
      </c>
      <c r="J1278" t="s">
        <v>87</v>
      </c>
      <c r="K1278">
        <v>0</v>
      </c>
      <c r="L1278">
        <v>0</v>
      </c>
    </row>
    <row r="1279" spans="1:12">
      <c r="A1279" s="93">
        <v>161208</v>
      </c>
      <c r="B1279" t="s">
        <v>1839</v>
      </c>
      <c r="C1279" t="s">
        <v>5606</v>
      </c>
      <c r="D1279" s="92" t="s">
        <v>428</v>
      </c>
      <c r="E1279" s="92" t="s">
        <v>428</v>
      </c>
      <c r="F1279" t="s">
        <v>428</v>
      </c>
      <c r="G1279" t="s">
        <v>428</v>
      </c>
      <c r="H1279" t="s">
        <v>5617</v>
      </c>
      <c r="I1279">
        <v>0</v>
      </c>
      <c r="J1279" t="s">
        <v>87</v>
      </c>
      <c r="K1279">
        <v>0</v>
      </c>
      <c r="L1279">
        <v>0</v>
      </c>
    </row>
    <row r="1280" spans="1:12">
      <c r="A1280" s="93">
        <v>161217</v>
      </c>
      <c r="B1280" t="s">
        <v>1840</v>
      </c>
      <c r="C1280" t="s">
        <v>5602</v>
      </c>
      <c r="D1280" s="92">
        <v>0.13</v>
      </c>
      <c r="E1280" s="92">
        <v>0.17</v>
      </c>
      <c r="F1280" t="s">
        <v>428</v>
      </c>
      <c r="G1280" t="s">
        <v>428</v>
      </c>
      <c r="H1280" t="s">
        <v>5615</v>
      </c>
      <c r="I1280">
        <v>0</v>
      </c>
      <c r="J1280" t="s">
        <v>87</v>
      </c>
      <c r="K1280">
        <v>0</v>
      </c>
      <c r="L1280">
        <v>0</v>
      </c>
    </row>
    <row r="1281" spans="1:12">
      <c r="A1281" s="93">
        <v>161226</v>
      </c>
      <c r="B1281" t="s">
        <v>1841</v>
      </c>
      <c r="C1281" t="s">
        <v>5602</v>
      </c>
      <c r="D1281" s="92">
        <v>0.5600000000000001</v>
      </c>
      <c r="E1281" s="92">
        <v>0.67</v>
      </c>
      <c r="F1281" t="s">
        <v>428</v>
      </c>
      <c r="G1281" t="s">
        <v>428</v>
      </c>
      <c r="H1281" t="s">
        <v>5615</v>
      </c>
      <c r="I1281">
        <v>0</v>
      </c>
      <c r="J1281" t="s">
        <v>87</v>
      </c>
      <c r="K1281">
        <v>0</v>
      </c>
      <c r="L1281">
        <v>0</v>
      </c>
    </row>
    <row r="1282" spans="1:12">
      <c r="A1282" s="93">
        <v>161235</v>
      </c>
      <c r="B1282" t="s">
        <v>1842</v>
      </c>
      <c r="C1282" t="s">
        <v>5608</v>
      </c>
      <c r="D1282" s="92">
        <v>0.34</v>
      </c>
      <c r="E1282" s="92">
        <v>0.33</v>
      </c>
      <c r="F1282">
        <v>14</v>
      </c>
      <c r="G1282">
        <v>16</v>
      </c>
      <c r="H1282" t="s">
        <v>5615</v>
      </c>
      <c r="I1282">
        <v>0</v>
      </c>
      <c r="J1282" t="s">
        <v>87</v>
      </c>
      <c r="K1282">
        <v>0</v>
      </c>
      <c r="L1282">
        <v>0</v>
      </c>
    </row>
    <row r="1283" spans="1:12">
      <c r="A1283" s="93">
        <v>161244</v>
      </c>
      <c r="B1283" t="s">
        <v>1843</v>
      </c>
      <c r="C1283" t="s">
        <v>5602</v>
      </c>
      <c r="D1283" s="92">
        <v>0.29</v>
      </c>
      <c r="E1283" s="92">
        <v>0.05</v>
      </c>
      <c r="F1283" t="s">
        <v>428</v>
      </c>
      <c r="G1283" t="s">
        <v>428</v>
      </c>
      <c r="H1283" t="s">
        <v>5615</v>
      </c>
      <c r="I1283">
        <v>0</v>
      </c>
      <c r="J1283" t="s">
        <v>87</v>
      </c>
      <c r="K1283">
        <v>0</v>
      </c>
      <c r="L1283">
        <v>0</v>
      </c>
    </row>
    <row r="1284" spans="1:12">
      <c r="A1284" s="93">
        <v>161253</v>
      </c>
      <c r="B1284" t="s">
        <v>1844</v>
      </c>
      <c r="C1284" t="s">
        <v>5602</v>
      </c>
      <c r="D1284" s="92">
        <v>0.58</v>
      </c>
      <c r="E1284" s="92">
        <v>0.43</v>
      </c>
      <c r="F1284">
        <v>17</v>
      </c>
      <c r="G1284">
        <v>20.5</v>
      </c>
      <c r="H1284" t="s">
        <v>5615</v>
      </c>
      <c r="I1284">
        <v>0</v>
      </c>
      <c r="J1284" t="s">
        <v>87</v>
      </c>
      <c r="K1284">
        <v>0</v>
      </c>
      <c r="L1284">
        <v>0</v>
      </c>
    </row>
    <row r="1285" spans="1:12">
      <c r="A1285" s="93">
        <v>161299</v>
      </c>
      <c r="B1285" t="s">
        <v>1845</v>
      </c>
      <c r="C1285" t="s">
        <v>5602</v>
      </c>
      <c r="D1285" s="92">
        <v>0.63</v>
      </c>
      <c r="E1285" s="92">
        <v>0.67</v>
      </c>
      <c r="F1285">
        <v>21</v>
      </c>
      <c r="G1285">
        <v>23</v>
      </c>
      <c r="H1285" t="s">
        <v>5615</v>
      </c>
      <c r="I1285">
        <v>0</v>
      </c>
      <c r="J1285" t="s">
        <v>87</v>
      </c>
      <c r="K1285">
        <v>0</v>
      </c>
      <c r="L1285">
        <v>0</v>
      </c>
    </row>
    <row r="1286" spans="1:12">
      <c r="A1286" s="93">
        <v>161341</v>
      </c>
      <c r="B1286" t="s">
        <v>1846</v>
      </c>
      <c r="C1286" t="s">
        <v>5602</v>
      </c>
      <c r="D1286" s="92">
        <v>0.41</v>
      </c>
      <c r="E1286" s="92">
        <v>0.15</v>
      </c>
      <c r="F1286" t="s">
        <v>428</v>
      </c>
      <c r="G1286" t="s">
        <v>428</v>
      </c>
      <c r="H1286" t="s">
        <v>5615</v>
      </c>
      <c r="I1286">
        <v>0</v>
      </c>
      <c r="J1286" t="s">
        <v>87</v>
      </c>
      <c r="K1286">
        <v>0</v>
      </c>
      <c r="L1286">
        <v>0</v>
      </c>
    </row>
    <row r="1287" spans="1:12">
      <c r="A1287" s="93">
        <v>161457</v>
      </c>
      <c r="B1287" t="s">
        <v>1847</v>
      </c>
      <c r="C1287" t="s">
        <v>5602</v>
      </c>
      <c r="D1287" s="92">
        <v>0.61</v>
      </c>
      <c r="E1287" s="92">
        <v>0.42</v>
      </c>
      <c r="F1287">
        <v>21</v>
      </c>
      <c r="G1287">
        <v>23.5</v>
      </c>
      <c r="H1287" t="s">
        <v>5617</v>
      </c>
      <c r="I1287">
        <v>0</v>
      </c>
      <c r="J1287" t="s">
        <v>87</v>
      </c>
      <c r="K1287">
        <v>0</v>
      </c>
      <c r="L1287">
        <v>0</v>
      </c>
    </row>
    <row r="1288" spans="1:12">
      <c r="A1288" s="93">
        <v>161484</v>
      </c>
      <c r="B1288" t="s">
        <v>1848</v>
      </c>
      <c r="C1288" t="s">
        <v>5606</v>
      </c>
      <c r="D1288" s="92">
        <v>0.44</v>
      </c>
      <c r="E1288" s="92">
        <v>0.29</v>
      </c>
      <c r="F1288" t="s">
        <v>428</v>
      </c>
      <c r="G1288" t="s">
        <v>428</v>
      </c>
      <c r="H1288" t="s">
        <v>5615</v>
      </c>
      <c r="I1288">
        <v>0</v>
      </c>
      <c r="J1288" t="s">
        <v>87</v>
      </c>
      <c r="K1288">
        <v>0</v>
      </c>
      <c r="L1288">
        <v>0</v>
      </c>
    </row>
    <row r="1289" spans="1:12">
      <c r="A1289" s="93">
        <v>161509</v>
      </c>
      <c r="B1289" t="s">
        <v>1849</v>
      </c>
      <c r="C1289" t="s">
        <v>5610</v>
      </c>
      <c r="D1289" s="92">
        <v>0.55</v>
      </c>
      <c r="E1289" s="92">
        <v>0.86</v>
      </c>
      <c r="F1289" t="s">
        <v>428</v>
      </c>
      <c r="G1289" t="s">
        <v>428</v>
      </c>
      <c r="H1289" t="s">
        <v>5617</v>
      </c>
      <c r="I1289">
        <v>0</v>
      </c>
      <c r="J1289" t="s">
        <v>87</v>
      </c>
      <c r="K1289">
        <v>0</v>
      </c>
      <c r="L1289">
        <v>0</v>
      </c>
    </row>
    <row r="1290" spans="1:12">
      <c r="A1290" s="93">
        <v>161518</v>
      </c>
      <c r="B1290" t="s">
        <v>1850</v>
      </c>
      <c r="C1290" t="s">
        <v>5602</v>
      </c>
      <c r="D1290" s="92">
        <v>0.57</v>
      </c>
      <c r="E1290" s="92">
        <v>0.25</v>
      </c>
      <c r="F1290">
        <v>14</v>
      </c>
      <c r="G1290">
        <v>16.5</v>
      </c>
      <c r="H1290" t="s">
        <v>5617</v>
      </c>
      <c r="I1290">
        <v>0</v>
      </c>
      <c r="J1290" t="s">
        <v>87</v>
      </c>
      <c r="K1290">
        <v>0</v>
      </c>
      <c r="L1290">
        <v>0</v>
      </c>
    </row>
    <row r="1291" spans="1:12">
      <c r="A1291" s="93">
        <v>161545</v>
      </c>
      <c r="B1291" t="s">
        <v>1851</v>
      </c>
      <c r="C1291" t="s">
        <v>5606</v>
      </c>
      <c r="D1291" s="92">
        <v>0.26</v>
      </c>
      <c r="E1291" s="92">
        <v>0.14</v>
      </c>
      <c r="F1291" t="s">
        <v>428</v>
      </c>
      <c r="G1291" t="s">
        <v>428</v>
      </c>
      <c r="H1291" t="s">
        <v>5615</v>
      </c>
      <c r="I1291">
        <v>0</v>
      </c>
      <c r="J1291" t="s">
        <v>87</v>
      </c>
      <c r="K1291">
        <v>0</v>
      </c>
      <c r="L1291">
        <v>0</v>
      </c>
    </row>
    <row r="1292" spans="1:12">
      <c r="A1292" s="93">
        <v>161554</v>
      </c>
      <c r="B1292" t="s">
        <v>1852</v>
      </c>
      <c r="C1292" t="s">
        <v>5602</v>
      </c>
      <c r="D1292" s="92">
        <v>0.33</v>
      </c>
      <c r="E1292" s="92">
        <v>0.2</v>
      </c>
      <c r="F1292">
        <v>15</v>
      </c>
      <c r="G1292">
        <v>18</v>
      </c>
      <c r="H1292" t="s">
        <v>5615</v>
      </c>
      <c r="I1292">
        <v>0</v>
      </c>
      <c r="J1292" t="s">
        <v>87</v>
      </c>
      <c r="K1292">
        <v>0</v>
      </c>
      <c r="L1292">
        <v>0</v>
      </c>
    </row>
    <row r="1293" spans="1:12">
      <c r="A1293" s="93">
        <v>161563</v>
      </c>
      <c r="B1293" t="s">
        <v>1853</v>
      </c>
      <c r="C1293" t="s">
        <v>5608</v>
      </c>
      <c r="D1293" s="92">
        <v>0.45</v>
      </c>
      <c r="E1293" s="92">
        <v>0.12</v>
      </c>
      <c r="F1293" t="s">
        <v>428</v>
      </c>
      <c r="G1293" t="s">
        <v>428</v>
      </c>
      <c r="H1293" t="s">
        <v>5617</v>
      </c>
      <c r="I1293">
        <v>0</v>
      </c>
      <c r="J1293" t="s">
        <v>87</v>
      </c>
      <c r="K1293">
        <v>0</v>
      </c>
      <c r="L1293">
        <v>0</v>
      </c>
    </row>
    <row r="1294" spans="1:12">
      <c r="A1294" s="93">
        <v>161572</v>
      </c>
      <c r="B1294" t="s">
        <v>1854</v>
      </c>
      <c r="C1294" t="s">
        <v>5602</v>
      </c>
      <c r="D1294" s="92">
        <v>0.57</v>
      </c>
      <c r="E1294" s="92">
        <v>0.39</v>
      </c>
      <c r="F1294" t="s">
        <v>428</v>
      </c>
      <c r="G1294" t="s">
        <v>428</v>
      </c>
      <c r="H1294" t="s">
        <v>5617</v>
      </c>
      <c r="I1294">
        <v>0</v>
      </c>
      <c r="J1294" t="s">
        <v>87</v>
      </c>
      <c r="K1294">
        <v>0</v>
      </c>
      <c r="L1294">
        <v>0</v>
      </c>
    </row>
    <row r="1295" spans="1:12">
      <c r="A1295" s="93">
        <v>161581</v>
      </c>
      <c r="B1295" t="s">
        <v>1855</v>
      </c>
      <c r="C1295" t="s">
        <v>5606</v>
      </c>
      <c r="D1295" s="92">
        <v>0.39</v>
      </c>
      <c r="E1295" s="92">
        <v>0.29</v>
      </c>
      <c r="F1295" t="s">
        <v>428</v>
      </c>
      <c r="G1295" t="s">
        <v>428</v>
      </c>
      <c r="H1295" t="s">
        <v>5615</v>
      </c>
      <c r="I1295">
        <v>0</v>
      </c>
      <c r="J1295" t="s">
        <v>87</v>
      </c>
      <c r="K1295">
        <v>0</v>
      </c>
      <c r="L1295">
        <v>0</v>
      </c>
    </row>
    <row r="1296" spans="1:12">
      <c r="A1296" s="93">
        <v>161688</v>
      </c>
      <c r="B1296" t="s">
        <v>1856</v>
      </c>
      <c r="C1296" t="s">
        <v>5606</v>
      </c>
      <c r="D1296" s="92">
        <v>0.28</v>
      </c>
      <c r="E1296" s="92">
        <v>0.22</v>
      </c>
      <c r="F1296" t="s">
        <v>428</v>
      </c>
      <c r="G1296" t="s">
        <v>428</v>
      </c>
      <c r="H1296" t="s">
        <v>5615</v>
      </c>
      <c r="I1296">
        <v>0</v>
      </c>
      <c r="J1296" t="s">
        <v>87</v>
      </c>
      <c r="K1296">
        <v>0</v>
      </c>
      <c r="L1296">
        <v>0</v>
      </c>
    </row>
    <row r="1297" spans="1:12">
      <c r="A1297" s="93">
        <v>161767</v>
      </c>
      <c r="B1297" t="s">
        <v>1857</v>
      </c>
      <c r="C1297" t="s">
        <v>5606</v>
      </c>
      <c r="D1297" s="92">
        <v>0.34</v>
      </c>
      <c r="E1297" s="92">
        <v>0.28</v>
      </c>
      <c r="F1297" t="s">
        <v>428</v>
      </c>
      <c r="G1297" t="s">
        <v>428</v>
      </c>
      <c r="H1297" t="s">
        <v>5615</v>
      </c>
      <c r="I1297">
        <v>0</v>
      </c>
      <c r="J1297" t="s">
        <v>87</v>
      </c>
      <c r="K1297">
        <v>0</v>
      </c>
      <c r="L1297">
        <v>0</v>
      </c>
    </row>
    <row r="1298" spans="1:12">
      <c r="A1298" s="93">
        <v>161776</v>
      </c>
      <c r="B1298" t="s">
        <v>1858</v>
      </c>
      <c r="C1298" t="s">
        <v>5606</v>
      </c>
      <c r="D1298" s="92" t="s">
        <v>428</v>
      </c>
      <c r="E1298" s="92" t="s">
        <v>428</v>
      </c>
      <c r="F1298" t="s">
        <v>428</v>
      </c>
      <c r="G1298" t="s">
        <v>428</v>
      </c>
      <c r="H1298" t="s">
        <v>5617</v>
      </c>
      <c r="I1298">
        <v>0</v>
      </c>
      <c r="J1298" t="s">
        <v>87</v>
      </c>
      <c r="K1298">
        <v>0</v>
      </c>
      <c r="L1298">
        <v>0</v>
      </c>
    </row>
    <row r="1299" spans="1:12">
      <c r="A1299" s="93">
        <v>161864</v>
      </c>
      <c r="B1299" t="s">
        <v>1859</v>
      </c>
      <c r="C1299" t="s">
        <v>5606</v>
      </c>
      <c r="D1299" s="92">
        <v>0.19</v>
      </c>
      <c r="E1299" s="92">
        <v>0.19</v>
      </c>
      <c r="F1299" t="s">
        <v>428</v>
      </c>
      <c r="G1299" t="s">
        <v>428</v>
      </c>
      <c r="H1299" t="s">
        <v>5615</v>
      </c>
      <c r="I1299">
        <v>0</v>
      </c>
      <c r="J1299" t="s">
        <v>87</v>
      </c>
      <c r="K1299">
        <v>0</v>
      </c>
      <c r="L1299">
        <v>0</v>
      </c>
    </row>
    <row r="1300" spans="1:12">
      <c r="A1300" s="93">
        <v>161873</v>
      </c>
      <c r="B1300" t="s">
        <v>1860</v>
      </c>
      <c r="C1300" t="s">
        <v>5608</v>
      </c>
      <c r="D1300" s="92">
        <v>0.37</v>
      </c>
      <c r="E1300" s="92">
        <v>0.31</v>
      </c>
      <c r="F1300">
        <v>14</v>
      </c>
      <c r="G1300">
        <v>17</v>
      </c>
      <c r="H1300" t="s">
        <v>5615</v>
      </c>
      <c r="I1300">
        <v>0</v>
      </c>
      <c r="J1300" t="s">
        <v>87</v>
      </c>
      <c r="K1300">
        <v>0</v>
      </c>
      <c r="L1300">
        <v>0</v>
      </c>
    </row>
    <row r="1301" spans="1:12">
      <c r="A1301" s="93">
        <v>162007</v>
      </c>
      <c r="B1301" t="s">
        <v>1861</v>
      </c>
      <c r="C1301" t="s">
        <v>5608</v>
      </c>
      <c r="D1301" s="92">
        <v>0.37</v>
      </c>
      <c r="E1301" s="92">
        <v>0.52</v>
      </c>
      <c r="F1301">
        <v>14</v>
      </c>
      <c r="G1301">
        <v>15.5</v>
      </c>
      <c r="H1301" t="s">
        <v>5615</v>
      </c>
      <c r="I1301">
        <v>0</v>
      </c>
      <c r="J1301" t="s">
        <v>138</v>
      </c>
      <c r="K1301">
        <v>0</v>
      </c>
      <c r="L1301">
        <v>0</v>
      </c>
    </row>
    <row r="1302" spans="1:12">
      <c r="A1302" s="93">
        <v>162061</v>
      </c>
      <c r="B1302" t="s">
        <v>1862</v>
      </c>
      <c r="C1302" t="s">
        <v>5602</v>
      </c>
      <c r="D1302" s="92">
        <v>0.41</v>
      </c>
      <c r="E1302" s="92">
        <v>0.34</v>
      </c>
      <c r="F1302">
        <v>15</v>
      </c>
      <c r="G1302">
        <v>19.5</v>
      </c>
      <c r="H1302" t="s">
        <v>5617</v>
      </c>
      <c r="I1302">
        <v>0</v>
      </c>
      <c r="J1302" t="s">
        <v>87</v>
      </c>
      <c r="K1302">
        <v>0</v>
      </c>
      <c r="L1302">
        <v>0</v>
      </c>
    </row>
    <row r="1303" spans="1:12">
      <c r="A1303" s="93">
        <v>162104</v>
      </c>
      <c r="B1303" t="s">
        <v>1863</v>
      </c>
      <c r="C1303" t="s">
        <v>5606</v>
      </c>
      <c r="D1303" s="92">
        <v>0.23</v>
      </c>
      <c r="E1303" s="92">
        <v>0.23</v>
      </c>
      <c r="F1303" t="s">
        <v>428</v>
      </c>
      <c r="G1303" t="s">
        <v>428</v>
      </c>
      <c r="H1303" t="s">
        <v>5615</v>
      </c>
      <c r="I1303">
        <v>0</v>
      </c>
      <c r="J1303" t="s">
        <v>87</v>
      </c>
      <c r="K1303">
        <v>0</v>
      </c>
      <c r="L1303">
        <v>0</v>
      </c>
    </row>
    <row r="1304" spans="1:12">
      <c r="A1304" s="93">
        <v>162122</v>
      </c>
      <c r="B1304" t="s">
        <v>1864</v>
      </c>
      <c r="C1304" t="s">
        <v>5606</v>
      </c>
      <c r="D1304" s="92">
        <v>0.32</v>
      </c>
      <c r="E1304" s="92">
        <v>0.24</v>
      </c>
      <c r="F1304" t="s">
        <v>428</v>
      </c>
      <c r="G1304" t="s">
        <v>428</v>
      </c>
      <c r="H1304" t="s">
        <v>5615</v>
      </c>
      <c r="I1304">
        <v>0</v>
      </c>
      <c r="J1304" t="s">
        <v>87</v>
      </c>
      <c r="K1304">
        <v>0</v>
      </c>
      <c r="L1304">
        <v>0</v>
      </c>
    </row>
    <row r="1305" spans="1:12">
      <c r="A1305" s="93">
        <v>162168</v>
      </c>
      <c r="B1305" t="s">
        <v>1865</v>
      </c>
      <c r="C1305" t="s">
        <v>5606</v>
      </c>
      <c r="D1305" s="92">
        <v>0.31</v>
      </c>
      <c r="E1305" s="92">
        <v>0.22</v>
      </c>
      <c r="F1305" t="s">
        <v>428</v>
      </c>
      <c r="G1305" t="s">
        <v>428</v>
      </c>
      <c r="H1305" t="s">
        <v>5615</v>
      </c>
      <c r="I1305">
        <v>0</v>
      </c>
      <c r="J1305" t="s">
        <v>87</v>
      </c>
      <c r="K1305">
        <v>0</v>
      </c>
      <c r="L1305">
        <v>0</v>
      </c>
    </row>
    <row r="1306" spans="1:12">
      <c r="A1306" s="93">
        <v>162210</v>
      </c>
      <c r="B1306" t="s">
        <v>1866</v>
      </c>
      <c r="C1306" t="s">
        <v>5608</v>
      </c>
      <c r="D1306" s="92">
        <v>0.38</v>
      </c>
      <c r="E1306" s="92">
        <v>0.36</v>
      </c>
      <c r="F1306">
        <v>12</v>
      </c>
      <c r="G1306">
        <v>15.5</v>
      </c>
      <c r="H1306" t="s">
        <v>5617</v>
      </c>
      <c r="I1306">
        <v>0</v>
      </c>
      <c r="J1306" t="s">
        <v>87</v>
      </c>
      <c r="K1306">
        <v>0</v>
      </c>
      <c r="L1306">
        <v>0</v>
      </c>
    </row>
    <row r="1307" spans="1:12">
      <c r="A1307" s="93">
        <v>162283</v>
      </c>
      <c r="B1307" t="s">
        <v>1867</v>
      </c>
      <c r="C1307" t="s">
        <v>5603</v>
      </c>
      <c r="D1307" s="92">
        <v>0.17</v>
      </c>
      <c r="E1307" s="92">
        <v>0.33</v>
      </c>
      <c r="F1307">
        <v>15</v>
      </c>
      <c r="G1307">
        <v>16.5</v>
      </c>
      <c r="H1307" t="s">
        <v>5615</v>
      </c>
      <c r="I1307">
        <v>0</v>
      </c>
      <c r="J1307" t="s">
        <v>138</v>
      </c>
      <c r="K1307">
        <v>0</v>
      </c>
      <c r="L1307">
        <v>0</v>
      </c>
    </row>
    <row r="1308" spans="1:12">
      <c r="A1308" s="93">
        <v>162557</v>
      </c>
      <c r="B1308" t="s">
        <v>1868</v>
      </c>
      <c r="C1308" t="s">
        <v>5606</v>
      </c>
      <c r="D1308" s="92">
        <v>0.36</v>
      </c>
      <c r="E1308" s="92">
        <v>0.25</v>
      </c>
      <c r="F1308" t="s">
        <v>428</v>
      </c>
      <c r="G1308" t="s">
        <v>428</v>
      </c>
      <c r="H1308" t="s">
        <v>5615</v>
      </c>
      <c r="I1308">
        <v>0</v>
      </c>
      <c r="J1308" t="s">
        <v>87</v>
      </c>
      <c r="K1308">
        <v>0</v>
      </c>
      <c r="L1308">
        <v>0</v>
      </c>
    </row>
    <row r="1309" spans="1:12">
      <c r="A1309" s="93">
        <v>162584</v>
      </c>
      <c r="B1309" t="s">
        <v>1869</v>
      </c>
      <c r="C1309" t="s">
        <v>5608</v>
      </c>
      <c r="D1309" s="92">
        <v>0.49</v>
      </c>
      <c r="E1309" s="92">
        <v>0.44</v>
      </c>
      <c r="F1309">
        <v>18</v>
      </c>
      <c r="G1309">
        <v>21</v>
      </c>
      <c r="H1309" t="s">
        <v>5615</v>
      </c>
      <c r="I1309">
        <v>0</v>
      </c>
      <c r="J1309" t="s">
        <v>87</v>
      </c>
      <c r="K1309">
        <v>0</v>
      </c>
      <c r="L1309">
        <v>0</v>
      </c>
    </row>
    <row r="1310" spans="1:12">
      <c r="A1310" s="93">
        <v>162609</v>
      </c>
      <c r="B1310" t="s">
        <v>1870</v>
      </c>
      <c r="C1310" t="s">
        <v>5606</v>
      </c>
      <c r="D1310" s="92">
        <v>0.4</v>
      </c>
      <c r="E1310" s="92">
        <v>0.33</v>
      </c>
      <c r="F1310" t="s">
        <v>428</v>
      </c>
      <c r="G1310" t="s">
        <v>428</v>
      </c>
      <c r="H1310" t="s">
        <v>5615</v>
      </c>
      <c r="I1310">
        <v>0</v>
      </c>
      <c r="J1310" t="s">
        <v>87</v>
      </c>
      <c r="K1310">
        <v>0</v>
      </c>
      <c r="L1310">
        <v>0</v>
      </c>
    </row>
    <row r="1311" spans="1:12">
      <c r="A1311" s="93">
        <v>162654</v>
      </c>
      <c r="B1311" t="s">
        <v>1871</v>
      </c>
      <c r="C1311" t="s">
        <v>5603</v>
      </c>
      <c r="D1311" s="92">
        <v>0.65</v>
      </c>
      <c r="E1311" s="92">
        <v>0.57</v>
      </c>
      <c r="F1311" t="s">
        <v>428</v>
      </c>
      <c r="G1311" t="s">
        <v>428</v>
      </c>
      <c r="H1311" t="s">
        <v>5617</v>
      </c>
      <c r="I1311">
        <v>0</v>
      </c>
      <c r="J1311" t="s">
        <v>87</v>
      </c>
      <c r="K1311">
        <v>0</v>
      </c>
      <c r="L1311">
        <v>0</v>
      </c>
    </row>
    <row r="1312" spans="1:12">
      <c r="A1312" s="93">
        <v>162681</v>
      </c>
      <c r="B1312" t="s">
        <v>1872</v>
      </c>
      <c r="C1312" t="s">
        <v>5604</v>
      </c>
      <c r="D1312" s="92" t="s">
        <v>428</v>
      </c>
      <c r="E1312" s="92" t="s">
        <v>428</v>
      </c>
      <c r="F1312" t="s">
        <v>428</v>
      </c>
      <c r="G1312" t="s">
        <v>428</v>
      </c>
      <c r="H1312" t="s">
        <v>5617</v>
      </c>
      <c r="I1312">
        <v>0</v>
      </c>
      <c r="J1312" t="s">
        <v>87</v>
      </c>
      <c r="K1312">
        <v>0</v>
      </c>
      <c r="L1312">
        <v>0</v>
      </c>
    </row>
    <row r="1313" spans="1:12">
      <c r="A1313" s="93">
        <v>162690</v>
      </c>
      <c r="B1313" t="s">
        <v>1873</v>
      </c>
      <c r="C1313" t="s">
        <v>5606</v>
      </c>
      <c r="D1313" s="92">
        <v>0.37</v>
      </c>
      <c r="E1313" s="92">
        <v>0.3</v>
      </c>
      <c r="F1313" t="s">
        <v>428</v>
      </c>
      <c r="G1313" t="s">
        <v>428</v>
      </c>
      <c r="H1313" t="s">
        <v>5615</v>
      </c>
      <c r="I1313">
        <v>0</v>
      </c>
      <c r="J1313" t="s">
        <v>87</v>
      </c>
      <c r="K1313">
        <v>0</v>
      </c>
      <c r="L1313">
        <v>0</v>
      </c>
    </row>
    <row r="1314" spans="1:12">
      <c r="A1314" s="93">
        <v>162706</v>
      </c>
      <c r="B1314" t="s">
        <v>1874</v>
      </c>
      <c r="C1314" t="s">
        <v>5606</v>
      </c>
      <c r="D1314" s="92">
        <v>0.41</v>
      </c>
      <c r="E1314" s="92">
        <v>0.26</v>
      </c>
      <c r="F1314" t="s">
        <v>428</v>
      </c>
      <c r="G1314" t="s">
        <v>428</v>
      </c>
      <c r="H1314" t="s">
        <v>5615</v>
      </c>
      <c r="I1314">
        <v>0</v>
      </c>
      <c r="J1314" t="s">
        <v>87</v>
      </c>
      <c r="K1314">
        <v>0</v>
      </c>
      <c r="L1314">
        <v>0</v>
      </c>
    </row>
    <row r="1315" spans="1:12">
      <c r="A1315" s="93">
        <v>162760</v>
      </c>
      <c r="B1315" t="s">
        <v>1875</v>
      </c>
      <c r="C1315" t="s">
        <v>5602</v>
      </c>
      <c r="D1315" s="92">
        <v>0.66</v>
      </c>
      <c r="E1315" s="92">
        <v>0.55</v>
      </c>
      <c r="F1315" t="s">
        <v>428</v>
      </c>
      <c r="G1315" t="s">
        <v>428</v>
      </c>
      <c r="H1315" t="s">
        <v>5616</v>
      </c>
      <c r="I1315">
        <v>0</v>
      </c>
      <c r="J1315" t="s">
        <v>87</v>
      </c>
      <c r="K1315">
        <v>0</v>
      </c>
      <c r="L1315">
        <v>0</v>
      </c>
    </row>
    <row r="1316" spans="1:12">
      <c r="A1316" s="93">
        <v>162779</v>
      </c>
      <c r="B1316" t="s">
        <v>1876</v>
      </c>
      <c r="C1316" t="s">
        <v>5606</v>
      </c>
      <c r="D1316" s="92">
        <v>0.24</v>
      </c>
      <c r="E1316" s="92">
        <v>0.17</v>
      </c>
      <c r="F1316" t="s">
        <v>428</v>
      </c>
      <c r="G1316" t="s">
        <v>428</v>
      </c>
      <c r="H1316" t="s">
        <v>5615</v>
      </c>
      <c r="I1316">
        <v>0</v>
      </c>
      <c r="J1316" t="s">
        <v>87</v>
      </c>
      <c r="K1316">
        <v>0</v>
      </c>
      <c r="L1316">
        <v>0</v>
      </c>
    </row>
    <row r="1317" spans="1:12">
      <c r="A1317" s="93">
        <v>162928</v>
      </c>
      <c r="B1317" t="s">
        <v>1877</v>
      </c>
      <c r="C1317" t="s">
        <v>5611</v>
      </c>
      <c r="D1317" s="92">
        <v>0.92</v>
      </c>
      <c r="E1317" s="92">
        <v>0.89</v>
      </c>
      <c r="F1317">
        <v>32</v>
      </c>
      <c r="G1317">
        <v>33</v>
      </c>
      <c r="H1317" t="s">
        <v>5619</v>
      </c>
      <c r="I1317">
        <v>1</v>
      </c>
      <c r="J1317" t="s">
        <v>87</v>
      </c>
      <c r="K1317">
        <v>0</v>
      </c>
      <c r="L1317">
        <v>0</v>
      </c>
    </row>
    <row r="1318" spans="1:12">
      <c r="A1318" s="93">
        <v>163028</v>
      </c>
      <c r="B1318" t="s">
        <v>1878</v>
      </c>
      <c r="C1318" t="s">
        <v>5606</v>
      </c>
      <c r="D1318" s="92" t="s">
        <v>428</v>
      </c>
      <c r="E1318" s="92" t="s">
        <v>428</v>
      </c>
      <c r="F1318" t="s">
        <v>428</v>
      </c>
      <c r="G1318" t="s">
        <v>428</v>
      </c>
      <c r="H1318" t="s">
        <v>5617</v>
      </c>
      <c r="I1318">
        <v>0</v>
      </c>
      <c r="J1318" t="s">
        <v>87</v>
      </c>
      <c r="K1318">
        <v>0</v>
      </c>
      <c r="L1318">
        <v>0</v>
      </c>
    </row>
    <row r="1319" spans="1:12">
      <c r="A1319" s="93">
        <v>163046</v>
      </c>
      <c r="B1319" t="s">
        <v>1879</v>
      </c>
      <c r="C1319" t="s">
        <v>5603</v>
      </c>
      <c r="D1319" s="92">
        <v>0.83</v>
      </c>
      <c r="E1319" s="92">
        <v>0.77</v>
      </c>
      <c r="F1319" t="s">
        <v>428</v>
      </c>
      <c r="G1319" t="s">
        <v>428</v>
      </c>
      <c r="H1319" t="s">
        <v>5618</v>
      </c>
      <c r="I1319">
        <v>0</v>
      </c>
      <c r="J1319" t="s">
        <v>87</v>
      </c>
      <c r="K1319">
        <v>0</v>
      </c>
      <c r="L1319">
        <v>0</v>
      </c>
    </row>
    <row r="1320" spans="1:12">
      <c r="A1320" s="93">
        <v>163204</v>
      </c>
      <c r="B1320" t="s">
        <v>1880</v>
      </c>
      <c r="C1320" t="s">
        <v>5608</v>
      </c>
      <c r="D1320" s="92">
        <v>0.09</v>
      </c>
      <c r="E1320" s="92">
        <v>0.06</v>
      </c>
      <c r="F1320" t="s">
        <v>428</v>
      </c>
      <c r="G1320" t="s">
        <v>428</v>
      </c>
      <c r="H1320" t="s">
        <v>5615</v>
      </c>
      <c r="I1320">
        <v>0</v>
      </c>
      <c r="J1320" t="s">
        <v>87</v>
      </c>
      <c r="K1320">
        <v>0</v>
      </c>
      <c r="L1320">
        <v>0</v>
      </c>
    </row>
    <row r="1321" spans="1:12">
      <c r="A1321" s="93">
        <v>163259</v>
      </c>
      <c r="B1321" t="s">
        <v>1881</v>
      </c>
      <c r="C1321" t="s">
        <v>5607</v>
      </c>
      <c r="D1321" s="92" t="s">
        <v>428</v>
      </c>
      <c r="E1321" s="92" t="s">
        <v>428</v>
      </c>
      <c r="F1321" t="s">
        <v>428</v>
      </c>
      <c r="G1321" t="s">
        <v>428</v>
      </c>
      <c r="H1321" t="s">
        <v>5615</v>
      </c>
      <c r="I1321">
        <v>0</v>
      </c>
      <c r="J1321" t="s">
        <v>87</v>
      </c>
      <c r="K1321">
        <v>0</v>
      </c>
      <c r="L1321">
        <v>0</v>
      </c>
    </row>
    <row r="1322" spans="1:12">
      <c r="A1322" s="93">
        <v>163268</v>
      </c>
      <c r="B1322" t="s">
        <v>1882</v>
      </c>
      <c r="C1322" t="s">
        <v>5603</v>
      </c>
      <c r="D1322" s="92">
        <v>0.64</v>
      </c>
      <c r="E1322" s="92">
        <v>0.57</v>
      </c>
      <c r="F1322">
        <v>24</v>
      </c>
      <c r="G1322">
        <v>26.5</v>
      </c>
      <c r="H1322" t="s">
        <v>5615</v>
      </c>
      <c r="I1322">
        <v>0</v>
      </c>
      <c r="J1322" t="s">
        <v>87</v>
      </c>
      <c r="K1322">
        <v>0</v>
      </c>
      <c r="L1322">
        <v>0</v>
      </c>
    </row>
    <row r="1323" spans="1:12">
      <c r="A1323" s="93">
        <v>163286</v>
      </c>
      <c r="B1323" t="s">
        <v>1883</v>
      </c>
      <c r="C1323" t="s">
        <v>5605</v>
      </c>
      <c r="D1323" s="92">
        <v>0.87</v>
      </c>
      <c r="E1323" s="92">
        <v>0.82</v>
      </c>
      <c r="F1323">
        <v>29</v>
      </c>
      <c r="G1323">
        <v>31</v>
      </c>
      <c r="H1323" t="s">
        <v>5615</v>
      </c>
      <c r="I1323">
        <v>0</v>
      </c>
      <c r="J1323" t="s">
        <v>87</v>
      </c>
      <c r="K1323">
        <v>0</v>
      </c>
      <c r="L1323">
        <v>0</v>
      </c>
    </row>
    <row r="1324" spans="1:12">
      <c r="A1324" s="93">
        <v>163295</v>
      </c>
      <c r="B1324" t="s">
        <v>542</v>
      </c>
      <c r="C1324" t="s">
        <v>5610</v>
      </c>
      <c r="D1324" s="92">
        <v>0.73</v>
      </c>
      <c r="E1324" s="92">
        <v>0.73</v>
      </c>
      <c r="F1324">
        <v>22</v>
      </c>
      <c r="G1324">
        <v>25</v>
      </c>
      <c r="H1324" t="s">
        <v>5617</v>
      </c>
      <c r="I1324">
        <v>0</v>
      </c>
      <c r="J1324" t="s">
        <v>87</v>
      </c>
      <c r="K1324">
        <v>0</v>
      </c>
      <c r="L1324">
        <v>0</v>
      </c>
    </row>
    <row r="1325" spans="1:12">
      <c r="A1325" s="93">
        <v>163338</v>
      </c>
      <c r="B1325" t="s">
        <v>1884</v>
      </c>
      <c r="C1325" t="s">
        <v>5602</v>
      </c>
      <c r="D1325" s="92">
        <v>0.36</v>
      </c>
      <c r="E1325" s="92">
        <v>0.52</v>
      </c>
      <c r="F1325">
        <v>14</v>
      </c>
      <c r="G1325">
        <v>15.5</v>
      </c>
      <c r="H1325" t="s">
        <v>5615</v>
      </c>
      <c r="I1325">
        <v>0</v>
      </c>
      <c r="J1325" t="s">
        <v>138</v>
      </c>
      <c r="K1325">
        <v>0</v>
      </c>
      <c r="L1325">
        <v>0</v>
      </c>
    </row>
    <row r="1326" spans="1:12">
      <c r="A1326" s="93">
        <v>163426</v>
      </c>
      <c r="B1326" t="s">
        <v>1885</v>
      </c>
      <c r="C1326" t="s">
        <v>5606</v>
      </c>
      <c r="D1326" s="92">
        <v>0.29</v>
      </c>
      <c r="E1326" s="92">
        <v>0.23</v>
      </c>
      <c r="F1326" t="s">
        <v>428</v>
      </c>
      <c r="G1326" t="s">
        <v>428</v>
      </c>
      <c r="H1326" t="s">
        <v>5615</v>
      </c>
      <c r="I1326">
        <v>0</v>
      </c>
      <c r="J1326" t="s">
        <v>87</v>
      </c>
      <c r="K1326">
        <v>0</v>
      </c>
      <c r="L1326">
        <v>0</v>
      </c>
    </row>
    <row r="1327" spans="1:12">
      <c r="A1327" s="93">
        <v>163453</v>
      </c>
      <c r="B1327" t="s">
        <v>1886</v>
      </c>
      <c r="C1327" t="s">
        <v>5608</v>
      </c>
      <c r="D1327" s="92">
        <v>0.32</v>
      </c>
      <c r="E1327" s="92">
        <v>0.46</v>
      </c>
      <c r="F1327">
        <v>14</v>
      </c>
      <c r="G1327">
        <v>16.5</v>
      </c>
      <c r="H1327" t="s">
        <v>5617</v>
      </c>
      <c r="I1327">
        <v>0</v>
      </c>
      <c r="J1327" t="s">
        <v>138</v>
      </c>
      <c r="K1327">
        <v>0</v>
      </c>
      <c r="L1327">
        <v>0</v>
      </c>
    </row>
    <row r="1328" spans="1:12">
      <c r="A1328" s="93">
        <v>163462</v>
      </c>
      <c r="B1328" t="s">
        <v>1887</v>
      </c>
      <c r="C1328" t="s">
        <v>5602</v>
      </c>
      <c r="D1328" s="92">
        <v>0.68</v>
      </c>
      <c r="E1328" s="92">
        <v>0.64</v>
      </c>
      <c r="F1328">
        <v>17</v>
      </c>
      <c r="G1328">
        <v>20.5</v>
      </c>
      <c r="H1328" t="s">
        <v>5617</v>
      </c>
      <c r="I1328">
        <v>0</v>
      </c>
      <c r="J1328" t="s">
        <v>87</v>
      </c>
      <c r="K1328">
        <v>0</v>
      </c>
      <c r="L1328">
        <v>0</v>
      </c>
    </row>
    <row r="1329" spans="1:12">
      <c r="A1329" s="93">
        <v>163532</v>
      </c>
      <c r="B1329" t="s">
        <v>1888</v>
      </c>
      <c r="C1329" t="s">
        <v>5607</v>
      </c>
      <c r="D1329" s="92">
        <v>0.47</v>
      </c>
      <c r="E1329" s="92" t="s">
        <v>428</v>
      </c>
      <c r="F1329" t="s">
        <v>428</v>
      </c>
      <c r="G1329" t="s">
        <v>428</v>
      </c>
      <c r="H1329" t="s">
        <v>5617</v>
      </c>
      <c r="I1329">
        <v>0</v>
      </c>
      <c r="J1329" t="s">
        <v>87</v>
      </c>
      <c r="K1329">
        <v>0</v>
      </c>
      <c r="L1329">
        <v>0</v>
      </c>
    </row>
    <row r="1330" spans="1:12">
      <c r="A1330" s="93">
        <v>163578</v>
      </c>
      <c r="B1330" t="s">
        <v>1889</v>
      </c>
      <c r="C1330" t="s">
        <v>5603</v>
      </c>
      <c r="D1330" s="92">
        <v>0.54</v>
      </c>
      <c r="E1330" s="92">
        <v>0.48</v>
      </c>
      <c r="F1330">
        <v>18</v>
      </c>
      <c r="G1330">
        <v>20.5</v>
      </c>
      <c r="H1330" t="s">
        <v>5617</v>
      </c>
      <c r="I1330">
        <v>0</v>
      </c>
      <c r="J1330" t="s">
        <v>87</v>
      </c>
      <c r="K1330">
        <v>0</v>
      </c>
      <c r="L1330">
        <v>0</v>
      </c>
    </row>
    <row r="1331" spans="1:12">
      <c r="A1331" s="93">
        <v>163657</v>
      </c>
      <c r="B1331" t="s">
        <v>1890</v>
      </c>
      <c r="C1331" t="s">
        <v>5606</v>
      </c>
      <c r="D1331" s="92">
        <v>0.17</v>
      </c>
      <c r="E1331" s="92">
        <v>0.15</v>
      </c>
      <c r="F1331" t="s">
        <v>428</v>
      </c>
      <c r="G1331" t="s">
        <v>428</v>
      </c>
      <c r="H1331" t="s">
        <v>5615</v>
      </c>
      <c r="I1331">
        <v>0</v>
      </c>
      <c r="J1331" t="s">
        <v>87</v>
      </c>
      <c r="K1331">
        <v>0</v>
      </c>
      <c r="L1331">
        <v>0</v>
      </c>
    </row>
    <row r="1332" spans="1:12">
      <c r="A1332" s="93">
        <v>163736</v>
      </c>
      <c r="B1332" t="s">
        <v>1891</v>
      </c>
      <c r="C1332" t="s">
        <v>5606</v>
      </c>
      <c r="D1332" s="92" t="s">
        <v>428</v>
      </c>
      <c r="E1332" s="92" t="s">
        <v>428</v>
      </c>
      <c r="F1332" t="s">
        <v>428</v>
      </c>
      <c r="G1332" t="s">
        <v>428</v>
      </c>
      <c r="H1332" t="s">
        <v>5617</v>
      </c>
      <c r="I1332">
        <v>0</v>
      </c>
      <c r="J1332" t="s">
        <v>87</v>
      </c>
      <c r="K1332">
        <v>0</v>
      </c>
      <c r="L1332">
        <v>0</v>
      </c>
    </row>
    <row r="1333" spans="1:12">
      <c r="A1333" s="93">
        <v>163851</v>
      </c>
      <c r="B1333" t="s">
        <v>1892</v>
      </c>
      <c r="C1333" t="s">
        <v>5603</v>
      </c>
      <c r="D1333" s="92">
        <v>0.6899999999999999</v>
      </c>
      <c r="E1333" s="92">
        <v>0.68</v>
      </c>
      <c r="F1333" t="s">
        <v>428</v>
      </c>
      <c r="G1333" t="s">
        <v>428</v>
      </c>
      <c r="H1333" t="s">
        <v>5615</v>
      </c>
      <c r="I1333">
        <v>0</v>
      </c>
      <c r="J1333" t="s">
        <v>87</v>
      </c>
      <c r="K1333">
        <v>0</v>
      </c>
      <c r="L1333">
        <v>0</v>
      </c>
    </row>
    <row r="1334" spans="1:12">
      <c r="A1334" s="93">
        <v>163912</v>
      </c>
      <c r="B1334" t="s">
        <v>1893</v>
      </c>
      <c r="C1334" t="s">
        <v>5603</v>
      </c>
      <c r="D1334" s="92">
        <v>0.78</v>
      </c>
      <c r="E1334" s="92">
        <v>0.77</v>
      </c>
      <c r="F1334">
        <v>23</v>
      </c>
      <c r="G1334">
        <v>26</v>
      </c>
      <c r="H1334" t="s">
        <v>5615</v>
      </c>
      <c r="I1334">
        <v>0</v>
      </c>
      <c r="J1334" t="s">
        <v>87</v>
      </c>
      <c r="K1334">
        <v>0</v>
      </c>
      <c r="L1334">
        <v>0</v>
      </c>
    </row>
    <row r="1335" spans="1:12">
      <c r="A1335" s="93">
        <v>163921</v>
      </c>
      <c r="B1335" t="s">
        <v>1894</v>
      </c>
      <c r="C1335" t="s">
        <v>5607</v>
      </c>
      <c r="D1335" s="92">
        <v>0.2</v>
      </c>
      <c r="E1335" s="92">
        <v>0.19</v>
      </c>
      <c r="F1335" t="s">
        <v>428</v>
      </c>
      <c r="G1335" t="s">
        <v>428</v>
      </c>
      <c r="H1335" t="s">
        <v>5617</v>
      </c>
      <c r="I1335">
        <v>0</v>
      </c>
      <c r="J1335" t="s">
        <v>87</v>
      </c>
      <c r="K1335">
        <v>0</v>
      </c>
      <c r="L1335">
        <v>0</v>
      </c>
    </row>
    <row r="1336" spans="1:12">
      <c r="A1336" s="93">
        <v>163976</v>
      </c>
      <c r="B1336" t="s">
        <v>1895</v>
      </c>
      <c r="C1336" t="s">
        <v>5612</v>
      </c>
      <c r="D1336" s="92">
        <v>0.73</v>
      </c>
      <c r="E1336" s="92">
        <v>0.6</v>
      </c>
      <c r="F1336">
        <v>27</v>
      </c>
      <c r="G1336">
        <v>30</v>
      </c>
      <c r="H1336" t="s">
        <v>5617</v>
      </c>
      <c r="I1336">
        <v>0</v>
      </c>
      <c r="J1336" t="s">
        <v>87</v>
      </c>
      <c r="K1336">
        <v>0</v>
      </c>
      <c r="L1336">
        <v>0</v>
      </c>
    </row>
    <row r="1337" spans="1:12">
      <c r="A1337" s="93">
        <v>164058</v>
      </c>
      <c r="B1337" t="s">
        <v>1896</v>
      </c>
      <c r="C1337" t="s">
        <v>5606</v>
      </c>
      <c r="D1337" s="92" t="s">
        <v>428</v>
      </c>
      <c r="E1337" s="92" t="s">
        <v>428</v>
      </c>
      <c r="F1337" t="s">
        <v>428</v>
      </c>
      <c r="G1337" t="s">
        <v>428</v>
      </c>
      <c r="H1337" t="s">
        <v>5617</v>
      </c>
      <c r="I1337">
        <v>0</v>
      </c>
      <c r="J1337" t="s">
        <v>87</v>
      </c>
      <c r="K1337">
        <v>0</v>
      </c>
      <c r="L1337">
        <v>0</v>
      </c>
    </row>
    <row r="1338" spans="1:12">
      <c r="A1338" s="93">
        <v>164076</v>
      </c>
      <c r="B1338" t="s">
        <v>1897</v>
      </c>
      <c r="C1338" t="s">
        <v>5603</v>
      </c>
      <c r="D1338" s="92">
        <v>0.71</v>
      </c>
      <c r="E1338" s="92">
        <v>0.66</v>
      </c>
      <c r="F1338">
        <v>21</v>
      </c>
      <c r="G1338">
        <v>23</v>
      </c>
      <c r="H1338" t="s">
        <v>5615</v>
      </c>
      <c r="I1338">
        <v>0</v>
      </c>
      <c r="J1338" t="s">
        <v>87</v>
      </c>
      <c r="K1338">
        <v>0</v>
      </c>
      <c r="L1338">
        <v>0</v>
      </c>
    </row>
    <row r="1339" spans="1:12">
      <c r="A1339" s="93">
        <v>164085</v>
      </c>
      <c r="B1339" t="s">
        <v>1898</v>
      </c>
      <c r="C1339" t="s">
        <v>5607</v>
      </c>
      <c r="D1339" s="92" t="s">
        <v>428</v>
      </c>
      <c r="E1339" s="92" t="s">
        <v>428</v>
      </c>
      <c r="F1339" t="s">
        <v>428</v>
      </c>
      <c r="G1339" t="s">
        <v>428</v>
      </c>
      <c r="H1339" t="s">
        <v>5615</v>
      </c>
      <c r="I1339">
        <v>0</v>
      </c>
      <c r="J1339" t="s">
        <v>87</v>
      </c>
      <c r="K1339">
        <v>0</v>
      </c>
      <c r="L1339">
        <v>0</v>
      </c>
    </row>
    <row r="1340" spans="1:12">
      <c r="A1340" s="93">
        <v>164155</v>
      </c>
      <c r="B1340" t="s">
        <v>1899</v>
      </c>
      <c r="C1340" t="s">
        <v>5611</v>
      </c>
      <c r="D1340" s="92">
        <v>0.86</v>
      </c>
      <c r="E1340" s="92">
        <v>0.78</v>
      </c>
      <c r="F1340">
        <v>26</v>
      </c>
      <c r="G1340">
        <v>28.5</v>
      </c>
      <c r="H1340" t="s">
        <v>5614</v>
      </c>
      <c r="I1340">
        <v>1</v>
      </c>
      <c r="J1340" t="s">
        <v>87</v>
      </c>
      <c r="K1340">
        <v>0</v>
      </c>
      <c r="L1340">
        <v>0</v>
      </c>
    </row>
    <row r="1341" spans="1:12">
      <c r="A1341" s="93">
        <v>164173</v>
      </c>
      <c r="B1341" t="s">
        <v>1900</v>
      </c>
      <c r="C1341" t="s">
        <v>5602</v>
      </c>
      <c r="D1341" s="92">
        <v>0.5600000000000001</v>
      </c>
      <c r="E1341" s="92">
        <v>0.45</v>
      </c>
      <c r="F1341">
        <v>19</v>
      </c>
      <c r="G1341">
        <v>22</v>
      </c>
      <c r="H1341" t="s">
        <v>5617</v>
      </c>
      <c r="I1341">
        <v>0</v>
      </c>
      <c r="J1341" t="s">
        <v>87</v>
      </c>
      <c r="K1341">
        <v>0</v>
      </c>
      <c r="L1341">
        <v>0</v>
      </c>
    </row>
    <row r="1342" spans="1:12">
      <c r="A1342" s="93">
        <v>164216</v>
      </c>
      <c r="B1342" t="s">
        <v>1901</v>
      </c>
      <c r="C1342" t="s">
        <v>5603</v>
      </c>
      <c r="D1342" s="92">
        <v>0.74</v>
      </c>
      <c r="E1342" s="92">
        <v>0.64</v>
      </c>
      <c r="F1342" t="s">
        <v>428</v>
      </c>
      <c r="G1342" t="s">
        <v>428</v>
      </c>
      <c r="H1342" t="s">
        <v>5617</v>
      </c>
      <c r="I1342">
        <v>0</v>
      </c>
      <c r="J1342" t="s">
        <v>87</v>
      </c>
      <c r="K1342">
        <v>0</v>
      </c>
      <c r="L1342">
        <v>0</v>
      </c>
    </row>
    <row r="1343" spans="1:12">
      <c r="A1343" s="93">
        <v>164270</v>
      </c>
      <c r="B1343" t="s">
        <v>1902</v>
      </c>
      <c r="C1343" t="s">
        <v>5603</v>
      </c>
      <c r="D1343" s="92">
        <v>0.6899999999999999</v>
      </c>
      <c r="E1343" s="92">
        <v>0.67</v>
      </c>
      <c r="F1343">
        <v>21</v>
      </c>
      <c r="G1343">
        <v>24.5</v>
      </c>
      <c r="H1343" t="s">
        <v>5616</v>
      </c>
      <c r="I1343">
        <v>0</v>
      </c>
      <c r="J1343" t="s">
        <v>87</v>
      </c>
      <c r="K1343">
        <v>0</v>
      </c>
      <c r="L1343">
        <v>0</v>
      </c>
    </row>
    <row r="1344" spans="1:12">
      <c r="A1344" s="93">
        <v>164313</v>
      </c>
      <c r="B1344" t="s">
        <v>1903</v>
      </c>
      <c r="C1344" t="s">
        <v>5606</v>
      </c>
      <c r="D1344" s="92">
        <v>0.32</v>
      </c>
      <c r="E1344" s="92">
        <v>0.22</v>
      </c>
      <c r="F1344" t="s">
        <v>428</v>
      </c>
      <c r="G1344" t="s">
        <v>428</v>
      </c>
      <c r="H1344" t="s">
        <v>5615</v>
      </c>
      <c r="I1344">
        <v>0</v>
      </c>
      <c r="J1344" t="s">
        <v>87</v>
      </c>
      <c r="K1344">
        <v>0</v>
      </c>
      <c r="L1344">
        <v>0</v>
      </c>
    </row>
    <row r="1345" spans="1:12">
      <c r="A1345" s="93">
        <v>164368</v>
      </c>
      <c r="B1345" t="s">
        <v>1904</v>
      </c>
      <c r="C1345" t="s">
        <v>5607</v>
      </c>
      <c r="D1345" s="92" t="s">
        <v>428</v>
      </c>
      <c r="E1345" s="92" t="s">
        <v>428</v>
      </c>
      <c r="F1345" t="s">
        <v>428</v>
      </c>
      <c r="G1345" t="s">
        <v>428</v>
      </c>
      <c r="H1345" t="s">
        <v>5615</v>
      </c>
      <c r="I1345">
        <v>0</v>
      </c>
      <c r="J1345" t="s">
        <v>87</v>
      </c>
      <c r="K1345">
        <v>0</v>
      </c>
      <c r="L1345">
        <v>0</v>
      </c>
    </row>
    <row r="1346" spans="1:12">
      <c r="A1346" s="93">
        <v>164438</v>
      </c>
      <c r="B1346" t="s">
        <v>1905</v>
      </c>
      <c r="C1346" t="s">
        <v>5604</v>
      </c>
      <c r="D1346" s="92">
        <v>0.29</v>
      </c>
      <c r="E1346" s="92">
        <v>0.43</v>
      </c>
      <c r="F1346" t="s">
        <v>428</v>
      </c>
      <c r="G1346" t="s">
        <v>428</v>
      </c>
      <c r="H1346" t="s">
        <v>5617</v>
      </c>
      <c r="I1346">
        <v>0</v>
      </c>
      <c r="J1346" t="s">
        <v>87</v>
      </c>
      <c r="K1346">
        <v>0</v>
      </c>
      <c r="L1346">
        <v>0</v>
      </c>
    </row>
    <row r="1347" spans="1:12">
      <c r="A1347" s="93">
        <v>164447</v>
      </c>
      <c r="B1347" t="s">
        <v>1906</v>
      </c>
      <c r="C1347" t="s">
        <v>5608</v>
      </c>
      <c r="D1347" s="92">
        <v>0.4</v>
      </c>
      <c r="E1347" s="92">
        <v>0.32</v>
      </c>
      <c r="F1347">
        <v>13</v>
      </c>
      <c r="G1347">
        <v>16</v>
      </c>
      <c r="H1347" t="s">
        <v>5617</v>
      </c>
      <c r="I1347">
        <v>0</v>
      </c>
      <c r="J1347" t="s">
        <v>87</v>
      </c>
      <c r="K1347">
        <v>0</v>
      </c>
      <c r="L1347">
        <v>0</v>
      </c>
    </row>
    <row r="1348" spans="1:12">
      <c r="A1348" s="93">
        <v>164465</v>
      </c>
      <c r="B1348" t="s">
        <v>1907</v>
      </c>
      <c r="C1348" t="s">
        <v>5611</v>
      </c>
      <c r="D1348" s="92">
        <v>0.93</v>
      </c>
      <c r="E1348" s="92">
        <v>0.9</v>
      </c>
      <c r="F1348">
        <v>31</v>
      </c>
      <c r="G1348">
        <v>32.5</v>
      </c>
      <c r="H1348" t="s">
        <v>5619</v>
      </c>
      <c r="I1348">
        <v>1</v>
      </c>
      <c r="J1348" t="s">
        <v>87</v>
      </c>
      <c r="K1348">
        <v>0</v>
      </c>
      <c r="L1348">
        <v>0</v>
      </c>
    </row>
    <row r="1349" spans="1:12">
      <c r="A1349" s="93">
        <v>164474</v>
      </c>
      <c r="B1349" t="s">
        <v>1908</v>
      </c>
      <c r="C1349" t="s">
        <v>5607</v>
      </c>
      <c r="D1349" s="92" t="s">
        <v>428</v>
      </c>
      <c r="E1349" s="92" t="s">
        <v>428</v>
      </c>
      <c r="F1349" t="s">
        <v>428</v>
      </c>
      <c r="G1349" t="s">
        <v>428</v>
      </c>
      <c r="H1349" t="s">
        <v>5615</v>
      </c>
      <c r="I1349">
        <v>0</v>
      </c>
      <c r="J1349" t="s">
        <v>87</v>
      </c>
      <c r="K1349">
        <v>0</v>
      </c>
      <c r="L1349">
        <v>0</v>
      </c>
    </row>
    <row r="1350" spans="1:12">
      <c r="A1350" s="93">
        <v>164492</v>
      </c>
      <c r="B1350" t="s">
        <v>1909</v>
      </c>
      <c r="C1350" t="s">
        <v>5602</v>
      </c>
      <c r="D1350" s="92">
        <v>0.37</v>
      </c>
      <c r="E1350" s="92">
        <v>0.28</v>
      </c>
      <c r="F1350" t="s">
        <v>428</v>
      </c>
      <c r="G1350" t="s">
        <v>428</v>
      </c>
      <c r="H1350" t="s">
        <v>5617</v>
      </c>
      <c r="I1350">
        <v>0</v>
      </c>
      <c r="J1350" t="s">
        <v>87</v>
      </c>
      <c r="K1350">
        <v>0</v>
      </c>
      <c r="L1350">
        <v>0</v>
      </c>
    </row>
    <row r="1351" spans="1:12">
      <c r="A1351" s="93">
        <v>164562</v>
      </c>
      <c r="B1351" t="s">
        <v>1910</v>
      </c>
      <c r="C1351" t="s">
        <v>5602</v>
      </c>
      <c r="D1351" s="92">
        <v>0.72</v>
      </c>
      <c r="E1351" s="92">
        <v>0.63</v>
      </c>
      <c r="F1351" t="s">
        <v>428</v>
      </c>
      <c r="G1351" t="s">
        <v>428</v>
      </c>
      <c r="H1351" t="s">
        <v>5617</v>
      </c>
      <c r="I1351">
        <v>0</v>
      </c>
      <c r="J1351" t="s">
        <v>87</v>
      </c>
      <c r="K1351">
        <v>0</v>
      </c>
      <c r="L1351">
        <v>0</v>
      </c>
    </row>
    <row r="1352" spans="1:12">
      <c r="A1352" s="93">
        <v>164580</v>
      </c>
      <c r="B1352" t="s">
        <v>1911</v>
      </c>
      <c r="C1352" t="s">
        <v>5605</v>
      </c>
      <c r="D1352" s="92">
        <v>0.91</v>
      </c>
      <c r="E1352" s="92">
        <v>0.92</v>
      </c>
      <c r="F1352">
        <v>27</v>
      </c>
      <c r="G1352">
        <v>29</v>
      </c>
      <c r="H1352" t="s">
        <v>5618</v>
      </c>
      <c r="I1352">
        <v>0</v>
      </c>
      <c r="J1352" t="s">
        <v>87</v>
      </c>
      <c r="K1352">
        <v>0</v>
      </c>
      <c r="L1352">
        <v>0</v>
      </c>
    </row>
    <row r="1353" spans="1:12">
      <c r="A1353" s="93">
        <v>164614</v>
      </c>
      <c r="B1353" t="s">
        <v>1912</v>
      </c>
      <c r="C1353" t="s">
        <v>5604</v>
      </c>
      <c r="D1353" s="92">
        <v>0.35</v>
      </c>
      <c r="E1353" s="92">
        <v>0.5</v>
      </c>
      <c r="F1353">
        <v>13</v>
      </c>
      <c r="G1353">
        <v>16</v>
      </c>
      <c r="H1353" t="s">
        <v>5617</v>
      </c>
      <c r="I1353">
        <v>0</v>
      </c>
      <c r="J1353" t="s">
        <v>87</v>
      </c>
      <c r="K1353">
        <v>0</v>
      </c>
      <c r="L1353">
        <v>0</v>
      </c>
    </row>
    <row r="1354" spans="1:12">
      <c r="A1354" s="93">
        <v>164632</v>
      </c>
      <c r="B1354" t="s">
        <v>1913</v>
      </c>
      <c r="C1354" t="s">
        <v>5602</v>
      </c>
      <c r="D1354" s="92">
        <v>0.59</v>
      </c>
      <c r="E1354" s="92">
        <v>0.51</v>
      </c>
      <c r="F1354">
        <v>15</v>
      </c>
      <c r="G1354">
        <v>18</v>
      </c>
      <c r="H1354" t="s">
        <v>5617</v>
      </c>
      <c r="I1354">
        <v>0</v>
      </c>
      <c r="J1354" t="s">
        <v>87</v>
      </c>
      <c r="K1354">
        <v>0</v>
      </c>
      <c r="L1354">
        <v>0</v>
      </c>
    </row>
    <row r="1355" spans="1:12">
      <c r="A1355" s="93">
        <v>164641</v>
      </c>
      <c r="B1355" t="s">
        <v>1914</v>
      </c>
      <c r="C1355" t="s">
        <v>5607</v>
      </c>
      <c r="D1355" s="92">
        <v>0.31</v>
      </c>
      <c r="E1355" s="92">
        <v>0.29</v>
      </c>
      <c r="F1355" t="s">
        <v>428</v>
      </c>
      <c r="G1355" t="s">
        <v>428</v>
      </c>
      <c r="H1355" t="s">
        <v>5617</v>
      </c>
      <c r="I1355">
        <v>0</v>
      </c>
      <c r="J1355" t="s">
        <v>87</v>
      </c>
      <c r="K1355">
        <v>0</v>
      </c>
      <c r="L1355">
        <v>0</v>
      </c>
    </row>
    <row r="1356" spans="1:12">
      <c r="A1356" s="93">
        <v>164720</v>
      </c>
      <c r="B1356" t="s">
        <v>1915</v>
      </c>
      <c r="C1356" t="s">
        <v>5602</v>
      </c>
      <c r="D1356" s="92">
        <v>0.31</v>
      </c>
      <c r="E1356" s="92">
        <v>0.17</v>
      </c>
      <c r="F1356">
        <v>17</v>
      </c>
      <c r="G1356">
        <v>20</v>
      </c>
      <c r="H1356" t="s">
        <v>5617</v>
      </c>
      <c r="I1356">
        <v>0</v>
      </c>
      <c r="J1356" t="s">
        <v>87</v>
      </c>
      <c r="K1356">
        <v>0</v>
      </c>
      <c r="L1356">
        <v>0</v>
      </c>
    </row>
    <row r="1357" spans="1:12">
      <c r="A1357" s="93">
        <v>164739</v>
      </c>
      <c r="B1357" t="s">
        <v>1916</v>
      </c>
      <c r="C1357" t="s">
        <v>5605</v>
      </c>
      <c r="D1357" s="92">
        <v>0.89</v>
      </c>
      <c r="E1357" s="92">
        <v>0.83</v>
      </c>
      <c r="F1357">
        <v>25</v>
      </c>
      <c r="G1357">
        <v>27.5</v>
      </c>
      <c r="H1357" t="s">
        <v>5618</v>
      </c>
      <c r="I1357">
        <v>0</v>
      </c>
      <c r="J1357" t="s">
        <v>87</v>
      </c>
      <c r="K1357">
        <v>0</v>
      </c>
      <c r="L1357">
        <v>0</v>
      </c>
    </row>
    <row r="1358" spans="1:12">
      <c r="A1358" s="93">
        <v>164748</v>
      </c>
      <c r="B1358" t="s">
        <v>1917</v>
      </c>
      <c r="C1358" t="s">
        <v>5602</v>
      </c>
      <c r="D1358" s="92">
        <v>0.58</v>
      </c>
      <c r="E1358" s="92">
        <v>0.5</v>
      </c>
      <c r="F1358" t="s">
        <v>428</v>
      </c>
      <c r="G1358" t="s">
        <v>428</v>
      </c>
      <c r="H1358" t="s">
        <v>5618</v>
      </c>
      <c r="I1358">
        <v>0</v>
      </c>
      <c r="J1358" t="s">
        <v>87</v>
      </c>
      <c r="K1358">
        <v>0</v>
      </c>
      <c r="L1358">
        <v>0</v>
      </c>
    </row>
    <row r="1359" spans="1:12">
      <c r="A1359" s="93">
        <v>164775</v>
      </c>
      <c r="B1359" t="s">
        <v>1918</v>
      </c>
      <c r="C1359" t="s">
        <v>5606</v>
      </c>
      <c r="D1359" s="92">
        <v>0.28</v>
      </c>
      <c r="E1359" s="92">
        <v>0.19</v>
      </c>
      <c r="F1359" t="s">
        <v>428</v>
      </c>
      <c r="G1359" t="s">
        <v>428</v>
      </c>
      <c r="H1359" t="s">
        <v>5615</v>
      </c>
      <c r="I1359">
        <v>0</v>
      </c>
      <c r="J1359" t="s">
        <v>87</v>
      </c>
      <c r="K1359">
        <v>0</v>
      </c>
      <c r="L1359">
        <v>0</v>
      </c>
    </row>
    <row r="1360" spans="1:12">
      <c r="A1360" s="93">
        <v>164872</v>
      </c>
      <c r="B1360" t="s">
        <v>1919</v>
      </c>
      <c r="C1360" t="s">
        <v>5604</v>
      </c>
      <c r="D1360" s="92">
        <v>0.08</v>
      </c>
      <c r="E1360" s="92">
        <v>0.05</v>
      </c>
      <c r="F1360" t="s">
        <v>428</v>
      </c>
      <c r="G1360" t="s">
        <v>428</v>
      </c>
      <c r="H1360" t="s">
        <v>5617</v>
      </c>
      <c r="I1360">
        <v>0</v>
      </c>
      <c r="J1360" t="s">
        <v>87</v>
      </c>
      <c r="K1360">
        <v>0</v>
      </c>
      <c r="L1360">
        <v>0</v>
      </c>
    </row>
    <row r="1361" spans="1:12">
      <c r="A1361" s="93">
        <v>164915</v>
      </c>
      <c r="B1361" t="s">
        <v>1920</v>
      </c>
      <c r="C1361" t="s">
        <v>5607</v>
      </c>
      <c r="D1361" s="92" t="s">
        <v>428</v>
      </c>
      <c r="E1361" s="92" t="s">
        <v>428</v>
      </c>
      <c r="F1361" t="s">
        <v>428</v>
      </c>
      <c r="G1361" t="s">
        <v>428</v>
      </c>
      <c r="H1361" t="s">
        <v>5615</v>
      </c>
      <c r="I1361">
        <v>0</v>
      </c>
      <c r="J1361" t="s">
        <v>87</v>
      </c>
      <c r="K1361">
        <v>0</v>
      </c>
      <c r="L1361">
        <v>0</v>
      </c>
    </row>
    <row r="1362" spans="1:12">
      <c r="A1362" s="93">
        <v>164924</v>
      </c>
      <c r="B1362" t="s">
        <v>1921</v>
      </c>
      <c r="C1362" t="s">
        <v>5612</v>
      </c>
      <c r="D1362" s="92">
        <v>0.93</v>
      </c>
      <c r="E1362" s="92">
        <v>0.89</v>
      </c>
      <c r="F1362">
        <v>30</v>
      </c>
      <c r="G1362">
        <v>31.5</v>
      </c>
      <c r="H1362" t="s">
        <v>5623</v>
      </c>
      <c r="I1362">
        <v>1</v>
      </c>
      <c r="J1362" t="s">
        <v>87</v>
      </c>
      <c r="K1362">
        <v>0</v>
      </c>
      <c r="L1362">
        <v>0</v>
      </c>
    </row>
    <row r="1363" spans="1:12">
      <c r="A1363" s="93">
        <v>164988</v>
      </c>
      <c r="B1363" t="s">
        <v>1922</v>
      </c>
      <c r="C1363" t="s">
        <v>5612</v>
      </c>
      <c r="D1363" s="92">
        <v>0.87</v>
      </c>
      <c r="E1363" s="92">
        <v>0.85</v>
      </c>
      <c r="F1363">
        <v>28</v>
      </c>
      <c r="G1363">
        <v>30</v>
      </c>
      <c r="H1363" t="s">
        <v>5619</v>
      </c>
      <c r="I1363">
        <v>1</v>
      </c>
      <c r="J1363" t="s">
        <v>87</v>
      </c>
      <c r="K1363">
        <v>0</v>
      </c>
      <c r="L1363">
        <v>0</v>
      </c>
    </row>
    <row r="1364" spans="1:12">
      <c r="A1364" s="93">
        <v>165015</v>
      </c>
      <c r="B1364" t="s">
        <v>1923</v>
      </c>
      <c r="C1364" t="s">
        <v>5612</v>
      </c>
      <c r="D1364" s="92">
        <v>0.9</v>
      </c>
      <c r="E1364" s="92">
        <v>0.83</v>
      </c>
      <c r="F1364">
        <v>29</v>
      </c>
      <c r="G1364">
        <v>31</v>
      </c>
      <c r="H1364" t="s">
        <v>5622</v>
      </c>
      <c r="I1364">
        <v>0</v>
      </c>
      <c r="J1364" t="s">
        <v>87</v>
      </c>
      <c r="K1364">
        <v>0</v>
      </c>
      <c r="L1364">
        <v>0</v>
      </c>
    </row>
    <row r="1365" spans="1:12">
      <c r="A1365" s="93">
        <v>165024</v>
      </c>
      <c r="B1365" t="s">
        <v>1924</v>
      </c>
      <c r="C1365" t="s">
        <v>5602</v>
      </c>
      <c r="D1365" s="92">
        <v>0.59</v>
      </c>
      <c r="E1365" s="92">
        <v>0.53</v>
      </c>
      <c r="F1365">
        <v>16</v>
      </c>
      <c r="G1365">
        <v>18.5</v>
      </c>
      <c r="H1365" t="s">
        <v>5615</v>
      </c>
      <c r="I1365">
        <v>0</v>
      </c>
      <c r="J1365" t="s">
        <v>87</v>
      </c>
      <c r="K1365">
        <v>0</v>
      </c>
      <c r="L1365">
        <v>0</v>
      </c>
    </row>
    <row r="1366" spans="1:12">
      <c r="A1366" s="93">
        <v>165033</v>
      </c>
      <c r="B1366" t="s">
        <v>1925</v>
      </c>
      <c r="C1366" t="s">
        <v>5606</v>
      </c>
      <c r="D1366" s="92">
        <v>0.28</v>
      </c>
      <c r="E1366" s="92">
        <v>0.19</v>
      </c>
      <c r="F1366" t="s">
        <v>428</v>
      </c>
      <c r="G1366" t="s">
        <v>428</v>
      </c>
      <c r="H1366" t="s">
        <v>5615</v>
      </c>
      <c r="I1366">
        <v>0</v>
      </c>
      <c r="J1366" t="s">
        <v>87</v>
      </c>
      <c r="K1366">
        <v>0</v>
      </c>
      <c r="L1366">
        <v>0</v>
      </c>
    </row>
    <row r="1367" spans="1:12">
      <c r="A1367" s="93">
        <v>165060</v>
      </c>
      <c r="B1367" t="s">
        <v>1926</v>
      </c>
      <c r="C1367" t="s">
        <v>5609</v>
      </c>
      <c r="D1367" s="92">
        <v>0.6</v>
      </c>
      <c r="E1367" s="92">
        <v>0.5</v>
      </c>
      <c r="F1367" t="s">
        <v>428</v>
      </c>
      <c r="G1367" t="s">
        <v>428</v>
      </c>
      <c r="H1367" t="s">
        <v>5617</v>
      </c>
      <c r="I1367">
        <v>0</v>
      </c>
      <c r="J1367" t="s">
        <v>87</v>
      </c>
      <c r="K1367">
        <v>0</v>
      </c>
      <c r="L1367">
        <v>0</v>
      </c>
    </row>
    <row r="1368" spans="1:12">
      <c r="A1368" s="93">
        <v>165112</v>
      </c>
      <c r="B1368" t="s">
        <v>1927</v>
      </c>
      <c r="C1368" t="s">
        <v>5606</v>
      </c>
      <c r="D1368" s="92">
        <v>0.21</v>
      </c>
      <c r="E1368" s="92">
        <v>0.18</v>
      </c>
      <c r="F1368" t="s">
        <v>428</v>
      </c>
      <c r="G1368" t="s">
        <v>428</v>
      </c>
      <c r="H1368" t="s">
        <v>5615</v>
      </c>
      <c r="I1368">
        <v>0</v>
      </c>
      <c r="J1368" t="s">
        <v>87</v>
      </c>
      <c r="K1368">
        <v>0</v>
      </c>
      <c r="L1368">
        <v>0</v>
      </c>
    </row>
    <row r="1369" spans="1:12">
      <c r="A1369" s="93">
        <v>165167</v>
      </c>
      <c r="B1369" t="s">
        <v>1928</v>
      </c>
      <c r="C1369" t="s">
        <v>5604</v>
      </c>
      <c r="D1369" s="92">
        <v>0.38</v>
      </c>
      <c r="E1369" s="92">
        <v>0.33</v>
      </c>
      <c r="F1369" t="s">
        <v>428</v>
      </c>
      <c r="G1369" t="s">
        <v>428</v>
      </c>
      <c r="H1369" t="s">
        <v>5617</v>
      </c>
      <c r="I1369">
        <v>0</v>
      </c>
      <c r="J1369" t="s">
        <v>87</v>
      </c>
      <c r="K1369">
        <v>0</v>
      </c>
      <c r="L1369">
        <v>0</v>
      </c>
    </row>
    <row r="1370" spans="1:12">
      <c r="A1370" s="93">
        <v>165194</v>
      </c>
      <c r="B1370" t="s">
        <v>1929</v>
      </c>
      <c r="C1370" t="s">
        <v>5606</v>
      </c>
      <c r="D1370" s="92">
        <v>0.29</v>
      </c>
      <c r="E1370" s="92">
        <v>0.24</v>
      </c>
      <c r="F1370" t="s">
        <v>428</v>
      </c>
      <c r="G1370" t="s">
        <v>428</v>
      </c>
      <c r="H1370" t="s">
        <v>5615</v>
      </c>
      <c r="I1370">
        <v>0</v>
      </c>
      <c r="J1370" t="s">
        <v>87</v>
      </c>
      <c r="K1370">
        <v>0</v>
      </c>
      <c r="L1370">
        <v>0</v>
      </c>
    </row>
    <row r="1371" spans="1:12">
      <c r="A1371" s="93">
        <v>165264</v>
      </c>
      <c r="B1371" t="s">
        <v>1930</v>
      </c>
      <c r="C1371" t="s">
        <v>5607</v>
      </c>
      <c r="D1371" s="92">
        <v>1</v>
      </c>
      <c r="E1371" s="92" t="s">
        <v>428</v>
      </c>
      <c r="F1371" t="s">
        <v>428</v>
      </c>
      <c r="G1371" t="s">
        <v>428</v>
      </c>
      <c r="H1371" t="s">
        <v>5617</v>
      </c>
      <c r="I1371">
        <v>0</v>
      </c>
      <c r="J1371" t="s">
        <v>87</v>
      </c>
      <c r="K1371">
        <v>0</v>
      </c>
      <c r="L1371">
        <v>0</v>
      </c>
    </row>
    <row r="1372" spans="1:12">
      <c r="A1372" s="93">
        <v>165334</v>
      </c>
      <c r="B1372" t="s">
        <v>1931</v>
      </c>
      <c r="C1372" t="s">
        <v>5605</v>
      </c>
      <c r="D1372" s="92">
        <v>0.79</v>
      </c>
      <c r="E1372" s="92">
        <v>0.74</v>
      </c>
      <c r="F1372" t="s">
        <v>428</v>
      </c>
      <c r="G1372" t="s">
        <v>428</v>
      </c>
      <c r="H1372" t="s">
        <v>5618</v>
      </c>
      <c r="I1372">
        <v>0</v>
      </c>
      <c r="J1372" t="s">
        <v>87</v>
      </c>
      <c r="K1372">
        <v>0</v>
      </c>
      <c r="L1372">
        <v>0</v>
      </c>
    </row>
    <row r="1373" spans="1:12">
      <c r="A1373" s="93">
        <v>165495</v>
      </c>
      <c r="B1373" t="s">
        <v>1932</v>
      </c>
      <c r="C1373" t="s">
        <v>5607</v>
      </c>
      <c r="D1373" s="92" t="s">
        <v>428</v>
      </c>
      <c r="E1373" s="92" t="s">
        <v>428</v>
      </c>
      <c r="F1373" t="s">
        <v>428</v>
      </c>
      <c r="G1373" t="s">
        <v>428</v>
      </c>
      <c r="H1373" t="s">
        <v>5615</v>
      </c>
      <c r="I1373">
        <v>0</v>
      </c>
      <c r="J1373" t="s">
        <v>87</v>
      </c>
      <c r="K1373">
        <v>0</v>
      </c>
      <c r="L1373">
        <v>0</v>
      </c>
    </row>
    <row r="1374" spans="1:12">
      <c r="A1374" s="93">
        <v>165529</v>
      </c>
      <c r="B1374" t="s">
        <v>1933</v>
      </c>
      <c r="C1374" t="s">
        <v>5602</v>
      </c>
      <c r="D1374" s="92">
        <v>0.46</v>
      </c>
      <c r="E1374" s="92">
        <v>0.31</v>
      </c>
      <c r="F1374">
        <v>15</v>
      </c>
      <c r="G1374">
        <v>17.5</v>
      </c>
      <c r="H1374" t="s">
        <v>5617</v>
      </c>
      <c r="I1374">
        <v>0</v>
      </c>
      <c r="J1374" t="s">
        <v>87</v>
      </c>
      <c r="K1374">
        <v>0</v>
      </c>
      <c r="L1374">
        <v>0</v>
      </c>
    </row>
    <row r="1375" spans="1:12">
      <c r="A1375" s="93">
        <v>165574</v>
      </c>
      <c r="B1375" t="s">
        <v>1934</v>
      </c>
      <c r="C1375" t="s">
        <v>5607</v>
      </c>
      <c r="D1375" s="92">
        <v>0.42</v>
      </c>
      <c r="E1375" s="92">
        <v>0.25</v>
      </c>
      <c r="F1375" t="s">
        <v>428</v>
      </c>
      <c r="G1375" t="s">
        <v>428</v>
      </c>
      <c r="H1375" t="s">
        <v>5617</v>
      </c>
      <c r="I1375">
        <v>0</v>
      </c>
      <c r="J1375" t="s">
        <v>87</v>
      </c>
      <c r="K1375">
        <v>0</v>
      </c>
      <c r="L1375">
        <v>0</v>
      </c>
    </row>
    <row r="1376" spans="1:12">
      <c r="A1376" s="93">
        <v>165635</v>
      </c>
      <c r="B1376" t="s">
        <v>1935</v>
      </c>
      <c r="C1376" t="s">
        <v>5606</v>
      </c>
      <c r="D1376" s="92" t="s">
        <v>428</v>
      </c>
      <c r="E1376" s="92" t="s">
        <v>428</v>
      </c>
      <c r="F1376" t="s">
        <v>428</v>
      </c>
      <c r="G1376" t="s">
        <v>428</v>
      </c>
      <c r="H1376" t="s">
        <v>5617</v>
      </c>
      <c r="I1376">
        <v>0</v>
      </c>
      <c r="J1376" t="s">
        <v>87</v>
      </c>
      <c r="K1376">
        <v>0</v>
      </c>
      <c r="L1376">
        <v>0</v>
      </c>
    </row>
    <row r="1377" spans="1:12">
      <c r="A1377" s="93">
        <v>165644</v>
      </c>
      <c r="B1377" t="s">
        <v>1936</v>
      </c>
      <c r="C1377" t="s">
        <v>5602</v>
      </c>
      <c r="D1377" s="92">
        <v>0.54</v>
      </c>
      <c r="E1377" s="92">
        <v>0.5</v>
      </c>
      <c r="F1377">
        <v>20</v>
      </c>
      <c r="G1377">
        <v>23</v>
      </c>
      <c r="H1377" t="s">
        <v>5617</v>
      </c>
      <c r="I1377">
        <v>0</v>
      </c>
      <c r="J1377" t="s">
        <v>87</v>
      </c>
      <c r="K1377">
        <v>0</v>
      </c>
      <c r="L1377">
        <v>0</v>
      </c>
    </row>
    <row r="1378" spans="1:12">
      <c r="A1378" s="93">
        <v>165662</v>
      </c>
      <c r="B1378" t="s">
        <v>1937</v>
      </c>
      <c r="C1378" t="s">
        <v>5605</v>
      </c>
      <c r="D1378" s="92">
        <v>0.8</v>
      </c>
      <c r="E1378" s="92">
        <v>0.77</v>
      </c>
      <c r="F1378">
        <v>25</v>
      </c>
      <c r="G1378">
        <v>27.5</v>
      </c>
      <c r="H1378" t="s">
        <v>5618</v>
      </c>
      <c r="I1378">
        <v>0</v>
      </c>
      <c r="J1378" t="s">
        <v>87</v>
      </c>
      <c r="K1378">
        <v>0</v>
      </c>
      <c r="L1378">
        <v>0</v>
      </c>
    </row>
    <row r="1379" spans="1:12">
      <c r="A1379" s="93">
        <v>165671</v>
      </c>
      <c r="B1379" t="s">
        <v>1330</v>
      </c>
      <c r="C1379" t="s">
        <v>5602</v>
      </c>
      <c r="D1379" s="92">
        <v>0.65</v>
      </c>
      <c r="E1379" s="92">
        <v>0.61</v>
      </c>
      <c r="F1379">
        <v>20</v>
      </c>
      <c r="G1379">
        <v>22.5</v>
      </c>
      <c r="H1379" t="s">
        <v>5617</v>
      </c>
      <c r="I1379">
        <v>0</v>
      </c>
      <c r="J1379" t="s">
        <v>87</v>
      </c>
      <c r="K1379">
        <v>0</v>
      </c>
      <c r="L1379">
        <v>0</v>
      </c>
    </row>
    <row r="1380" spans="1:12">
      <c r="A1380" s="93">
        <v>165699</v>
      </c>
      <c r="B1380" t="s">
        <v>1938</v>
      </c>
      <c r="C1380" t="s">
        <v>5603</v>
      </c>
      <c r="D1380" s="92">
        <v>0.74</v>
      </c>
      <c r="E1380" s="92">
        <v>0.62</v>
      </c>
      <c r="F1380" t="s">
        <v>428</v>
      </c>
      <c r="G1380" t="s">
        <v>428</v>
      </c>
      <c r="H1380" t="s">
        <v>5617</v>
      </c>
      <c r="I1380">
        <v>0</v>
      </c>
      <c r="J1380" t="s">
        <v>87</v>
      </c>
      <c r="K1380">
        <v>0</v>
      </c>
      <c r="L1380">
        <v>0</v>
      </c>
    </row>
    <row r="1381" spans="1:12">
      <c r="A1381" s="93">
        <v>165705</v>
      </c>
      <c r="B1381" t="s">
        <v>1939</v>
      </c>
      <c r="C1381" t="s">
        <v>5607</v>
      </c>
      <c r="D1381" s="92" t="s">
        <v>428</v>
      </c>
      <c r="E1381" s="92" t="s">
        <v>428</v>
      </c>
      <c r="F1381" t="s">
        <v>428</v>
      </c>
      <c r="G1381" t="s">
        <v>428</v>
      </c>
      <c r="H1381" t="s">
        <v>5615</v>
      </c>
      <c r="I1381">
        <v>0</v>
      </c>
      <c r="J1381" t="s">
        <v>87</v>
      </c>
      <c r="K1381">
        <v>0</v>
      </c>
      <c r="L1381">
        <v>0</v>
      </c>
    </row>
    <row r="1382" spans="1:12">
      <c r="A1382" s="93">
        <v>165802</v>
      </c>
      <c r="B1382" t="s">
        <v>1940</v>
      </c>
      <c r="C1382" t="s">
        <v>5607</v>
      </c>
      <c r="D1382" s="92">
        <v>0.42</v>
      </c>
      <c r="E1382" s="92">
        <v>0.44</v>
      </c>
      <c r="F1382" t="s">
        <v>428</v>
      </c>
      <c r="G1382" t="s">
        <v>428</v>
      </c>
      <c r="H1382" t="s">
        <v>5617</v>
      </c>
      <c r="I1382">
        <v>0</v>
      </c>
      <c r="J1382" t="s">
        <v>87</v>
      </c>
      <c r="K1382">
        <v>0</v>
      </c>
      <c r="L1382">
        <v>0</v>
      </c>
    </row>
    <row r="1383" spans="1:12">
      <c r="A1383" s="93">
        <v>165820</v>
      </c>
      <c r="B1383" t="s">
        <v>1941</v>
      </c>
      <c r="C1383" t="s">
        <v>5602</v>
      </c>
      <c r="D1383" s="92">
        <v>0.55</v>
      </c>
      <c r="E1383" s="92">
        <v>0.45</v>
      </c>
      <c r="F1383">
        <v>16</v>
      </c>
      <c r="G1383">
        <v>18.5</v>
      </c>
      <c r="H1383" t="s">
        <v>5615</v>
      </c>
      <c r="I1383">
        <v>0</v>
      </c>
      <c r="J1383" t="s">
        <v>87</v>
      </c>
      <c r="K1383">
        <v>0</v>
      </c>
      <c r="L1383">
        <v>0</v>
      </c>
    </row>
    <row r="1384" spans="1:12">
      <c r="A1384" s="93">
        <v>165866</v>
      </c>
      <c r="B1384" t="s">
        <v>1942</v>
      </c>
      <c r="C1384" t="s">
        <v>5602</v>
      </c>
      <c r="D1384" s="92">
        <v>0.54</v>
      </c>
      <c r="E1384" s="92">
        <v>0.49</v>
      </c>
      <c r="F1384">
        <v>16</v>
      </c>
      <c r="G1384">
        <v>18.5</v>
      </c>
      <c r="H1384" t="s">
        <v>5615</v>
      </c>
      <c r="I1384">
        <v>0</v>
      </c>
      <c r="J1384" t="s">
        <v>87</v>
      </c>
      <c r="K1384">
        <v>0</v>
      </c>
      <c r="L1384">
        <v>0</v>
      </c>
    </row>
    <row r="1385" spans="1:12">
      <c r="A1385" s="93">
        <v>165884</v>
      </c>
      <c r="B1385" t="s">
        <v>1943</v>
      </c>
      <c r="C1385" t="s">
        <v>5602</v>
      </c>
      <c r="D1385" s="92" t="s">
        <v>428</v>
      </c>
      <c r="E1385" s="92" t="s">
        <v>428</v>
      </c>
      <c r="F1385" t="s">
        <v>428</v>
      </c>
      <c r="G1385" t="s">
        <v>428</v>
      </c>
      <c r="H1385" t="s">
        <v>5615</v>
      </c>
      <c r="I1385">
        <v>0</v>
      </c>
      <c r="J1385" t="s">
        <v>87</v>
      </c>
      <c r="K1385">
        <v>0</v>
      </c>
      <c r="L1385">
        <v>0</v>
      </c>
    </row>
    <row r="1386" spans="1:12">
      <c r="A1386" s="93">
        <v>165936</v>
      </c>
      <c r="B1386" t="s">
        <v>1944</v>
      </c>
      <c r="C1386" t="s">
        <v>5602</v>
      </c>
      <c r="D1386" s="92">
        <v>0.7</v>
      </c>
      <c r="E1386" s="92">
        <v>0.64</v>
      </c>
      <c r="F1386">
        <v>22</v>
      </c>
      <c r="G1386">
        <v>25.5</v>
      </c>
      <c r="H1386" t="s">
        <v>5617</v>
      </c>
      <c r="I1386">
        <v>0</v>
      </c>
      <c r="J1386" t="s">
        <v>87</v>
      </c>
      <c r="K1386">
        <v>0</v>
      </c>
      <c r="L1386">
        <v>0</v>
      </c>
    </row>
    <row r="1387" spans="1:12">
      <c r="A1387" s="93">
        <v>165945</v>
      </c>
      <c r="B1387" t="s">
        <v>1945</v>
      </c>
      <c r="C1387" t="s">
        <v>5607</v>
      </c>
      <c r="D1387" s="92" t="s">
        <v>428</v>
      </c>
      <c r="E1387" s="92" t="s">
        <v>428</v>
      </c>
      <c r="F1387" t="s">
        <v>428</v>
      </c>
      <c r="G1387" t="s">
        <v>428</v>
      </c>
      <c r="H1387" t="s">
        <v>5615</v>
      </c>
      <c r="I1387">
        <v>0</v>
      </c>
      <c r="J1387" t="s">
        <v>87</v>
      </c>
      <c r="K1387">
        <v>0</v>
      </c>
      <c r="L1387">
        <v>0</v>
      </c>
    </row>
    <row r="1388" spans="1:12">
      <c r="A1388" s="93">
        <v>165981</v>
      </c>
      <c r="B1388" t="s">
        <v>1946</v>
      </c>
      <c r="C1388" t="s">
        <v>5606</v>
      </c>
      <c r="D1388" s="92">
        <v>0.34</v>
      </c>
      <c r="E1388" s="92">
        <v>0.25</v>
      </c>
      <c r="F1388" t="s">
        <v>428</v>
      </c>
      <c r="G1388" t="s">
        <v>428</v>
      </c>
      <c r="H1388" t="s">
        <v>5615</v>
      </c>
      <c r="I1388">
        <v>0</v>
      </c>
      <c r="J1388" t="s">
        <v>87</v>
      </c>
      <c r="K1388">
        <v>0</v>
      </c>
      <c r="L1388">
        <v>0</v>
      </c>
    </row>
    <row r="1389" spans="1:12">
      <c r="A1389" s="93">
        <v>166018</v>
      </c>
      <c r="B1389" t="s">
        <v>1947</v>
      </c>
      <c r="C1389" t="s">
        <v>5612</v>
      </c>
      <c r="D1389" s="92">
        <v>0.6899999999999999</v>
      </c>
      <c r="E1389" s="92">
        <v>0.74</v>
      </c>
      <c r="F1389" t="s">
        <v>428</v>
      </c>
      <c r="G1389" t="s">
        <v>428</v>
      </c>
      <c r="H1389" t="s">
        <v>5618</v>
      </c>
      <c r="I1389">
        <v>0</v>
      </c>
      <c r="J1389" t="s">
        <v>87</v>
      </c>
      <c r="K1389">
        <v>0</v>
      </c>
      <c r="L1389">
        <v>0</v>
      </c>
    </row>
    <row r="1390" spans="1:12">
      <c r="A1390" s="93">
        <v>166027</v>
      </c>
      <c r="B1390" t="s">
        <v>1948</v>
      </c>
      <c r="C1390" t="s">
        <v>5611</v>
      </c>
      <c r="D1390" s="92">
        <v>0.97</v>
      </c>
      <c r="E1390" s="92">
        <v>0.95</v>
      </c>
      <c r="F1390">
        <v>32</v>
      </c>
      <c r="G1390">
        <v>33.5</v>
      </c>
      <c r="H1390" t="s">
        <v>5619</v>
      </c>
      <c r="I1390">
        <v>1</v>
      </c>
      <c r="J1390" t="s">
        <v>87</v>
      </c>
      <c r="K1390">
        <v>0</v>
      </c>
      <c r="L1390">
        <v>0</v>
      </c>
    </row>
    <row r="1391" spans="1:12">
      <c r="A1391" s="93">
        <v>166045</v>
      </c>
      <c r="B1391" t="s">
        <v>1949</v>
      </c>
      <c r="C1391" t="s">
        <v>5607</v>
      </c>
      <c r="D1391" s="92" t="s">
        <v>428</v>
      </c>
      <c r="E1391" s="92" t="s">
        <v>428</v>
      </c>
      <c r="F1391" t="s">
        <v>428</v>
      </c>
      <c r="G1391" t="s">
        <v>428</v>
      </c>
      <c r="H1391" t="s">
        <v>5615</v>
      </c>
      <c r="I1391">
        <v>0</v>
      </c>
      <c r="J1391" t="s">
        <v>87</v>
      </c>
      <c r="K1391">
        <v>0</v>
      </c>
      <c r="L1391">
        <v>0</v>
      </c>
    </row>
    <row r="1392" spans="1:12">
      <c r="A1392" s="93">
        <v>166054</v>
      </c>
      <c r="B1392" t="s">
        <v>1950</v>
      </c>
      <c r="C1392" t="s">
        <v>5602</v>
      </c>
      <c r="D1392" s="92">
        <v>0.54</v>
      </c>
      <c r="E1392" s="92">
        <v>0.5</v>
      </c>
      <c r="F1392" t="s">
        <v>428</v>
      </c>
      <c r="G1392" t="s">
        <v>428</v>
      </c>
      <c r="H1392" t="s">
        <v>5617</v>
      </c>
      <c r="I1392">
        <v>0</v>
      </c>
      <c r="J1392" t="s">
        <v>87</v>
      </c>
      <c r="K1392">
        <v>0</v>
      </c>
      <c r="L1392">
        <v>0</v>
      </c>
    </row>
    <row r="1393" spans="1:12">
      <c r="A1393" s="93">
        <v>166124</v>
      </c>
      <c r="B1393" t="s">
        <v>510</v>
      </c>
      <c r="C1393" t="s">
        <v>5612</v>
      </c>
      <c r="D1393" s="92">
        <v>0.92</v>
      </c>
      <c r="E1393" s="92">
        <v>0.9</v>
      </c>
      <c r="F1393" t="s">
        <v>428</v>
      </c>
      <c r="G1393" t="s">
        <v>428</v>
      </c>
      <c r="H1393" t="s">
        <v>5621</v>
      </c>
      <c r="I1393">
        <v>1</v>
      </c>
      <c r="J1393" t="s">
        <v>87</v>
      </c>
      <c r="K1393">
        <v>0</v>
      </c>
      <c r="L1393">
        <v>0</v>
      </c>
    </row>
    <row r="1394" spans="1:12">
      <c r="A1394" s="93">
        <v>166133</v>
      </c>
      <c r="B1394" t="s">
        <v>1951</v>
      </c>
      <c r="C1394" t="s">
        <v>5606</v>
      </c>
      <c r="D1394" s="92">
        <v>0.27</v>
      </c>
      <c r="E1394" s="92">
        <v>0.17</v>
      </c>
      <c r="F1394" t="s">
        <v>428</v>
      </c>
      <c r="G1394" t="s">
        <v>428</v>
      </c>
      <c r="H1394" t="s">
        <v>5615</v>
      </c>
      <c r="I1394">
        <v>0</v>
      </c>
      <c r="J1394" t="s">
        <v>87</v>
      </c>
      <c r="K1394">
        <v>0</v>
      </c>
      <c r="L1394">
        <v>0</v>
      </c>
    </row>
    <row r="1395" spans="1:12">
      <c r="A1395" s="93">
        <v>166391</v>
      </c>
      <c r="B1395" t="s">
        <v>1952</v>
      </c>
      <c r="C1395" t="s">
        <v>5602</v>
      </c>
      <c r="D1395" s="92">
        <v>0.53</v>
      </c>
      <c r="E1395" s="92">
        <v>0.48</v>
      </c>
      <c r="F1395">
        <v>15</v>
      </c>
      <c r="G1395">
        <v>18</v>
      </c>
      <c r="H1395" t="s">
        <v>5617</v>
      </c>
      <c r="I1395">
        <v>0</v>
      </c>
      <c r="J1395" t="s">
        <v>87</v>
      </c>
      <c r="K1395">
        <v>0</v>
      </c>
      <c r="L1395">
        <v>0</v>
      </c>
    </row>
    <row r="1396" spans="1:12">
      <c r="A1396" s="93">
        <v>166407</v>
      </c>
      <c r="B1396" t="s">
        <v>1953</v>
      </c>
      <c r="C1396" t="s">
        <v>5606</v>
      </c>
      <c r="D1396" s="92" t="s">
        <v>428</v>
      </c>
      <c r="E1396" s="92" t="s">
        <v>428</v>
      </c>
      <c r="F1396" t="s">
        <v>428</v>
      </c>
      <c r="G1396" t="s">
        <v>428</v>
      </c>
      <c r="H1396" t="s">
        <v>5615</v>
      </c>
      <c r="I1396">
        <v>0</v>
      </c>
      <c r="J1396" t="s">
        <v>87</v>
      </c>
      <c r="K1396">
        <v>0</v>
      </c>
      <c r="L1396">
        <v>0</v>
      </c>
    </row>
    <row r="1397" spans="1:12">
      <c r="A1397" s="93">
        <v>166452</v>
      </c>
      <c r="B1397" t="s">
        <v>1954</v>
      </c>
      <c r="C1397" t="s">
        <v>5602</v>
      </c>
      <c r="D1397" s="92">
        <v>0.5600000000000001</v>
      </c>
      <c r="E1397" s="92">
        <v>0.43</v>
      </c>
      <c r="F1397">
        <v>18</v>
      </c>
      <c r="G1397">
        <v>21</v>
      </c>
      <c r="H1397" t="s">
        <v>5617</v>
      </c>
      <c r="I1397">
        <v>0</v>
      </c>
      <c r="J1397" t="s">
        <v>87</v>
      </c>
      <c r="K1397">
        <v>0</v>
      </c>
      <c r="L1397">
        <v>0</v>
      </c>
    </row>
    <row r="1398" spans="1:12">
      <c r="A1398" s="93">
        <v>166489</v>
      </c>
      <c r="B1398" t="s">
        <v>1955</v>
      </c>
      <c r="C1398" t="s">
        <v>5607</v>
      </c>
      <c r="D1398" s="92">
        <v>0.75</v>
      </c>
      <c r="E1398" s="92">
        <v>0</v>
      </c>
      <c r="F1398" t="s">
        <v>428</v>
      </c>
      <c r="G1398" t="s">
        <v>428</v>
      </c>
      <c r="H1398" t="s">
        <v>5617</v>
      </c>
      <c r="I1398">
        <v>0</v>
      </c>
      <c r="J1398" t="s">
        <v>87</v>
      </c>
      <c r="K1398">
        <v>0</v>
      </c>
      <c r="L1398">
        <v>0</v>
      </c>
    </row>
    <row r="1399" spans="1:12">
      <c r="A1399" s="93">
        <v>166513</v>
      </c>
      <c r="B1399" t="s">
        <v>1956</v>
      </c>
      <c r="C1399" t="s">
        <v>5602</v>
      </c>
      <c r="D1399" s="92">
        <v>0.5600000000000001</v>
      </c>
      <c r="E1399" s="92">
        <v>0.4</v>
      </c>
      <c r="F1399">
        <v>21</v>
      </c>
      <c r="G1399">
        <v>24</v>
      </c>
      <c r="H1399" t="s">
        <v>5615</v>
      </c>
      <c r="I1399">
        <v>0</v>
      </c>
      <c r="J1399" t="s">
        <v>87</v>
      </c>
      <c r="K1399">
        <v>0</v>
      </c>
      <c r="L1399">
        <v>0</v>
      </c>
    </row>
    <row r="1400" spans="1:12">
      <c r="A1400" s="93">
        <v>166629</v>
      </c>
      <c r="B1400" t="s">
        <v>1957</v>
      </c>
      <c r="C1400" t="s">
        <v>5603</v>
      </c>
      <c r="D1400" s="92">
        <v>0.76</v>
      </c>
      <c r="E1400" s="92">
        <v>0.67</v>
      </c>
      <c r="F1400">
        <v>25</v>
      </c>
      <c r="G1400">
        <v>27.5</v>
      </c>
      <c r="H1400" t="s">
        <v>5617</v>
      </c>
      <c r="I1400">
        <v>0</v>
      </c>
      <c r="J1400" t="s">
        <v>87</v>
      </c>
      <c r="K1400">
        <v>0</v>
      </c>
      <c r="L1400">
        <v>0</v>
      </c>
    </row>
    <row r="1401" spans="1:12">
      <c r="A1401" s="93">
        <v>166638</v>
      </c>
      <c r="B1401" t="s">
        <v>1958</v>
      </c>
      <c r="C1401" t="s">
        <v>5602</v>
      </c>
      <c r="D1401" s="92">
        <v>0.43</v>
      </c>
      <c r="E1401" s="92">
        <v>0.42</v>
      </c>
      <c r="F1401">
        <v>18</v>
      </c>
      <c r="G1401">
        <v>21</v>
      </c>
      <c r="H1401" t="s">
        <v>5615</v>
      </c>
      <c r="I1401">
        <v>0</v>
      </c>
      <c r="J1401" t="s">
        <v>87</v>
      </c>
      <c r="K1401">
        <v>0</v>
      </c>
      <c r="L1401">
        <v>0</v>
      </c>
    </row>
    <row r="1402" spans="1:12">
      <c r="A1402" s="93">
        <v>166647</v>
      </c>
      <c r="B1402" t="s">
        <v>1959</v>
      </c>
      <c r="C1402" t="s">
        <v>5606</v>
      </c>
      <c r="D1402" s="92">
        <v>0.3</v>
      </c>
      <c r="E1402" s="92">
        <v>0.26</v>
      </c>
      <c r="F1402" t="s">
        <v>428</v>
      </c>
      <c r="G1402" t="s">
        <v>428</v>
      </c>
      <c r="H1402" t="s">
        <v>5615</v>
      </c>
      <c r="I1402">
        <v>0</v>
      </c>
      <c r="J1402" t="s">
        <v>87</v>
      </c>
      <c r="K1402">
        <v>0</v>
      </c>
      <c r="L1402">
        <v>0</v>
      </c>
    </row>
    <row r="1403" spans="1:12">
      <c r="A1403" s="93">
        <v>166656</v>
      </c>
      <c r="B1403" t="s">
        <v>1960</v>
      </c>
      <c r="C1403" t="s">
        <v>5610</v>
      </c>
      <c r="D1403" s="92">
        <v>0.66</v>
      </c>
      <c r="E1403" s="92">
        <v>0.59</v>
      </c>
      <c r="F1403">
        <v>21</v>
      </c>
      <c r="G1403">
        <v>24</v>
      </c>
      <c r="H1403" t="s">
        <v>5617</v>
      </c>
      <c r="I1403">
        <v>0</v>
      </c>
      <c r="J1403" t="s">
        <v>87</v>
      </c>
      <c r="K1403">
        <v>0</v>
      </c>
      <c r="L1403">
        <v>0</v>
      </c>
    </row>
    <row r="1404" spans="1:12">
      <c r="A1404" s="93">
        <v>166674</v>
      </c>
      <c r="B1404" t="s">
        <v>1961</v>
      </c>
      <c r="C1404" t="s">
        <v>5610</v>
      </c>
      <c r="D1404" s="92">
        <v>0.71</v>
      </c>
      <c r="E1404" s="92">
        <v>0.5600000000000001</v>
      </c>
      <c r="F1404">
        <v>18</v>
      </c>
      <c r="G1404">
        <v>21</v>
      </c>
      <c r="H1404" t="s">
        <v>5615</v>
      </c>
      <c r="I1404">
        <v>0</v>
      </c>
      <c r="J1404" t="s">
        <v>87</v>
      </c>
      <c r="K1404">
        <v>0</v>
      </c>
      <c r="L1404">
        <v>0</v>
      </c>
    </row>
    <row r="1405" spans="1:12">
      <c r="A1405" s="93">
        <v>166683</v>
      </c>
      <c r="B1405" t="s">
        <v>1962</v>
      </c>
      <c r="C1405" t="s">
        <v>5611</v>
      </c>
      <c r="D1405" s="92">
        <v>0.93</v>
      </c>
      <c r="E1405" s="92">
        <v>0.89</v>
      </c>
      <c r="F1405">
        <v>33</v>
      </c>
      <c r="G1405">
        <v>34</v>
      </c>
      <c r="H1405" t="s">
        <v>5621</v>
      </c>
      <c r="I1405">
        <v>1</v>
      </c>
      <c r="J1405" t="s">
        <v>87</v>
      </c>
      <c r="K1405">
        <v>0</v>
      </c>
      <c r="L1405">
        <v>0</v>
      </c>
    </row>
    <row r="1406" spans="1:12">
      <c r="A1406" s="93">
        <v>166692</v>
      </c>
      <c r="B1406" t="s">
        <v>1963</v>
      </c>
      <c r="C1406" t="s">
        <v>5602</v>
      </c>
      <c r="D1406" s="92">
        <v>0.72</v>
      </c>
      <c r="E1406" s="92">
        <v>0.52</v>
      </c>
      <c r="F1406">
        <v>17</v>
      </c>
      <c r="G1406">
        <v>20</v>
      </c>
      <c r="H1406" t="s">
        <v>5615</v>
      </c>
      <c r="I1406">
        <v>0</v>
      </c>
      <c r="J1406" t="s">
        <v>87</v>
      </c>
      <c r="K1406">
        <v>0</v>
      </c>
      <c r="L1406">
        <v>0</v>
      </c>
    </row>
    <row r="1407" spans="1:12">
      <c r="A1407" s="93">
        <v>166708</v>
      </c>
      <c r="B1407" t="s">
        <v>1964</v>
      </c>
      <c r="C1407" t="s">
        <v>5607</v>
      </c>
      <c r="D1407" s="92" t="s">
        <v>428</v>
      </c>
      <c r="E1407" s="92" t="s">
        <v>428</v>
      </c>
      <c r="F1407" t="s">
        <v>428</v>
      </c>
      <c r="G1407" t="s">
        <v>428</v>
      </c>
      <c r="H1407" t="s">
        <v>5615</v>
      </c>
      <c r="I1407">
        <v>0</v>
      </c>
      <c r="J1407" t="s">
        <v>87</v>
      </c>
      <c r="K1407">
        <v>0</v>
      </c>
      <c r="L1407">
        <v>0</v>
      </c>
    </row>
    <row r="1408" spans="1:12">
      <c r="A1408" s="93">
        <v>166717</v>
      </c>
      <c r="B1408" t="s">
        <v>1965</v>
      </c>
      <c r="C1408" t="s">
        <v>5607</v>
      </c>
      <c r="D1408" s="92" t="s">
        <v>428</v>
      </c>
      <c r="E1408" s="92" t="s">
        <v>428</v>
      </c>
      <c r="F1408" t="s">
        <v>428</v>
      </c>
      <c r="G1408" t="s">
        <v>428</v>
      </c>
      <c r="H1408" t="s">
        <v>5615</v>
      </c>
      <c r="I1408">
        <v>0</v>
      </c>
      <c r="J1408" t="s">
        <v>87</v>
      </c>
      <c r="K1408">
        <v>0</v>
      </c>
      <c r="L1408">
        <v>0</v>
      </c>
    </row>
    <row r="1409" spans="1:12">
      <c r="A1409" s="93">
        <v>166823</v>
      </c>
      <c r="B1409" t="s">
        <v>1966</v>
      </c>
      <c r="C1409" t="s">
        <v>5606</v>
      </c>
      <c r="D1409" s="92">
        <v>0.26</v>
      </c>
      <c r="E1409" s="92">
        <v>0.2</v>
      </c>
      <c r="F1409" t="s">
        <v>428</v>
      </c>
      <c r="G1409" t="s">
        <v>428</v>
      </c>
      <c r="H1409" t="s">
        <v>5615</v>
      </c>
      <c r="I1409">
        <v>0</v>
      </c>
      <c r="J1409" t="s">
        <v>87</v>
      </c>
      <c r="K1409">
        <v>0</v>
      </c>
      <c r="L1409">
        <v>0</v>
      </c>
    </row>
    <row r="1410" spans="1:12">
      <c r="A1410" s="93">
        <v>166850</v>
      </c>
      <c r="B1410" t="s">
        <v>1967</v>
      </c>
      <c r="C1410" t="s">
        <v>5602</v>
      </c>
      <c r="D1410" s="92">
        <v>0.7</v>
      </c>
      <c r="E1410" s="92">
        <v>0.61</v>
      </c>
      <c r="F1410" t="s">
        <v>428</v>
      </c>
      <c r="G1410" t="s">
        <v>428</v>
      </c>
      <c r="H1410" t="s">
        <v>5617</v>
      </c>
      <c r="I1410">
        <v>0</v>
      </c>
      <c r="J1410" t="s">
        <v>87</v>
      </c>
      <c r="K1410">
        <v>0</v>
      </c>
      <c r="L1410">
        <v>0</v>
      </c>
    </row>
    <row r="1411" spans="1:12">
      <c r="A1411" s="93">
        <v>166869</v>
      </c>
      <c r="B1411" t="s">
        <v>1968</v>
      </c>
      <c r="C1411" t="s">
        <v>5607</v>
      </c>
      <c r="D1411" s="92" t="s">
        <v>428</v>
      </c>
      <c r="E1411" s="92" t="s">
        <v>428</v>
      </c>
      <c r="F1411" t="s">
        <v>428</v>
      </c>
      <c r="G1411" t="s">
        <v>428</v>
      </c>
      <c r="H1411" t="s">
        <v>5615</v>
      </c>
      <c r="I1411">
        <v>0</v>
      </c>
      <c r="J1411" t="s">
        <v>87</v>
      </c>
      <c r="K1411">
        <v>0</v>
      </c>
      <c r="L1411">
        <v>0</v>
      </c>
    </row>
    <row r="1412" spans="1:12">
      <c r="A1412" s="93">
        <v>166887</v>
      </c>
      <c r="B1412" t="s">
        <v>1140</v>
      </c>
      <c r="C1412" t="s">
        <v>5606</v>
      </c>
      <c r="D1412" s="92">
        <v>0.3</v>
      </c>
      <c r="E1412" s="92">
        <v>0.24</v>
      </c>
      <c r="F1412" t="s">
        <v>428</v>
      </c>
      <c r="G1412" t="s">
        <v>428</v>
      </c>
      <c r="H1412" t="s">
        <v>5615</v>
      </c>
      <c r="I1412">
        <v>0</v>
      </c>
      <c r="J1412" t="s">
        <v>87</v>
      </c>
      <c r="K1412">
        <v>0</v>
      </c>
      <c r="L1412">
        <v>0</v>
      </c>
    </row>
    <row r="1413" spans="1:12">
      <c r="A1413" s="93">
        <v>166911</v>
      </c>
      <c r="B1413" t="s">
        <v>1969</v>
      </c>
      <c r="C1413" t="s">
        <v>5610</v>
      </c>
      <c r="D1413" s="92">
        <v>0.52</v>
      </c>
      <c r="E1413" s="92">
        <v>0.52</v>
      </c>
      <c r="F1413" t="s">
        <v>428</v>
      </c>
      <c r="G1413" t="s">
        <v>428</v>
      </c>
      <c r="H1413" t="s">
        <v>5617</v>
      </c>
      <c r="I1413">
        <v>0</v>
      </c>
      <c r="J1413" t="s">
        <v>87</v>
      </c>
      <c r="K1413">
        <v>0</v>
      </c>
      <c r="L1413">
        <v>0</v>
      </c>
    </row>
    <row r="1414" spans="1:12">
      <c r="A1414" s="93">
        <v>166939</v>
      </c>
      <c r="B1414" t="s">
        <v>1970</v>
      </c>
      <c r="C1414" t="s">
        <v>5612</v>
      </c>
      <c r="D1414" s="92">
        <v>0.83</v>
      </c>
      <c r="E1414" s="92">
        <v>0.78</v>
      </c>
      <c r="F1414" t="s">
        <v>428</v>
      </c>
      <c r="G1414" t="s">
        <v>428</v>
      </c>
      <c r="H1414" t="s">
        <v>5621</v>
      </c>
      <c r="I1414">
        <v>1</v>
      </c>
      <c r="J1414" t="s">
        <v>87</v>
      </c>
      <c r="K1414">
        <v>0</v>
      </c>
      <c r="L1414">
        <v>0</v>
      </c>
    </row>
    <row r="1415" spans="1:12">
      <c r="A1415" s="93">
        <v>166948</v>
      </c>
      <c r="B1415" t="s">
        <v>1971</v>
      </c>
      <c r="C1415" t="s">
        <v>5602</v>
      </c>
      <c r="D1415" s="92">
        <v>0.41</v>
      </c>
      <c r="E1415" s="92">
        <v>0.34</v>
      </c>
      <c r="F1415" t="s">
        <v>428</v>
      </c>
      <c r="G1415" t="s">
        <v>428</v>
      </c>
      <c r="H1415" t="s">
        <v>5617</v>
      </c>
      <c r="I1415">
        <v>0</v>
      </c>
      <c r="J1415" t="s">
        <v>87</v>
      </c>
      <c r="K1415">
        <v>0</v>
      </c>
      <c r="L1415">
        <v>0</v>
      </c>
    </row>
    <row r="1416" spans="1:12">
      <c r="A1416" s="93">
        <v>166957</v>
      </c>
      <c r="B1416" t="s">
        <v>1972</v>
      </c>
      <c r="C1416" t="s">
        <v>5606</v>
      </c>
      <c r="D1416" s="92">
        <v>0.28</v>
      </c>
      <c r="E1416" s="92">
        <v>0.2</v>
      </c>
      <c r="F1416" t="s">
        <v>428</v>
      </c>
      <c r="G1416" t="s">
        <v>428</v>
      </c>
      <c r="H1416" t="s">
        <v>5615</v>
      </c>
      <c r="I1416">
        <v>0</v>
      </c>
      <c r="J1416" t="s">
        <v>87</v>
      </c>
      <c r="K1416">
        <v>0</v>
      </c>
      <c r="L1416">
        <v>0</v>
      </c>
    </row>
    <row r="1417" spans="1:12">
      <c r="A1417" s="93">
        <v>166984</v>
      </c>
      <c r="B1417" t="s">
        <v>1973</v>
      </c>
      <c r="C1417" t="s">
        <v>5607</v>
      </c>
      <c r="D1417" s="92">
        <v>0.57</v>
      </c>
      <c r="E1417" s="92">
        <v>0.65</v>
      </c>
      <c r="F1417" t="s">
        <v>428</v>
      </c>
      <c r="G1417" t="s">
        <v>428</v>
      </c>
      <c r="H1417" t="s">
        <v>5617</v>
      </c>
      <c r="I1417">
        <v>0</v>
      </c>
      <c r="J1417" t="s">
        <v>87</v>
      </c>
      <c r="K1417">
        <v>0</v>
      </c>
      <c r="L1417">
        <v>0</v>
      </c>
    </row>
    <row r="1418" spans="1:12">
      <c r="A1418" s="93">
        <v>167057</v>
      </c>
      <c r="B1418" t="s">
        <v>1974</v>
      </c>
      <c r="C1418" t="s">
        <v>5610</v>
      </c>
      <c r="D1418" s="92">
        <v>0.84</v>
      </c>
      <c r="E1418" s="92">
        <v>0.7</v>
      </c>
      <c r="F1418" t="s">
        <v>428</v>
      </c>
      <c r="G1418" t="s">
        <v>428</v>
      </c>
      <c r="H1418" t="s">
        <v>5617</v>
      </c>
      <c r="I1418">
        <v>0</v>
      </c>
      <c r="J1418" t="s">
        <v>87</v>
      </c>
      <c r="K1418">
        <v>0</v>
      </c>
      <c r="L1418">
        <v>0</v>
      </c>
    </row>
    <row r="1419" spans="1:12">
      <c r="A1419" s="93">
        <v>167093</v>
      </c>
      <c r="B1419" t="s">
        <v>1975</v>
      </c>
      <c r="C1419" t="s">
        <v>5607</v>
      </c>
      <c r="D1419" s="92" t="s">
        <v>428</v>
      </c>
      <c r="E1419" s="92" t="s">
        <v>428</v>
      </c>
      <c r="F1419" t="s">
        <v>428</v>
      </c>
      <c r="G1419" t="s">
        <v>428</v>
      </c>
      <c r="H1419" t="s">
        <v>5615</v>
      </c>
      <c r="I1419">
        <v>0</v>
      </c>
      <c r="J1419" t="s">
        <v>87</v>
      </c>
      <c r="K1419">
        <v>0</v>
      </c>
      <c r="L1419">
        <v>0</v>
      </c>
    </row>
    <row r="1420" spans="1:12">
      <c r="A1420" s="93">
        <v>167215</v>
      </c>
      <c r="B1420" t="s">
        <v>1976</v>
      </c>
      <c r="C1420" t="s">
        <v>5607</v>
      </c>
      <c r="D1420" s="92" t="s">
        <v>428</v>
      </c>
      <c r="E1420" s="92" t="s">
        <v>428</v>
      </c>
      <c r="F1420" t="s">
        <v>428</v>
      </c>
      <c r="G1420" t="s">
        <v>428</v>
      </c>
      <c r="H1420" t="s">
        <v>5615</v>
      </c>
      <c r="I1420">
        <v>0</v>
      </c>
      <c r="J1420" t="s">
        <v>87</v>
      </c>
      <c r="K1420">
        <v>0</v>
      </c>
      <c r="L1420">
        <v>0</v>
      </c>
    </row>
    <row r="1421" spans="1:12">
      <c r="A1421" s="93">
        <v>167251</v>
      </c>
      <c r="B1421" t="s">
        <v>1977</v>
      </c>
      <c r="C1421" t="s">
        <v>5602</v>
      </c>
      <c r="D1421" s="92">
        <v>0.38</v>
      </c>
      <c r="E1421" s="92">
        <v>0.33</v>
      </c>
      <c r="F1421" t="s">
        <v>428</v>
      </c>
      <c r="G1421" t="s">
        <v>428</v>
      </c>
      <c r="H1421" t="s">
        <v>5617</v>
      </c>
      <c r="I1421">
        <v>0</v>
      </c>
      <c r="J1421" t="s">
        <v>87</v>
      </c>
      <c r="K1421">
        <v>0</v>
      </c>
      <c r="L1421">
        <v>0</v>
      </c>
    </row>
    <row r="1422" spans="1:12">
      <c r="A1422" s="93">
        <v>167260</v>
      </c>
      <c r="B1422" t="s">
        <v>1978</v>
      </c>
      <c r="C1422" t="s">
        <v>5608</v>
      </c>
      <c r="D1422" s="92">
        <v>0.45</v>
      </c>
      <c r="E1422" s="92">
        <v>0.28</v>
      </c>
      <c r="F1422" t="s">
        <v>428</v>
      </c>
      <c r="G1422" t="s">
        <v>428</v>
      </c>
      <c r="H1422" t="s">
        <v>5617</v>
      </c>
      <c r="I1422">
        <v>0</v>
      </c>
      <c r="J1422" t="s">
        <v>87</v>
      </c>
      <c r="K1422">
        <v>0</v>
      </c>
      <c r="L1422">
        <v>0</v>
      </c>
    </row>
    <row r="1423" spans="1:12">
      <c r="A1423" s="93">
        <v>167288</v>
      </c>
      <c r="B1423" t="s">
        <v>1979</v>
      </c>
      <c r="C1423" t="s">
        <v>5602</v>
      </c>
      <c r="D1423" s="92">
        <v>0.52</v>
      </c>
      <c r="E1423" s="92">
        <v>0.5</v>
      </c>
      <c r="F1423">
        <v>16</v>
      </c>
      <c r="G1423">
        <v>19.5</v>
      </c>
      <c r="H1423" t="s">
        <v>5615</v>
      </c>
      <c r="I1423">
        <v>0</v>
      </c>
      <c r="J1423" t="s">
        <v>87</v>
      </c>
      <c r="K1423">
        <v>0</v>
      </c>
      <c r="L1423">
        <v>0</v>
      </c>
    </row>
    <row r="1424" spans="1:12">
      <c r="A1424" s="93">
        <v>167297</v>
      </c>
      <c r="B1424" t="s">
        <v>1980</v>
      </c>
      <c r="C1424" t="s">
        <v>5606</v>
      </c>
      <c r="D1424" s="92" t="s">
        <v>428</v>
      </c>
      <c r="E1424" s="92" t="s">
        <v>428</v>
      </c>
      <c r="F1424" t="s">
        <v>428</v>
      </c>
      <c r="G1424" t="s">
        <v>428</v>
      </c>
      <c r="H1424" t="s">
        <v>5617</v>
      </c>
      <c r="I1424">
        <v>0</v>
      </c>
      <c r="J1424" t="s">
        <v>87</v>
      </c>
      <c r="K1424">
        <v>0</v>
      </c>
      <c r="L1424">
        <v>0</v>
      </c>
    </row>
    <row r="1425" spans="1:12">
      <c r="A1425" s="93">
        <v>167312</v>
      </c>
      <c r="B1425" t="s">
        <v>1981</v>
      </c>
      <c r="C1425" t="s">
        <v>5606</v>
      </c>
      <c r="D1425" s="92">
        <v>0.27</v>
      </c>
      <c r="E1425" s="92">
        <v>0.23</v>
      </c>
      <c r="F1425" t="s">
        <v>428</v>
      </c>
      <c r="G1425" t="s">
        <v>428</v>
      </c>
      <c r="H1425" t="s">
        <v>5615</v>
      </c>
      <c r="I1425">
        <v>0</v>
      </c>
      <c r="J1425" t="s">
        <v>87</v>
      </c>
      <c r="K1425">
        <v>0</v>
      </c>
      <c r="L1425">
        <v>0</v>
      </c>
    </row>
    <row r="1426" spans="1:12">
      <c r="A1426" s="93">
        <v>167321</v>
      </c>
      <c r="B1426" t="s">
        <v>1982</v>
      </c>
      <c r="C1426" t="s">
        <v>5607</v>
      </c>
      <c r="D1426" s="92">
        <v>0.34</v>
      </c>
      <c r="E1426" s="92">
        <v>0.32</v>
      </c>
      <c r="F1426" t="s">
        <v>428</v>
      </c>
      <c r="G1426" t="s">
        <v>428</v>
      </c>
      <c r="H1426" t="s">
        <v>5617</v>
      </c>
      <c r="I1426">
        <v>0</v>
      </c>
      <c r="J1426" t="s">
        <v>87</v>
      </c>
      <c r="K1426">
        <v>0</v>
      </c>
      <c r="L1426">
        <v>0</v>
      </c>
    </row>
    <row r="1427" spans="1:12">
      <c r="A1427" s="93">
        <v>167358</v>
      </c>
      <c r="B1427" t="s">
        <v>1983</v>
      </c>
      <c r="C1427" t="s">
        <v>5612</v>
      </c>
      <c r="D1427" s="92">
        <v>0.86</v>
      </c>
      <c r="E1427" s="92">
        <v>0.87</v>
      </c>
      <c r="F1427">
        <v>31</v>
      </c>
      <c r="G1427">
        <v>32.5</v>
      </c>
      <c r="H1427" t="s">
        <v>5621</v>
      </c>
      <c r="I1427">
        <v>1</v>
      </c>
      <c r="J1427" t="s">
        <v>87</v>
      </c>
      <c r="K1427">
        <v>0</v>
      </c>
      <c r="L1427">
        <v>0</v>
      </c>
    </row>
    <row r="1428" spans="1:12">
      <c r="A1428" s="93">
        <v>167376</v>
      </c>
      <c r="B1428" t="s">
        <v>1984</v>
      </c>
      <c r="C1428" t="s">
        <v>5606</v>
      </c>
      <c r="D1428" s="92">
        <v>0.29</v>
      </c>
      <c r="E1428" s="92">
        <v>0.21</v>
      </c>
      <c r="F1428" t="s">
        <v>428</v>
      </c>
      <c r="G1428" t="s">
        <v>428</v>
      </c>
      <c r="H1428" t="s">
        <v>5615</v>
      </c>
      <c r="I1428">
        <v>0</v>
      </c>
      <c r="J1428" t="s">
        <v>87</v>
      </c>
      <c r="K1428">
        <v>0</v>
      </c>
      <c r="L1428">
        <v>0</v>
      </c>
    </row>
    <row r="1429" spans="1:12">
      <c r="A1429" s="93">
        <v>167394</v>
      </c>
      <c r="B1429" t="s">
        <v>1985</v>
      </c>
      <c r="C1429" t="s">
        <v>5603</v>
      </c>
      <c r="D1429" s="92">
        <v>0.65</v>
      </c>
      <c r="E1429" s="92">
        <v>0.54</v>
      </c>
      <c r="F1429">
        <v>15</v>
      </c>
      <c r="G1429">
        <v>18</v>
      </c>
      <c r="H1429" t="s">
        <v>5617</v>
      </c>
      <c r="I1429">
        <v>0</v>
      </c>
      <c r="J1429" t="s">
        <v>87</v>
      </c>
      <c r="K1429">
        <v>0</v>
      </c>
      <c r="L1429">
        <v>0</v>
      </c>
    </row>
    <row r="1430" spans="1:12">
      <c r="A1430" s="93">
        <v>167455</v>
      </c>
      <c r="B1430" t="s">
        <v>1986</v>
      </c>
      <c r="C1430" t="s">
        <v>5608</v>
      </c>
      <c r="D1430" s="92">
        <v>0.3</v>
      </c>
      <c r="E1430" s="92">
        <v>0.25</v>
      </c>
      <c r="F1430" t="s">
        <v>428</v>
      </c>
      <c r="G1430" t="s">
        <v>428</v>
      </c>
      <c r="H1430" t="s">
        <v>5617</v>
      </c>
      <c r="I1430">
        <v>0</v>
      </c>
      <c r="J1430" t="s">
        <v>87</v>
      </c>
      <c r="K1430">
        <v>0</v>
      </c>
      <c r="L1430">
        <v>0</v>
      </c>
    </row>
    <row r="1431" spans="1:12">
      <c r="A1431" s="93">
        <v>167464</v>
      </c>
      <c r="B1431" t="s">
        <v>1987</v>
      </c>
      <c r="C1431" t="s">
        <v>5607</v>
      </c>
      <c r="D1431" s="92" t="s">
        <v>428</v>
      </c>
      <c r="E1431" s="92" t="s">
        <v>428</v>
      </c>
      <c r="F1431" t="s">
        <v>428</v>
      </c>
      <c r="G1431" t="s">
        <v>428</v>
      </c>
      <c r="H1431" t="s">
        <v>5615</v>
      </c>
      <c r="I1431">
        <v>0</v>
      </c>
      <c r="J1431" t="s">
        <v>87</v>
      </c>
      <c r="K1431">
        <v>0</v>
      </c>
      <c r="L1431">
        <v>0</v>
      </c>
    </row>
    <row r="1432" spans="1:12">
      <c r="A1432" s="93">
        <v>167525</v>
      </c>
      <c r="B1432" t="s">
        <v>1988</v>
      </c>
      <c r="C1432" t="s">
        <v>5606</v>
      </c>
      <c r="D1432" s="92">
        <v>0.26</v>
      </c>
      <c r="E1432" s="92">
        <v>0.24</v>
      </c>
      <c r="F1432" t="s">
        <v>428</v>
      </c>
      <c r="G1432" t="s">
        <v>428</v>
      </c>
      <c r="H1432" t="s">
        <v>5615</v>
      </c>
      <c r="I1432">
        <v>0</v>
      </c>
      <c r="J1432" t="s">
        <v>87</v>
      </c>
      <c r="K1432">
        <v>0</v>
      </c>
      <c r="L1432">
        <v>0</v>
      </c>
    </row>
    <row r="1433" spans="1:12">
      <c r="A1433" s="93">
        <v>167534</v>
      </c>
      <c r="B1433" t="s">
        <v>1989</v>
      </c>
      <c r="C1433" t="s">
        <v>5606</v>
      </c>
      <c r="D1433" s="92">
        <v>0.3</v>
      </c>
      <c r="E1433" s="92">
        <v>0.23</v>
      </c>
      <c r="F1433" t="s">
        <v>428</v>
      </c>
      <c r="G1433" t="s">
        <v>428</v>
      </c>
      <c r="H1433" t="s">
        <v>5615</v>
      </c>
      <c r="I1433">
        <v>0</v>
      </c>
      <c r="J1433" t="s">
        <v>87</v>
      </c>
      <c r="K1433">
        <v>0</v>
      </c>
      <c r="L1433">
        <v>0</v>
      </c>
    </row>
    <row r="1434" spans="1:12">
      <c r="A1434" s="93">
        <v>167598</v>
      </c>
      <c r="B1434" t="s">
        <v>1990</v>
      </c>
      <c r="C1434" t="s">
        <v>5602</v>
      </c>
      <c r="D1434" s="92">
        <v>0.44</v>
      </c>
      <c r="E1434" s="92">
        <v>0.41</v>
      </c>
      <c r="F1434" t="s">
        <v>428</v>
      </c>
      <c r="G1434" t="s">
        <v>428</v>
      </c>
      <c r="H1434" t="s">
        <v>5617</v>
      </c>
      <c r="I1434">
        <v>0</v>
      </c>
      <c r="J1434" t="s">
        <v>87</v>
      </c>
      <c r="K1434">
        <v>0</v>
      </c>
      <c r="L1434">
        <v>0</v>
      </c>
    </row>
    <row r="1435" spans="1:12">
      <c r="A1435" s="93">
        <v>167631</v>
      </c>
      <c r="B1435" t="s">
        <v>1991</v>
      </c>
      <c r="C1435" t="s">
        <v>5606</v>
      </c>
      <c r="D1435" s="92">
        <v>0.22</v>
      </c>
      <c r="E1435" s="92">
        <v>0.22</v>
      </c>
      <c r="F1435" t="s">
        <v>428</v>
      </c>
      <c r="G1435" t="s">
        <v>428</v>
      </c>
      <c r="H1435" t="s">
        <v>5615</v>
      </c>
      <c r="I1435">
        <v>0</v>
      </c>
      <c r="J1435" t="s">
        <v>87</v>
      </c>
      <c r="K1435">
        <v>0</v>
      </c>
      <c r="L1435">
        <v>0</v>
      </c>
    </row>
    <row r="1436" spans="1:12">
      <c r="A1436" s="93">
        <v>167677</v>
      </c>
      <c r="B1436" t="s">
        <v>1992</v>
      </c>
      <c r="C1436" t="s">
        <v>5607</v>
      </c>
      <c r="D1436" s="92" t="s">
        <v>428</v>
      </c>
      <c r="E1436" s="92" t="s">
        <v>428</v>
      </c>
      <c r="F1436" t="s">
        <v>428</v>
      </c>
      <c r="G1436" t="s">
        <v>428</v>
      </c>
      <c r="H1436" t="s">
        <v>5615</v>
      </c>
      <c r="I1436">
        <v>0</v>
      </c>
      <c r="J1436" t="s">
        <v>87</v>
      </c>
      <c r="K1436">
        <v>0</v>
      </c>
      <c r="L1436">
        <v>0</v>
      </c>
    </row>
    <row r="1437" spans="1:12">
      <c r="A1437" s="93">
        <v>167729</v>
      </c>
      <c r="B1437" t="s">
        <v>1993</v>
      </c>
      <c r="C1437" t="s">
        <v>5608</v>
      </c>
      <c r="D1437" s="92">
        <v>0.49</v>
      </c>
      <c r="E1437" s="92">
        <v>0.45</v>
      </c>
      <c r="F1437">
        <v>16</v>
      </c>
      <c r="G1437">
        <v>18.5</v>
      </c>
      <c r="H1437" t="s">
        <v>5615</v>
      </c>
      <c r="I1437">
        <v>0</v>
      </c>
      <c r="J1437" t="s">
        <v>87</v>
      </c>
      <c r="K1437">
        <v>0</v>
      </c>
      <c r="L1437">
        <v>0</v>
      </c>
    </row>
    <row r="1438" spans="1:12">
      <c r="A1438" s="93">
        <v>167738</v>
      </c>
      <c r="B1438" t="s">
        <v>1994</v>
      </c>
      <c r="C1438" t="s">
        <v>5606</v>
      </c>
      <c r="D1438" s="92" t="s">
        <v>428</v>
      </c>
      <c r="E1438" s="92" t="s">
        <v>428</v>
      </c>
      <c r="F1438" t="s">
        <v>428</v>
      </c>
      <c r="G1438" t="s">
        <v>428</v>
      </c>
      <c r="H1438" t="s">
        <v>5617</v>
      </c>
      <c r="I1438">
        <v>0</v>
      </c>
      <c r="J1438" t="s">
        <v>87</v>
      </c>
      <c r="K1438">
        <v>0</v>
      </c>
      <c r="L1438">
        <v>0</v>
      </c>
    </row>
    <row r="1439" spans="1:12">
      <c r="A1439" s="93">
        <v>167783</v>
      </c>
      <c r="B1439" t="s">
        <v>1995</v>
      </c>
      <c r="C1439" t="s">
        <v>5603</v>
      </c>
      <c r="D1439" s="92">
        <v>0.71</v>
      </c>
      <c r="E1439" s="92">
        <v>0.67</v>
      </c>
      <c r="F1439">
        <v>24</v>
      </c>
      <c r="G1439">
        <v>26.5</v>
      </c>
      <c r="H1439" t="s">
        <v>5617</v>
      </c>
      <c r="I1439">
        <v>0</v>
      </c>
      <c r="J1439" t="s">
        <v>87</v>
      </c>
      <c r="K1439">
        <v>0</v>
      </c>
      <c r="L1439">
        <v>0</v>
      </c>
    </row>
    <row r="1440" spans="1:12">
      <c r="A1440" s="93">
        <v>167792</v>
      </c>
      <c r="B1440" t="s">
        <v>1996</v>
      </c>
      <c r="C1440" t="s">
        <v>5612</v>
      </c>
      <c r="D1440" s="92" t="s">
        <v>428</v>
      </c>
      <c r="E1440" s="92" t="s">
        <v>428</v>
      </c>
      <c r="F1440" t="s">
        <v>428</v>
      </c>
      <c r="G1440" t="s">
        <v>428</v>
      </c>
      <c r="H1440" t="s">
        <v>5618</v>
      </c>
      <c r="I1440">
        <v>0</v>
      </c>
      <c r="J1440" t="s">
        <v>87</v>
      </c>
      <c r="K1440">
        <v>0</v>
      </c>
      <c r="L1440">
        <v>0</v>
      </c>
    </row>
    <row r="1441" spans="1:12">
      <c r="A1441" s="93">
        <v>167835</v>
      </c>
      <c r="B1441" t="s">
        <v>1997</v>
      </c>
      <c r="C1441" t="s">
        <v>5612</v>
      </c>
      <c r="D1441" s="92">
        <v>0.89</v>
      </c>
      <c r="E1441" s="92">
        <v>0.9</v>
      </c>
      <c r="F1441" t="s">
        <v>428</v>
      </c>
      <c r="G1441" t="s">
        <v>428</v>
      </c>
      <c r="H1441" t="s">
        <v>5619</v>
      </c>
      <c r="I1441">
        <v>1</v>
      </c>
      <c r="J1441" t="s">
        <v>87</v>
      </c>
      <c r="K1441">
        <v>0</v>
      </c>
      <c r="L1441">
        <v>0</v>
      </c>
    </row>
    <row r="1442" spans="1:12">
      <c r="A1442" s="93">
        <v>167899</v>
      </c>
      <c r="B1442" t="s">
        <v>1998</v>
      </c>
      <c r="C1442" t="s">
        <v>5602</v>
      </c>
      <c r="D1442" s="92">
        <v>0.7</v>
      </c>
      <c r="E1442" s="92">
        <v>0.5</v>
      </c>
      <c r="F1442">
        <v>24</v>
      </c>
      <c r="G1442">
        <v>26</v>
      </c>
      <c r="H1442" t="s">
        <v>5617</v>
      </c>
      <c r="I1442">
        <v>0</v>
      </c>
      <c r="J1442" t="s">
        <v>87</v>
      </c>
      <c r="K1442">
        <v>0</v>
      </c>
      <c r="L1442">
        <v>0</v>
      </c>
    </row>
    <row r="1443" spans="1:12">
      <c r="A1443" s="93">
        <v>167905</v>
      </c>
      <c r="B1443" t="s">
        <v>1999</v>
      </c>
      <c r="C1443" t="s">
        <v>5606</v>
      </c>
      <c r="D1443" s="92">
        <v>0.27</v>
      </c>
      <c r="E1443" s="92">
        <v>0.18</v>
      </c>
      <c r="F1443" t="s">
        <v>428</v>
      </c>
      <c r="G1443" t="s">
        <v>428</v>
      </c>
      <c r="H1443" t="s">
        <v>5615</v>
      </c>
      <c r="I1443">
        <v>0</v>
      </c>
      <c r="J1443" t="s">
        <v>87</v>
      </c>
      <c r="K1443">
        <v>0</v>
      </c>
      <c r="L1443">
        <v>0</v>
      </c>
    </row>
    <row r="1444" spans="1:12">
      <c r="A1444" s="93">
        <v>167987</v>
      </c>
      <c r="B1444" t="s">
        <v>2000</v>
      </c>
      <c r="C1444" t="s">
        <v>5602</v>
      </c>
      <c r="D1444" s="92">
        <v>0.48</v>
      </c>
      <c r="E1444" s="92">
        <v>0.45</v>
      </c>
      <c r="F1444">
        <v>16</v>
      </c>
      <c r="G1444">
        <v>19.5</v>
      </c>
      <c r="H1444" t="s">
        <v>5615</v>
      </c>
      <c r="I1444">
        <v>0</v>
      </c>
      <c r="J1444" t="s">
        <v>87</v>
      </c>
      <c r="K1444">
        <v>0</v>
      </c>
      <c r="L1444">
        <v>0</v>
      </c>
    </row>
    <row r="1445" spans="1:12">
      <c r="A1445" s="93">
        <v>167996</v>
      </c>
      <c r="B1445" t="s">
        <v>2001</v>
      </c>
      <c r="C1445" t="s">
        <v>5602</v>
      </c>
      <c r="D1445" s="92">
        <v>0.83</v>
      </c>
      <c r="E1445" s="92">
        <v>0.73</v>
      </c>
      <c r="F1445" t="s">
        <v>428</v>
      </c>
      <c r="G1445" t="s">
        <v>428</v>
      </c>
      <c r="H1445" t="s">
        <v>5618</v>
      </c>
      <c r="I1445">
        <v>0</v>
      </c>
      <c r="J1445" t="s">
        <v>87</v>
      </c>
      <c r="K1445">
        <v>0</v>
      </c>
      <c r="L1445">
        <v>0</v>
      </c>
    </row>
    <row r="1446" spans="1:12">
      <c r="A1446" s="93">
        <v>168005</v>
      </c>
      <c r="B1446" t="s">
        <v>2002</v>
      </c>
      <c r="C1446" t="s">
        <v>5602</v>
      </c>
      <c r="D1446" s="92">
        <v>0.59</v>
      </c>
      <c r="E1446" s="92">
        <v>0.59</v>
      </c>
      <c r="F1446">
        <v>16</v>
      </c>
      <c r="G1446">
        <v>19</v>
      </c>
      <c r="H1446" t="s">
        <v>5617</v>
      </c>
      <c r="I1446">
        <v>0</v>
      </c>
      <c r="J1446" t="s">
        <v>87</v>
      </c>
      <c r="K1446">
        <v>0</v>
      </c>
      <c r="L1446">
        <v>0</v>
      </c>
    </row>
    <row r="1447" spans="1:12">
      <c r="A1447" s="93">
        <v>168148</v>
      </c>
      <c r="B1447" t="s">
        <v>2003</v>
      </c>
      <c r="C1447" t="s">
        <v>5611</v>
      </c>
      <c r="D1447" s="92">
        <v>0.92</v>
      </c>
      <c r="E1447" s="92">
        <v>0.85</v>
      </c>
      <c r="F1447">
        <v>31</v>
      </c>
      <c r="G1447">
        <v>32.5</v>
      </c>
      <c r="H1447" t="s">
        <v>5623</v>
      </c>
      <c r="I1447">
        <v>1</v>
      </c>
      <c r="J1447" t="s">
        <v>87</v>
      </c>
      <c r="K1447">
        <v>0</v>
      </c>
      <c r="L1447">
        <v>0</v>
      </c>
    </row>
    <row r="1448" spans="1:12">
      <c r="A1448" s="93">
        <v>168218</v>
      </c>
      <c r="B1448" t="s">
        <v>2004</v>
      </c>
      <c r="C1448" t="s">
        <v>5612</v>
      </c>
      <c r="D1448" s="92">
        <v>0.91</v>
      </c>
      <c r="E1448" s="92">
        <v>0.9</v>
      </c>
      <c r="F1448">
        <v>30</v>
      </c>
      <c r="G1448">
        <v>31.5</v>
      </c>
      <c r="H1448" t="s">
        <v>5619</v>
      </c>
      <c r="I1448">
        <v>1</v>
      </c>
      <c r="J1448" t="s">
        <v>87</v>
      </c>
      <c r="K1448">
        <v>0</v>
      </c>
      <c r="L1448">
        <v>0</v>
      </c>
    </row>
    <row r="1449" spans="1:12">
      <c r="A1449" s="93">
        <v>168227</v>
      </c>
      <c r="B1449" t="s">
        <v>2005</v>
      </c>
      <c r="C1449" t="s">
        <v>5602</v>
      </c>
      <c r="D1449" s="92">
        <v>0.65</v>
      </c>
      <c r="E1449" s="92">
        <v>0.57</v>
      </c>
      <c r="F1449">
        <v>21</v>
      </c>
      <c r="G1449">
        <v>24.5</v>
      </c>
      <c r="H1449" t="s">
        <v>5617</v>
      </c>
      <c r="I1449">
        <v>0</v>
      </c>
      <c r="J1449" t="s">
        <v>87</v>
      </c>
      <c r="K1449">
        <v>0</v>
      </c>
      <c r="L1449">
        <v>0</v>
      </c>
    </row>
    <row r="1450" spans="1:12">
      <c r="A1450" s="93">
        <v>168254</v>
      </c>
      <c r="B1450" t="s">
        <v>2006</v>
      </c>
      <c r="C1450" t="s">
        <v>5602</v>
      </c>
      <c r="D1450" s="92">
        <v>0.58</v>
      </c>
      <c r="E1450" s="92">
        <v>0.43</v>
      </c>
      <c r="F1450">
        <v>19</v>
      </c>
      <c r="G1450">
        <v>21.5</v>
      </c>
      <c r="H1450" t="s">
        <v>5617</v>
      </c>
      <c r="I1450">
        <v>0</v>
      </c>
      <c r="J1450" t="s">
        <v>87</v>
      </c>
      <c r="K1450">
        <v>0</v>
      </c>
      <c r="L1450">
        <v>0</v>
      </c>
    </row>
    <row r="1451" spans="1:12">
      <c r="A1451" s="93">
        <v>168263</v>
      </c>
      <c r="B1451" t="s">
        <v>2007</v>
      </c>
      <c r="C1451" t="s">
        <v>5602</v>
      </c>
      <c r="D1451" s="92">
        <v>0.64</v>
      </c>
      <c r="E1451" s="92">
        <v>0.53</v>
      </c>
      <c r="F1451">
        <v>16</v>
      </c>
      <c r="G1451">
        <v>18.5</v>
      </c>
      <c r="H1451" t="s">
        <v>5615</v>
      </c>
      <c r="I1451">
        <v>0</v>
      </c>
      <c r="J1451" t="s">
        <v>87</v>
      </c>
      <c r="K1451">
        <v>0</v>
      </c>
      <c r="L1451">
        <v>0</v>
      </c>
    </row>
    <row r="1452" spans="1:12">
      <c r="A1452" s="93">
        <v>168281</v>
      </c>
      <c r="B1452" t="s">
        <v>1526</v>
      </c>
      <c r="C1452" t="s">
        <v>5603</v>
      </c>
      <c r="D1452" s="92">
        <v>0.78</v>
      </c>
      <c r="E1452" s="92">
        <v>0.78</v>
      </c>
      <c r="F1452" t="s">
        <v>428</v>
      </c>
      <c r="G1452" t="s">
        <v>428</v>
      </c>
      <c r="H1452" t="s">
        <v>5618</v>
      </c>
      <c r="I1452">
        <v>0</v>
      </c>
      <c r="J1452" t="s">
        <v>87</v>
      </c>
      <c r="K1452">
        <v>0</v>
      </c>
      <c r="L1452">
        <v>0</v>
      </c>
    </row>
    <row r="1453" spans="1:12">
      <c r="A1453" s="93">
        <v>168290</v>
      </c>
      <c r="B1453" t="s">
        <v>2008</v>
      </c>
      <c r="C1453" t="s">
        <v>5602</v>
      </c>
      <c r="D1453" s="92">
        <v>0.6</v>
      </c>
      <c r="E1453" s="92">
        <v>0.6</v>
      </c>
      <c r="F1453">
        <v>15</v>
      </c>
      <c r="G1453">
        <v>18.5</v>
      </c>
      <c r="H1453" t="s">
        <v>5617</v>
      </c>
      <c r="I1453">
        <v>0</v>
      </c>
      <c r="J1453" t="s">
        <v>87</v>
      </c>
      <c r="K1453">
        <v>0</v>
      </c>
      <c r="L1453">
        <v>0</v>
      </c>
    </row>
    <row r="1454" spans="1:12">
      <c r="A1454" s="93">
        <v>168342</v>
      </c>
      <c r="B1454" t="s">
        <v>2009</v>
      </c>
      <c r="C1454" t="s">
        <v>5611</v>
      </c>
      <c r="D1454" s="92">
        <v>0.9399999999999999</v>
      </c>
      <c r="E1454" s="92">
        <v>0.93</v>
      </c>
      <c r="F1454">
        <v>31</v>
      </c>
      <c r="G1454">
        <v>32.5</v>
      </c>
      <c r="H1454" t="s">
        <v>5619</v>
      </c>
      <c r="I1454">
        <v>1</v>
      </c>
      <c r="J1454" t="s">
        <v>87</v>
      </c>
      <c r="K1454">
        <v>0</v>
      </c>
      <c r="L1454">
        <v>0</v>
      </c>
    </row>
    <row r="1455" spans="1:12">
      <c r="A1455" s="93">
        <v>168421</v>
      </c>
      <c r="B1455" t="s">
        <v>2010</v>
      </c>
      <c r="C1455" t="s">
        <v>5612</v>
      </c>
      <c r="D1455" s="92">
        <v>0.86</v>
      </c>
      <c r="E1455" s="92">
        <v>0.75</v>
      </c>
      <c r="F1455" t="s">
        <v>428</v>
      </c>
      <c r="G1455" t="s">
        <v>428</v>
      </c>
      <c r="H1455" t="s">
        <v>5618</v>
      </c>
      <c r="I1455">
        <v>0</v>
      </c>
      <c r="J1455" t="s">
        <v>87</v>
      </c>
      <c r="K1455">
        <v>0</v>
      </c>
      <c r="L1455">
        <v>0</v>
      </c>
    </row>
    <row r="1456" spans="1:12">
      <c r="A1456" s="93">
        <v>168430</v>
      </c>
      <c r="B1456" t="s">
        <v>2011</v>
      </c>
      <c r="C1456" t="s">
        <v>5602</v>
      </c>
      <c r="D1456" s="92">
        <v>0.53</v>
      </c>
      <c r="E1456" s="92">
        <v>0.41</v>
      </c>
      <c r="F1456">
        <v>16</v>
      </c>
      <c r="G1456">
        <v>19</v>
      </c>
      <c r="H1456" t="s">
        <v>5615</v>
      </c>
      <c r="I1456">
        <v>0</v>
      </c>
      <c r="J1456" t="s">
        <v>87</v>
      </c>
      <c r="K1456">
        <v>0</v>
      </c>
      <c r="L1456">
        <v>0</v>
      </c>
    </row>
    <row r="1457" spans="1:12">
      <c r="A1457" s="93">
        <v>168528</v>
      </c>
      <c r="B1457" t="s">
        <v>2012</v>
      </c>
      <c r="C1457" t="s">
        <v>5602</v>
      </c>
      <c r="D1457" s="92">
        <v>0.55</v>
      </c>
      <c r="E1457" s="92">
        <v>0.46</v>
      </c>
      <c r="F1457">
        <v>19</v>
      </c>
      <c r="G1457">
        <v>21.5</v>
      </c>
      <c r="H1457" t="s">
        <v>5617</v>
      </c>
      <c r="I1457">
        <v>0</v>
      </c>
      <c r="J1457" t="s">
        <v>87</v>
      </c>
      <c r="K1457">
        <v>0</v>
      </c>
      <c r="L1457">
        <v>0</v>
      </c>
    </row>
    <row r="1458" spans="1:12">
      <c r="A1458" s="93">
        <v>168546</v>
      </c>
      <c r="B1458" t="s">
        <v>462</v>
      </c>
      <c r="C1458" t="s">
        <v>5602</v>
      </c>
      <c r="D1458" s="92">
        <v>0.76</v>
      </c>
      <c r="E1458" s="92">
        <v>0.54</v>
      </c>
      <c r="F1458">
        <v>20</v>
      </c>
      <c r="G1458">
        <v>23</v>
      </c>
      <c r="H1458" t="s">
        <v>5613</v>
      </c>
      <c r="I1458">
        <v>1</v>
      </c>
      <c r="J1458" t="s">
        <v>87</v>
      </c>
      <c r="K1458">
        <v>0</v>
      </c>
      <c r="L1458">
        <v>0</v>
      </c>
    </row>
    <row r="1459" spans="1:12">
      <c r="A1459" s="93">
        <v>168591</v>
      </c>
      <c r="B1459" t="s">
        <v>2013</v>
      </c>
      <c r="C1459" t="s">
        <v>5602</v>
      </c>
      <c r="D1459" s="92">
        <v>0.63</v>
      </c>
      <c r="E1459" s="92">
        <v>0.44</v>
      </c>
      <c r="F1459">
        <v>21</v>
      </c>
      <c r="G1459">
        <v>23.5</v>
      </c>
      <c r="H1459" t="s">
        <v>5617</v>
      </c>
      <c r="I1459">
        <v>0</v>
      </c>
      <c r="J1459" t="s">
        <v>87</v>
      </c>
      <c r="K1459">
        <v>0</v>
      </c>
      <c r="L1459">
        <v>0</v>
      </c>
    </row>
    <row r="1460" spans="1:12">
      <c r="A1460" s="93">
        <v>168607</v>
      </c>
      <c r="B1460" t="s">
        <v>2014</v>
      </c>
      <c r="C1460" t="s">
        <v>5604</v>
      </c>
      <c r="D1460" s="92">
        <v>0.32</v>
      </c>
      <c r="E1460" s="92">
        <v>0.14</v>
      </c>
      <c r="F1460" t="s">
        <v>428</v>
      </c>
      <c r="G1460" t="s">
        <v>428</v>
      </c>
      <c r="H1460" t="s">
        <v>5615</v>
      </c>
      <c r="I1460">
        <v>0</v>
      </c>
      <c r="J1460" t="s">
        <v>87</v>
      </c>
      <c r="K1460">
        <v>0</v>
      </c>
      <c r="L1460">
        <v>0</v>
      </c>
    </row>
    <row r="1461" spans="1:12">
      <c r="A1461" s="93">
        <v>168740</v>
      </c>
      <c r="B1461" t="s">
        <v>2015</v>
      </c>
      <c r="C1461" t="s">
        <v>5602</v>
      </c>
      <c r="D1461" s="92">
        <v>0.58</v>
      </c>
      <c r="E1461" s="92">
        <v>0.64</v>
      </c>
      <c r="F1461">
        <v>21</v>
      </c>
      <c r="G1461">
        <v>25</v>
      </c>
      <c r="H1461" t="s">
        <v>5617</v>
      </c>
      <c r="I1461">
        <v>0</v>
      </c>
      <c r="J1461" t="s">
        <v>87</v>
      </c>
      <c r="K1461">
        <v>0</v>
      </c>
      <c r="L1461">
        <v>0</v>
      </c>
    </row>
    <row r="1462" spans="1:12">
      <c r="A1462" s="93">
        <v>168786</v>
      </c>
      <c r="B1462" t="s">
        <v>2016</v>
      </c>
      <c r="C1462" t="s">
        <v>5605</v>
      </c>
      <c r="D1462" s="92">
        <v>0.54</v>
      </c>
      <c r="E1462" s="92">
        <v>0.38</v>
      </c>
      <c r="F1462">
        <v>21</v>
      </c>
      <c r="G1462">
        <v>23.5</v>
      </c>
      <c r="H1462" t="s">
        <v>5616</v>
      </c>
      <c r="I1462">
        <v>0</v>
      </c>
      <c r="J1462" t="s">
        <v>87</v>
      </c>
      <c r="K1462">
        <v>0</v>
      </c>
      <c r="L1462">
        <v>0</v>
      </c>
    </row>
    <row r="1463" spans="1:12">
      <c r="A1463" s="93">
        <v>168847</v>
      </c>
      <c r="B1463" t="s">
        <v>2017</v>
      </c>
      <c r="C1463" t="s">
        <v>5604</v>
      </c>
      <c r="D1463" s="92">
        <v>0.14</v>
      </c>
      <c r="E1463" s="92">
        <v>0.07000000000000001</v>
      </c>
      <c r="F1463" t="s">
        <v>428</v>
      </c>
      <c r="G1463" t="s">
        <v>428</v>
      </c>
      <c r="H1463" t="s">
        <v>5616</v>
      </c>
      <c r="I1463">
        <v>0</v>
      </c>
      <c r="J1463" t="s">
        <v>87</v>
      </c>
      <c r="K1463">
        <v>0</v>
      </c>
      <c r="L1463">
        <v>0</v>
      </c>
    </row>
    <row r="1464" spans="1:12">
      <c r="A1464" s="93">
        <v>168883</v>
      </c>
      <c r="B1464" t="s">
        <v>2018</v>
      </c>
      <c r="C1464" t="s">
        <v>5606</v>
      </c>
      <c r="D1464" s="92">
        <v>0.31</v>
      </c>
      <c r="E1464" s="92">
        <v>0.28</v>
      </c>
      <c r="F1464" t="s">
        <v>428</v>
      </c>
      <c r="G1464" t="s">
        <v>428</v>
      </c>
      <c r="H1464" t="s">
        <v>5615</v>
      </c>
      <c r="I1464">
        <v>0</v>
      </c>
      <c r="J1464" t="s">
        <v>87</v>
      </c>
      <c r="K1464">
        <v>0</v>
      </c>
      <c r="L1464">
        <v>0</v>
      </c>
    </row>
    <row r="1465" spans="1:12">
      <c r="A1465" s="93">
        <v>169080</v>
      </c>
      <c r="B1465" t="s">
        <v>2019</v>
      </c>
      <c r="C1465" t="s">
        <v>5603</v>
      </c>
      <c r="D1465" s="92">
        <v>0.75</v>
      </c>
      <c r="E1465" s="92">
        <v>0.53</v>
      </c>
      <c r="F1465">
        <v>23</v>
      </c>
      <c r="G1465">
        <v>26</v>
      </c>
      <c r="H1465" t="s">
        <v>5617</v>
      </c>
      <c r="I1465">
        <v>0</v>
      </c>
      <c r="J1465" t="s">
        <v>87</v>
      </c>
      <c r="K1465">
        <v>0</v>
      </c>
      <c r="L1465">
        <v>0</v>
      </c>
    </row>
    <row r="1466" spans="1:12">
      <c r="A1466" s="93">
        <v>169099</v>
      </c>
      <c r="B1466" t="s">
        <v>2020</v>
      </c>
      <c r="C1466" t="s">
        <v>5607</v>
      </c>
      <c r="D1466" s="92" t="s">
        <v>428</v>
      </c>
      <c r="E1466" s="92" t="s">
        <v>428</v>
      </c>
      <c r="F1466" t="s">
        <v>428</v>
      </c>
      <c r="G1466" t="s">
        <v>428</v>
      </c>
      <c r="H1466" t="s">
        <v>5615</v>
      </c>
      <c r="I1466">
        <v>0</v>
      </c>
      <c r="J1466" t="s">
        <v>87</v>
      </c>
      <c r="K1466">
        <v>0</v>
      </c>
      <c r="L1466">
        <v>0</v>
      </c>
    </row>
    <row r="1467" spans="1:12">
      <c r="A1467" s="93">
        <v>169187</v>
      </c>
      <c r="B1467" t="s">
        <v>2021</v>
      </c>
      <c r="C1467" t="s">
        <v>5606</v>
      </c>
      <c r="D1467" s="92" t="s">
        <v>428</v>
      </c>
      <c r="E1467" s="92" t="s">
        <v>428</v>
      </c>
      <c r="F1467" t="s">
        <v>428</v>
      </c>
      <c r="G1467" t="s">
        <v>428</v>
      </c>
      <c r="H1467" t="s">
        <v>5617</v>
      </c>
      <c r="I1467">
        <v>0</v>
      </c>
      <c r="J1467" t="s">
        <v>87</v>
      </c>
      <c r="K1467">
        <v>0</v>
      </c>
      <c r="L1467">
        <v>0</v>
      </c>
    </row>
    <row r="1468" spans="1:12">
      <c r="A1468" s="93">
        <v>169220</v>
      </c>
      <c r="B1468" t="s">
        <v>2022</v>
      </c>
      <c r="C1468" t="s">
        <v>5607</v>
      </c>
      <c r="D1468" s="92" t="s">
        <v>428</v>
      </c>
      <c r="E1468" s="92" t="s">
        <v>428</v>
      </c>
      <c r="F1468" t="s">
        <v>428</v>
      </c>
      <c r="G1468" t="s">
        <v>428</v>
      </c>
      <c r="H1468" t="s">
        <v>5615</v>
      </c>
      <c r="I1468">
        <v>0</v>
      </c>
      <c r="J1468" t="s">
        <v>87</v>
      </c>
      <c r="K1468">
        <v>0</v>
      </c>
      <c r="L1468">
        <v>0</v>
      </c>
    </row>
    <row r="1469" spans="1:12">
      <c r="A1469" s="93">
        <v>169248</v>
      </c>
      <c r="B1469" t="s">
        <v>464</v>
      </c>
      <c r="C1469" t="s">
        <v>5602</v>
      </c>
      <c r="D1469" s="92">
        <v>0.57</v>
      </c>
      <c r="E1469" s="92">
        <v>0.44</v>
      </c>
      <c r="F1469">
        <v>20</v>
      </c>
      <c r="G1469">
        <v>22.5</v>
      </c>
      <c r="H1469" t="s">
        <v>5613</v>
      </c>
      <c r="I1469">
        <v>1</v>
      </c>
      <c r="J1469" t="s">
        <v>87</v>
      </c>
      <c r="K1469">
        <v>0</v>
      </c>
      <c r="L1469">
        <v>0</v>
      </c>
    </row>
    <row r="1470" spans="1:12">
      <c r="A1470" s="93">
        <v>169275</v>
      </c>
      <c r="B1470" t="s">
        <v>2023</v>
      </c>
      <c r="C1470" t="s">
        <v>5606</v>
      </c>
      <c r="D1470" s="92">
        <v>0.26</v>
      </c>
      <c r="E1470" s="92">
        <v>0.22</v>
      </c>
      <c r="F1470" t="s">
        <v>428</v>
      </c>
      <c r="G1470" t="s">
        <v>428</v>
      </c>
      <c r="H1470" t="s">
        <v>5615</v>
      </c>
      <c r="I1470">
        <v>0</v>
      </c>
      <c r="J1470" t="s">
        <v>87</v>
      </c>
      <c r="K1470">
        <v>0</v>
      </c>
      <c r="L1470">
        <v>0</v>
      </c>
    </row>
    <row r="1471" spans="1:12">
      <c r="A1471" s="93">
        <v>169327</v>
      </c>
      <c r="B1471" t="s">
        <v>2024</v>
      </c>
      <c r="C1471" t="s">
        <v>5602</v>
      </c>
      <c r="D1471" s="92">
        <v>0.38</v>
      </c>
      <c r="E1471" s="92">
        <v>0.5</v>
      </c>
      <c r="F1471">
        <v>19</v>
      </c>
      <c r="G1471">
        <v>21</v>
      </c>
      <c r="H1471" t="s">
        <v>5613</v>
      </c>
      <c r="I1471">
        <v>1</v>
      </c>
      <c r="J1471" t="s">
        <v>87</v>
      </c>
      <c r="K1471">
        <v>0</v>
      </c>
      <c r="L1471">
        <v>0</v>
      </c>
    </row>
    <row r="1472" spans="1:12">
      <c r="A1472" s="93">
        <v>169363</v>
      </c>
      <c r="B1472" t="s">
        <v>2025</v>
      </c>
      <c r="C1472" t="s">
        <v>5603</v>
      </c>
      <c r="D1472" s="92">
        <v>0.4</v>
      </c>
      <c r="E1472" s="92">
        <v>0.15</v>
      </c>
      <c r="F1472">
        <v>19</v>
      </c>
      <c r="G1472">
        <v>21.5</v>
      </c>
      <c r="H1472" t="s">
        <v>5617</v>
      </c>
      <c r="I1472">
        <v>0</v>
      </c>
      <c r="J1472" t="s">
        <v>87</v>
      </c>
      <c r="K1472">
        <v>0</v>
      </c>
      <c r="L1472">
        <v>0</v>
      </c>
    </row>
    <row r="1473" spans="1:12">
      <c r="A1473" s="93">
        <v>169424</v>
      </c>
      <c r="B1473" t="s">
        <v>2026</v>
      </c>
      <c r="C1473" t="s">
        <v>5607</v>
      </c>
      <c r="D1473" s="92" t="s">
        <v>428</v>
      </c>
      <c r="E1473" s="92" t="s">
        <v>428</v>
      </c>
      <c r="F1473" t="s">
        <v>428</v>
      </c>
      <c r="G1473" t="s">
        <v>428</v>
      </c>
      <c r="H1473" t="s">
        <v>5615</v>
      </c>
      <c r="I1473">
        <v>0</v>
      </c>
      <c r="J1473" t="s">
        <v>87</v>
      </c>
      <c r="K1473">
        <v>0</v>
      </c>
      <c r="L1473">
        <v>0</v>
      </c>
    </row>
    <row r="1474" spans="1:12">
      <c r="A1474" s="93">
        <v>169442</v>
      </c>
      <c r="B1474" t="s">
        <v>2027</v>
      </c>
      <c r="C1474" t="s">
        <v>5610</v>
      </c>
      <c r="D1474" s="92">
        <v>0.57</v>
      </c>
      <c r="E1474" s="92">
        <v>0.55</v>
      </c>
      <c r="F1474">
        <v>20</v>
      </c>
      <c r="G1474">
        <v>22.5</v>
      </c>
      <c r="H1474" t="s">
        <v>5617</v>
      </c>
      <c r="I1474">
        <v>0</v>
      </c>
      <c r="J1474" t="s">
        <v>87</v>
      </c>
      <c r="K1474">
        <v>0</v>
      </c>
      <c r="L1474">
        <v>0</v>
      </c>
    </row>
    <row r="1475" spans="1:12">
      <c r="A1475" s="93">
        <v>169479</v>
      </c>
      <c r="B1475" t="s">
        <v>2028</v>
      </c>
      <c r="C1475" t="s">
        <v>5608</v>
      </c>
      <c r="D1475" s="92">
        <v>0.39</v>
      </c>
      <c r="E1475" s="92">
        <v>0.22</v>
      </c>
      <c r="F1475" t="s">
        <v>428</v>
      </c>
      <c r="G1475" t="s">
        <v>428</v>
      </c>
      <c r="H1475" t="s">
        <v>5617</v>
      </c>
      <c r="I1475">
        <v>0</v>
      </c>
      <c r="J1475" t="s">
        <v>87</v>
      </c>
      <c r="K1475">
        <v>0</v>
      </c>
      <c r="L1475">
        <v>0</v>
      </c>
    </row>
    <row r="1476" spans="1:12">
      <c r="A1476" s="93">
        <v>169521</v>
      </c>
      <c r="B1476" t="s">
        <v>2029</v>
      </c>
      <c r="C1476" t="s">
        <v>5606</v>
      </c>
      <c r="D1476" s="92">
        <v>0.29</v>
      </c>
      <c r="E1476" s="92">
        <v>0.19</v>
      </c>
      <c r="F1476" t="s">
        <v>428</v>
      </c>
      <c r="G1476" t="s">
        <v>428</v>
      </c>
      <c r="H1476" t="s">
        <v>5615</v>
      </c>
      <c r="I1476">
        <v>0</v>
      </c>
      <c r="J1476" t="s">
        <v>87</v>
      </c>
      <c r="K1476">
        <v>0</v>
      </c>
      <c r="L1476">
        <v>0</v>
      </c>
    </row>
    <row r="1477" spans="1:12">
      <c r="A1477" s="93">
        <v>169628</v>
      </c>
      <c r="B1477" t="s">
        <v>2030</v>
      </c>
      <c r="C1477" t="s">
        <v>5607</v>
      </c>
      <c r="D1477" s="92" t="s">
        <v>428</v>
      </c>
      <c r="E1477" s="92" t="s">
        <v>428</v>
      </c>
      <c r="F1477" t="s">
        <v>428</v>
      </c>
      <c r="G1477" t="s">
        <v>428</v>
      </c>
      <c r="H1477" t="s">
        <v>5615</v>
      </c>
      <c r="I1477">
        <v>0</v>
      </c>
      <c r="J1477" t="s">
        <v>87</v>
      </c>
      <c r="K1477">
        <v>0</v>
      </c>
      <c r="L1477">
        <v>0</v>
      </c>
    </row>
    <row r="1478" spans="1:12">
      <c r="A1478" s="93">
        <v>169655</v>
      </c>
      <c r="B1478" t="s">
        <v>2031</v>
      </c>
      <c r="C1478" t="s">
        <v>5606</v>
      </c>
      <c r="D1478" s="92" t="s">
        <v>428</v>
      </c>
      <c r="E1478" s="92" t="s">
        <v>428</v>
      </c>
      <c r="F1478" t="s">
        <v>428</v>
      </c>
      <c r="G1478" t="s">
        <v>428</v>
      </c>
      <c r="H1478" t="s">
        <v>5617</v>
      </c>
      <c r="I1478">
        <v>0</v>
      </c>
      <c r="J1478" t="s">
        <v>87</v>
      </c>
      <c r="K1478">
        <v>0</v>
      </c>
      <c r="L1478">
        <v>0</v>
      </c>
    </row>
    <row r="1479" spans="1:12">
      <c r="A1479" s="93">
        <v>169716</v>
      </c>
      <c r="B1479" t="s">
        <v>2032</v>
      </c>
      <c r="C1479" t="s">
        <v>5602</v>
      </c>
      <c r="D1479" s="92">
        <v>0.62</v>
      </c>
      <c r="E1479" s="92">
        <v>0.41</v>
      </c>
      <c r="F1479">
        <v>22</v>
      </c>
      <c r="G1479">
        <v>24.5</v>
      </c>
      <c r="H1479" t="s">
        <v>5617</v>
      </c>
      <c r="I1479">
        <v>0</v>
      </c>
      <c r="J1479" t="s">
        <v>87</v>
      </c>
      <c r="K1479">
        <v>0</v>
      </c>
      <c r="L1479">
        <v>0</v>
      </c>
    </row>
    <row r="1480" spans="1:12">
      <c r="A1480" s="93">
        <v>169798</v>
      </c>
      <c r="B1480" t="s">
        <v>2033</v>
      </c>
      <c r="C1480" t="s">
        <v>5602</v>
      </c>
      <c r="D1480" s="92">
        <v>0.41</v>
      </c>
      <c r="E1480" s="92">
        <v>0.22</v>
      </c>
      <c r="F1480">
        <v>19</v>
      </c>
      <c r="G1480">
        <v>22</v>
      </c>
      <c r="H1480" t="s">
        <v>5613</v>
      </c>
      <c r="I1480">
        <v>1</v>
      </c>
      <c r="J1480" t="s">
        <v>87</v>
      </c>
      <c r="K1480">
        <v>0</v>
      </c>
      <c r="L1480">
        <v>0</v>
      </c>
    </row>
    <row r="1481" spans="1:12">
      <c r="A1481" s="93">
        <v>169910</v>
      </c>
      <c r="B1481" t="s">
        <v>2034</v>
      </c>
      <c r="C1481" t="s">
        <v>5602</v>
      </c>
      <c r="D1481" s="92">
        <v>0.47</v>
      </c>
      <c r="E1481" s="92">
        <v>0.36</v>
      </c>
      <c r="F1481">
        <v>19</v>
      </c>
      <c r="G1481">
        <v>22</v>
      </c>
      <c r="H1481" t="s">
        <v>5616</v>
      </c>
      <c r="I1481">
        <v>0</v>
      </c>
      <c r="J1481" t="s">
        <v>87</v>
      </c>
      <c r="K1481">
        <v>0</v>
      </c>
      <c r="L1481">
        <v>0</v>
      </c>
    </row>
    <row r="1482" spans="1:12">
      <c r="A1482" s="93">
        <v>169947</v>
      </c>
      <c r="B1482" t="s">
        <v>2035</v>
      </c>
      <c r="C1482" t="s">
        <v>5609</v>
      </c>
      <c r="D1482" s="92" t="s">
        <v>428</v>
      </c>
      <c r="E1482" s="92" t="s">
        <v>428</v>
      </c>
      <c r="F1482" t="s">
        <v>428</v>
      </c>
      <c r="G1482" t="s">
        <v>428</v>
      </c>
      <c r="H1482" t="s">
        <v>5624</v>
      </c>
      <c r="I1482">
        <v>1</v>
      </c>
      <c r="J1482" t="s">
        <v>87</v>
      </c>
      <c r="K1482">
        <v>0</v>
      </c>
      <c r="L1482">
        <v>0</v>
      </c>
    </row>
    <row r="1483" spans="1:12">
      <c r="A1483" s="93">
        <v>169974</v>
      </c>
      <c r="B1483" t="s">
        <v>2036</v>
      </c>
      <c r="C1483" t="s">
        <v>5606</v>
      </c>
      <c r="D1483" s="92">
        <v>0.41</v>
      </c>
      <c r="E1483" s="92">
        <v>0.38</v>
      </c>
      <c r="F1483" t="s">
        <v>428</v>
      </c>
      <c r="G1483" t="s">
        <v>428</v>
      </c>
      <c r="H1483" t="s">
        <v>5615</v>
      </c>
      <c r="I1483">
        <v>0</v>
      </c>
      <c r="J1483" t="s">
        <v>87</v>
      </c>
      <c r="K1483">
        <v>0</v>
      </c>
      <c r="L1483">
        <v>0</v>
      </c>
    </row>
    <row r="1484" spans="1:12">
      <c r="A1484" s="93">
        <v>169983</v>
      </c>
      <c r="B1484" t="s">
        <v>2037</v>
      </c>
      <c r="C1484" t="s">
        <v>5605</v>
      </c>
      <c r="D1484" s="92">
        <v>0.55</v>
      </c>
      <c r="E1484" s="92">
        <v>0.35</v>
      </c>
      <c r="F1484">
        <v>25</v>
      </c>
      <c r="G1484">
        <v>27</v>
      </c>
      <c r="H1484" t="s">
        <v>5617</v>
      </c>
      <c r="I1484">
        <v>0</v>
      </c>
      <c r="J1484" t="s">
        <v>87</v>
      </c>
      <c r="K1484">
        <v>0</v>
      </c>
      <c r="L1484">
        <v>0</v>
      </c>
    </row>
    <row r="1485" spans="1:12">
      <c r="A1485" s="93">
        <v>169992</v>
      </c>
      <c r="B1485" t="s">
        <v>2038</v>
      </c>
      <c r="C1485" t="s">
        <v>5606</v>
      </c>
      <c r="D1485" s="92">
        <v>0.47</v>
      </c>
      <c r="E1485" s="92">
        <v>0.58</v>
      </c>
      <c r="F1485" t="s">
        <v>428</v>
      </c>
      <c r="G1485" t="s">
        <v>428</v>
      </c>
      <c r="H1485" t="s">
        <v>5615</v>
      </c>
      <c r="I1485">
        <v>0</v>
      </c>
      <c r="J1485" t="s">
        <v>87</v>
      </c>
      <c r="K1485">
        <v>0</v>
      </c>
      <c r="L1485">
        <v>0</v>
      </c>
    </row>
    <row r="1486" spans="1:12">
      <c r="A1486" s="93">
        <v>170000</v>
      </c>
      <c r="B1486" t="s">
        <v>2039</v>
      </c>
      <c r="C1486" t="s">
        <v>5607</v>
      </c>
      <c r="D1486" s="92">
        <v>0.39</v>
      </c>
      <c r="E1486" s="92">
        <v>0.2</v>
      </c>
      <c r="F1486" t="s">
        <v>428</v>
      </c>
      <c r="G1486" t="s">
        <v>428</v>
      </c>
      <c r="H1486" t="s">
        <v>5616</v>
      </c>
      <c r="I1486">
        <v>0</v>
      </c>
      <c r="J1486" t="s">
        <v>87</v>
      </c>
      <c r="K1486">
        <v>0</v>
      </c>
      <c r="L1486">
        <v>0</v>
      </c>
    </row>
    <row r="1487" spans="1:12">
      <c r="A1487" s="93">
        <v>170037</v>
      </c>
      <c r="B1487" t="s">
        <v>581</v>
      </c>
      <c r="C1487" t="s">
        <v>5602</v>
      </c>
      <c r="D1487" s="92">
        <v>0.55</v>
      </c>
      <c r="E1487" s="92">
        <v>0.34</v>
      </c>
      <c r="F1487">
        <v>18</v>
      </c>
      <c r="G1487">
        <v>21.5</v>
      </c>
      <c r="H1487" t="s">
        <v>5617</v>
      </c>
      <c r="I1487">
        <v>0</v>
      </c>
      <c r="J1487" t="s">
        <v>87</v>
      </c>
      <c r="K1487">
        <v>0</v>
      </c>
      <c r="L1487">
        <v>0</v>
      </c>
    </row>
    <row r="1488" spans="1:12">
      <c r="A1488" s="93">
        <v>170055</v>
      </c>
      <c r="B1488" t="s">
        <v>2040</v>
      </c>
      <c r="C1488" t="s">
        <v>5606</v>
      </c>
      <c r="D1488" s="92">
        <v>0.27</v>
      </c>
      <c r="E1488" s="92">
        <v>0.17</v>
      </c>
      <c r="F1488" t="s">
        <v>428</v>
      </c>
      <c r="G1488" t="s">
        <v>428</v>
      </c>
      <c r="H1488" t="s">
        <v>5615</v>
      </c>
      <c r="I1488">
        <v>0</v>
      </c>
      <c r="J1488" t="s">
        <v>87</v>
      </c>
      <c r="K1488">
        <v>0</v>
      </c>
      <c r="L1488">
        <v>0</v>
      </c>
    </row>
    <row r="1489" spans="1:12">
      <c r="A1489" s="93">
        <v>170082</v>
      </c>
      <c r="B1489" t="s">
        <v>485</v>
      </c>
      <c r="C1489" t="s">
        <v>5602</v>
      </c>
      <c r="D1489" s="92">
        <v>0.66</v>
      </c>
      <c r="E1489" s="92">
        <v>0.51</v>
      </c>
      <c r="F1489">
        <v>21</v>
      </c>
      <c r="G1489">
        <v>23.5</v>
      </c>
      <c r="H1489" t="s">
        <v>5613</v>
      </c>
      <c r="I1489">
        <v>1</v>
      </c>
      <c r="J1489" t="s">
        <v>87</v>
      </c>
      <c r="K1489">
        <v>0</v>
      </c>
      <c r="L1489">
        <v>0</v>
      </c>
    </row>
    <row r="1490" spans="1:12">
      <c r="A1490" s="93">
        <v>170091</v>
      </c>
      <c r="B1490" t="s">
        <v>2041</v>
      </c>
      <c r="C1490" t="s">
        <v>5604</v>
      </c>
      <c r="D1490" s="92">
        <v>0.24</v>
      </c>
      <c r="E1490" s="92">
        <v>0.05</v>
      </c>
      <c r="F1490" t="s">
        <v>428</v>
      </c>
      <c r="G1490" t="s">
        <v>428</v>
      </c>
      <c r="H1490" t="s">
        <v>5616</v>
      </c>
      <c r="I1490">
        <v>0</v>
      </c>
      <c r="J1490" t="s">
        <v>87</v>
      </c>
      <c r="K1490">
        <v>0</v>
      </c>
      <c r="L1490">
        <v>0</v>
      </c>
    </row>
    <row r="1491" spans="1:12">
      <c r="A1491" s="93">
        <v>170240</v>
      </c>
      <c r="B1491" t="s">
        <v>2042</v>
      </c>
      <c r="C1491" t="s">
        <v>5604</v>
      </c>
      <c r="D1491" s="92">
        <v>0.06</v>
      </c>
      <c r="E1491" s="92">
        <v>0.01</v>
      </c>
      <c r="F1491" t="s">
        <v>428</v>
      </c>
      <c r="G1491" t="s">
        <v>428</v>
      </c>
      <c r="H1491" t="s">
        <v>5615</v>
      </c>
      <c r="I1491">
        <v>0</v>
      </c>
      <c r="J1491" t="s">
        <v>87</v>
      </c>
      <c r="K1491">
        <v>0</v>
      </c>
      <c r="L1491">
        <v>0</v>
      </c>
    </row>
    <row r="1492" spans="1:12">
      <c r="A1492" s="93">
        <v>170286</v>
      </c>
      <c r="B1492" t="s">
        <v>2043</v>
      </c>
      <c r="C1492" t="s">
        <v>5612</v>
      </c>
      <c r="D1492" s="92">
        <v>0.8</v>
      </c>
      <c r="E1492" s="92" t="s">
        <v>428</v>
      </c>
      <c r="F1492">
        <v>28</v>
      </c>
      <c r="G1492">
        <v>30</v>
      </c>
      <c r="H1492" t="s">
        <v>5615</v>
      </c>
      <c r="I1492">
        <v>0</v>
      </c>
      <c r="J1492" t="s">
        <v>87</v>
      </c>
      <c r="K1492">
        <v>0</v>
      </c>
      <c r="L1492">
        <v>0</v>
      </c>
    </row>
    <row r="1493" spans="1:12">
      <c r="A1493" s="93">
        <v>170301</v>
      </c>
      <c r="B1493" t="s">
        <v>471</v>
      </c>
      <c r="C1493" t="s">
        <v>5603</v>
      </c>
      <c r="D1493" s="92">
        <v>0.78</v>
      </c>
      <c r="E1493" s="92">
        <v>0.67</v>
      </c>
      <c r="F1493">
        <v>23</v>
      </c>
      <c r="G1493">
        <v>26</v>
      </c>
      <c r="H1493" t="s">
        <v>5613</v>
      </c>
      <c r="I1493">
        <v>1</v>
      </c>
      <c r="J1493" t="s">
        <v>87</v>
      </c>
      <c r="K1493">
        <v>0</v>
      </c>
      <c r="L1493">
        <v>0</v>
      </c>
    </row>
    <row r="1494" spans="1:12">
      <c r="A1494" s="93">
        <v>170417</v>
      </c>
      <c r="B1494" t="s">
        <v>2044</v>
      </c>
      <c r="C1494" t="s">
        <v>5607</v>
      </c>
      <c r="D1494" s="92" t="s">
        <v>428</v>
      </c>
      <c r="E1494" s="92" t="s">
        <v>428</v>
      </c>
      <c r="F1494" t="s">
        <v>428</v>
      </c>
      <c r="G1494" t="s">
        <v>428</v>
      </c>
      <c r="H1494" t="s">
        <v>5617</v>
      </c>
      <c r="I1494">
        <v>0</v>
      </c>
      <c r="J1494" t="s">
        <v>87</v>
      </c>
      <c r="K1494">
        <v>0</v>
      </c>
      <c r="L1494">
        <v>0</v>
      </c>
    </row>
    <row r="1495" spans="1:12">
      <c r="A1495" s="93">
        <v>170444</v>
      </c>
      <c r="B1495" t="s">
        <v>2045</v>
      </c>
      <c r="C1495" t="s">
        <v>5604</v>
      </c>
      <c r="D1495" s="92" t="s">
        <v>428</v>
      </c>
      <c r="E1495" s="92" t="s">
        <v>428</v>
      </c>
      <c r="F1495" t="s">
        <v>428</v>
      </c>
      <c r="G1495" t="s">
        <v>428</v>
      </c>
      <c r="H1495" t="s">
        <v>5615</v>
      </c>
      <c r="I1495">
        <v>0</v>
      </c>
      <c r="J1495" t="s">
        <v>87</v>
      </c>
      <c r="K1495">
        <v>0</v>
      </c>
      <c r="L1495">
        <v>0</v>
      </c>
    </row>
    <row r="1496" spans="1:12">
      <c r="A1496" s="93">
        <v>170532</v>
      </c>
      <c r="B1496" t="s">
        <v>454</v>
      </c>
      <c r="C1496" t="s">
        <v>5605</v>
      </c>
      <c r="D1496" s="92">
        <v>0.82</v>
      </c>
      <c r="E1496" s="92">
        <v>0.77</v>
      </c>
      <c r="F1496" t="s">
        <v>428</v>
      </c>
      <c r="G1496" t="s">
        <v>428</v>
      </c>
      <c r="H1496" t="s">
        <v>5613</v>
      </c>
      <c r="I1496">
        <v>1</v>
      </c>
      <c r="J1496" t="s">
        <v>87</v>
      </c>
      <c r="K1496">
        <v>0</v>
      </c>
      <c r="L1496">
        <v>0</v>
      </c>
    </row>
    <row r="1497" spans="1:12">
      <c r="A1497" s="93">
        <v>170541</v>
      </c>
      <c r="B1497" t="s">
        <v>2046</v>
      </c>
      <c r="C1497" t="s">
        <v>5606</v>
      </c>
      <c r="D1497" s="92">
        <v>0.27</v>
      </c>
      <c r="E1497" s="92">
        <v>0.23</v>
      </c>
      <c r="F1497" t="s">
        <v>428</v>
      </c>
      <c r="G1497" t="s">
        <v>428</v>
      </c>
      <c r="H1497" t="s">
        <v>5615</v>
      </c>
      <c r="I1497">
        <v>0</v>
      </c>
      <c r="J1497" t="s">
        <v>87</v>
      </c>
      <c r="K1497">
        <v>0</v>
      </c>
      <c r="L1497">
        <v>0</v>
      </c>
    </row>
    <row r="1498" spans="1:12">
      <c r="A1498" s="93">
        <v>170550</v>
      </c>
      <c r="B1498" t="s">
        <v>2047</v>
      </c>
      <c r="C1498" t="s">
        <v>5606</v>
      </c>
      <c r="D1498" s="92">
        <v>0.19</v>
      </c>
      <c r="E1498" s="92">
        <v>0.17</v>
      </c>
      <c r="F1498" t="s">
        <v>428</v>
      </c>
      <c r="G1498" t="s">
        <v>428</v>
      </c>
      <c r="H1498" t="s">
        <v>5615</v>
      </c>
      <c r="I1498">
        <v>0</v>
      </c>
      <c r="J1498" t="s">
        <v>87</v>
      </c>
      <c r="K1498">
        <v>0</v>
      </c>
      <c r="L1498">
        <v>0</v>
      </c>
    </row>
    <row r="1499" spans="1:12">
      <c r="A1499" s="93">
        <v>170587</v>
      </c>
      <c r="B1499" t="s">
        <v>2048</v>
      </c>
      <c r="C1499" t="s">
        <v>5606</v>
      </c>
      <c r="D1499" s="92">
        <v>0.32</v>
      </c>
      <c r="E1499" s="92">
        <v>0.18</v>
      </c>
      <c r="F1499" t="s">
        <v>428</v>
      </c>
      <c r="G1499" t="s">
        <v>428</v>
      </c>
      <c r="H1499" t="s">
        <v>5615</v>
      </c>
      <c r="I1499">
        <v>0</v>
      </c>
      <c r="J1499" t="s">
        <v>87</v>
      </c>
      <c r="K1499">
        <v>0</v>
      </c>
      <c r="L1499">
        <v>0</v>
      </c>
    </row>
    <row r="1500" spans="1:12">
      <c r="A1500" s="93">
        <v>170620</v>
      </c>
      <c r="B1500" t="s">
        <v>2049</v>
      </c>
      <c r="C1500" t="s">
        <v>5604</v>
      </c>
      <c r="D1500" s="92" t="s">
        <v>428</v>
      </c>
      <c r="E1500" s="92" t="s">
        <v>428</v>
      </c>
      <c r="F1500" t="s">
        <v>428</v>
      </c>
      <c r="G1500" t="s">
        <v>428</v>
      </c>
      <c r="H1500" t="s">
        <v>5615</v>
      </c>
      <c r="I1500">
        <v>0</v>
      </c>
      <c r="J1500" t="s">
        <v>87</v>
      </c>
      <c r="K1500">
        <v>0</v>
      </c>
      <c r="L1500">
        <v>0</v>
      </c>
    </row>
    <row r="1501" spans="1:12">
      <c r="A1501" s="93">
        <v>170639</v>
      </c>
      <c r="B1501" t="s">
        <v>2050</v>
      </c>
      <c r="C1501" t="s">
        <v>5602</v>
      </c>
      <c r="D1501" s="92">
        <v>0.42</v>
      </c>
      <c r="E1501" s="92">
        <v>0.35</v>
      </c>
      <c r="F1501">
        <v>20</v>
      </c>
      <c r="G1501">
        <v>22.5</v>
      </c>
      <c r="H1501" t="s">
        <v>5615</v>
      </c>
      <c r="I1501">
        <v>0</v>
      </c>
      <c r="J1501" t="s">
        <v>87</v>
      </c>
      <c r="K1501">
        <v>0</v>
      </c>
      <c r="L1501">
        <v>0</v>
      </c>
    </row>
    <row r="1502" spans="1:12">
      <c r="A1502" s="93">
        <v>170657</v>
      </c>
      <c r="B1502" t="s">
        <v>2051</v>
      </c>
      <c r="C1502" t="s">
        <v>5606</v>
      </c>
      <c r="D1502" s="92">
        <v>0.28</v>
      </c>
      <c r="E1502" s="92">
        <v>0.21</v>
      </c>
      <c r="F1502" t="s">
        <v>428</v>
      </c>
      <c r="G1502" t="s">
        <v>428</v>
      </c>
      <c r="H1502" t="s">
        <v>5615</v>
      </c>
      <c r="I1502">
        <v>0</v>
      </c>
      <c r="J1502" t="s">
        <v>87</v>
      </c>
      <c r="K1502">
        <v>0</v>
      </c>
      <c r="L1502">
        <v>0</v>
      </c>
    </row>
    <row r="1503" spans="1:12">
      <c r="A1503" s="93">
        <v>170675</v>
      </c>
      <c r="B1503" t="s">
        <v>2052</v>
      </c>
      <c r="C1503" t="s">
        <v>5603</v>
      </c>
      <c r="D1503" s="92">
        <v>0.5</v>
      </c>
      <c r="E1503" s="92">
        <v>0.18</v>
      </c>
      <c r="F1503">
        <v>22</v>
      </c>
      <c r="G1503">
        <v>25.5</v>
      </c>
      <c r="H1503" t="s">
        <v>5617</v>
      </c>
      <c r="I1503">
        <v>0</v>
      </c>
      <c r="J1503" t="s">
        <v>87</v>
      </c>
      <c r="K1503">
        <v>0</v>
      </c>
      <c r="L1503">
        <v>0</v>
      </c>
    </row>
    <row r="1504" spans="1:12">
      <c r="A1504" s="93">
        <v>170790</v>
      </c>
      <c r="B1504" t="s">
        <v>2053</v>
      </c>
      <c r="C1504" t="s">
        <v>5606</v>
      </c>
      <c r="D1504" s="92">
        <v>0.23</v>
      </c>
      <c r="E1504" s="92">
        <v>0.21</v>
      </c>
      <c r="F1504" t="s">
        <v>428</v>
      </c>
      <c r="G1504" t="s">
        <v>428</v>
      </c>
      <c r="H1504" t="s">
        <v>5615</v>
      </c>
      <c r="I1504">
        <v>0</v>
      </c>
      <c r="J1504" t="s">
        <v>87</v>
      </c>
      <c r="K1504">
        <v>0</v>
      </c>
      <c r="L1504">
        <v>0</v>
      </c>
    </row>
    <row r="1505" spans="1:12">
      <c r="A1505" s="93">
        <v>170806</v>
      </c>
      <c r="B1505" t="s">
        <v>2054</v>
      </c>
      <c r="C1505" t="s">
        <v>5602</v>
      </c>
      <c r="D1505" s="92">
        <v>0.57</v>
      </c>
      <c r="E1505" s="92">
        <v>0.24</v>
      </c>
      <c r="F1505">
        <v>18</v>
      </c>
      <c r="G1505">
        <v>20.5</v>
      </c>
      <c r="H1505" t="s">
        <v>5616</v>
      </c>
      <c r="I1505">
        <v>0</v>
      </c>
      <c r="J1505" t="s">
        <v>87</v>
      </c>
      <c r="K1505">
        <v>0</v>
      </c>
      <c r="L1505">
        <v>0</v>
      </c>
    </row>
    <row r="1506" spans="1:12">
      <c r="A1506" s="93">
        <v>170842</v>
      </c>
      <c r="B1506" t="s">
        <v>2055</v>
      </c>
      <c r="C1506" t="s">
        <v>5604</v>
      </c>
      <c r="D1506" s="92">
        <v>0.23</v>
      </c>
      <c r="E1506" s="92">
        <v>0.19</v>
      </c>
      <c r="F1506">
        <v>15</v>
      </c>
      <c r="G1506">
        <v>17.5</v>
      </c>
      <c r="H1506" t="s">
        <v>5616</v>
      </c>
      <c r="I1506">
        <v>0</v>
      </c>
      <c r="J1506" t="s">
        <v>87</v>
      </c>
      <c r="K1506">
        <v>0</v>
      </c>
      <c r="L1506">
        <v>0</v>
      </c>
    </row>
    <row r="1507" spans="1:12">
      <c r="A1507" s="93">
        <v>170967</v>
      </c>
      <c r="B1507" t="s">
        <v>2056</v>
      </c>
      <c r="C1507" t="s">
        <v>5608</v>
      </c>
      <c r="D1507" s="92">
        <v>0.32</v>
      </c>
      <c r="E1507" s="92">
        <v>0.21</v>
      </c>
      <c r="F1507">
        <v>18</v>
      </c>
      <c r="G1507">
        <v>21</v>
      </c>
      <c r="H1507" t="s">
        <v>5616</v>
      </c>
      <c r="I1507">
        <v>0</v>
      </c>
      <c r="J1507" t="s">
        <v>87</v>
      </c>
      <c r="K1507">
        <v>0</v>
      </c>
      <c r="L1507">
        <v>0</v>
      </c>
    </row>
    <row r="1508" spans="1:12">
      <c r="A1508" s="93">
        <v>170976</v>
      </c>
      <c r="B1508" t="s">
        <v>2057</v>
      </c>
      <c r="C1508" t="s">
        <v>5612</v>
      </c>
      <c r="D1508" s="92">
        <v>0.91</v>
      </c>
      <c r="E1508" s="92">
        <v>0.84</v>
      </c>
      <c r="F1508">
        <v>29</v>
      </c>
      <c r="G1508">
        <v>31</v>
      </c>
      <c r="H1508" t="s">
        <v>5623</v>
      </c>
      <c r="I1508">
        <v>1</v>
      </c>
      <c r="J1508" t="s">
        <v>87</v>
      </c>
      <c r="K1508">
        <v>0</v>
      </c>
      <c r="L1508">
        <v>0</v>
      </c>
    </row>
    <row r="1509" spans="1:12">
      <c r="A1509" s="93">
        <v>171012</v>
      </c>
      <c r="B1509" t="s">
        <v>2058</v>
      </c>
      <c r="C1509" t="s">
        <v>5606</v>
      </c>
      <c r="D1509" s="92" t="s">
        <v>428</v>
      </c>
      <c r="E1509" s="92" t="s">
        <v>428</v>
      </c>
      <c r="F1509" t="s">
        <v>428</v>
      </c>
      <c r="G1509" t="s">
        <v>428</v>
      </c>
      <c r="H1509" t="s">
        <v>5624</v>
      </c>
      <c r="I1509">
        <v>1</v>
      </c>
      <c r="J1509" t="s">
        <v>87</v>
      </c>
      <c r="K1509">
        <v>0</v>
      </c>
      <c r="L1509">
        <v>0</v>
      </c>
    </row>
    <row r="1510" spans="1:12">
      <c r="A1510" s="93">
        <v>171100</v>
      </c>
      <c r="B1510" t="s">
        <v>552</v>
      </c>
      <c r="C1510" t="s">
        <v>5603</v>
      </c>
      <c r="D1510" s="92">
        <v>0.78</v>
      </c>
      <c r="E1510" s="92">
        <v>0.62</v>
      </c>
      <c r="F1510">
        <v>24</v>
      </c>
      <c r="G1510">
        <v>26.5</v>
      </c>
      <c r="H1510" t="s">
        <v>5617</v>
      </c>
      <c r="I1510">
        <v>0</v>
      </c>
      <c r="J1510" t="s">
        <v>87</v>
      </c>
      <c r="K1510">
        <v>0</v>
      </c>
      <c r="L1510">
        <v>0</v>
      </c>
    </row>
    <row r="1511" spans="1:12">
      <c r="A1511" s="93">
        <v>171128</v>
      </c>
      <c r="B1511" t="s">
        <v>2059</v>
      </c>
      <c r="C1511" t="s">
        <v>5603</v>
      </c>
      <c r="D1511" s="92">
        <v>0.65</v>
      </c>
      <c r="E1511" s="92">
        <v>0.59</v>
      </c>
      <c r="F1511">
        <v>25</v>
      </c>
      <c r="G1511">
        <v>27.5</v>
      </c>
      <c r="H1511" t="s">
        <v>5617</v>
      </c>
      <c r="I1511">
        <v>0</v>
      </c>
      <c r="J1511" t="s">
        <v>87</v>
      </c>
      <c r="K1511">
        <v>0</v>
      </c>
      <c r="L1511">
        <v>0</v>
      </c>
    </row>
    <row r="1512" spans="1:12">
      <c r="A1512" s="93">
        <v>171137</v>
      </c>
      <c r="B1512" t="s">
        <v>2060</v>
      </c>
      <c r="C1512" t="s">
        <v>5603</v>
      </c>
      <c r="D1512" s="92">
        <v>0.52</v>
      </c>
      <c r="E1512" s="92">
        <v>0.38</v>
      </c>
      <c r="F1512">
        <v>22</v>
      </c>
      <c r="G1512">
        <v>24.5</v>
      </c>
      <c r="H1512" t="s">
        <v>5615</v>
      </c>
      <c r="I1512">
        <v>0</v>
      </c>
      <c r="J1512" t="s">
        <v>87</v>
      </c>
      <c r="K1512">
        <v>0</v>
      </c>
      <c r="L1512">
        <v>0</v>
      </c>
    </row>
    <row r="1513" spans="1:12">
      <c r="A1513" s="93">
        <v>171146</v>
      </c>
      <c r="B1513" t="s">
        <v>2061</v>
      </c>
      <c r="C1513" t="s">
        <v>5602</v>
      </c>
      <c r="D1513" s="92">
        <v>0.36</v>
      </c>
      <c r="E1513" s="92">
        <v>0.25</v>
      </c>
      <c r="F1513">
        <v>19</v>
      </c>
      <c r="G1513">
        <v>22.5</v>
      </c>
      <c r="H1513" t="s">
        <v>5617</v>
      </c>
      <c r="I1513">
        <v>0</v>
      </c>
      <c r="J1513" t="s">
        <v>87</v>
      </c>
      <c r="K1513">
        <v>0</v>
      </c>
      <c r="L1513">
        <v>0</v>
      </c>
    </row>
    <row r="1514" spans="1:12">
      <c r="A1514" s="93">
        <v>171155</v>
      </c>
      <c r="B1514" t="s">
        <v>2062</v>
      </c>
      <c r="C1514" t="s">
        <v>5606</v>
      </c>
      <c r="D1514" s="92">
        <v>0.24</v>
      </c>
      <c r="E1514" s="92">
        <v>0.18</v>
      </c>
      <c r="F1514" t="s">
        <v>428</v>
      </c>
      <c r="G1514" t="s">
        <v>428</v>
      </c>
      <c r="H1514" t="s">
        <v>5615</v>
      </c>
      <c r="I1514">
        <v>0</v>
      </c>
      <c r="J1514" t="s">
        <v>87</v>
      </c>
      <c r="K1514">
        <v>0</v>
      </c>
      <c r="L1514">
        <v>0</v>
      </c>
    </row>
    <row r="1515" spans="1:12">
      <c r="A1515" s="93">
        <v>171225</v>
      </c>
      <c r="B1515" t="s">
        <v>2063</v>
      </c>
      <c r="C1515" t="s">
        <v>5606</v>
      </c>
      <c r="D1515" s="92">
        <v>0.24</v>
      </c>
      <c r="E1515" s="92">
        <v>0.2</v>
      </c>
      <c r="F1515" t="s">
        <v>428</v>
      </c>
      <c r="G1515" t="s">
        <v>428</v>
      </c>
      <c r="H1515" t="s">
        <v>5615</v>
      </c>
      <c r="I1515">
        <v>0</v>
      </c>
      <c r="J1515" t="s">
        <v>87</v>
      </c>
      <c r="K1515">
        <v>0</v>
      </c>
      <c r="L1515">
        <v>0</v>
      </c>
    </row>
    <row r="1516" spans="1:12">
      <c r="A1516" s="93">
        <v>171234</v>
      </c>
      <c r="B1516" t="s">
        <v>2064</v>
      </c>
      <c r="C1516" t="s">
        <v>5606</v>
      </c>
      <c r="D1516" s="92">
        <v>0.31</v>
      </c>
      <c r="E1516" s="92">
        <v>0.33</v>
      </c>
      <c r="F1516" t="s">
        <v>428</v>
      </c>
      <c r="G1516" t="s">
        <v>428</v>
      </c>
      <c r="H1516" t="s">
        <v>5615</v>
      </c>
      <c r="I1516">
        <v>0</v>
      </c>
      <c r="J1516" t="s">
        <v>87</v>
      </c>
      <c r="K1516">
        <v>0</v>
      </c>
      <c r="L1516">
        <v>0</v>
      </c>
    </row>
    <row r="1517" spans="1:12">
      <c r="A1517" s="93">
        <v>171304</v>
      </c>
      <c r="B1517" t="s">
        <v>2065</v>
      </c>
      <c r="C1517" t="s">
        <v>5606</v>
      </c>
      <c r="D1517" s="92">
        <v>0.32</v>
      </c>
      <c r="E1517" s="92">
        <v>0.21</v>
      </c>
      <c r="F1517" t="s">
        <v>428</v>
      </c>
      <c r="G1517" t="s">
        <v>428</v>
      </c>
      <c r="H1517" t="s">
        <v>5615</v>
      </c>
      <c r="I1517">
        <v>0</v>
      </c>
      <c r="J1517" t="s">
        <v>87</v>
      </c>
      <c r="K1517">
        <v>0</v>
      </c>
      <c r="L1517">
        <v>0</v>
      </c>
    </row>
    <row r="1518" spans="1:12">
      <c r="A1518" s="93">
        <v>171395</v>
      </c>
      <c r="B1518" t="s">
        <v>2066</v>
      </c>
      <c r="C1518" t="s">
        <v>5606</v>
      </c>
      <c r="D1518" s="92">
        <v>0.24</v>
      </c>
      <c r="E1518" s="92">
        <v>0.14</v>
      </c>
      <c r="F1518" t="s">
        <v>428</v>
      </c>
      <c r="G1518" t="s">
        <v>428</v>
      </c>
      <c r="H1518" t="s">
        <v>5615</v>
      </c>
      <c r="I1518">
        <v>0</v>
      </c>
      <c r="J1518" t="s">
        <v>87</v>
      </c>
      <c r="K1518">
        <v>0</v>
      </c>
      <c r="L1518">
        <v>0</v>
      </c>
    </row>
    <row r="1519" spans="1:12">
      <c r="A1519" s="93">
        <v>171456</v>
      </c>
      <c r="B1519" t="s">
        <v>553</v>
      </c>
      <c r="C1519" t="s">
        <v>5602</v>
      </c>
      <c r="D1519" s="92">
        <v>0.49</v>
      </c>
      <c r="E1519" s="92">
        <v>0.28</v>
      </c>
      <c r="F1519">
        <v>19</v>
      </c>
      <c r="G1519">
        <v>22</v>
      </c>
      <c r="H1519" t="s">
        <v>5617</v>
      </c>
      <c r="I1519">
        <v>0</v>
      </c>
      <c r="J1519" t="s">
        <v>87</v>
      </c>
      <c r="K1519">
        <v>0</v>
      </c>
      <c r="L1519">
        <v>0</v>
      </c>
    </row>
    <row r="1520" spans="1:12">
      <c r="A1520" s="93">
        <v>171483</v>
      </c>
      <c r="B1520" t="s">
        <v>2067</v>
      </c>
      <c r="C1520" t="s">
        <v>5604</v>
      </c>
      <c r="D1520" s="92" t="s">
        <v>428</v>
      </c>
      <c r="E1520" s="92" t="s">
        <v>428</v>
      </c>
      <c r="F1520" t="s">
        <v>428</v>
      </c>
      <c r="G1520" t="s">
        <v>428</v>
      </c>
      <c r="H1520" t="s">
        <v>5615</v>
      </c>
      <c r="I1520">
        <v>0</v>
      </c>
      <c r="J1520" t="s">
        <v>87</v>
      </c>
      <c r="K1520">
        <v>0</v>
      </c>
      <c r="L1520">
        <v>0</v>
      </c>
    </row>
    <row r="1521" spans="1:12">
      <c r="A1521" s="93">
        <v>171492</v>
      </c>
      <c r="B1521" t="s">
        <v>2068</v>
      </c>
      <c r="C1521" t="s">
        <v>5608</v>
      </c>
      <c r="D1521" s="92">
        <v>0.57</v>
      </c>
      <c r="E1521" s="92">
        <v>0.35</v>
      </c>
      <c r="F1521">
        <v>20</v>
      </c>
      <c r="G1521">
        <v>22</v>
      </c>
      <c r="H1521" t="s">
        <v>5617</v>
      </c>
      <c r="I1521">
        <v>0</v>
      </c>
      <c r="J1521" t="s">
        <v>87</v>
      </c>
      <c r="K1521">
        <v>0</v>
      </c>
      <c r="L1521">
        <v>0</v>
      </c>
    </row>
    <row r="1522" spans="1:12">
      <c r="A1522" s="93">
        <v>171535</v>
      </c>
      <c r="B1522" t="s">
        <v>2069</v>
      </c>
      <c r="C1522" t="s">
        <v>5606</v>
      </c>
      <c r="D1522" s="92">
        <v>0.24</v>
      </c>
      <c r="E1522" s="92">
        <v>0.24</v>
      </c>
      <c r="F1522" t="s">
        <v>428</v>
      </c>
      <c r="G1522" t="s">
        <v>428</v>
      </c>
      <c r="H1522" t="s">
        <v>5615</v>
      </c>
      <c r="I1522">
        <v>0</v>
      </c>
      <c r="J1522" t="s">
        <v>87</v>
      </c>
      <c r="K1522">
        <v>0</v>
      </c>
      <c r="L1522">
        <v>0</v>
      </c>
    </row>
    <row r="1523" spans="1:12">
      <c r="A1523" s="93">
        <v>171571</v>
      </c>
      <c r="B1523" t="s">
        <v>2070</v>
      </c>
      <c r="C1523" t="s">
        <v>5602</v>
      </c>
      <c r="D1523" s="92">
        <v>0.47</v>
      </c>
      <c r="E1523" s="92">
        <v>0.25</v>
      </c>
      <c r="F1523">
        <v>20</v>
      </c>
      <c r="G1523">
        <v>23.5</v>
      </c>
      <c r="H1523" t="s">
        <v>5615</v>
      </c>
      <c r="I1523">
        <v>0</v>
      </c>
      <c r="J1523" t="s">
        <v>87</v>
      </c>
      <c r="K1523">
        <v>0</v>
      </c>
      <c r="L1523">
        <v>0</v>
      </c>
    </row>
    <row r="1524" spans="1:12">
      <c r="A1524" s="93">
        <v>171599</v>
      </c>
      <c r="B1524" t="s">
        <v>2071</v>
      </c>
      <c r="C1524" t="s">
        <v>5608</v>
      </c>
      <c r="D1524" s="92">
        <v>0.44</v>
      </c>
      <c r="E1524" s="92">
        <v>0.26</v>
      </c>
      <c r="F1524">
        <v>18</v>
      </c>
      <c r="G1524">
        <v>20.5</v>
      </c>
      <c r="H1524" t="s">
        <v>5618</v>
      </c>
      <c r="I1524">
        <v>0</v>
      </c>
      <c r="J1524" t="s">
        <v>87</v>
      </c>
      <c r="K1524">
        <v>0</v>
      </c>
      <c r="L1524">
        <v>0</v>
      </c>
    </row>
    <row r="1525" spans="1:12">
      <c r="A1525" s="93">
        <v>171881</v>
      </c>
      <c r="B1525" t="s">
        <v>2072</v>
      </c>
      <c r="C1525" t="s">
        <v>5602</v>
      </c>
      <c r="D1525" s="92">
        <v>0.57</v>
      </c>
      <c r="E1525" s="92">
        <v>0.14</v>
      </c>
      <c r="F1525">
        <v>19</v>
      </c>
      <c r="G1525">
        <v>23.5</v>
      </c>
      <c r="H1525" t="s">
        <v>5616</v>
      </c>
      <c r="I1525">
        <v>0</v>
      </c>
      <c r="J1525" t="s">
        <v>87</v>
      </c>
      <c r="K1525">
        <v>0</v>
      </c>
      <c r="L1525">
        <v>0</v>
      </c>
    </row>
    <row r="1526" spans="1:12">
      <c r="A1526" s="93">
        <v>172033</v>
      </c>
      <c r="B1526" t="s">
        <v>2073</v>
      </c>
      <c r="C1526" t="s">
        <v>5607</v>
      </c>
      <c r="D1526" s="92">
        <v>1</v>
      </c>
      <c r="E1526" s="92" t="s">
        <v>428</v>
      </c>
      <c r="F1526" t="s">
        <v>428</v>
      </c>
      <c r="G1526" t="s">
        <v>428</v>
      </c>
      <c r="H1526" t="s">
        <v>5617</v>
      </c>
      <c r="I1526">
        <v>0</v>
      </c>
      <c r="J1526" t="s">
        <v>87</v>
      </c>
      <c r="K1526">
        <v>0</v>
      </c>
      <c r="L1526">
        <v>0</v>
      </c>
    </row>
    <row r="1527" spans="1:12">
      <c r="A1527" s="93">
        <v>172051</v>
      </c>
      <c r="B1527" t="s">
        <v>2074</v>
      </c>
      <c r="C1527" t="s">
        <v>5602</v>
      </c>
      <c r="D1527" s="92">
        <v>0.38</v>
      </c>
      <c r="E1527" s="92">
        <v>0.21</v>
      </c>
      <c r="F1527">
        <v>20</v>
      </c>
      <c r="G1527">
        <v>22.5</v>
      </c>
      <c r="H1527" t="s">
        <v>5615</v>
      </c>
      <c r="I1527">
        <v>0</v>
      </c>
      <c r="J1527" t="s">
        <v>87</v>
      </c>
      <c r="K1527">
        <v>0</v>
      </c>
      <c r="L1527">
        <v>0</v>
      </c>
    </row>
    <row r="1528" spans="1:12">
      <c r="A1528" s="93">
        <v>172200</v>
      </c>
      <c r="B1528" t="s">
        <v>2075</v>
      </c>
      <c r="C1528" t="s">
        <v>5604</v>
      </c>
      <c r="D1528" s="92">
        <v>0.17</v>
      </c>
      <c r="E1528" s="92">
        <v>0.06</v>
      </c>
      <c r="F1528" t="s">
        <v>428</v>
      </c>
      <c r="G1528" t="s">
        <v>428</v>
      </c>
      <c r="H1528" t="s">
        <v>5615</v>
      </c>
      <c r="I1528">
        <v>0</v>
      </c>
      <c r="J1528" t="s">
        <v>87</v>
      </c>
      <c r="K1528">
        <v>0</v>
      </c>
      <c r="L1528">
        <v>0</v>
      </c>
    </row>
    <row r="1529" spans="1:12">
      <c r="A1529" s="93">
        <v>172264</v>
      </c>
      <c r="B1529" t="s">
        <v>2076</v>
      </c>
      <c r="C1529" t="s">
        <v>5602</v>
      </c>
      <c r="D1529" s="92">
        <v>0.45</v>
      </c>
      <c r="E1529" s="92">
        <v>0.28</v>
      </c>
      <c r="F1529" t="s">
        <v>428</v>
      </c>
      <c r="G1529" t="s">
        <v>428</v>
      </c>
      <c r="H1529" t="s">
        <v>5616</v>
      </c>
      <c r="I1529">
        <v>0</v>
      </c>
      <c r="J1529" t="s">
        <v>87</v>
      </c>
      <c r="K1529">
        <v>0</v>
      </c>
      <c r="L1529">
        <v>0</v>
      </c>
    </row>
    <row r="1530" spans="1:12">
      <c r="A1530" s="93">
        <v>172291</v>
      </c>
      <c r="B1530" t="s">
        <v>2077</v>
      </c>
      <c r="C1530" t="s">
        <v>5606</v>
      </c>
      <c r="D1530" s="92">
        <v>0.34</v>
      </c>
      <c r="E1530" s="92">
        <v>0.26</v>
      </c>
      <c r="F1530" t="s">
        <v>428</v>
      </c>
      <c r="G1530" t="s">
        <v>428</v>
      </c>
      <c r="H1530" t="s">
        <v>5615</v>
      </c>
      <c r="I1530">
        <v>0</v>
      </c>
      <c r="J1530" t="s">
        <v>87</v>
      </c>
      <c r="K1530">
        <v>0</v>
      </c>
      <c r="L1530">
        <v>0</v>
      </c>
    </row>
    <row r="1531" spans="1:12">
      <c r="A1531" s="93">
        <v>172307</v>
      </c>
      <c r="B1531" t="s">
        <v>2078</v>
      </c>
      <c r="C1531" t="s">
        <v>5606</v>
      </c>
      <c r="D1531" s="92">
        <v>0.37</v>
      </c>
      <c r="E1531" s="92">
        <v>0.32</v>
      </c>
      <c r="F1531" t="s">
        <v>428</v>
      </c>
      <c r="G1531" t="s">
        <v>428</v>
      </c>
      <c r="H1531" t="s">
        <v>5616</v>
      </c>
      <c r="I1531">
        <v>0</v>
      </c>
      <c r="J1531" t="s">
        <v>87</v>
      </c>
      <c r="K1531">
        <v>0</v>
      </c>
      <c r="L1531">
        <v>0</v>
      </c>
    </row>
    <row r="1532" spans="1:12">
      <c r="A1532" s="93">
        <v>172334</v>
      </c>
      <c r="B1532" t="s">
        <v>2079</v>
      </c>
      <c r="C1532" t="s">
        <v>5602</v>
      </c>
      <c r="D1532" s="92">
        <v>0.53</v>
      </c>
      <c r="E1532" s="92">
        <v>0.33</v>
      </c>
      <c r="F1532">
        <v>19</v>
      </c>
      <c r="G1532">
        <v>22</v>
      </c>
      <c r="H1532" t="s">
        <v>5616</v>
      </c>
      <c r="I1532">
        <v>0</v>
      </c>
      <c r="J1532" t="s">
        <v>87</v>
      </c>
      <c r="K1532">
        <v>0</v>
      </c>
      <c r="L1532">
        <v>0</v>
      </c>
    </row>
    <row r="1533" spans="1:12">
      <c r="A1533" s="93">
        <v>172440</v>
      </c>
      <c r="B1533" t="s">
        <v>2080</v>
      </c>
      <c r="C1533" t="s">
        <v>5608</v>
      </c>
      <c r="D1533" s="92">
        <v>0.27</v>
      </c>
      <c r="E1533" s="92">
        <v>0.19</v>
      </c>
      <c r="F1533">
        <v>16</v>
      </c>
      <c r="G1533">
        <v>18.5</v>
      </c>
      <c r="H1533" t="s">
        <v>5617</v>
      </c>
      <c r="I1533">
        <v>0</v>
      </c>
      <c r="J1533" t="s">
        <v>87</v>
      </c>
      <c r="K1533">
        <v>0</v>
      </c>
      <c r="L1533">
        <v>0</v>
      </c>
    </row>
    <row r="1534" spans="1:12">
      <c r="A1534" s="93">
        <v>172477</v>
      </c>
      <c r="B1534" t="s">
        <v>2081</v>
      </c>
      <c r="C1534" t="s">
        <v>5607</v>
      </c>
      <c r="D1534" s="92" t="s">
        <v>428</v>
      </c>
      <c r="E1534" s="92" t="s">
        <v>428</v>
      </c>
      <c r="F1534" t="s">
        <v>428</v>
      </c>
      <c r="G1534" t="s">
        <v>428</v>
      </c>
      <c r="H1534" t="s">
        <v>5615</v>
      </c>
      <c r="I1534">
        <v>0</v>
      </c>
      <c r="J1534" t="s">
        <v>87</v>
      </c>
      <c r="K1534">
        <v>0</v>
      </c>
      <c r="L1534">
        <v>0</v>
      </c>
    </row>
    <row r="1535" spans="1:12">
      <c r="A1535" s="93">
        <v>172608</v>
      </c>
      <c r="B1535" t="s">
        <v>2082</v>
      </c>
      <c r="C1535" t="s">
        <v>5607</v>
      </c>
      <c r="D1535" s="92" t="s">
        <v>428</v>
      </c>
      <c r="E1535" s="92" t="s">
        <v>428</v>
      </c>
      <c r="F1535" t="s">
        <v>428</v>
      </c>
      <c r="G1535" t="s">
        <v>428</v>
      </c>
      <c r="H1535" t="s">
        <v>5615</v>
      </c>
      <c r="I1535">
        <v>0</v>
      </c>
      <c r="J1535" t="s">
        <v>87</v>
      </c>
      <c r="K1535">
        <v>0</v>
      </c>
      <c r="L1535">
        <v>0</v>
      </c>
    </row>
    <row r="1536" spans="1:12">
      <c r="A1536" s="93">
        <v>172617</v>
      </c>
      <c r="B1536" t="s">
        <v>2083</v>
      </c>
      <c r="C1536" t="s">
        <v>5606</v>
      </c>
      <c r="D1536" s="92">
        <v>0.29</v>
      </c>
      <c r="E1536" s="92">
        <v>0.2</v>
      </c>
      <c r="F1536" t="s">
        <v>428</v>
      </c>
      <c r="G1536" t="s">
        <v>428</v>
      </c>
      <c r="H1536" t="s">
        <v>5615</v>
      </c>
      <c r="I1536">
        <v>0</v>
      </c>
      <c r="J1536" t="s">
        <v>87</v>
      </c>
      <c r="K1536">
        <v>0</v>
      </c>
      <c r="L1536">
        <v>0</v>
      </c>
    </row>
    <row r="1537" spans="1:12">
      <c r="A1537" s="93">
        <v>172635</v>
      </c>
      <c r="B1537" t="s">
        <v>2084</v>
      </c>
      <c r="C1537" t="s">
        <v>5606</v>
      </c>
      <c r="D1537" s="92">
        <v>0.21</v>
      </c>
      <c r="E1537" s="92">
        <v>0.2</v>
      </c>
      <c r="F1537" t="s">
        <v>428</v>
      </c>
      <c r="G1537" t="s">
        <v>428</v>
      </c>
      <c r="H1537" t="s">
        <v>5615</v>
      </c>
      <c r="I1537">
        <v>0</v>
      </c>
      <c r="J1537" t="s">
        <v>87</v>
      </c>
      <c r="K1537">
        <v>0</v>
      </c>
      <c r="L1537">
        <v>0</v>
      </c>
    </row>
    <row r="1538" spans="1:12">
      <c r="A1538" s="93">
        <v>172644</v>
      </c>
      <c r="B1538" t="s">
        <v>2085</v>
      </c>
      <c r="C1538" t="s">
        <v>5602</v>
      </c>
      <c r="D1538" s="92">
        <v>0.39</v>
      </c>
      <c r="E1538" s="92">
        <v>0.18</v>
      </c>
      <c r="F1538">
        <v>20</v>
      </c>
      <c r="G1538">
        <v>23.5</v>
      </c>
      <c r="H1538" t="s">
        <v>5615</v>
      </c>
      <c r="I1538">
        <v>0</v>
      </c>
      <c r="J1538" t="s">
        <v>87</v>
      </c>
      <c r="K1538">
        <v>0</v>
      </c>
      <c r="L1538">
        <v>0</v>
      </c>
    </row>
    <row r="1539" spans="1:12">
      <c r="A1539" s="93">
        <v>172671</v>
      </c>
      <c r="B1539" t="s">
        <v>2086</v>
      </c>
      <c r="C1539" t="s">
        <v>5606</v>
      </c>
      <c r="D1539" s="92">
        <v>0.34</v>
      </c>
      <c r="E1539" s="92">
        <v>0.24</v>
      </c>
      <c r="F1539" t="s">
        <v>428</v>
      </c>
      <c r="G1539" t="s">
        <v>428</v>
      </c>
      <c r="H1539" t="s">
        <v>5615</v>
      </c>
      <c r="I1539">
        <v>0</v>
      </c>
      <c r="J1539" t="s">
        <v>87</v>
      </c>
      <c r="K1539">
        <v>0</v>
      </c>
      <c r="L1539">
        <v>0</v>
      </c>
    </row>
    <row r="1540" spans="1:12">
      <c r="A1540" s="93">
        <v>172699</v>
      </c>
      <c r="B1540" t="s">
        <v>596</v>
      </c>
      <c r="C1540" t="s">
        <v>5602</v>
      </c>
      <c r="D1540" s="92">
        <v>0.53</v>
      </c>
      <c r="E1540" s="92">
        <v>0.44</v>
      </c>
      <c r="F1540">
        <v>19</v>
      </c>
      <c r="G1540">
        <v>22</v>
      </c>
      <c r="H1540" t="s">
        <v>5626</v>
      </c>
      <c r="I1540">
        <v>0</v>
      </c>
      <c r="J1540" t="s">
        <v>87</v>
      </c>
      <c r="K1540">
        <v>0</v>
      </c>
      <c r="L1540">
        <v>0</v>
      </c>
    </row>
    <row r="1541" spans="1:12">
      <c r="A1541" s="93">
        <v>172705</v>
      </c>
      <c r="B1541" t="s">
        <v>2087</v>
      </c>
      <c r="C1541" t="s">
        <v>5607</v>
      </c>
      <c r="D1541" s="92" t="s">
        <v>428</v>
      </c>
      <c r="E1541" s="92" t="s">
        <v>428</v>
      </c>
      <c r="F1541" t="s">
        <v>428</v>
      </c>
      <c r="G1541" t="s">
        <v>428</v>
      </c>
      <c r="H1541" t="s">
        <v>5615</v>
      </c>
      <c r="I1541">
        <v>0</v>
      </c>
      <c r="J1541" t="s">
        <v>87</v>
      </c>
      <c r="K1541">
        <v>0</v>
      </c>
      <c r="L1541">
        <v>0</v>
      </c>
    </row>
    <row r="1542" spans="1:12">
      <c r="A1542" s="93">
        <v>172866</v>
      </c>
      <c r="B1542" t="s">
        <v>2088</v>
      </c>
      <c r="C1542" t="s">
        <v>5604</v>
      </c>
      <c r="D1542" s="92">
        <v>0.5</v>
      </c>
      <c r="E1542" s="92" t="s">
        <v>428</v>
      </c>
      <c r="F1542" t="s">
        <v>428</v>
      </c>
      <c r="G1542" t="s">
        <v>428</v>
      </c>
      <c r="H1542" t="s">
        <v>5617</v>
      </c>
      <c r="I1542">
        <v>0</v>
      </c>
      <c r="J1542" t="s">
        <v>87</v>
      </c>
      <c r="K1542">
        <v>0</v>
      </c>
      <c r="L1542">
        <v>0</v>
      </c>
    </row>
    <row r="1543" spans="1:12">
      <c r="A1543" s="93">
        <v>172918</v>
      </c>
      <c r="B1543" t="s">
        <v>2089</v>
      </c>
      <c r="C1543" t="s">
        <v>5606</v>
      </c>
      <c r="D1543" s="92">
        <v>0.67</v>
      </c>
      <c r="E1543" s="92">
        <v>0.5600000000000001</v>
      </c>
      <c r="F1543" t="s">
        <v>428</v>
      </c>
      <c r="G1543" t="s">
        <v>428</v>
      </c>
      <c r="H1543" t="s">
        <v>5615</v>
      </c>
      <c r="I1543">
        <v>0</v>
      </c>
      <c r="J1543" t="s">
        <v>87</v>
      </c>
      <c r="K1543">
        <v>0</v>
      </c>
      <c r="L1543">
        <v>0</v>
      </c>
    </row>
    <row r="1544" spans="1:12">
      <c r="A1544" s="93">
        <v>172954</v>
      </c>
      <c r="B1544" t="s">
        <v>2090</v>
      </c>
      <c r="C1544" t="s">
        <v>5606</v>
      </c>
      <c r="D1544" s="92">
        <v>0.33</v>
      </c>
      <c r="E1544" s="92">
        <v>0.23</v>
      </c>
      <c r="F1544" t="s">
        <v>428</v>
      </c>
      <c r="G1544" t="s">
        <v>428</v>
      </c>
      <c r="H1544" t="s">
        <v>5615</v>
      </c>
      <c r="I1544">
        <v>0</v>
      </c>
      <c r="J1544" t="s">
        <v>87</v>
      </c>
      <c r="K1544">
        <v>0</v>
      </c>
      <c r="L1544">
        <v>0</v>
      </c>
    </row>
    <row r="1545" spans="1:12">
      <c r="A1545" s="93">
        <v>172963</v>
      </c>
      <c r="B1545" t="s">
        <v>2091</v>
      </c>
      <c r="C1545" t="s">
        <v>5606</v>
      </c>
      <c r="D1545" s="92">
        <v>0.35</v>
      </c>
      <c r="E1545" s="92">
        <v>0.32</v>
      </c>
      <c r="F1545" t="s">
        <v>428</v>
      </c>
      <c r="G1545" t="s">
        <v>428</v>
      </c>
      <c r="H1545" t="s">
        <v>5615</v>
      </c>
      <c r="I1545">
        <v>0</v>
      </c>
      <c r="J1545" t="s">
        <v>87</v>
      </c>
      <c r="K1545">
        <v>0</v>
      </c>
      <c r="L1545">
        <v>0</v>
      </c>
    </row>
    <row r="1546" spans="1:12">
      <c r="A1546" s="93">
        <v>173045</v>
      </c>
      <c r="B1546" t="s">
        <v>2092</v>
      </c>
      <c r="C1546" t="s">
        <v>5602</v>
      </c>
      <c r="D1546" s="92">
        <v>0.59</v>
      </c>
      <c r="E1546" s="92">
        <v>0.49</v>
      </c>
      <c r="F1546">
        <v>19</v>
      </c>
      <c r="G1546">
        <v>22</v>
      </c>
      <c r="H1546" t="s">
        <v>5617</v>
      </c>
      <c r="I1546">
        <v>0</v>
      </c>
      <c r="J1546" t="s">
        <v>87</v>
      </c>
      <c r="K1546">
        <v>0</v>
      </c>
      <c r="L1546">
        <v>0</v>
      </c>
    </row>
    <row r="1547" spans="1:12">
      <c r="A1547" s="93">
        <v>173063</v>
      </c>
      <c r="B1547" t="s">
        <v>2093</v>
      </c>
      <c r="C1547" t="s">
        <v>5606</v>
      </c>
      <c r="D1547" s="92">
        <v>0.43</v>
      </c>
      <c r="E1547" s="92">
        <v>0.32</v>
      </c>
      <c r="F1547" t="s">
        <v>428</v>
      </c>
      <c r="G1547" t="s">
        <v>428</v>
      </c>
      <c r="H1547" t="s">
        <v>5615</v>
      </c>
      <c r="I1547">
        <v>0</v>
      </c>
      <c r="J1547" t="s">
        <v>87</v>
      </c>
      <c r="K1547">
        <v>0</v>
      </c>
      <c r="L1547">
        <v>0</v>
      </c>
    </row>
    <row r="1548" spans="1:12">
      <c r="A1548" s="93">
        <v>173115</v>
      </c>
      <c r="B1548" t="s">
        <v>2094</v>
      </c>
      <c r="C1548" t="s">
        <v>5606</v>
      </c>
      <c r="D1548" s="92">
        <v>0.4</v>
      </c>
      <c r="E1548" s="92">
        <v>0.18</v>
      </c>
      <c r="F1548" t="s">
        <v>428</v>
      </c>
      <c r="G1548" t="s">
        <v>428</v>
      </c>
      <c r="H1548" t="s">
        <v>5615</v>
      </c>
      <c r="I1548">
        <v>0</v>
      </c>
      <c r="J1548" t="s">
        <v>87</v>
      </c>
      <c r="K1548">
        <v>0</v>
      </c>
      <c r="L1548">
        <v>0</v>
      </c>
    </row>
    <row r="1549" spans="1:12">
      <c r="A1549" s="93">
        <v>173124</v>
      </c>
      <c r="B1549" t="s">
        <v>2095</v>
      </c>
      <c r="C1549" t="s">
        <v>5603</v>
      </c>
      <c r="D1549" s="92">
        <v>0.44</v>
      </c>
      <c r="E1549" s="92">
        <v>0.32</v>
      </c>
      <c r="F1549">
        <v>20</v>
      </c>
      <c r="G1549">
        <v>22</v>
      </c>
      <c r="H1549" t="s">
        <v>5615</v>
      </c>
      <c r="I1549">
        <v>0</v>
      </c>
      <c r="J1549" t="s">
        <v>87</v>
      </c>
      <c r="K1549">
        <v>0</v>
      </c>
      <c r="L1549">
        <v>0</v>
      </c>
    </row>
    <row r="1550" spans="1:12">
      <c r="A1550" s="93">
        <v>173142</v>
      </c>
      <c r="B1550" t="s">
        <v>2096</v>
      </c>
      <c r="C1550" t="s">
        <v>5602</v>
      </c>
      <c r="D1550" s="92">
        <v>0.53</v>
      </c>
      <c r="E1550" s="92">
        <v>0.41</v>
      </c>
      <c r="F1550">
        <v>20</v>
      </c>
      <c r="G1550">
        <v>23.5</v>
      </c>
      <c r="H1550" t="s">
        <v>5616</v>
      </c>
      <c r="I1550">
        <v>0</v>
      </c>
      <c r="J1550" t="s">
        <v>87</v>
      </c>
      <c r="K1550">
        <v>0</v>
      </c>
      <c r="L1550">
        <v>0</v>
      </c>
    </row>
    <row r="1551" spans="1:12">
      <c r="A1551" s="93">
        <v>173160</v>
      </c>
      <c r="B1551" t="s">
        <v>2097</v>
      </c>
      <c r="C1551" t="s">
        <v>5603</v>
      </c>
      <c r="D1551" s="92">
        <v>0.75</v>
      </c>
      <c r="E1551" s="92">
        <v>0.49</v>
      </c>
      <c r="F1551">
        <v>21</v>
      </c>
      <c r="G1551">
        <v>24.5</v>
      </c>
      <c r="H1551" t="s">
        <v>5617</v>
      </c>
      <c r="I1551">
        <v>0</v>
      </c>
      <c r="J1551" t="s">
        <v>87</v>
      </c>
      <c r="K1551">
        <v>0</v>
      </c>
      <c r="L1551">
        <v>0</v>
      </c>
    </row>
    <row r="1552" spans="1:12">
      <c r="A1552" s="93">
        <v>173179</v>
      </c>
      <c r="B1552" t="s">
        <v>2098</v>
      </c>
      <c r="C1552" t="s">
        <v>5607</v>
      </c>
      <c r="D1552" s="92" t="s">
        <v>428</v>
      </c>
      <c r="E1552" s="92" t="s">
        <v>428</v>
      </c>
      <c r="F1552" t="s">
        <v>428</v>
      </c>
      <c r="G1552" t="s">
        <v>428</v>
      </c>
      <c r="H1552" t="s">
        <v>5615</v>
      </c>
      <c r="I1552">
        <v>0</v>
      </c>
      <c r="J1552" t="s">
        <v>87</v>
      </c>
      <c r="K1552">
        <v>0</v>
      </c>
      <c r="L1552">
        <v>0</v>
      </c>
    </row>
    <row r="1553" spans="1:12">
      <c r="A1553" s="93">
        <v>173203</v>
      </c>
      <c r="B1553" t="s">
        <v>2099</v>
      </c>
      <c r="C1553" t="s">
        <v>5606</v>
      </c>
      <c r="D1553" s="92">
        <v>0.47</v>
      </c>
      <c r="E1553" s="92">
        <v>0.38</v>
      </c>
      <c r="F1553" t="s">
        <v>428</v>
      </c>
      <c r="G1553" t="s">
        <v>428</v>
      </c>
      <c r="H1553" t="s">
        <v>5615</v>
      </c>
      <c r="I1553">
        <v>0</v>
      </c>
      <c r="J1553" t="s">
        <v>87</v>
      </c>
      <c r="K1553">
        <v>0</v>
      </c>
      <c r="L1553">
        <v>0</v>
      </c>
    </row>
    <row r="1554" spans="1:12">
      <c r="A1554" s="93">
        <v>173258</v>
      </c>
      <c r="B1554" t="s">
        <v>522</v>
      </c>
      <c r="C1554" t="s">
        <v>5611</v>
      </c>
      <c r="D1554" s="92">
        <v>0.92</v>
      </c>
      <c r="E1554" s="92">
        <v>0.89</v>
      </c>
      <c r="F1554">
        <v>30</v>
      </c>
      <c r="G1554">
        <v>31.5</v>
      </c>
      <c r="H1554" t="s">
        <v>5619</v>
      </c>
      <c r="I1554">
        <v>1</v>
      </c>
      <c r="J1554" t="s">
        <v>87</v>
      </c>
      <c r="K1554">
        <v>0</v>
      </c>
      <c r="L1554">
        <v>0</v>
      </c>
    </row>
    <row r="1555" spans="1:12">
      <c r="A1555" s="93">
        <v>173300</v>
      </c>
      <c r="B1555" t="s">
        <v>2100</v>
      </c>
      <c r="C1555" t="s">
        <v>5602</v>
      </c>
      <c r="D1555" s="92">
        <v>0.73</v>
      </c>
      <c r="E1555" s="92">
        <v>0.55</v>
      </c>
      <c r="F1555" t="s">
        <v>428</v>
      </c>
      <c r="G1555" t="s">
        <v>428</v>
      </c>
      <c r="H1555" t="s">
        <v>5617</v>
      </c>
      <c r="I1555">
        <v>0</v>
      </c>
      <c r="J1555" t="s">
        <v>87</v>
      </c>
      <c r="K1555">
        <v>0</v>
      </c>
      <c r="L1555">
        <v>0</v>
      </c>
    </row>
    <row r="1556" spans="1:12">
      <c r="A1556" s="93">
        <v>173328</v>
      </c>
      <c r="B1556" t="s">
        <v>2101</v>
      </c>
      <c r="C1556" t="s">
        <v>5602</v>
      </c>
      <c r="D1556" s="92">
        <v>0.48</v>
      </c>
      <c r="E1556" s="92">
        <v>0.34</v>
      </c>
      <c r="F1556" t="s">
        <v>428</v>
      </c>
      <c r="G1556" t="s">
        <v>428</v>
      </c>
      <c r="H1556" t="s">
        <v>5617</v>
      </c>
      <c r="I1556">
        <v>0</v>
      </c>
      <c r="J1556" t="s">
        <v>87</v>
      </c>
      <c r="K1556">
        <v>0</v>
      </c>
      <c r="L1556">
        <v>0</v>
      </c>
    </row>
    <row r="1557" spans="1:12">
      <c r="A1557" s="93">
        <v>173416</v>
      </c>
      <c r="B1557" t="s">
        <v>2102</v>
      </c>
      <c r="C1557" t="s">
        <v>5606</v>
      </c>
      <c r="D1557" s="92">
        <v>0.42</v>
      </c>
      <c r="E1557" s="92">
        <v>0.26</v>
      </c>
      <c r="F1557" t="s">
        <v>428</v>
      </c>
      <c r="G1557" t="s">
        <v>428</v>
      </c>
      <c r="H1557" t="s">
        <v>5615</v>
      </c>
      <c r="I1557">
        <v>0</v>
      </c>
      <c r="J1557" t="s">
        <v>87</v>
      </c>
      <c r="K1557">
        <v>0</v>
      </c>
      <c r="L1557">
        <v>0</v>
      </c>
    </row>
    <row r="1558" spans="1:12">
      <c r="A1558" s="93">
        <v>173452</v>
      </c>
      <c r="B1558" t="s">
        <v>2103</v>
      </c>
      <c r="C1558" t="s">
        <v>5604</v>
      </c>
      <c r="D1558" s="92">
        <v>0.73</v>
      </c>
      <c r="E1558" s="92">
        <v>0.33</v>
      </c>
      <c r="F1558">
        <v>21</v>
      </c>
      <c r="G1558">
        <v>24</v>
      </c>
      <c r="H1558" t="s">
        <v>5617</v>
      </c>
      <c r="I1558">
        <v>0</v>
      </c>
      <c r="J1558" t="s">
        <v>87</v>
      </c>
      <c r="K1558">
        <v>0</v>
      </c>
      <c r="L1558">
        <v>0</v>
      </c>
    </row>
    <row r="1559" spans="1:12">
      <c r="A1559" s="93">
        <v>173461</v>
      </c>
      <c r="B1559" t="s">
        <v>2104</v>
      </c>
      <c r="C1559" t="s">
        <v>5606</v>
      </c>
      <c r="D1559" s="92">
        <v>0.38</v>
      </c>
      <c r="E1559" s="92">
        <v>0.33</v>
      </c>
      <c r="F1559" t="s">
        <v>428</v>
      </c>
      <c r="G1559" t="s">
        <v>428</v>
      </c>
      <c r="H1559" t="s">
        <v>5615</v>
      </c>
      <c r="I1559">
        <v>0</v>
      </c>
      <c r="J1559" t="s">
        <v>87</v>
      </c>
      <c r="K1559">
        <v>0</v>
      </c>
      <c r="L1559">
        <v>0</v>
      </c>
    </row>
    <row r="1560" spans="1:12">
      <c r="A1560" s="93">
        <v>173489</v>
      </c>
      <c r="B1560" t="s">
        <v>2105</v>
      </c>
      <c r="C1560" t="s">
        <v>5604</v>
      </c>
      <c r="D1560" s="92" t="s">
        <v>428</v>
      </c>
      <c r="E1560" s="92" t="s">
        <v>428</v>
      </c>
      <c r="F1560" t="s">
        <v>428</v>
      </c>
      <c r="G1560" t="s">
        <v>428</v>
      </c>
      <c r="H1560" t="s">
        <v>5617</v>
      </c>
      <c r="I1560">
        <v>0</v>
      </c>
      <c r="J1560" t="s">
        <v>87</v>
      </c>
      <c r="K1560">
        <v>0</v>
      </c>
      <c r="L1560">
        <v>0</v>
      </c>
    </row>
    <row r="1561" spans="1:12">
      <c r="A1561" s="93">
        <v>173559</v>
      </c>
      <c r="B1561" t="s">
        <v>2106</v>
      </c>
      <c r="C1561" t="s">
        <v>5606</v>
      </c>
      <c r="D1561" s="92">
        <v>0.44</v>
      </c>
      <c r="E1561" s="92">
        <v>0.26</v>
      </c>
      <c r="F1561" t="s">
        <v>428</v>
      </c>
      <c r="G1561" t="s">
        <v>428</v>
      </c>
      <c r="H1561" t="s">
        <v>5615</v>
      </c>
      <c r="I1561">
        <v>0</v>
      </c>
      <c r="J1561" t="s">
        <v>87</v>
      </c>
      <c r="K1561">
        <v>0</v>
      </c>
      <c r="L1561">
        <v>0</v>
      </c>
    </row>
    <row r="1562" spans="1:12">
      <c r="A1562" s="93">
        <v>173638</v>
      </c>
      <c r="B1562" t="s">
        <v>2107</v>
      </c>
      <c r="C1562" t="s">
        <v>5606</v>
      </c>
      <c r="D1562" s="92">
        <v>0.53</v>
      </c>
      <c r="E1562" s="92">
        <v>0.38</v>
      </c>
      <c r="F1562" t="s">
        <v>428</v>
      </c>
      <c r="G1562" t="s">
        <v>428</v>
      </c>
      <c r="H1562" t="s">
        <v>5615</v>
      </c>
      <c r="I1562">
        <v>0</v>
      </c>
      <c r="J1562" t="s">
        <v>87</v>
      </c>
      <c r="K1562">
        <v>0</v>
      </c>
      <c r="L1562">
        <v>0</v>
      </c>
    </row>
    <row r="1563" spans="1:12">
      <c r="A1563" s="93">
        <v>173647</v>
      </c>
      <c r="B1563" t="s">
        <v>2108</v>
      </c>
      <c r="C1563" t="s">
        <v>5605</v>
      </c>
      <c r="D1563" s="92">
        <v>0.82</v>
      </c>
      <c r="E1563" s="92">
        <v>0.75</v>
      </c>
      <c r="F1563" t="s">
        <v>428</v>
      </c>
      <c r="G1563" t="s">
        <v>428</v>
      </c>
      <c r="H1563" t="s">
        <v>5622</v>
      </c>
      <c r="I1563">
        <v>0</v>
      </c>
      <c r="J1563" t="s">
        <v>87</v>
      </c>
      <c r="K1563">
        <v>0</v>
      </c>
      <c r="L1563">
        <v>0</v>
      </c>
    </row>
    <row r="1564" spans="1:12">
      <c r="A1564" s="93">
        <v>173665</v>
      </c>
      <c r="B1564" t="s">
        <v>2109</v>
      </c>
      <c r="C1564" t="s">
        <v>5603</v>
      </c>
      <c r="D1564" s="92">
        <v>0.62</v>
      </c>
      <c r="E1564" s="92">
        <v>0.44</v>
      </c>
      <c r="F1564">
        <v>21</v>
      </c>
      <c r="G1564">
        <v>24</v>
      </c>
      <c r="H1564" t="s">
        <v>5617</v>
      </c>
      <c r="I1564">
        <v>0</v>
      </c>
      <c r="J1564" t="s">
        <v>87</v>
      </c>
      <c r="K1564">
        <v>0</v>
      </c>
      <c r="L1564">
        <v>0</v>
      </c>
    </row>
    <row r="1565" spans="1:12">
      <c r="A1565" s="93">
        <v>173683</v>
      </c>
      <c r="B1565" t="s">
        <v>2110</v>
      </c>
      <c r="C1565" t="s">
        <v>5607</v>
      </c>
      <c r="D1565" s="92" t="s">
        <v>428</v>
      </c>
      <c r="E1565" s="92" t="s">
        <v>428</v>
      </c>
      <c r="F1565" t="s">
        <v>428</v>
      </c>
      <c r="G1565" t="s">
        <v>428</v>
      </c>
      <c r="H1565" t="s">
        <v>5615</v>
      </c>
      <c r="I1565">
        <v>0</v>
      </c>
      <c r="J1565" t="s">
        <v>87</v>
      </c>
      <c r="K1565">
        <v>0</v>
      </c>
      <c r="L1565">
        <v>0</v>
      </c>
    </row>
    <row r="1566" spans="1:12">
      <c r="A1566" s="93">
        <v>173708</v>
      </c>
      <c r="B1566" t="s">
        <v>2111</v>
      </c>
      <c r="C1566" t="s">
        <v>5606</v>
      </c>
      <c r="D1566" s="92">
        <v>0.36</v>
      </c>
      <c r="E1566" s="92">
        <v>0.25</v>
      </c>
      <c r="F1566" t="s">
        <v>428</v>
      </c>
      <c r="G1566" t="s">
        <v>428</v>
      </c>
      <c r="H1566" t="s">
        <v>5615</v>
      </c>
      <c r="I1566">
        <v>0</v>
      </c>
      <c r="J1566" t="s">
        <v>87</v>
      </c>
      <c r="K1566">
        <v>0</v>
      </c>
      <c r="L1566">
        <v>0</v>
      </c>
    </row>
    <row r="1567" spans="1:12">
      <c r="A1567" s="93">
        <v>173735</v>
      </c>
      <c r="B1567" t="s">
        <v>2112</v>
      </c>
      <c r="C1567" t="s">
        <v>5606</v>
      </c>
      <c r="D1567" s="92">
        <v>0.43</v>
      </c>
      <c r="E1567" s="92">
        <v>0.26</v>
      </c>
      <c r="F1567" t="s">
        <v>428</v>
      </c>
      <c r="G1567" t="s">
        <v>428</v>
      </c>
      <c r="H1567" t="s">
        <v>5615</v>
      </c>
      <c r="I1567">
        <v>0</v>
      </c>
      <c r="J1567" t="s">
        <v>87</v>
      </c>
      <c r="K1567">
        <v>0</v>
      </c>
      <c r="L1567">
        <v>0</v>
      </c>
    </row>
    <row r="1568" spans="1:12">
      <c r="A1568" s="93">
        <v>173799</v>
      </c>
      <c r="B1568" t="s">
        <v>2113</v>
      </c>
      <c r="C1568" t="s">
        <v>5606</v>
      </c>
      <c r="D1568" s="92">
        <v>0.35</v>
      </c>
      <c r="E1568" s="92">
        <v>0.27</v>
      </c>
      <c r="F1568" t="s">
        <v>428</v>
      </c>
      <c r="G1568" t="s">
        <v>428</v>
      </c>
      <c r="H1568" t="s">
        <v>5615</v>
      </c>
      <c r="I1568">
        <v>0</v>
      </c>
      <c r="J1568" t="s">
        <v>87</v>
      </c>
      <c r="K1568">
        <v>0</v>
      </c>
      <c r="L1568">
        <v>0</v>
      </c>
    </row>
    <row r="1569" spans="1:12">
      <c r="A1569" s="93">
        <v>173805</v>
      </c>
      <c r="B1569" t="s">
        <v>2114</v>
      </c>
      <c r="C1569" t="s">
        <v>5606</v>
      </c>
      <c r="D1569" s="92">
        <v>0.51</v>
      </c>
      <c r="E1569" s="92">
        <v>0.48</v>
      </c>
      <c r="F1569" t="s">
        <v>428</v>
      </c>
      <c r="G1569" t="s">
        <v>428</v>
      </c>
      <c r="H1569" t="s">
        <v>5615</v>
      </c>
      <c r="I1569">
        <v>0</v>
      </c>
      <c r="J1569" t="s">
        <v>87</v>
      </c>
      <c r="K1569">
        <v>0</v>
      </c>
      <c r="L1569">
        <v>0</v>
      </c>
    </row>
    <row r="1570" spans="1:12">
      <c r="A1570" s="93">
        <v>173887</v>
      </c>
      <c r="B1570" t="s">
        <v>2115</v>
      </c>
      <c r="C1570" t="s">
        <v>5607</v>
      </c>
      <c r="D1570" s="92">
        <v>0.31</v>
      </c>
      <c r="E1570" s="92">
        <v>0.36</v>
      </c>
      <c r="F1570" t="s">
        <v>428</v>
      </c>
      <c r="G1570" t="s">
        <v>428</v>
      </c>
      <c r="H1570" t="s">
        <v>5617</v>
      </c>
      <c r="I1570">
        <v>0</v>
      </c>
      <c r="J1570" t="s">
        <v>87</v>
      </c>
      <c r="K1570">
        <v>0</v>
      </c>
      <c r="L1570">
        <v>0</v>
      </c>
    </row>
    <row r="1571" spans="1:12">
      <c r="A1571" s="93">
        <v>173896</v>
      </c>
      <c r="B1571" t="s">
        <v>2116</v>
      </c>
      <c r="C1571" t="s">
        <v>5607</v>
      </c>
      <c r="D1571" s="92" t="s">
        <v>428</v>
      </c>
      <c r="E1571" s="92" t="s">
        <v>428</v>
      </c>
      <c r="F1571" t="s">
        <v>428</v>
      </c>
      <c r="G1571" t="s">
        <v>428</v>
      </c>
      <c r="H1571" t="s">
        <v>5615</v>
      </c>
      <c r="I1571">
        <v>0</v>
      </c>
      <c r="J1571" t="s">
        <v>87</v>
      </c>
      <c r="K1571">
        <v>0</v>
      </c>
      <c r="L1571">
        <v>0</v>
      </c>
    </row>
    <row r="1572" spans="1:12">
      <c r="A1572" s="93">
        <v>173902</v>
      </c>
      <c r="B1572" t="s">
        <v>482</v>
      </c>
      <c r="C1572" t="s">
        <v>5612</v>
      </c>
      <c r="D1572" s="92">
        <v>0.88</v>
      </c>
      <c r="E1572" s="92">
        <v>0.84</v>
      </c>
      <c r="F1572">
        <v>29</v>
      </c>
      <c r="G1572">
        <v>31</v>
      </c>
      <c r="H1572" t="s">
        <v>5623</v>
      </c>
      <c r="I1572">
        <v>1</v>
      </c>
      <c r="J1572" t="s">
        <v>87</v>
      </c>
      <c r="K1572">
        <v>0</v>
      </c>
      <c r="L1572">
        <v>0</v>
      </c>
    </row>
    <row r="1573" spans="1:12">
      <c r="A1573" s="93">
        <v>173911</v>
      </c>
      <c r="B1573" t="s">
        <v>2117</v>
      </c>
      <c r="C1573" t="s">
        <v>5606</v>
      </c>
      <c r="D1573" s="92">
        <v>0.35</v>
      </c>
      <c r="E1573" s="92">
        <v>0.22</v>
      </c>
      <c r="F1573" t="s">
        <v>428</v>
      </c>
      <c r="G1573" t="s">
        <v>428</v>
      </c>
      <c r="H1573" t="s">
        <v>5615</v>
      </c>
      <c r="I1573">
        <v>0</v>
      </c>
      <c r="J1573" t="s">
        <v>87</v>
      </c>
      <c r="K1573">
        <v>0</v>
      </c>
      <c r="L1573">
        <v>0</v>
      </c>
    </row>
    <row r="1574" spans="1:12">
      <c r="A1574" s="93">
        <v>173920</v>
      </c>
      <c r="B1574" t="s">
        <v>2118</v>
      </c>
      <c r="C1574" t="s">
        <v>5602</v>
      </c>
      <c r="D1574" s="92">
        <v>0.5</v>
      </c>
      <c r="E1574" s="92">
        <v>0.31</v>
      </c>
      <c r="F1574">
        <v>20</v>
      </c>
      <c r="G1574">
        <v>22</v>
      </c>
      <c r="H1574" t="s">
        <v>5615</v>
      </c>
      <c r="I1574">
        <v>0</v>
      </c>
      <c r="J1574" t="s">
        <v>87</v>
      </c>
      <c r="K1574">
        <v>0</v>
      </c>
      <c r="L1574">
        <v>0</v>
      </c>
    </row>
    <row r="1575" spans="1:12">
      <c r="A1575" s="93">
        <v>173957</v>
      </c>
      <c r="B1575" t="s">
        <v>2119</v>
      </c>
      <c r="C1575" t="s">
        <v>5607</v>
      </c>
      <c r="D1575" s="92" t="s">
        <v>428</v>
      </c>
      <c r="E1575" s="92" t="s">
        <v>428</v>
      </c>
      <c r="F1575" t="s">
        <v>428</v>
      </c>
      <c r="G1575" t="s">
        <v>428</v>
      </c>
      <c r="H1575" t="s">
        <v>5615</v>
      </c>
      <c r="I1575">
        <v>0</v>
      </c>
      <c r="J1575" t="s">
        <v>87</v>
      </c>
      <c r="K1575">
        <v>0</v>
      </c>
      <c r="L1575">
        <v>0</v>
      </c>
    </row>
    <row r="1576" spans="1:12">
      <c r="A1576" s="93">
        <v>173966</v>
      </c>
      <c r="B1576" t="s">
        <v>2120</v>
      </c>
      <c r="C1576" t="s">
        <v>5607</v>
      </c>
      <c r="D1576" s="92" t="s">
        <v>428</v>
      </c>
      <c r="E1576" s="92" t="s">
        <v>428</v>
      </c>
      <c r="F1576" t="s">
        <v>428</v>
      </c>
      <c r="G1576" t="s">
        <v>428</v>
      </c>
      <c r="H1576" t="s">
        <v>5615</v>
      </c>
      <c r="I1576">
        <v>0</v>
      </c>
      <c r="J1576" t="s">
        <v>87</v>
      </c>
      <c r="K1576">
        <v>0</v>
      </c>
      <c r="L1576">
        <v>0</v>
      </c>
    </row>
    <row r="1577" spans="1:12">
      <c r="A1577" s="93">
        <v>173984</v>
      </c>
      <c r="B1577" t="s">
        <v>2121</v>
      </c>
      <c r="C1577" t="s">
        <v>5604</v>
      </c>
      <c r="D1577" s="92">
        <v>0.17</v>
      </c>
      <c r="E1577" s="92">
        <v>0</v>
      </c>
      <c r="F1577" t="s">
        <v>428</v>
      </c>
      <c r="G1577" t="s">
        <v>428</v>
      </c>
      <c r="H1577" t="s">
        <v>5616</v>
      </c>
      <c r="I1577">
        <v>0</v>
      </c>
      <c r="J1577" t="s">
        <v>87</v>
      </c>
      <c r="K1577">
        <v>0</v>
      </c>
      <c r="L1577">
        <v>0</v>
      </c>
    </row>
    <row r="1578" spans="1:12">
      <c r="A1578" s="93">
        <v>173993</v>
      </c>
      <c r="B1578" t="s">
        <v>2122</v>
      </c>
      <c r="C1578" t="s">
        <v>5606</v>
      </c>
      <c r="D1578" s="92">
        <v>0.47</v>
      </c>
      <c r="E1578" s="92">
        <v>0.36</v>
      </c>
      <c r="F1578" t="s">
        <v>428</v>
      </c>
      <c r="G1578" t="s">
        <v>428</v>
      </c>
      <c r="H1578" t="s">
        <v>5615</v>
      </c>
      <c r="I1578">
        <v>0</v>
      </c>
      <c r="J1578" t="s">
        <v>87</v>
      </c>
      <c r="K1578">
        <v>0</v>
      </c>
      <c r="L1578">
        <v>0</v>
      </c>
    </row>
    <row r="1579" spans="1:12">
      <c r="A1579" s="93">
        <v>174020</v>
      </c>
      <c r="B1579" t="s">
        <v>2123</v>
      </c>
      <c r="C1579" t="s">
        <v>5602</v>
      </c>
      <c r="D1579" s="92">
        <v>0.34</v>
      </c>
      <c r="E1579" s="92">
        <v>0.28</v>
      </c>
      <c r="F1579" t="s">
        <v>428</v>
      </c>
      <c r="G1579" t="s">
        <v>428</v>
      </c>
      <c r="H1579" t="s">
        <v>5615</v>
      </c>
      <c r="I1579">
        <v>0</v>
      </c>
      <c r="J1579" t="s">
        <v>87</v>
      </c>
      <c r="K1579">
        <v>0</v>
      </c>
      <c r="L1579">
        <v>0</v>
      </c>
    </row>
    <row r="1580" spans="1:12">
      <c r="A1580" s="93">
        <v>174066</v>
      </c>
      <c r="B1580" t="s">
        <v>2124</v>
      </c>
      <c r="C1580" t="s">
        <v>5605</v>
      </c>
      <c r="D1580" s="92">
        <v>0.78</v>
      </c>
      <c r="E1580" s="92">
        <v>0.64</v>
      </c>
      <c r="F1580">
        <v>26</v>
      </c>
      <c r="G1580">
        <v>28.5</v>
      </c>
      <c r="H1580" t="s">
        <v>5617</v>
      </c>
      <c r="I1580">
        <v>0</v>
      </c>
      <c r="J1580" t="s">
        <v>87</v>
      </c>
      <c r="K1580">
        <v>0</v>
      </c>
      <c r="L1580">
        <v>0</v>
      </c>
    </row>
    <row r="1581" spans="1:12">
      <c r="A1581" s="93">
        <v>174075</v>
      </c>
      <c r="B1581" t="s">
        <v>2125</v>
      </c>
      <c r="C1581" t="s">
        <v>5602</v>
      </c>
      <c r="D1581" s="92">
        <v>0.49</v>
      </c>
      <c r="E1581" s="92">
        <v>0.35</v>
      </c>
      <c r="F1581">
        <v>20</v>
      </c>
      <c r="G1581">
        <v>22</v>
      </c>
      <c r="H1581" t="s">
        <v>5615</v>
      </c>
      <c r="I1581">
        <v>0</v>
      </c>
      <c r="J1581" t="s">
        <v>87</v>
      </c>
      <c r="K1581">
        <v>0</v>
      </c>
      <c r="L1581">
        <v>0</v>
      </c>
    </row>
    <row r="1582" spans="1:12">
      <c r="A1582" s="93">
        <v>174118</v>
      </c>
      <c r="B1582" t="s">
        <v>2126</v>
      </c>
      <c r="C1582" t="s">
        <v>5606</v>
      </c>
      <c r="D1582" s="92" t="s">
        <v>428</v>
      </c>
      <c r="E1582" s="92" t="s">
        <v>428</v>
      </c>
      <c r="F1582" t="s">
        <v>428</v>
      </c>
      <c r="G1582" t="s">
        <v>428</v>
      </c>
      <c r="H1582" t="s">
        <v>5616</v>
      </c>
      <c r="I1582">
        <v>0</v>
      </c>
      <c r="J1582" t="s">
        <v>87</v>
      </c>
      <c r="K1582">
        <v>0</v>
      </c>
      <c r="L1582">
        <v>0</v>
      </c>
    </row>
    <row r="1583" spans="1:12">
      <c r="A1583" s="93">
        <v>174127</v>
      </c>
      <c r="B1583" t="s">
        <v>2127</v>
      </c>
      <c r="C1583" t="s">
        <v>5610</v>
      </c>
      <c r="D1583" s="92">
        <v>0.63</v>
      </c>
      <c r="E1583" s="92">
        <v>0.68</v>
      </c>
      <c r="F1583">
        <v>20</v>
      </c>
      <c r="G1583">
        <v>23</v>
      </c>
      <c r="H1583" t="s">
        <v>5617</v>
      </c>
      <c r="I1583">
        <v>0</v>
      </c>
      <c r="J1583" t="s">
        <v>87</v>
      </c>
      <c r="K1583">
        <v>0</v>
      </c>
      <c r="L1583">
        <v>0</v>
      </c>
    </row>
    <row r="1584" spans="1:12">
      <c r="A1584" s="93">
        <v>174136</v>
      </c>
      <c r="B1584" t="s">
        <v>2128</v>
      </c>
      <c r="C1584" t="s">
        <v>5606</v>
      </c>
      <c r="D1584" s="92">
        <v>0.24</v>
      </c>
      <c r="E1584" s="92">
        <v>0.2</v>
      </c>
      <c r="F1584" t="s">
        <v>428</v>
      </c>
      <c r="G1584" t="s">
        <v>428</v>
      </c>
      <c r="H1584" t="s">
        <v>5615</v>
      </c>
      <c r="I1584">
        <v>0</v>
      </c>
      <c r="J1584" t="s">
        <v>87</v>
      </c>
      <c r="K1584">
        <v>0</v>
      </c>
      <c r="L1584">
        <v>0</v>
      </c>
    </row>
    <row r="1585" spans="1:12">
      <c r="A1585" s="93">
        <v>174154</v>
      </c>
      <c r="B1585" t="s">
        <v>2129</v>
      </c>
      <c r="C1585" t="s">
        <v>5607</v>
      </c>
      <c r="D1585" s="92">
        <v>0.5</v>
      </c>
      <c r="E1585" s="92" t="s">
        <v>428</v>
      </c>
      <c r="F1585" t="s">
        <v>428</v>
      </c>
      <c r="G1585" t="s">
        <v>428</v>
      </c>
      <c r="H1585" t="s">
        <v>5617</v>
      </c>
      <c r="I1585">
        <v>0</v>
      </c>
      <c r="J1585" t="s">
        <v>87</v>
      </c>
      <c r="K1585">
        <v>0</v>
      </c>
      <c r="L1585">
        <v>0</v>
      </c>
    </row>
    <row r="1586" spans="1:12">
      <c r="A1586" s="93">
        <v>174233</v>
      </c>
      <c r="B1586" t="s">
        <v>2130</v>
      </c>
      <c r="C1586" t="s">
        <v>5602</v>
      </c>
      <c r="D1586" s="92">
        <v>0.6</v>
      </c>
      <c r="E1586" s="92">
        <v>0.49</v>
      </c>
      <c r="F1586">
        <v>22</v>
      </c>
      <c r="G1586">
        <v>24</v>
      </c>
      <c r="H1586" t="s">
        <v>5615</v>
      </c>
      <c r="I1586">
        <v>0</v>
      </c>
      <c r="J1586" t="s">
        <v>87</v>
      </c>
      <c r="K1586">
        <v>0</v>
      </c>
      <c r="L1586">
        <v>0</v>
      </c>
    </row>
    <row r="1587" spans="1:12">
      <c r="A1587" s="93">
        <v>174251</v>
      </c>
      <c r="B1587" t="s">
        <v>2131</v>
      </c>
      <c r="C1587" t="s">
        <v>5603</v>
      </c>
      <c r="D1587" s="92">
        <v>0.65</v>
      </c>
      <c r="E1587" s="92">
        <v>0.5</v>
      </c>
      <c r="F1587">
        <v>22</v>
      </c>
      <c r="G1587">
        <v>25</v>
      </c>
      <c r="H1587" t="s">
        <v>5616</v>
      </c>
      <c r="I1587">
        <v>0</v>
      </c>
      <c r="J1587" t="s">
        <v>87</v>
      </c>
      <c r="K1587">
        <v>0</v>
      </c>
      <c r="L1587">
        <v>0</v>
      </c>
    </row>
    <row r="1588" spans="1:12">
      <c r="A1588" s="93">
        <v>174358</v>
      </c>
      <c r="B1588" t="s">
        <v>2132</v>
      </c>
      <c r="C1588" t="s">
        <v>5602</v>
      </c>
      <c r="D1588" s="92">
        <v>0.41</v>
      </c>
      <c r="E1588" s="92">
        <v>0.19</v>
      </c>
      <c r="F1588">
        <v>20</v>
      </c>
      <c r="G1588">
        <v>22.5</v>
      </c>
      <c r="H1588" t="s">
        <v>5615</v>
      </c>
      <c r="I1588">
        <v>0</v>
      </c>
      <c r="J1588" t="s">
        <v>87</v>
      </c>
      <c r="K1588">
        <v>0</v>
      </c>
      <c r="L1588">
        <v>0</v>
      </c>
    </row>
    <row r="1589" spans="1:12">
      <c r="A1589" s="93">
        <v>174376</v>
      </c>
      <c r="B1589" t="s">
        <v>2133</v>
      </c>
      <c r="C1589" t="s">
        <v>5606</v>
      </c>
      <c r="D1589" s="92">
        <v>0.26</v>
      </c>
      <c r="E1589" s="92">
        <v>0.19</v>
      </c>
      <c r="F1589" t="s">
        <v>428</v>
      </c>
      <c r="G1589" t="s">
        <v>428</v>
      </c>
      <c r="H1589" t="s">
        <v>5615</v>
      </c>
      <c r="I1589">
        <v>0</v>
      </c>
      <c r="J1589" t="s">
        <v>87</v>
      </c>
      <c r="K1589">
        <v>0</v>
      </c>
      <c r="L1589">
        <v>0</v>
      </c>
    </row>
    <row r="1590" spans="1:12">
      <c r="A1590" s="93">
        <v>174385</v>
      </c>
      <c r="B1590" t="s">
        <v>2134</v>
      </c>
      <c r="C1590" t="s">
        <v>5604</v>
      </c>
      <c r="D1590" s="92">
        <v>0.25</v>
      </c>
      <c r="E1590" s="92">
        <v>0</v>
      </c>
      <c r="F1590" t="s">
        <v>428</v>
      </c>
      <c r="G1590" t="s">
        <v>428</v>
      </c>
      <c r="H1590" t="s">
        <v>5617</v>
      </c>
      <c r="I1590">
        <v>0</v>
      </c>
      <c r="J1590" t="s">
        <v>87</v>
      </c>
      <c r="K1590">
        <v>0</v>
      </c>
      <c r="L1590">
        <v>0</v>
      </c>
    </row>
    <row r="1591" spans="1:12">
      <c r="A1591" s="93">
        <v>174394</v>
      </c>
      <c r="B1591" t="s">
        <v>2135</v>
      </c>
      <c r="C1591" t="s">
        <v>5607</v>
      </c>
      <c r="D1591" s="92">
        <v>0.34</v>
      </c>
      <c r="E1591" s="92">
        <v>0.15</v>
      </c>
      <c r="F1591" t="s">
        <v>428</v>
      </c>
      <c r="G1591" t="s">
        <v>428</v>
      </c>
      <c r="H1591" t="s">
        <v>5617</v>
      </c>
      <c r="I1591">
        <v>0</v>
      </c>
      <c r="J1591" t="s">
        <v>87</v>
      </c>
      <c r="K1591">
        <v>0</v>
      </c>
      <c r="L1591">
        <v>0</v>
      </c>
    </row>
    <row r="1592" spans="1:12">
      <c r="A1592" s="93">
        <v>174428</v>
      </c>
      <c r="B1592" t="s">
        <v>2136</v>
      </c>
      <c r="C1592" t="s">
        <v>5606</v>
      </c>
      <c r="D1592" s="92">
        <v>0.36</v>
      </c>
      <c r="E1592" s="92">
        <v>0.3</v>
      </c>
      <c r="F1592" t="s">
        <v>428</v>
      </c>
      <c r="G1592" t="s">
        <v>428</v>
      </c>
      <c r="H1592" t="s">
        <v>5615</v>
      </c>
      <c r="I1592">
        <v>0</v>
      </c>
      <c r="J1592" t="s">
        <v>87</v>
      </c>
      <c r="K1592">
        <v>0</v>
      </c>
      <c r="L1592">
        <v>0</v>
      </c>
    </row>
    <row r="1593" spans="1:12">
      <c r="A1593" s="93">
        <v>174437</v>
      </c>
      <c r="B1593" t="s">
        <v>2137</v>
      </c>
      <c r="C1593" t="s">
        <v>5602</v>
      </c>
      <c r="D1593" s="92">
        <v>0.45</v>
      </c>
      <c r="E1593" s="92">
        <v>0.29</v>
      </c>
      <c r="F1593">
        <v>19</v>
      </c>
      <c r="G1593">
        <v>22</v>
      </c>
      <c r="H1593" t="s">
        <v>5616</v>
      </c>
      <c r="I1593">
        <v>0</v>
      </c>
      <c r="J1593" t="s">
        <v>87</v>
      </c>
      <c r="K1593">
        <v>0</v>
      </c>
      <c r="L1593">
        <v>0</v>
      </c>
    </row>
    <row r="1594" spans="1:12">
      <c r="A1594" s="93">
        <v>174473</v>
      </c>
      <c r="B1594" t="s">
        <v>2138</v>
      </c>
      <c r="C1594" t="s">
        <v>5606</v>
      </c>
      <c r="D1594" s="92">
        <v>0.46</v>
      </c>
      <c r="E1594" s="92">
        <v>0.4</v>
      </c>
      <c r="F1594" t="s">
        <v>428</v>
      </c>
      <c r="G1594" t="s">
        <v>428</v>
      </c>
      <c r="H1594" t="s">
        <v>5615</v>
      </c>
      <c r="I1594">
        <v>0</v>
      </c>
      <c r="J1594" t="s">
        <v>87</v>
      </c>
      <c r="K1594">
        <v>0</v>
      </c>
      <c r="L1594">
        <v>0</v>
      </c>
    </row>
    <row r="1595" spans="1:12">
      <c r="A1595" s="93">
        <v>174491</v>
      </c>
      <c r="B1595" t="s">
        <v>2139</v>
      </c>
      <c r="C1595" t="s">
        <v>5602</v>
      </c>
      <c r="D1595" s="92">
        <v>0.63</v>
      </c>
      <c r="E1595" s="92">
        <v>0.48</v>
      </c>
      <c r="F1595">
        <v>21</v>
      </c>
      <c r="G1595">
        <v>24</v>
      </c>
      <c r="H1595" t="s">
        <v>5617</v>
      </c>
      <c r="I1595">
        <v>0</v>
      </c>
      <c r="J1595" t="s">
        <v>87</v>
      </c>
      <c r="K1595">
        <v>0</v>
      </c>
      <c r="L1595">
        <v>0</v>
      </c>
    </row>
    <row r="1596" spans="1:12">
      <c r="A1596" s="93">
        <v>174507</v>
      </c>
      <c r="B1596" t="s">
        <v>2140</v>
      </c>
      <c r="C1596" t="s">
        <v>5604</v>
      </c>
      <c r="D1596" s="92" t="s">
        <v>428</v>
      </c>
      <c r="E1596" s="92" t="s">
        <v>428</v>
      </c>
      <c r="F1596" t="s">
        <v>428</v>
      </c>
      <c r="G1596" t="s">
        <v>428</v>
      </c>
      <c r="H1596" t="s">
        <v>5617</v>
      </c>
      <c r="I1596">
        <v>0</v>
      </c>
      <c r="J1596" t="s">
        <v>87</v>
      </c>
      <c r="K1596">
        <v>0</v>
      </c>
      <c r="L1596">
        <v>0</v>
      </c>
    </row>
    <row r="1597" spans="1:12">
      <c r="A1597" s="93">
        <v>174525</v>
      </c>
      <c r="B1597" t="s">
        <v>2141</v>
      </c>
      <c r="C1597" t="s">
        <v>5608</v>
      </c>
      <c r="D1597" s="92">
        <v>0.22</v>
      </c>
      <c r="E1597" s="92">
        <v>0.17</v>
      </c>
      <c r="F1597">
        <v>16</v>
      </c>
      <c r="G1597">
        <v>18.5</v>
      </c>
      <c r="H1597" t="s">
        <v>5617</v>
      </c>
      <c r="I1597">
        <v>0</v>
      </c>
      <c r="J1597" t="s">
        <v>87</v>
      </c>
      <c r="K1597">
        <v>0</v>
      </c>
      <c r="L1597">
        <v>0</v>
      </c>
    </row>
    <row r="1598" spans="1:12">
      <c r="A1598" s="93">
        <v>174570</v>
      </c>
      <c r="B1598" t="s">
        <v>2142</v>
      </c>
      <c r="C1598" t="s">
        <v>5606</v>
      </c>
      <c r="D1598" s="92">
        <v>0.37</v>
      </c>
      <c r="E1598" s="92">
        <v>0.3</v>
      </c>
      <c r="F1598" t="s">
        <v>428</v>
      </c>
      <c r="G1598" t="s">
        <v>428</v>
      </c>
      <c r="H1598" t="s">
        <v>5615</v>
      </c>
      <c r="I1598">
        <v>0</v>
      </c>
      <c r="J1598" t="s">
        <v>87</v>
      </c>
      <c r="K1598">
        <v>0</v>
      </c>
      <c r="L1598">
        <v>0</v>
      </c>
    </row>
    <row r="1599" spans="1:12">
      <c r="A1599" s="93">
        <v>174604</v>
      </c>
      <c r="B1599" t="s">
        <v>2143</v>
      </c>
      <c r="C1599" t="s">
        <v>5606</v>
      </c>
      <c r="D1599" s="92">
        <v>0.45</v>
      </c>
      <c r="E1599" s="92">
        <v>0.36</v>
      </c>
      <c r="F1599" t="s">
        <v>428</v>
      </c>
      <c r="G1599" t="s">
        <v>428</v>
      </c>
      <c r="H1599" t="s">
        <v>5615</v>
      </c>
      <c r="I1599">
        <v>0</v>
      </c>
      <c r="J1599" t="s">
        <v>87</v>
      </c>
      <c r="K1599">
        <v>0</v>
      </c>
      <c r="L1599">
        <v>0</v>
      </c>
    </row>
    <row r="1600" spans="1:12">
      <c r="A1600" s="93">
        <v>174738</v>
      </c>
      <c r="B1600" t="s">
        <v>2144</v>
      </c>
      <c r="C1600" t="s">
        <v>5606</v>
      </c>
      <c r="D1600" s="92">
        <v>0.36</v>
      </c>
      <c r="E1600" s="92">
        <v>0.27</v>
      </c>
      <c r="F1600" t="s">
        <v>428</v>
      </c>
      <c r="G1600" t="s">
        <v>428</v>
      </c>
      <c r="H1600" t="s">
        <v>5615</v>
      </c>
      <c r="I1600">
        <v>0</v>
      </c>
      <c r="J1600" t="s">
        <v>87</v>
      </c>
      <c r="K1600">
        <v>0</v>
      </c>
      <c r="L1600">
        <v>0</v>
      </c>
    </row>
    <row r="1601" spans="1:12">
      <c r="A1601" s="93">
        <v>174747</v>
      </c>
      <c r="B1601" t="s">
        <v>2145</v>
      </c>
      <c r="C1601" t="s">
        <v>5602</v>
      </c>
      <c r="D1601" s="92">
        <v>0.83</v>
      </c>
      <c r="E1601" s="92">
        <v>0.65</v>
      </c>
      <c r="F1601">
        <v>22</v>
      </c>
      <c r="G1601">
        <v>25</v>
      </c>
      <c r="H1601" t="s">
        <v>5616</v>
      </c>
      <c r="I1601">
        <v>0</v>
      </c>
      <c r="J1601" t="s">
        <v>87</v>
      </c>
      <c r="K1601">
        <v>0</v>
      </c>
      <c r="L1601">
        <v>0</v>
      </c>
    </row>
    <row r="1602" spans="1:12">
      <c r="A1602" s="93">
        <v>174756</v>
      </c>
      <c r="B1602" t="s">
        <v>2146</v>
      </c>
      <c r="C1602" t="s">
        <v>5606</v>
      </c>
      <c r="D1602" s="92">
        <v>0.45</v>
      </c>
      <c r="E1602" s="92">
        <v>0.37</v>
      </c>
      <c r="F1602" t="s">
        <v>428</v>
      </c>
      <c r="G1602" t="s">
        <v>428</v>
      </c>
      <c r="H1602" t="s">
        <v>5615</v>
      </c>
      <c r="I1602">
        <v>0</v>
      </c>
      <c r="J1602" t="s">
        <v>87</v>
      </c>
      <c r="K1602">
        <v>0</v>
      </c>
      <c r="L1602">
        <v>0</v>
      </c>
    </row>
    <row r="1603" spans="1:12">
      <c r="A1603" s="93">
        <v>174783</v>
      </c>
      <c r="B1603" t="s">
        <v>2147</v>
      </c>
      <c r="C1603" t="s">
        <v>5602</v>
      </c>
      <c r="D1603" s="92">
        <v>0.44</v>
      </c>
      <c r="E1603" s="92">
        <v>0.37</v>
      </c>
      <c r="F1603">
        <v>18</v>
      </c>
      <c r="G1603">
        <v>21</v>
      </c>
      <c r="H1603" t="s">
        <v>5615</v>
      </c>
      <c r="I1603">
        <v>0</v>
      </c>
      <c r="J1603" t="s">
        <v>87</v>
      </c>
      <c r="K1603">
        <v>0</v>
      </c>
      <c r="L1603">
        <v>0</v>
      </c>
    </row>
    <row r="1604" spans="1:12">
      <c r="A1604" s="93">
        <v>174792</v>
      </c>
      <c r="B1604" t="s">
        <v>2148</v>
      </c>
      <c r="C1604" t="s">
        <v>5602</v>
      </c>
      <c r="D1604" s="92">
        <v>0.79</v>
      </c>
      <c r="E1604" s="92">
        <v>0.68</v>
      </c>
      <c r="F1604">
        <v>22</v>
      </c>
      <c r="G1604">
        <v>25</v>
      </c>
      <c r="H1604" t="s">
        <v>5616</v>
      </c>
      <c r="I1604">
        <v>0</v>
      </c>
      <c r="J1604" t="s">
        <v>87</v>
      </c>
      <c r="K1604">
        <v>0</v>
      </c>
      <c r="L1604">
        <v>0</v>
      </c>
    </row>
    <row r="1605" spans="1:12">
      <c r="A1605" s="93">
        <v>174817</v>
      </c>
      <c r="B1605" t="s">
        <v>2149</v>
      </c>
      <c r="C1605" t="s">
        <v>5603</v>
      </c>
      <c r="D1605" s="92">
        <v>0.62</v>
      </c>
      <c r="E1605" s="92">
        <v>0.43</v>
      </c>
      <c r="F1605">
        <v>20</v>
      </c>
      <c r="G1605">
        <v>23</v>
      </c>
      <c r="H1605" t="s">
        <v>5616</v>
      </c>
      <c r="I1605">
        <v>0</v>
      </c>
      <c r="J1605" t="s">
        <v>87</v>
      </c>
      <c r="K1605">
        <v>0</v>
      </c>
      <c r="L1605">
        <v>0</v>
      </c>
    </row>
    <row r="1606" spans="1:12">
      <c r="A1606" s="93">
        <v>174844</v>
      </c>
      <c r="B1606" t="s">
        <v>2150</v>
      </c>
      <c r="C1606" t="s">
        <v>5605</v>
      </c>
      <c r="D1606" s="92">
        <v>0.88</v>
      </c>
      <c r="E1606" s="92">
        <v>0.76</v>
      </c>
      <c r="F1606">
        <v>26</v>
      </c>
      <c r="G1606">
        <v>28.5</v>
      </c>
      <c r="H1606" t="s">
        <v>5623</v>
      </c>
      <c r="I1606">
        <v>1</v>
      </c>
      <c r="J1606" t="s">
        <v>87</v>
      </c>
      <c r="K1606">
        <v>0</v>
      </c>
      <c r="L1606">
        <v>0</v>
      </c>
    </row>
    <row r="1607" spans="1:12">
      <c r="A1607" s="93">
        <v>174862</v>
      </c>
      <c r="B1607" t="s">
        <v>2151</v>
      </c>
      <c r="C1607" t="s">
        <v>5602</v>
      </c>
      <c r="D1607" s="92">
        <v>0.52</v>
      </c>
      <c r="E1607" s="92">
        <v>0.27</v>
      </c>
      <c r="F1607">
        <v>19</v>
      </c>
      <c r="G1607">
        <v>22</v>
      </c>
      <c r="H1607" t="s">
        <v>5617</v>
      </c>
      <c r="I1607">
        <v>0</v>
      </c>
      <c r="J1607" t="s">
        <v>87</v>
      </c>
      <c r="K1607">
        <v>0</v>
      </c>
      <c r="L1607">
        <v>0</v>
      </c>
    </row>
    <row r="1608" spans="1:12">
      <c r="A1608" s="93">
        <v>174899</v>
      </c>
      <c r="B1608" t="s">
        <v>2152</v>
      </c>
      <c r="C1608" t="s">
        <v>5602</v>
      </c>
      <c r="D1608" s="92">
        <v>0.66</v>
      </c>
      <c r="E1608" s="92">
        <v>0.52</v>
      </c>
      <c r="F1608">
        <v>21</v>
      </c>
      <c r="G1608">
        <v>23.5</v>
      </c>
      <c r="H1608" t="s">
        <v>5617</v>
      </c>
      <c r="I1608">
        <v>0</v>
      </c>
      <c r="J1608" t="s">
        <v>87</v>
      </c>
      <c r="K1608">
        <v>0</v>
      </c>
      <c r="L1608">
        <v>0</v>
      </c>
    </row>
    <row r="1609" spans="1:12">
      <c r="A1609" s="93">
        <v>174914</v>
      </c>
      <c r="B1609" t="s">
        <v>2153</v>
      </c>
      <c r="C1609" t="s">
        <v>5603</v>
      </c>
      <c r="D1609" s="92">
        <v>0.75</v>
      </c>
      <c r="E1609" s="92">
        <v>0.73</v>
      </c>
      <c r="F1609">
        <v>24</v>
      </c>
      <c r="G1609">
        <v>26.5</v>
      </c>
      <c r="H1609" t="s">
        <v>5617</v>
      </c>
      <c r="I1609">
        <v>0</v>
      </c>
      <c r="J1609" t="s">
        <v>87</v>
      </c>
      <c r="K1609">
        <v>0</v>
      </c>
      <c r="L1609">
        <v>0</v>
      </c>
    </row>
    <row r="1610" spans="1:12">
      <c r="A1610" s="93">
        <v>175005</v>
      </c>
      <c r="B1610" t="s">
        <v>2154</v>
      </c>
      <c r="C1610" t="s">
        <v>5603</v>
      </c>
      <c r="D1610" s="92">
        <v>0.63</v>
      </c>
      <c r="E1610" s="92">
        <v>0.47</v>
      </c>
      <c r="F1610">
        <v>19</v>
      </c>
      <c r="G1610">
        <v>22</v>
      </c>
      <c r="H1610" t="s">
        <v>5616</v>
      </c>
      <c r="I1610">
        <v>0</v>
      </c>
      <c r="J1610" t="s">
        <v>87</v>
      </c>
      <c r="K1610">
        <v>0</v>
      </c>
      <c r="L1610">
        <v>0</v>
      </c>
    </row>
    <row r="1611" spans="1:12">
      <c r="A1611" s="93">
        <v>175014</v>
      </c>
      <c r="B1611" t="s">
        <v>2155</v>
      </c>
      <c r="C1611" t="s">
        <v>5604</v>
      </c>
      <c r="D1611" s="92">
        <v>0.16</v>
      </c>
      <c r="E1611" s="92">
        <v>0.12</v>
      </c>
      <c r="F1611" t="s">
        <v>428</v>
      </c>
      <c r="G1611" t="s">
        <v>428</v>
      </c>
      <c r="H1611" t="s">
        <v>5617</v>
      </c>
      <c r="I1611">
        <v>0</v>
      </c>
      <c r="J1611" t="s">
        <v>87</v>
      </c>
      <c r="K1611">
        <v>0</v>
      </c>
      <c r="L1611">
        <v>0</v>
      </c>
    </row>
    <row r="1612" spans="1:12">
      <c r="A1612" s="93">
        <v>175041</v>
      </c>
      <c r="B1612" t="s">
        <v>2156</v>
      </c>
      <c r="C1612" t="s">
        <v>5606</v>
      </c>
      <c r="D1612" s="92">
        <v>0.32</v>
      </c>
      <c r="E1612" s="92">
        <v>0.26</v>
      </c>
      <c r="F1612" t="s">
        <v>428</v>
      </c>
      <c r="G1612" t="s">
        <v>428</v>
      </c>
      <c r="H1612" t="s">
        <v>5615</v>
      </c>
      <c r="I1612">
        <v>0</v>
      </c>
      <c r="J1612" t="s">
        <v>87</v>
      </c>
      <c r="K1612">
        <v>0</v>
      </c>
      <c r="L1612">
        <v>0</v>
      </c>
    </row>
    <row r="1613" spans="1:12">
      <c r="A1613" s="93">
        <v>175078</v>
      </c>
      <c r="B1613" t="s">
        <v>2157</v>
      </c>
      <c r="C1613" t="s">
        <v>5602</v>
      </c>
      <c r="D1613" s="92">
        <v>0.44</v>
      </c>
      <c r="E1613" s="92">
        <v>0.18</v>
      </c>
      <c r="F1613">
        <v>18</v>
      </c>
      <c r="G1613">
        <v>20.5</v>
      </c>
      <c r="H1613" t="s">
        <v>5615</v>
      </c>
      <c r="I1613">
        <v>0</v>
      </c>
      <c r="J1613" t="s">
        <v>87</v>
      </c>
      <c r="K1613">
        <v>0</v>
      </c>
      <c r="L1613">
        <v>0</v>
      </c>
    </row>
    <row r="1614" spans="1:12">
      <c r="A1614" s="93">
        <v>175139</v>
      </c>
      <c r="B1614" t="s">
        <v>2158</v>
      </c>
      <c r="C1614" t="s">
        <v>5607</v>
      </c>
      <c r="D1614" s="92" t="s">
        <v>428</v>
      </c>
      <c r="E1614" s="92" t="s">
        <v>428</v>
      </c>
      <c r="F1614" t="s">
        <v>428</v>
      </c>
      <c r="G1614" t="s">
        <v>428</v>
      </c>
      <c r="H1614" t="s">
        <v>5615</v>
      </c>
      <c r="I1614">
        <v>0</v>
      </c>
      <c r="J1614" t="s">
        <v>87</v>
      </c>
      <c r="K1614">
        <v>0</v>
      </c>
      <c r="L1614">
        <v>0</v>
      </c>
    </row>
    <row r="1615" spans="1:12">
      <c r="A1615" s="93">
        <v>175157</v>
      </c>
      <c r="B1615" t="s">
        <v>2159</v>
      </c>
      <c r="C1615" t="s">
        <v>5606</v>
      </c>
      <c r="D1615" s="92">
        <v>0.48</v>
      </c>
      <c r="E1615" s="92">
        <v>0.43</v>
      </c>
      <c r="F1615" t="s">
        <v>428</v>
      </c>
      <c r="G1615" t="s">
        <v>428</v>
      </c>
      <c r="H1615" t="s">
        <v>5615</v>
      </c>
      <c r="I1615">
        <v>0</v>
      </c>
      <c r="J1615" t="s">
        <v>87</v>
      </c>
      <c r="K1615">
        <v>0</v>
      </c>
      <c r="L1615">
        <v>0</v>
      </c>
    </row>
    <row r="1616" spans="1:12">
      <c r="A1616" s="93">
        <v>175227</v>
      </c>
      <c r="B1616" t="s">
        <v>2160</v>
      </c>
      <c r="C1616" t="s">
        <v>5607</v>
      </c>
      <c r="D1616" s="92">
        <v>0.86</v>
      </c>
      <c r="E1616" s="92">
        <v>0</v>
      </c>
      <c r="F1616" t="s">
        <v>428</v>
      </c>
      <c r="G1616" t="s">
        <v>428</v>
      </c>
      <c r="H1616" t="s">
        <v>5617</v>
      </c>
      <c r="I1616">
        <v>0</v>
      </c>
      <c r="J1616" t="s">
        <v>87</v>
      </c>
      <c r="K1616">
        <v>0</v>
      </c>
      <c r="L1616">
        <v>0</v>
      </c>
    </row>
    <row r="1617" spans="1:12">
      <c r="A1617" s="93">
        <v>175236</v>
      </c>
      <c r="B1617" t="s">
        <v>2161</v>
      </c>
      <c r="C1617" t="s">
        <v>5606</v>
      </c>
      <c r="D1617" s="92">
        <v>0.51</v>
      </c>
      <c r="E1617" s="92">
        <v>0.43</v>
      </c>
      <c r="F1617" t="s">
        <v>428</v>
      </c>
      <c r="G1617" t="s">
        <v>428</v>
      </c>
      <c r="H1617" t="s">
        <v>5615</v>
      </c>
      <c r="I1617">
        <v>0</v>
      </c>
      <c r="J1617" t="s">
        <v>87</v>
      </c>
      <c r="K1617">
        <v>0</v>
      </c>
      <c r="L1617">
        <v>0</v>
      </c>
    </row>
    <row r="1618" spans="1:12">
      <c r="A1618" s="93">
        <v>175263</v>
      </c>
      <c r="B1618" t="s">
        <v>2162</v>
      </c>
      <c r="C1618" t="s">
        <v>5606</v>
      </c>
      <c r="D1618" s="92">
        <v>0.37</v>
      </c>
      <c r="E1618" s="92">
        <v>0.19</v>
      </c>
      <c r="F1618" t="s">
        <v>428</v>
      </c>
      <c r="G1618" t="s">
        <v>428</v>
      </c>
      <c r="H1618" t="s">
        <v>5615</v>
      </c>
      <c r="I1618">
        <v>0</v>
      </c>
      <c r="J1618" t="s">
        <v>87</v>
      </c>
      <c r="K1618">
        <v>0</v>
      </c>
      <c r="L1618">
        <v>0</v>
      </c>
    </row>
    <row r="1619" spans="1:12">
      <c r="A1619" s="93">
        <v>175272</v>
      </c>
      <c r="B1619" t="s">
        <v>2163</v>
      </c>
      <c r="C1619" t="s">
        <v>5602</v>
      </c>
      <c r="D1619" s="92">
        <v>0.58</v>
      </c>
      <c r="E1619" s="92">
        <v>0.54</v>
      </c>
      <c r="F1619">
        <v>20</v>
      </c>
      <c r="G1619">
        <v>22.5</v>
      </c>
      <c r="H1619" t="s">
        <v>5615</v>
      </c>
      <c r="I1619">
        <v>0</v>
      </c>
      <c r="J1619" t="s">
        <v>87</v>
      </c>
      <c r="K1619">
        <v>0</v>
      </c>
      <c r="L1619">
        <v>0</v>
      </c>
    </row>
    <row r="1620" spans="1:12">
      <c r="A1620" s="93">
        <v>175281</v>
      </c>
      <c r="B1620" t="s">
        <v>2164</v>
      </c>
      <c r="C1620" t="s">
        <v>5607</v>
      </c>
      <c r="D1620" s="92" t="s">
        <v>428</v>
      </c>
      <c r="E1620" s="92" t="s">
        <v>428</v>
      </c>
      <c r="F1620" t="s">
        <v>428</v>
      </c>
      <c r="G1620" t="s">
        <v>428</v>
      </c>
      <c r="H1620" t="s">
        <v>5615</v>
      </c>
      <c r="I1620">
        <v>0</v>
      </c>
      <c r="J1620" t="s">
        <v>87</v>
      </c>
      <c r="K1620">
        <v>0</v>
      </c>
      <c r="L1620">
        <v>0</v>
      </c>
    </row>
    <row r="1621" spans="1:12">
      <c r="A1621" s="93">
        <v>175315</v>
      </c>
      <c r="B1621" t="s">
        <v>2165</v>
      </c>
      <c r="C1621" t="s">
        <v>5606</v>
      </c>
      <c r="D1621" s="92">
        <v>0.27</v>
      </c>
      <c r="E1621" s="92">
        <v>0.2</v>
      </c>
      <c r="F1621" t="s">
        <v>428</v>
      </c>
      <c r="G1621" t="s">
        <v>428</v>
      </c>
      <c r="H1621" t="s">
        <v>5615</v>
      </c>
      <c r="I1621">
        <v>0</v>
      </c>
      <c r="J1621" t="s">
        <v>87</v>
      </c>
      <c r="K1621">
        <v>0</v>
      </c>
      <c r="L1621">
        <v>0</v>
      </c>
    </row>
    <row r="1622" spans="1:12">
      <c r="A1622" s="93">
        <v>175342</v>
      </c>
      <c r="B1622" t="s">
        <v>2166</v>
      </c>
      <c r="C1622" t="s">
        <v>5602</v>
      </c>
      <c r="D1622" s="92">
        <v>0.3</v>
      </c>
      <c r="E1622" s="92">
        <v>0.45</v>
      </c>
      <c r="F1622">
        <v>16</v>
      </c>
      <c r="G1622">
        <v>18.5</v>
      </c>
      <c r="H1622" t="s">
        <v>5616</v>
      </c>
      <c r="I1622">
        <v>0</v>
      </c>
      <c r="J1622" t="s">
        <v>138</v>
      </c>
      <c r="K1622">
        <v>0</v>
      </c>
      <c r="L1622">
        <v>0</v>
      </c>
    </row>
    <row r="1623" spans="1:12">
      <c r="A1623" s="93">
        <v>175421</v>
      </c>
      <c r="B1623" t="s">
        <v>2167</v>
      </c>
      <c r="C1623" t="s">
        <v>5602</v>
      </c>
      <c r="D1623" s="92">
        <v>0.45</v>
      </c>
      <c r="E1623" s="92">
        <v>0.26</v>
      </c>
      <c r="F1623" t="s">
        <v>428</v>
      </c>
      <c r="G1623" t="s">
        <v>428</v>
      </c>
      <c r="H1623" t="s">
        <v>5617</v>
      </c>
      <c r="I1623">
        <v>0</v>
      </c>
      <c r="J1623" t="s">
        <v>87</v>
      </c>
      <c r="K1623">
        <v>0</v>
      </c>
      <c r="L1623">
        <v>0</v>
      </c>
    </row>
    <row r="1624" spans="1:12">
      <c r="A1624" s="93">
        <v>175430</v>
      </c>
      <c r="B1624" t="s">
        <v>2168</v>
      </c>
      <c r="C1624" t="s">
        <v>5603</v>
      </c>
      <c r="D1624" s="92">
        <v>0.51</v>
      </c>
      <c r="E1624" s="92">
        <v>0.37</v>
      </c>
      <c r="F1624">
        <v>18</v>
      </c>
      <c r="G1624">
        <v>20.5</v>
      </c>
      <c r="H1624" t="s">
        <v>5613</v>
      </c>
      <c r="I1624">
        <v>1</v>
      </c>
      <c r="J1624" t="s">
        <v>87</v>
      </c>
      <c r="K1624">
        <v>0</v>
      </c>
      <c r="L1624">
        <v>0</v>
      </c>
    </row>
    <row r="1625" spans="1:12">
      <c r="A1625" s="93">
        <v>175494</v>
      </c>
      <c r="B1625" t="s">
        <v>2169</v>
      </c>
      <c r="C1625" t="s">
        <v>5606</v>
      </c>
      <c r="D1625" s="92" t="s">
        <v>428</v>
      </c>
      <c r="E1625" s="92" t="s">
        <v>428</v>
      </c>
      <c r="F1625" t="s">
        <v>428</v>
      </c>
      <c r="G1625" t="s">
        <v>428</v>
      </c>
      <c r="H1625" t="s">
        <v>5616</v>
      </c>
      <c r="I1625">
        <v>0</v>
      </c>
      <c r="J1625" t="s">
        <v>87</v>
      </c>
      <c r="K1625">
        <v>0</v>
      </c>
      <c r="L1625">
        <v>0</v>
      </c>
    </row>
    <row r="1626" spans="1:12">
      <c r="A1626" s="93">
        <v>175519</v>
      </c>
      <c r="B1626" t="s">
        <v>2170</v>
      </c>
      <c r="C1626" t="s">
        <v>5606</v>
      </c>
      <c r="D1626" s="92">
        <v>0.4</v>
      </c>
      <c r="E1626" s="92">
        <v>0.54</v>
      </c>
      <c r="F1626" t="s">
        <v>428</v>
      </c>
      <c r="G1626" t="s">
        <v>428</v>
      </c>
      <c r="H1626" t="s">
        <v>5615</v>
      </c>
      <c r="I1626">
        <v>0</v>
      </c>
      <c r="J1626" t="s">
        <v>138</v>
      </c>
      <c r="K1626">
        <v>0</v>
      </c>
      <c r="L1626">
        <v>0</v>
      </c>
    </row>
    <row r="1627" spans="1:12">
      <c r="A1627" s="93">
        <v>175528</v>
      </c>
      <c r="B1627" t="s">
        <v>2171</v>
      </c>
      <c r="C1627" t="s">
        <v>5606</v>
      </c>
      <c r="D1627" s="92" t="s">
        <v>428</v>
      </c>
      <c r="E1627" s="92" t="s">
        <v>428</v>
      </c>
      <c r="F1627" t="s">
        <v>428</v>
      </c>
      <c r="G1627" t="s">
        <v>428</v>
      </c>
      <c r="H1627" t="s">
        <v>5617</v>
      </c>
      <c r="I1627">
        <v>0</v>
      </c>
      <c r="J1627" t="s">
        <v>87</v>
      </c>
      <c r="K1627">
        <v>0</v>
      </c>
      <c r="L1627">
        <v>0</v>
      </c>
    </row>
    <row r="1628" spans="1:12">
      <c r="A1628" s="93">
        <v>175573</v>
      </c>
      <c r="B1628" t="s">
        <v>2172</v>
      </c>
      <c r="C1628" t="s">
        <v>5606</v>
      </c>
      <c r="D1628" s="92">
        <v>0.45</v>
      </c>
      <c r="E1628" s="92">
        <v>0.44</v>
      </c>
      <c r="F1628" t="s">
        <v>428</v>
      </c>
      <c r="G1628" t="s">
        <v>428</v>
      </c>
      <c r="H1628" t="s">
        <v>5615</v>
      </c>
      <c r="I1628">
        <v>0</v>
      </c>
      <c r="J1628" t="s">
        <v>87</v>
      </c>
      <c r="K1628">
        <v>0</v>
      </c>
      <c r="L1628">
        <v>0</v>
      </c>
    </row>
    <row r="1629" spans="1:12">
      <c r="A1629" s="93">
        <v>175607</v>
      </c>
      <c r="B1629" t="s">
        <v>2173</v>
      </c>
      <c r="C1629" t="s">
        <v>5606</v>
      </c>
      <c r="D1629" s="92" t="s">
        <v>428</v>
      </c>
      <c r="E1629" s="92" t="s">
        <v>428</v>
      </c>
      <c r="F1629" t="s">
        <v>428</v>
      </c>
      <c r="G1629" t="s">
        <v>428</v>
      </c>
      <c r="H1629" t="s">
        <v>5616</v>
      </c>
      <c r="I1629">
        <v>0</v>
      </c>
      <c r="J1629" t="s">
        <v>87</v>
      </c>
      <c r="K1629">
        <v>0</v>
      </c>
      <c r="L1629">
        <v>0</v>
      </c>
    </row>
    <row r="1630" spans="1:12">
      <c r="A1630" s="93">
        <v>175616</v>
      </c>
      <c r="B1630" t="s">
        <v>2174</v>
      </c>
      <c r="C1630" t="s">
        <v>5602</v>
      </c>
      <c r="D1630" s="92">
        <v>0.34</v>
      </c>
      <c r="E1630" s="92">
        <v>0.22</v>
      </c>
      <c r="F1630">
        <v>19</v>
      </c>
      <c r="G1630">
        <v>22</v>
      </c>
      <c r="H1630" t="s">
        <v>5615</v>
      </c>
      <c r="I1630">
        <v>0</v>
      </c>
      <c r="J1630" t="s">
        <v>87</v>
      </c>
      <c r="K1630">
        <v>0</v>
      </c>
      <c r="L1630">
        <v>0</v>
      </c>
    </row>
    <row r="1631" spans="1:12">
      <c r="A1631" s="93">
        <v>175643</v>
      </c>
      <c r="B1631" t="s">
        <v>2175</v>
      </c>
      <c r="C1631" t="s">
        <v>5606</v>
      </c>
      <c r="D1631" s="92">
        <v>0.42</v>
      </c>
      <c r="E1631" s="92">
        <v>0.33</v>
      </c>
      <c r="F1631" t="s">
        <v>428</v>
      </c>
      <c r="G1631" t="s">
        <v>428</v>
      </c>
      <c r="H1631" t="s">
        <v>5615</v>
      </c>
      <c r="I1631">
        <v>0</v>
      </c>
      <c r="J1631" t="s">
        <v>87</v>
      </c>
      <c r="K1631">
        <v>0</v>
      </c>
      <c r="L1631">
        <v>0</v>
      </c>
    </row>
    <row r="1632" spans="1:12">
      <c r="A1632" s="93">
        <v>175652</v>
      </c>
      <c r="B1632" t="s">
        <v>2176</v>
      </c>
      <c r="C1632" t="s">
        <v>5606</v>
      </c>
      <c r="D1632" s="92">
        <v>0.5600000000000001</v>
      </c>
      <c r="E1632" s="92">
        <v>0.5</v>
      </c>
      <c r="F1632" t="s">
        <v>428</v>
      </c>
      <c r="G1632" t="s">
        <v>428</v>
      </c>
      <c r="H1632" t="s">
        <v>5615</v>
      </c>
      <c r="I1632">
        <v>0</v>
      </c>
      <c r="J1632" t="s">
        <v>87</v>
      </c>
      <c r="K1632">
        <v>0</v>
      </c>
      <c r="L1632">
        <v>0</v>
      </c>
    </row>
    <row r="1633" spans="1:12">
      <c r="A1633" s="93">
        <v>175722</v>
      </c>
      <c r="B1633" t="s">
        <v>2177</v>
      </c>
      <c r="C1633" t="s">
        <v>5606</v>
      </c>
      <c r="D1633" s="92" t="s">
        <v>428</v>
      </c>
      <c r="E1633" s="92" t="s">
        <v>428</v>
      </c>
      <c r="F1633" t="s">
        <v>428</v>
      </c>
      <c r="G1633" t="s">
        <v>428</v>
      </c>
      <c r="H1633" t="s">
        <v>5617</v>
      </c>
      <c r="I1633">
        <v>0</v>
      </c>
      <c r="J1633" t="s">
        <v>87</v>
      </c>
      <c r="K1633">
        <v>0</v>
      </c>
      <c r="L1633">
        <v>0</v>
      </c>
    </row>
    <row r="1634" spans="1:12">
      <c r="A1634" s="93">
        <v>175786</v>
      </c>
      <c r="B1634" t="s">
        <v>2178</v>
      </c>
      <c r="C1634" t="s">
        <v>5606</v>
      </c>
      <c r="D1634" s="92">
        <v>0.32</v>
      </c>
      <c r="E1634" s="92">
        <v>0.31</v>
      </c>
      <c r="F1634" t="s">
        <v>428</v>
      </c>
      <c r="G1634" t="s">
        <v>428</v>
      </c>
      <c r="H1634" t="s">
        <v>5615</v>
      </c>
      <c r="I1634">
        <v>0</v>
      </c>
      <c r="J1634" t="s">
        <v>87</v>
      </c>
      <c r="K1634">
        <v>0</v>
      </c>
      <c r="L1634">
        <v>0</v>
      </c>
    </row>
    <row r="1635" spans="1:12">
      <c r="A1635" s="93">
        <v>175810</v>
      </c>
      <c r="B1635" t="s">
        <v>2179</v>
      </c>
      <c r="C1635" t="s">
        <v>5606</v>
      </c>
      <c r="D1635" s="92">
        <v>0.41</v>
      </c>
      <c r="E1635" s="92">
        <v>0.32</v>
      </c>
      <c r="F1635" t="s">
        <v>428</v>
      </c>
      <c r="G1635" t="s">
        <v>428</v>
      </c>
      <c r="H1635" t="s">
        <v>5615</v>
      </c>
      <c r="I1635">
        <v>0</v>
      </c>
      <c r="J1635" t="s">
        <v>87</v>
      </c>
      <c r="K1635">
        <v>0</v>
      </c>
      <c r="L1635">
        <v>0</v>
      </c>
    </row>
    <row r="1636" spans="1:12">
      <c r="A1636" s="93">
        <v>175829</v>
      </c>
      <c r="B1636" t="s">
        <v>2180</v>
      </c>
      <c r="C1636" t="s">
        <v>5606</v>
      </c>
      <c r="D1636" s="92">
        <v>0.48</v>
      </c>
      <c r="E1636" s="92">
        <v>0.39</v>
      </c>
      <c r="F1636" t="s">
        <v>428</v>
      </c>
      <c r="G1636" t="s">
        <v>428</v>
      </c>
      <c r="H1636" t="s">
        <v>5615</v>
      </c>
      <c r="I1636">
        <v>0</v>
      </c>
      <c r="J1636" t="s">
        <v>87</v>
      </c>
      <c r="K1636">
        <v>0</v>
      </c>
      <c r="L1636">
        <v>0</v>
      </c>
    </row>
    <row r="1637" spans="1:12">
      <c r="A1637" s="93">
        <v>175856</v>
      </c>
      <c r="B1637" t="s">
        <v>2181</v>
      </c>
      <c r="C1637" t="s">
        <v>5608</v>
      </c>
      <c r="D1637" s="92">
        <v>0.38</v>
      </c>
      <c r="E1637" s="92">
        <v>0.52</v>
      </c>
      <c r="F1637">
        <v>17</v>
      </c>
      <c r="G1637">
        <v>19</v>
      </c>
      <c r="H1637" t="s">
        <v>5626</v>
      </c>
      <c r="I1637">
        <v>0</v>
      </c>
      <c r="J1637" t="s">
        <v>138</v>
      </c>
      <c r="K1637">
        <v>0</v>
      </c>
      <c r="L1637">
        <v>0</v>
      </c>
    </row>
    <row r="1638" spans="1:12">
      <c r="A1638" s="93">
        <v>175883</v>
      </c>
      <c r="B1638" t="s">
        <v>2182</v>
      </c>
      <c r="C1638" t="s">
        <v>5606</v>
      </c>
      <c r="D1638" s="92">
        <v>0.42</v>
      </c>
      <c r="E1638" s="92">
        <v>0.33</v>
      </c>
      <c r="F1638" t="s">
        <v>428</v>
      </c>
      <c r="G1638" t="s">
        <v>428</v>
      </c>
      <c r="H1638" t="s">
        <v>5615</v>
      </c>
      <c r="I1638">
        <v>0</v>
      </c>
      <c r="J1638" t="s">
        <v>87</v>
      </c>
      <c r="K1638">
        <v>0</v>
      </c>
      <c r="L1638">
        <v>0</v>
      </c>
    </row>
    <row r="1639" spans="1:12">
      <c r="A1639" s="93">
        <v>175935</v>
      </c>
      <c r="B1639" t="s">
        <v>2183</v>
      </c>
      <c r="C1639" t="s">
        <v>5606</v>
      </c>
      <c r="D1639" s="92">
        <v>0.38</v>
      </c>
      <c r="E1639" s="92">
        <v>0.37</v>
      </c>
      <c r="F1639" t="s">
        <v>428</v>
      </c>
      <c r="G1639" t="s">
        <v>428</v>
      </c>
      <c r="H1639" t="s">
        <v>5615</v>
      </c>
      <c r="I1639">
        <v>0</v>
      </c>
      <c r="J1639" t="s">
        <v>87</v>
      </c>
      <c r="K1639">
        <v>0</v>
      </c>
      <c r="L1639">
        <v>0</v>
      </c>
    </row>
    <row r="1640" spans="1:12">
      <c r="A1640" s="93">
        <v>175980</v>
      </c>
      <c r="B1640" t="s">
        <v>2184</v>
      </c>
      <c r="C1640" t="s">
        <v>5602</v>
      </c>
      <c r="D1640" s="92">
        <v>0.67</v>
      </c>
      <c r="E1640" s="92">
        <v>0.45</v>
      </c>
      <c r="F1640">
        <v>23</v>
      </c>
      <c r="G1640">
        <v>25.5</v>
      </c>
      <c r="H1640" t="s">
        <v>5617</v>
      </c>
      <c r="I1640">
        <v>0</v>
      </c>
      <c r="J1640" t="s">
        <v>87</v>
      </c>
      <c r="K1640">
        <v>0</v>
      </c>
      <c r="L1640">
        <v>0</v>
      </c>
    </row>
    <row r="1641" spans="1:12">
      <c r="A1641" s="93">
        <v>176008</v>
      </c>
      <c r="B1641" t="s">
        <v>2185</v>
      </c>
      <c r="C1641" t="s">
        <v>5606</v>
      </c>
      <c r="D1641" s="92" t="s">
        <v>428</v>
      </c>
      <c r="E1641" s="92" t="s">
        <v>428</v>
      </c>
      <c r="F1641" t="s">
        <v>428</v>
      </c>
      <c r="G1641" t="s">
        <v>428</v>
      </c>
      <c r="H1641" t="s">
        <v>5615</v>
      </c>
      <c r="I1641">
        <v>0</v>
      </c>
      <c r="J1641" t="s">
        <v>87</v>
      </c>
      <c r="K1641">
        <v>0</v>
      </c>
      <c r="L1641">
        <v>0</v>
      </c>
    </row>
    <row r="1642" spans="1:12">
      <c r="A1642" s="93">
        <v>176017</v>
      </c>
      <c r="B1642" t="s">
        <v>2186</v>
      </c>
      <c r="C1642" t="s">
        <v>5602</v>
      </c>
      <c r="D1642" s="92">
        <v>0.6</v>
      </c>
      <c r="E1642" s="92">
        <v>0.42</v>
      </c>
      <c r="F1642">
        <v>22</v>
      </c>
      <c r="G1642">
        <v>25.5</v>
      </c>
      <c r="H1642" t="s">
        <v>5615</v>
      </c>
      <c r="I1642">
        <v>0</v>
      </c>
      <c r="J1642" t="s">
        <v>87</v>
      </c>
      <c r="K1642">
        <v>0</v>
      </c>
      <c r="L1642">
        <v>0</v>
      </c>
    </row>
    <row r="1643" spans="1:12">
      <c r="A1643" s="93">
        <v>176035</v>
      </c>
      <c r="B1643" t="s">
        <v>2187</v>
      </c>
      <c r="C1643" t="s">
        <v>5602</v>
      </c>
      <c r="D1643" s="92">
        <v>0.46</v>
      </c>
      <c r="E1643" s="92">
        <v>0.39</v>
      </c>
      <c r="F1643">
        <v>18</v>
      </c>
      <c r="G1643">
        <v>21</v>
      </c>
      <c r="H1643" t="s">
        <v>5615</v>
      </c>
      <c r="I1643">
        <v>0</v>
      </c>
      <c r="J1643" t="s">
        <v>87</v>
      </c>
      <c r="K1643">
        <v>0</v>
      </c>
      <c r="L1643">
        <v>0</v>
      </c>
    </row>
    <row r="1644" spans="1:12">
      <c r="A1644" s="93">
        <v>176044</v>
      </c>
      <c r="B1644" t="s">
        <v>2188</v>
      </c>
      <c r="C1644" t="s">
        <v>5608</v>
      </c>
      <c r="D1644" s="92">
        <v>0.31</v>
      </c>
      <c r="E1644" s="92">
        <v>0.47</v>
      </c>
      <c r="F1644">
        <v>15</v>
      </c>
      <c r="G1644">
        <v>17</v>
      </c>
      <c r="H1644" t="s">
        <v>5615</v>
      </c>
      <c r="I1644">
        <v>0</v>
      </c>
      <c r="J1644" t="s">
        <v>138</v>
      </c>
      <c r="K1644">
        <v>0</v>
      </c>
      <c r="L1644">
        <v>0</v>
      </c>
    </row>
    <row r="1645" spans="1:12">
      <c r="A1645" s="93">
        <v>176053</v>
      </c>
      <c r="B1645" t="s">
        <v>2189</v>
      </c>
      <c r="C1645" t="s">
        <v>5602</v>
      </c>
      <c r="D1645" s="92">
        <v>0.5600000000000001</v>
      </c>
      <c r="E1645" s="92">
        <v>0.32</v>
      </c>
      <c r="F1645">
        <v>21</v>
      </c>
      <c r="G1645">
        <v>24.5</v>
      </c>
      <c r="H1645" t="s">
        <v>5616</v>
      </c>
      <c r="I1645">
        <v>0</v>
      </c>
      <c r="J1645" t="s">
        <v>87</v>
      </c>
      <c r="K1645">
        <v>0</v>
      </c>
      <c r="L1645">
        <v>0</v>
      </c>
    </row>
    <row r="1646" spans="1:12">
      <c r="A1646" s="93">
        <v>176071</v>
      </c>
      <c r="B1646" t="s">
        <v>2190</v>
      </c>
      <c r="C1646" t="s">
        <v>5606</v>
      </c>
      <c r="D1646" s="92">
        <v>0.39</v>
      </c>
      <c r="E1646" s="92">
        <v>0.33</v>
      </c>
      <c r="F1646" t="s">
        <v>428</v>
      </c>
      <c r="G1646" t="s">
        <v>428</v>
      </c>
      <c r="H1646" t="s">
        <v>5615</v>
      </c>
      <c r="I1646">
        <v>0</v>
      </c>
      <c r="J1646" t="s">
        <v>87</v>
      </c>
      <c r="K1646">
        <v>0</v>
      </c>
      <c r="L1646">
        <v>0</v>
      </c>
    </row>
    <row r="1647" spans="1:12">
      <c r="A1647" s="93">
        <v>176080</v>
      </c>
      <c r="B1647" t="s">
        <v>2191</v>
      </c>
      <c r="C1647" t="s">
        <v>5602</v>
      </c>
      <c r="D1647" s="92">
        <v>0.6</v>
      </c>
      <c r="E1647" s="92">
        <v>0.43</v>
      </c>
      <c r="F1647">
        <v>21</v>
      </c>
      <c r="G1647">
        <v>24.5</v>
      </c>
      <c r="H1647" t="s">
        <v>5615</v>
      </c>
      <c r="I1647">
        <v>0</v>
      </c>
      <c r="J1647" t="s">
        <v>87</v>
      </c>
      <c r="K1647">
        <v>0</v>
      </c>
      <c r="L1647">
        <v>0</v>
      </c>
    </row>
    <row r="1648" spans="1:12">
      <c r="A1648" s="93">
        <v>176169</v>
      </c>
      <c r="B1648" t="s">
        <v>2192</v>
      </c>
      <c r="C1648" t="s">
        <v>5606</v>
      </c>
      <c r="D1648" s="92">
        <v>0.4</v>
      </c>
      <c r="E1648" s="92">
        <v>0.35</v>
      </c>
      <c r="F1648" t="s">
        <v>428</v>
      </c>
      <c r="G1648" t="s">
        <v>428</v>
      </c>
      <c r="H1648" t="s">
        <v>5615</v>
      </c>
      <c r="I1648">
        <v>0</v>
      </c>
      <c r="J1648" t="s">
        <v>87</v>
      </c>
      <c r="K1648">
        <v>0</v>
      </c>
      <c r="L1648">
        <v>0</v>
      </c>
    </row>
    <row r="1649" spans="1:12">
      <c r="A1649" s="93">
        <v>176178</v>
      </c>
      <c r="B1649" t="s">
        <v>2193</v>
      </c>
      <c r="C1649" t="s">
        <v>5606</v>
      </c>
      <c r="D1649" s="92">
        <v>0.34</v>
      </c>
      <c r="E1649" s="92">
        <v>0.3</v>
      </c>
      <c r="F1649" t="s">
        <v>428</v>
      </c>
      <c r="G1649" t="s">
        <v>428</v>
      </c>
      <c r="H1649" t="s">
        <v>5615</v>
      </c>
      <c r="I1649">
        <v>0</v>
      </c>
      <c r="J1649" t="s">
        <v>87</v>
      </c>
      <c r="K1649">
        <v>0</v>
      </c>
      <c r="L1649">
        <v>0</v>
      </c>
    </row>
    <row r="1650" spans="1:12">
      <c r="A1650" s="93">
        <v>176239</v>
      </c>
      <c r="B1650" t="s">
        <v>2194</v>
      </c>
      <c r="C1650" t="s">
        <v>5606</v>
      </c>
      <c r="D1650" s="92">
        <v>0.39</v>
      </c>
      <c r="E1650" s="92">
        <v>0.35</v>
      </c>
      <c r="F1650" t="s">
        <v>428</v>
      </c>
      <c r="G1650" t="s">
        <v>428</v>
      </c>
      <c r="H1650" t="s">
        <v>5615</v>
      </c>
      <c r="I1650">
        <v>0</v>
      </c>
      <c r="J1650" t="s">
        <v>87</v>
      </c>
      <c r="K1650">
        <v>0</v>
      </c>
      <c r="L1650">
        <v>0</v>
      </c>
    </row>
    <row r="1651" spans="1:12">
      <c r="A1651" s="93">
        <v>176318</v>
      </c>
      <c r="B1651" t="s">
        <v>2195</v>
      </c>
      <c r="C1651" t="s">
        <v>5602</v>
      </c>
      <c r="D1651" s="92">
        <v>0.33</v>
      </c>
      <c r="E1651" s="92">
        <v>0.47</v>
      </c>
      <c r="F1651">
        <v>13</v>
      </c>
      <c r="G1651">
        <v>15</v>
      </c>
      <c r="H1651" t="s">
        <v>5624</v>
      </c>
      <c r="I1651">
        <v>1</v>
      </c>
      <c r="J1651" t="s">
        <v>138</v>
      </c>
      <c r="K1651">
        <v>0</v>
      </c>
      <c r="L1651">
        <v>0</v>
      </c>
    </row>
    <row r="1652" spans="1:12">
      <c r="A1652" s="93">
        <v>176336</v>
      </c>
      <c r="B1652" t="s">
        <v>2196</v>
      </c>
      <c r="C1652" t="s">
        <v>5604</v>
      </c>
      <c r="D1652" s="92">
        <v>0.13</v>
      </c>
      <c r="E1652" s="92">
        <v>0.25</v>
      </c>
      <c r="F1652" t="s">
        <v>428</v>
      </c>
      <c r="G1652" t="s">
        <v>428</v>
      </c>
      <c r="H1652" t="s">
        <v>5614</v>
      </c>
      <c r="I1652">
        <v>1</v>
      </c>
      <c r="J1652" t="s">
        <v>87</v>
      </c>
      <c r="K1652">
        <v>0</v>
      </c>
      <c r="L1652">
        <v>0</v>
      </c>
    </row>
    <row r="1653" spans="1:12">
      <c r="A1653" s="93">
        <v>176354</v>
      </c>
      <c r="B1653" t="s">
        <v>2197</v>
      </c>
      <c r="C1653" t="s">
        <v>5606</v>
      </c>
      <c r="D1653" s="92">
        <v>0.45</v>
      </c>
      <c r="E1653" s="92">
        <v>0.39</v>
      </c>
      <c r="F1653" t="s">
        <v>428</v>
      </c>
      <c r="G1653" t="s">
        <v>428</v>
      </c>
      <c r="H1653" t="s">
        <v>5615</v>
      </c>
      <c r="I1653">
        <v>0</v>
      </c>
      <c r="J1653" t="s">
        <v>87</v>
      </c>
      <c r="K1653">
        <v>0</v>
      </c>
      <c r="L1653">
        <v>0</v>
      </c>
    </row>
    <row r="1654" spans="1:12">
      <c r="A1654" s="93">
        <v>176372</v>
      </c>
      <c r="B1654" t="s">
        <v>2198</v>
      </c>
      <c r="C1654" t="s">
        <v>5602</v>
      </c>
      <c r="D1654" s="92">
        <v>0.45</v>
      </c>
      <c r="E1654" s="92">
        <v>0.33</v>
      </c>
      <c r="F1654">
        <v>20</v>
      </c>
      <c r="G1654">
        <v>23</v>
      </c>
      <c r="H1654" t="s">
        <v>5615</v>
      </c>
      <c r="I1654">
        <v>0</v>
      </c>
      <c r="J1654" t="s">
        <v>87</v>
      </c>
      <c r="K1654">
        <v>0</v>
      </c>
      <c r="L1654">
        <v>0</v>
      </c>
    </row>
    <row r="1655" spans="1:12">
      <c r="A1655" s="93">
        <v>176406</v>
      </c>
      <c r="B1655" t="s">
        <v>2199</v>
      </c>
      <c r="C1655" t="s">
        <v>5604</v>
      </c>
      <c r="D1655" s="92">
        <v>0.42</v>
      </c>
      <c r="E1655" s="92">
        <v>0.57</v>
      </c>
      <c r="F1655">
        <v>16</v>
      </c>
      <c r="G1655">
        <v>20</v>
      </c>
      <c r="H1655" t="s">
        <v>5616</v>
      </c>
      <c r="I1655">
        <v>0</v>
      </c>
      <c r="J1655" t="s">
        <v>138</v>
      </c>
      <c r="K1655">
        <v>0</v>
      </c>
      <c r="L1655">
        <v>0</v>
      </c>
    </row>
    <row r="1656" spans="1:12">
      <c r="A1656" s="93">
        <v>176451</v>
      </c>
      <c r="B1656" t="s">
        <v>2200</v>
      </c>
      <c r="C1656" t="s">
        <v>5607</v>
      </c>
      <c r="D1656" s="92" t="s">
        <v>428</v>
      </c>
      <c r="E1656" s="92" t="s">
        <v>428</v>
      </c>
      <c r="F1656" t="s">
        <v>428</v>
      </c>
      <c r="G1656" t="s">
        <v>428</v>
      </c>
      <c r="H1656" t="s">
        <v>5615</v>
      </c>
      <c r="I1656">
        <v>0</v>
      </c>
      <c r="J1656" t="s">
        <v>87</v>
      </c>
      <c r="K1656">
        <v>0</v>
      </c>
      <c r="L1656">
        <v>0</v>
      </c>
    </row>
    <row r="1657" spans="1:12">
      <c r="A1657" s="93">
        <v>176479</v>
      </c>
      <c r="B1657" t="s">
        <v>2201</v>
      </c>
      <c r="C1657" t="s">
        <v>5608</v>
      </c>
      <c r="D1657" s="92">
        <v>0.53</v>
      </c>
      <c r="E1657" s="92">
        <v>0.46</v>
      </c>
      <c r="F1657">
        <v>21</v>
      </c>
      <c r="G1657">
        <v>24</v>
      </c>
      <c r="H1657" t="s">
        <v>5617</v>
      </c>
      <c r="I1657">
        <v>0</v>
      </c>
      <c r="J1657" t="s">
        <v>87</v>
      </c>
      <c r="K1657">
        <v>0</v>
      </c>
      <c r="L1657">
        <v>0</v>
      </c>
    </row>
    <row r="1658" spans="1:12">
      <c r="A1658" s="93">
        <v>176600</v>
      </c>
      <c r="B1658" t="s">
        <v>2202</v>
      </c>
      <c r="C1658" t="s">
        <v>5607</v>
      </c>
      <c r="D1658" s="92" t="s">
        <v>428</v>
      </c>
      <c r="E1658" s="92" t="s">
        <v>428</v>
      </c>
      <c r="F1658" t="s">
        <v>428</v>
      </c>
      <c r="G1658" t="s">
        <v>428</v>
      </c>
      <c r="H1658" t="s">
        <v>5615</v>
      </c>
      <c r="I1658">
        <v>0</v>
      </c>
      <c r="J1658" t="s">
        <v>87</v>
      </c>
      <c r="K1658">
        <v>0</v>
      </c>
      <c r="L1658">
        <v>0</v>
      </c>
    </row>
    <row r="1659" spans="1:12">
      <c r="A1659" s="93">
        <v>176619</v>
      </c>
      <c r="B1659" t="s">
        <v>2203</v>
      </c>
      <c r="C1659" t="s">
        <v>5607</v>
      </c>
      <c r="D1659" s="92" t="s">
        <v>428</v>
      </c>
      <c r="E1659" s="92" t="s">
        <v>428</v>
      </c>
      <c r="F1659" t="s">
        <v>428</v>
      </c>
      <c r="G1659" t="s">
        <v>428</v>
      </c>
      <c r="H1659" t="s">
        <v>5615</v>
      </c>
      <c r="I1659">
        <v>0</v>
      </c>
      <c r="J1659" t="s">
        <v>87</v>
      </c>
      <c r="K1659">
        <v>0</v>
      </c>
      <c r="L1659">
        <v>0</v>
      </c>
    </row>
    <row r="1660" spans="1:12">
      <c r="A1660" s="93">
        <v>176628</v>
      </c>
      <c r="B1660" t="s">
        <v>2204</v>
      </c>
      <c r="C1660" t="s">
        <v>5602</v>
      </c>
      <c r="D1660" s="92">
        <v>0.49</v>
      </c>
      <c r="E1660" s="92">
        <v>0.38</v>
      </c>
      <c r="F1660">
        <v>19</v>
      </c>
      <c r="G1660">
        <v>21</v>
      </c>
      <c r="H1660" t="s">
        <v>5617</v>
      </c>
      <c r="I1660">
        <v>0</v>
      </c>
      <c r="J1660" t="s">
        <v>87</v>
      </c>
      <c r="K1660">
        <v>0</v>
      </c>
      <c r="L1660">
        <v>0</v>
      </c>
    </row>
    <row r="1661" spans="1:12">
      <c r="A1661" s="93">
        <v>176637</v>
      </c>
      <c r="B1661" t="s">
        <v>2205</v>
      </c>
      <c r="C1661" t="s">
        <v>5607</v>
      </c>
      <c r="D1661" s="92" t="s">
        <v>428</v>
      </c>
      <c r="E1661" s="92" t="s">
        <v>428</v>
      </c>
      <c r="F1661" t="s">
        <v>428</v>
      </c>
      <c r="G1661" t="s">
        <v>428</v>
      </c>
      <c r="H1661" t="s">
        <v>5617</v>
      </c>
      <c r="I1661">
        <v>0</v>
      </c>
      <c r="J1661" t="s">
        <v>87</v>
      </c>
      <c r="K1661">
        <v>0</v>
      </c>
      <c r="L1661">
        <v>0</v>
      </c>
    </row>
    <row r="1662" spans="1:12">
      <c r="A1662" s="93">
        <v>176664</v>
      </c>
      <c r="B1662" t="s">
        <v>2206</v>
      </c>
      <c r="C1662" t="s">
        <v>5604</v>
      </c>
      <c r="D1662" s="92">
        <v>0.31</v>
      </c>
      <c r="E1662" s="92">
        <v>0.12</v>
      </c>
      <c r="F1662" t="s">
        <v>428</v>
      </c>
      <c r="G1662" t="s">
        <v>428</v>
      </c>
      <c r="H1662" t="s">
        <v>5616</v>
      </c>
      <c r="I1662">
        <v>0</v>
      </c>
      <c r="J1662" t="s">
        <v>87</v>
      </c>
      <c r="K1662">
        <v>0</v>
      </c>
      <c r="L1662">
        <v>0</v>
      </c>
    </row>
    <row r="1663" spans="1:12">
      <c r="A1663" s="93">
        <v>176770</v>
      </c>
      <c r="B1663" t="s">
        <v>2207</v>
      </c>
      <c r="C1663" t="s">
        <v>5604</v>
      </c>
      <c r="D1663" s="92">
        <v>0.53</v>
      </c>
      <c r="E1663" s="92">
        <v>0.67</v>
      </c>
      <c r="F1663" t="s">
        <v>428</v>
      </c>
      <c r="G1663" t="s">
        <v>428</v>
      </c>
      <c r="H1663" t="s">
        <v>5617</v>
      </c>
      <c r="I1663">
        <v>0</v>
      </c>
      <c r="J1663" t="s">
        <v>87</v>
      </c>
      <c r="K1663">
        <v>0</v>
      </c>
      <c r="L1663">
        <v>0</v>
      </c>
    </row>
    <row r="1664" spans="1:12">
      <c r="A1664" s="93">
        <v>176789</v>
      </c>
      <c r="B1664" t="s">
        <v>2208</v>
      </c>
      <c r="C1664" t="s">
        <v>5604</v>
      </c>
      <c r="D1664" s="92">
        <v>0.49</v>
      </c>
      <c r="E1664" s="92">
        <v>0.25</v>
      </c>
      <c r="F1664">
        <v>20</v>
      </c>
      <c r="G1664">
        <v>22.5</v>
      </c>
      <c r="H1664" t="s">
        <v>5613</v>
      </c>
      <c r="I1664">
        <v>1</v>
      </c>
      <c r="J1664" t="s">
        <v>87</v>
      </c>
      <c r="K1664">
        <v>0</v>
      </c>
      <c r="L1664">
        <v>0</v>
      </c>
    </row>
    <row r="1665" spans="1:12">
      <c r="A1665" s="93">
        <v>176798</v>
      </c>
      <c r="B1665" t="s">
        <v>2209</v>
      </c>
      <c r="C1665" t="s">
        <v>5606</v>
      </c>
      <c r="D1665" s="92" t="s">
        <v>428</v>
      </c>
      <c r="E1665" s="92" t="s">
        <v>428</v>
      </c>
      <c r="F1665" t="s">
        <v>428</v>
      </c>
      <c r="G1665" t="s">
        <v>428</v>
      </c>
      <c r="H1665" t="s">
        <v>5615</v>
      </c>
      <c r="I1665">
        <v>0</v>
      </c>
      <c r="J1665" t="s">
        <v>87</v>
      </c>
      <c r="K1665">
        <v>0</v>
      </c>
      <c r="L1665">
        <v>0</v>
      </c>
    </row>
    <row r="1666" spans="1:12">
      <c r="A1666" s="93">
        <v>176910</v>
      </c>
      <c r="B1666" t="s">
        <v>2210</v>
      </c>
      <c r="C1666" t="s">
        <v>5602</v>
      </c>
      <c r="D1666" s="92">
        <v>0.38</v>
      </c>
      <c r="E1666" s="92">
        <v>0</v>
      </c>
      <c r="F1666">
        <v>18</v>
      </c>
      <c r="G1666">
        <v>21.5</v>
      </c>
      <c r="H1666" t="s">
        <v>5613</v>
      </c>
      <c r="I1666">
        <v>1</v>
      </c>
      <c r="J1666" t="s">
        <v>87</v>
      </c>
      <c r="K1666">
        <v>0</v>
      </c>
      <c r="L1666">
        <v>0</v>
      </c>
    </row>
    <row r="1667" spans="1:12">
      <c r="A1667" s="93">
        <v>176947</v>
      </c>
      <c r="B1667" t="s">
        <v>2211</v>
      </c>
      <c r="C1667" t="s">
        <v>5603</v>
      </c>
      <c r="D1667" s="92">
        <v>0.49</v>
      </c>
      <c r="E1667" s="92">
        <v>0.34</v>
      </c>
      <c r="F1667">
        <v>20</v>
      </c>
      <c r="G1667">
        <v>22</v>
      </c>
      <c r="H1667" t="s">
        <v>5617</v>
      </c>
      <c r="I1667">
        <v>0</v>
      </c>
      <c r="J1667" t="s">
        <v>87</v>
      </c>
      <c r="K1667">
        <v>0</v>
      </c>
      <c r="L1667">
        <v>0</v>
      </c>
    </row>
    <row r="1668" spans="1:12">
      <c r="A1668" s="93">
        <v>176965</v>
      </c>
      <c r="B1668" t="s">
        <v>2212</v>
      </c>
      <c r="C1668" t="s">
        <v>5602</v>
      </c>
      <c r="D1668" s="92">
        <v>0.53</v>
      </c>
      <c r="E1668" s="92">
        <v>0.38</v>
      </c>
      <c r="F1668">
        <v>20</v>
      </c>
      <c r="G1668">
        <v>22.5</v>
      </c>
      <c r="H1668" t="s">
        <v>5615</v>
      </c>
      <c r="I1668">
        <v>0</v>
      </c>
      <c r="J1668" t="s">
        <v>87</v>
      </c>
      <c r="K1668">
        <v>0</v>
      </c>
      <c r="L1668">
        <v>0</v>
      </c>
    </row>
    <row r="1669" spans="1:12">
      <c r="A1669" s="93">
        <v>177038</v>
      </c>
      <c r="B1669" t="s">
        <v>2213</v>
      </c>
      <c r="C1669" t="s">
        <v>5607</v>
      </c>
      <c r="D1669" s="92">
        <v>0.2</v>
      </c>
      <c r="E1669" s="92" t="s">
        <v>428</v>
      </c>
      <c r="F1669" t="s">
        <v>428</v>
      </c>
      <c r="G1669" t="s">
        <v>428</v>
      </c>
      <c r="H1669" t="s">
        <v>5617</v>
      </c>
      <c r="I1669">
        <v>0</v>
      </c>
      <c r="J1669" t="s">
        <v>87</v>
      </c>
      <c r="K1669">
        <v>0</v>
      </c>
      <c r="L1669">
        <v>0</v>
      </c>
    </row>
    <row r="1670" spans="1:12">
      <c r="A1670" s="93">
        <v>177065</v>
      </c>
      <c r="B1670" t="s">
        <v>2214</v>
      </c>
      <c r="C1670" t="s">
        <v>5602</v>
      </c>
      <c r="D1670" s="92">
        <v>0.35</v>
      </c>
      <c r="E1670" s="92">
        <v>0.2</v>
      </c>
      <c r="F1670" t="s">
        <v>428</v>
      </c>
      <c r="G1670" t="s">
        <v>428</v>
      </c>
      <c r="H1670" t="s">
        <v>5617</v>
      </c>
      <c r="I1670">
        <v>0</v>
      </c>
      <c r="J1670" t="s">
        <v>87</v>
      </c>
      <c r="K1670">
        <v>0</v>
      </c>
      <c r="L1670">
        <v>0</v>
      </c>
    </row>
    <row r="1671" spans="1:12">
      <c r="A1671" s="93">
        <v>177083</v>
      </c>
      <c r="B1671" t="s">
        <v>2215</v>
      </c>
      <c r="C1671" t="s">
        <v>5604</v>
      </c>
      <c r="D1671" s="92">
        <v>0.4</v>
      </c>
      <c r="E1671" s="92">
        <v>0.25</v>
      </c>
      <c r="F1671">
        <v>20</v>
      </c>
      <c r="G1671">
        <v>22.5</v>
      </c>
      <c r="H1671" t="s">
        <v>5617</v>
      </c>
      <c r="I1671">
        <v>0</v>
      </c>
      <c r="J1671" t="s">
        <v>87</v>
      </c>
      <c r="K1671">
        <v>0</v>
      </c>
      <c r="L1671">
        <v>0</v>
      </c>
    </row>
    <row r="1672" spans="1:12">
      <c r="A1672" s="93">
        <v>177092</v>
      </c>
      <c r="B1672" t="s">
        <v>2216</v>
      </c>
      <c r="C1672" t="s">
        <v>5607</v>
      </c>
      <c r="D1672" s="92" t="s">
        <v>428</v>
      </c>
      <c r="E1672" s="92" t="s">
        <v>428</v>
      </c>
      <c r="F1672" t="s">
        <v>428</v>
      </c>
      <c r="G1672" t="s">
        <v>428</v>
      </c>
      <c r="H1672" t="s">
        <v>5615</v>
      </c>
      <c r="I1672">
        <v>0</v>
      </c>
      <c r="J1672" t="s">
        <v>87</v>
      </c>
      <c r="K1672">
        <v>0</v>
      </c>
      <c r="L1672">
        <v>0</v>
      </c>
    </row>
    <row r="1673" spans="1:12">
      <c r="A1673" s="93">
        <v>177117</v>
      </c>
      <c r="B1673" t="s">
        <v>2217</v>
      </c>
      <c r="C1673" t="s">
        <v>5602</v>
      </c>
      <c r="D1673" s="92" t="s">
        <v>428</v>
      </c>
      <c r="E1673" s="92" t="s">
        <v>428</v>
      </c>
      <c r="F1673">
        <v>21</v>
      </c>
      <c r="G1673">
        <v>23.5</v>
      </c>
      <c r="H1673" t="s">
        <v>5617</v>
      </c>
      <c r="I1673">
        <v>0</v>
      </c>
      <c r="J1673" t="s">
        <v>87</v>
      </c>
      <c r="K1673">
        <v>0</v>
      </c>
      <c r="L1673">
        <v>0</v>
      </c>
    </row>
    <row r="1674" spans="1:12">
      <c r="A1674" s="93">
        <v>177126</v>
      </c>
      <c r="B1674" t="s">
        <v>2218</v>
      </c>
      <c r="C1674" t="s">
        <v>5607</v>
      </c>
      <c r="D1674" s="92" t="s">
        <v>428</v>
      </c>
      <c r="E1674" s="92" t="s">
        <v>428</v>
      </c>
      <c r="F1674" t="s">
        <v>428</v>
      </c>
      <c r="G1674" t="s">
        <v>428</v>
      </c>
      <c r="H1674" t="s">
        <v>5615</v>
      </c>
      <c r="I1674">
        <v>0</v>
      </c>
      <c r="J1674" t="s">
        <v>87</v>
      </c>
      <c r="K1674">
        <v>0</v>
      </c>
      <c r="L1674">
        <v>0</v>
      </c>
    </row>
    <row r="1675" spans="1:12">
      <c r="A1675" s="93">
        <v>177135</v>
      </c>
      <c r="B1675" t="s">
        <v>2219</v>
      </c>
      <c r="C1675" t="s">
        <v>5606</v>
      </c>
      <c r="D1675" s="92">
        <v>0.37</v>
      </c>
      <c r="E1675" s="92">
        <v>0.34</v>
      </c>
      <c r="F1675" t="s">
        <v>428</v>
      </c>
      <c r="G1675" t="s">
        <v>428</v>
      </c>
      <c r="H1675" t="s">
        <v>5615</v>
      </c>
      <c r="I1675">
        <v>0</v>
      </c>
      <c r="J1675" t="s">
        <v>87</v>
      </c>
      <c r="K1675">
        <v>0</v>
      </c>
      <c r="L1675">
        <v>0</v>
      </c>
    </row>
    <row r="1676" spans="1:12">
      <c r="A1676" s="93">
        <v>177144</v>
      </c>
      <c r="B1676" t="s">
        <v>2220</v>
      </c>
      <c r="C1676" t="s">
        <v>5602</v>
      </c>
      <c r="D1676" s="92">
        <v>0.46</v>
      </c>
      <c r="E1676" s="92">
        <v>0.25</v>
      </c>
      <c r="F1676">
        <v>18</v>
      </c>
      <c r="G1676">
        <v>20.5</v>
      </c>
      <c r="H1676" t="s">
        <v>5617</v>
      </c>
      <c r="I1676">
        <v>0</v>
      </c>
      <c r="J1676" t="s">
        <v>87</v>
      </c>
      <c r="K1676">
        <v>0</v>
      </c>
      <c r="L1676">
        <v>0</v>
      </c>
    </row>
    <row r="1677" spans="1:12">
      <c r="A1677" s="93">
        <v>177214</v>
      </c>
      <c r="B1677" t="s">
        <v>2221</v>
      </c>
      <c r="C1677" t="s">
        <v>5603</v>
      </c>
      <c r="D1677" s="92">
        <v>0.55</v>
      </c>
      <c r="E1677" s="92">
        <v>0.42</v>
      </c>
      <c r="F1677">
        <v>22</v>
      </c>
      <c r="G1677">
        <v>25</v>
      </c>
      <c r="H1677" t="s">
        <v>5617</v>
      </c>
      <c r="I1677">
        <v>0</v>
      </c>
      <c r="J1677" t="s">
        <v>87</v>
      </c>
      <c r="K1677">
        <v>0</v>
      </c>
      <c r="L1677">
        <v>0</v>
      </c>
    </row>
    <row r="1678" spans="1:12">
      <c r="A1678" s="93">
        <v>177250</v>
      </c>
      <c r="B1678" t="s">
        <v>2222</v>
      </c>
      <c r="C1678" t="s">
        <v>5606</v>
      </c>
      <c r="D1678" s="92">
        <v>0.29</v>
      </c>
      <c r="E1678" s="92">
        <v>0.18</v>
      </c>
      <c r="F1678" t="s">
        <v>428</v>
      </c>
      <c r="G1678" t="s">
        <v>428</v>
      </c>
      <c r="H1678" t="s">
        <v>5615</v>
      </c>
      <c r="I1678">
        <v>0</v>
      </c>
      <c r="J1678" t="s">
        <v>87</v>
      </c>
      <c r="K1678">
        <v>0</v>
      </c>
      <c r="L1678">
        <v>0</v>
      </c>
    </row>
    <row r="1679" spans="1:12">
      <c r="A1679" s="93">
        <v>177278</v>
      </c>
      <c r="B1679" t="s">
        <v>2223</v>
      </c>
      <c r="C1679" t="s">
        <v>5607</v>
      </c>
      <c r="D1679" s="92" t="s">
        <v>428</v>
      </c>
      <c r="E1679" s="92" t="s">
        <v>428</v>
      </c>
      <c r="F1679" t="s">
        <v>428</v>
      </c>
      <c r="G1679" t="s">
        <v>428</v>
      </c>
      <c r="H1679" t="s">
        <v>5615</v>
      </c>
      <c r="I1679">
        <v>0</v>
      </c>
      <c r="J1679" t="s">
        <v>87</v>
      </c>
      <c r="K1679">
        <v>0</v>
      </c>
      <c r="L1679">
        <v>0</v>
      </c>
    </row>
    <row r="1680" spans="1:12">
      <c r="A1680" s="93">
        <v>177302</v>
      </c>
      <c r="B1680" t="s">
        <v>2224</v>
      </c>
      <c r="C1680" t="s">
        <v>5606</v>
      </c>
      <c r="D1680" s="92" t="s">
        <v>428</v>
      </c>
      <c r="E1680" s="92" t="s">
        <v>428</v>
      </c>
      <c r="F1680" t="s">
        <v>428</v>
      </c>
      <c r="G1680" t="s">
        <v>428</v>
      </c>
      <c r="H1680" t="s">
        <v>5617</v>
      </c>
      <c r="I1680">
        <v>0</v>
      </c>
      <c r="J1680" t="s">
        <v>87</v>
      </c>
      <c r="K1680">
        <v>0</v>
      </c>
      <c r="L1680">
        <v>0</v>
      </c>
    </row>
    <row r="1681" spans="1:12">
      <c r="A1681" s="93">
        <v>177339</v>
      </c>
      <c r="B1681" t="s">
        <v>2225</v>
      </c>
      <c r="C1681" t="s">
        <v>5602</v>
      </c>
      <c r="D1681" s="92">
        <v>0.52</v>
      </c>
      <c r="E1681" s="92">
        <v>0.37</v>
      </c>
      <c r="F1681">
        <v>20</v>
      </c>
      <c r="G1681">
        <v>23</v>
      </c>
      <c r="H1681" t="s">
        <v>5617</v>
      </c>
      <c r="I1681">
        <v>0</v>
      </c>
      <c r="J1681" t="s">
        <v>87</v>
      </c>
      <c r="K1681">
        <v>0</v>
      </c>
      <c r="L1681">
        <v>0</v>
      </c>
    </row>
    <row r="1682" spans="1:12">
      <c r="A1682" s="93">
        <v>177418</v>
      </c>
      <c r="B1682" t="s">
        <v>2226</v>
      </c>
      <c r="C1682" t="s">
        <v>5602</v>
      </c>
      <c r="D1682" s="92">
        <v>0.51</v>
      </c>
      <c r="E1682" s="92">
        <v>0.36</v>
      </c>
      <c r="F1682">
        <v>20</v>
      </c>
      <c r="G1682">
        <v>22.5</v>
      </c>
      <c r="H1682" t="s">
        <v>5617</v>
      </c>
      <c r="I1682">
        <v>0</v>
      </c>
      <c r="J1682" t="s">
        <v>87</v>
      </c>
      <c r="K1682">
        <v>0</v>
      </c>
      <c r="L1682">
        <v>0</v>
      </c>
    </row>
    <row r="1683" spans="1:12">
      <c r="A1683" s="93">
        <v>177472</v>
      </c>
      <c r="B1683" t="s">
        <v>2227</v>
      </c>
      <c r="C1683" t="s">
        <v>5606</v>
      </c>
      <c r="D1683" s="92">
        <v>0.36</v>
      </c>
      <c r="E1683" s="92">
        <v>0.29</v>
      </c>
      <c r="F1683" t="s">
        <v>428</v>
      </c>
      <c r="G1683" t="s">
        <v>428</v>
      </c>
      <c r="H1683" t="s">
        <v>5615</v>
      </c>
      <c r="I1683">
        <v>0</v>
      </c>
      <c r="J1683" t="s">
        <v>87</v>
      </c>
      <c r="K1683">
        <v>0</v>
      </c>
      <c r="L1683">
        <v>0</v>
      </c>
    </row>
    <row r="1684" spans="1:12">
      <c r="A1684" s="93">
        <v>177542</v>
      </c>
      <c r="B1684" t="s">
        <v>2228</v>
      </c>
      <c r="C1684" t="s">
        <v>5607</v>
      </c>
      <c r="D1684" s="92">
        <v>0.4</v>
      </c>
      <c r="E1684" s="92">
        <v>0.26</v>
      </c>
      <c r="F1684" t="s">
        <v>428</v>
      </c>
      <c r="G1684" t="s">
        <v>428</v>
      </c>
      <c r="H1684" t="s">
        <v>5617</v>
      </c>
      <c r="I1684">
        <v>0</v>
      </c>
      <c r="J1684" t="s">
        <v>87</v>
      </c>
      <c r="K1684">
        <v>0</v>
      </c>
      <c r="L1684">
        <v>0</v>
      </c>
    </row>
    <row r="1685" spans="1:12">
      <c r="A1685" s="93">
        <v>177551</v>
      </c>
      <c r="B1685" t="s">
        <v>2229</v>
      </c>
      <c r="C1685" t="s">
        <v>5604</v>
      </c>
      <c r="D1685" s="92">
        <v>0.06</v>
      </c>
      <c r="E1685" s="92">
        <v>0.21</v>
      </c>
      <c r="F1685" t="s">
        <v>428</v>
      </c>
      <c r="G1685" t="s">
        <v>428</v>
      </c>
      <c r="H1685" t="s">
        <v>5613</v>
      </c>
      <c r="I1685">
        <v>1</v>
      </c>
      <c r="J1685" t="s">
        <v>138</v>
      </c>
      <c r="K1685">
        <v>0</v>
      </c>
      <c r="L1685">
        <v>0</v>
      </c>
    </row>
    <row r="1686" spans="1:12">
      <c r="A1686" s="93">
        <v>177579</v>
      </c>
      <c r="B1686" t="s">
        <v>2230</v>
      </c>
      <c r="C1686" t="s">
        <v>5607</v>
      </c>
      <c r="D1686" s="92" t="s">
        <v>428</v>
      </c>
      <c r="E1686" s="92" t="s">
        <v>428</v>
      </c>
      <c r="F1686" t="s">
        <v>428</v>
      </c>
      <c r="G1686" t="s">
        <v>428</v>
      </c>
      <c r="H1686" t="s">
        <v>5616</v>
      </c>
      <c r="I1686">
        <v>0</v>
      </c>
      <c r="J1686" t="s">
        <v>87</v>
      </c>
      <c r="K1686">
        <v>0</v>
      </c>
      <c r="L1686">
        <v>0</v>
      </c>
    </row>
    <row r="1687" spans="1:12">
      <c r="A1687" s="93">
        <v>177676</v>
      </c>
      <c r="B1687" t="s">
        <v>2231</v>
      </c>
      <c r="C1687" t="s">
        <v>5606</v>
      </c>
      <c r="D1687" s="92">
        <v>0.34</v>
      </c>
      <c r="E1687" s="92">
        <v>0.33</v>
      </c>
      <c r="F1687" t="s">
        <v>428</v>
      </c>
      <c r="G1687" t="s">
        <v>428</v>
      </c>
      <c r="H1687" t="s">
        <v>5615</v>
      </c>
      <c r="I1687">
        <v>0</v>
      </c>
      <c r="J1687" t="s">
        <v>87</v>
      </c>
      <c r="K1687">
        <v>0</v>
      </c>
      <c r="L1687">
        <v>0</v>
      </c>
    </row>
    <row r="1688" spans="1:12">
      <c r="A1688" s="93">
        <v>177719</v>
      </c>
      <c r="B1688" t="s">
        <v>2232</v>
      </c>
      <c r="C1688" t="s">
        <v>5607</v>
      </c>
      <c r="D1688" s="92" t="s">
        <v>428</v>
      </c>
      <c r="E1688" s="92" t="s">
        <v>428</v>
      </c>
      <c r="F1688" t="s">
        <v>428</v>
      </c>
      <c r="G1688" t="s">
        <v>428</v>
      </c>
      <c r="H1688" t="s">
        <v>5615</v>
      </c>
      <c r="I1688">
        <v>0</v>
      </c>
      <c r="J1688" t="s">
        <v>87</v>
      </c>
      <c r="K1688">
        <v>0</v>
      </c>
      <c r="L1688">
        <v>0</v>
      </c>
    </row>
    <row r="1689" spans="1:12">
      <c r="A1689" s="93">
        <v>177746</v>
      </c>
      <c r="B1689" t="s">
        <v>2233</v>
      </c>
      <c r="C1689" t="s">
        <v>5602</v>
      </c>
      <c r="D1689" s="92">
        <v>0.6</v>
      </c>
      <c r="E1689" s="92">
        <v>0.54</v>
      </c>
      <c r="F1689">
        <v>21</v>
      </c>
      <c r="G1689">
        <v>23</v>
      </c>
      <c r="H1689" t="s">
        <v>5617</v>
      </c>
      <c r="I1689">
        <v>0</v>
      </c>
      <c r="J1689" t="s">
        <v>87</v>
      </c>
      <c r="K1689">
        <v>0</v>
      </c>
      <c r="L1689">
        <v>0</v>
      </c>
    </row>
    <row r="1690" spans="1:12">
      <c r="A1690" s="93">
        <v>177816</v>
      </c>
      <c r="B1690" t="s">
        <v>2234</v>
      </c>
      <c r="C1690" t="s">
        <v>5607</v>
      </c>
      <c r="D1690" s="92">
        <v>0.7</v>
      </c>
      <c r="E1690" s="92" t="s">
        <v>428</v>
      </c>
      <c r="F1690" t="s">
        <v>428</v>
      </c>
      <c r="G1690" t="s">
        <v>428</v>
      </c>
      <c r="H1690" t="s">
        <v>5617</v>
      </c>
      <c r="I1690">
        <v>0</v>
      </c>
      <c r="J1690" t="s">
        <v>87</v>
      </c>
      <c r="K1690">
        <v>0</v>
      </c>
      <c r="L1690">
        <v>0</v>
      </c>
    </row>
    <row r="1691" spans="1:12">
      <c r="A1691" s="93">
        <v>177834</v>
      </c>
      <c r="B1691" t="s">
        <v>2235</v>
      </c>
      <c r="C1691" t="s">
        <v>5607</v>
      </c>
      <c r="D1691" s="92" t="s">
        <v>428</v>
      </c>
      <c r="E1691" s="92" t="s">
        <v>428</v>
      </c>
      <c r="F1691" t="s">
        <v>428</v>
      </c>
      <c r="G1691" t="s">
        <v>428</v>
      </c>
      <c r="H1691" t="s">
        <v>5615</v>
      </c>
      <c r="I1691">
        <v>0</v>
      </c>
      <c r="J1691" t="s">
        <v>87</v>
      </c>
      <c r="K1691">
        <v>0</v>
      </c>
      <c r="L1691">
        <v>0</v>
      </c>
    </row>
    <row r="1692" spans="1:12">
      <c r="A1692" s="93">
        <v>177940</v>
      </c>
      <c r="B1692" t="s">
        <v>2236</v>
      </c>
      <c r="C1692" t="s">
        <v>5604</v>
      </c>
      <c r="D1692" s="92">
        <v>0.22</v>
      </c>
      <c r="E1692" s="92">
        <v>0.31</v>
      </c>
      <c r="F1692" t="s">
        <v>428</v>
      </c>
      <c r="G1692" t="s">
        <v>428</v>
      </c>
      <c r="H1692" t="s">
        <v>5613</v>
      </c>
      <c r="I1692">
        <v>1</v>
      </c>
      <c r="J1692" t="s">
        <v>138</v>
      </c>
      <c r="K1692">
        <v>0</v>
      </c>
      <c r="L1692">
        <v>0</v>
      </c>
    </row>
    <row r="1693" spans="1:12">
      <c r="A1693" s="93">
        <v>177968</v>
      </c>
      <c r="B1693" t="s">
        <v>2237</v>
      </c>
      <c r="C1693" t="s">
        <v>5602</v>
      </c>
      <c r="D1693" s="92">
        <v>0.49</v>
      </c>
      <c r="E1693" s="92">
        <v>0.41</v>
      </c>
      <c r="F1693">
        <v>20</v>
      </c>
      <c r="G1693">
        <v>22.5</v>
      </c>
      <c r="H1693" t="s">
        <v>5617</v>
      </c>
      <c r="I1693">
        <v>0</v>
      </c>
      <c r="J1693" t="s">
        <v>87</v>
      </c>
      <c r="K1693">
        <v>0</v>
      </c>
      <c r="L1693">
        <v>0</v>
      </c>
    </row>
    <row r="1694" spans="1:12">
      <c r="A1694" s="93">
        <v>177977</v>
      </c>
      <c r="B1694" t="s">
        <v>2238</v>
      </c>
      <c r="C1694" t="s">
        <v>5606</v>
      </c>
      <c r="D1694" s="92">
        <v>0.64</v>
      </c>
      <c r="E1694" s="92">
        <v>0.44</v>
      </c>
      <c r="F1694" t="s">
        <v>428</v>
      </c>
      <c r="G1694" t="s">
        <v>428</v>
      </c>
      <c r="H1694" t="s">
        <v>5615</v>
      </c>
      <c r="I1694">
        <v>0</v>
      </c>
      <c r="J1694" t="s">
        <v>87</v>
      </c>
      <c r="K1694">
        <v>0</v>
      </c>
      <c r="L1694">
        <v>0</v>
      </c>
    </row>
    <row r="1695" spans="1:12">
      <c r="A1695" s="93">
        <v>177986</v>
      </c>
      <c r="B1695" t="s">
        <v>2239</v>
      </c>
      <c r="C1695" t="s">
        <v>5607</v>
      </c>
      <c r="D1695" s="92" t="s">
        <v>428</v>
      </c>
      <c r="E1695" s="92" t="s">
        <v>428</v>
      </c>
      <c r="F1695" t="s">
        <v>428</v>
      </c>
      <c r="G1695" t="s">
        <v>428</v>
      </c>
      <c r="H1695" t="s">
        <v>5615</v>
      </c>
      <c r="I1695">
        <v>0</v>
      </c>
      <c r="J1695" t="s">
        <v>87</v>
      </c>
      <c r="K1695">
        <v>0</v>
      </c>
      <c r="L1695">
        <v>0</v>
      </c>
    </row>
    <row r="1696" spans="1:12">
      <c r="A1696" s="93">
        <v>177995</v>
      </c>
      <c r="B1696" t="s">
        <v>2240</v>
      </c>
      <c r="C1696" t="s">
        <v>5606</v>
      </c>
      <c r="D1696" s="92">
        <v>0.29</v>
      </c>
      <c r="E1696" s="92">
        <v>0.19</v>
      </c>
      <c r="F1696" t="s">
        <v>428</v>
      </c>
      <c r="G1696" t="s">
        <v>428</v>
      </c>
      <c r="H1696" t="s">
        <v>5615</v>
      </c>
      <c r="I1696">
        <v>0</v>
      </c>
      <c r="J1696" t="s">
        <v>87</v>
      </c>
      <c r="K1696">
        <v>0</v>
      </c>
      <c r="L1696">
        <v>0</v>
      </c>
    </row>
    <row r="1697" spans="1:12">
      <c r="A1697" s="93">
        <v>178004</v>
      </c>
      <c r="B1697" t="s">
        <v>2241</v>
      </c>
      <c r="C1697" t="s">
        <v>5606</v>
      </c>
      <c r="D1697" s="92" t="s">
        <v>428</v>
      </c>
      <c r="E1697" s="92" t="s">
        <v>428</v>
      </c>
      <c r="F1697">
        <v>19</v>
      </c>
      <c r="G1697">
        <v>21</v>
      </c>
      <c r="H1697" t="s">
        <v>5615</v>
      </c>
      <c r="I1697">
        <v>0</v>
      </c>
      <c r="J1697" t="s">
        <v>87</v>
      </c>
      <c r="K1697">
        <v>0</v>
      </c>
      <c r="L1697">
        <v>0</v>
      </c>
    </row>
    <row r="1698" spans="1:12">
      <c r="A1698" s="93">
        <v>178059</v>
      </c>
      <c r="B1698" t="s">
        <v>2242</v>
      </c>
      <c r="C1698" t="s">
        <v>5603</v>
      </c>
      <c r="D1698" s="92">
        <v>0.71</v>
      </c>
      <c r="E1698" s="92">
        <v>0.48</v>
      </c>
      <c r="F1698">
        <v>22</v>
      </c>
      <c r="G1698">
        <v>24.5</v>
      </c>
      <c r="H1698" t="s">
        <v>5617</v>
      </c>
      <c r="I1698">
        <v>0</v>
      </c>
      <c r="J1698" t="s">
        <v>87</v>
      </c>
      <c r="K1698">
        <v>0</v>
      </c>
      <c r="L1698">
        <v>0</v>
      </c>
    </row>
    <row r="1699" spans="1:12">
      <c r="A1699" s="93">
        <v>178110</v>
      </c>
      <c r="B1699" t="s">
        <v>2243</v>
      </c>
      <c r="C1699" t="s">
        <v>5606</v>
      </c>
      <c r="D1699" s="92" t="s">
        <v>428</v>
      </c>
      <c r="E1699" s="92" t="s">
        <v>428</v>
      </c>
      <c r="F1699" t="s">
        <v>428</v>
      </c>
      <c r="G1699" t="s">
        <v>428</v>
      </c>
      <c r="H1699" t="s">
        <v>5613</v>
      </c>
      <c r="I1699">
        <v>1</v>
      </c>
      <c r="J1699" t="s">
        <v>87</v>
      </c>
      <c r="K1699">
        <v>0</v>
      </c>
      <c r="L1699">
        <v>0</v>
      </c>
    </row>
    <row r="1700" spans="1:12">
      <c r="A1700" s="93">
        <v>178183</v>
      </c>
      <c r="B1700" t="s">
        <v>2244</v>
      </c>
      <c r="C1700" t="s">
        <v>5606</v>
      </c>
      <c r="D1700" s="92" t="s">
        <v>428</v>
      </c>
      <c r="E1700" s="92" t="s">
        <v>428</v>
      </c>
      <c r="F1700" t="s">
        <v>428</v>
      </c>
      <c r="G1700" t="s">
        <v>428</v>
      </c>
      <c r="H1700" t="s">
        <v>5617</v>
      </c>
      <c r="I1700">
        <v>0</v>
      </c>
      <c r="J1700" t="s">
        <v>87</v>
      </c>
      <c r="K1700">
        <v>0</v>
      </c>
      <c r="L1700">
        <v>0</v>
      </c>
    </row>
    <row r="1701" spans="1:12">
      <c r="A1701" s="93">
        <v>178208</v>
      </c>
      <c r="B1701" t="s">
        <v>2245</v>
      </c>
      <c r="C1701" t="s">
        <v>5604</v>
      </c>
      <c r="D1701" s="92">
        <v>0.4</v>
      </c>
      <c r="E1701" s="92">
        <v>0</v>
      </c>
      <c r="F1701">
        <v>19</v>
      </c>
      <c r="G1701">
        <v>22</v>
      </c>
      <c r="H1701" t="s">
        <v>5616</v>
      </c>
      <c r="I1701">
        <v>0</v>
      </c>
      <c r="J1701" t="s">
        <v>87</v>
      </c>
      <c r="K1701">
        <v>0</v>
      </c>
      <c r="L1701">
        <v>0</v>
      </c>
    </row>
    <row r="1702" spans="1:12">
      <c r="A1702" s="93">
        <v>178217</v>
      </c>
      <c r="B1702" t="s">
        <v>2246</v>
      </c>
      <c r="C1702" t="s">
        <v>5606</v>
      </c>
      <c r="D1702" s="92">
        <v>0.38</v>
      </c>
      <c r="E1702" s="92">
        <v>0.35</v>
      </c>
      <c r="F1702" t="s">
        <v>428</v>
      </c>
      <c r="G1702" t="s">
        <v>428</v>
      </c>
      <c r="H1702" t="s">
        <v>5615</v>
      </c>
      <c r="I1702">
        <v>0</v>
      </c>
      <c r="J1702" t="s">
        <v>87</v>
      </c>
      <c r="K1702">
        <v>0</v>
      </c>
      <c r="L1702">
        <v>0</v>
      </c>
    </row>
    <row r="1703" spans="1:12">
      <c r="A1703" s="93">
        <v>178244</v>
      </c>
      <c r="B1703" t="s">
        <v>2247</v>
      </c>
      <c r="C1703" t="s">
        <v>5602</v>
      </c>
      <c r="D1703" s="92">
        <v>0.39</v>
      </c>
      <c r="E1703" s="92">
        <v>0.24</v>
      </c>
      <c r="F1703">
        <v>18</v>
      </c>
      <c r="G1703">
        <v>20.5</v>
      </c>
      <c r="H1703" t="s">
        <v>5617</v>
      </c>
      <c r="I1703">
        <v>0</v>
      </c>
      <c r="J1703" t="s">
        <v>87</v>
      </c>
      <c r="K1703">
        <v>0</v>
      </c>
      <c r="L1703">
        <v>0</v>
      </c>
    </row>
    <row r="1704" spans="1:12">
      <c r="A1704" s="93">
        <v>178341</v>
      </c>
      <c r="B1704" t="s">
        <v>2248</v>
      </c>
      <c r="C1704" t="s">
        <v>5602</v>
      </c>
      <c r="D1704" s="92">
        <v>0.32</v>
      </c>
      <c r="E1704" s="92">
        <v>0.22</v>
      </c>
      <c r="F1704">
        <v>18</v>
      </c>
      <c r="G1704">
        <v>21</v>
      </c>
      <c r="H1704" t="s">
        <v>5615</v>
      </c>
      <c r="I1704">
        <v>0</v>
      </c>
      <c r="J1704" t="s">
        <v>87</v>
      </c>
      <c r="K1704">
        <v>0</v>
      </c>
      <c r="L1704">
        <v>0</v>
      </c>
    </row>
    <row r="1705" spans="1:12">
      <c r="A1705" s="93">
        <v>178369</v>
      </c>
      <c r="B1705" t="s">
        <v>2249</v>
      </c>
      <c r="C1705" t="s">
        <v>5602</v>
      </c>
      <c r="D1705" s="92">
        <v>0.27</v>
      </c>
      <c r="E1705" s="92">
        <v>0.21</v>
      </c>
      <c r="F1705" t="s">
        <v>428</v>
      </c>
      <c r="G1705" t="s">
        <v>428</v>
      </c>
      <c r="H1705" t="s">
        <v>5616</v>
      </c>
      <c r="I1705">
        <v>0</v>
      </c>
      <c r="J1705" t="s">
        <v>87</v>
      </c>
      <c r="K1705">
        <v>0</v>
      </c>
      <c r="L1705">
        <v>0</v>
      </c>
    </row>
    <row r="1706" spans="1:12">
      <c r="A1706" s="93">
        <v>178387</v>
      </c>
      <c r="B1706" t="s">
        <v>2250</v>
      </c>
      <c r="C1706" t="s">
        <v>5610</v>
      </c>
      <c r="D1706" s="92">
        <v>0.3</v>
      </c>
      <c r="E1706" s="92">
        <v>0.17</v>
      </c>
      <c r="F1706" t="s">
        <v>428</v>
      </c>
      <c r="G1706" t="s">
        <v>428</v>
      </c>
      <c r="H1706" t="s">
        <v>5617</v>
      </c>
      <c r="I1706">
        <v>0</v>
      </c>
      <c r="J1706" t="s">
        <v>87</v>
      </c>
      <c r="K1706">
        <v>0</v>
      </c>
      <c r="L1706">
        <v>0</v>
      </c>
    </row>
    <row r="1707" spans="1:12">
      <c r="A1707" s="93">
        <v>178396</v>
      </c>
      <c r="B1707" t="s">
        <v>2251</v>
      </c>
      <c r="C1707" t="s">
        <v>5603</v>
      </c>
      <c r="D1707" s="92">
        <v>0.68</v>
      </c>
      <c r="E1707" s="92">
        <v>0.58</v>
      </c>
      <c r="F1707">
        <v>23</v>
      </c>
      <c r="G1707">
        <v>26</v>
      </c>
      <c r="H1707" t="s">
        <v>5626</v>
      </c>
      <c r="I1707">
        <v>0</v>
      </c>
      <c r="J1707" t="s">
        <v>87</v>
      </c>
      <c r="K1707">
        <v>0</v>
      </c>
      <c r="L1707">
        <v>0</v>
      </c>
    </row>
    <row r="1708" spans="1:12">
      <c r="A1708" s="93">
        <v>178402</v>
      </c>
      <c r="B1708" t="s">
        <v>2252</v>
      </c>
      <c r="C1708" t="s">
        <v>5603</v>
      </c>
      <c r="D1708" s="92">
        <v>0.49</v>
      </c>
      <c r="E1708" s="92">
        <v>0.31</v>
      </c>
      <c r="F1708">
        <v>21</v>
      </c>
      <c r="G1708">
        <v>24.5</v>
      </c>
      <c r="H1708" t="s">
        <v>5615</v>
      </c>
      <c r="I1708">
        <v>0</v>
      </c>
      <c r="J1708" t="s">
        <v>87</v>
      </c>
      <c r="K1708">
        <v>0</v>
      </c>
      <c r="L1708">
        <v>0</v>
      </c>
    </row>
    <row r="1709" spans="1:12">
      <c r="A1709" s="93">
        <v>178411</v>
      </c>
      <c r="B1709" t="s">
        <v>2253</v>
      </c>
      <c r="C1709" t="s">
        <v>5605</v>
      </c>
      <c r="D1709" s="92">
        <v>0.64</v>
      </c>
      <c r="E1709" s="92">
        <v>0.47</v>
      </c>
      <c r="F1709">
        <v>25</v>
      </c>
      <c r="G1709">
        <v>28</v>
      </c>
      <c r="H1709" t="s">
        <v>5615</v>
      </c>
      <c r="I1709">
        <v>0</v>
      </c>
      <c r="J1709" t="s">
        <v>87</v>
      </c>
      <c r="K1709">
        <v>0</v>
      </c>
      <c r="L1709">
        <v>0</v>
      </c>
    </row>
    <row r="1710" spans="1:12">
      <c r="A1710" s="93">
        <v>178420</v>
      </c>
      <c r="B1710" t="s">
        <v>2254</v>
      </c>
      <c r="C1710" t="s">
        <v>5602</v>
      </c>
      <c r="D1710" s="92">
        <v>0.45</v>
      </c>
      <c r="E1710" s="92">
        <v>0.29</v>
      </c>
      <c r="F1710">
        <v>21</v>
      </c>
      <c r="G1710">
        <v>24</v>
      </c>
      <c r="H1710" t="s">
        <v>5613</v>
      </c>
      <c r="I1710">
        <v>1</v>
      </c>
      <c r="J1710" t="s">
        <v>87</v>
      </c>
      <c r="K1710">
        <v>0</v>
      </c>
      <c r="L1710">
        <v>0</v>
      </c>
    </row>
    <row r="1711" spans="1:12">
      <c r="A1711" s="93">
        <v>178448</v>
      </c>
      <c r="B1711" t="s">
        <v>2255</v>
      </c>
      <c r="C1711" t="s">
        <v>5606</v>
      </c>
      <c r="D1711" s="92">
        <v>0.35</v>
      </c>
      <c r="E1711" s="92">
        <v>0.24</v>
      </c>
      <c r="F1711" t="s">
        <v>428</v>
      </c>
      <c r="G1711" t="s">
        <v>428</v>
      </c>
      <c r="H1711" t="s">
        <v>5615</v>
      </c>
      <c r="I1711">
        <v>0</v>
      </c>
      <c r="J1711" t="s">
        <v>87</v>
      </c>
      <c r="K1711">
        <v>0</v>
      </c>
      <c r="L1711">
        <v>0</v>
      </c>
    </row>
    <row r="1712" spans="1:12">
      <c r="A1712" s="93">
        <v>178466</v>
      </c>
      <c r="B1712" t="s">
        <v>2256</v>
      </c>
      <c r="C1712" t="s">
        <v>5609</v>
      </c>
      <c r="D1712" s="92" t="s">
        <v>428</v>
      </c>
      <c r="E1712" s="92" t="s">
        <v>428</v>
      </c>
      <c r="F1712" t="s">
        <v>428</v>
      </c>
      <c r="G1712" t="s">
        <v>428</v>
      </c>
      <c r="H1712" t="s">
        <v>5615</v>
      </c>
      <c r="I1712">
        <v>0</v>
      </c>
      <c r="J1712" t="s">
        <v>87</v>
      </c>
      <c r="K1712">
        <v>0</v>
      </c>
      <c r="L1712">
        <v>0</v>
      </c>
    </row>
    <row r="1713" spans="1:12">
      <c r="A1713" s="93">
        <v>178518</v>
      </c>
      <c r="B1713" t="s">
        <v>2257</v>
      </c>
      <c r="C1713" t="s">
        <v>5607</v>
      </c>
      <c r="D1713" s="92" t="s">
        <v>428</v>
      </c>
      <c r="E1713" s="92" t="s">
        <v>428</v>
      </c>
      <c r="F1713" t="s">
        <v>428</v>
      </c>
      <c r="G1713" t="s">
        <v>428</v>
      </c>
      <c r="H1713" t="s">
        <v>5615</v>
      </c>
      <c r="I1713">
        <v>0</v>
      </c>
      <c r="J1713" t="s">
        <v>87</v>
      </c>
      <c r="K1713">
        <v>0</v>
      </c>
      <c r="L1713">
        <v>0</v>
      </c>
    </row>
    <row r="1714" spans="1:12">
      <c r="A1714" s="93">
        <v>178615</v>
      </c>
      <c r="B1714" t="s">
        <v>2258</v>
      </c>
      <c r="C1714" t="s">
        <v>5605</v>
      </c>
      <c r="D1714" s="92">
        <v>0.72</v>
      </c>
      <c r="E1714" s="92">
        <v>0.7</v>
      </c>
      <c r="F1714">
        <v>24</v>
      </c>
      <c r="G1714">
        <v>27</v>
      </c>
      <c r="H1714" t="s">
        <v>5616</v>
      </c>
      <c r="I1714">
        <v>0</v>
      </c>
      <c r="J1714" t="s">
        <v>87</v>
      </c>
      <c r="K1714">
        <v>0</v>
      </c>
      <c r="L1714">
        <v>0</v>
      </c>
    </row>
    <row r="1715" spans="1:12">
      <c r="A1715" s="93">
        <v>178624</v>
      </c>
      <c r="B1715" t="s">
        <v>2259</v>
      </c>
      <c r="C1715" t="s">
        <v>5602</v>
      </c>
      <c r="D1715" s="92">
        <v>0.49</v>
      </c>
      <c r="E1715" s="92">
        <v>0.32</v>
      </c>
      <c r="F1715">
        <v>20</v>
      </c>
      <c r="G1715">
        <v>22.5</v>
      </c>
      <c r="H1715" t="s">
        <v>5615</v>
      </c>
      <c r="I1715">
        <v>0</v>
      </c>
      <c r="J1715" t="s">
        <v>87</v>
      </c>
      <c r="K1715">
        <v>0</v>
      </c>
      <c r="L1715">
        <v>0</v>
      </c>
    </row>
    <row r="1716" spans="1:12">
      <c r="A1716" s="93">
        <v>178679</v>
      </c>
      <c r="B1716" t="s">
        <v>2260</v>
      </c>
      <c r="C1716" t="s">
        <v>5604</v>
      </c>
      <c r="D1716" s="92">
        <v>0.48</v>
      </c>
      <c r="E1716" s="92">
        <v>0.4</v>
      </c>
      <c r="F1716">
        <v>19</v>
      </c>
      <c r="G1716">
        <v>22.5</v>
      </c>
      <c r="H1716" t="s">
        <v>5616</v>
      </c>
      <c r="I1716">
        <v>0</v>
      </c>
      <c r="J1716" t="s">
        <v>87</v>
      </c>
      <c r="K1716">
        <v>0</v>
      </c>
      <c r="L1716">
        <v>0</v>
      </c>
    </row>
    <row r="1717" spans="1:12">
      <c r="A1717" s="93">
        <v>178697</v>
      </c>
      <c r="B1717" t="s">
        <v>2261</v>
      </c>
      <c r="C1717" t="s">
        <v>5602</v>
      </c>
      <c r="D1717" s="92">
        <v>0.68</v>
      </c>
      <c r="E1717" s="92">
        <v>0.57</v>
      </c>
      <c r="F1717">
        <v>21</v>
      </c>
      <c r="G1717">
        <v>23</v>
      </c>
      <c r="H1717" t="s">
        <v>5616</v>
      </c>
      <c r="I1717">
        <v>0</v>
      </c>
      <c r="J1717" t="s">
        <v>87</v>
      </c>
      <c r="K1717">
        <v>0</v>
      </c>
      <c r="L1717">
        <v>0</v>
      </c>
    </row>
    <row r="1718" spans="1:12">
      <c r="A1718" s="93">
        <v>178721</v>
      </c>
      <c r="B1718" t="s">
        <v>2262</v>
      </c>
      <c r="C1718" t="s">
        <v>5602</v>
      </c>
      <c r="D1718" s="92">
        <v>0.33</v>
      </c>
      <c r="E1718" s="92">
        <v>0.27</v>
      </c>
      <c r="F1718" t="s">
        <v>428</v>
      </c>
      <c r="G1718" t="s">
        <v>428</v>
      </c>
      <c r="H1718" t="s">
        <v>5617</v>
      </c>
      <c r="I1718">
        <v>0</v>
      </c>
      <c r="J1718" t="s">
        <v>87</v>
      </c>
      <c r="K1718">
        <v>0</v>
      </c>
      <c r="L1718">
        <v>0</v>
      </c>
    </row>
    <row r="1719" spans="1:12">
      <c r="A1719" s="93">
        <v>178767</v>
      </c>
      <c r="B1719" t="s">
        <v>2263</v>
      </c>
      <c r="C1719" t="s">
        <v>5607</v>
      </c>
      <c r="D1719" s="92">
        <v>0.36</v>
      </c>
      <c r="E1719" s="92">
        <v>0.29</v>
      </c>
      <c r="F1719" t="s">
        <v>428</v>
      </c>
      <c r="G1719" t="s">
        <v>428</v>
      </c>
      <c r="H1719" t="s">
        <v>5617</v>
      </c>
      <c r="I1719">
        <v>0</v>
      </c>
      <c r="J1719" t="s">
        <v>87</v>
      </c>
      <c r="K1719">
        <v>0</v>
      </c>
      <c r="L1719">
        <v>0</v>
      </c>
    </row>
    <row r="1720" spans="1:12">
      <c r="A1720" s="93">
        <v>178891</v>
      </c>
      <c r="B1720" t="s">
        <v>2264</v>
      </c>
      <c r="C1720" t="s">
        <v>5604</v>
      </c>
      <c r="D1720" s="92">
        <v>0.46</v>
      </c>
      <c r="E1720" s="92">
        <v>0.17</v>
      </c>
      <c r="F1720" t="s">
        <v>428</v>
      </c>
      <c r="G1720" t="s">
        <v>428</v>
      </c>
      <c r="H1720" t="s">
        <v>5616</v>
      </c>
      <c r="I1720">
        <v>0</v>
      </c>
      <c r="J1720" t="s">
        <v>87</v>
      </c>
      <c r="K1720">
        <v>0</v>
      </c>
      <c r="L1720">
        <v>0</v>
      </c>
    </row>
    <row r="1721" spans="1:12">
      <c r="A1721" s="93">
        <v>178989</v>
      </c>
      <c r="B1721" t="s">
        <v>2265</v>
      </c>
      <c r="C1721" t="s">
        <v>5610</v>
      </c>
      <c r="D1721" s="92" t="s">
        <v>428</v>
      </c>
      <c r="E1721" s="92" t="s">
        <v>428</v>
      </c>
      <c r="F1721" t="s">
        <v>428</v>
      </c>
      <c r="G1721" t="s">
        <v>428</v>
      </c>
      <c r="H1721" t="s">
        <v>5615</v>
      </c>
      <c r="I1721">
        <v>0</v>
      </c>
      <c r="J1721" t="s">
        <v>87</v>
      </c>
      <c r="K1721">
        <v>0</v>
      </c>
      <c r="L1721">
        <v>0</v>
      </c>
    </row>
    <row r="1722" spans="1:12">
      <c r="A1722" s="93">
        <v>179043</v>
      </c>
      <c r="B1722" t="s">
        <v>2266</v>
      </c>
      <c r="C1722" t="s">
        <v>5602</v>
      </c>
      <c r="D1722" s="92">
        <v>0.71</v>
      </c>
      <c r="E1722" s="92">
        <v>0.55</v>
      </c>
      <c r="F1722">
        <v>23</v>
      </c>
      <c r="G1722">
        <v>25.5</v>
      </c>
      <c r="H1722" t="s">
        <v>5617</v>
      </c>
      <c r="I1722">
        <v>0</v>
      </c>
      <c r="J1722" t="s">
        <v>87</v>
      </c>
      <c r="K1722">
        <v>0</v>
      </c>
      <c r="L1722">
        <v>0</v>
      </c>
    </row>
    <row r="1723" spans="1:12">
      <c r="A1723" s="93">
        <v>179052</v>
      </c>
      <c r="B1723" t="s">
        <v>2267</v>
      </c>
      <c r="C1723" t="s">
        <v>5609</v>
      </c>
      <c r="D1723" s="92" t="s">
        <v>428</v>
      </c>
      <c r="E1723" s="92" t="s">
        <v>428</v>
      </c>
      <c r="F1723" t="s">
        <v>428</v>
      </c>
      <c r="G1723" t="s">
        <v>428</v>
      </c>
      <c r="H1723" t="s">
        <v>5615</v>
      </c>
      <c r="I1723">
        <v>0</v>
      </c>
      <c r="J1723" t="s">
        <v>87</v>
      </c>
      <c r="K1723">
        <v>0</v>
      </c>
      <c r="L1723">
        <v>0</v>
      </c>
    </row>
    <row r="1724" spans="1:12">
      <c r="A1724" s="93">
        <v>179070</v>
      </c>
      <c r="B1724" t="s">
        <v>2268</v>
      </c>
      <c r="C1724" t="s">
        <v>5607</v>
      </c>
      <c r="D1724" s="92" t="s">
        <v>428</v>
      </c>
      <c r="E1724" s="92" t="s">
        <v>428</v>
      </c>
      <c r="F1724" t="s">
        <v>428</v>
      </c>
      <c r="G1724" t="s">
        <v>428</v>
      </c>
      <c r="H1724" t="s">
        <v>5617</v>
      </c>
      <c r="I1724">
        <v>0</v>
      </c>
      <c r="J1724" t="s">
        <v>87</v>
      </c>
      <c r="K1724">
        <v>0</v>
      </c>
      <c r="L1724">
        <v>0</v>
      </c>
    </row>
    <row r="1725" spans="1:12">
      <c r="A1725" s="93">
        <v>179159</v>
      </c>
      <c r="B1725" t="s">
        <v>2269</v>
      </c>
      <c r="C1725" t="s">
        <v>5605</v>
      </c>
      <c r="D1725" s="92">
        <v>0.74</v>
      </c>
      <c r="E1725" s="92">
        <v>0.55</v>
      </c>
      <c r="F1725">
        <v>25</v>
      </c>
      <c r="G1725">
        <v>28</v>
      </c>
      <c r="H1725" t="s">
        <v>5617</v>
      </c>
      <c r="I1725">
        <v>0</v>
      </c>
      <c r="J1725" t="s">
        <v>87</v>
      </c>
      <c r="K1725">
        <v>0</v>
      </c>
      <c r="L1725">
        <v>0</v>
      </c>
    </row>
    <row r="1726" spans="1:12">
      <c r="A1726" s="93">
        <v>179256</v>
      </c>
      <c r="B1726" t="s">
        <v>2270</v>
      </c>
      <c r="C1726" t="s">
        <v>5608</v>
      </c>
      <c r="D1726" s="92">
        <v>0.37</v>
      </c>
      <c r="E1726" s="92">
        <v>0.2</v>
      </c>
      <c r="F1726">
        <v>14</v>
      </c>
      <c r="G1726">
        <v>16</v>
      </c>
      <c r="H1726" t="s">
        <v>5616</v>
      </c>
      <c r="I1726">
        <v>0</v>
      </c>
      <c r="J1726" t="s">
        <v>87</v>
      </c>
      <c r="K1726">
        <v>0</v>
      </c>
      <c r="L1726">
        <v>0</v>
      </c>
    </row>
    <row r="1727" spans="1:12">
      <c r="A1727" s="93">
        <v>179265</v>
      </c>
      <c r="B1727" t="s">
        <v>2271</v>
      </c>
      <c r="C1727" t="s">
        <v>5603</v>
      </c>
      <c r="D1727" s="92">
        <v>0.66</v>
      </c>
      <c r="E1727" s="92">
        <v>0.38</v>
      </c>
      <c r="F1727">
        <v>24</v>
      </c>
      <c r="G1727">
        <v>26</v>
      </c>
      <c r="H1727" t="s">
        <v>5617</v>
      </c>
      <c r="I1727">
        <v>0</v>
      </c>
      <c r="J1727" t="s">
        <v>87</v>
      </c>
      <c r="K1727">
        <v>0</v>
      </c>
      <c r="L1727">
        <v>0</v>
      </c>
    </row>
    <row r="1728" spans="1:12">
      <c r="A1728" s="93">
        <v>179308</v>
      </c>
      <c r="B1728" t="s">
        <v>2272</v>
      </c>
      <c r="C1728" t="s">
        <v>5606</v>
      </c>
      <c r="D1728" s="92">
        <v>0.24</v>
      </c>
      <c r="E1728" s="92">
        <v>0.12</v>
      </c>
      <c r="F1728" t="s">
        <v>428</v>
      </c>
      <c r="G1728" t="s">
        <v>428</v>
      </c>
      <c r="H1728" t="s">
        <v>5615</v>
      </c>
      <c r="I1728">
        <v>0</v>
      </c>
      <c r="J1728" t="s">
        <v>87</v>
      </c>
      <c r="K1728">
        <v>0</v>
      </c>
      <c r="L1728">
        <v>0</v>
      </c>
    </row>
    <row r="1729" spans="1:12">
      <c r="A1729" s="93">
        <v>179317</v>
      </c>
      <c r="B1729" t="s">
        <v>2273</v>
      </c>
      <c r="C1729" t="s">
        <v>5607</v>
      </c>
      <c r="D1729" s="92" t="s">
        <v>428</v>
      </c>
      <c r="E1729" s="92" t="s">
        <v>428</v>
      </c>
      <c r="F1729" t="s">
        <v>428</v>
      </c>
      <c r="G1729" t="s">
        <v>428</v>
      </c>
      <c r="H1729" t="s">
        <v>5615</v>
      </c>
      <c r="I1729">
        <v>0</v>
      </c>
      <c r="J1729" t="s">
        <v>87</v>
      </c>
      <c r="K1729">
        <v>0</v>
      </c>
      <c r="L1729">
        <v>0</v>
      </c>
    </row>
    <row r="1730" spans="1:12">
      <c r="A1730" s="93">
        <v>179326</v>
      </c>
      <c r="B1730" t="s">
        <v>2274</v>
      </c>
      <c r="C1730" t="s">
        <v>5608</v>
      </c>
      <c r="D1730" s="92">
        <v>0.47</v>
      </c>
      <c r="E1730" s="92">
        <v>0.17</v>
      </c>
      <c r="F1730">
        <v>19</v>
      </c>
      <c r="G1730">
        <v>22</v>
      </c>
      <c r="H1730" t="s">
        <v>5616</v>
      </c>
      <c r="I1730">
        <v>0</v>
      </c>
      <c r="J1730" t="s">
        <v>87</v>
      </c>
      <c r="K1730">
        <v>0</v>
      </c>
      <c r="L1730">
        <v>0</v>
      </c>
    </row>
    <row r="1731" spans="1:12">
      <c r="A1731" s="93">
        <v>179344</v>
      </c>
      <c r="B1731" t="s">
        <v>2275</v>
      </c>
      <c r="C1731" t="s">
        <v>5606</v>
      </c>
      <c r="D1731" s="92">
        <v>0.28</v>
      </c>
      <c r="E1731" s="92">
        <v>0.29</v>
      </c>
      <c r="F1731" t="s">
        <v>428</v>
      </c>
      <c r="G1731" t="s">
        <v>428</v>
      </c>
      <c r="H1731" t="s">
        <v>5615</v>
      </c>
      <c r="I1731">
        <v>0</v>
      </c>
      <c r="J1731" t="s">
        <v>87</v>
      </c>
      <c r="K1731">
        <v>0</v>
      </c>
      <c r="L1731">
        <v>0</v>
      </c>
    </row>
    <row r="1732" spans="1:12">
      <c r="A1732" s="93">
        <v>179450</v>
      </c>
      <c r="B1732" t="s">
        <v>2276</v>
      </c>
      <c r="C1732" t="s">
        <v>5607</v>
      </c>
      <c r="D1732" s="92" t="s">
        <v>428</v>
      </c>
      <c r="E1732" s="92" t="s">
        <v>428</v>
      </c>
      <c r="F1732" t="s">
        <v>428</v>
      </c>
      <c r="G1732" t="s">
        <v>428</v>
      </c>
      <c r="H1732" t="s">
        <v>5615</v>
      </c>
      <c r="I1732">
        <v>0</v>
      </c>
      <c r="J1732" t="s">
        <v>87</v>
      </c>
      <c r="K1732">
        <v>0</v>
      </c>
      <c r="L1732">
        <v>0</v>
      </c>
    </row>
    <row r="1733" spans="1:12">
      <c r="A1733" s="93">
        <v>179511</v>
      </c>
      <c r="B1733" t="s">
        <v>2277</v>
      </c>
      <c r="C1733" t="s">
        <v>5606</v>
      </c>
      <c r="D1733" s="92" t="s">
        <v>428</v>
      </c>
      <c r="E1733" s="92" t="s">
        <v>428</v>
      </c>
      <c r="F1733" t="s">
        <v>428</v>
      </c>
      <c r="G1733" t="s">
        <v>428</v>
      </c>
      <c r="H1733" t="s">
        <v>5617</v>
      </c>
      <c r="I1733">
        <v>0</v>
      </c>
      <c r="J1733" t="s">
        <v>87</v>
      </c>
      <c r="K1733">
        <v>0</v>
      </c>
      <c r="L1733">
        <v>0</v>
      </c>
    </row>
    <row r="1734" spans="1:12">
      <c r="A1734" s="93">
        <v>179539</v>
      </c>
      <c r="B1734" t="s">
        <v>2278</v>
      </c>
      <c r="C1734" t="s">
        <v>5606</v>
      </c>
      <c r="D1734" s="92">
        <v>0.33</v>
      </c>
      <c r="E1734" s="92">
        <v>0.35</v>
      </c>
      <c r="F1734" t="s">
        <v>428</v>
      </c>
      <c r="G1734" t="s">
        <v>428</v>
      </c>
      <c r="H1734" t="s">
        <v>5615</v>
      </c>
      <c r="I1734">
        <v>0</v>
      </c>
      <c r="J1734" t="s">
        <v>87</v>
      </c>
      <c r="K1734">
        <v>0</v>
      </c>
      <c r="L1734">
        <v>0</v>
      </c>
    </row>
    <row r="1735" spans="1:12">
      <c r="A1735" s="93">
        <v>179548</v>
      </c>
      <c r="B1735" t="s">
        <v>2279</v>
      </c>
      <c r="C1735" t="s">
        <v>5602</v>
      </c>
      <c r="D1735" s="92">
        <v>0.41</v>
      </c>
      <c r="E1735" s="92">
        <v>0.4</v>
      </c>
      <c r="F1735">
        <v>20</v>
      </c>
      <c r="G1735">
        <v>22.5</v>
      </c>
      <c r="H1735" t="s">
        <v>5617</v>
      </c>
      <c r="I1735">
        <v>0</v>
      </c>
      <c r="J1735" t="s">
        <v>87</v>
      </c>
      <c r="K1735">
        <v>0</v>
      </c>
      <c r="L1735">
        <v>0</v>
      </c>
    </row>
    <row r="1736" spans="1:12">
      <c r="A1736" s="93">
        <v>179557</v>
      </c>
      <c r="B1736" t="s">
        <v>2280</v>
      </c>
      <c r="C1736" t="s">
        <v>5602</v>
      </c>
      <c r="D1736" s="92">
        <v>0.49</v>
      </c>
      <c r="E1736" s="92">
        <v>0.34</v>
      </c>
      <c r="F1736">
        <v>20</v>
      </c>
      <c r="G1736">
        <v>22.5</v>
      </c>
      <c r="H1736" t="s">
        <v>5615</v>
      </c>
      <c r="I1736">
        <v>0</v>
      </c>
      <c r="J1736" t="s">
        <v>87</v>
      </c>
      <c r="K1736">
        <v>0</v>
      </c>
      <c r="L1736">
        <v>0</v>
      </c>
    </row>
    <row r="1737" spans="1:12">
      <c r="A1737" s="93">
        <v>179566</v>
      </c>
      <c r="B1737" t="s">
        <v>2281</v>
      </c>
      <c r="C1737" t="s">
        <v>5602</v>
      </c>
      <c r="D1737" s="92">
        <v>0.55</v>
      </c>
      <c r="E1737" s="92">
        <v>0.41</v>
      </c>
      <c r="F1737">
        <v>21</v>
      </c>
      <c r="G1737">
        <v>23.5</v>
      </c>
      <c r="H1737" t="s">
        <v>5615</v>
      </c>
      <c r="I1737">
        <v>0</v>
      </c>
      <c r="J1737" t="s">
        <v>87</v>
      </c>
      <c r="K1737">
        <v>0</v>
      </c>
      <c r="L1737">
        <v>0</v>
      </c>
    </row>
    <row r="1738" spans="1:12">
      <c r="A1738" s="93">
        <v>179645</v>
      </c>
      <c r="B1738" t="s">
        <v>2282</v>
      </c>
      <c r="C1738" t="s">
        <v>5606</v>
      </c>
      <c r="D1738" s="92">
        <v>0.29</v>
      </c>
      <c r="E1738" s="92">
        <v>0.22</v>
      </c>
      <c r="F1738" t="s">
        <v>428</v>
      </c>
      <c r="G1738" t="s">
        <v>428</v>
      </c>
      <c r="H1738" t="s">
        <v>5615</v>
      </c>
      <c r="I1738">
        <v>0</v>
      </c>
      <c r="J1738" t="s">
        <v>87</v>
      </c>
      <c r="K1738">
        <v>0</v>
      </c>
      <c r="L1738">
        <v>0</v>
      </c>
    </row>
    <row r="1739" spans="1:12">
      <c r="A1739" s="93">
        <v>179715</v>
      </c>
      <c r="B1739" t="s">
        <v>2283</v>
      </c>
      <c r="C1739" t="s">
        <v>5606</v>
      </c>
      <c r="D1739" s="92">
        <v>0.41</v>
      </c>
      <c r="E1739" s="92">
        <v>0.28</v>
      </c>
      <c r="F1739" t="s">
        <v>428</v>
      </c>
      <c r="G1739" t="s">
        <v>428</v>
      </c>
      <c r="H1739" t="s">
        <v>5615</v>
      </c>
      <c r="I1739">
        <v>0</v>
      </c>
      <c r="J1739" t="s">
        <v>87</v>
      </c>
      <c r="K1739">
        <v>0</v>
      </c>
      <c r="L1739">
        <v>0</v>
      </c>
    </row>
    <row r="1740" spans="1:12">
      <c r="A1740" s="93">
        <v>179812</v>
      </c>
      <c r="B1740" t="s">
        <v>2284</v>
      </c>
      <c r="C1740" t="s">
        <v>5607</v>
      </c>
      <c r="D1740" s="92" t="s">
        <v>428</v>
      </c>
      <c r="E1740" s="92" t="s">
        <v>428</v>
      </c>
      <c r="F1740" t="s">
        <v>428</v>
      </c>
      <c r="G1740" t="s">
        <v>428</v>
      </c>
      <c r="H1740" t="s">
        <v>5615</v>
      </c>
      <c r="I1740">
        <v>0</v>
      </c>
      <c r="J1740" t="s">
        <v>87</v>
      </c>
      <c r="K1740">
        <v>0</v>
      </c>
      <c r="L1740">
        <v>0</v>
      </c>
    </row>
    <row r="1741" spans="1:12">
      <c r="A1741" s="93">
        <v>179867</v>
      </c>
      <c r="B1741" t="s">
        <v>2285</v>
      </c>
      <c r="C1741" t="s">
        <v>5611</v>
      </c>
      <c r="D1741" s="92">
        <v>0.9399999999999999</v>
      </c>
      <c r="E1741" s="92">
        <v>0.9399999999999999</v>
      </c>
      <c r="F1741">
        <v>32</v>
      </c>
      <c r="G1741">
        <v>33</v>
      </c>
      <c r="H1741" t="s">
        <v>5619</v>
      </c>
      <c r="I1741">
        <v>1</v>
      </c>
      <c r="J1741" t="s">
        <v>87</v>
      </c>
      <c r="K1741">
        <v>0</v>
      </c>
      <c r="L1741">
        <v>0</v>
      </c>
    </row>
    <row r="1742" spans="1:12">
      <c r="A1742" s="93">
        <v>179894</v>
      </c>
      <c r="B1742" t="s">
        <v>2286</v>
      </c>
      <c r="C1742" t="s">
        <v>5602</v>
      </c>
      <c r="D1742" s="92">
        <v>0.62</v>
      </c>
      <c r="E1742" s="92">
        <v>0.49</v>
      </c>
      <c r="F1742">
        <v>21</v>
      </c>
      <c r="G1742">
        <v>24</v>
      </c>
      <c r="H1742" t="s">
        <v>5617</v>
      </c>
      <c r="I1742">
        <v>0</v>
      </c>
      <c r="J1742" t="s">
        <v>87</v>
      </c>
      <c r="K1742">
        <v>0</v>
      </c>
      <c r="L1742">
        <v>0</v>
      </c>
    </row>
    <row r="1743" spans="1:12">
      <c r="A1743" s="93">
        <v>179946</v>
      </c>
      <c r="B1743" t="s">
        <v>2287</v>
      </c>
      <c r="C1743" t="s">
        <v>5602</v>
      </c>
      <c r="D1743" s="92">
        <v>0.65</v>
      </c>
      <c r="E1743" s="92">
        <v>0.47</v>
      </c>
      <c r="F1743">
        <v>21</v>
      </c>
      <c r="G1743">
        <v>23.5</v>
      </c>
      <c r="H1743" t="s">
        <v>5617</v>
      </c>
      <c r="I1743">
        <v>0</v>
      </c>
      <c r="J1743" t="s">
        <v>87</v>
      </c>
      <c r="K1743">
        <v>0</v>
      </c>
      <c r="L1743">
        <v>0</v>
      </c>
    </row>
    <row r="1744" spans="1:12">
      <c r="A1744" s="93">
        <v>179955</v>
      </c>
      <c r="B1744" t="s">
        <v>2288</v>
      </c>
      <c r="C1744" t="s">
        <v>5602</v>
      </c>
      <c r="D1744" s="92">
        <v>0.62</v>
      </c>
      <c r="E1744" s="92">
        <v>0.53</v>
      </c>
      <c r="F1744">
        <v>22</v>
      </c>
      <c r="G1744">
        <v>25</v>
      </c>
      <c r="H1744" t="s">
        <v>5618</v>
      </c>
      <c r="I1744">
        <v>0</v>
      </c>
      <c r="J1744" t="s">
        <v>87</v>
      </c>
      <c r="K1744">
        <v>0</v>
      </c>
      <c r="L1744">
        <v>0</v>
      </c>
    </row>
    <row r="1745" spans="1:12">
      <c r="A1745" s="93">
        <v>179964</v>
      </c>
      <c r="B1745" t="s">
        <v>2289</v>
      </c>
      <c r="C1745" t="s">
        <v>5602</v>
      </c>
      <c r="D1745" s="92">
        <v>0.53</v>
      </c>
      <c r="E1745" s="92">
        <v>0.38</v>
      </c>
      <c r="F1745">
        <v>19</v>
      </c>
      <c r="G1745">
        <v>22</v>
      </c>
      <c r="H1745" t="s">
        <v>5617</v>
      </c>
      <c r="I1745">
        <v>0</v>
      </c>
      <c r="J1745" t="s">
        <v>87</v>
      </c>
      <c r="K1745">
        <v>0</v>
      </c>
      <c r="L1745">
        <v>0</v>
      </c>
    </row>
    <row r="1746" spans="1:12">
      <c r="A1746" s="93">
        <v>179991</v>
      </c>
      <c r="B1746" t="s">
        <v>2290</v>
      </c>
      <c r="C1746" t="s">
        <v>5606</v>
      </c>
      <c r="D1746" s="92" t="s">
        <v>428</v>
      </c>
      <c r="E1746" s="92" t="s">
        <v>428</v>
      </c>
      <c r="F1746" t="s">
        <v>428</v>
      </c>
      <c r="G1746" t="s">
        <v>428</v>
      </c>
      <c r="H1746" t="s">
        <v>5613</v>
      </c>
      <c r="I1746">
        <v>1</v>
      </c>
      <c r="J1746" t="s">
        <v>87</v>
      </c>
      <c r="K1746">
        <v>0</v>
      </c>
      <c r="L1746">
        <v>0</v>
      </c>
    </row>
    <row r="1747" spans="1:12">
      <c r="A1747" s="93">
        <v>180054</v>
      </c>
      <c r="B1747" t="s">
        <v>2291</v>
      </c>
      <c r="C1747" t="s">
        <v>5606</v>
      </c>
      <c r="D1747" s="92" t="s">
        <v>428</v>
      </c>
      <c r="E1747" s="92" t="s">
        <v>428</v>
      </c>
      <c r="F1747" t="s">
        <v>428</v>
      </c>
      <c r="G1747" t="s">
        <v>428</v>
      </c>
      <c r="H1747" t="s">
        <v>5624</v>
      </c>
      <c r="I1747">
        <v>1</v>
      </c>
      <c r="J1747" t="s">
        <v>87</v>
      </c>
      <c r="K1747">
        <v>0</v>
      </c>
      <c r="L1747">
        <v>0</v>
      </c>
    </row>
    <row r="1748" spans="1:12">
      <c r="A1748" s="93">
        <v>180063</v>
      </c>
      <c r="B1748" t="s">
        <v>2292</v>
      </c>
      <c r="C1748" t="s">
        <v>5606</v>
      </c>
      <c r="D1748" s="92" t="s">
        <v>428</v>
      </c>
      <c r="E1748" s="92" t="s">
        <v>428</v>
      </c>
      <c r="F1748" t="s">
        <v>428</v>
      </c>
      <c r="G1748" t="s">
        <v>428</v>
      </c>
      <c r="H1748" t="s">
        <v>5613</v>
      </c>
      <c r="I1748">
        <v>1</v>
      </c>
      <c r="J1748" t="s">
        <v>87</v>
      </c>
      <c r="K1748">
        <v>0</v>
      </c>
      <c r="L1748">
        <v>0</v>
      </c>
    </row>
    <row r="1749" spans="1:12">
      <c r="A1749" s="93">
        <v>180081</v>
      </c>
      <c r="B1749" t="s">
        <v>2293</v>
      </c>
      <c r="C1749" t="s">
        <v>5606</v>
      </c>
      <c r="D1749" s="92">
        <v>0.25</v>
      </c>
      <c r="E1749" s="92">
        <v>0.18</v>
      </c>
      <c r="F1749" t="s">
        <v>428</v>
      </c>
      <c r="G1749" t="s">
        <v>428</v>
      </c>
      <c r="H1749" t="s">
        <v>5615</v>
      </c>
      <c r="I1749">
        <v>0</v>
      </c>
      <c r="J1749" t="s">
        <v>87</v>
      </c>
      <c r="K1749">
        <v>0</v>
      </c>
      <c r="L1749">
        <v>0</v>
      </c>
    </row>
    <row r="1750" spans="1:12">
      <c r="A1750" s="93">
        <v>180090</v>
      </c>
      <c r="B1750" t="s">
        <v>2294</v>
      </c>
      <c r="C1750" t="s">
        <v>5606</v>
      </c>
      <c r="D1750" s="92" t="s">
        <v>428</v>
      </c>
      <c r="E1750" s="92" t="s">
        <v>428</v>
      </c>
      <c r="F1750" t="s">
        <v>428</v>
      </c>
      <c r="G1750" t="s">
        <v>428</v>
      </c>
      <c r="H1750" t="s">
        <v>5624</v>
      </c>
      <c r="I1750">
        <v>1</v>
      </c>
      <c r="J1750" t="s">
        <v>87</v>
      </c>
      <c r="K1750">
        <v>0</v>
      </c>
      <c r="L1750">
        <v>0</v>
      </c>
    </row>
    <row r="1751" spans="1:12">
      <c r="A1751" s="93">
        <v>180106</v>
      </c>
      <c r="B1751" t="s">
        <v>2295</v>
      </c>
      <c r="C1751" t="s">
        <v>5602</v>
      </c>
      <c r="D1751" s="92">
        <v>0.64</v>
      </c>
      <c r="E1751" s="92">
        <v>0.5</v>
      </c>
      <c r="F1751">
        <v>22</v>
      </c>
      <c r="G1751">
        <v>25</v>
      </c>
      <c r="H1751" t="s">
        <v>5617</v>
      </c>
      <c r="I1751">
        <v>0</v>
      </c>
      <c r="J1751" t="s">
        <v>87</v>
      </c>
      <c r="K1751">
        <v>0</v>
      </c>
      <c r="L1751">
        <v>0</v>
      </c>
    </row>
    <row r="1752" spans="1:12">
      <c r="A1752" s="93">
        <v>180151</v>
      </c>
      <c r="B1752" t="s">
        <v>2296</v>
      </c>
      <c r="C1752" t="s">
        <v>5606</v>
      </c>
      <c r="D1752" s="92">
        <v>0.49</v>
      </c>
      <c r="E1752" s="92">
        <v>0.31</v>
      </c>
      <c r="F1752" t="s">
        <v>428</v>
      </c>
      <c r="G1752" t="s">
        <v>428</v>
      </c>
      <c r="H1752" t="s">
        <v>5615</v>
      </c>
      <c r="I1752">
        <v>0</v>
      </c>
      <c r="J1752" t="s">
        <v>87</v>
      </c>
      <c r="K1752">
        <v>0</v>
      </c>
      <c r="L1752">
        <v>0</v>
      </c>
    </row>
    <row r="1753" spans="1:12">
      <c r="A1753" s="93">
        <v>180160</v>
      </c>
      <c r="B1753" t="s">
        <v>2297</v>
      </c>
      <c r="C1753" t="s">
        <v>5606</v>
      </c>
      <c r="D1753" s="92" t="s">
        <v>428</v>
      </c>
      <c r="E1753" s="92" t="s">
        <v>428</v>
      </c>
      <c r="F1753" t="s">
        <v>428</v>
      </c>
      <c r="G1753" t="s">
        <v>428</v>
      </c>
      <c r="H1753" t="s">
        <v>5615</v>
      </c>
      <c r="I1753">
        <v>0</v>
      </c>
      <c r="J1753" t="s">
        <v>87</v>
      </c>
      <c r="K1753">
        <v>0</v>
      </c>
      <c r="L1753">
        <v>0</v>
      </c>
    </row>
    <row r="1754" spans="1:12">
      <c r="A1754" s="93">
        <v>180179</v>
      </c>
      <c r="B1754" t="s">
        <v>2298</v>
      </c>
      <c r="C1754" t="s">
        <v>5602</v>
      </c>
      <c r="D1754" s="92">
        <v>0.24</v>
      </c>
      <c r="E1754" s="92">
        <v>0.15</v>
      </c>
      <c r="F1754" t="s">
        <v>428</v>
      </c>
      <c r="G1754" t="s">
        <v>428</v>
      </c>
      <c r="H1754" t="s">
        <v>5615</v>
      </c>
      <c r="I1754">
        <v>0</v>
      </c>
      <c r="J1754" t="s">
        <v>87</v>
      </c>
      <c r="K1754">
        <v>0</v>
      </c>
      <c r="L1754">
        <v>0</v>
      </c>
    </row>
    <row r="1755" spans="1:12">
      <c r="A1755" s="93">
        <v>180197</v>
      </c>
      <c r="B1755" t="s">
        <v>2299</v>
      </c>
      <c r="C1755" t="s">
        <v>5606</v>
      </c>
      <c r="D1755" s="92">
        <v>0.34</v>
      </c>
      <c r="E1755" s="92">
        <v>0.14</v>
      </c>
      <c r="F1755" t="s">
        <v>428</v>
      </c>
      <c r="G1755" t="s">
        <v>428</v>
      </c>
      <c r="H1755" t="s">
        <v>5615</v>
      </c>
      <c r="I1755">
        <v>0</v>
      </c>
      <c r="J1755" t="s">
        <v>87</v>
      </c>
      <c r="K1755">
        <v>0</v>
      </c>
      <c r="L1755">
        <v>0</v>
      </c>
    </row>
    <row r="1756" spans="1:12">
      <c r="A1756" s="93">
        <v>180203</v>
      </c>
      <c r="B1756" t="s">
        <v>2300</v>
      </c>
      <c r="C1756" t="s">
        <v>5606</v>
      </c>
      <c r="D1756" s="92">
        <v>0.38</v>
      </c>
      <c r="E1756" s="92">
        <v>1</v>
      </c>
      <c r="F1756" t="s">
        <v>428</v>
      </c>
      <c r="G1756" t="s">
        <v>428</v>
      </c>
      <c r="H1756" t="s">
        <v>5615</v>
      </c>
      <c r="I1756">
        <v>0</v>
      </c>
      <c r="J1756" t="s">
        <v>87</v>
      </c>
      <c r="K1756">
        <v>0</v>
      </c>
      <c r="L1756">
        <v>0</v>
      </c>
    </row>
    <row r="1757" spans="1:12">
      <c r="A1757" s="93">
        <v>180212</v>
      </c>
      <c r="B1757" t="s">
        <v>2301</v>
      </c>
      <c r="C1757" t="s">
        <v>5606</v>
      </c>
      <c r="D1757" s="92">
        <v>0.12</v>
      </c>
      <c r="E1757" s="92">
        <v>0.7</v>
      </c>
      <c r="F1757" t="s">
        <v>428</v>
      </c>
      <c r="G1757" t="s">
        <v>428</v>
      </c>
      <c r="H1757" t="s">
        <v>5615</v>
      </c>
      <c r="I1757">
        <v>0</v>
      </c>
      <c r="J1757" t="s">
        <v>87</v>
      </c>
      <c r="K1757">
        <v>0</v>
      </c>
      <c r="L1757">
        <v>0</v>
      </c>
    </row>
    <row r="1758" spans="1:12">
      <c r="A1758" s="93">
        <v>180249</v>
      </c>
      <c r="B1758" t="s">
        <v>2302</v>
      </c>
      <c r="C1758" t="s">
        <v>5606</v>
      </c>
      <c r="D1758" s="92">
        <v>0.28</v>
      </c>
      <c r="E1758" s="92">
        <v>0.21</v>
      </c>
      <c r="F1758" t="s">
        <v>428</v>
      </c>
      <c r="G1758" t="s">
        <v>428</v>
      </c>
      <c r="H1758" t="s">
        <v>5615</v>
      </c>
      <c r="I1758">
        <v>0</v>
      </c>
      <c r="J1758" t="s">
        <v>87</v>
      </c>
      <c r="K1758">
        <v>0</v>
      </c>
      <c r="L1758">
        <v>0</v>
      </c>
    </row>
    <row r="1759" spans="1:12">
      <c r="A1759" s="93">
        <v>180258</v>
      </c>
      <c r="B1759" t="s">
        <v>2303</v>
      </c>
      <c r="C1759" t="s">
        <v>5602</v>
      </c>
      <c r="D1759" s="92">
        <v>0.34</v>
      </c>
      <c r="E1759" s="92">
        <v>0.38</v>
      </c>
      <c r="F1759" t="s">
        <v>428</v>
      </c>
      <c r="G1759" t="s">
        <v>428</v>
      </c>
      <c r="H1759" t="s">
        <v>5617</v>
      </c>
      <c r="I1759">
        <v>0</v>
      </c>
      <c r="J1759" t="s">
        <v>87</v>
      </c>
      <c r="K1759">
        <v>0</v>
      </c>
      <c r="L1759">
        <v>0</v>
      </c>
    </row>
    <row r="1760" spans="1:12">
      <c r="A1760" s="93">
        <v>180276</v>
      </c>
      <c r="B1760" t="s">
        <v>2304</v>
      </c>
      <c r="C1760" t="s">
        <v>5606</v>
      </c>
      <c r="D1760" s="92">
        <v>0.34</v>
      </c>
      <c r="E1760" s="92">
        <v>0.19</v>
      </c>
      <c r="F1760" t="s">
        <v>428</v>
      </c>
      <c r="G1760" t="s">
        <v>428</v>
      </c>
      <c r="H1760" t="s">
        <v>5615</v>
      </c>
      <c r="I1760">
        <v>0</v>
      </c>
      <c r="J1760" t="s">
        <v>87</v>
      </c>
      <c r="K1760">
        <v>0</v>
      </c>
      <c r="L1760">
        <v>0</v>
      </c>
    </row>
    <row r="1761" spans="1:12">
      <c r="A1761" s="93">
        <v>180328</v>
      </c>
      <c r="B1761" t="s">
        <v>2305</v>
      </c>
      <c r="C1761" t="s">
        <v>5606</v>
      </c>
      <c r="D1761" s="92" t="s">
        <v>428</v>
      </c>
      <c r="E1761" s="92" t="s">
        <v>428</v>
      </c>
      <c r="F1761" t="s">
        <v>428</v>
      </c>
      <c r="G1761" t="s">
        <v>428</v>
      </c>
      <c r="H1761" t="s">
        <v>5615</v>
      </c>
      <c r="I1761">
        <v>0</v>
      </c>
      <c r="J1761" t="s">
        <v>87</v>
      </c>
      <c r="K1761">
        <v>0</v>
      </c>
      <c r="L1761">
        <v>0</v>
      </c>
    </row>
    <row r="1762" spans="1:12">
      <c r="A1762" s="93">
        <v>180373</v>
      </c>
      <c r="B1762" t="s">
        <v>2306</v>
      </c>
      <c r="C1762" t="s">
        <v>5606</v>
      </c>
      <c r="D1762" s="92">
        <v>0.51</v>
      </c>
      <c r="E1762" s="92">
        <v>0.38</v>
      </c>
      <c r="F1762" t="s">
        <v>428</v>
      </c>
      <c r="G1762" t="s">
        <v>428</v>
      </c>
      <c r="H1762" t="s">
        <v>5615</v>
      </c>
      <c r="I1762">
        <v>0</v>
      </c>
      <c r="J1762" t="s">
        <v>87</v>
      </c>
      <c r="K1762">
        <v>0</v>
      </c>
      <c r="L1762">
        <v>0</v>
      </c>
    </row>
    <row r="1763" spans="1:12">
      <c r="A1763" s="93">
        <v>180416</v>
      </c>
      <c r="B1763" t="s">
        <v>2307</v>
      </c>
      <c r="C1763" t="s">
        <v>5602</v>
      </c>
      <c r="D1763" s="92">
        <v>0.41</v>
      </c>
      <c r="E1763" s="92">
        <v>0.45</v>
      </c>
      <c r="F1763">
        <v>22</v>
      </c>
      <c r="G1763">
        <v>24</v>
      </c>
      <c r="H1763" t="s">
        <v>5615</v>
      </c>
      <c r="I1763">
        <v>0</v>
      </c>
      <c r="J1763" t="s">
        <v>87</v>
      </c>
      <c r="K1763">
        <v>0</v>
      </c>
      <c r="L1763">
        <v>0</v>
      </c>
    </row>
    <row r="1764" spans="1:12">
      <c r="A1764" s="93">
        <v>180461</v>
      </c>
      <c r="B1764" t="s">
        <v>2308</v>
      </c>
      <c r="C1764" t="s">
        <v>5602</v>
      </c>
      <c r="D1764" s="92">
        <v>0.52</v>
      </c>
      <c r="E1764" s="92">
        <v>0.36</v>
      </c>
      <c r="F1764">
        <v>21</v>
      </c>
      <c r="G1764">
        <v>24.5</v>
      </c>
      <c r="H1764" t="s">
        <v>5615</v>
      </c>
      <c r="I1764">
        <v>0</v>
      </c>
      <c r="J1764" t="s">
        <v>87</v>
      </c>
      <c r="K1764">
        <v>0</v>
      </c>
      <c r="L1764">
        <v>0</v>
      </c>
    </row>
    <row r="1765" spans="1:12">
      <c r="A1765" s="93">
        <v>180489</v>
      </c>
      <c r="B1765" t="s">
        <v>2309</v>
      </c>
      <c r="C1765" t="s">
        <v>5602</v>
      </c>
      <c r="D1765" s="92">
        <v>0.48</v>
      </c>
      <c r="E1765" s="92">
        <v>0.34</v>
      </c>
      <c r="F1765">
        <v>20</v>
      </c>
      <c r="G1765">
        <v>23</v>
      </c>
      <c r="H1765" t="s">
        <v>5615</v>
      </c>
      <c r="I1765">
        <v>0</v>
      </c>
      <c r="J1765" t="s">
        <v>87</v>
      </c>
      <c r="K1765">
        <v>0</v>
      </c>
      <c r="L1765">
        <v>0</v>
      </c>
    </row>
    <row r="1766" spans="1:12">
      <c r="A1766" s="93">
        <v>180522</v>
      </c>
      <c r="B1766" t="s">
        <v>2310</v>
      </c>
      <c r="C1766" t="s">
        <v>5604</v>
      </c>
      <c r="D1766" s="92">
        <v>0.23</v>
      </c>
      <c r="E1766" s="92">
        <v>0</v>
      </c>
      <c r="F1766">
        <v>16</v>
      </c>
      <c r="G1766">
        <v>19</v>
      </c>
      <c r="H1766" t="s">
        <v>5615</v>
      </c>
      <c r="I1766">
        <v>0</v>
      </c>
      <c r="J1766" t="s">
        <v>87</v>
      </c>
      <c r="K1766">
        <v>0</v>
      </c>
      <c r="L1766">
        <v>0</v>
      </c>
    </row>
    <row r="1767" spans="1:12">
      <c r="A1767" s="93">
        <v>180595</v>
      </c>
      <c r="B1767" t="s">
        <v>2311</v>
      </c>
      <c r="C1767" t="s">
        <v>5602</v>
      </c>
      <c r="D1767" s="92">
        <v>0.45</v>
      </c>
      <c r="E1767" s="92">
        <v>0.33</v>
      </c>
      <c r="F1767">
        <v>20</v>
      </c>
      <c r="G1767">
        <v>22</v>
      </c>
      <c r="H1767" t="s">
        <v>5617</v>
      </c>
      <c r="I1767">
        <v>0</v>
      </c>
      <c r="J1767" t="s">
        <v>87</v>
      </c>
      <c r="K1767">
        <v>0</v>
      </c>
      <c r="L1767">
        <v>0</v>
      </c>
    </row>
    <row r="1768" spans="1:12">
      <c r="A1768" s="93">
        <v>180647</v>
      </c>
      <c r="B1768" t="s">
        <v>2312</v>
      </c>
      <c r="C1768" t="s">
        <v>5604</v>
      </c>
      <c r="D1768" s="92">
        <v>0.29</v>
      </c>
      <c r="E1768" s="92">
        <v>0</v>
      </c>
      <c r="F1768" t="s">
        <v>428</v>
      </c>
      <c r="G1768" t="s">
        <v>428</v>
      </c>
      <c r="H1768" t="s">
        <v>5613</v>
      </c>
      <c r="I1768">
        <v>1</v>
      </c>
      <c r="J1768" t="s">
        <v>87</v>
      </c>
      <c r="K1768">
        <v>0</v>
      </c>
      <c r="L1768">
        <v>0</v>
      </c>
    </row>
    <row r="1769" spans="1:12">
      <c r="A1769" s="93">
        <v>180692</v>
      </c>
      <c r="B1769" t="s">
        <v>2313</v>
      </c>
      <c r="C1769" t="s">
        <v>5608</v>
      </c>
      <c r="D1769" s="92">
        <v>0.48</v>
      </c>
      <c r="E1769" s="92">
        <v>0.64</v>
      </c>
      <c r="F1769" t="s">
        <v>428</v>
      </c>
      <c r="G1769" t="s">
        <v>428</v>
      </c>
      <c r="H1769" t="s">
        <v>5615</v>
      </c>
      <c r="I1769">
        <v>0</v>
      </c>
      <c r="J1769" t="s">
        <v>87</v>
      </c>
      <c r="K1769">
        <v>0</v>
      </c>
      <c r="L1769">
        <v>0</v>
      </c>
    </row>
    <row r="1770" spans="1:12">
      <c r="A1770" s="93">
        <v>180771</v>
      </c>
      <c r="B1770" t="s">
        <v>2314</v>
      </c>
      <c r="C1770" t="s">
        <v>5606</v>
      </c>
      <c r="D1770" s="92" t="s">
        <v>428</v>
      </c>
      <c r="E1770" s="92" t="s">
        <v>428</v>
      </c>
      <c r="F1770" t="s">
        <v>428</v>
      </c>
      <c r="G1770" t="s">
        <v>428</v>
      </c>
      <c r="H1770" t="s">
        <v>5616</v>
      </c>
      <c r="I1770">
        <v>0</v>
      </c>
      <c r="J1770" t="s">
        <v>87</v>
      </c>
      <c r="K1770">
        <v>0</v>
      </c>
      <c r="L1770">
        <v>0</v>
      </c>
    </row>
    <row r="1771" spans="1:12">
      <c r="A1771" s="93">
        <v>180814</v>
      </c>
      <c r="B1771" t="s">
        <v>2315</v>
      </c>
      <c r="C1771" t="s">
        <v>5604</v>
      </c>
      <c r="D1771" s="92">
        <v>0.25</v>
      </c>
      <c r="E1771" s="92">
        <v>0.26</v>
      </c>
      <c r="F1771" t="s">
        <v>428</v>
      </c>
      <c r="G1771" t="s">
        <v>428</v>
      </c>
      <c r="H1771" t="s">
        <v>5616</v>
      </c>
      <c r="I1771">
        <v>0</v>
      </c>
      <c r="J1771" t="s">
        <v>87</v>
      </c>
      <c r="K1771">
        <v>0</v>
      </c>
      <c r="L1771">
        <v>0</v>
      </c>
    </row>
    <row r="1772" spans="1:12">
      <c r="A1772" s="93">
        <v>180832</v>
      </c>
      <c r="B1772" t="s">
        <v>2316</v>
      </c>
      <c r="C1772" t="s">
        <v>5602</v>
      </c>
      <c r="D1772" s="92">
        <v>0.35</v>
      </c>
      <c r="E1772" s="92">
        <v>0.5</v>
      </c>
      <c r="F1772">
        <v>21</v>
      </c>
      <c r="G1772">
        <v>23.5</v>
      </c>
      <c r="H1772" t="s">
        <v>5617</v>
      </c>
      <c r="I1772">
        <v>0</v>
      </c>
      <c r="J1772" t="s">
        <v>87</v>
      </c>
      <c r="K1772">
        <v>0</v>
      </c>
      <c r="L1772">
        <v>0</v>
      </c>
    </row>
    <row r="1773" spans="1:12">
      <c r="A1773" s="93">
        <v>180878</v>
      </c>
      <c r="B1773" t="s">
        <v>2317</v>
      </c>
      <c r="C1773" t="s">
        <v>5604</v>
      </c>
      <c r="D1773" s="92">
        <v>0.76</v>
      </c>
      <c r="E1773" s="92">
        <v>0.5</v>
      </c>
      <c r="F1773">
        <v>21</v>
      </c>
      <c r="G1773">
        <v>24</v>
      </c>
      <c r="H1773" t="s">
        <v>5617</v>
      </c>
      <c r="I1773">
        <v>0</v>
      </c>
      <c r="J1773" t="s">
        <v>87</v>
      </c>
      <c r="K1773">
        <v>0</v>
      </c>
      <c r="L1773">
        <v>0</v>
      </c>
    </row>
    <row r="1774" spans="1:12">
      <c r="A1774" s="93">
        <v>180902</v>
      </c>
      <c r="B1774" t="s">
        <v>2318</v>
      </c>
      <c r="C1774" t="s">
        <v>5606</v>
      </c>
      <c r="D1774" s="92">
        <v>0.44</v>
      </c>
      <c r="E1774" s="92">
        <v>0.37</v>
      </c>
      <c r="F1774" t="s">
        <v>428</v>
      </c>
      <c r="G1774" t="s">
        <v>428</v>
      </c>
      <c r="H1774" t="s">
        <v>5615</v>
      </c>
      <c r="I1774">
        <v>0</v>
      </c>
      <c r="J1774" t="s">
        <v>87</v>
      </c>
      <c r="K1774">
        <v>0</v>
      </c>
      <c r="L1774">
        <v>0</v>
      </c>
    </row>
    <row r="1775" spans="1:12">
      <c r="A1775" s="93">
        <v>180948</v>
      </c>
      <c r="B1775" t="s">
        <v>2319</v>
      </c>
      <c r="C1775" t="s">
        <v>5604</v>
      </c>
      <c r="D1775" s="92">
        <v>0.41</v>
      </c>
      <c r="E1775" s="92">
        <v>0.27</v>
      </c>
      <c r="F1775" t="s">
        <v>428</v>
      </c>
      <c r="G1775" t="s">
        <v>428</v>
      </c>
      <c r="H1775" t="s">
        <v>5615</v>
      </c>
      <c r="I1775">
        <v>0</v>
      </c>
      <c r="J1775" t="s">
        <v>87</v>
      </c>
      <c r="K1775">
        <v>0</v>
      </c>
      <c r="L1775">
        <v>0</v>
      </c>
    </row>
    <row r="1776" spans="1:12">
      <c r="A1776" s="93">
        <v>180957</v>
      </c>
      <c r="B1776" t="s">
        <v>2320</v>
      </c>
      <c r="C1776" t="s">
        <v>5606</v>
      </c>
      <c r="D1776" s="92" t="s">
        <v>428</v>
      </c>
      <c r="E1776" s="92" t="s">
        <v>428</v>
      </c>
      <c r="F1776" t="s">
        <v>428</v>
      </c>
      <c r="G1776" t="s">
        <v>428</v>
      </c>
      <c r="H1776" t="s">
        <v>5613</v>
      </c>
      <c r="I1776">
        <v>1</v>
      </c>
      <c r="J1776" t="s">
        <v>87</v>
      </c>
      <c r="K1776">
        <v>0</v>
      </c>
      <c r="L1776">
        <v>0</v>
      </c>
    </row>
    <row r="1777" spans="1:12">
      <c r="A1777" s="93">
        <v>180984</v>
      </c>
      <c r="B1777" t="s">
        <v>2321</v>
      </c>
      <c r="C1777" t="s">
        <v>5603</v>
      </c>
      <c r="D1777" s="92">
        <v>0.64</v>
      </c>
      <c r="E1777" s="92">
        <v>0.27</v>
      </c>
      <c r="F1777">
        <v>20</v>
      </c>
      <c r="G1777">
        <v>23.5</v>
      </c>
      <c r="H1777" t="s">
        <v>5617</v>
      </c>
      <c r="I1777">
        <v>0</v>
      </c>
      <c r="J1777" t="s">
        <v>87</v>
      </c>
      <c r="K1777">
        <v>0</v>
      </c>
      <c r="L1777">
        <v>0</v>
      </c>
    </row>
    <row r="1778" spans="1:12">
      <c r="A1778" s="93">
        <v>181002</v>
      </c>
      <c r="B1778" t="s">
        <v>2322</v>
      </c>
      <c r="C1778" t="s">
        <v>5603</v>
      </c>
      <c r="D1778" s="92">
        <v>0.73</v>
      </c>
      <c r="E1778" s="92">
        <v>0.66</v>
      </c>
      <c r="F1778">
        <v>24</v>
      </c>
      <c r="G1778">
        <v>27</v>
      </c>
      <c r="H1778" t="s">
        <v>5617</v>
      </c>
      <c r="I1778">
        <v>0</v>
      </c>
      <c r="J1778" t="s">
        <v>87</v>
      </c>
      <c r="K1778">
        <v>0</v>
      </c>
      <c r="L1778">
        <v>0</v>
      </c>
    </row>
    <row r="1779" spans="1:12">
      <c r="A1779" s="93">
        <v>181020</v>
      </c>
      <c r="B1779" t="s">
        <v>2323</v>
      </c>
      <c r="C1779" t="s">
        <v>5603</v>
      </c>
      <c r="D1779" s="92">
        <v>0.6</v>
      </c>
      <c r="E1779" s="92">
        <v>0.44</v>
      </c>
      <c r="F1779">
        <v>21</v>
      </c>
      <c r="G1779">
        <v>23.5</v>
      </c>
      <c r="H1779" t="s">
        <v>5617</v>
      </c>
      <c r="I1779">
        <v>0</v>
      </c>
      <c r="J1779" t="s">
        <v>87</v>
      </c>
      <c r="K1779">
        <v>0</v>
      </c>
      <c r="L1779">
        <v>0</v>
      </c>
    </row>
    <row r="1780" spans="1:12">
      <c r="A1780" s="93">
        <v>181093</v>
      </c>
      <c r="B1780" t="s">
        <v>2324</v>
      </c>
      <c r="C1780" t="s">
        <v>5602</v>
      </c>
      <c r="D1780" s="92">
        <v>0.48</v>
      </c>
      <c r="E1780" s="92">
        <v>0.25</v>
      </c>
      <c r="F1780">
        <v>17</v>
      </c>
      <c r="G1780">
        <v>21</v>
      </c>
      <c r="H1780" t="s">
        <v>5617</v>
      </c>
      <c r="I1780">
        <v>0</v>
      </c>
      <c r="J1780" t="s">
        <v>87</v>
      </c>
      <c r="K1780">
        <v>0</v>
      </c>
      <c r="L1780">
        <v>0</v>
      </c>
    </row>
    <row r="1781" spans="1:12">
      <c r="A1781" s="93">
        <v>181127</v>
      </c>
      <c r="B1781" t="s">
        <v>2325</v>
      </c>
      <c r="C1781" t="s">
        <v>5602</v>
      </c>
      <c r="D1781" s="92">
        <v>0.58</v>
      </c>
      <c r="E1781" s="92">
        <v>0.45</v>
      </c>
      <c r="F1781">
        <v>20</v>
      </c>
      <c r="G1781">
        <v>23</v>
      </c>
      <c r="H1781" t="s">
        <v>5616</v>
      </c>
      <c r="I1781">
        <v>0</v>
      </c>
      <c r="J1781" t="s">
        <v>87</v>
      </c>
      <c r="K1781">
        <v>0</v>
      </c>
      <c r="L1781">
        <v>0</v>
      </c>
    </row>
    <row r="1782" spans="1:12">
      <c r="A1782" s="93">
        <v>181145</v>
      </c>
      <c r="B1782" t="s">
        <v>2326</v>
      </c>
      <c r="C1782" t="s">
        <v>5606</v>
      </c>
      <c r="D1782" s="92" t="s">
        <v>428</v>
      </c>
      <c r="E1782" s="92" t="s">
        <v>428</v>
      </c>
      <c r="F1782" t="s">
        <v>428</v>
      </c>
      <c r="G1782" t="s">
        <v>428</v>
      </c>
      <c r="H1782" t="s">
        <v>5615</v>
      </c>
      <c r="I1782">
        <v>0</v>
      </c>
      <c r="J1782" t="s">
        <v>87</v>
      </c>
      <c r="K1782">
        <v>0</v>
      </c>
      <c r="L1782">
        <v>0</v>
      </c>
    </row>
    <row r="1783" spans="1:12">
      <c r="A1783" s="93">
        <v>181190</v>
      </c>
      <c r="B1783" t="s">
        <v>2327</v>
      </c>
      <c r="C1783" t="s">
        <v>5606</v>
      </c>
      <c r="D1783" s="92" t="s">
        <v>428</v>
      </c>
      <c r="E1783" s="92" t="s">
        <v>428</v>
      </c>
      <c r="F1783" t="s">
        <v>428</v>
      </c>
      <c r="G1783" t="s">
        <v>428</v>
      </c>
      <c r="H1783" t="s">
        <v>5616</v>
      </c>
      <c r="I1783">
        <v>0</v>
      </c>
      <c r="J1783" t="s">
        <v>87</v>
      </c>
      <c r="K1783">
        <v>0</v>
      </c>
      <c r="L1783">
        <v>0</v>
      </c>
    </row>
    <row r="1784" spans="1:12">
      <c r="A1784" s="93">
        <v>181215</v>
      </c>
      <c r="B1784" t="s">
        <v>2328</v>
      </c>
      <c r="C1784" t="s">
        <v>5608</v>
      </c>
      <c r="D1784" s="92">
        <v>0.57</v>
      </c>
      <c r="E1784" s="92">
        <v>0.37</v>
      </c>
      <c r="F1784">
        <v>19</v>
      </c>
      <c r="G1784">
        <v>22</v>
      </c>
      <c r="H1784" t="s">
        <v>5615</v>
      </c>
      <c r="I1784">
        <v>0</v>
      </c>
      <c r="J1784" t="s">
        <v>87</v>
      </c>
      <c r="K1784">
        <v>0</v>
      </c>
      <c r="L1784">
        <v>0</v>
      </c>
    </row>
    <row r="1785" spans="1:12">
      <c r="A1785" s="93">
        <v>181242</v>
      </c>
      <c r="B1785" t="s">
        <v>2329</v>
      </c>
      <c r="C1785" t="s">
        <v>5604</v>
      </c>
      <c r="D1785" s="92" t="s">
        <v>428</v>
      </c>
      <c r="E1785" s="92" t="s">
        <v>428</v>
      </c>
      <c r="F1785" t="s">
        <v>428</v>
      </c>
      <c r="G1785" t="s">
        <v>428</v>
      </c>
      <c r="H1785" t="s">
        <v>5617</v>
      </c>
      <c r="I1785">
        <v>0</v>
      </c>
      <c r="J1785" t="s">
        <v>87</v>
      </c>
      <c r="K1785">
        <v>0</v>
      </c>
      <c r="L1785">
        <v>0</v>
      </c>
    </row>
    <row r="1786" spans="1:12">
      <c r="A1786" s="93">
        <v>181297</v>
      </c>
      <c r="B1786" t="s">
        <v>2330</v>
      </c>
      <c r="C1786" t="s">
        <v>5610</v>
      </c>
      <c r="D1786" s="92">
        <v>0.6</v>
      </c>
      <c r="E1786" s="92">
        <v>0.67</v>
      </c>
      <c r="F1786">
        <v>21</v>
      </c>
      <c r="G1786">
        <v>22.5</v>
      </c>
      <c r="H1786" t="s">
        <v>5616</v>
      </c>
      <c r="I1786">
        <v>0</v>
      </c>
      <c r="J1786" t="s">
        <v>87</v>
      </c>
      <c r="K1786">
        <v>0</v>
      </c>
      <c r="L1786">
        <v>0</v>
      </c>
    </row>
    <row r="1787" spans="1:12">
      <c r="A1787" s="93">
        <v>181303</v>
      </c>
      <c r="B1787" t="s">
        <v>2331</v>
      </c>
      <c r="C1787" t="s">
        <v>5606</v>
      </c>
      <c r="D1787" s="92">
        <v>0.23</v>
      </c>
      <c r="E1787" s="92">
        <v>0.16</v>
      </c>
      <c r="F1787" t="s">
        <v>428</v>
      </c>
      <c r="G1787" t="s">
        <v>428</v>
      </c>
      <c r="H1787" t="s">
        <v>5615</v>
      </c>
      <c r="I1787">
        <v>0</v>
      </c>
      <c r="J1787" t="s">
        <v>87</v>
      </c>
      <c r="K1787">
        <v>0</v>
      </c>
      <c r="L1787">
        <v>0</v>
      </c>
    </row>
    <row r="1788" spans="1:12">
      <c r="A1788" s="93">
        <v>181312</v>
      </c>
      <c r="B1788" t="s">
        <v>2332</v>
      </c>
      <c r="C1788" t="s">
        <v>5606</v>
      </c>
      <c r="D1788" s="92">
        <v>0.45</v>
      </c>
      <c r="E1788" s="92">
        <v>0.46</v>
      </c>
      <c r="F1788" t="s">
        <v>428</v>
      </c>
      <c r="G1788" t="s">
        <v>428</v>
      </c>
      <c r="H1788" t="s">
        <v>5615</v>
      </c>
      <c r="I1788">
        <v>0</v>
      </c>
      <c r="J1788" t="s">
        <v>87</v>
      </c>
      <c r="K1788">
        <v>0</v>
      </c>
      <c r="L1788">
        <v>0</v>
      </c>
    </row>
    <row r="1789" spans="1:12">
      <c r="A1789" s="93">
        <v>181330</v>
      </c>
      <c r="B1789" t="s">
        <v>2333</v>
      </c>
      <c r="C1789" t="s">
        <v>5610</v>
      </c>
      <c r="D1789" s="92">
        <v>0.46</v>
      </c>
      <c r="E1789" s="92">
        <v>0.25</v>
      </c>
      <c r="F1789">
        <v>19</v>
      </c>
      <c r="G1789">
        <v>21.5</v>
      </c>
      <c r="H1789" t="s">
        <v>5617</v>
      </c>
      <c r="I1789">
        <v>0</v>
      </c>
      <c r="J1789" t="s">
        <v>87</v>
      </c>
      <c r="K1789">
        <v>0</v>
      </c>
      <c r="L1789">
        <v>0</v>
      </c>
    </row>
    <row r="1790" spans="1:12">
      <c r="A1790" s="93">
        <v>181376</v>
      </c>
      <c r="B1790" t="s">
        <v>2334</v>
      </c>
      <c r="C1790" t="s">
        <v>5604</v>
      </c>
      <c r="D1790" s="92">
        <v>0.37</v>
      </c>
      <c r="E1790" s="92">
        <v>0.14</v>
      </c>
      <c r="F1790">
        <v>3</v>
      </c>
      <c r="G1790">
        <v>5.5</v>
      </c>
      <c r="H1790" t="s">
        <v>5617</v>
      </c>
      <c r="I1790">
        <v>0</v>
      </c>
      <c r="J1790" t="s">
        <v>87</v>
      </c>
      <c r="K1790">
        <v>0</v>
      </c>
      <c r="L1790">
        <v>0</v>
      </c>
    </row>
    <row r="1791" spans="1:12">
      <c r="A1791" s="93">
        <v>181394</v>
      </c>
      <c r="B1791" t="s">
        <v>2335</v>
      </c>
      <c r="C1791" t="s">
        <v>5602</v>
      </c>
      <c r="D1791" s="92">
        <v>0.45</v>
      </c>
      <c r="E1791" s="92">
        <v>0.34</v>
      </c>
      <c r="F1791">
        <v>19</v>
      </c>
      <c r="G1791">
        <v>22.5</v>
      </c>
      <c r="H1791" t="s">
        <v>5615</v>
      </c>
      <c r="I1791">
        <v>0</v>
      </c>
      <c r="J1791" t="s">
        <v>87</v>
      </c>
      <c r="K1791">
        <v>0</v>
      </c>
      <c r="L1791">
        <v>0</v>
      </c>
    </row>
    <row r="1792" spans="1:12">
      <c r="A1792" s="93">
        <v>181400</v>
      </c>
      <c r="B1792" t="s">
        <v>2336</v>
      </c>
      <c r="C1792" t="s">
        <v>5604</v>
      </c>
      <c r="D1792" s="92" t="s">
        <v>428</v>
      </c>
      <c r="E1792" s="92" t="s">
        <v>428</v>
      </c>
      <c r="F1792" t="s">
        <v>428</v>
      </c>
      <c r="G1792" t="s">
        <v>428</v>
      </c>
      <c r="H1792" t="s">
        <v>5617</v>
      </c>
      <c r="I1792">
        <v>0</v>
      </c>
      <c r="J1792" t="s">
        <v>87</v>
      </c>
      <c r="K1792">
        <v>0</v>
      </c>
      <c r="L1792">
        <v>0</v>
      </c>
    </row>
    <row r="1793" spans="1:12">
      <c r="A1793" s="93">
        <v>181419</v>
      </c>
      <c r="B1793" t="s">
        <v>2337</v>
      </c>
      <c r="C1793" t="s">
        <v>5606</v>
      </c>
      <c r="D1793" s="92" t="s">
        <v>428</v>
      </c>
      <c r="E1793" s="92" t="s">
        <v>428</v>
      </c>
      <c r="F1793" t="s">
        <v>428</v>
      </c>
      <c r="G1793" t="s">
        <v>428</v>
      </c>
      <c r="H1793" t="s">
        <v>5615</v>
      </c>
      <c r="I1793">
        <v>0</v>
      </c>
      <c r="J1793" t="s">
        <v>87</v>
      </c>
      <c r="K1793">
        <v>0</v>
      </c>
      <c r="L1793">
        <v>0</v>
      </c>
    </row>
    <row r="1794" spans="1:12">
      <c r="A1794" s="93">
        <v>181428</v>
      </c>
      <c r="B1794" t="s">
        <v>2338</v>
      </c>
      <c r="C1794" t="s">
        <v>5607</v>
      </c>
      <c r="D1794" s="92" t="s">
        <v>428</v>
      </c>
      <c r="E1794" s="92" t="s">
        <v>428</v>
      </c>
      <c r="F1794" t="s">
        <v>428</v>
      </c>
      <c r="G1794" t="s">
        <v>428</v>
      </c>
      <c r="H1794" t="s">
        <v>5615</v>
      </c>
      <c r="I1794">
        <v>0</v>
      </c>
      <c r="J1794" t="s">
        <v>87</v>
      </c>
      <c r="K1794">
        <v>0</v>
      </c>
      <c r="L1794">
        <v>0</v>
      </c>
    </row>
    <row r="1795" spans="1:12">
      <c r="A1795" s="93">
        <v>181446</v>
      </c>
      <c r="B1795" t="s">
        <v>2339</v>
      </c>
      <c r="C1795" t="s">
        <v>5602</v>
      </c>
      <c r="D1795" s="92">
        <v>0.67</v>
      </c>
      <c r="E1795" s="92">
        <v>0.57</v>
      </c>
      <c r="F1795">
        <v>21</v>
      </c>
      <c r="G1795">
        <v>24</v>
      </c>
      <c r="H1795" t="s">
        <v>5617</v>
      </c>
      <c r="I1795">
        <v>0</v>
      </c>
      <c r="J1795" t="s">
        <v>87</v>
      </c>
      <c r="K1795">
        <v>0</v>
      </c>
      <c r="L1795">
        <v>0</v>
      </c>
    </row>
    <row r="1796" spans="1:12">
      <c r="A1796" s="93">
        <v>181464</v>
      </c>
      <c r="B1796" t="s">
        <v>2340</v>
      </c>
      <c r="C1796" t="s">
        <v>5603</v>
      </c>
      <c r="D1796" s="92">
        <v>0.67</v>
      </c>
      <c r="E1796" s="92">
        <v>0.57</v>
      </c>
      <c r="F1796">
        <v>22</v>
      </c>
      <c r="G1796">
        <v>25</v>
      </c>
      <c r="H1796" t="s">
        <v>5615</v>
      </c>
      <c r="I1796">
        <v>0</v>
      </c>
      <c r="J1796" t="s">
        <v>87</v>
      </c>
      <c r="K1796">
        <v>0</v>
      </c>
      <c r="L1796">
        <v>0</v>
      </c>
    </row>
    <row r="1797" spans="1:12">
      <c r="A1797" s="93">
        <v>181491</v>
      </c>
      <c r="B1797" t="s">
        <v>2341</v>
      </c>
      <c r="C1797" t="s">
        <v>5606</v>
      </c>
      <c r="D1797" s="92">
        <v>0.5600000000000001</v>
      </c>
      <c r="E1797" s="92">
        <v>0.42</v>
      </c>
      <c r="F1797" t="s">
        <v>428</v>
      </c>
      <c r="G1797" t="s">
        <v>428</v>
      </c>
      <c r="H1797" t="s">
        <v>5615</v>
      </c>
      <c r="I1797">
        <v>0</v>
      </c>
      <c r="J1797" t="s">
        <v>87</v>
      </c>
      <c r="K1797">
        <v>0</v>
      </c>
      <c r="L1797">
        <v>0</v>
      </c>
    </row>
    <row r="1798" spans="1:12">
      <c r="A1798" s="93">
        <v>181534</v>
      </c>
      <c r="B1798" t="s">
        <v>2342</v>
      </c>
      <c r="C1798" t="s">
        <v>5604</v>
      </c>
      <c r="D1798" s="92">
        <v>0.36</v>
      </c>
      <c r="E1798" s="92">
        <v>0.17</v>
      </c>
      <c r="F1798" t="s">
        <v>428</v>
      </c>
      <c r="G1798" t="s">
        <v>428</v>
      </c>
      <c r="H1798" t="s">
        <v>5615</v>
      </c>
      <c r="I1798">
        <v>0</v>
      </c>
      <c r="J1798" t="s">
        <v>87</v>
      </c>
      <c r="K1798">
        <v>0</v>
      </c>
      <c r="L1798">
        <v>0</v>
      </c>
    </row>
    <row r="1799" spans="1:12">
      <c r="A1799" s="93">
        <v>181543</v>
      </c>
      <c r="B1799" t="s">
        <v>2343</v>
      </c>
      <c r="C1799" t="s">
        <v>5608</v>
      </c>
      <c r="D1799" s="92">
        <v>0.5600000000000001</v>
      </c>
      <c r="E1799" s="92" t="s">
        <v>428</v>
      </c>
      <c r="F1799">
        <v>18</v>
      </c>
      <c r="G1799">
        <v>20.5</v>
      </c>
      <c r="H1799" t="s">
        <v>5615</v>
      </c>
      <c r="I1799">
        <v>0</v>
      </c>
      <c r="J1799" t="s">
        <v>87</v>
      </c>
      <c r="K1799">
        <v>0</v>
      </c>
      <c r="L1799">
        <v>0</v>
      </c>
    </row>
    <row r="1800" spans="1:12">
      <c r="A1800" s="93">
        <v>181604</v>
      </c>
      <c r="B1800" t="s">
        <v>2344</v>
      </c>
      <c r="C1800" t="s">
        <v>5602</v>
      </c>
      <c r="D1800" s="92">
        <v>0.44</v>
      </c>
      <c r="E1800" s="92">
        <v>0.42</v>
      </c>
      <c r="F1800" t="s">
        <v>428</v>
      </c>
      <c r="G1800" t="s">
        <v>428</v>
      </c>
      <c r="H1800" t="s">
        <v>5616</v>
      </c>
      <c r="I1800">
        <v>0</v>
      </c>
      <c r="J1800" t="s">
        <v>87</v>
      </c>
      <c r="K1800">
        <v>0</v>
      </c>
      <c r="L1800">
        <v>0</v>
      </c>
    </row>
    <row r="1801" spans="1:12">
      <c r="A1801" s="93">
        <v>181640</v>
      </c>
      <c r="B1801" t="s">
        <v>2345</v>
      </c>
      <c r="C1801" t="s">
        <v>5606</v>
      </c>
      <c r="D1801" s="92">
        <v>0.4</v>
      </c>
      <c r="E1801" s="92">
        <v>0.27</v>
      </c>
      <c r="F1801" t="s">
        <v>428</v>
      </c>
      <c r="G1801" t="s">
        <v>428</v>
      </c>
      <c r="H1801" t="s">
        <v>5615</v>
      </c>
      <c r="I1801">
        <v>0</v>
      </c>
      <c r="J1801" t="s">
        <v>87</v>
      </c>
      <c r="K1801">
        <v>0</v>
      </c>
      <c r="L1801">
        <v>0</v>
      </c>
    </row>
    <row r="1802" spans="1:12">
      <c r="A1802" s="93">
        <v>181738</v>
      </c>
      <c r="B1802" t="s">
        <v>1783</v>
      </c>
      <c r="C1802" t="s">
        <v>5602</v>
      </c>
      <c r="D1802" s="92">
        <v>0.48</v>
      </c>
      <c r="E1802" s="92">
        <v>0.38</v>
      </c>
      <c r="F1802">
        <v>18</v>
      </c>
      <c r="G1802">
        <v>22</v>
      </c>
      <c r="H1802" t="s">
        <v>5617</v>
      </c>
      <c r="I1802">
        <v>0</v>
      </c>
      <c r="J1802" t="s">
        <v>87</v>
      </c>
      <c r="K1802">
        <v>0</v>
      </c>
      <c r="L1802">
        <v>0</v>
      </c>
    </row>
    <row r="1803" spans="1:12">
      <c r="A1803" s="93">
        <v>181765</v>
      </c>
      <c r="B1803" t="s">
        <v>2346</v>
      </c>
      <c r="C1803" t="s">
        <v>5606</v>
      </c>
      <c r="D1803" s="92" t="s">
        <v>428</v>
      </c>
      <c r="E1803" s="92" t="s">
        <v>428</v>
      </c>
      <c r="F1803" t="s">
        <v>428</v>
      </c>
      <c r="G1803" t="s">
        <v>428</v>
      </c>
      <c r="H1803" t="s">
        <v>5615</v>
      </c>
      <c r="I1803">
        <v>0</v>
      </c>
      <c r="J1803" t="s">
        <v>87</v>
      </c>
      <c r="K1803">
        <v>0</v>
      </c>
      <c r="L1803">
        <v>0</v>
      </c>
    </row>
    <row r="1804" spans="1:12">
      <c r="A1804" s="93">
        <v>181783</v>
      </c>
      <c r="B1804" t="s">
        <v>2347</v>
      </c>
      <c r="C1804" t="s">
        <v>5602</v>
      </c>
      <c r="D1804" s="92">
        <v>0.49</v>
      </c>
      <c r="E1804" s="92">
        <v>0.31</v>
      </c>
      <c r="F1804" t="s">
        <v>428</v>
      </c>
      <c r="G1804" t="s">
        <v>428</v>
      </c>
      <c r="H1804" t="s">
        <v>5615</v>
      </c>
      <c r="I1804">
        <v>0</v>
      </c>
      <c r="J1804" t="s">
        <v>87</v>
      </c>
      <c r="K1804">
        <v>0</v>
      </c>
      <c r="L1804">
        <v>0</v>
      </c>
    </row>
    <row r="1805" spans="1:12">
      <c r="A1805" s="93">
        <v>181817</v>
      </c>
      <c r="B1805" t="s">
        <v>2348</v>
      </c>
      <c r="C1805" t="s">
        <v>5606</v>
      </c>
      <c r="D1805" s="92">
        <v>0.37</v>
      </c>
      <c r="E1805" s="92">
        <v>0.32</v>
      </c>
      <c r="F1805" t="s">
        <v>428</v>
      </c>
      <c r="G1805" t="s">
        <v>428</v>
      </c>
      <c r="H1805" t="s">
        <v>5615</v>
      </c>
      <c r="I1805">
        <v>0</v>
      </c>
      <c r="J1805" t="s">
        <v>87</v>
      </c>
      <c r="K1805">
        <v>0</v>
      </c>
      <c r="L1805">
        <v>0</v>
      </c>
    </row>
    <row r="1806" spans="1:12">
      <c r="A1806" s="93">
        <v>181853</v>
      </c>
      <c r="B1806" t="s">
        <v>2349</v>
      </c>
      <c r="C1806" t="s">
        <v>5602</v>
      </c>
      <c r="D1806" s="92">
        <v>0.45</v>
      </c>
      <c r="E1806" s="92">
        <v>0.35</v>
      </c>
      <c r="F1806">
        <v>17</v>
      </c>
      <c r="G1806">
        <v>20</v>
      </c>
      <c r="H1806" t="s">
        <v>5616</v>
      </c>
      <c r="I1806">
        <v>0</v>
      </c>
      <c r="J1806" t="s">
        <v>87</v>
      </c>
      <c r="K1806">
        <v>0</v>
      </c>
      <c r="L1806">
        <v>0</v>
      </c>
    </row>
    <row r="1807" spans="1:12">
      <c r="A1807" s="93">
        <v>181941</v>
      </c>
      <c r="B1807" t="s">
        <v>2350</v>
      </c>
      <c r="C1807" t="s">
        <v>5606</v>
      </c>
      <c r="D1807" s="92" t="s">
        <v>428</v>
      </c>
      <c r="E1807" s="92" t="s">
        <v>428</v>
      </c>
      <c r="F1807" t="s">
        <v>428</v>
      </c>
      <c r="G1807" t="s">
        <v>428</v>
      </c>
      <c r="H1807" t="s">
        <v>5617</v>
      </c>
      <c r="I1807">
        <v>0</v>
      </c>
      <c r="J1807" t="s">
        <v>87</v>
      </c>
      <c r="K1807">
        <v>0</v>
      </c>
      <c r="L1807">
        <v>0</v>
      </c>
    </row>
    <row r="1808" spans="1:12">
      <c r="A1808" s="93">
        <v>182005</v>
      </c>
      <c r="B1808" t="s">
        <v>2351</v>
      </c>
      <c r="C1808" t="s">
        <v>5604</v>
      </c>
      <c r="D1808" s="92" t="s">
        <v>428</v>
      </c>
      <c r="E1808" s="92" t="s">
        <v>428</v>
      </c>
      <c r="F1808" t="s">
        <v>428</v>
      </c>
      <c r="G1808" t="s">
        <v>428</v>
      </c>
      <c r="H1808" t="s">
        <v>5615</v>
      </c>
      <c r="I1808">
        <v>0</v>
      </c>
      <c r="J1808" t="s">
        <v>87</v>
      </c>
      <c r="K1808">
        <v>0</v>
      </c>
      <c r="L1808">
        <v>0</v>
      </c>
    </row>
    <row r="1809" spans="1:12">
      <c r="A1809" s="93">
        <v>182111</v>
      </c>
      <c r="B1809" t="s">
        <v>2352</v>
      </c>
      <c r="C1809" t="s">
        <v>5604</v>
      </c>
      <c r="D1809" s="92">
        <v>0.23</v>
      </c>
      <c r="E1809" s="92">
        <v>0.23</v>
      </c>
      <c r="F1809" t="s">
        <v>428</v>
      </c>
      <c r="G1809" t="s">
        <v>428</v>
      </c>
      <c r="H1809" t="s">
        <v>5617</v>
      </c>
      <c r="I1809">
        <v>0</v>
      </c>
      <c r="J1809" t="s">
        <v>87</v>
      </c>
      <c r="K1809">
        <v>0</v>
      </c>
      <c r="L1809">
        <v>0</v>
      </c>
    </row>
    <row r="1810" spans="1:12">
      <c r="A1810" s="93">
        <v>182148</v>
      </c>
      <c r="B1810" t="s">
        <v>2353</v>
      </c>
      <c r="C1810" t="s">
        <v>5606</v>
      </c>
      <c r="D1810" s="92" t="s">
        <v>428</v>
      </c>
      <c r="E1810" s="92" t="s">
        <v>428</v>
      </c>
      <c r="F1810" t="s">
        <v>428</v>
      </c>
      <c r="G1810" t="s">
        <v>428</v>
      </c>
      <c r="H1810" t="s">
        <v>5617</v>
      </c>
      <c r="I1810">
        <v>0</v>
      </c>
      <c r="J1810" t="s">
        <v>87</v>
      </c>
      <c r="K1810">
        <v>0</v>
      </c>
      <c r="L1810">
        <v>0</v>
      </c>
    </row>
    <row r="1811" spans="1:12">
      <c r="A1811" s="93">
        <v>182281</v>
      </c>
      <c r="B1811" t="s">
        <v>2354</v>
      </c>
      <c r="C1811" t="s">
        <v>5602</v>
      </c>
      <c r="D1811" s="92">
        <v>0.41</v>
      </c>
      <c r="E1811" s="92">
        <v>0.34</v>
      </c>
      <c r="F1811">
        <v>19</v>
      </c>
      <c r="G1811">
        <v>21.5</v>
      </c>
      <c r="H1811" t="s">
        <v>5617</v>
      </c>
      <c r="I1811">
        <v>0</v>
      </c>
      <c r="J1811" t="s">
        <v>87</v>
      </c>
      <c r="K1811">
        <v>0</v>
      </c>
      <c r="L1811">
        <v>0</v>
      </c>
    </row>
    <row r="1812" spans="1:12">
      <c r="A1812" s="93">
        <v>182290</v>
      </c>
      <c r="B1812" t="s">
        <v>2355</v>
      </c>
      <c r="C1812" t="s">
        <v>5602</v>
      </c>
      <c r="D1812" s="92">
        <v>0.54</v>
      </c>
      <c r="E1812" s="92">
        <v>0.48</v>
      </c>
      <c r="F1812">
        <v>21</v>
      </c>
      <c r="G1812">
        <v>23.5</v>
      </c>
      <c r="H1812" t="s">
        <v>5615</v>
      </c>
      <c r="I1812">
        <v>0</v>
      </c>
      <c r="J1812" t="s">
        <v>87</v>
      </c>
      <c r="K1812">
        <v>0</v>
      </c>
      <c r="L1812">
        <v>0</v>
      </c>
    </row>
    <row r="1813" spans="1:12">
      <c r="A1813" s="93">
        <v>182306</v>
      </c>
      <c r="B1813" t="s">
        <v>2356</v>
      </c>
      <c r="C1813" t="s">
        <v>5604</v>
      </c>
      <c r="D1813" s="92">
        <v>0.04</v>
      </c>
      <c r="E1813" s="92">
        <v>0</v>
      </c>
      <c r="F1813" t="s">
        <v>428</v>
      </c>
      <c r="G1813" t="s">
        <v>428</v>
      </c>
      <c r="H1813" t="s">
        <v>5615</v>
      </c>
      <c r="I1813">
        <v>0</v>
      </c>
      <c r="J1813" t="s">
        <v>87</v>
      </c>
      <c r="K1813">
        <v>0</v>
      </c>
      <c r="L1813">
        <v>0</v>
      </c>
    </row>
    <row r="1814" spans="1:12">
      <c r="A1814" s="93">
        <v>182458</v>
      </c>
      <c r="B1814" t="s">
        <v>2357</v>
      </c>
      <c r="C1814" t="s">
        <v>5602</v>
      </c>
      <c r="D1814" s="92">
        <v>0.41</v>
      </c>
      <c r="E1814" s="92">
        <v>0.38</v>
      </c>
      <c r="F1814">
        <v>18</v>
      </c>
      <c r="G1814">
        <v>20</v>
      </c>
      <c r="H1814" t="s">
        <v>5617</v>
      </c>
      <c r="I1814">
        <v>0</v>
      </c>
      <c r="J1814" t="s">
        <v>87</v>
      </c>
      <c r="K1814">
        <v>0</v>
      </c>
      <c r="L1814">
        <v>0</v>
      </c>
    </row>
    <row r="1815" spans="1:12">
      <c r="A1815" s="93">
        <v>182500</v>
      </c>
      <c r="B1815" t="s">
        <v>2358</v>
      </c>
      <c r="C1815" t="s">
        <v>5606</v>
      </c>
      <c r="D1815" s="92">
        <v>0.37</v>
      </c>
      <c r="E1815" s="92">
        <v>0.38</v>
      </c>
      <c r="F1815" t="s">
        <v>428</v>
      </c>
      <c r="G1815" t="s">
        <v>428</v>
      </c>
      <c r="H1815" t="s">
        <v>5615</v>
      </c>
      <c r="I1815">
        <v>0</v>
      </c>
      <c r="J1815" t="s">
        <v>87</v>
      </c>
      <c r="K1815">
        <v>0</v>
      </c>
      <c r="L1815">
        <v>0</v>
      </c>
    </row>
    <row r="1816" spans="1:12">
      <c r="A1816" s="93">
        <v>182564</v>
      </c>
      <c r="B1816" t="s">
        <v>2359</v>
      </c>
      <c r="C1816" t="s">
        <v>5604</v>
      </c>
      <c r="D1816" s="92" t="s">
        <v>428</v>
      </c>
      <c r="E1816" s="92" t="s">
        <v>428</v>
      </c>
      <c r="F1816" t="s">
        <v>428</v>
      </c>
      <c r="G1816" t="s">
        <v>428</v>
      </c>
      <c r="H1816" t="s">
        <v>5615</v>
      </c>
      <c r="I1816">
        <v>0</v>
      </c>
      <c r="J1816" t="s">
        <v>87</v>
      </c>
      <c r="K1816">
        <v>0</v>
      </c>
      <c r="L1816">
        <v>0</v>
      </c>
    </row>
    <row r="1817" spans="1:12">
      <c r="A1817" s="93">
        <v>182634</v>
      </c>
      <c r="B1817" t="s">
        <v>2360</v>
      </c>
      <c r="C1817" t="s">
        <v>5602</v>
      </c>
      <c r="D1817" s="92">
        <v>0.53</v>
      </c>
      <c r="E1817" s="92">
        <v>0.49</v>
      </c>
      <c r="F1817" t="s">
        <v>428</v>
      </c>
      <c r="G1817" t="s">
        <v>428</v>
      </c>
      <c r="H1817" t="s">
        <v>5617</v>
      </c>
      <c r="I1817">
        <v>0</v>
      </c>
      <c r="J1817" t="s">
        <v>87</v>
      </c>
      <c r="K1817">
        <v>0</v>
      </c>
      <c r="L1817">
        <v>0</v>
      </c>
    </row>
    <row r="1818" spans="1:12">
      <c r="A1818" s="93">
        <v>182670</v>
      </c>
      <c r="B1818" t="s">
        <v>2361</v>
      </c>
      <c r="C1818" t="s">
        <v>5611</v>
      </c>
      <c r="D1818" s="92">
        <v>0.97</v>
      </c>
      <c r="E1818" s="92">
        <v>0.98</v>
      </c>
      <c r="F1818">
        <v>30</v>
      </c>
      <c r="G1818">
        <v>32</v>
      </c>
      <c r="H1818" t="s">
        <v>5619</v>
      </c>
      <c r="I1818">
        <v>1</v>
      </c>
      <c r="J1818" t="s">
        <v>87</v>
      </c>
      <c r="K1818">
        <v>0</v>
      </c>
      <c r="L1818">
        <v>0</v>
      </c>
    </row>
    <row r="1819" spans="1:12">
      <c r="A1819" s="93">
        <v>182795</v>
      </c>
      <c r="B1819" t="s">
        <v>2362</v>
      </c>
      <c r="C1819" t="s">
        <v>5602</v>
      </c>
      <c r="D1819" s="92">
        <v>0.44</v>
      </c>
      <c r="E1819" s="92">
        <v>0.25</v>
      </c>
      <c r="F1819">
        <v>15</v>
      </c>
      <c r="G1819">
        <v>18</v>
      </c>
      <c r="H1819" t="s">
        <v>5617</v>
      </c>
      <c r="I1819">
        <v>0</v>
      </c>
      <c r="J1819" t="s">
        <v>87</v>
      </c>
      <c r="K1819">
        <v>0</v>
      </c>
      <c r="L1819">
        <v>0</v>
      </c>
    </row>
    <row r="1820" spans="1:12">
      <c r="A1820" s="93">
        <v>182829</v>
      </c>
      <c r="B1820" t="s">
        <v>2363</v>
      </c>
      <c r="C1820" t="s">
        <v>5607</v>
      </c>
      <c r="D1820" s="92" t="s">
        <v>428</v>
      </c>
      <c r="E1820" s="92" t="s">
        <v>428</v>
      </c>
      <c r="F1820" t="s">
        <v>428</v>
      </c>
      <c r="G1820" t="s">
        <v>428</v>
      </c>
      <c r="H1820" t="s">
        <v>5615</v>
      </c>
      <c r="I1820">
        <v>0</v>
      </c>
      <c r="J1820" t="s">
        <v>87</v>
      </c>
      <c r="K1820">
        <v>0</v>
      </c>
      <c r="L1820">
        <v>0</v>
      </c>
    </row>
    <row r="1821" spans="1:12">
      <c r="A1821" s="93">
        <v>182917</v>
      </c>
      <c r="B1821" t="s">
        <v>2364</v>
      </c>
      <c r="C1821" t="s">
        <v>5607</v>
      </c>
      <c r="D1821" s="92">
        <v>0.6</v>
      </c>
      <c r="E1821" s="92">
        <v>0.5</v>
      </c>
      <c r="F1821" t="s">
        <v>428</v>
      </c>
      <c r="G1821" t="s">
        <v>428</v>
      </c>
      <c r="H1821" t="s">
        <v>5616</v>
      </c>
      <c r="I1821">
        <v>0</v>
      </c>
      <c r="J1821" t="s">
        <v>87</v>
      </c>
      <c r="K1821">
        <v>0</v>
      </c>
      <c r="L1821">
        <v>0</v>
      </c>
    </row>
    <row r="1822" spans="1:12">
      <c r="A1822" s="93">
        <v>182980</v>
      </c>
      <c r="B1822" t="s">
        <v>2365</v>
      </c>
      <c r="C1822" t="s">
        <v>5602</v>
      </c>
      <c r="D1822" s="92">
        <v>0.35</v>
      </c>
      <c r="E1822" s="92">
        <v>0.27</v>
      </c>
      <c r="F1822" t="s">
        <v>428</v>
      </c>
      <c r="G1822" t="s">
        <v>428</v>
      </c>
      <c r="H1822" t="s">
        <v>5617</v>
      </c>
      <c r="I1822">
        <v>0</v>
      </c>
      <c r="J1822" t="s">
        <v>87</v>
      </c>
      <c r="K1822">
        <v>0</v>
      </c>
      <c r="L1822">
        <v>0</v>
      </c>
    </row>
    <row r="1823" spans="1:12">
      <c r="A1823" s="93">
        <v>183026</v>
      </c>
      <c r="B1823" t="s">
        <v>2366</v>
      </c>
      <c r="C1823" t="s">
        <v>5602</v>
      </c>
      <c r="D1823" s="92">
        <v>0.55</v>
      </c>
      <c r="E1823" s="92">
        <v>0.46</v>
      </c>
      <c r="F1823" t="s">
        <v>428</v>
      </c>
      <c r="G1823" t="s">
        <v>428</v>
      </c>
      <c r="H1823" t="s">
        <v>5617</v>
      </c>
      <c r="I1823">
        <v>0</v>
      </c>
      <c r="J1823" t="s">
        <v>87</v>
      </c>
      <c r="K1823">
        <v>0</v>
      </c>
      <c r="L1823">
        <v>0</v>
      </c>
    </row>
    <row r="1824" spans="1:12">
      <c r="A1824" s="93">
        <v>183044</v>
      </c>
      <c r="B1824" t="s">
        <v>2367</v>
      </c>
      <c r="C1824" t="s">
        <v>5603</v>
      </c>
      <c r="D1824" s="92">
        <v>0.78</v>
      </c>
      <c r="E1824" s="92">
        <v>0.68</v>
      </c>
      <c r="F1824">
        <v>22</v>
      </c>
      <c r="G1824">
        <v>24.5</v>
      </c>
      <c r="H1824" t="s">
        <v>5615</v>
      </c>
      <c r="I1824">
        <v>0</v>
      </c>
      <c r="J1824" t="s">
        <v>87</v>
      </c>
      <c r="K1824">
        <v>0</v>
      </c>
      <c r="L1824">
        <v>0</v>
      </c>
    </row>
    <row r="1825" spans="1:12">
      <c r="A1825" s="93">
        <v>183062</v>
      </c>
      <c r="B1825" t="s">
        <v>2368</v>
      </c>
      <c r="C1825" t="s">
        <v>5608</v>
      </c>
      <c r="D1825" s="92">
        <v>0.62</v>
      </c>
      <c r="E1825" s="92">
        <v>0.47</v>
      </c>
      <c r="F1825">
        <v>16</v>
      </c>
      <c r="G1825">
        <v>18.5</v>
      </c>
      <c r="H1825" t="s">
        <v>5615</v>
      </c>
      <c r="I1825">
        <v>0</v>
      </c>
      <c r="J1825" t="s">
        <v>87</v>
      </c>
      <c r="K1825">
        <v>0</v>
      </c>
      <c r="L1825">
        <v>0</v>
      </c>
    </row>
    <row r="1826" spans="1:12">
      <c r="A1826" s="93">
        <v>183071</v>
      </c>
      <c r="B1826" t="s">
        <v>2369</v>
      </c>
      <c r="C1826" t="s">
        <v>5602</v>
      </c>
      <c r="D1826" s="92">
        <v>0.5600000000000001</v>
      </c>
      <c r="E1826" s="92">
        <v>0.33</v>
      </c>
      <c r="F1826">
        <v>18</v>
      </c>
      <c r="G1826">
        <v>21.5</v>
      </c>
      <c r="H1826" t="s">
        <v>5615</v>
      </c>
      <c r="I1826">
        <v>0</v>
      </c>
      <c r="J1826" t="s">
        <v>87</v>
      </c>
      <c r="K1826">
        <v>0</v>
      </c>
      <c r="L1826">
        <v>0</v>
      </c>
    </row>
    <row r="1827" spans="1:12">
      <c r="A1827" s="93">
        <v>183080</v>
      </c>
      <c r="B1827" t="s">
        <v>2370</v>
      </c>
      <c r="C1827" t="s">
        <v>5608</v>
      </c>
      <c r="D1827" s="92">
        <v>0.57</v>
      </c>
      <c r="E1827" s="92">
        <v>0.46</v>
      </c>
      <c r="F1827" t="s">
        <v>428</v>
      </c>
      <c r="G1827" t="s">
        <v>428</v>
      </c>
      <c r="H1827" t="s">
        <v>5615</v>
      </c>
      <c r="I1827">
        <v>0</v>
      </c>
      <c r="J1827" t="s">
        <v>87</v>
      </c>
      <c r="K1827">
        <v>0</v>
      </c>
      <c r="L1827">
        <v>0</v>
      </c>
    </row>
    <row r="1828" spans="1:12">
      <c r="A1828" s="93">
        <v>183099</v>
      </c>
      <c r="B1828" t="s">
        <v>2371</v>
      </c>
      <c r="C1828" t="s">
        <v>5606</v>
      </c>
      <c r="D1828" s="92" t="s">
        <v>428</v>
      </c>
      <c r="E1828" s="92" t="s">
        <v>428</v>
      </c>
      <c r="F1828" t="s">
        <v>428</v>
      </c>
      <c r="G1828" t="s">
        <v>428</v>
      </c>
      <c r="H1828" t="s">
        <v>5615</v>
      </c>
      <c r="I1828">
        <v>0</v>
      </c>
      <c r="J1828" t="s">
        <v>87</v>
      </c>
      <c r="K1828">
        <v>0</v>
      </c>
      <c r="L1828">
        <v>0</v>
      </c>
    </row>
    <row r="1829" spans="1:12">
      <c r="A1829" s="93">
        <v>183105</v>
      </c>
      <c r="B1829" t="s">
        <v>2372</v>
      </c>
      <c r="C1829" t="s">
        <v>5606</v>
      </c>
      <c r="D1829" s="92" t="s">
        <v>428</v>
      </c>
      <c r="E1829" s="92" t="s">
        <v>428</v>
      </c>
      <c r="F1829" t="s">
        <v>428</v>
      </c>
      <c r="G1829" t="s">
        <v>428</v>
      </c>
      <c r="H1829" t="s">
        <v>5615</v>
      </c>
      <c r="I1829">
        <v>0</v>
      </c>
      <c r="J1829" t="s">
        <v>87</v>
      </c>
      <c r="K1829">
        <v>0</v>
      </c>
      <c r="L1829">
        <v>0</v>
      </c>
    </row>
    <row r="1830" spans="1:12">
      <c r="A1830" s="93">
        <v>183114</v>
      </c>
      <c r="B1830" t="s">
        <v>2373</v>
      </c>
      <c r="C1830" t="s">
        <v>5606</v>
      </c>
      <c r="D1830" s="92" t="s">
        <v>428</v>
      </c>
      <c r="E1830" s="92" t="s">
        <v>428</v>
      </c>
      <c r="F1830" t="s">
        <v>428</v>
      </c>
      <c r="G1830" t="s">
        <v>428</v>
      </c>
      <c r="H1830" t="s">
        <v>5615</v>
      </c>
      <c r="I1830">
        <v>0</v>
      </c>
      <c r="J1830" t="s">
        <v>87</v>
      </c>
      <c r="K1830">
        <v>0</v>
      </c>
      <c r="L1830">
        <v>0</v>
      </c>
    </row>
    <row r="1831" spans="1:12">
      <c r="A1831" s="93">
        <v>183123</v>
      </c>
      <c r="B1831" t="s">
        <v>2374</v>
      </c>
      <c r="C1831" t="s">
        <v>5606</v>
      </c>
      <c r="D1831" s="92" t="s">
        <v>428</v>
      </c>
      <c r="E1831" s="92" t="s">
        <v>428</v>
      </c>
      <c r="F1831" t="s">
        <v>428</v>
      </c>
      <c r="G1831" t="s">
        <v>428</v>
      </c>
      <c r="H1831" t="s">
        <v>5615</v>
      </c>
      <c r="I1831">
        <v>0</v>
      </c>
      <c r="J1831" t="s">
        <v>87</v>
      </c>
      <c r="K1831">
        <v>0</v>
      </c>
      <c r="L1831">
        <v>0</v>
      </c>
    </row>
    <row r="1832" spans="1:12">
      <c r="A1832" s="93">
        <v>183132</v>
      </c>
      <c r="B1832" t="s">
        <v>1138</v>
      </c>
      <c r="C1832" t="s">
        <v>5606</v>
      </c>
      <c r="D1832" s="92">
        <v>0.31</v>
      </c>
      <c r="E1832" s="92">
        <v>0.22</v>
      </c>
      <c r="F1832" t="s">
        <v>428</v>
      </c>
      <c r="G1832" t="s">
        <v>428</v>
      </c>
      <c r="H1832" t="s">
        <v>5615</v>
      </c>
      <c r="I1832">
        <v>0</v>
      </c>
      <c r="J1832" t="s">
        <v>87</v>
      </c>
      <c r="K1832">
        <v>0</v>
      </c>
      <c r="L1832">
        <v>0</v>
      </c>
    </row>
    <row r="1833" spans="1:12">
      <c r="A1833" s="93">
        <v>183141</v>
      </c>
      <c r="B1833" t="s">
        <v>2375</v>
      </c>
      <c r="C1833" t="s">
        <v>5606</v>
      </c>
      <c r="D1833" s="92" t="s">
        <v>428</v>
      </c>
      <c r="E1833" s="92" t="s">
        <v>428</v>
      </c>
      <c r="F1833" t="s">
        <v>428</v>
      </c>
      <c r="G1833" t="s">
        <v>428</v>
      </c>
      <c r="H1833" t="s">
        <v>5615</v>
      </c>
      <c r="I1833">
        <v>0</v>
      </c>
      <c r="J1833" t="s">
        <v>87</v>
      </c>
      <c r="K1833">
        <v>0</v>
      </c>
      <c r="L1833">
        <v>0</v>
      </c>
    </row>
    <row r="1834" spans="1:12">
      <c r="A1834" s="93">
        <v>183150</v>
      </c>
      <c r="B1834" t="s">
        <v>2376</v>
      </c>
      <c r="C1834" t="s">
        <v>5606</v>
      </c>
      <c r="D1834" s="92" t="s">
        <v>428</v>
      </c>
      <c r="E1834" s="92" t="s">
        <v>428</v>
      </c>
      <c r="F1834" t="s">
        <v>428</v>
      </c>
      <c r="G1834" t="s">
        <v>428</v>
      </c>
      <c r="H1834" t="s">
        <v>5615</v>
      </c>
      <c r="I1834">
        <v>0</v>
      </c>
      <c r="J1834" t="s">
        <v>87</v>
      </c>
      <c r="K1834">
        <v>0</v>
      </c>
      <c r="L1834">
        <v>0</v>
      </c>
    </row>
    <row r="1835" spans="1:12">
      <c r="A1835" s="93">
        <v>183211</v>
      </c>
      <c r="B1835" t="s">
        <v>2377</v>
      </c>
      <c r="C1835" t="s">
        <v>5603</v>
      </c>
      <c r="D1835" s="92">
        <v>0.49</v>
      </c>
      <c r="E1835" s="92">
        <v>0.34</v>
      </c>
      <c r="F1835" t="s">
        <v>428</v>
      </c>
      <c r="G1835" t="s">
        <v>428</v>
      </c>
      <c r="H1835" t="s">
        <v>5617</v>
      </c>
      <c r="I1835">
        <v>0</v>
      </c>
      <c r="J1835" t="s">
        <v>87</v>
      </c>
      <c r="K1835">
        <v>0</v>
      </c>
      <c r="L1835">
        <v>0</v>
      </c>
    </row>
    <row r="1836" spans="1:12">
      <c r="A1836" s="93">
        <v>183239</v>
      </c>
      <c r="B1836" t="s">
        <v>2378</v>
      </c>
      <c r="C1836" t="s">
        <v>5602</v>
      </c>
      <c r="D1836" s="92">
        <v>0.73</v>
      </c>
      <c r="E1836" s="92">
        <v>0.61</v>
      </c>
      <c r="F1836">
        <v>20</v>
      </c>
      <c r="G1836">
        <v>22.5</v>
      </c>
      <c r="H1836" t="s">
        <v>5618</v>
      </c>
      <c r="I1836">
        <v>0</v>
      </c>
      <c r="J1836" t="s">
        <v>87</v>
      </c>
      <c r="K1836">
        <v>0</v>
      </c>
      <c r="L1836">
        <v>0</v>
      </c>
    </row>
    <row r="1837" spans="1:12">
      <c r="A1837" s="93">
        <v>183248</v>
      </c>
      <c r="B1837" t="s">
        <v>2379</v>
      </c>
      <c r="C1837" t="s">
        <v>5606</v>
      </c>
      <c r="D1837" s="92" t="s">
        <v>428</v>
      </c>
      <c r="E1837" s="92" t="s">
        <v>428</v>
      </c>
      <c r="F1837" t="s">
        <v>428</v>
      </c>
      <c r="G1837" t="s">
        <v>428</v>
      </c>
      <c r="H1837" t="s">
        <v>5617</v>
      </c>
      <c r="I1837">
        <v>0</v>
      </c>
      <c r="J1837" t="s">
        <v>87</v>
      </c>
      <c r="K1837">
        <v>0</v>
      </c>
      <c r="L1837">
        <v>0</v>
      </c>
    </row>
    <row r="1838" spans="1:12">
      <c r="A1838" s="93">
        <v>183257</v>
      </c>
      <c r="B1838" t="s">
        <v>2380</v>
      </c>
      <c r="C1838" t="s">
        <v>5610</v>
      </c>
      <c r="D1838" s="92">
        <v>0.18</v>
      </c>
      <c r="E1838" s="92">
        <v>0</v>
      </c>
      <c r="F1838" t="s">
        <v>428</v>
      </c>
      <c r="G1838" t="s">
        <v>428</v>
      </c>
      <c r="H1838" t="s">
        <v>5615</v>
      </c>
      <c r="I1838">
        <v>0</v>
      </c>
      <c r="J1838" t="s">
        <v>87</v>
      </c>
      <c r="K1838">
        <v>0</v>
      </c>
      <c r="L1838">
        <v>0</v>
      </c>
    </row>
    <row r="1839" spans="1:12">
      <c r="A1839" s="93">
        <v>183275</v>
      </c>
      <c r="B1839" t="s">
        <v>2381</v>
      </c>
      <c r="C1839" t="s">
        <v>5602</v>
      </c>
      <c r="D1839" s="92">
        <v>0.6</v>
      </c>
      <c r="E1839" s="92">
        <v>0.67</v>
      </c>
      <c r="F1839" t="s">
        <v>428</v>
      </c>
      <c r="G1839" t="s">
        <v>428</v>
      </c>
      <c r="H1839" t="s">
        <v>5616</v>
      </c>
      <c r="I1839">
        <v>0</v>
      </c>
      <c r="J1839" t="s">
        <v>87</v>
      </c>
      <c r="K1839">
        <v>0</v>
      </c>
      <c r="L1839">
        <v>0</v>
      </c>
    </row>
    <row r="1840" spans="1:12">
      <c r="A1840" s="93">
        <v>183488</v>
      </c>
      <c r="B1840" t="s">
        <v>2382</v>
      </c>
      <c r="C1840" t="s">
        <v>5609</v>
      </c>
      <c r="D1840" s="92" t="s">
        <v>428</v>
      </c>
      <c r="E1840" s="92" t="s">
        <v>428</v>
      </c>
      <c r="F1840" t="s">
        <v>428</v>
      </c>
      <c r="G1840" t="s">
        <v>428</v>
      </c>
      <c r="H1840" t="s">
        <v>5617</v>
      </c>
      <c r="I1840">
        <v>0</v>
      </c>
      <c r="J1840" t="s">
        <v>87</v>
      </c>
      <c r="K1840">
        <v>0</v>
      </c>
      <c r="L1840">
        <v>0</v>
      </c>
    </row>
    <row r="1841" spans="1:12">
      <c r="A1841" s="93">
        <v>183600</v>
      </c>
      <c r="B1841" t="s">
        <v>2383</v>
      </c>
      <c r="C1841" t="s">
        <v>5606</v>
      </c>
      <c r="D1841" s="92" t="s">
        <v>428</v>
      </c>
      <c r="E1841" s="92" t="s">
        <v>428</v>
      </c>
      <c r="F1841" t="s">
        <v>428</v>
      </c>
      <c r="G1841" t="s">
        <v>428</v>
      </c>
      <c r="H1841" t="s">
        <v>5615</v>
      </c>
      <c r="I1841">
        <v>0</v>
      </c>
      <c r="J1841" t="s">
        <v>87</v>
      </c>
      <c r="K1841">
        <v>0</v>
      </c>
      <c r="L1841">
        <v>0</v>
      </c>
    </row>
    <row r="1842" spans="1:12">
      <c r="A1842" s="93">
        <v>183655</v>
      </c>
      <c r="B1842" t="s">
        <v>2384</v>
      </c>
      <c r="C1842" t="s">
        <v>5606</v>
      </c>
      <c r="D1842" s="92">
        <v>0.25</v>
      </c>
      <c r="E1842" s="92">
        <v>0.14</v>
      </c>
      <c r="F1842" t="s">
        <v>428</v>
      </c>
      <c r="G1842" t="s">
        <v>428</v>
      </c>
      <c r="H1842" t="s">
        <v>5615</v>
      </c>
      <c r="I1842">
        <v>0</v>
      </c>
      <c r="J1842" t="s">
        <v>87</v>
      </c>
      <c r="K1842">
        <v>0</v>
      </c>
      <c r="L1842">
        <v>0</v>
      </c>
    </row>
    <row r="1843" spans="1:12">
      <c r="A1843" s="93">
        <v>183743</v>
      </c>
      <c r="B1843" t="s">
        <v>2385</v>
      </c>
      <c r="C1843" t="s">
        <v>5606</v>
      </c>
      <c r="D1843" s="92">
        <v>0.3</v>
      </c>
      <c r="E1843" s="92">
        <v>0.26</v>
      </c>
      <c r="F1843" t="s">
        <v>428</v>
      </c>
      <c r="G1843" t="s">
        <v>428</v>
      </c>
      <c r="H1843" t="s">
        <v>5615</v>
      </c>
      <c r="I1843">
        <v>0</v>
      </c>
      <c r="J1843" t="s">
        <v>87</v>
      </c>
      <c r="K1843">
        <v>0</v>
      </c>
      <c r="L1843">
        <v>0</v>
      </c>
    </row>
    <row r="1844" spans="1:12">
      <c r="A1844" s="93">
        <v>183789</v>
      </c>
      <c r="B1844" t="s">
        <v>2386</v>
      </c>
      <c r="C1844" t="s">
        <v>5604</v>
      </c>
      <c r="D1844" s="92">
        <v>0.29</v>
      </c>
      <c r="E1844" s="92">
        <v>0.27</v>
      </c>
      <c r="F1844" t="s">
        <v>428</v>
      </c>
      <c r="G1844" t="s">
        <v>428</v>
      </c>
      <c r="H1844" t="s">
        <v>5617</v>
      </c>
      <c r="I1844">
        <v>0</v>
      </c>
      <c r="J1844" t="s">
        <v>87</v>
      </c>
      <c r="K1844">
        <v>0</v>
      </c>
      <c r="L1844">
        <v>0</v>
      </c>
    </row>
    <row r="1845" spans="1:12">
      <c r="A1845" s="93">
        <v>183804</v>
      </c>
      <c r="B1845" t="s">
        <v>2387</v>
      </c>
      <c r="C1845" t="s">
        <v>5607</v>
      </c>
      <c r="D1845" s="92" t="s">
        <v>428</v>
      </c>
      <c r="E1845" s="92" t="s">
        <v>428</v>
      </c>
      <c r="F1845" t="s">
        <v>428</v>
      </c>
      <c r="G1845" t="s">
        <v>428</v>
      </c>
      <c r="H1845" t="s">
        <v>5615</v>
      </c>
      <c r="I1845">
        <v>0</v>
      </c>
      <c r="J1845" t="s">
        <v>87</v>
      </c>
      <c r="K1845">
        <v>0</v>
      </c>
      <c r="L1845">
        <v>0</v>
      </c>
    </row>
    <row r="1846" spans="1:12">
      <c r="A1846" s="93">
        <v>183822</v>
      </c>
      <c r="B1846" t="s">
        <v>2388</v>
      </c>
      <c r="C1846" t="s">
        <v>5608</v>
      </c>
      <c r="D1846" s="92">
        <v>0.31</v>
      </c>
      <c r="E1846" s="92">
        <v>0.29</v>
      </c>
      <c r="F1846">
        <v>13</v>
      </c>
      <c r="G1846">
        <v>15</v>
      </c>
      <c r="H1846" t="s">
        <v>5617</v>
      </c>
      <c r="I1846">
        <v>0</v>
      </c>
      <c r="J1846" t="s">
        <v>87</v>
      </c>
      <c r="K1846">
        <v>0</v>
      </c>
      <c r="L1846">
        <v>0</v>
      </c>
    </row>
    <row r="1847" spans="1:12">
      <c r="A1847" s="93">
        <v>183859</v>
      </c>
      <c r="B1847" t="s">
        <v>2389</v>
      </c>
      <c r="C1847" t="s">
        <v>5606</v>
      </c>
      <c r="D1847" s="92">
        <v>0.34</v>
      </c>
      <c r="E1847" s="92">
        <v>0.22</v>
      </c>
      <c r="F1847" t="s">
        <v>428</v>
      </c>
      <c r="G1847" t="s">
        <v>428</v>
      </c>
      <c r="H1847" t="s">
        <v>5615</v>
      </c>
      <c r="I1847">
        <v>0</v>
      </c>
      <c r="J1847" t="s">
        <v>87</v>
      </c>
      <c r="K1847">
        <v>0</v>
      </c>
      <c r="L1847">
        <v>0</v>
      </c>
    </row>
    <row r="1848" spans="1:12">
      <c r="A1848" s="93">
        <v>183877</v>
      </c>
      <c r="B1848" t="s">
        <v>2390</v>
      </c>
      <c r="C1848" t="s">
        <v>5606</v>
      </c>
      <c r="D1848" s="92">
        <v>0.33</v>
      </c>
      <c r="E1848" s="92">
        <v>0.26</v>
      </c>
      <c r="F1848" t="s">
        <v>428</v>
      </c>
      <c r="G1848" t="s">
        <v>428</v>
      </c>
      <c r="H1848" t="s">
        <v>5615</v>
      </c>
      <c r="I1848">
        <v>0</v>
      </c>
      <c r="J1848" t="s">
        <v>87</v>
      </c>
      <c r="K1848">
        <v>0</v>
      </c>
      <c r="L1848">
        <v>0</v>
      </c>
    </row>
    <row r="1849" spans="1:12">
      <c r="A1849" s="93">
        <v>183910</v>
      </c>
      <c r="B1849" t="s">
        <v>2391</v>
      </c>
      <c r="C1849" t="s">
        <v>5604</v>
      </c>
      <c r="D1849" s="92">
        <v>0.61</v>
      </c>
      <c r="E1849" s="92">
        <v>0.54</v>
      </c>
      <c r="F1849">
        <v>18</v>
      </c>
      <c r="G1849">
        <v>20.5</v>
      </c>
      <c r="H1849" t="s">
        <v>5617</v>
      </c>
      <c r="I1849">
        <v>0</v>
      </c>
      <c r="J1849" t="s">
        <v>87</v>
      </c>
      <c r="K1849">
        <v>0</v>
      </c>
      <c r="L1849">
        <v>0</v>
      </c>
    </row>
    <row r="1850" spans="1:12">
      <c r="A1850" s="93">
        <v>183938</v>
      </c>
      <c r="B1850" t="s">
        <v>2392</v>
      </c>
      <c r="C1850" t="s">
        <v>5606</v>
      </c>
      <c r="D1850" s="92">
        <v>0.25</v>
      </c>
      <c r="E1850" s="92">
        <v>0.18</v>
      </c>
      <c r="F1850" t="s">
        <v>428</v>
      </c>
      <c r="G1850" t="s">
        <v>428</v>
      </c>
      <c r="H1850" t="s">
        <v>5615</v>
      </c>
      <c r="I1850">
        <v>0</v>
      </c>
      <c r="J1850" t="s">
        <v>87</v>
      </c>
      <c r="K1850">
        <v>0</v>
      </c>
      <c r="L1850">
        <v>0</v>
      </c>
    </row>
    <row r="1851" spans="1:12">
      <c r="A1851" s="93">
        <v>183974</v>
      </c>
      <c r="B1851" t="s">
        <v>2393</v>
      </c>
      <c r="C1851" t="s">
        <v>5602</v>
      </c>
      <c r="D1851" s="92">
        <v>0.59</v>
      </c>
      <c r="E1851" s="92">
        <v>0.55</v>
      </c>
      <c r="F1851">
        <v>15</v>
      </c>
      <c r="G1851">
        <v>17.5</v>
      </c>
      <c r="H1851" t="s">
        <v>5616</v>
      </c>
      <c r="I1851">
        <v>0</v>
      </c>
      <c r="J1851" t="s">
        <v>87</v>
      </c>
      <c r="K1851">
        <v>0</v>
      </c>
      <c r="L1851">
        <v>0</v>
      </c>
    </row>
    <row r="1852" spans="1:12">
      <c r="A1852" s="93">
        <v>184092</v>
      </c>
      <c r="B1852" t="s">
        <v>2394</v>
      </c>
      <c r="C1852" t="s">
        <v>5606</v>
      </c>
      <c r="D1852" s="92" t="s">
        <v>428</v>
      </c>
      <c r="E1852" s="92" t="s">
        <v>428</v>
      </c>
      <c r="F1852" t="s">
        <v>428</v>
      </c>
      <c r="G1852" t="s">
        <v>428</v>
      </c>
      <c r="H1852" t="s">
        <v>5616</v>
      </c>
      <c r="I1852">
        <v>0</v>
      </c>
      <c r="J1852" t="s">
        <v>87</v>
      </c>
      <c r="K1852">
        <v>0</v>
      </c>
      <c r="L1852">
        <v>0</v>
      </c>
    </row>
    <row r="1853" spans="1:12">
      <c r="A1853" s="93">
        <v>184180</v>
      </c>
      <c r="B1853" t="s">
        <v>2395</v>
      </c>
      <c r="C1853" t="s">
        <v>5606</v>
      </c>
      <c r="D1853" s="92">
        <v>0.38</v>
      </c>
      <c r="E1853" s="92">
        <v>0.3</v>
      </c>
      <c r="F1853" t="s">
        <v>428</v>
      </c>
      <c r="G1853" t="s">
        <v>428</v>
      </c>
      <c r="H1853" t="s">
        <v>5615</v>
      </c>
      <c r="I1853">
        <v>0</v>
      </c>
      <c r="J1853" t="s">
        <v>87</v>
      </c>
      <c r="K1853">
        <v>0</v>
      </c>
      <c r="L1853">
        <v>0</v>
      </c>
    </row>
    <row r="1854" spans="1:12">
      <c r="A1854" s="93">
        <v>184205</v>
      </c>
      <c r="B1854" t="s">
        <v>2396</v>
      </c>
      <c r="C1854" t="s">
        <v>5606</v>
      </c>
      <c r="D1854" s="92">
        <v>0.33</v>
      </c>
      <c r="E1854" s="92">
        <v>0.23</v>
      </c>
      <c r="F1854" t="s">
        <v>428</v>
      </c>
      <c r="G1854" t="s">
        <v>428</v>
      </c>
      <c r="H1854" t="s">
        <v>5615</v>
      </c>
      <c r="I1854">
        <v>0</v>
      </c>
      <c r="J1854" t="s">
        <v>87</v>
      </c>
      <c r="K1854">
        <v>0</v>
      </c>
      <c r="L1854">
        <v>0</v>
      </c>
    </row>
    <row r="1855" spans="1:12">
      <c r="A1855" s="93">
        <v>184348</v>
      </c>
      <c r="B1855" t="s">
        <v>2397</v>
      </c>
      <c r="C1855" t="s">
        <v>5603</v>
      </c>
      <c r="D1855" s="92">
        <v>0.64</v>
      </c>
      <c r="E1855" s="92">
        <v>0.57</v>
      </c>
      <c r="F1855" t="s">
        <v>428</v>
      </c>
      <c r="G1855" t="s">
        <v>428</v>
      </c>
      <c r="H1855" t="s">
        <v>5616</v>
      </c>
      <c r="I1855">
        <v>0</v>
      </c>
      <c r="J1855" t="s">
        <v>87</v>
      </c>
      <c r="K1855">
        <v>0</v>
      </c>
      <c r="L1855">
        <v>0</v>
      </c>
    </row>
    <row r="1856" spans="1:12">
      <c r="A1856" s="93">
        <v>184427</v>
      </c>
      <c r="B1856" t="s">
        <v>2398</v>
      </c>
      <c r="C1856" t="s">
        <v>5606</v>
      </c>
      <c r="D1856" s="92" t="s">
        <v>428</v>
      </c>
      <c r="E1856" s="92" t="s">
        <v>428</v>
      </c>
      <c r="F1856" t="s">
        <v>428</v>
      </c>
      <c r="G1856" t="s">
        <v>428</v>
      </c>
      <c r="H1856" t="s">
        <v>5616</v>
      </c>
      <c r="I1856">
        <v>0</v>
      </c>
      <c r="J1856" t="s">
        <v>87</v>
      </c>
      <c r="K1856">
        <v>0</v>
      </c>
      <c r="L1856">
        <v>0</v>
      </c>
    </row>
    <row r="1857" spans="1:12">
      <c r="A1857" s="93">
        <v>184481</v>
      </c>
      <c r="B1857" t="s">
        <v>2399</v>
      </c>
      <c r="C1857" t="s">
        <v>5606</v>
      </c>
      <c r="D1857" s="92">
        <v>0.18</v>
      </c>
      <c r="E1857" s="92">
        <v>0.16</v>
      </c>
      <c r="F1857" t="s">
        <v>428</v>
      </c>
      <c r="G1857" t="s">
        <v>428</v>
      </c>
      <c r="H1857" t="s">
        <v>5615</v>
      </c>
      <c r="I1857">
        <v>0</v>
      </c>
      <c r="J1857" t="s">
        <v>87</v>
      </c>
      <c r="K1857">
        <v>0</v>
      </c>
      <c r="L1857">
        <v>0</v>
      </c>
    </row>
    <row r="1858" spans="1:12">
      <c r="A1858" s="93">
        <v>184603</v>
      </c>
      <c r="B1858" t="s">
        <v>2400</v>
      </c>
      <c r="C1858" t="s">
        <v>5602</v>
      </c>
      <c r="D1858" s="92">
        <v>0.48</v>
      </c>
      <c r="E1858" s="92">
        <v>0.38</v>
      </c>
      <c r="F1858">
        <v>15</v>
      </c>
      <c r="G1858">
        <v>18</v>
      </c>
      <c r="H1858" t="s">
        <v>5616</v>
      </c>
      <c r="I1858">
        <v>0</v>
      </c>
      <c r="J1858" t="s">
        <v>87</v>
      </c>
      <c r="K1858">
        <v>0</v>
      </c>
      <c r="L1858">
        <v>0</v>
      </c>
    </row>
    <row r="1859" spans="1:12">
      <c r="A1859" s="93">
        <v>184612</v>
      </c>
      <c r="B1859" t="s">
        <v>2401</v>
      </c>
      <c r="C1859" t="s">
        <v>5608</v>
      </c>
      <c r="D1859" s="92">
        <v>0.39</v>
      </c>
      <c r="E1859" s="92">
        <v>0.33</v>
      </c>
      <c r="F1859">
        <v>16</v>
      </c>
      <c r="G1859">
        <v>18.5</v>
      </c>
      <c r="H1859" t="s">
        <v>5616</v>
      </c>
      <c r="I1859">
        <v>0</v>
      </c>
      <c r="J1859" t="s">
        <v>87</v>
      </c>
      <c r="K1859">
        <v>0</v>
      </c>
      <c r="L1859">
        <v>0</v>
      </c>
    </row>
    <row r="1860" spans="1:12">
      <c r="A1860" s="93">
        <v>184694</v>
      </c>
      <c r="B1860" t="s">
        <v>2402</v>
      </c>
      <c r="C1860" t="s">
        <v>5602</v>
      </c>
      <c r="D1860" s="92">
        <v>0.54</v>
      </c>
      <c r="E1860" s="92">
        <v>0.44</v>
      </c>
      <c r="F1860">
        <v>17</v>
      </c>
      <c r="G1860">
        <v>20</v>
      </c>
      <c r="H1860" t="s">
        <v>5617</v>
      </c>
      <c r="I1860">
        <v>0</v>
      </c>
      <c r="J1860" t="s">
        <v>87</v>
      </c>
      <c r="K1860">
        <v>0</v>
      </c>
      <c r="L1860">
        <v>0</v>
      </c>
    </row>
    <row r="1861" spans="1:12">
      <c r="A1861" s="93">
        <v>184773</v>
      </c>
      <c r="B1861" t="s">
        <v>2403</v>
      </c>
      <c r="C1861" t="s">
        <v>5608</v>
      </c>
      <c r="D1861" s="92">
        <v>0.48</v>
      </c>
      <c r="E1861" s="92">
        <v>0.36</v>
      </c>
      <c r="F1861">
        <v>15</v>
      </c>
      <c r="G1861">
        <v>17.5</v>
      </c>
      <c r="H1861" t="s">
        <v>5617</v>
      </c>
      <c r="I1861">
        <v>0</v>
      </c>
      <c r="J1861" t="s">
        <v>87</v>
      </c>
      <c r="K1861">
        <v>0</v>
      </c>
      <c r="L1861">
        <v>0</v>
      </c>
    </row>
    <row r="1862" spans="1:12">
      <c r="A1862" s="93">
        <v>184782</v>
      </c>
      <c r="B1862" t="s">
        <v>2404</v>
      </c>
      <c r="C1862" t="s">
        <v>5603</v>
      </c>
      <c r="D1862" s="92">
        <v>0.71</v>
      </c>
      <c r="E1862" s="92">
        <v>0.62</v>
      </c>
      <c r="F1862">
        <v>19</v>
      </c>
      <c r="G1862">
        <v>22.5</v>
      </c>
      <c r="H1862" t="s">
        <v>5615</v>
      </c>
      <c r="I1862">
        <v>0</v>
      </c>
      <c r="J1862" t="s">
        <v>87</v>
      </c>
      <c r="K1862">
        <v>0</v>
      </c>
      <c r="L1862">
        <v>0</v>
      </c>
    </row>
    <row r="1863" spans="1:12">
      <c r="A1863" s="93">
        <v>184791</v>
      </c>
      <c r="B1863" t="s">
        <v>2405</v>
      </c>
      <c r="C1863" t="s">
        <v>5606</v>
      </c>
      <c r="D1863" s="92">
        <v>0.36</v>
      </c>
      <c r="E1863" s="92">
        <v>0.25</v>
      </c>
      <c r="F1863" t="s">
        <v>428</v>
      </c>
      <c r="G1863" t="s">
        <v>428</v>
      </c>
      <c r="H1863" t="s">
        <v>5615</v>
      </c>
      <c r="I1863">
        <v>0</v>
      </c>
      <c r="J1863" t="s">
        <v>87</v>
      </c>
      <c r="K1863">
        <v>0</v>
      </c>
      <c r="L1863">
        <v>0</v>
      </c>
    </row>
    <row r="1864" spans="1:12">
      <c r="A1864" s="93">
        <v>184959</v>
      </c>
      <c r="B1864" t="s">
        <v>2406</v>
      </c>
      <c r="C1864" t="s">
        <v>5607</v>
      </c>
      <c r="D1864" s="92">
        <v>0.76</v>
      </c>
      <c r="E1864" s="92">
        <v>0.73</v>
      </c>
      <c r="F1864" t="s">
        <v>428</v>
      </c>
      <c r="G1864" t="s">
        <v>428</v>
      </c>
      <c r="H1864" t="s">
        <v>5617</v>
      </c>
      <c r="I1864">
        <v>0</v>
      </c>
      <c r="J1864" t="s">
        <v>87</v>
      </c>
      <c r="K1864">
        <v>0</v>
      </c>
      <c r="L1864">
        <v>0</v>
      </c>
    </row>
    <row r="1865" spans="1:12">
      <c r="A1865" s="93">
        <v>184968</v>
      </c>
      <c r="B1865" t="s">
        <v>2407</v>
      </c>
      <c r="C1865" t="s">
        <v>5609</v>
      </c>
      <c r="D1865" s="92" t="s">
        <v>428</v>
      </c>
      <c r="E1865" s="92" t="s">
        <v>428</v>
      </c>
      <c r="F1865" t="s">
        <v>428</v>
      </c>
      <c r="G1865" t="s">
        <v>428</v>
      </c>
      <c r="H1865" t="s">
        <v>5617</v>
      </c>
      <c r="I1865">
        <v>0</v>
      </c>
      <c r="J1865" t="s">
        <v>87</v>
      </c>
      <c r="K1865">
        <v>0</v>
      </c>
      <c r="L1865">
        <v>0</v>
      </c>
    </row>
    <row r="1866" spans="1:12">
      <c r="A1866" s="93">
        <v>184995</v>
      </c>
      <c r="B1866" t="s">
        <v>2408</v>
      </c>
      <c r="C1866" t="s">
        <v>5606</v>
      </c>
      <c r="D1866" s="92">
        <v>0.14</v>
      </c>
      <c r="E1866" s="92">
        <v>0.13</v>
      </c>
      <c r="F1866" t="s">
        <v>428</v>
      </c>
      <c r="G1866" t="s">
        <v>428</v>
      </c>
      <c r="H1866" t="s">
        <v>5615</v>
      </c>
      <c r="I1866">
        <v>0</v>
      </c>
      <c r="J1866" t="s">
        <v>87</v>
      </c>
      <c r="K1866">
        <v>0</v>
      </c>
      <c r="L1866">
        <v>0</v>
      </c>
    </row>
    <row r="1867" spans="1:12">
      <c r="A1867" s="93">
        <v>185129</v>
      </c>
      <c r="B1867" t="s">
        <v>2409</v>
      </c>
      <c r="C1867" t="s">
        <v>5608</v>
      </c>
      <c r="D1867" s="92">
        <v>0.31</v>
      </c>
      <c r="E1867" s="92">
        <v>0.27</v>
      </c>
      <c r="F1867">
        <v>13</v>
      </c>
      <c r="G1867">
        <v>16</v>
      </c>
      <c r="H1867" t="s">
        <v>5615</v>
      </c>
      <c r="I1867">
        <v>0</v>
      </c>
      <c r="J1867" t="s">
        <v>87</v>
      </c>
      <c r="K1867">
        <v>0</v>
      </c>
      <c r="L1867">
        <v>0</v>
      </c>
    </row>
    <row r="1868" spans="1:12">
      <c r="A1868" s="93">
        <v>185174</v>
      </c>
      <c r="B1868" t="s">
        <v>2410</v>
      </c>
      <c r="C1868" t="s">
        <v>5609</v>
      </c>
      <c r="D1868" s="92" t="s">
        <v>428</v>
      </c>
      <c r="E1868" s="92" t="s">
        <v>428</v>
      </c>
      <c r="F1868" t="s">
        <v>428</v>
      </c>
      <c r="G1868" t="s">
        <v>428</v>
      </c>
      <c r="H1868" t="s">
        <v>5617</v>
      </c>
      <c r="I1868">
        <v>0</v>
      </c>
      <c r="J1868" t="s">
        <v>87</v>
      </c>
      <c r="K1868">
        <v>0</v>
      </c>
      <c r="L1868">
        <v>0</v>
      </c>
    </row>
    <row r="1869" spans="1:12">
      <c r="A1869" s="93">
        <v>185262</v>
      </c>
      <c r="B1869" t="s">
        <v>2411</v>
      </c>
      <c r="C1869" t="s">
        <v>5602</v>
      </c>
      <c r="D1869" s="92">
        <v>0.5</v>
      </c>
      <c r="E1869" s="92">
        <v>0.47</v>
      </c>
      <c r="F1869">
        <v>15</v>
      </c>
      <c r="G1869">
        <v>17</v>
      </c>
      <c r="H1869" t="s">
        <v>5615</v>
      </c>
      <c r="I1869">
        <v>0</v>
      </c>
      <c r="J1869" t="s">
        <v>87</v>
      </c>
      <c r="K1869">
        <v>0</v>
      </c>
      <c r="L1869">
        <v>0</v>
      </c>
    </row>
    <row r="1870" spans="1:12">
      <c r="A1870" s="93">
        <v>185509</v>
      </c>
      <c r="B1870" t="s">
        <v>2412</v>
      </c>
      <c r="C1870" t="s">
        <v>5606</v>
      </c>
      <c r="D1870" s="92">
        <v>0.26</v>
      </c>
      <c r="E1870" s="92">
        <v>0.16</v>
      </c>
      <c r="F1870" t="s">
        <v>428</v>
      </c>
      <c r="G1870" t="s">
        <v>428</v>
      </c>
      <c r="H1870" t="s">
        <v>5615</v>
      </c>
      <c r="I1870">
        <v>0</v>
      </c>
      <c r="J1870" t="s">
        <v>87</v>
      </c>
      <c r="K1870">
        <v>0</v>
      </c>
      <c r="L1870">
        <v>0</v>
      </c>
    </row>
    <row r="1871" spans="1:12">
      <c r="A1871" s="93">
        <v>185536</v>
      </c>
      <c r="B1871" t="s">
        <v>2413</v>
      </c>
      <c r="C1871" t="s">
        <v>5606</v>
      </c>
      <c r="D1871" s="92">
        <v>0.27</v>
      </c>
      <c r="E1871" s="92">
        <v>0.22</v>
      </c>
      <c r="F1871" t="s">
        <v>428</v>
      </c>
      <c r="G1871" t="s">
        <v>428</v>
      </c>
      <c r="H1871" t="s">
        <v>5615</v>
      </c>
      <c r="I1871">
        <v>0</v>
      </c>
      <c r="J1871" t="s">
        <v>87</v>
      </c>
      <c r="K1871">
        <v>0</v>
      </c>
      <c r="L1871">
        <v>0</v>
      </c>
    </row>
    <row r="1872" spans="1:12">
      <c r="A1872" s="93">
        <v>185572</v>
      </c>
      <c r="B1872" t="s">
        <v>2414</v>
      </c>
      <c r="C1872" t="s">
        <v>5602</v>
      </c>
      <c r="D1872" s="92">
        <v>0.7</v>
      </c>
      <c r="E1872" s="92">
        <v>0.62</v>
      </c>
      <c r="F1872">
        <v>17</v>
      </c>
      <c r="G1872">
        <v>19.5</v>
      </c>
      <c r="H1872" t="s">
        <v>5617</v>
      </c>
      <c r="I1872">
        <v>0</v>
      </c>
      <c r="J1872" t="s">
        <v>87</v>
      </c>
      <c r="K1872">
        <v>0</v>
      </c>
      <c r="L1872">
        <v>0</v>
      </c>
    </row>
    <row r="1873" spans="1:12">
      <c r="A1873" s="93">
        <v>185590</v>
      </c>
      <c r="B1873" t="s">
        <v>2415</v>
      </c>
      <c r="C1873" t="s">
        <v>5608</v>
      </c>
      <c r="D1873" s="92">
        <v>0.65</v>
      </c>
      <c r="E1873" s="92">
        <v>0.62</v>
      </c>
      <c r="F1873" t="s">
        <v>428</v>
      </c>
      <c r="G1873" t="s">
        <v>428</v>
      </c>
      <c r="H1873" t="s">
        <v>5615</v>
      </c>
      <c r="I1873">
        <v>0</v>
      </c>
      <c r="J1873" t="s">
        <v>87</v>
      </c>
      <c r="K1873">
        <v>0</v>
      </c>
      <c r="L1873">
        <v>0</v>
      </c>
    </row>
    <row r="1874" spans="1:12">
      <c r="A1874" s="93">
        <v>185651</v>
      </c>
      <c r="B1874" t="s">
        <v>2416</v>
      </c>
      <c r="C1874" t="s">
        <v>5609</v>
      </c>
      <c r="D1874" s="92" t="s">
        <v>428</v>
      </c>
      <c r="E1874" s="92" t="s">
        <v>428</v>
      </c>
      <c r="F1874" t="s">
        <v>428</v>
      </c>
      <c r="G1874" t="s">
        <v>428</v>
      </c>
      <c r="H1874" t="s">
        <v>5615</v>
      </c>
      <c r="I1874">
        <v>0</v>
      </c>
      <c r="J1874" t="s">
        <v>87</v>
      </c>
      <c r="K1874">
        <v>0</v>
      </c>
      <c r="L1874">
        <v>0</v>
      </c>
    </row>
    <row r="1875" spans="1:12">
      <c r="A1875" s="93">
        <v>185679</v>
      </c>
      <c r="B1875" t="s">
        <v>2417</v>
      </c>
      <c r="C1875" t="s">
        <v>5609</v>
      </c>
      <c r="D1875" s="92" t="s">
        <v>428</v>
      </c>
      <c r="E1875" s="92" t="s">
        <v>428</v>
      </c>
      <c r="F1875" t="s">
        <v>428</v>
      </c>
      <c r="G1875" t="s">
        <v>428</v>
      </c>
      <c r="H1875" t="s">
        <v>5615</v>
      </c>
      <c r="I1875">
        <v>0</v>
      </c>
      <c r="J1875" t="s">
        <v>87</v>
      </c>
      <c r="K1875">
        <v>0</v>
      </c>
      <c r="L1875">
        <v>0</v>
      </c>
    </row>
    <row r="1876" spans="1:12">
      <c r="A1876" s="93">
        <v>185721</v>
      </c>
      <c r="B1876" t="s">
        <v>2418</v>
      </c>
      <c r="C1876" t="s">
        <v>5609</v>
      </c>
      <c r="D1876" s="92" t="s">
        <v>428</v>
      </c>
      <c r="E1876" s="92" t="s">
        <v>428</v>
      </c>
      <c r="F1876" t="s">
        <v>428</v>
      </c>
      <c r="G1876" t="s">
        <v>428</v>
      </c>
      <c r="H1876" t="s">
        <v>5617</v>
      </c>
      <c r="I1876">
        <v>0</v>
      </c>
      <c r="J1876" t="s">
        <v>87</v>
      </c>
      <c r="K1876">
        <v>0</v>
      </c>
      <c r="L1876">
        <v>0</v>
      </c>
    </row>
    <row r="1877" spans="1:12">
      <c r="A1877" s="93">
        <v>185758</v>
      </c>
      <c r="B1877" t="s">
        <v>2419</v>
      </c>
      <c r="C1877" t="s">
        <v>5607</v>
      </c>
      <c r="D1877" s="92" t="s">
        <v>428</v>
      </c>
      <c r="E1877" s="92" t="s">
        <v>428</v>
      </c>
      <c r="F1877" t="s">
        <v>428</v>
      </c>
      <c r="G1877" t="s">
        <v>428</v>
      </c>
      <c r="H1877" t="s">
        <v>5615</v>
      </c>
      <c r="I1877">
        <v>0</v>
      </c>
      <c r="J1877" t="s">
        <v>87</v>
      </c>
      <c r="K1877">
        <v>0</v>
      </c>
      <c r="L1877">
        <v>0</v>
      </c>
    </row>
    <row r="1878" spans="1:12">
      <c r="A1878" s="93">
        <v>185828</v>
      </c>
      <c r="B1878" t="s">
        <v>2420</v>
      </c>
      <c r="C1878" t="s">
        <v>5603</v>
      </c>
      <c r="D1878" s="92">
        <v>0.6</v>
      </c>
      <c r="E1878" s="92">
        <v>0.52</v>
      </c>
      <c r="F1878">
        <v>23</v>
      </c>
      <c r="G1878">
        <v>26</v>
      </c>
      <c r="H1878" t="s">
        <v>5615</v>
      </c>
      <c r="I1878">
        <v>0</v>
      </c>
      <c r="J1878" t="s">
        <v>87</v>
      </c>
      <c r="K1878">
        <v>0</v>
      </c>
      <c r="L1878">
        <v>0</v>
      </c>
    </row>
    <row r="1879" spans="1:12">
      <c r="A1879" s="93">
        <v>185873</v>
      </c>
      <c r="B1879" t="s">
        <v>2421</v>
      </c>
      <c r="C1879" t="s">
        <v>5606</v>
      </c>
      <c r="D1879" s="92">
        <v>0.42</v>
      </c>
      <c r="E1879" s="92">
        <v>0.3</v>
      </c>
      <c r="F1879" t="s">
        <v>428</v>
      </c>
      <c r="G1879" t="s">
        <v>428</v>
      </c>
      <c r="H1879" t="s">
        <v>5615</v>
      </c>
      <c r="I1879">
        <v>0</v>
      </c>
      <c r="J1879" t="s">
        <v>87</v>
      </c>
      <c r="K1879">
        <v>0</v>
      </c>
      <c r="L1879">
        <v>0</v>
      </c>
    </row>
    <row r="1880" spans="1:12">
      <c r="A1880" s="93">
        <v>186034</v>
      </c>
      <c r="B1880" t="s">
        <v>2422</v>
      </c>
      <c r="C1880" t="s">
        <v>5606</v>
      </c>
      <c r="D1880" s="92">
        <v>0.2</v>
      </c>
      <c r="E1880" s="92">
        <v>0.17</v>
      </c>
      <c r="F1880" t="s">
        <v>428</v>
      </c>
      <c r="G1880" t="s">
        <v>428</v>
      </c>
      <c r="H1880" t="s">
        <v>5615</v>
      </c>
      <c r="I1880">
        <v>0</v>
      </c>
      <c r="J1880" t="s">
        <v>87</v>
      </c>
      <c r="K1880">
        <v>0</v>
      </c>
      <c r="L1880">
        <v>0</v>
      </c>
    </row>
    <row r="1881" spans="1:12">
      <c r="A1881" s="93">
        <v>186052</v>
      </c>
      <c r="B1881" t="s">
        <v>2423</v>
      </c>
      <c r="C1881" t="s">
        <v>5606</v>
      </c>
      <c r="D1881" s="92" t="s">
        <v>428</v>
      </c>
      <c r="E1881" s="92" t="s">
        <v>428</v>
      </c>
      <c r="F1881" t="s">
        <v>428</v>
      </c>
      <c r="G1881" t="s">
        <v>428</v>
      </c>
      <c r="H1881" t="s">
        <v>5617</v>
      </c>
      <c r="I1881">
        <v>0</v>
      </c>
      <c r="J1881" t="s">
        <v>87</v>
      </c>
      <c r="K1881">
        <v>0</v>
      </c>
      <c r="L1881">
        <v>0</v>
      </c>
    </row>
    <row r="1882" spans="1:12">
      <c r="A1882" s="93">
        <v>186122</v>
      </c>
      <c r="B1882" t="s">
        <v>2424</v>
      </c>
      <c r="C1882" t="s">
        <v>5607</v>
      </c>
      <c r="D1882" s="92" t="s">
        <v>428</v>
      </c>
      <c r="E1882" s="92" t="s">
        <v>428</v>
      </c>
      <c r="F1882" t="s">
        <v>428</v>
      </c>
      <c r="G1882" t="s">
        <v>428</v>
      </c>
      <c r="H1882" t="s">
        <v>5615</v>
      </c>
      <c r="I1882">
        <v>0</v>
      </c>
      <c r="J1882" t="s">
        <v>87</v>
      </c>
      <c r="K1882">
        <v>0</v>
      </c>
      <c r="L1882">
        <v>0</v>
      </c>
    </row>
    <row r="1883" spans="1:12">
      <c r="A1883" s="93">
        <v>186131</v>
      </c>
      <c r="B1883" t="s">
        <v>2425</v>
      </c>
      <c r="C1883" t="s">
        <v>5611</v>
      </c>
      <c r="D1883" s="92">
        <v>0.97</v>
      </c>
      <c r="E1883" s="92">
        <v>0.96</v>
      </c>
      <c r="F1883">
        <v>32</v>
      </c>
      <c r="G1883">
        <v>33.5</v>
      </c>
      <c r="H1883" t="s">
        <v>5614</v>
      </c>
      <c r="I1883">
        <v>1</v>
      </c>
      <c r="J1883" t="s">
        <v>87</v>
      </c>
      <c r="K1883">
        <v>0</v>
      </c>
      <c r="L1883">
        <v>0</v>
      </c>
    </row>
    <row r="1884" spans="1:12">
      <c r="A1884" s="93">
        <v>186186</v>
      </c>
      <c r="B1884" t="s">
        <v>2426</v>
      </c>
      <c r="C1884" t="s">
        <v>5607</v>
      </c>
      <c r="D1884" s="92">
        <v>0.21</v>
      </c>
      <c r="E1884" s="92" t="s">
        <v>428</v>
      </c>
      <c r="F1884" t="s">
        <v>428</v>
      </c>
      <c r="G1884" t="s">
        <v>428</v>
      </c>
      <c r="H1884" t="s">
        <v>5616</v>
      </c>
      <c r="I1884">
        <v>0</v>
      </c>
      <c r="J1884" t="s">
        <v>87</v>
      </c>
      <c r="K1884">
        <v>0</v>
      </c>
      <c r="L1884">
        <v>0</v>
      </c>
    </row>
    <row r="1885" spans="1:12">
      <c r="A1885" s="93">
        <v>186201</v>
      </c>
      <c r="B1885" t="s">
        <v>2427</v>
      </c>
      <c r="C1885" t="s">
        <v>5602</v>
      </c>
      <c r="D1885" s="92">
        <v>0.73</v>
      </c>
      <c r="E1885" s="92">
        <v>0.65</v>
      </c>
      <c r="F1885">
        <v>21</v>
      </c>
      <c r="G1885">
        <v>23.5</v>
      </c>
      <c r="H1885" t="s">
        <v>5615</v>
      </c>
      <c r="I1885">
        <v>0</v>
      </c>
      <c r="J1885" t="s">
        <v>87</v>
      </c>
      <c r="K1885">
        <v>0</v>
      </c>
      <c r="L1885">
        <v>0</v>
      </c>
    </row>
    <row r="1886" spans="1:12">
      <c r="A1886" s="93">
        <v>186283</v>
      </c>
      <c r="B1886" t="s">
        <v>2428</v>
      </c>
      <c r="C1886" t="s">
        <v>5602</v>
      </c>
      <c r="D1886" s="92">
        <v>0.66</v>
      </c>
      <c r="E1886" s="92">
        <v>0.58</v>
      </c>
      <c r="F1886">
        <v>19</v>
      </c>
      <c r="G1886">
        <v>21.5</v>
      </c>
      <c r="H1886" t="s">
        <v>5617</v>
      </c>
      <c r="I1886">
        <v>0</v>
      </c>
      <c r="J1886" t="s">
        <v>87</v>
      </c>
      <c r="K1886">
        <v>0</v>
      </c>
      <c r="L1886">
        <v>0</v>
      </c>
    </row>
    <row r="1887" spans="1:12">
      <c r="A1887" s="93">
        <v>186371</v>
      </c>
      <c r="B1887" t="s">
        <v>2429</v>
      </c>
      <c r="C1887" t="s">
        <v>5602</v>
      </c>
      <c r="D1887" s="92">
        <v>0.5600000000000001</v>
      </c>
      <c r="E1887" s="92">
        <v>0.48</v>
      </c>
      <c r="F1887">
        <v>16</v>
      </c>
      <c r="G1887">
        <v>19</v>
      </c>
      <c r="H1887" t="s">
        <v>5615</v>
      </c>
      <c r="I1887">
        <v>0</v>
      </c>
      <c r="J1887" t="s">
        <v>87</v>
      </c>
      <c r="K1887">
        <v>0</v>
      </c>
      <c r="L1887">
        <v>0</v>
      </c>
    </row>
    <row r="1888" spans="1:12">
      <c r="A1888" s="93">
        <v>186380</v>
      </c>
      <c r="B1888" t="s">
        <v>2430</v>
      </c>
      <c r="C1888" t="s">
        <v>5605</v>
      </c>
      <c r="D1888" s="92">
        <v>0.8</v>
      </c>
      <c r="E1888" s="92">
        <v>0.72</v>
      </c>
      <c r="F1888">
        <v>22</v>
      </c>
      <c r="G1888">
        <v>25.5</v>
      </c>
      <c r="H1888" t="s">
        <v>5615</v>
      </c>
      <c r="I1888">
        <v>0</v>
      </c>
      <c r="J1888" t="s">
        <v>87</v>
      </c>
      <c r="K1888">
        <v>0</v>
      </c>
      <c r="L1888">
        <v>0</v>
      </c>
    </row>
    <row r="1889" spans="1:12">
      <c r="A1889" s="93">
        <v>186399</v>
      </c>
      <c r="B1889" t="s">
        <v>2431</v>
      </c>
      <c r="C1889" t="s">
        <v>5602</v>
      </c>
      <c r="D1889" s="92">
        <v>0.66</v>
      </c>
      <c r="E1889" s="92">
        <v>0.62</v>
      </c>
      <c r="F1889">
        <v>16</v>
      </c>
      <c r="G1889">
        <v>19</v>
      </c>
      <c r="H1889" t="s">
        <v>5615</v>
      </c>
      <c r="I1889">
        <v>0</v>
      </c>
      <c r="J1889" t="s">
        <v>87</v>
      </c>
      <c r="K1889">
        <v>0</v>
      </c>
      <c r="L1889">
        <v>0</v>
      </c>
    </row>
    <row r="1890" spans="1:12">
      <c r="A1890" s="93">
        <v>186405</v>
      </c>
      <c r="B1890" t="s">
        <v>2432</v>
      </c>
      <c r="C1890" t="s">
        <v>5606</v>
      </c>
      <c r="D1890" s="92" t="s">
        <v>428</v>
      </c>
      <c r="E1890" s="92" t="s">
        <v>428</v>
      </c>
      <c r="F1890" t="s">
        <v>428</v>
      </c>
      <c r="G1890" t="s">
        <v>428</v>
      </c>
      <c r="H1890" t="s">
        <v>5615</v>
      </c>
      <c r="I1890">
        <v>0</v>
      </c>
      <c r="J1890" t="s">
        <v>87</v>
      </c>
      <c r="K1890">
        <v>0</v>
      </c>
      <c r="L1890">
        <v>0</v>
      </c>
    </row>
    <row r="1891" spans="1:12">
      <c r="A1891" s="93">
        <v>186423</v>
      </c>
      <c r="B1891" t="s">
        <v>2433</v>
      </c>
      <c r="C1891" t="s">
        <v>5606</v>
      </c>
      <c r="D1891" s="92" t="s">
        <v>428</v>
      </c>
      <c r="E1891" s="92" t="s">
        <v>428</v>
      </c>
      <c r="F1891" t="s">
        <v>428</v>
      </c>
      <c r="G1891" t="s">
        <v>428</v>
      </c>
      <c r="H1891" t="s">
        <v>5615</v>
      </c>
      <c r="I1891">
        <v>0</v>
      </c>
      <c r="J1891" t="s">
        <v>87</v>
      </c>
      <c r="K1891">
        <v>0</v>
      </c>
      <c r="L1891">
        <v>0</v>
      </c>
    </row>
    <row r="1892" spans="1:12">
      <c r="A1892" s="93">
        <v>186432</v>
      </c>
      <c r="B1892" t="s">
        <v>2434</v>
      </c>
      <c r="C1892" t="s">
        <v>5602</v>
      </c>
      <c r="D1892" s="92">
        <v>0.54</v>
      </c>
      <c r="E1892" s="92">
        <v>0.49</v>
      </c>
      <c r="F1892">
        <v>15</v>
      </c>
      <c r="G1892">
        <v>17.5</v>
      </c>
      <c r="H1892" t="s">
        <v>5616</v>
      </c>
      <c r="I1892">
        <v>0</v>
      </c>
      <c r="J1892" t="s">
        <v>87</v>
      </c>
      <c r="K1892">
        <v>0</v>
      </c>
      <c r="L1892">
        <v>0</v>
      </c>
    </row>
    <row r="1893" spans="1:12">
      <c r="A1893" s="93">
        <v>186469</v>
      </c>
      <c r="B1893" t="s">
        <v>2435</v>
      </c>
      <c r="C1893" t="s">
        <v>5606</v>
      </c>
      <c r="D1893" s="92">
        <v>0.35</v>
      </c>
      <c r="E1893" s="92">
        <v>0.2</v>
      </c>
      <c r="F1893" t="s">
        <v>428</v>
      </c>
      <c r="G1893" t="s">
        <v>428</v>
      </c>
      <c r="H1893" t="s">
        <v>5615</v>
      </c>
      <c r="I1893">
        <v>0</v>
      </c>
      <c r="J1893" t="s">
        <v>87</v>
      </c>
      <c r="K1893">
        <v>0</v>
      </c>
      <c r="L1893">
        <v>0</v>
      </c>
    </row>
    <row r="1894" spans="1:12">
      <c r="A1894" s="93">
        <v>186584</v>
      </c>
      <c r="B1894" t="s">
        <v>2436</v>
      </c>
      <c r="C1894" t="s">
        <v>5602</v>
      </c>
      <c r="D1894" s="92">
        <v>0.64</v>
      </c>
      <c r="E1894" s="92">
        <v>0.51</v>
      </c>
      <c r="F1894">
        <v>23</v>
      </c>
      <c r="G1894">
        <v>25</v>
      </c>
      <c r="H1894" t="s">
        <v>5617</v>
      </c>
      <c r="I1894">
        <v>0</v>
      </c>
      <c r="J1894" t="s">
        <v>87</v>
      </c>
      <c r="K1894">
        <v>0</v>
      </c>
      <c r="L1894">
        <v>0</v>
      </c>
    </row>
    <row r="1895" spans="1:12">
      <c r="A1895" s="93">
        <v>186618</v>
      </c>
      <c r="B1895" t="s">
        <v>2437</v>
      </c>
      <c r="C1895" t="s">
        <v>5608</v>
      </c>
      <c r="D1895" s="92">
        <v>0.49</v>
      </c>
      <c r="E1895" s="92">
        <v>0.41</v>
      </c>
      <c r="F1895">
        <v>12</v>
      </c>
      <c r="G1895">
        <v>14.5</v>
      </c>
      <c r="H1895" t="s">
        <v>5616</v>
      </c>
      <c r="I1895">
        <v>0</v>
      </c>
      <c r="J1895" t="s">
        <v>87</v>
      </c>
      <c r="K1895">
        <v>0</v>
      </c>
      <c r="L1895">
        <v>0</v>
      </c>
    </row>
    <row r="1896" spans="1:12">
      <c r="A1896" s="93">
        <v>186645</v>
      </c>
      <c r="B1896" t="s">
        <v>2438</v>
      </c>
      <c r="C1896" t="s">
        <v>5606</v>
      </c>
      <c r="D1896" s="92">
        <v>0.39</v>
      </c>
      <c r="E1896" s="92">
        <v>0.3</v>
      </c>
      <c r="F1896" t="s">
        <v>428</v>
      </c>
      <c r="G1896" t="s">
        <v>428</v>
      </c>
      <c r="H1896" t="s">
        <v>5615</v>
      </c>
      <c r="I1896">
        <v>0</v>
      </c>
      <c r="J1896" t="s">
        <v>87</v>
      </c>
      <c r="K1896">
        <v>0</v>
      </c>
      <c r="L1896">
        <v>0</v>
      </c>
    </row>
    <row r="1897" spans="1:12">
      <c r="A1897" s="93">
        <v>186867</v>
      </c>
      <c r="B1897" t="s">
        <v>2439</v>
      </c>
      <c r="C1897" t="s">
        <v>5612</v>
      </c>
      <c r="D1897" s="92">
        <v>0.82</v>
      </c>
      <c r="E1897" s="92">
        <v>0.74</v>
      </c>
      <c r="F1897">
        <v>29</v>
      </c>
      <c r="G1897">
        <v>31</v>
      </c>
      <c r="H1897" t="s">
        <v>5618</v>
      </c>
      <c r="I1897">
        <v>0</v>
      </c>
      <c r="J1897" t="s">
        <v>87</v>
      </c>
      <c r="K1897">
        <v>0</v>
      </c>
      <c r="L1897">
        <v>0</v>
      </c>
    </row>
    <row r="1898" spans="1:12">
      <c r="A1898" s="93">
        <v>186876</v>
      </c>
      <c r="B1898" t="s">
        <v>2440</v>
      </c>
      <c r="C1898" t="s">
        <v>5610</v>
      </c>
      <c r="D1898" s="92">
        <v>0.7</v>
      </c>
      <c r="E1898" s="92">
        <v>0.58</v>
      </c>
      <c r="F1898">
        <v>18</v>
      </c>
      <c r="G1898">
        <v>21</v>
      </c>
      <c r="H1898" t="s">
        <v>5615</v>
      </c>
      <c r="I1898">
        <v>0</v>
      </c>
      <c r="J1898" t="s">
        <v>87</v>
      </c>
      <c r="K1898">
        <v>0</v>
      </c>
      <c r="L1898">
        <v>0</v>
      </c>
    </row>
    <row r="1899" spans="1:12">
      <c r="A1899" s="93">
        <v>186900</v>
      </c>
      <c r="B1899" t="s">
        <v>2441</v>
      </c>
      <c r="C1899" t="s">
        <v>5607</v>
      </c>
      <c r="D1899" s="92">
        <v>0.07000000000000001</v>
      </c>
      <c r="E1899" s="92" t="s">
        <v>428</v>
      </c>
      <c r="F1899" t="s">
        <v>428</v>
      </c>
      <c r="G1899" t="s">
        <v>428</v>
      </c>
      <c r="H1899" t="s">
        <v>5624</v>
      </c>
      <c r="I1899">
        <v>1</v>
      </c>
      <c r="J1899" t="s">
        <v>87</v>
      </c>
      <c r="K1899">
        <v>0</v>
      </c>
      <c r="L1899">
        <v>0</v>
      </c>
    </row>
    <row r="1900" spans="1:12">
      <c r="A1900" s="93">
        <v>187000</v>
      </c>
      <c r="B1900" t="s">
        <v>2442</v>
      </c>
      <c r="C1900" t="s">
        <v>5606</v>
      </c>
      <c r="D1900" s="92" t="s">
        <v>428</v>
      </c>
      <c r="E1900" s="92" t="s">
        <v>428</v>
      </c>
      <c r="F1900" t="s">
        <v>428</v>
      </c>
      <c r="G1900" t="s">
        <v>428</v>
      </c>
      <c r="H1900" t="s">
        <v>5616</v>
      </c>
      <c r="I1900">
        <v>0</v>
      </c>
      <c r="J1900" t="s">
        <v>87</v>
      </c>
      <c r="K1900">
        <v>0</v>
      </c>
      <c r="L1900">
        <v>0</v>
      </c>
    </row>
    <row r="1901" spans="1:12">
      <c r="A1901" s="93">
        <v>187046</v>
      </c>
      <c r="B1901" t="s">
        <v>2443</v>
      </c>
      <c r="C1901" t="s">
        <v>5604</v>
      </c>
      <c r="D1901" s="92" t="s">
        <v>428</v>
      </c>
      <c r="E1901" s="92" t="s">
        <v>428</v>
      </c>
      <c r="F1901" t="s">
        <v>428</v>
      </c>
      <c r="G1901" t="s">
        <v>428</v>
      </c>
      <c r="H1901" t="s">
        <v>5615</v>
      </c>
      <c r="I1901">
        <v>0</v>
      </c>
      <c r="J1901" t="s">
        <v>87</v>
      </c>
      <c r="K1901">
        <v>0</v>
      </c>
      <c r="L1901">
        <v>0</v>
      </c>
    </row>
    <row r="1902" spans="1:12">
      <c r="A1902" s="93">
        <v>187134</v>
      </c>
      <c r="B1902" t="s">
        <v>2444</v>
      </c>
      <c r="C1902" t="s">
        <v>5605</v>
      </c>
      <c r="D1902" s="92">
        <v>0.87</v>
      </c>
      <c r="E1902" s="92">
        <v>0.76</v>
      </c>
      <c r="F1902">
        <v>25</v>
      </c>
      <c r="G1902">
        <v>27.5</v>
      </c>
      <c r="H1902" t="s">
        <v>5615</v>
      </c>
      <c r="I1902">
        <v>0</v>
      </c>
      <c r="J1902" t="s">
        <v>87</v>
      </c>
      <c r="K1902">
        <v>0</v>
      </c>
      <c r="L1902">
        <v>0</v>
      </c>
    </row>
    <row r="1903" spans="1:12">
      <c r="A1903" s="93">
        <v>187198</v>
      </c>
      <c r="B1903" t="s">
        <v>2445</v>
      </c>
      <c r="C1903" t="s">
        <v>5606</v>
      </c>
      <c r="D1903" s="92">
        <v>0.23</v>
      </c>
      <c r="E1903" s="92">
        <v>0.2</v>
      </c>
      <c r="F1903" t="s">
        <v>428</v>
      </c>
      <c r="G1903" t="s">
        <v>428</v>
      </c>
      <c r="H1903" t="s">
        <v>5615</v>
      </c>
      <c r="I1903">
        <v>0</v>
      </c>
      <c r="J1903" t="s">
        <v>87</v>
      </c>
      <c r="K1903">
        <v>0</v>
      </c>
      <c r="L1903">
        <v>0</v>
      </c>
    </row>
    <row r="1904" spans="1:12">
      <c r="A1904" s="93">
        <v>187444</v>
      </c>
      <c r="B1904" t="s">
        <v>2446</v>
      </c>
      <c r="C1904" t="s">
        <v>5602</v>
      </c>
      <c r="D1904" s="92">
        <v>0.51</v>
      </c>
      <c r="E1904" s="92">
        <v>0.44</v>
      </c>
      <c r="F1904">
        <v>16</v>
      </c>
      <c r="G1904">
        <v>18.5</v>
      </c>
      <c r="H1904" t="s">
        <v>5615</v>
      </c>
      <c r="I1904">
        <v>0</v>
      </c>
      <c r="J1904" t="s">
        <v>87</v>
      </c>
      <c r="K1904">
        <v>0</v>
      </c>
      <c r="L1904">
        <v>0</v>
      </c>
    </row>
    <row r="1905" spans="1:12">
      <c r="A1905" s="93">
        <v>187532</v>
      </c>
      <c r="B1905" t="s">
        <v>2447</v>
      </c>
      <c r="C1905" t="s">
        <v>5606</v>
      </c>
      <c r="D1905" s="92">
        <v>0.18</v>
      </c>
      <c r="E1905" s="92">
        <v>0.18</v>
      </c>
      <c r="F1905" t="s">
        <v>428</v>
      </c>
      <c r="G1905" t="s">
        <v>428</v>
      </c>
      <c r="H1905" t="s">
        <v>5615</v>
      </c>
      <c r="I1905">
        <v>0</v>
      </c>
      <c r="J1905" t="s">
        <v>87</v>
      </c>
      <c r="K1905">
        <v>0</v>
      </c>
      <c r="L1905">
        <v>0</v>
      </c>
    </row>
    <row r="1906" spans="1:12">
      <c r="A1906" s="93">
        <v>187596</v>
      </c>
      <c r="B1906" t="s">
        <v>2448</v>
      </c>
      <c r="C1906" t="s">
        <v>5604</v>
      </c>
      <c r="D1906" s="92" t="s">
        <v>428</v>
      </c>
      <c r="E1906" s="92" t="s">
        <v>428</v>
      </c>
      <c r="F1906" t="s">
        <v>428</v>
      </c>
      <c r="G1906" t="s">
        <v>428</v>
      </c>
      <c r="H1906" t="s">
        <v>5615</v>
      </c>
      <c r="I1906">
        <v>0</v>
      </c>
      <c r="J1906" t="s">
        <v>87</v>
      </c>
      <c r="K1906">
        <v>0</v>
      </c>
      <c r="L1906">
        <v>0</v>
      </c>
    </row>
    <row r="1907" spans="1:12">
      <c r="A1907" s="93">
        <v>187620</v>
      </c>
      <c r="B1907" t="s">
        <v>2449</v>
      </c>
      <c r="C1907" t="s">
        <v>5606</v>
      </c>
      <c r="D1907" s="92">
        <v>0.18</v>
      </c>
      <c r="E1907" s="92">
        <v>0.18</v>
      </c>
      <c r="F1907" t="s">
        <v>428</v>
      </c>
      <c r="G1907" t="s">
        <v>428</v>
      </c>
      <c r="H1907" t="s">
        <v>5615</v>
      </c>
      <c r="I1907">
        <v>0</v>
      </c>
      <c r="J1907" t="s">
        <v>87</v>
      </c>
      <c r="K1907">
        <v>0</v>
      </c>
      <c r="L1907">
        <v>0</v>
      </c>
    </row>
    <row r="1908" spans="1:12">
      <c r="A1908" s="93">
        <v>187639</v>
      </c>
      <c r="B1908" t="s">
        <v>2450</v>
      </c>
      <c r="C1908" t="s">
        <v>5606</v>
      </c>
      <c r="D1908" s="92">
        <v>0.39</v>
      </c>
      <c r="E1908" s="92">
        <v>0.33</v>
      </c>
      <c r="F1908" t="s">
        <v>428</v>
      </c>
      <c r="G1908" t="s">
        <v>428</v>
      </c>
      <c r="H1908" t="s">
        <v>5615</v>
      </c>
      <c r="I1908">
        <v>0</v>
      </c>
      <c r="J1908" t="s">
        <v>87</v>
      </c>
      <c r="K1908">
        <v>0</v>
      </c>
      <c r="L1908">
        <v>0</v>
      </c>
    </row>
    <row r="1909" spans="1:12">
      <c r="A1909" s="93">
        <v>187648</v>
      </c>
      <c r="B1909" t="s">
        <v>2451</v>
      </c>
      <c r="C1909" t="s">
        <v>5602</v>
      </c>
      <c r="D1909" s="92">
        <v>0.31</v>
      </c>
      <c r="E1909" s="92">
        <v>0.25</v>
      </c>
      <c r="F1909">
        <v>17</v>
      </c>
      <c r="G1909">
        <v>20</v>
      </c>
      <c r="H1909" t="s">
        <v>5615</v>
      </c>
      <c r="I1909">
        <v>0</v>
      </c>
      <c r="J1909" t="s">
        <v>87</v>
      </c>
      <c r="K1909">
        <v>0</v>
      </c>
      <c r="L1909">
        <v>0</v>
      </c>
    </row>
    <row r="1910" spans="1:12">
      <c r="A1910" s="93">
        <v>187666</v>
      </c>
      <c r="B1910" t="s">
        <v>2452</v>
      </c>
      <c r="C1910" t="s">
        <v>5606</v>
      </c>
      <c r="D1910" s="92">
        <v>0.34</v>
      </c>
      <c r="E1910" s="92">
        <v>0.3</v>
      </c>
      <c r="F1910" t="s">
        <v>428</v>
      </c>
      <c r="G1910" t="s">
        <v>428</v>
      </c>
      <c r="H1910" t="s">
        <v>5615</v>
      </c>
      <c r="I1910">
        <v>0</v>
      </c>
      <c r="J1910" t="s">
        <v>87</v>
      </c>
      <c r="K1910">
        <v>0</v>
      </c>
      <c r="L1910">
        <v>0</v>
      </c>
    </row>
    <row r="1911" spans="1:12">
      <c r="A1911" s="93">
        <v>187745</v>
      </c>
      <c r="B1911" t="s">
        <v>2453</v>
      </c>
      <c r="C1911" t="s">
        <v>5607</v>
      </c>
      <c r="D1911" s="92">
        <v>0.27</v>
      </c>
      <c r="E1911" s="92">
        <v>0</v>
      </c>
      <c r="F1911" t="s">
        <v>428</v>
      </c>
      <c r="G1911" t="s">
        <v>428</v>
      </c>
      <c r="H1911" t="s">
        <v>5615</v>
      </c>
      <c r="I1911">
        <v>0</v>
      </c>
      <c r="J1911" t="s">
        <v>87</v>
      </c>
      <c r="K1911">
        <v>0</v>
      </c>
      <c r="L1911">
        <v>0</v>
      </c>
    </row>
    <row r="1912" spans="1:12">
      <c r="A1912" s="93">
        <v>187897</v>
      </c>
      <c r="B1912" t="s">
        <v>2454</v>
      </c>
      <c r="C1912" t="s">
        <v>5604</v>
      </c>
      <c r="D1912" s="92">
        <v>0.19</v>
      </c>
      <c r="E1912" s="92">
        <v>0.19</v>
      </c>
      <c r="F1912" t="s">
        <v>428</v>
      </c>
      <c r="G1912" t="s">
        <v>428</v>
      </c>
      <c r="H1912" t="s">
        <v>5615</v>
      </c>
      <c r="I1912">
        <v>0</v>
      </c>
      <c r="J1912" t="s">
        <v>87</v>
      </c>
      <c r="K1912">
        <v>0</v>
      </c>
      <c r="L1912">
        <v>0</v>
      </c>
    </row>
    <row r="1913" spans="1:12">
      <c r="A1913" s="93">
        <v>187903</v>
      </c>
      <c r="B1913" t="s">
        <v>2455</v>
      </c>
      <c r="C1913" t="s">
        <v>5606</v>
      </c>
      <c r="D1913" s="92">
        <v>0.32</v>
      </c>
      <c r="E1913" s="92">
        <v>0.26</v>
      </c>
      <c r="F1913" t="s">
        <v>428</v>
      </c>
      <c r="G1913" t="s">
        <v>428</v>
      </c>
      <c r="H1913" t="s">
        <v>5615</v>
      </c>
      <c r="I1913">
        <v>0</v>
      </c>
      <c r="J1913" t="s">
        <v>87</v>
      </c>
      <c r="K1913">
        <v>0</v>
      </c>
      <c r="L1913">
        <v>0</v>
      </c>
    </row>
    <row r="1914" spans="1:12">
      <c r="A1914" s="93">
        <v>187912</v>
      </c>
      <c r="B1914" t="s">
        <v>2456</v>
      </c>
      <c r="C1914" t="s">
        <v>5609</v>
      </c>
      <c r="D1914" s="92">
        <v>0.55</v>
      </c>
      <c r="E1914" s="92">
        <v>0.53</v>
      </c>
      <c r="F1914">
        <v>16</v>
      </c>
      <c r="G1914">
        <v>19.5</v>
      </c>
      <c r="H1914" t="s">
        <v>5615</v>
      </c>
      <c r="I1914">
        <v>0</v>
      </c>
      <c r="J1914" t="s">
        <v>87</v>
      </c>
      <c r="K1914">
        <v>0</v>
      </c>
      <c r="L1914">
        <v>0</v>
      </c>
    </row>
    <row r="1915" spans="1:12">
      <c r="A1915" s="93">
        <v>187958</v>
      </c>
      <c r="B1915" t="s">
        <v>2457</v>
      </c>
      <c r="C1915" t="s">
        <v>5606</v>
      </c>
      <c r="D1915" s="92">
        <v>0.11</v>
      </c>
      <c r="E1915" s="92">
        <v>0.19</v>
      </c>
      <c r="F1915" t="s">
        <v>428</v>
      </c>
      <c r="G1915" t="s">
        <v>428</v>
      </c>
      <c r="H1915" t="s">
        <v>5615</v>
      </c>
      <c r="I1915">
        <v>0</v>
      </c>
      <c r="J1915" t="s">
        <v>87</v>
      </c>
      <c r="K1915">
        <v>0</v>
      </c>
      <c r="L1915">
        <v>0</v>
      </c>
    </row>
    <row r="1916" spans="1:12">
      <c r="A1916" s="93">
        <v>187967</v>
      </c>
      <c r="B1916" t="s">
        <v>2458</v>
      </c>
      <c r="C1916" t="s">
        <v>5605</v>
      </c>
      <c r="D1916" s="92">
        <v>0.48</v>
      </c>
      <c r="E1916" s="92">
        <v>0.44</v>
      </c>
      <c r="F1916">
        <v>23</v>
      </c>
      <c r="G1916">
        <v>26</v>
      </c>
      <c r="H1916" t="s">
        <v>5615</v>
      </c>
      <c r="I1916">
        <v>0</v>
      </c>
      <c r="J1916" t="s">
        <v>87</v>
      </c>
      <c r="K1916">
        <v>0</v>
      </c>
      <c r="L1916">
        <v>0</v>
      </c>
    </row>
    <row r="1917" spans="1:12">
      <c r="A1917" s="93">
        <v>187976</v>
      </c>
      <c r="B1917" t="s">
        <v>2459</v>
      </c>
      <c r="C1917" t="s">
        <v>5606</v>
      </c>
      <c r="D1917" s="92">
        <v>0.18</v>
      </c>
      <c r="E1917" s="92">
        <v>0.2</v>
      </c>
      <c r="F1917" t="s">
        <v>428</v>
      </c>
      <c r="G1917" t="s">
        <v>428</v>
      </c>
      <c r="H1917" t="s">
        <v>5615</v>
      </c>
      <c r="I1917">
        <v>0</v>
      </c>
      <c r="J1917" t="s">
        <v>87</v>
      </c>
      <c r="K1917">
        <v>0</v>
      </c>
      <c r="L1917">
        <v>0</v>
      </c>
    </row>
    <row r="1918" spans="1:12">
      <c r="A1918" s="93">
        <v>187985</v>
      </c>
      <c r="B1918" t="s">
        <v>2460</v>
      </c>
      <c r="C1918" t="s">
        <v>5602</v>
      </c>
      <c r="D1918" s="92">
        <v>0.44</v>
      </c>
      <c r="E1918" s="92">
        <v>0.42</v>
      </c>
      <c r="F1918">
        <v>19</v>
      </c>
      <c r="G1918">
        <v>22</v>
      </c>
      <c r="H1918" t="s">
        <v>5617</v>
      </c>
      <c r="I1918">
        <v>0</v>
      </c>
      <c r="J1918" t="s">
        <v>87</v>
      </c>
      <c r="K1918">
        <v>0</v>
      </c>
      <c r="L1918">
        <v>0</v>
      </c>
    </row>
    <row r="1919" spans="1:12">
      <c r="A1919" s="93">
        <v>187994</v>
      </c>
      <c r="B1919" t="s">
        <v>2461</v>
      </c>
      <c r="C1919" t="s">
        <v>5606</v>
      </c>
      <c r="D1919" s="92">
        <v>0.18</v>
      </c>
      <c r="E1919" s="92">
        <v>0.11</v>
      </c>
      <c r="F1919" t="s">
        <v>428</v>
      </c>
      <c r="G1919" t="s">
        <v>428</v>
      </c>
      <c r="H1919" t="s">
        <v>5615</v>
      </c>
      <c r="I1919">
        <v>0</v>
      </c>
      <c r="J1919" t="s">
        <v>87</v>
      </c>
      <c r="K1919">
        <v>0</v>
      </c>
      <c r="L1919">
        <v>0</v>
      </c>
    </row>
    <row r="1920" spans="1:12">
      <c r="A1920" s="93">
        <v>188003</v>
      </c>
      <c r="B1920" t="s">
        <v>2462</v>
      </c>
      <c r="C1920" t="s">
        <v>5606</v>
      </c>
      <c r="D1920" s="92">
        <v>0.17</v>
      </c>
      <c r="E1920" s="92">
        <v>0.16</v>
      </c>
      <c r="F1920" t="s">
        <v>428</v>
      </c>
      <c r="G1920" t="s">
        <v>428</v>
      </c>
      <c r="H1920" t="s">
        <v>5615</v>
      </c>
      <c r="I1920">
        <v>0</v>
      </c>
      <c r="J1920" t="s">
        <v>87</v>
      </c>
      <c r="K1920">
        <v>0</v>
      </c>
      <c r="L1920">
        <v>0</v>
      </c>
    </row>
    <row r="1921" spans="1:12">
      <c r="A1921" s="93">
        <v>188021</v>
      </c>
      <c r="B1921" t="s">
        <v>2463</v>
      </c>
      <c r="C1921" t="s">
        <v>5606</v>
      </c>
      <c r="D1921" s="92">
        <v>0.18</v>
      </c>
      <c r="E1921" s="92">
        <v>0.21</v>
      </c>
      <c r="F1921" t="s">
        <v>428</v>
      </c>
      <c r="G1921" t="s">
        <v>428</v>
      </c>
      <c r="H1921" t="s">
        <v>5615</v>
      </c>
      <c r="I1921">
        <v>0</v>
      </c>
      <c r="J1921" t="s">
        <v>87</v>
      </c>
      <c r="K1921">
        <v>0</v>
      </c>
      <c r="L1921">
        <v>0</v>
      </c>
    </row>
    <row r="1922" spans="1:12">
      <c r="A1922" s="93">
        <v>188030</v>
      </c>
      <c r="B1922" t="s">
        <v>2464</v>
      </c>
      <c r="C1922" t="s">
        <v>5602</v>
      </c>
      <c r="D1922" s="92">
        <v>0.45</v>
      </c>
      <c r="E1922" s="92">
        <v>0.4</v>
      </c>
      <c r="F1922">
        <v>18</v>
      </c>
      <c r="G1922">
        <v>21</v>
      </c>
      <c r="H1922" t="s">
        <v>5615</v>
      </c>
      <c r="I1922">
        <v>0</v>
      </c>
      <c r="J1922" t="s">
        <v>87</v>
      </c>
      <c r="K1922">
        <v>0</v>
      </c>
      <c r="L1922">
        <v>0</v>
      </c>
    </row>
    <row r="1923" spans="1:12">
      <c r="A1923" s="93">
        <v>188049</v>
      </c>
      <c r="B1923" t="s">
        <v>2465</v>
      </c>
      <c r="C1923" t="s">
        <v>5606</v>
      </c>
      <c r="D1923" s="92">
        <v>0.12</v>
      </c>
      <c r="E1923" s="92">
        <v>0.11</v>
      </c>
      <c r="F1923" t="s">
        <v>428</v>
      </c>
      <c r="G1923" t="s">
        <v>428</v>
      </c>
      <c r="H1923" t="s">
        <v>5615</v>
      </c>
      <c r="I1923">
        <v>0</v>
      </c>
      <c r="J1923" t="s">
        <v>87</v>
      </c>
      <c r="K1923">
        <v>0</v>
      </c>
      <c r="L1923">
        <v>0</v>
      </c>
    </row>
    <row r="1924" spans="1:12">
      <c r="A1924" s="93">
        <v>188058</v>
      </c>
      <c r="B1924" t="s">
        <v>2466</v>
      </c>
      <c r="C1924" t="s">
        <v>5604</v>
      </c>
      <c r="D1924" s="92">
        <v>0.12</v>
      </c>
      <c r="E1924" s="92">
        <v>0.16</v>
      </c>
      <c r="F1924" t="s">
        <v>428</v>
      </c>
      <c r="G1924" t="s">
        <v>428</v>
      </c>
      <c r="H1924" t="s">
        <v>5615</v>
      </c>
      <c r="I1924">
        <v>0</v>
      </c>
      <c r="J1924" t="s">
        <v>87</v>
      </c>
      <c r="K1924">
        <v>0</v>
      </c>
      <c r="L1924">
        <v>0</v>
      </c>
    </row>
    <row r="1925" spans="1:12">
      <c r="A1925" s="93">
        <v>188100</v>
      </c>
      <c r="B1925" t="s">
        <v>2467</v>
      </c>
      <c r="C1925" t="s">
        <v>5606</v>
      </c>
      <c r="D1925" s="92">
        <v>0.22</v>
      </c>
      <c r="E1925" s="92">
        <v>0.27</v>
      </c>
      <c r="F1925" t="s">
        <v>428</v>
      </c>
      <c r="G1925" t="s">
        <v>428</v>
      </c>
      <c r="H1925" t="s">
        <v>5615</v>
      </c>
      <c r="I1925">
        <v>0</v>
      </c>
      <c r="J1925" t="s">
        <v>87</v>
      </c>
      <c r="K1925">
        <v>0</v>
      </c>
      <c r="L1925">
        <v>0</v>
      </c>
    </row>
    <row r="1926" spans="1:12">
      <c r="A1926" s="93">
        <v>188137</v>
      </c>
      <c r="B1926" t="s">
        <v>2468</v>
      </c>
      <c r="C1926" t="s">
        <v>5606</v>
      </c>
      <c r="D1926" s="92">
        <v>0.23</v>
      </c>
      <c r="E1926" s="92">
        <v>0.21</v>
      </c>
      <c r="F1926" t="s">
        <v>428</v>
      </c>
      <c r="G1926" t="s">
        <v>428</v>
      </c>
      <c r="H1926" t="s">
        <v>5615</v>
      </c>
      <c r="I1926">
        <v>0</v>
      </c>
      <c r="J1926" t="s">
        <v>87</v>
      </c>
      <c r="K1926">
        <v>0</v>
      </c>
      <c r="L1926">
        <v>0</v>
      </c>
    </row>
    <row r="1927" spans="1:12">
      <c r="A1927" s="93">
        <v>188146</v>
      </c>
      <c r="B1927" t="s">
        <v>2469</v>
      </c>
      <c r="C1927" t="s">
        <v>5610</v>
      </c>
      <c r="D1927" s="92">
        <v>0.47</v>
      </c>
      <c r="E1927" s="92">
        <v>0.5</v>
      </c>
      <c r="F1927" t="s">
        <v>428</v>
      </c>
      <c r="G1927" t="s">
        <v>428</v>
      </c>
      <c r="H1927" t="s">
        <v>5617</v>
      </c>
      <c r="I1927">
        <v>0</v>
      </c>
      <c r="J1927" t="s">
        <v>87</v>
      </c>
      <c r="K1927">
        <v>0</v>
      </c>
      <c r="L1927">
        <v>0</v>
      </c>
    </row>
    <row r="1928" spans="1:12">
      <c r="A1928" s="93">
        <v>188182</v>
      </c>
      <c r="B1928" t="s">
        <v>2470</v>
      </c>
      <c r="C1928" t="s">
        <v>5602</v>
      </c>
      <c r="D1928" s="92">
        <v>0.13</v>
      </c>
      <c r="E1928" s="92">
        <v>0.19</v>
      </c>
      <c r="F1928">
        <v>15</v>
      </c>
      <c r="G1928">
        <v>18</v>
      </c>
      <c r="H1928" t="s">
        <v>5617</v>
      </c>
      <c r="I1928">
        <v>0</v>
      </c>
      <c r="J1928" t="s">
        <v>87</v>
      </c>
      <c r="K1928">
        <v>0</v>
      </c>
      <c r="L1928">
        <v>0</v>
      </c>
    </row>
    <row r="1929" spans="1:12">
      <c r="A1929" s="93">
        <v>188207</v>
      </c>
      <c r="B1929" t="s">
        <v>1713</v>
      </c>
      <c r="C1929" t="s">
        <v>5607</v>
      </c>
      <c r="D1929" s="92" t="s">
        <v>428</v>
      </c>
      <c r="E1929" s="92" t="s">
        <v>428</v>
      </c>
      <c r="F1929" t="s">
        <v>428</v>
      </c>
      <c r="G1929" t="s">
        <v>428</v>
      </c>
      <c r="H1929" t="s">
        <v>5615</v>
      </c>
      <c r="I1929">
        <v>0</v>
      </c>
      <c r="J1929" t="s">
        <v>87</v>
      </c>
      <c r="K1929">
        <v>0</v>
      </c>
      <c r="L1929">
        <v>0</v>
      </c>
    </row>
    <row r="1930" spans="1:12">
      <c r="A1930" s="93">
        <v>188216</v>
      </c>
      <c r="B1930" t="s">
        <v>2471</v>
      </c>
      <c r="C1930" t="s">
        <v>5606</v>
      </c>
      <c r="D1930" s="92">
        <v>0.21</v>
      </c>
      <c r="E1930" s="92" t="s">
        <v>428</v>
      </c>
      <c r="F1930" t="s">
        <v>428</v>
      </c>
      <c r="G1930" t="s">
        <v>428</v>
      </c>
      <c r="H1930" t="s">
        <v>5615</v>
      </c>
      <c r="I1930">
        <v>0</v>
      </c>
      <c r="J1930" t="s">
        <v>87</v>
      </c>
      <c r="K1930">
        <v>0</v>
      </c>
      <c r="L1930">
        <v>0</v>
      </c>
    </row>
    <row r="1931" spans="1:12">
      <c r="A1931" s="93">
        <v>188225</v>
      </c>
      <c r="B1931" t="s">
        <v>2472</v>
      </c>
      <c r="C1931" t="s">
        <v>5606</v>
      </c>
      <c r="D1931" s="92">
        <v>0.15</v>
      </c>
      <c r="E1931" s="92">
        <v>0.13</v>
      </c>
      <c r="F1931" t="s">
        <v>428</v>
      </c>
      <c r="G1931" t="s">
        <v>428</v>
      </c>
      <c r="H1931" t="s">
        <v>5615</v>
      </c>
      <c r="I1931">
        <v>0</v>
      </c>
      <c r="J1931" t="s">
        <v>87</v>
      </c>
      <c r="K1931">
        <v>0</v>
      </c>
      <c r="L1931">
        <v>0</v>
      </c>
    </row>
    <row r="1932" spans="1:12">
      <c r="A1932" s="93">
        <v>188261</v>
      </c>
      <c r="B1932" t="s">
        <v>2473</v>
      </c>
      <c r="C1932" t="s">
        <v>5606</v>
      </c>
      <c r="D1932" s="92" t="s">
        <v>428</v>
      </c>
      <c r="E1932" s="92" t="s">
        <v>428</v>
      </c>
      <c r="F1932" t="s">
        <v>428</v>
      </c>
      <c r="G1932" t="s">
        <v>428</v>
      </c>
      <c r="H1932" t="s">
        <v>5615</v>
      </c>
      <c r="I1932">
        <v>0</v>
      </c>
      <c r="J1932" t="s">
        <v>87</v>
      </c>
      <c r="K1932">
        <v>0</v>
      </c>
      <c r="L1932">
        <v>0</v>
      </c>
    </row>
    <row r="1933" spans="1:12">
      <c r="A1933" s="93">
        <v>188304</v>
      </c>
      <c r="B1933" t="s">
        <v>2474</v>
      </c>
      <c r="C1933" t="s">
        <v>5608</v>
      </c>
      <c r="D1933" s="92">
        <v>0.21</v>
      </c>
      <c r="E1933" s="92">
        <v>0.2</v>
      </c>
      <c r="F1933" t="s">
        <v>428</v>
      </c>
      <c r="G1933" t="s">
        <v>428</v>
      </c>
      <c r="H1933" t="s">
        <v>5615</v>
      </c>
      <c r="I1933">
        <v>0</v>
      </c>
      <c r="J1933" t="s">
        <v>87</v>
      </c>
      <c r="K1933">
        <v>0</v>
      </c>
      <c r="L1933">
        <v>0</v>
      </c>
    </row>
    <row r="1934" spans="1:12">
      <c r="A1934" s="93">
        <v>188340</v>
      </c>
      <c r="B1934" t="s">
        <v>2475</v>
      </c>
      <c r="C1934" t="s">
        <v>5602</v>
      </c>
      <c r="D1934" s="92">
        <v>0.53</v>
      </c>
      <c r="E1934" s="92">
        <v>0.55</v>
      </c>
      <c r="F1934" t="s">
        <v>428</v>
      </c>
      <c r="G1934" t="s">
        <v>428</v>
      </c>
      <c r="H1934" t="s">
        <v>5617</v>
      </c>
      <c r="I1934">
        <v>0</v>
      </c>
      <c r="J1934" t="s">
        <v>87</v>
      </c>
      <c r="K1934">
        <v>0</v>
      </c>
      <c r="L1934">
        <v>0</v>
      </c>
    </row>
    <row r="1935" spans="1:12">
      <c r="A1935" s="93">
        <v>188429</v>
      </c>
      <c r="B1935" t="s">
        <v>2476</v>
      </c>
      <c r="C1935" t="s">
        <v>5602</v>
      </c>
      <c r="D1935" s="92">
        <v>0.66</v>
      </c>
      <c r="E1935" s="92">
        <v>0.58</v>
      </c>
      <c r="F1935">
        <v>22</v>
      </c>
      <c r="G1935">
        <v>24.5</v>
      </c>
      <c r="H1935" t="s">
        <v>5617</v>
      </c>
      <c r="I1935">
        <v>0</v>
      </c>
      <c r="J1935" t="s">
        <v>87</v>
      </c>
      <c r="K1935">
        <v>0</v>
      </c>
      <c r="L1935">
        <v>0</v>
      </c>
    </row>
    <row r="1936" spans="1:12">
      <c r="A1936" s="93">
        <v>188438</v>
      </c>
      <c r="B1936" t="s">
        <v>2477</v>
      </c>
      <c r="C1936" t="s">
        <v>5606</v>
      </c>
      <c r="D1936" s="92">
        <v>0.32</v>
      </c>
      <c r="E1936" s="92">
        <v>0.32</v>
      </c>
      <c r="F1936" t="s">
        <v>428</v>
      </c>
      <c r="G1936" t="s">
        <v>428</v>
      </c>
      <c r="H1936" t="s">
        <v>5615</v>
      </c>
      <c r="I1936">
        <v>0</v>
      </c>
      <c r="J1936" t="s">
        <v>87</v>
      </c>
      <c r="K1936">
        <v>0</v>
      </c>
      <c r="L1936">
        <v>0</v>
      </c>
    </row>
    <row r="1937" spans="1:12">
      <c r="A1937" s="93">
        <v>188517</v>
      </c>
      <c r="B1937" t="s">
        <v>2478</v>
      </c>
      <c r="C1937" t="s">
        <v>5604</v>
      </c>
      <c r="D1937" s="92" t="s">
        <v>428</v>
      </c>
      <c r="E1937" s="92" t="s">
        <v>428</v>
      </c>
      <c r="F1937" t="s">
        <v>428</v>
      </c>
      <c r="G1937" t="s">
        <v>428</v>
      </c>
      <c r="H1937" t="s">
        <v>5616</v>
      </c>
      <c r="I1937">
        <v>0</v>
      </c>
      <c r="J1937" t="s">
        <v>87</v>
      </c>
      <c r="K1937">
        <v>0</v>
      </c>
      <c r="L1937">
        <v>0</v>
      </c>
    </row>
    <row r="1938" spans="1:12">
      <c r="A1938" s="93">
        <v>188526</v>
      </c>
      <c r="B1938" t="s">
        <v>2479</v>
      </c>
      <c r="C1938" t="s">
        <v>5610</v>
      </c>
      <c r="D1938" s="92">
        <v>0.59</v>
      </c>
      <c r="E1938" s="92">
        <v>0.7</v>
      </c>
      <c r="F1938">
        <v>23</v>
      </c>
      <c r="G1938">
        <v>25</v>
      </c>
      <c r="H1938" t="s">
        <v>5617</v>
      </c>
      <c r="I1938">
        <v>0</v>
      </c>
      <c r="J1938" t="s">
        <v>87</v>
      </c>
      <c r="K1938">
        <v>0</v>
      </c>
      <c r="L1938">
        <v>0</v>
      </c>
    </row>
    <row r="1939" spans="1:12">
      <c r="A1939" s="93">
        <v>188535</v>
      </c>
      <c r="B1939" t="s">
        <v>2480</v>
      </c>
      <c r="C1939" t="s">
        <v>5607</v>
      </c>
      <c r="D1939" s="92" t="s">
        <v>428</v>
      </c>
      <c r="E1939" s="92" t="s">
        <v>428</v>
      </c>
      <c r="F1939" t="s">
        <v>428</v>
      </c>
      <c r="G1939" t="s">
        <v>428</v>
      </c>
      <c r="H1939" t="s">
        <v>5615</v>
      </c>
      <c r="I1939">
        <v>0</v>
      </c>
      <c r="J1939" t="s">
        <v>87</v>
      </c>
      <c r="K1939">
        <v>0</v>
      </c>
      <c r="L1939">
        <v>0</v>
      </c>
    </row>
    <row r="1940" spans="1:12">
      <c r="A1940" s="93">
        <v>188580</v>
      </c>
      <c r="B1940" t="s">
        <v>2481</v>
      </c>
      <c r="C1940" t="s">
        <v>5607</v>
      </c>
      <c r="D1940" s="92" t="s">
        <v>428</v>
      </c>
      <c r="E1940" s="92" t="s">
        <v>428</v>
      </c>
      <c r="F1940" t="s">
        <v>428</v>
      </c>
      <c r="G1940" t="s">
        <v>428</v>
      </c>
      <c r="H1940" t="s">
        <v>5615</v>
      </c>
      <c r="I1940">
        <v>0</v>
      </c>
      <c r="J1940" t="s">
        <v>87</v>
      </c>
      <c r="K1940">
        <v>0</v>
      </c>
      <c r="L1940">
        <v>0</v>
      </c>
    </row>
    <row r="1941" spans="1:12">
      <c r="A1941" s="93">
        <v>188641</v>
      </c>
      <c r="B1941" t="s">
        <v>2482</v>
      </c>
      <c r="C1941" t="s">
        <v>5602</v>
      </c>
      <c r="D1941" s="92">
        <v>0.59</v>
      </c>
      <c r="E1941" s="92">
        <v>0.46</v>
      </c>
      <c r="F1941">
        <v>20</v>
      </c>
      <c r="G1941">
        <v>23</v>
      </c>
      <c r="H1941" t="s">
        <v>5616</v>
      </c>
      <c r="I1941">
        <v>0</v>
      </c>
      <c r="J1941" t="s">
        <v>87</v>
      </c>
      <c r="K1941">
        <v>0</v>
      </c>
      <c r="L1941">
        <v>0</v>
      </c>
    </row>
    <row r="1942" spans="1:12">
      <c r="A1942" s="93">
        <v>188669</v>
      </c>
      <c r="B1942" t="s">
        <v>2483</v>
      </c>
      <c r="C1942" t="s">
        <v>5609</v>
      </c>
      <c r="D1942" s="92" t="s">
        <v>428</v>
      </c>
      <c r="E1942" s="92" t="s">
        <v>428</v>
      </c>
      <c r="F1942" t="s">
        <v>428</v>
      </c>
      <c r="G1942" t="s">
        <v>428</v>
      </c>
      <c r="H1942" t="s">
        <v>5617</v>
      </c>
      <c r="I1942">
        <v>0</v>
      </c>
      <c r="J1942" t="s">
        <v>87</v>
      </c>
      <c r="K1942">
        <v>0</v>
      </c>
      <c r="L1942">
        <v>0</v>
      </c>
    </row>
    <row r="1943" spans="1:12">
      <c r="A1943" s="93">
        <v>188678</v>
      </c>
      <c r="B1943" t="s">
        <v>2484</v>
      </c>
      <c r="C1943" t="s">
        <v>5609</v>
      </c>
      <c r="D1943" s="92" t="s">
        <v>428</v>
      </c>
      <c r="E1943" s="92" t="s">
        <v>428</v>
      </c>
      <c r="F1943" t="s">
        <v>428</v>
      </c>
      <c r="G1943" t="s">
        <v>428</v>
      </c>
      <c r="H1943" t="s">
        <v>5617</v>
      </c>
      <c r="I1943">
        <v>0</v>
      </c>
      <c r="J1943" t="s">
        <v>87</v>
      </c>
      <c r="K1943">
        <v>0</v>
      </c>
      <c r="L1943">
        <v>0</v>
      </c>
    </row>
    <row r="1944" spans="1:12">
      <c r="A1944" s="93">
        <v>188687</v>
      </c>
      <c r="B1944" t="s">
        <v>2485</v>
      </c>
      <c r="C1944" t="s">
        <v>5606</v>
      </c>
      <c r="D1944" s="92" t="s">
        <v>428</v>
      </c>
      <c r="E1944" s="92" t="s">
        <v>428</v>
      </c>
      <c r="F1944" t="s">
        <v>428</v>
      </c>
      <c r="G1944" t="s">
        <v>428</v>
      </c>
      <c r="H1944" t="s">
        <v>5617</v>
      </c>
      <c r="I1944">
        <v>0</v>
      </c>
      <c r="J1944" t="s">
        <v>87</v>
      </c>
      <c r="K1944">
        <v>0</v>
      </c>
      <c r="L1944">
        <v>0</v>
      </c>
    </row>
    <row r="1945" spans="1:12">
      <c r="A1945" s="93">
        <v>188696</v>
      </c>
      <c r="B1945" t="s">
        <v>2486</v>
      </c>
      <c r="C1945" t="s">
        <v>5609</v>
      </c>
      <c r="D1945" s="92" t="s">
        <v>428</v>
      </c>
      <c r="E1945" s="92" t="s">
        <v>428</v>
      </c>
      <c r="F1945" t="s">
        <v>428</v>
      </c>
      <c r="G1945" t="s">
        <v>428</v>
      </c>
      <c r="H1945" t="s">
        <v>5617</v>
      </c>
      <c r="I1945">
        <v>0</v>
      </c>
      <c r="J1945" t="s">
        <v>87</v>
      </c>
      <c r="K1945">
        <v>0</v>
      </c>
      <c r="L1945">
        <v>0</v>
      </c>
    </row>
    <row r="1946" spans="1:12">
      <c r="A1946" s="93">
        <v>188854</v>
      </c>
      <c r="B1946" t="s">
        <v>2487</v>
      </c>
      <c r="C1946" t="s">
        <v>5607</v>
      </c>
      <c r="D1946" s="92">
        <v>0.55</v>
      </c>
      <c r="E1946" s="92">
        <v>0.52</v>
      </c>
      <c r="F1946" t="s">
        <v>428</v>
      </c>
      <c r="G1946" t="s">
        <v>428</v>
      </c>
      <c r="H1946" t="s">
        <v>5617</v>
      </c>
      <c r="I1946">
        <v>0</v>
      </c>
      <c r="J1946" t="s">
        <v>87</v>
      </c>
      <c r="K1946">
        <v>0</v>
      </c>
      <c r="L1946">
        <v>0</v>
      </c>
    </row>
    <row r="1947" spans="1:12">
      <c r="A1947" s="93">
        <v>188915</v>
      </c>
      <c r="B1947" t="s">
        <v>2488</v>
      </c>
      <c r="C1947" t="s">
        <v>5609</v>
      </c>
      <c r="D1947" s="92" t="s">
        <v>428</v>
      </c>
      <c r="E1947" s="92" t="s">
        <v>428</v>
      </c>
      <c r="F1947" t="s">
        <v>428</v>
      </c>
      <c r="G1947" t="s">
        <v>428</v>
      </c>
      <c r="H1947" t="s">
        <v>5617</v>
      </c>
      <c r="I1947">
        <v>0</v>
      </c>
      <c r="J1947" t="s">
        <v>87</v>
      </c>
      <c r="K1947">
        <v>0</v>
      </c>
      <c r="L1947">
        <v>0</v>
      </c>
    </row>
    <row r="1948" spans="1:12">
      <c r="A1948" s="93">
        <v>188942</v>
      </c>
      <c r="B1948" t="s">
        <v>2489</v>
      </c>
      <c r="C1948" t="s">
        <v>5609</v>
      </c>
      <c r="D1948" s="92" t="s">
        <v>428</v>
      </c>
      <c r="E1948" s="92" t="s">
        <v>428</v>
      </c>
      <c r="F1948" t="s">
        <v>428</v>
      </c>
      <c r="G1948" t="s">
        <v>428</v>
      </c>
      <c r="H1948" t="s">
        <v>5616</v>
      </c>
      <c r="I1948">
        <v>0</v>
      </c>
      <c r="J1948" t="s">
        <v>87</v>
      </c>
      <c r="K1948">
        <v>0</v>
      </c>
      <c r="L1948">
        <v>0</v>
      </c>
    </row>
    <row r="1949" spans="1:12">
      <c r="A1949" s="93">
        <v>189015</v>
      </c>
      <c r="B1949" t="s">
        <v>2490</v>
      </c>
      <c r="C1949" t="s">
        <v>5607</v>
      </c>
      <c r="D1949" s="92" t="s">
        <v>428</v>
      </c>
      <c r="E1949" s="92" t="s">
        <v>428</v>
      </c>
      <c r="F1949" t="s">
        <v>428</v>
      </c>
      <c r="G1949" t="s">
        <v>428</v>
      </c>
      <c r="H1949" t="s">
        <v>5615</v>
      </c>
      <c r="I1949">
        <v>0</v>
      </c>
      <c r="J1949" t="s">
        <v>87</v>
      </c>
      <c r="K1949">
        <v>0</v>
      </c>
      <c r="L1949">
        <v>0</v>
      </c>
    </row>
    <row r="1950" spans="1:12">
      <c r="A1950" s="93">
        <v>189088</v>
      </c>
      <c r="B1950" t="s">
        <v>2491</v>
      </c>
      <c r="C1950" t="s">
        <v>5605</v>
      </c>
      <c r="D1950" s="92">
        <v>0.77</v>
      </c>
      <c r="E1950" s="92">
        <v>0.68</v>
      </c>
      <c r="F1950" t="s">
        <v>428</v>
      </c>
      <c r="G1950" t="s">
        <v>428</v>
      </c>
      <c r="H1950" t="s">
        <v>5618</v>
      </c>
      <c r="I1950">
        <v>0</v>
      </c>
      <c r="J1950" t="s">
        <v>87</v>
      </c>
      <c r="K1950">
        <v>0</v>
      </c>
      <c r="L1950">
        <v>0</v>
      </c>
    </row>
    <row r="1951" spans="1:12">
      <c r="A1951" s="93">
        <v>189097</v>
      </c>
      <c r="B1951" t="s">
        <v>2492</v>
      </c>
      <c r="C1951" t="s">
        <v>5611</v>
      </c>
      <c r="D1951" s="92">
        <v>0.91</v>
      </c>
      <c r="E1951" s="92">
        <v>0.9</v>
      </c>
      <c r="F1951">
        <v>29</v>
      </c>
      <c r="G1951">
        <v>31</v>
      </c>
      <c r="H1951" t="s">
        <v>5621</v>
      </c>
      <c r="I1951">
        <v>1</v>
      </c>
      <c r="J1951" t="s">
        <v>87</v>
      </c>
      <c r="K1951">
        <v>0</v>
      </c>
      <c r="L1951">
        <v>0</v>
      </c>
    </row>
    <row r="1952" spans="1:12">
      <c r="A1952" s="93">
        <v>189228</v>
      </c>
      <c r="B1952" t="s">
        <v>2493</v>
      </c>
      <c r="C1952" t="s">
        <v>5608</v>
      </c>
      <c r="D1952" s="92">
        <v>0.29</v>
      </c>
      <c r="E1952" s="92">
        <v>0.27</v>
      </c>
      <c r="F1952" t="s">
        <v>428</v>
      </c>
      <c r="G1952" t="s">
        <v>428</v>
      </c>
      <c r="H1952" t="s">
        <v>5617</v>
      </c>
      <c r="I1952">
        <v>0</v>
      </c>
      <c r="J1952" t="s">
        <v>87</v>
      </c>
      <c r="K1952">
        <v>0</v>
      </c>
      <c r="L1952">
        <v>0</v>
      </c>
    </row>
    <row r="1953" spans="1:12">
      <c r="A1953" s="93">
        <v>189264</v>
      </c>
      <c r="B1953" t="s">
        <v>2494</v>
      </c>
      <c r="C1953" t="s">
        <v>5607</v>
      </c>
      <c r="D1953" s="92">
        <v>0.09</v>
      </c>
      <c r="E1953" s="92" t="s">
        <v>428</v>
      </c>
      <c r="F1953" t="s">
        <v>428</v>
      </c>
      <c r="G1953" t="s">
        <v>428</v>
      </c>
      <c r="H1953" t="s">
        <v>5614</v>
      </c>
      <c r="I1953">
        <v>1</v>
      </c>
      <c r="J1953" t="s">
        <v>87</v>
      </c>
      <c r="K1953">
        <v>0</v>
      </c>
      <c r="L1953">
        <v>0</v>
      </c>
    </row>
    <row r="1954" spans="1:12">
      <c r="A1954" s="93">
        <v>189273</v>
      </c>
      <c r="B1954" t="s">
        <v>2495</v>
      </c>
      <c r="C1954" t="s">
        <v>5607</v>
      </c>
      <c r="D1954" s="92">
        <v>0.08</v>
      </c>
      <c r="E1954" s="92" t="s">
        <v>428</v>
      </c>
      <c r="F1954" t="s">
        <v>428</v>
      </c>
      <c r="G1954" t="s">
        <v>428</v>
      </c>
      <c r="H1954" t="s">
        <v>5615</v>
      </c>
      <c r="I1954">
        <v>0</v>
      </c>
      <c r="J1954" t="s">
        <v>87</v>
      </c>
      <c r="K1954">
        <v>0</v>
      </c>
      <c r="L1954">
        <v>0</v>
      </c>
    </row>
    <row r="1955" spans="1:12">
      <c r="A1955" s="93">
        <v>189282</v>
      </c>
      <c r="B1955" t="s">
        <v>2496</v>
      </c>
      <c r="C1955" t="s">
        <v>5607</v>
      </c>
      <c r="D1955" s="92" t="s">
        <v>428</v>
      </c>
      <c r="E1955" s="92" t="s">
        <v>428</v>
      </c>
      <c r="F1955" t="s">
        <v>428</v>
      </c>
      <c r="G1955" t="s">
        <v>428</v>
      </c>
      <c r="H1955" t="s">
        <v>5615</v>
      </c>
      <c r="I1955">
        <v>0</v>
      </c>
      <c r="J1955" t="s">
        <v>87</v>
      </c>
      <c r="K1955">
        <v>0</v>
      </c>
      <c r="L1955">
        <v>0</v>
      </c>
    </row>
    <row r="1956" spans="1:12">
      <c r="A1956" s="93">
        <v>189413</v>
      </c>
      <c r="B1956" t="s">
        <v>2497</v>
      </c>
      <c r="C1956" t="s">
        <v>5602</v>
      </c>
      <c r="D1956" s="92">
        <v>0.32</v>
      </c>
      <c r="E1956" s="92">
        <v>0.32</v>
      </c>
      <c r="F1956" t="s">
        <v>428</v>
      </c>
      <c r="G1956" t="s">
        <v>428</v>
      </c>
      <c r="H1956" t="s">
        <v>5617</v>
      </c>
      <c r="I1956">
        <v>0</v>
      </c>
      <c r="J1956" t="s">
        <v>87</v>
      </c>
      <c r="K1956">
        <v>0</v>
      </c>
      <c r="L1956">
        <v>0</v>
      </c>
    </row>
    <row r="1957" spans="1:12">
      <c r="A1957" s="93">
        <v>189422</v>
      </c>
      <c r="B1957" t="s">
        <v>2498</v>
      </c>
      <c r="C1957" t="s">
        <v>5606</v>
      </c>
      <c r="D1957" s="92">
        <v>0.43</v>
      </c>
      <c r="E1957" s="92">
        <v>0.33</v>
      </c>
      <c r="F1957" t="s">
        <v>428</v>
      </c>
      <c r="G1957" t="s">
        <v>428</v>
      </c>
      <c r="H1957" t="s">
        <v>5616</v>
      </c>
      <c r="I1957">
        <v>0</v>
      </c>
      <c r="J1957" t="s">
        <v>87</v>
      </c>
      <c r="K1957">
        <v>0</v>
      </c>
      <c r="L1957">
        <v>0</v>
      </c>
    </row>
    <row r="1958" spans="1:12">
      <c r="A1958" s="93">
        <v>189459</v>
      </c>
      <c r="B1958" t="s">
        <v>2499</v>
      </c>
      <c r="C1958" t="s">
        <v>5607</v>
      </c>
      <c r="D1958" s="92">
        <v>0.28</v>
      </c>
      <c r="E1958" s="92">
        <v>0.25</v>
      </c>
      <c r="F1958" t="s">
        <v>428</v>
      </c>
      <c r="G1958" t="s">
        <v>428</v>
      </c>
      <c r="H1958" t="s">
        <v>5617</v>
      </c>
      <c r="I1958">
        <v>0</v>
      </c>
      <c r="J1958" t="s">
        <v>87</v>
      </c>
      <c r="K1958">
        <v>0</v>
      </c>
      <c r="L1958">
        <v>0</v>
      </c>
    </row>
    <row r="1959" spans="1:12">
      <c r="A1959" s="93">
        <v>189501</v>
      </c>
      <c r="B1959" t="s">
        <v>2500</v>
      </c>
      <c r="C1959" t="s">
        <v>5607</v>
      </c>
      <c r="D1959" s="92" t="s">
        <v>428</v>
      </c>
      <c r="E1959" s="92" t="s">
        <v>428</v>
      </c>
      <c r="F1959" t="s">
        <v>428</v>
      </c>
      <c r="G1959" t="s">
        <v>428</v>
      </c>
      <c r="H1959" t="s">
        <v>5615</v>
      </c>
      <c r="I1959">
        <v>0</v>
      </c>
      <c r="J1959" t="s">
        <v>87</v>
      </c>
      <c r="K1959">
        <v>0</v>
      </c>
      <c r="L1959">
        <v>0</v>
      </c>
    </row>
    <row r="1960" spans="1:12">
      <c r="A1960" s="93">
        <v>189547</v>
      </c>
      <c r="B1960" t="s">
        <v>2501</v>
      </c>
      <c r="C1960" t="s">
        <v>5606</v>
      </c>
      <c r="D1960" s="92">
        <v>0.4</v>
      </c>
      <c r="E1960" s="92">
        <v>0.22</v>
      </c>
      <c r="F1960" t="s">
        <v>428</v>
      </c>
      <c r="G1960" t="s">
        <v>428</v>
      </c>
      <c r="H1960" t="s">
        <v>5615</v>
      </c>
      <c r="I1960">
        <v>0</v>
      </c>
      <c r="J1960" t="s">
        <v>87</v>
      </c>
      <c r="K1960">
        <v>0</v>
      </c>
      <c r="L1960">
        <v>0</v>
      </c>
    </row>
    <row r="1961" spans="1:12">
      <c r="A1961" s="93">
        <v>189556</v>
      </c>
      <c r="B1961" t="s">
        <v>2502</v>
      </c>
      <c r="C1961" t="s">
        <v>5604</v>
      </c>
      <c r="D1961" s="92" t="s">
        <v>428</v>
      </c>
      <c r="E1961" s="92" t="s">
        <v>428</v>
      </c>
      <c r="F1961" t="s">
        <v>428</v>
      </c>
      <c r="G1961" t="s">
        <v>428</v>
      </c>
      <c r="H1961" t="s">
        <v>5616</v>
      </c>
      <c r="I1961">
        <v>0</v>
      </c>
      <c r="J1961" t="s">
        <v>87</v>
      </c>
      <c r="K1961">
        <v>0</v>
      </c>
      <c r="L1961">
        <v>0</v>
      </c>
    </row>
    <row r="1962" spans="1:12">
      <c r="A1962" s="93">
        <v>189565</v>
      </c>
      <c r="B1962" t="s">
        <v>2503</v>
      </c>
      <c r="C1962" t="s">
        <v>5604</v>
      </c>
      <c r="D1962" s="92" t="s">
        <v>428</v>
      </c>
      <c r="E1962" s="92" t="s">
        <v>428</v>
      </c>
      <c r="F1962" t="s">
        <v>428</v>
      </c>
      <c r="G1962" t="s">
        <v>428</v>
      </c>
      <c r="H1962" t="s">
        <v>5616</v>
      </c>
      <c r="I1962">
        <v>0</v>
      </c>
      <c r="J1962" t="s">
        <v>87</v>
      </c>
      <c r="K1962">
        <v>0</v>
      </c>
      <c r="L1962">
        <v>0</v>
      </c>
    </row>
    <row r="1963" spans="1:12">
      <c r="A1963" s="93">
        <v>189574</v>
      </c>
      <c r="B1963" t="s">
        <v>2504</v>
      </c>
      <c r="C1963" t="s">
        <v>5606</v>
      </c>
      <c r="D1963" s="92">
        <v>0.27</v>
      </c>
      <c r="E1963" s="92">
        <v>0.3</v>
      </c>
      <c r="F1963" t="s">
        <v>428</v>
      </c>
      <c r="G1963" t="s">
        <v>428</v>
      </c>
      <c r="H1963" t="s">
        <v>5616</v>
      </c>
      <c r="I1963">
        <v>0</v>
      </c>
      <c r="J1963" t="s">
        <v>87</v>
      </c>
      <c r="K1963">
        <v>0</v>
      </c>
      <c r="L1963">
        <v>0</v>
      </c>
    </row>
    <row r="1964" spans="1:12">
      <c r="A1964" s="93">
        <v>189583</v>
      </c>
      <c r="B1964" t="s">
        <v>2505</v>
      </c>
      <c r="C1964" t="s">
        <v>5604</v>
      </c>
      <c r="D1964" s="92" t="s">
        <v>428</v>
      </c>
      <c r="E1964" s="92" t="s">
        <v>428</v>
      </c>
      <c r="F1964" t="s">
        <v>428</v>
      </c>
      <c r="G1964" t="s">
        <v>428</v>
      </c>
      <c r="H1964" t="s">
        <v>5616</v>
      </c>
      <c r="I1964">
        <v>0</v>
      </c>
      <c r="J1964" t="s">
        <v>87</v>
      </c>
      <c r="K1964">
        <v>0</v>
      </c>
      <c r="L1964">
        <v>0</v>
      </c>
    </row>
    <row r="1965" spans="1:12">
      <c r="A1965" s="93">
        <v>189592</v>
      </c>
      <c r="B1965" t="s">
        <v>2506</v>
      </c>
      <c r="C1965" t="s">
        <v>5604</v>
      </c>
      <c r="D1965" s="92" t="s">
        <v>428</v>
      </c>
      <c r="E1965" s="92" t="s">
        <v>428</v>
      </c>
      <c r="F1965" t="s">
        <v>428</v>
      </c>
      <c r="G1965" t="s">
        <v>428</v>
      </c>
      <c r="H1965" t="s">
        <v>5616</v>
      </c>
      <c r="I1965">
        <v>0</v>
      </c>
      <c r="J1965" t="s">
        <v>87</v>
      </c>
      <c r="K1965">
        <v>0</v>
      </c>
      <c r="L1965">
        <v>0</v>
      </c>
    </row>
    <row r="1966" spans="1:12">
      <c r="A1966" s="93">
        <v>189705</v>
      </c>
      <c r="B1966" t="s">
        <v>2507</v>
      </c>
      <c r="C1966" t="s">
        <v>5602</v>
      </c>
      <c r="D1966" s="92">
        <v>0.6899999999999999</v>
      </c>
      <c r="E1966" s="92">
        <v>0.51</v>
      </c>
      <c r="F1966">
        <v>22</v>
      </c>
      <c r="G1966">
        <v>25</v>
      </c>
      <c r="H1966" t="s">
        <v>5616</v>
      </c>
      <c r="I1966">
        <v>0</v>
      </c>
      <c r="J1966" t="s">
        <v>87</v>
      </c>
      <c r="K1966">
        <v>0</v>
      </c>
      <c r="L1966">
        <v>0</v>
      </c>
    </row>
    <row r="1967" spans="1:12">
      <c r="A1967" s="93">
        <v>189811</v>
      </c>
      <c r="B1967" t="s">
        <v>2508</v>
      </c>
      <c r="C1967" t="s">
        <v>5606</v>
      </c>
      <c r="D1967" s="92" t="s">
        <v>428</v>
      </c>
      <c r="E1967" s="92" t="s">
        <v>428</v>
      </c>
      <c r="F1967" t="s">
        <v>428</v>
      </c>
      <c r="G1967" t="s">
        <v>428</v>
      </c>
      <c r="H1967" t="s">
        <v>5617</v>
      </c>
      <c r="I1967">
        <v>0</v>
      </c>
      <c r="J1967" t="s">
        <v>87</v>
      </c>
      <c r="K1967">
        <v>0</v>
      </c>
      <c r="L1967">
        <v>0</v>
      </c>
    </row>
    <row r="1968" spans="1:12">
      <c r="A1968" s="93">
        <v>189839</v>
      </c>
      <c r="B1968" t="s">
        <v>2509</v>
      </c>
      <c r="C1968" t="s">
        <v>5606</v>
      </c>
      <c r="D1968" s="92">
        <v>0.35</v>
      </c>
      <c r="E1968" s="92">
        <v>0.29</v>
      </c>
      <c r="F1968" t="s">
        <v>428</v>
      </c>
      <c r="G1968" t="s">
        <v>428</v>
      </c>
      <c r="H1968" t="s">
        <v>5615</v>
      </c>
      <c r="I1968">
        <v>0</v>
      </c>
      <c r="J1968" t="s">
        <v>87</v>
      </c>
      <c r="K1968">
        <v>0</v>
      </c>
      <c r="L1968">
        <v>0</v>
      </c>
    </row>
    <row r="1969" spans="1:12">
      <c r="A1969" s="93">
        <v>189848</v>
      </c>
      <c r="B1969" t="s">
        <v>2510</v>
      </c>
      <c r="C1969" t="s">
        <v>5602</v>
      </c>
      <c r="D1969" s="92">
        <v>0.53</v>
      </c>
      <c r="E1969" s="92">
        <v>0.59</v>
      </c>
      <c r="F1969">
        <v>15</v>
      </c>
      <c r="G1969">
        <v>18</v>
      </c>
      <c r="H1969" t="s">
        <v>5613</v>
      </c>
      <c r="I1969">
        <v>1</v>
      </c>
      <c r="J1969" t="s">
        <v>87</v>
      </c>
      <c r="K1969">
        <v>0</v>
      </c>
      <c r="L1969">
        <v>0</v>
      </c>
    </row>
    <row r="1970" spans="1:12">
      <c r="A1970" s="93">
        <v>189857</v>
      </c>
      <c r="B1970" t="s">
        <v>2511</v>
      </c>
      <c r="C1970" t="s">
        <v>5607</v>
      </c>
      <c r="D1970" s="92">
        <v>0.18</v>
      </c>
      <c r="E1970" s="92" t="s">
        <v>428</v>
      </c>
      <c r="F1970" t="s">
        <v>428</v>
      </c>
      <c r="G1970" t="s">
        <v>428</v>
      </c>
      <c r="H1970" t="s">
        <v>5617</v>
      </c>
      <c r="I1970">
        <v>0</v>
      </c>
      <c r="J1970" t="s">
        <v>87</v>
      </c>
      <c r="K1970">
        <v>0</v>
      </c>
      <c r="L1970">
        <v>0</v>
      </c>
    </row>
    <row r="1971" spans="1:12">
      <c r="A1971" s="93">
        <v>189981</v>
      </c>
      <c r="B1971" t="s">
        <v>2512</v>
      </c>
      <c r="C1971" t="s">
        <v>5607</v>
      </c>
      <c r="D1971" s="92" t="s">
        <v>428</v>
      </c>
      <c r="E1971" s="92" t="s">
        <v>428</v>
      </c>
      <c r="F1971" t="s">
        <v>428</v>
      </c>
      <c r="G1971" t="s">
        <v>428</v>
      </c>
      <c r="H1971" t="s">
        <v>5615</v>
      </c>
      <c r="I1971">
        <v>0</v>
      </c>
      <c r="J1971" t="s">
        <v>87</v>
      </c>
      <c r="K1971">
        <v>0</v>
      </c>
      <c r="L1971">
        <v>0</v>
      </c>
    </row>
    <row r="1972" spans="1:12">
      <c r="A1972" s="93">
        <v>190008</v>
      </c>
      <c r="B1972" t="s">
        <v>2513</v>
      </c>
      <c r="C1972" t="s">
        <v>5609</v>
      </c>
      <c r="D1972" s="92" t="s">
        <v>428</v>
      </c>
      <c r="E1972" s="92" t="s">
        <v>428</v>
      </c>
      <c r="F1972" t="s">
        <v>428</v>
      </c>
      <c r="G1972" t="s">
        <v>428</v>
      </c>
      <c r="H1972" t="s">
        <v>5617</v>
      </c>
      <c r="I1972">
        <v>0</v>
      </c>
      <c r="J1972" t="s">
        <v>87</v>
      </c>
      <c r="K1972">
        <v>0</v>
      </c>
      <c r="L1972">
        <v>0</v>
      </c>
    </row>
    <row r="1973" spans="1:12">
      <c r="A1973" s="93">
        <v>190044</v>
      </c>
      <c r="B1973" t="s">
        <v>2514</v>
      </c>
      <c r="C1973" t="s">
        <v>5605</v>
      </c>
      <c r="D1973" s="92">
        <v>0.71</v>
      </c>
      <c r="E1973" s="92">
        <v>0.61</v>
      </c>
      <c r="F1973">
        <v>24</v>
      </c>
      <c r="G1973">
        <v>26.5</v>
      </c>
      <c r="H1973" t="s">
        <v>5617</v>
      </c>
      <c r="I1973">
        <v>0</v>
      </c>
      <c r="J1973" t="s">
        <v>87</v>
      </c>
      <c r="K1973">
        <v>0</v>
      </c>
      <c r="L1973">
        <v>0</v>
      </c>
    </row>
    <row r="1974" spans="1:12">
      <c r="A1974" s="93">
        <v>190053</v>
      </c>
      <c r="B1974" t="s">
        <v>2515</v>
      </c>
      <c r="C1974" t="s">
        <v>5606</v>
      </c>
      <c r="D1974" s="92">
        <v>0.39</v>
      </c>
      <c r="E1974" s="92">
        <v>0.28</v>
      </c>
      <c r="F1974" t="s">
        <v>428</v>
      </c>
      <c r="G1974" t="s">
        <v>428</v>
      </c>
      <c r="H1974" t="s">
        <v>5615</v>
      </c>
      <c r="I1974">
        <v>0</v>
      </c>
      <c r="J1974" t="s">
        <v>87</v>
      </c>
      <c r="K1974">
        <v>0</v>
      </c>
      <c r="L1974">
        <v>0</v>
      </c>
    </row>
    <row r="1975" spans="1:12">
      <c r="A1975" s="93">
        <v>190071</v>
      </c>
      <c r="B1975" t="s">
        <v>2516</v>
      </c>
      <c r="C1975" t="s">
        <v>5606</v>
      </c>
      <c r="D1975" s="92" t="s">
        <v>428</v>
      </c>
      <c r="E1975" s="92" t="s">
        <v>428</v>
      </c>
      <c r="F1975" t="s">
        <v>428</v>
      </c>
      <c r="G1975" t="s">
        <v>428</v>
      </c>
      <c r="H1975" t="s">
        <v>5615</v>
      </c>
      <c r="I1975">
        <v>0</v>
      </c>
      <c r="J1975" t="s">
        <v>87</v>
      </c>
      <c r="K1975">
        <v>0</v>
      </c>
      <c r="L1975">
        <v>0</v>
      </c>
    </row>
    <row r="1976" spans="1:12">
      <c r="A1976" s="93">
        <v>190080</v>
      </c>
      <c r="B1976" t="s">
        <v>2517</v>
      </c>
      <c r="C1976" t="s">
        <v>5607</v>
      </c>
      <c r="D1976" s="92" t="s">
        <v>428</v>
      </c>
      <c r="E1976" s="92" t="s">
        <v>428</v>
      </c>
      <c r="F1976" t="s">
        <v>428</v>
      </c>
      <c r="G1976" t="s">
        <v>428</v>
      </c>
      <c r="H1976" t="s">
        <v>5615</v>
      </c>
      <c r="I1976">
        <v>0</v>
      </c>
      <c r="J1976" t="s">
        <v>87</v>
      </c>
      <c r="K1976">
        <v>0</v>
      </c>
      <c r="L1976">
        <v>0</v>
      </c>
    </row>
    <row r="1977" spans="1:12">
      <c r="A1977" s="93">
        <v>190099</v>
      </c>
      <c r="B1977" t="s">
        <v>481</v>
      </c>
      <c r="C1977" t="s">
        <v>5612</v>
      </c>
      <c r="D1977" s="92">
        <v>0.9</v>
      </c>
      <c r="E1977" s="92">
        <v>0.86</v>
      </c>
      <c r="F1977">
        <v>30</v>
      </c>
      <c r="G1977">
        <v>31.5</v>
      </c>
      <c r="H1977" t="s">
        <v>5619</v>
      </c>
      <c r="I1977">
        <v>1</v>
      </c>
      <c r="J1977" t="s">
        <v>87</v>
      </c>
      <c r="K1977">
        <v>0</v>
      </c>
      <c r="L1977">
        <v>0</v>
      </c>
    </row>
    <row r="1978" spans="1:12">
      <c r="A1978" s="93">
        <v>190114</v>
      </c>
      <c r="B1978" t="s">
        <v>2518</v>
      </c>
      <c r="C1978" t="s">
        <v>5603</v>
      </c>
      <c r="D1978" s="92">
        <v>0.34</v>
      </c>
      <c r="E1978" s="92">
        <v>0.33</v>
      </c>
      <c r="F1978" t="s">
        <v>428</v>
      </c>
      <c r="G1978" t="s">
        <v>428</v>
      </c>
      <c r="H1978" t="s">
        <v>5617</v>
      </c>
      <c r="I1978">
        <v>0</v>
      </c>
      <c r="J1978" t="s">
        <v>87</v>
      </c>
      <c r="K1978">
        <v>0</v>
      </c>
      <c r="L1978">
        <v>0</v>
      </c>
    </row>
    <row r="1979" spans="1:12">
      <c r="A1979" s="93">
        <v>190150</v>
      </c>
      <c r="B1979" t="s">
        <v>2519</v>
      </c>
      <c r="C1979" t="s">
        <v>5611</v>
      </c>
      <c r="D1979" s="92">
        <v>0.9399999999999999</v>
      </c>
      <c r="E1979" s="92">
        <v>0.91</v>
      </c>
      <c r="F1979">
        <v>32</v>
      </c>
      <c r="G1979">
        <v>33.5</v>
      </c>
      <c r="H1979" t="s">
        <v>5619</v>
      </c>
      <c r="I1979">
        <v>1</v>
      </c>
      <c r="J1979" t="s">
        <v>87</v>
      </c>
      <c r="K1979">
        <v>0</v>
      </c>
      <c r="L1979">
        <v>0</v>
      </c>
    </row>
    <row r="1980" spans="1:12">
      <c r="A1980" s="93">
        <v>190169</v>
      </c>
      <c r="B1980" t="s">
        <v>2520</v>
      </c>
      <c r="C1980" t="s">
        <v>5606</v>
      </c>
      <c r="D1980" s="92">
        <v>0.4</v>
      </c>
      <c r="E1980" s="92">
        <v>0.28</v>
      </c>
      <c r="F1980" t="s">
        <v>428</v>
      </c>
      <c r="G1980" t="s">
        <v>428</v>
      </c>
      <c r="H1980" t="s">
        <v>5615</v>
      </c>
      <c r="I1980">
        <v>0</v>
      </c>
      <c r="J1980" t="s">
        <v>87</v>
      </c>
      <c r="K1980">
        <v>0</v>
      </c>
      <c r="L1980">
        <v>0</v>
      </c>
    </row>
    <row r="1981" spans="1:12">
      <c r="A1981" s="93">
        <v>190248</v>
      </c>
      <c r="B1981" t="s">
        <v>2521</v>
      </c>
      <c r="C1981" t="s">
        <v>5608</v>
      </c>
      <c r="D1981" s="92">
        <v>0.48</v>
      </c>
      <c r="E1981" s="92">
        <v>0.37</v>
      </c>
      <c r="F1981">
        <v>15</v>
      </c>
      <c r="G1981">
        <v>17</v>
      </c>
      <c r="H1981" t="s">
        <v>5617</v>
      </c>
      <c r="I1981">
        <v>0</v>
      </c>
      <c r="J1981" t="s">
        <v>87</v>
      </c>
      <c r="K1981">
        <v>0</v>
      </c>
      <c r="L1981">
        <v>0</v>
      </c>
    </row>
    <row r="1982" spans="1:12">
      <c r="A1982" s="93">
        <v>190372</v>
      </c>
      <c r="B1982" t="s">
        <v>2522</v>
      </c>
      <c r="C1982" t="s">
        <v>5612</v>
      </c>
      <c r="D1982" s="92">
        <v>0.84</v>
      </c>
      <c r="E1982" s="92">
        <v>0.73</v>
      </c>
      <c r="F1982" t="s">
        <v>428</v>
      </c>
      <c r="G1982" t="s">
        <v>428</v>
      </c>
      <c r="H1982" t="s">
        <v>5616</v>
      </c>
      <c r="I1982">
        <v>0</v>
      </c>
      <c r="J1982" t="s">
        <v>87</v>
      </c>
      <c r="K1982">
        <v>0</v>
      </c>
      <c r="L1982">
        <v>0</v>
      </c>
    </row>
    <row r="1983" spans="1:12">
      <c r="A1983" s="93">
        <v>190415</v>
      </c>
      <c r="B1983" t="s">
        <v>505</v>
      </c>
      <c r="C1983" t="s">
        <v>5611</v>
      </c>
      <c r="D1983" s="92">
        <v>0.9399999999999999</v>
      </c>
      <c r="E1983" s="92">
        <v>0.92</v>
      </c>
      <c r="F1983">
        <v>31</v>
      </c>
      <c r="G1983">
        <v>32.5</v>
      </c>
      <c r="H1983" t="s">
        <v>5619</v>
      </c>
      <c r="I1983">
        <v>1</v>
      </c>
      <c r="J1983" t="s">
        <v>87</v>
      </c>
      <c r="K1983">
        <v>0</v>
      </c>
      <c r="L1983">
        <v>0</v>
      </c>
    </row>
    <row r="1984" spans="1:12">
      <c r="A1984" s="93">
        <v>190424</v>
      </c>
      <c r="B1984" t="s">
        <v>2523</v>
      </c>
      <c r="C1984" t="s">
        <v>5607</v>
      </c>
      <c r="D1984" s="92" t="s">
        <v>428</v>
      </c>
      <c r="E1984" s="92" t="s">
        <v>428</v>
      </c>
      <c r="F1984" t="s">
        <v>428</v>
      </c>
      <c r="G1984" t="s">
        <v>428</v>
      </c>
      <c r="H1984" t="s">
        <v>5615</v>
      </c>
      <c r="I1984">
        <v>0</v>
      </c>
      <c r="J1984" t="s">
        <v>87</v>
      </c>
      <c r="K1984">
        <v>0</v>
      </c>
      <c r="L1984">
        <v>0</v>
      </c>
    </row>
    <row r="1985" spans="1:12">
      <c r="A1985" s="93">
        <v>190442</v>
      </c>
      <c r="B1985" t="s">
        <v>2524</v>
      </c>
      <c r="C1985" t="s">
        <v>5606</v>
      </c>
      <c r="D1985" s="92">
        <v>0.34</v>
      </c>
      <c r="E1985" s="92">
        <v>0.27</v>
      </c>
      <c r="F1985" t="s">
        <v>428</v>
      </c>
      <c r="G1985" t="s">
        <v>428</v>
      </c>
      <c r="H1985" t="s">
        <v>5615</v>
      </c>
      <c r="I1985">
        <v>0</v>
      </c>
      <c r="J1985" t="s">
        <v>87</v>
      </c>
      <c r="K1985">
        <v>0</v>
      </c>
      <c r="L1985">
        <v>0</v>
      </c>
    </row>
    <row r="1986" spans="1:12">
      <c r="A1986" s="93">
        <v>190451</v>
      </c>
      <c r="B1986" t="s">
        <v>2525</v>
      </c>
      <c r="C1986" t="s">
        <v>5609</v>
      </c>
      <c r="D1986" s="92" t="s">
        <v>428</v>
      </c>
      <c r="E1986" s="92" t="s">
        <v>428</v>
      </c>
      <c r="F1986" t="s">
        <v>428</v>
      </c>
      <c r="G1986" t="s">
        <v>428</v>
      </c>
      <c r="H1986" t="s">
        <v>5617</v>
      </c>
      <c r="I1986">
        <v>0</v>
      </c>
      <c r="J1986" t="s">
        <v>87</v>
      </c>
      <c r="K1986">
        <v>0</v>
      </c>
      <c r="L1986">
        <v>0</v>
      </c>
    </row>
    <row r="1987" spans="1:12">
      <c r="A1987" s="93">
        <v>190503</v>
      </c>
      <c r="B1987" t="s">
        <v>2526</v>
      </c>
      <c r="C1987" t="s">
        <v>5607</v>
      </c>
      <c r="D1987" s="92" t="s">
        <v>428</v>
      </c>
      <c r="E1987" s="92" t="s">
        <v>428</v>
      </c>
      <c r="F1987" t="s">
        <v>428</v>
      </c>
      <c r="G1987" t="s">
        <v>428</v>
      </c>
      <c r="H1987" t="s">
        <v>5617</v>
      </c>
      <c r="I1987">
        <v>0</v>
      </c>
      <c r="J1987" t="s">
        <v>87</v>
      </c>
      <c r="K1987">
        <v>0</v>
      </c>
      <c r="L1987">
        <v>0</v>
      </c>
    </row>
    <row r="1988" spans="1:12">
      <c r="A1988" s="93">
        <v>190512</v>
      </c>
      <c r="B1988" t="s">
        <v>2527</v>
      </c>
      <c r="C1988" t="s">
        <v>5605</v>
      </c>
      <c r="D1988" s="92">
        <v>0.66</v>
      </c>
      <c r="E1988" s="92">
        <v>0.5600000000000001</v>
      </c>
      <c r="F1988">
        <v>23</v>
      </c>
      <c r="G1988">
        <v>26</v>
      </c>
      <c r="H1988" t="s">
        <v>5615</v>
      </c>
      <c r="I1988">
        <v>0</v>
      </c>
      <c r="J1988" t="s">
        <v>87</v>
      </c>
      <c r="K1988">
        <v>0</v>
      </c>
      <c r="L1988">
        <v>0</v>
      </c>
    </row>
    <row r="1989" spans="1:12">
      <c r="A1989" s="93">
        <v>190521</v>
      </c>
      <c r="B1989" t="s">
        <v>2528</v>
      </c>
      <c r="C1989" t="s">
        <v>5606</v>
      </c>
      <c r="D1989" s="92">
        <v>0.29</v>
      </c>
      <c r="E1989" s="92">
        <v>0.27</v>
      </c>
      <c r="F1989" t="s">
        <v>428</v>
      </c>
      <c r="G1989" t="s">
        <v>428</v>
      </c>
      <c r="H1989" t="s">
        <v>5615</v>
      </c>
      <c r="I1989">
        <v>0</v>
      </c>
      <c r="J1989" t="s">
        <v>87</v>
      </c>
      <c r="K1989">
        <v>0</v>
      </c>
      <c r="L1989">
        <v>0</v>
      </c>
    </row>
    <row r="1990" spans="1:12">
      <c r="A1990" s="93">
        <v>190530</v>
      </c>
      <c r="B1990" t="s">
        <v>2529</v>
      </c>
      <c r="C1990" t="s">
        <v>5606</v>
      </c>
      <c r="D1990" s="92">
        <v>0.23</v>
      </c>
      <c r="E1990" s="92">
        <v>0.22</v>
      </c>
      <c r="F1990" t="s">
        <v>428</v>
      </c>
      <c r="G1990" t="s">
        <v>428</v>
      </c>
      <c r="H1990" t="s">
        <v>5615</v>
      </c>
      <c r="I1990">
        <v>0</v>
      </c>
      <c r="J1990" t="s">
        <v>87</v>
      </c>
      <c r="K1990">
        <v>0</v>
      </c>
      <c r="L1990">
        <v>0</v>
      </c>
    </row>
    <row r="1991" spans="1:12">
      <c r="A1991" s="93">
        <v>190549</v>
      </c>
      <c r="B1991" t="s">
        <v>2530</v>
      </c>
      <c r="C1991" t="s">
        <v>5602</v>
      </c>
      <c r="D1991" s="92">
        <v>0.51</v>
      </c>
      <c r="E1991" s="92">
        <v>0.43</v>
      </c>
      <c r="F1991">
        <v>19</v>
      </c>
      <c r="G1991">
        <v>22</v>
      </c>
      <c r="H1991" t="s">
        <v>5615</v>
      </c>
      <c r="I1991">
        <v>0</v>
      </c>
      <c r="J1991" t="s">
        <v>87</v>
      </c>
      <c r="K1991">
        <v>0</v>
      </c>
      <c r="L1991">
        <v>0</v>
      </c>
    </row>
    <row r="1992" spans="1:12">
      <c r="A1992" s="93">
        <v>190558</v>
      </c>
      <c r="B1992" t="s">
        <v>2531</v>
      </c>
      <c r="C1992" t="s">
        <v>5604</v>
      </c>
      <c r="D1992" s="92">
        <v>0.45</v>
      </c>
      <c r="E1992" s="92">
        <v>0.29</v>
      </c>
      <c r="F1992" t="s">
        <v>428</v>
      </c>
      <c r="G1992" t="s">
        <v>428</v>
      </c>
      <c r="H1992" t="s">
        <v>5615</v>
      </c>
      <c r="I1992">
        <v>0</v>
      </c>
      <c r="J1992" t="s">
        <v>87</v>
      </c>
      <c r="K1992">
        <v>0</v>
      </c>
      <c r="L1992">
        <v>0</v>
      </c>
    </row>
    <row r="1993" spans="1:12">
      <c r="A1993" s="93">
        <v>190567</v>
      </c>
      <c r="B1993" t="s">
        <v>2532</v>
      </c>
      <c r="C1993" t="s">
        <v>5603</v>
      </c>
      <c r="D1993" s="92">
        <v>0.47</v>
      </c>
      <c r="E1993" s="92">
        <v>0.48</v>
      </c>
      <c r="F1993">
        <v>19</v>
      </c>
      <c r="G1993">
        <v>22.5</v>
      </c>
      <c r="H1993" t="s">
        <v>5615</v>
      </c>
      <c r="I1993">
        <v>0</v>
      </c>
      <c r="J1993" t="s">
        <v>87</v>
      </c>
      <c r="K1993">
        <v>0</v>
      </c>
      <c r="L1993">
        <v>0</v>
      </c>
    </row>
    <row r="1994" spans="1:12">
      <c r="A1994" s="93">
        <v>190576</v>
      </c>
      <c r="B1994" t="s">
        <v>2533</v>
      </c>
      <c r="C1994" t="s">
        <v>5607</v>
      </c>
      <c r="D1994" s="92" t="s">
        <v>428</v>
      </c>
      <c r="E1994" s="92" t="s">
        <v>428</v>
      </c>
      <c r="F1994" t="s">
        <v>428</v>
      </c>
      <c r="G1994" t="s">
        <v>428</v>
      </c>
      <c r="H1994" t="s">
        <v>5615</v>
      </c>
      <c r="I1994">
        <v>0</v>
      </c>
      <c r="J1994" t="s">
        <v>87</v>
      </c>
      <c r="K1994">
        <v>0</v>
      </c>
      <c r="L1994">
        <v>0</v>
      </c>
    </row>
    <row r="1995" spans="1:12">
      <c r="A1995" s="93">
        <v>190585</v>
      </c>
      <c r="B1995" t="s">
        <v>2534</v>
      </c>
      <c r="C1995" t="s">
        <v>5606</v>
      </c>
      <c r="D1995" s="92">
        <v>0.26</v>
      </c>
      <c r="E1995" s="92">
        <v>0.26</v>
      </c>
      <c r="F1995" t="s">
        <v>428</v>
      </c>
      <c r="G1995" t="s">
        <v>428</v>
      </c>
      <c r="H1995" t="s">
        <v>5615</v>
      </c>
      <c r="I1995">
        <v>0</v>
      </c>
      <c r="J1995" t="s">
        <v>87</v>
      </c>
      <c r="K1995">
        <v>0</v>
      </c>
      <c r="L1995">
        <v>0</v>
      </c>
    </row>
    <row r="1996" spans="1:12">
      <c r="A1996" s="93">
        <v>190594</v>
      </c>
      <c r="B1996" t="s">
        <v>2535</v>
      </c>
      <c r="C1996" t="s">
        <v>5603</v>
      </c>
      <c r="D1996" s="92">
        <v>0.53</v>
      </c>
      <c r="E1996" s="92">
        <v>0.5</v>
      </c>
      <c r="F1996">
        <v>21</v>
      </c>
      <c r="G1996">
        <v>24</v>
      </c>
      <c r="H1996" t="s">
        <v>5615</v>
      </c>
      <c r="I1996">
        <v>0</v>
      </c>
      <c r="J1996" t="s">
        <v>87</v>
      </c>
      <c r="K1996">
        <v>0</v>
      </c>
      <c r="L1996">
        <v>0</v>
      </c>
    </row>
    <row r="1997" spans="1:12">
      <c r="A1997" s="93">
        <v>190600</v>
      </c>
      <c r="B1997" t="s">
        <v>2536</v>
      </c>
      <c r="C1997" t="s">
        <v>5604</v>
      </c>
      <c r="D1997" s="92">
        <v>0.44</v>
      </c>
      <c r="E1997" s="92">
        <v>0.44</v>
      </c>
      <c r="F1997">
        <v>16</v>
      </c>
      <c r="G1997">
        <v>18.5</v>
      </c>
      <c r="H1997" t="s">
        <v>5615</v>
      </c>
      <c r="I1997">
        <v>0</v>
      </c>
      <c r="J1997" t="s">
        <v>87</v>
      </c>
      <c r="K1997">
        <v>0</v>
      </c>
      <c r="L1997">
        <v>0</v>
      </c>
    </row>
    <row r="1998" spans="1:12">
      <c r="A1998" s="93">
        <v>190619</v>
      </c>
      <c r="B1998" t="s">
        <v>2537</v>
      </c>
      <c r="C1998" t="s">
        <v>5606</v>
      </c>
      <c r="D1998" s="92">
        <v>0.36</v>
      </c>
      <c r="E1998" s="92">
        <v>0.32</v>
      </c>
      <c r="F1998" t="s">
        <v>428</v>
      </c>
      <c r="G1998" t="s">
        <v>428</v>
      </c>
      <c r="H1998" t="s">
        <v>5615</v>
      </c>
      <c r="I1998">
        <v>0</v>
      </c>
      <c r="J1998" t="s">
        <v>87</v>
      </c>
      <c r="K1998">
        <v>0</v>
      </c>
      <c r="L1998">
        <v>0</v>
      </c>
    </row>
    <row r="1999" spans="1:12">
      <c r="A1999" s="93">
        <v>190628</v>
      </c>
      <c r="B1999" t="s">
        <v>2538</v>
      </c>
      <c r="C1999" t="s">
        <v>5606</v>
      </c>
      <c r="D1999" s="92">
        <v>0.29</v>
      </c>
      <c r="E1999" s="92">
        <v>0.27</v>
      </c>
      <c r="F1999" t="s">
        <v>428</v>
      </c>
      <c r="G1999" t="s">
        <v>428</v>
      </c>
      <c r="H1999" t="s">
        <v>5615</v>
      </c>
      <c r="I1999">
        <v>0</v>
      </c>
      <c r="J1999" t="s">
        <v>87</v>
      </c>
      <c r="K1999">
        <v>0</v>
      </c>
      <c r="L1999">
        <v>0</v>
      </c>
    </row>
    <row r="2000" spans="1:12">
      <c r="A2000" s="93">
        <v>190637</v>
      </c>
      <c r="B2000" t="s">
        <v>2539</v>
      </c>
      <c r="C2000" t="s">
        <v>5608</v>
      </c>
      <c r="D2000" s="92">
        <v>0.39</v>
      </c>
      <c r="E2000" s="92">
        <v>0.38</v>
      </c>
      <c r="F2000">
        <v>16</v>
      </c>
      <c r="G2000">
        <v>18.5</v>
      </c>
      <c r="H2000" t="s">
        <v>5615</v>
      </c>
      <c r="I2000">
        <v>0</v>
      </c>
      <c r="J2000" t="s">
        <v>87</v>
      </c>
      <c r="K2000">
        <v>0</v>
      </c>
      <c r="L2000">
        <v>0</v>
      </c>
    </row>
    <row r="2001" spans="1:12">
      <c r="A2001" s="93">
        <v>190646</v>
      </c>
      <c r="B2001" t="s">
        <v>2540</v>
      </c>
      <c r="C2001" t="s">
        <v>5604</v>
      </c>
      <c r="D2001" s="92">
        <v>0.16</v>
      </c>
      <c r="E2001" s="92">
        <v>0.17</v>
      </c>
      <c r="F2001" t="s">
        <v>428</v>
      </c>
      <c r="G2001" t="s">
        <v>428</v>
      </c>
      <c r="H2001" t="s">
        <v>5615</v>
      </c>
      <c r="I2001">
        <v>0</v>
      </c>
      <c r="J2001" t="s">
        <v>87</v>
      </c>
      <c r="K2001">
        <v>0</v>
      </c>
      <c r="L2001">
        <v>0</v>
      </c>
    </row>
    <row r="2002" spans="1:12">
      <c r="A2002" s="93">
        <v>190655</v>
      </c>
      <c r="B2002" t="s">
        <v>2541</v>
      </c>
      <c r="C2002" t="s">
        <v>5604</v>
      </c>
      <c r="D2002" s="92">
        <v>0.25</v>
      </c>
      <c r="E2002" s="92">
        <v>0.23</v>
      </c>
      <c r="F2002" t="s">
        <v>428</v>
      </c>
      <c r="G2002" t="s">
        <v>428</v>
      </c>
      <c r="H2002" t="s">
        <v>5615</v>
      </c>
      <c r="I2002">
        <v>0</v>
      </c>
      <c r="J2002" t="s">
        <v>87</v>
      </c>
      <c r="K2002">
        <v>0</v>
      </c>
      <c r="L2002">
        <v>0</v>
      </c>
    </row>
    <row r="2003" spans="1:12">
      <c r="A2003" s="93">
        <v>190664</v>
      </c>
      <c r="B2003" t="s">
        <v>2542</v>
      </c>
      <c r="C2003" t="s">
        <v>5602</v>
      </c>
      <c r="D2003" s="92">
        <v>0.6</v>
      </c>
      <c r="E2003" s="92">
        <v>0.53</v>
      </c>
      <c r="F2003">
        <v>19</v>
      </c>
      <c r="G2003">
        <v>21.5</v>
      </c>
      <c r="H2003" t="s">
        <v>5615</v>
      </c>
      <c r="I2003">
        <v>0</v>
      </c>
      <c r="J2003" t="s">
        <v>87</v>
      </c>
      <c r="K2003">
        <v>0</v>
      </c>
      <c r="L2003">
        <v>0</v>
      </c>
    </row>
    <row r="2004" spans="1:12">
      <c r="A2004" s="93">
        <v>190673</v>
      </c>
      <c r="B2004" t="s">
        <v>2543</v>
      </c>
      <c r="C2004" t="s">
        <v>5606</v>
      </c>
      <c r="D2004" s="92">
        <v>0.32</v>
      </c>
      <c r="E2004" s="92">
        <v>0.29</v>
      </c>
      <c r="F2004" t="s">
        <v>428</v>
      </c>
      <c r="G2004" t="s">
        <v>428</v>
      </c>
      <c r="H2004" t="s">
        <v>5615</v>
      </c>
      <c r="I2004">
        <v>0</v>
      </c>
      <c r="J2004" t="s">
        <v>87</v>
      </c>
      <c r="K2004">
        <v>0</v>
      </c>
      <c r="L2004">
        <v>0</v>
      </c>
    </row>
    <row r="2005" spans="1:12">
      <c r="A2005" s="93">
        <v>190682</v>
      </c>
      <c r="B2005" t="s">
        <v>2544</v>
      </c>
      <c r="C2005" t="s">
        <v>5607</v>
      </c>
      <c r="D2005" s="92" t="s">
        <v>428</v>
      </c>
      <c r="E2005" s="92" t="s">
        <v>428</v>
      </c>
      <c r="F2005" t="s">
        <v>428</v>
      </c>
      <c r="G2005" t="s">
        <v>428</v>
      </c>
      <c r="H2005" t="s">
        <v>5615</v>
      </c>
      <c r="I2005">
        <v>0</v>
      </c>
      <c r="J2005" t="s">
        <v>87</v>
      </c>
      <c r="K2005">
        <v>0</v>
      </c>
      <c r="L2005">
        <v>0</v>
      </c>
    </row>
    <row r="2006" spans="1:12">
      <c r="A2006" s="93">
        <v>190691</v>
      </c>
      <c r="B2006" t="s">
        <v>2545</v>
      </c>
      <c r="C2006" t="s">
        <v>5608</v>
      </c>
      <c r="D2006" s="92">
        <v>0.3</v>
      </c>
      <c r="E2006" s="92">
        <v>0.31</v>
      </c>
      <c r="F2006">
        <v>14</v>
      </c>
      <c r="G2006">
        <v>16</v>
      </c>
      <c r="H2006" t="s">
        <v>5615</v>
      </c>
      <c r="I2006">
        <v>0</v>
      </c>
      <c r="J2006" t="s">
        <v>87</v>
      </c>
      <c r="K2006">
        <v>0</v>
      </c>
      <c r="L2006">
        <v>0</v>
      </c>
    </row>
    <row r="2007" spans="1:12">
      <c r="A2007" s="93">
        <v>190707</v>
      </c>
      <c r="B2007" t="s">
        <v>2546</v>
      </c>
      <c r="C2007" t="s">
        <v>5606</v>
      </c>
      <c r="D2007" s="92" t="s">
        <v>428</v>
      </c>
      <c r="E2007" s="92" t="s">
        <v>428</v>
      </c>
      <c r="F2007" t="s">
        <v>428</v>
      </c>
      <c r="G2007" t="s">
        <v>428</v>
      </c>
      <c r="H2007" t="s">
        <v>5624</v>
      </c>
      <c r="I2007">
        <v>1</v>
      </c>
      <c r="J2007" t="s">
        <v>87</v>
      </c>
      <c r="K2007">
        <v>0</v>
      </c>
      <c r="L2007">
        <v>0</v>
      </c>
    </row>
    <row r="2008" spans="1:12">
      <c r="A2008" s="93">
        <v>190716</v>
      </c>
      <c r="B2008" t="s">
        <v>2547</v>
      </c>
      <c r="C2008" t="s">
        <v>5602</v>
      </c>
      <c r="D2008" s="92">
        <v>0.44</v>
      </c>
      <c r="E2008" s="92">
        <v>0.26</v>
      </c>
      <c r="F2008">
        <v>16</v>
      </c>
      <c r="G2008">
        <v>19.5</v>
      </c>
      <c r="H2008" t="s">
        <v>5616</v>
      </c>
      <c r="I2008">
        <v>0</v>
      </c>
      <c r="J2008" t="s">
        <v>87</v>
      </c>
      <c r="K2008">
        <v>0</v>
      </c>
      <c r="L2008">
        <v>0</v>
      </c>
    </row>
    <row r="2009" spans="1:12">
      <c r="A2009" s="93">
        <v>190725</v>
      </c>
      <c r="B2009" t="s">
        <v>2548</v>
      </c>
      <c r="C2009" t="s">
        <v>5602</v>
      </c>
      <c r="D2009" s="92">
        <v>0.51</v>
      </c>
      <c r="E2009" s="92">
        <v>0.37</v>
      </c>
      <c r="F2009" t="s">
        <v>428</v>
      </c>
      <c r="G2009" t="s">
        <v>428</v>
      </c>
      <c r="H2009" t="s">
        <v>5613</v>
      </c>
      <c r="I2009">
        <v>1</v>
      </c>
      <c r="J2009" t="s">
        <v>87</v>
      </c>
      <c r="K2009">
        <v>0</v>
      </c>
      <c r="L2009">
        <v>0</v>
      </c>
    </row>
    <row r="2010" spans="1:12">
      <c r="A2010" s="93">
        <v>190752</v>
      </c>
      <c r="B2010" t="s">
        <v>2549</v>
      </c>
      <c r="C2010" t="s">
        <v>5607</v>
      </c>
      <c r="D2010" s="92">
        <v>0.42</v>
      </c>
      <c r="E2010" s="92" t="s">
        <v>428</v>
      </c>
      <c r="F2010" t="s">
        <v>428</v>
      </c>
      <c r="G2010" t="s">
        <v>428</v>
      </c>
      <c r="H2010" t="s">
        <v>5615</v>
      </c>
      <c r="I2010">
        <v>0</v>
      </c>
      <c r="J2010" t="s">
        <v>87</v>
      </c>
      <c r="K2010">
        <v>0</v>
      </c>
      <c r="L2010">
        <v>0</v>
      </c>
    </row>
    <row r="2011" spans="1:12">
      <c r="A2011" s="93">
        <v>190761</v>
      </c>
      <c r="B2011" t="s">
        <v>2550</v>
      </c>
      <c r="C2011" t="s">
        <v>5608</v>
      </c>
      <c r="D2011" s="92">
        <v>0.43</v>
      </c>
      <c r="E2011" s="92">
        <v>0.37</v>
      </c>
      <c r="F2011">
        <v>17</v>
      </c>
      <c r="G2011">
        <v>19</v>
      </c>
      <c r="H2011" t="s">
        <v>5616</v>
      </c>
      <c r="I2011">
        <v>0</v>
      </c>
      <c r="J2011" t="s">
        <v>87</v>
      </c>
      <c r="K2011">
        <v>0</v>
      </c>
      <c r="L2011">
        <v>0</v>
      </c>
    </row>
    <row r="2012" spans="1:12">
      <c r="A2012" s="93">
        <v>190840</v>
      </c>
      <c r="B2012" t="s">
        <v>2551</v>
      </c>
      <c r="C2012" t="s">
        <v>5606</v>
      </c>
      <c r="D2012" s="92">
        <v>0.35</v>
      </c>
      <c r="E2012" s="92">
        <v>0.28</v>
      </c>
      <c r="F2012" t="s">
        <v>428</v>
      </c>
      <c r="G2012" t="s">
        <v>428</v>
      </c>
      <c r="H2012" t="s">
        <v>5615</v>
      </c>
      <c r="I2012">
        <v>0</v>
      </c>
      <c r="J2012" t="s">
        <v>87</v>
      </c>
      <c r="K2012">
        <v>0</v>
      </c>
      <c r="L2012">
        <v>0</v>
      </c>
    </row>
    <row r="2013" spans="1:12">
      <c r="A2013" s="93">
        <v>190956</v>
      </c>
      <c r="B2013" t="s">
        <v>2552</v>
      </c>
      <c r="C2013" t="s">
        <v>5609</v>
      </c>
      <c r="D2013" s="92" t="s">
        <v>428</v>
      </c>
      <c r="E2013" s="92" t="s">
        <v>428</v>
      </c>
      <c r="F2013" t="s">
        <v>428</v>
      </c>
      <c r="G2013" t="s">
        <v>428</v>
      </c>
      <c r="H2013" t="s">
        <v>5615</v>
      </c>
      <c r="I2013">
        <v>0</v>
      </c>
      <c r="J2013" t="s">
        <v>87</v>
      </c>
      <c r="K2013">
        <v>0</v>
      </c>
      <c r="L2013">
        <v>0</v>
      </c>
    </row>
    <row r="2014" spans="1:12">
      <c r="A2014" s="93">
        <v>190974</v>
      </c>
      <c r="B2014" t="s">
        <v>2553</v>
      </c>
      <c r="C2014" t="s">
        <v>5606</v>
      </c>
      <c r="D2014" s="92" t="s">
        <v>428</v>
      </c>
      <c r="E2014" s="92" t="s">
        <v>428</v>
      </c>
      <c r="F2014" t="s">
        <v>428</v>
      </c>
      <c r="G2014" t="s">
        <v>428</v>
      </c>
      <c r="H2014" t="s">
        <v>5617</v>
      </c>
      <c r="I2014">
        <v>0</v>
      </c>
      <c r="J2014" t="s">
        <v>87</v>
      </c>
      <c r="K2014">
        <v>0</v>
      </c>
      <c r="L2014">
        <v>0</v>
      </c>
    </row>
    <row r="2015" spans="1:12">
      <c r="A2015" s="93">
        <v>190983</v>
      </c>
      <c r="B2015" t="s">
        <v>2554</v>
      </c>
      <c r="C2015" t="s">
        <v>5602</v>
      </c>
      <c r="D2015" s="92">
        <v>0.58</v>
      </c>
      <c r="E2015" s="92">
        <v>0.38</v>
      </c>
      <c r="F2015" t="s">
        <v>428</v>
      </c>
      <c r="G2015" t="s">
        <v>428</v>
      </c>
      <c r="H2015" t="s">
        <v>5617</v>
      </c>
      <c r="I2015">
        <v>0</v>
      </c>
      <c r="J2015" t="s">
        <v>87</v>
      </c>
      <c r="K2015">
        <v>0</v>
      </c>
      <c r="L2015">
        <v>0</v>
      </c>
    </row>
    <row r="2016" spans="1:12">
      <c r="A2016" s="93">
        <v>191083</v>
      </c>
      <c r="B2016" t="s">
        <v>2555</v>
      </c>
      <c r="C2016" t="s">
        <v>5606</v>
      </c>
      <c r="D2016" s="92">
        <v>0.3</v>
      </c>
      <c r="E2016" s="92">
        <v>0.2</v>
      </c>
      <c r="F2016" t="s">
        <v>428</v>
      </c>
      <c r="G2016" t="s">
        <v>428</v>
      </c>
      <c r="H2016" t="s">
        <v>5615</v>
      </c>
      <c r="I2016">
        <v>0</v>
      </c>
      <c r="J2016" t="s">
        <v>87</v>
      </c>
      <c r="K2016">
        <v>0</v>
      </c>
      <c r="L2016">
        <v>0</v>
      </c>
    </row>
    <row r="2017" spans="1:12">
      <c r="A2017" s="93">
        <v>191126</v>
      </c>
      <c r="B2017" t="s">
        <v>2556</v>
      </c>
      <c r="C2017" t="s">
        <v>5610</v>
      </c>
      <c r="D2017" s="92" t="s">
        <v>428</v>
      </c>
      <c r="E2017" s="92" t="s">
        <v>428</v>
      </c>
      <c r="F2017" t="s">
        <v>428</v>
      </c>
      <c r="G2017" t="s">
        <v>428</v>
      </c>
      <c r="H2017" t="s">
        <v>5615</v>
      </c>
      <c r="I2017">
        <v>0</v>
      </c>
      <c r="J2017" t="s">
        <v>87</v>
      </c>
      <c r="K2017">
        <v>0</v>
      </c>
      <c r="L2017">
        <v>0</v>
      </c>
    </row>
    <row r="2018" spans="1:12">
      <c r="A2018" s="93">
        <v>191199</v>
      </c>
      <c r="B2018" t="s">
        <v>2557</v>
      </c>
      <c r="C2018" t="s">
        <v>5606</v>
      </c>
      <c r="D2018" s="92">
        <v>0.38</v>
      </c>
      <c r="E2018" s="92">
        <v>0.35</v>
      </c>
      <c r="F2018" t="s">
        <v>428</v>
      </c>
      <c r="G2018" t="s">
        <v>428</v>
      </c>
      <c r="H2018" t="s">
        <v>5615</v>
      </c>
      <c r="I2018">
        <v>0</v>
      </c>
      <c r="J2018" t="s">
        <v>87</v>
      </c>
      <c r="K2018">
        <v>0</v>
      </c>
      <c r="L2018">
        <v>0</v>
      </c>
    </row>
    <row r="2019" spans="1:12">
      <c r="A2019" s="93">
        <v>191205</v>
      </c>
      <c r="B2019" t="s">
        <v>2558</v>
      </c>
      <c r="C2019" t="s">
        <v>5602</v>
      </c>
      <c r="D2019" s="92">
        <v>0.33</v>
      </c>
      <c r="E2019" s="92">
        <v>0.25</v>
      </c>
      <c r="F2019" t="s">
        <v>428</v>
      </c>
      <c r="G2019" t="s">
        <v>428</v>
      </c>
      <c r="H2019" t="s">
        <v>5617</v>
      </c>
      <c r="I2019">
        <v>0</v>
      </c>
      <c r="J2019" t="s">
        <v>87</v>
      </c>
      <c r="K2019">
        <v>0</v>
      </c>
      <c r="L2019">
        <v>0</v>
      </c>
    </row>
    <row r="2020" spans="1:12">
      <c r="A2020" s="93">
        <v>191241</v>
      </c>
      <c r="B2020" t="s">
        <v>2559</v>
      </c>
      <c r="C2020" t="s">
        <v>5612</v>
      </c>
      <c r="D2020" s="92">
        <v>0.8</v>
      </c>
      <c r="E2020" s="92">
        <v>0.75</v>
      </c>
      <c r="F2020">
        <v>27</v>
      </c>
      <c r="G2020">
        <v>29</v>
      </c>
      <c r="H2020" t="s">
        <v>5618</v>
      </c>
      <c r="I2020">
        <v>0</v>
      </c>
      <c r="J2020" t="s">
        <v>87</v>
      </c>
      <c r="K2020">
        <v>0</v>
      </c>
      <c r="L2020">
        <v>0</v>
      </c>
    </row>
    <row r="2021" spans="1:12">
      <c r="A2021" s="93">
        <v>191302</v>
      </c>
      <c r="B2021" t="s">
        <v>2560</v>
      </c>
      <c r="C2021" t="s">
        <v>5606</v>
      </c>
      <c r="D2021" s="92">
        <v>0.4</v>
      </c>
      <c r="E2021" s="92">
        <v>0.33</v>
      </c>
      <c r="F2021" t="s">
        <v>428</v>
      </c>
      <c r="G2021" t="s">
        <v>428</v>
      </c>
      <c r="H2021" t="s">
        <v>5615</v>
      </c>
      <c r="I2021">
        <v>0</v>
      </c>
      <c r="J2021" t="s">
        <v>87</v>
      </c>
      <c r="K2021">
        <v>0</v>
      </c>
      <c r="L2021">
        <v>0</v>
      </c>
    </row>
    <row r="2022" spans="1:12">
      <c r="A2022" s="93">
        <v>191320</v>
      </c>
      <c r="B2022" t="s">
        <v>2561</v>
      </c>
      <c r="C2022" t="s">
        <v>5607</v>
      </c>
      <c r="D2022" s="92" t="s">
        <v>428</v>
      </c>
      <c r="E2022" s="92" t="s">
        <v>428</v>
      </c>
      <c r="F2022" t="s">
        <v>428</v>
      </c>
      <c r="G2022" t="s">
        <v>428</v>
      </c>
      <c r="H2022" t="s">
        <v>5615</v>
      </c>
      <c r="I2022">
        <v>0</v>
      </c>
      <c r="J2022" t="s">
        <v>87</v>
      </c>
      <c r="K2022">
        <v>0</v>
      </c>
      <c r="L2022">
        <v>0</v>
      </c>
    </row>
    <row r="2023" spans="1:12">
      <c r="A2023" s="93">
        <v>191339</v>
      </c>
      <c r="B2023" t="s">
        <v>2562</v>
      </c>
      <c r="C2023" t="s">
        <v>5606</v>
      </c>
      <c r="D2023" s="92">
        <v>0.37</v>
      </c>
      <c r="E2023" s="92">
        <v>0.33</v>
      </c>
      <c r="F2023" t="s">
        <v>428</v>
      </c>
      <c r="G2023" t="s">
        <v>428</v>
      </c>
      <c r="H2023" t="s">
        <v>5615</v>
      </c>
      <c r="I2023">
        <v>0</v>
      </c>
      <c r="J2023" t="s">
        <v>87</v>
      </c>
      <c r="K2023">
        <v>0</v>
      </c>
      <c r="L2023">
        <v>0</v>
      </c>
    </row>
    <row r="2024" spans="1:12">
      <c r="A2024" s="93">
        <v>191515</v>
      </c>
      <c r="B2024" t="s">
        <v>2563</v>
      </c>
      <c r="C2024" t="s">
        <v>5612</v>
      </c>
      <c r="D2024" s="92">
        <v>0.92</v>
      </c>
      <c r="E2024" s="92">
        <v>0.84</v>
      </c>
      <c r="F2024">
        <v>31</v>
      </c>
      <c r="G2024">
        <v>32</v>
      </c>
      <c r="H2024" t="s">
        <v>5619</v>
      </c>
      <c r="I2024">
        <v>1</v>
      </c>
      <c r="J2024" t="s">
        <v>87</v>
      </c>
      <c r="K2024">
        <v>0</v>
      </c>
      <c r="L2024">
        <v>0</v>
      </c>
    </row>
    <row r="2025" spans="1:12">
      <c r="A2025" s="93">
        <v>191533</v>
      </c>
      <c r="B2025" t="s">
        <v>2564</v>
      </c>
      <c r="C2025" t="s">
        <v>5602</v>
      </c>
      <c r="D2025" s="92">
        <v>0.55</v>
      </c>
      <c r="E2025" s="92">
        <v>0.46</v>
      </c>
      <c r="F2025">
        <v>19</v>
      </c>
      <c r="G2025">
        <v>22</v>
      </c>
      <c r="H2025" t="s">
        <v>5617</v>
      </c>
      <c r="I2025">
        <v>0</v>
      </c>
      <c r="J2025" t="s">
        <v>87</v>
      </c>
      <c r="K2025">
        <v>0</v>
      </c>
      <c r="L2025">
        <v>0</v>
      </c>
    </row>
    <row r="2026" spans="1:12">
      <c r="A2026" s="93">
        <v>191597</v>
      </c>
      <c r="B2026" t="s">
        <v>2565</v>
      </c>
      <c r="C2026" t="s">
        <v>5607</v>
      </c>
      <c r="D2026" s="92" t="s">
        <v>428</v>
      </c>
      <c r="E2026" s="92" t="s">
        <v>428</v>
      </c>
      <c r="F2026" t="s">
        <v>428</v>
      </c>
      <c r="G2026" t="s">
        <v>428</v>
      </c>
      <c r="H2026" t="s">
        <v>5617</v>
      </c>
      <c r="I2026">
        <v>0</v>
      </c>
      <c r="J2026" t="s">
        <v>87</v>
      </c>
      <c r="K2026">
        <v>0</v>
      </c>
      <c r="L2026">
        <v>0</v>
      </c>
    </row>
    <row r="2027" spans="1:12">
      <c r="A2027" s="93">
        <v>191612</v>
      </c>
      <c r="B2027" t="s">
        <v>2566</v>
      </c>
      <c r="C2027" t="s">
        <v>5606</v>
      </c>
      <c r="D2027" s="92">
        <v>0.45</v>
      </c>
      <c r="E2027" s="92">
        <v>0.39</v>
      </c>
      <c r="F2027" t="s">
        <v>428</v>
      </c>
      <c r="G2027" t="s">
        <v>428</v>
      </c>
      <c r="H2027" t="s">
        <v>5615</v>
      </c>
      <c r="I2027">
        <v>0</v>
      </c>
      <c r="J2027" t="s">
        <v>87</v>
      </c>
      <c r="K2027">
        <v>0</v>
      </c>
      <c r="L2027">
        <v>0</v>
      </c>
    </row>
    <row r="2028" spans="1:12">
      <c r="A2028" s="93">
        <v>191621</v>
      </c>
      <c r="B2028" t="s">
        <v>2567</v>
      </c>
      <c r="C2028" t="s">
        <v>5602</v>
      </c>
      <c r="D2028" s="92">
        <v>0.46</v>
      </c>
      <c r="E2028" s="92">
        <v>0.29</v>
      </c>
      <c r="F2028" t="s">
        <v>428</v>
      </c>
      <c r="G2028" t="s">
        <v>428</v>
      </c>
      <c r="H2028" t="s">
        <v>5617</v>
      </c>
      <c r="I2028">
        <v>0</v>
      </c>
      <c r="J2028" t="s">
        <v>87</v>
      </c>
      <c r="K2028">
        <v>0</v>
      </c>
      <c r="L2028">
        <v>0</v>
      </c>
    </row>
    <row r="2029" spans="1:12">
      <c r="A2029" s="93">
        <v>191630</v>
      </c>
      <c r="B2029" t="s">
        <v>2568</v>
      </c>
      <c r="C2029" t="s">
        <v>5605</v>
      </c>
      <c r="D2029" s="92">
        <v>0.79</v>
      </c>
      <c r="E2029" s="92">
        <v>0.8</v>
      </c>
      <c r="F2029">
        <v>26</v>
      </c>
      <c r="G2029">
        <v>28</v>
      </c>
      <c r="H2029" t="s">
        <v>5618</v>
      </c>
      <c r="I2029">
        <v>0</v>
      </c>
      <c r="J2029" t="s">
        <v>87</v>
      </c>
      <c r="K2029">
        <v>0</v>
      </c>
      <c r="L2029">
        <v>0</v>
      </c>
    </row>
    <row r="2030" spans="1:12">
      <c r="A2030" s="93">
        <v>191649</v>
      </c>
      <c r="B2030" t="s">
        <v>2569</v>
      </c>
      <c r="C2030" t="s">
        <v>5602</v>
      </c>
      <c r="D2030" s="92">
        <v>0.64</v>
      </c>
      <c r="E2030" s="92">
        <v>0.45</v>
      </c>
      <c r="F2030">
        <v>24</v>
      </c>
      <c r="G2030">
        <v>26.5</v>
      </c>
      <c r="H2030" t="s">
        <v>5617</v>
      </c>
      <c r="I2030">
        <v>0</v>
      </c>
      <c r="J2030" t="s">
        <v>87</v>
      </c>
      <c r="K2030">
        <v>0</v>
      </c>
      <c r="L2030">
        <v>0</v>
      </c>
    </row>
    <row r="2031" spans="1:12">
      <c r="A2031" s="93">
        <v>191676</v>
      </c>
      <c r="B2031" t="s">
        <v>2570</v>
      </c>
      <c r="C2031" t="s">
        <v>5602</v>
      </c>
      <c r="D2031" s="92">
        <v>0.73</v>
      </c>
      <c r="E2031" s="92">
        <v>0.62</v>
      </c>
      <c r="F2031">
        <v>21</v>
      </c>
      <c r="G2031">
        <v>24.5</v>
      </c>
      <c r="H2031" t="s">
        <v>5617</v>
      </c>
      <c r="I2031">
        <v>0</v>
      </c>
      <c r="J2031" t="s">
        <v>87</v>
      </c>
      <c r="K2031">
        <v>0</v>
      </c>
      <c r="L2031">
        <v>0</v>
      </c>
    </row>
    <row r="2032" spans="1:12">
      <c r="A2032" s="93">
        <v>191719</v>
      </c>
      <c r="B2032" t="s">
        <v>2571</v>
      </c>
      <c r="C2032" t="s">
        <v>5606</v>
      </c>
      <c r="D2032" s="92">
        <v>0.36</v>
      </c>
      <c r="E2032" s="92">
        <v>0.28</v>
      </c>
      <c r="F2032" t="s">
        <v>428</v>
      </c>
      <c r="G2032" t="s">
        <v>428</v>
      </c>
      <c r="H2032" t="s">
        <v>5615</v>
      </c>
      <c r="I2032">
        <v>0</v>
      </c>
      <c r="J2032" t="s">
        <v>87</v>
      </c>
      <c r="K2032">
        <v>0</v>
      </c>
      <c r="L2032">
        <v>0</v>
      </c>
    </row>
    <row r="2033" spans="1:12">
      <c r="A2033" s="93">
        <v>191728</v>
      </c>
      <c r="B2033" t="s">
        <v>2572</v>
      </c>
      <c r="C2033" t="s">
        <v>5606</v>
      </c>
      <c r="D2033" s="92" t="s">
        <v>428</v>
      </c>
      <c r="E2033" s="92" t="s">
        <v>428</v>
      </c>
      <c r="F2033" t="s">
        <v>428</v>
      </c>
      <c r="G2033" t="s">
        <v>428</v>
      </c>
      <c r="H2033" t="s">
        <v>5616</v>
      </c>
      <c r="I2033">
        <v>0</v>
      </c>
      <c r="J2033" t="s">
        <v>87</v>
      </c>
      <c r="K2033">
        <v>0</v>
      </c>
      <c r="L2033">
        <v>0</v>
      </c>
    </row>
    <row r="2034" spans="1:12">
      <c r="A2034" s="93">
        <v>191931</v>
      </c>
      <c r="B2034" t="s">
        <v>2573</v>
      </c>
      <c r="C2034" t="s">
        <v>5602</v>
      </c>
      <c r="D2034" s="92">
        <v>0.64</v>
      </c>
      <c r="E2034" s="92">
        <v>0.5600000000000001</v>
      </c>
      <c r="F2034">
        <v>16</v>
      </c>
      <c r="G2034">
        <v>19</v>
      </c>
      <c r="H2034" t="s">
        <v>5617</v>
      </c>
      <c r="I2034">
        <v>0</v>
      </c>
      <c r="J2034" t="s">
        <v>87</v>
      </c>
      <c r="K2034">
        <v>0</v>
      </c>
      <c r="L2034">
        <v>0</v>
      </c>
    </row>
    <row r="2035" spans="1:12">
      <c r="A2035" s="93">
        <v>191959</v>
      </c>
      <c r="B2035" t="s">
        <v>2574</v>
      </c>
      <c r="C2035" t="s">
        <v>5606</v>
      </c>
      <c r="D2035" s="92" t="s">
        <v>428</v>
      </c>
      <c r="E2035" s="92" t="s">
        <v>428</v>
      </c>
      <c r="F2035" t="s">
        <v>428</v>
      </c>
      <c r="G2035" t="s">
        <v>428</v>
      </c>
      <c r="H2035" t="s">
        <v>5617</v>
      </c>
      <c r="I2035">
        <v>0</v>
      </c>
      <c r="J2035" t="s">
        <v>87</v>
      </c>
      <c r="K2035">
        <v>0</v>
      </c>
      <c r="L2035">
        <v>0</v>
      </c>
    </row>
    <row r="2036" spans="1:12">
      <c r="A2036" s="93">
        <v>191968</v>
      </c>
      <c r="B2036" t="s">
        <v>2575</v>
      </c>
      <c r="C2036" t="s">
        <v>5603</v>
      </c>
      <c r="D2036" s="92">
        <v>0.75</v>
      </c>
      <c r="E2036" s="92">
        <v>0.75</v>
      </c>
      <c r="F2036" t="s">
        <v>428</v>
      </c>
      <c r="G2036" t="s">
        <v>428</v>
      </c>
      <c r="H2036" t="s">
        <v>5618</v>
      </c>
      <c r="I2036">
        <v>0</v>
      </c>
      <c r="J2036" t="s">
        <v>87</v>
      </c>
      <c r="K2036">
        <v>0</v>
      </c>
      <c r="L2036">
        <v>0</v>
      </c>
    </row>
    <row r="2037" spans="1:12">
      <c r="A2037" s="93">
        <v>191986</v>
      </c>
      <c r="B2037" t="s">
        <v>2576</v>
      </c>
      <c r="C2037" t="s">
        <v>5606</v>
      </c>
      <c r="D2037" s="92">
        <v>0.41</v>
      </c>
      <c r="E2037" s="92">
        <v>0.29</v>
      </c>
      <c r="F2037" t="s">
        <v>428</v>
      </c>
      <c r="G2037" t="s">
        <v>428</v>
      </c>
      <c r="H2037" t="s">
        <v>5615</v>
      </c>
      <c r="I2037">
        <v>0</v>
      </c>
      <c r="J2037" t="s">
        <v>87</v>
      </c>
      <c r="K2037">
        <v>0</v>
      </c>
      <c r="L2037">
        <v>0</v>
      </c>
    </row>
    <row r="2038" spans="1:12">
      <c r="A2038" s="93">
        <v>192004</v>
      </c>
      <c r="B2038" t="s">
        <v>2577</v>
      </c>
      <c r="C2038" t="s">
        <v>5607</v>
      </c>
      <c r="D2038" s="92" t="s">
        <v>428</v>
      </c>
      <c r="E2038" s="92" t="s">
        <v>428</v>
      </c>
      <c r="F2038" t="s">
        <v>428</v>
      </c>
      <c r="G2038" t="s">
        <v>428</v>
      </c>
      <c r="H2038" t="s">
        <v>5624</v>
      </c>
      <c r="I2038">
        <v>1</v>
      </c>
      <c r="J2038" t="s">
        <v>87</v>
      </c>
      <c r="K2038">
        <v>0</v>
      </c>
      <c r="L2038">
        <v>0</v>
      </c>
    </row>
    <row r="2039" spans="1:12">
      <c r="A2039" s="93">
        <v>192022</v>
      </c>
      <c r="B2039" t="s">
        <v>2578</v>
      </c>
      <c r="C2039" t="s">
        <v>5606</v>
      </c>
      <c r="D2039" s="92">
        <v>0.37</v>
      </c>
      <c r="E2039" s="92">
        <v>0.4</v>
      </c>
      <c r="F2039" t="s">
        <v>428</v>
      </c>
      <c r="G2039" t="s">
        <v>428</v>
      </c>
      <c r="H2039" t="s">
        <v>5615</v>
      </c>
      <c r="I2039">
        <v>0</v>
      </c>
      <c r="J2039" t="s">
        <v>87</v>
      </c>
      <c r="K2039">
        <v>0</v>
      </c>
      <c r="L2039">
        <v>0</v>
      </c>
    </row>
    <row r="2040" spans="1:12">
      <c r="A2040" s="93">
        <v>192040</v>
      </c>
      <c r="B2040" t="s">
        <v>2579</v>
      </c>
      <c r="C2040" t="s">
        <v>5605</v>
      </c>
      <c r="D2040" s="92">
        <v>0.8100000000000001</v>
      </c>
      <c r="E2040" s="92">
        <v>0.67</v>
      </c>
      <c r="F2040">
        <v>28</v>
      </c>
      <c r="G2040">
        <v>30</v>
      </c>
      <c r="H2040" t="s">
        <v>5617</v>
      </c>
      <c r="I2040">
        <v>0</v>
      </c>
      <c r="J2040" t="s">
        <v>87</v>
      </c>
      <c r="K2040">
        <v>0</v>
      </c>
      <c r="L2040">
        <v>0</v>
      </c>
    </row>
    <row r="2041" spans="1:12">
      <c r="A2041" s="93">
        <v>192110</v>
      </c>
      <c r="B2041" t="s">
        <v>2580</v>
      </c>
      <c r="C2041" t="s">
        <v>5610</v>
      </c>
      <c r="D2041" s="92">
        <v>0.89</v>
      </c>
      <c r="E2041" s="92">
        <v>0.85</v>
      </c>
      <c r="F2041" t="s">
        <v>428</v>
      </c>
      <c r="G2041" t="s">
        <v>428</v>
      </c>
      <c r="H2041" t="s">
        <v>5617</v>
      </c>
      <c r="I2041">
        <v>0</v>
      </c>
      <c r="J2041" t="s">
        <v>87</v>
      </c>
      <c r="K2041">
        <v>0</v>
      </c>
      <c r="L2041">
        <v>0</v>
      </c>
    </row>
    <row r="2042" spans="1:12">
      <c r="A2042" s="93">
        <v>192165</v>
      </c>
      <c r="B2042" t="s">
        <v>2581</v>
      </c>
      <c r="C2042" t="s">
        <v>5604</v>
      </c>
      <c r="D2042" s="92">
        <v>0.65</v>
      </c>
      <c r="E2042" s="92" t="s">
        <v>428</v>
      </c>
      <c r="F2042" t="s">
        <v>428</v>
      </c>
      <c r="G2042" t="s">
        <v>428</v>
      </c>
      <c r="H2042" t="s">
        <v>5614</v>
      </c>
      <c r="I2042">
        <v>1</v>
      </c>
      <c r="J2042" t="s">
        <v>87</v>
      </c>
      <c r="K2042">
        <v>0</v>
      </c>
      <c r="L2042">
        <v>0</v>
      </c>
    </row>
    <row r="2043" spans="1:12">
      <c r="A2043" s="93">
        <v>192192</v>
      </c>
      <c r="B2043" t="s">
        <v>2582</v>
      </c>
      <c r="C2043" t="s">
        <v>5602</v>
      </c>
      <c r="D2043" s="92">
        <v>0.54</v>
      </c>
      <c r="E2043" s="92">
        <v>0.31</v>
      </c>
      <c r="F2043">
        <v>18</v>
      </c>
      <c r="G2043">
        <v>20.5</v>
      </c>
      <c r="H2043" t="s">
        <v>5617</v>
      </c>
      <c r="I2043">
        <v>0</v>
      </c>
      <c r="J2043" t="s">
        <v>87</v>
      </c>
      <c r="K2043">
        <v>0</v>
      </c>
      <c r="L2043">
        <v>0</v>
      </c>
    </row>
    <row r="2044" spans="1:12">
      <c r="A2044" s="93">
        <v>192271</v>
      </c>
      <c r="B2044" t="s">
        <v>2583</v>
      </c>
      <c r="C2044" t="s">
        <v>5608</v>
      </c>
      <c r="D2044" s="92">
        <v>0.51</v>
      </c>
      <c r="E2044" s="92">
        <v>0.47</v>
      </c>
      <c r="F2044">
        <v>18</v>
      </c>
      <c r="G2044">
        <v>20.5</v>
      </c>
      <c r="H2044" t="s">
        <v>5617</v>
      </c>
      <c r="I2044">
        <v>0</v>
      </c>
      <c r="J2044" t="s">
        <v>87</v>
      </c>
      <c r="K2044">
        <v>0</v>
      </c>
      <c r="L2044">
        <v>0</v>
      </c>
    </row>
    <row r="2045" spans="1:12">
      <c r="A2045" s="93">
        <v>192323</v>
      </c>
      <c r="B2045" t="s">
        <v>2584</v>
      </c>
      <c r="C2045" t="s">
        <v>5602</v>
      </c>
      <c r="D2045" s="92">
        <v>0.6899999999999999</v>
      </c>
      <c r="E2045" s="92">
        <v>0.5600000000000001</v>
      </c>
      <c r="F2045">
        <v>22</v>
      </c>
      <c r="G2045">
        <v>25</v>
      </c>
      <c r="H2045" t="s">
        <v>5617</v>
      </c>
      <c r="I2045">
        <v>0</v>
      </c>
      <c r="J2045" t="s">
        <v>87</v>
      </c>
      <c r="K2045">
        <v>0</v>
      </c>
      <c r="L2045">
        <v>0</v>
      </c>
    </row>
    <row r="2046" spans="1:12">
      <c r="A2046" s="93">
        <v>192439</v>
      </c>
      <c r="B2046" t="s">
        <v>2585</v>
      </c>
      <c r="C2046" t="s">
        <v>5602</v>
      </c>
      <c r="D2046" s="92">
        <v>0.28</v>
      </c>
      <c r="E2046" s="92">
        <v>0.22</v>
      </c>
      <c r="F2046" t="s">
        <v>428</v>
      </c>
      <c r="G2046" t="s">
        <v>428</v>
      </c>
      <c r="H2046" t="s">
        <v>5617</v>
      </c>
      <c r="I2046">
        <v>0</v>
      </c>
      <c r="J2046" t="s">
        <v>87</v>
      </c>
      <c r="K2046">
        <v>0</v>
      </c>
      <c r="L2046">
        <v>0</v>
      </c>
    </row>
    <row r="2047" spans="1:12">
      <c r="A2047" s="93">
        <v>192448</v>
      </c>
      <c r="B2047" t="s">
        <v>2586</v>
      </c>
      <c r="C2047" t="s">
        <v>5602</v>
      </c>
      <c r="D2047" s="92">
        <v>0.45</v>
      </c>
      <c r="E2047" s="92">
        <v>0.33</v>
      </c>
      <c r="F2047">
        <v>21</v>
      </c>
      <c r="G2047">
        <v>23.5</v>
      </c>
      <c r="H2047" t="s">
        <v>5617</v>
      </c>
      <c r="I2047">
        <v>0</v>
      </c>
      <c r="J2047" t="s">
        <v>87</v>
      </c>
      <c r="K2047">
        <v>0</v>
      </c>
      <c r="L2047">
        <v>0</v>
      </c>
    </row>
    <row r="2048" spans="1:12">
      <c r="A2048" s="93">
        <v>192509</v>
      </c>
      <c r="B2048" t="s">
        <v>2587</v>
      </c>
      <c r="C2048" t="s">
        <v>5609</v>
      </c>
      <c r="D2048" s="92" t="s">
        <v>428</v>
      </c>
      <c r="E2048" s="92" t="s">
        <v>428</v>
      </c>
      <c r="F2048" t="s">
        <v>428</v>
      </c>
      <c r="G2048" t="s">
        <v>428</v>
      </c>
      <c r="H2048" t="s">
        <v>5616</v>
      </c>
      <c r="I2048">
        <v>0</v>
      </c>
      <c r="J2048" t="s">
        <v>87</v>
      </c>
      <c r="K2048">
        <v>0</v>
      </c>
      <c r="L2048">
        <v>0</v>
      </c>
    </row>
    <row r="2049" spans="1:12">
      <c r="A2049" s="93">
        <v>192554</v>
      </c>
      <c r="B2049" t="s">
        <v>2588</v>
      </c>
      <c r="C2049" t="s">
        <v>5607</v>
      </c>
      <c r="D2049" s="92" t="s">
        <v>428</v>
      </c>
      <c r="E2049" s="92" t="s">
        <v>428</v>
      </c>
      <c r="F2049" t="s">
        <v>428</v>
      </c>
      <c r="G2049" t="s">
        <v>428</v>
      </c>
      <c r="H2049" t="s">
        <v>5615</v>
      </c>
      <c r="I2049">
        <v>0</v>
      </c>
      <c r="J2049" t="s">
        <v>87</v>
      </c>
      <c r="K2049">
        <v>0</v>
      </c>
      <c r="L2049">
        <v>0</v>
      </c>
    </row>
    <row r="2050" spans="1:12">
      <c r="A2050" s="93">
        <v>192563</v>
      </c>
      <c r="B2050" t="s">
        <v>2589</v>
      </c>
      <c r="C2050" t="s">
        <v>5607</v>
      </c>
      <c r="D2050" s="92" t="s">
        <v>428</v>
      </c>
      <c r="E2050" s="92" t="s">
        <v>428</v>
      </c>
      <c r="F2050" t="s">
        <v>428</v>
      </c>
      <c r="G2050" t="s">
        <v>428</v>
      </c>
      <c r="H2050" t="s">
        <v>5615</v>
      </c>
      <c r="I2050">
        <v>0</v>
      </c>
      <c r="J2050" t="s">
        <v>87</v>
      </c>
      <c r="K2050">
        <v>0</v>
      </c>
      <c r="L2050">
        <v>0</v>
      </c>
    </row>
    <row r="2051" spans="1:12">
      <c r="A2051" s="93">
        <v>192624</v>
      </c>
      <c r="B2051" t="s">
        <v>2590</v>
      </c>
      <c r="C2051" t="s">
        <v>5607</v>
      </c>
      <c r="D2051" s="92">
        <v>0.31</v>
      </c>
      <c r="E2051" s="92" t="s">
        <v>428</v>
      </c>
      <c r="F2051" t="s">
        <v>428</v>
      </c>
      <c r="G2051" t="s">
        <v>428</v>
      </c>
      <c r="H2051" t="s">
        <v>5616</v>
      </c>
      <c r="I2051">
        <v>0</v>
      </c>
      <c r="J2051" t="s">
        <v>87</v>
      </c>
      <c r="K2051">
        <v>0</v>
      </c>
      <c r="L2051">
        <v>0</v>
      </c>
    </row>
    <row r="2052" spans="1:12">
      <c r="A2052" s="93">
        <v>192688</v>
      </c>
      <c r="B2052" t="s">
        <v>2591</v>
      </c>
      <c r="C2052" t="s">
        <v>5606</v>
      </c>
      <c r="D2052" s="92" t="s">
        <v>428</v>
      </c>
      <c r="E2052" s="92" t="s">
        <v>428</v>
      </c>
      <c r="F2052" t="s">
        <v>428</v>
      </c>
      <c r="G2052" t="s">
        <v>428</v>
      </c>
      <c r="H2052" t="s">
        <v>5617</v>
      </c>
      <c r="I2052">
        <v>0</v>
      </c>
      <c r="J2052" t="s">
        <v>87</v>
      </c>
      <c r="K2052">
        <v>0</v>
      </c>
      <c r="L2052">
        <v>0</v>
      </c>
    </row>
    <row r="2053" spans="1:12">
      <c r="A2053" s="93">
        <v>192703</v>
      </c>
      <c r="B2053" t="s">
        <v>2592</v>
      </c>
      <c r="C2053" t="s">
        <v>5602</v>
      </c>
      <c r="D2053" s="92">
        <v>0.73</v>
      </c>
      <c r="E2053" s="92">
        <v>0.67</v>
      </c>
      <c r="F2053">
        <v>23</v>
      </c>
      <c r="G2053">
        <v>25.5</v>
      </c>
      <c r="H2053" t="s">
        <v>5617</v>
      </c>
      <c r="I2053">
        <v>0</v>
      </c>
      <c r="J2053" t="s">
        <v>87</v>
      </c>
      <c r="K2053">
        <v>0</v>
      </c>
      <c r="L2053">
        <v>0</v>
      </c>
    </row>
    <row r="2054" spans="1:12">
      <c r="A2054" s="93">
        <v>192712</v>
      </c>
      <c r="B2054" t="s">
        <v>2593</v>
      </c>
      <c r="C2054" t="s">
        <v>5610</v>
      </c>
      <c r="D2054" s="92">
        <v>1</v>
      </c>
      <c r="E2054" s="92">
        <v>1</v>
      </c>
      <c r="F2054" t="s">
        <v>428</v>
      </c>
      <c r="G2054" t="s">
        <v>428</v>
      </c>
      <c r="H2054" t="s">
        <v>5618</v>
      </c>
      <c r="I2054">
        <v>0</v>
      </c>
      <c r="J2054" t="s">
        <v>87</v>
      </c>
      <c r="K2054">
        <v>0</v>
      </c>
      <c r="L2054">
        <v>0</v>
      </c>
    </row>
    <row r="2055" spans="1:12">
      <c r="A2055" s="93">
        <v>192749</v>
      </c>
      <c r="B2055" t="s">
        <v>2594</v>
      </c>
      <c r="C2055" t="s">
        <v>5602</v>
      </c>
      <c r="D2055" s="92">
        <v>0.5600000000000001</v>
      </c>
      <c r="E2055" s="92">
        <v>0.55</v>
      </c>
      <c r="F2055" t="s">
        <v>428</v>
      </c>
      <c r="G2055" t="s">
        <v>428</v>
      </c>
      <c r="H2055" t="s">
        <v>5617</v>
      </c>
      <c r="I2055">
        <v>0</v>
      </c>
      <c r="J2055" t="s">
        <v>87</v>
      </c>
      <c r="K2055">
        <v>0</v>
      </c>
      <c r="L2055">
        <v>0</v>
      </c>
    </row>
    <row r="2056" spans="1:12">
      <c r="A2056" s="93">
        <v>192785</v>
      </c>
      <c r="B2056" t="s">
        <v>2595</v>
      </c>
      <c r="C2056" t="s">
        <v>5607</v>
      </c>
      <c r="D2056" s="92" t="s">
        <v>428</v>
      </c>
      <c r="E2056" s="92" t="s">
        <v>428</v>
      </c>
      <c r="F2056" t="s">
        <v>428</v>
      </c>
      <c r="G2056" t="s">
        <v>428</v>
      </c>
      <c r="H2056" t="s">
        <v>5624</v>
      </c>
      <c r="I2056">
        <v>1</v>
      </c>
      <c r="J2056" t="s">
        <v>87</v>
      </c>
      <c r="K2056">
        <v>0</v>
      </c>
      <c r="L2056">
        <v>0</v>
      </c>
    </row>
    <row r="2057" spans="1:12">
      <c r="A2057" s="93">
        <v>192819</v>
      </c>
      <c r="B2057" t="s">
        <v>580</v>
      </c>
      <c r="C2057" t="s">
        <v>5603</v>
      </c>
      <c r="D2057" s="92">
        <v>0.83</v>
      </c>
      <c r="E2057" s="92">
        <v>0.79</v>
      </c>
      <c r="F2057" t="s">
        <v>428</v>
      </c>
      <c r="G2057" t="s">
        <v>428</v>
      </c>
      <c r="H2057" t="s">
        <v>5617</v>
      </c>
      <c r="I2057">
        <v>0</v>
      </c>
      <c r="J2057" t="s">
        <v>87</v>
      </c>
      <c r="K2057">
        <v>0</v>
      </c>
      <c r="L2057">
        <v>0</v>
      </c>
    </row>
    <row r="2058" spans="1:12">
      <c r="A2058" s="93">
        <v>192864</v>
      </c>
      <c r="B2058" t="s">
        <v>2596</v>
      </c>
      <c r="C2058" t="s">
        <v>5603</v>
      </c>
      <c r="D2058" s="92">
        <v>0.43</v>
      </c>
      <c r="E2058" s="92">
        <v>0.4</v>
      </c>
      <c r="F2058">
        <v>22</v>
      </c>
      <c r="G2058">
        <v>24.5</v>
      </c>
      <c r="H2058" t="s">
        <v>5617</v>
      </c>
      <c r="I2058">
        <v>0</v>
      </c>
      <c r="J2058" t="s">
        <v>87</v>
      </c>
      <c r="K2058">
        <v>0</v>
      </c>
      <c r="L2058">
        <v>0</v>
      </c>
    </row>
    <row r="2059" spans="1:12">
      <c r="A2059" s="93">
        <v>192925</v>
      </c>
      <c r="B2059" t="s">
        <v>2597</v>
      </c>
      <c r="C2059" t="s">
        <v>5602</v>
      </c>
      <c r="D2059" s="92">
        <v>0.42</v>
      </c>
      <c r="E2059" s="92">
        <v>0.28</v>
      </c>
      <c r="F2059">
        <v>19</v>
      </c>
      <c r="G2059">
        <v>21</v>
      </c>
      <c r="H2059" t="s">
        <v>5616</v>
      </c>
      <c r="I2059">
        <v>0</v>
      </c>
      <c r="J2059" t="s">
        <v>87</v>
      </c>
      <c r="K2059">
        <v>0</v>
      </c>
      <c r="L2059">
        <v>0</v>
      </c>
    </row>
    <row r="2060" spans="1:12">
      <c r="A2060" s="93">
        <v>192961</v>
      </c>
      <c r="B2060" t="s">
        <v>2598</v>
      </c>
      <c r="C2060" t="s">
        <v>5606</v>
      </c>
      <c r="D2060" s="92">
        <v>0.67</v>
      </c>
      <c r="E2060" s="92" t="s">
        <v>428</v>
      </c>
      <c r="F2060" t="s">
        <v>428</v>
      </c>
      <c r="G2060" t="s">
        <v>428</v>
      </c>
      <c r="H2060" t="s">
        <v>5617</v>
      </c>
      <c r="I2060">
        <v>0</v>
      </c>
      <c r="J2060" t="s">
        <v>87</v>
      </c>
      <c r="K2060">
        <v>0</v>
      </c>
      <c r="L2060">
        <v>0</v>
      </c>
    </row>
    <row r="2061" spans="1:12">
      <c r="A2061" s="93">
        <v>192970</v>
      </c>
      <c r="B2061" t="s">
        <v>2599</v>
      </c>
      <c r="C2061" t="s">
        <v>5606</v>
      </c>
      <c r="D2061" s="92" t="s">
        <v>428</v>
      </c>
      <c r="E2061" s="92" t="s">
        <v>428</v>
      </c>
      <c r="F2061" t="s">
        <v>428</v>
      </c>
      <c r="G2061" t="s">
        <v>428</v>
      </c>
      <c r="H2061" t="s">
        <v>5615</v>
      </c>
      <c r="I2061">
        <v>0</v>
      </c>
      <c r="J2061" t="s">
        <v>87</v>
      </c>
      <c r="K2061">
        <v>0</v>
      </c>
      <c r="L2061">
        <v>0</v>
      </c>
    </row>
    <row r="2062" spans="1:12">
      <c r="A2062" s="93">
        <v>193016</v>
      </c>
      <c r="B2062" t="s">
        <v>2600</v>
      </c>
      <c r="C2062" t="s">
        <v>5602</v>
      </c>
      <c r="D2062" s="92">
        <v>0.37</v>
      </c>
      <c r="E2062" s="92">
        <v>0.31</v>
      </c>
      <c r="F2062" t="s">
        <v>428</v>
      </c>
      <c r="G2062" t="s">
        <v>428</v>
      </c>
      <c r="H2062" t="s">
        <v>5616</v>
      </c>
      <c r="I2062">
        <v>0</v>
      </c>
      <c r="J2062" t="s">
        <v>87</v>
      </c>
      <c r="K2062">
        <v>0</v>
      </c>
      <c r="L2062">
        <v>0</v>
      </c>
    </row>
    <row r="2063" spans="1:12">
      <c r="A2063" s="93">
        <v>193052</v>
      </c>
      <c r="B2063" t="s">
        <v>2601</v>
      </c>
      <c r="C2063" t="s">
        <v>5607</v>
      </c>
      <c r="D2063" s="92">
        <v>0.36</v>
      </c>
      <c r="E2063" s="92" t="s">
        <v>428</v>
      </c>
      <c r="F2063" t="s">
        <v>428</v>
      </c>
      <c r="G2063" t="s">
        <v>428</v>
      </c>
      <c r="H2063" t="s">
        <v>5615</v>
      </c>
      <c r="I2063">
        <v>0</v>
      </c>
      <c r="J2063" t="s">
        <v>87</v>
      </c>
      <c r="K2063">
        <v>0</v>
      </c>
      <c r="L2063">
        <v>0</v>
      </c>
    </row>
    <row r="2064" spans="1:12">
      <c r="A2064" s="93">
        <v>193061</v>
      </c>
      <c r="B2064" t="s">
        <v>2602</v>
      </c>
      <c r="C2064" t="s">
        <v>5607</v>
      </c>
      <c r="D2064" s="92">
        <v>0.1</v>
      </c>
      <c r="E2064" s="92" t="s">
        <v>428</v>
      </c>
      <c r="F2064" t="s">
        <v>428</v>
      </c>
      <c r="G2064" t="s">
        <v>428</v>
      </c>
      <c r="H2064" t="s">
        <v>5624</v>
      </c>
      <c r="I2064">
        <v>1</v>
      </c>
      <c r="J2064" t="s">
        <v>87</v>
      </c>
      <c r="K2064">
        <v>0</v>
      </c>
      <c r="L2064">
        <v>0</v>
      </c>
    </row>
    <row r="2065" spans="1:12">
      <c r="A2065" s="93">
        <v>193070</v>
      </c>
      <c r="B2065" t="s">
        <v>2603</v>
      </c>
      <c r="C2065" t="s">
        <v>5607</v>
      </c>
      <c r="D2065" s="92">
        <v>0.21</v>
      </c>
      <c r="E2065" s="92" t="s">
        <v>428</v>
      </c>
      <c r="F2065" t="s">
        <v>428</v>
      </c>
      <c r="G2065" t="s">
        <v>428</v>
      </c>
      <c r="H2065" t="s">
        <v>5613</v>
      </c>
      <c r="I2065">
        <v>1</v>
      </c>
      <c r="J2065" t="s">
        <v>87</v>
      </c>
      <c r="K2065">
        <v>0</v>
      </c>
      <c r="L2065">
        <v>0</v>
      </c>
    </row>
    <row r="2066" spans="1:12">
      <c r="A2066" s="93">
        <v>193201</v>
      </c>
      <c r="B2066" t="s">
        <v>2604</v>
      </c>
      <c r="C2066" t="s">
        <v>5606</v>
      </c>
      <c r="D2066" s="92" t="s">
        <v>428</v>
      </c>
      <c r="E2066" s="92" t="s">
        <v>428</v>
      </c>
      <c r="F2066" t="s">
        <v>428</v>
      </c>
      <c r="G2066" t="s">
        <v>428</v>
      </c>
      <c r="H2066" t="s">
        <v>5617</v>
      </c>
      <c r="I2066">
        <v>0</v>
      </c>
      <c r="J2066" t="s">
        <v>87</v>
      </c>
      <c r="K2066">
        <v>0</v>
      </c>
      <c r="L2066">
        <v>0</v>
      </c>
    </row>
    <row r="2067" spans="1:12">
      <c r="A2067" s="93">
        <v>193247</v>
      </c>
      <c r="B2067" t="s">
        <v>2605</v>
      </c>
      <c r="C2067" t="s">
        <v>5607</v>
      </c>
      <c r="D2067" s="92">
        <v>0.08</v>
      </c>
      <c r="E2067" s="92" t="s">
        <v>428</v>
      </c>
      <c r="F2067" t="s">
        <v>428</v>
      </c>
      <c r="G2067" t="s">
        <v>428</v>
      </c>
      <c r="H2067" t="s">
        <v>5624</v>
      </c>
      <c r="I2067">
        <v>1</v>
      </c>
      <c r="J2067" t="s">
        <v>87</v>
      </c>
      <c r="K2067">
        <v>0</v>
      </c>
      <c r="L2067">
        <v>0</v>
      </c>
    </row>
    <row r="2068" spans="1:12">
      <c r="A2068" s="93">
        <v>193283</v>
      </c>
      <c r="B2068" t="s">
        <v>2606</v>
      </c>
      <c r="C2068" t="s">
        <v>5606</v>
      </c>
      <c r="D2068" s="92">
        <v>0.38</v>
      </c>
      <c r="E2068" s="92">
        <v>0.29</v>
      </c>
      <c r="F2068" t="s">
        <v>428</v>
      </c>
      <c r="G2068" t="s">
        <v>428</v>
      </c>
      <c r="H2068" t="s">
        <v>5615</v>
      </c>
      <c r="I2068">
        <v>0</v>
      </c>
      <c r="J2068" t="s">
        <v>87</v>
      </c>
      <c r="K2068">
        <v>0</v>
      </c>
      <c r="L2068">
        <v>0</v>
      </c>
    </row>
    <row r="2069" spans="1:12">
      <c r="A2069" s="93">
        <v>193292</v>
      </c>
      <c r="B2069" t="s">
        <v>2607</v>
      </c>
      <c r="C2069" t="s">
        <v>5602</v>
      </c>
      <c r="D2069" s="92">
        <v>0.72</v>
      </c>
      <c r="E2069" s="92">
        <v>0.62</v>
      </c>
      <c r="F2069">
        <v>21</v>
      </c>
      <c r="G2069">
        <v>23.5</v>
      </c>
      <c r="H2069" t="s">
        <v>5617</v>
      </c>
      <c r="I2069">
        <v>0</v>
      </c>
      <c r="J2069" t="s">
        <v>87</v>
      </c>
      <c r="K2069">
        <v>0</v>
      </c>
      <c r="L2069">
        <v>0</v>
      </c>
    </row>
    <row r="2070" spans="1:12">
      <c r="A2070" s="93">
        <v>193308</v>
      </c>
      <c r="B2070" t="s">
        <v>2608</v>
      </c>
      <c r="C2070" t="s">
        <v>5602</v>
      </c>
      <c r="D2070" s="92">
        <v>0.7</v>
      </c>
      <c r="E2070" s="92">
        <v>0.7</v>
      </c>
      <c r="F2070" t="s">
        <v>428</v>
      </c>
      <c r="G2070" t="s">
        <v>428</v>
      </c>
      <c r="H2070" t="s">
        <v>5616</v>
      </c>
      <c r="I2070">
        <v>0</v>
      </c>
      <c r="J2070" t="s">
        <v>87</v>
      </c>
      <c r="K2070">
        <v>0</v>
      </c>
      <c r="L2070">
        <v>0</v>
      </c>
    </row>
    <row r="2071" spans="1:12">
      <c r="A2071" s="93">
        <v>193326</v>
      </c>
      <c r="B2071" t="s">
        <v>2609</v>
      </c>
      <c r="C2071" t="s">
        <v>5606</v>
      </c>
      <c r="D2071" s="92">
        <v>0.32</v>
      </c>
      <c r="E2071" s="92">
        <v>0.18</v>
      </c>
      <c r="F2071" t="s">
        <v>428</v>
      </c>
      <c r="G2071" t="s">
        <v>428</v>
      </c>
      <c r="H2071" t="s">
        <v>5615</v>
      </c>
      <c r="I2071">
        <v>0</v>
      </c>
      <c r="J2071" t="s">
        <v>87</v>
      </c>
      <c r="K2071">
        <v>0</v>
      </c>
      <c r="L2071">
        <v>0</v>
      </c>
    </row>
    <row r="2072" spans="1:12">
      <c r="A2072" s="93">
        <v>193353</v>
      </c>
      <c r="B2072" t="s">
        <v>2610</v>
      </c>
      <c r="C2072" t="s">
        <v>5602</v>
      </c>
      <c r="D2072" s="92">
        <v>0.57</v>
      </c>
      <c r="E2072" s="92">
        <v>0.57</v>
      </c>
      <c r="F2072">
        <v>20</v>
      </c>
      <c r="G2072">
        <v>22</v>
      </c>
      <c r="H2072" t="s">
        <v>5617</v>
      </c>
      <c r="I2072">
        <v>0</v>
      </c>
      <c r="J2072" t="s">
        <v>87</v>
      </c>
      <c r="K2072">
        <v>0</v>
      </c>
      <c r="L2072">
        <v>0</v>
      </c>
    </row>
    <row r="2073" spans="1:12">
      <c r="A2073" s="93">
        <v>193399</v>
      </c>
      <c r="B2073" t="s">
        <v>2611</v>
      </c>
      <c r="C2073" t="s">
        <v>5602</v>
      </c>
      <c r="D2073" s="92">
        <v>0.55</v>
      </c>
      <c r="E2073" s="92">
        <v>0.49</v>
      </c>
      <c r="F2073">
        <v>14</v>
      </c>
      <c r="G2073">
        <v>16</v>
      </c>
      <c r="H2073" t="s">
        <v>5616</v>
      </c>
      <c r="I2073">
        <v>0</v>
      </c>
      <c r="J2073" t="s">
        <v>87</v>
      </c>
      <c r="K2073">
        <v>0</v>
      </c>
      <c r="L2073">
        <v>0</v>
      </c>
    </row>
    <row r="2074" spans="1:12">
      <c r="A2074" s="93">
        <v>193405</v>
      </c>
      <c r="B2074" t="s">
        <v>2612</v>
      </c>
      <c r="C2074" t="s">
        <v>5607</v>
      </c>
      <c r="D2074" s="92" t="s">
        <v>428</v>
      </c>
      <c r="E2074" s="92" t="s">
        <v>428</v>
      </c>
      <c r="F2074" t="s">
        <v>428</v>
      </c>
      <c r="G2074" t="s">
        <v>428</v>
      </c>
      <c r="H2074" t="s">
        <v>5615</v>
      </c>
      <c r="I2074">
        <v>0</v>
      </c>
      <c r="J2074" t="s">
        <v>87</v>
      </c>
      <c r="K2074">
        <v>0</v>
      </c>
      <c r="L2074">
        <v>0</v>
      </c>
    </row>
    <row r="2075" spans="1:12">
      <c r="A2075" s="93">
        <v>193478</v>
      </c>
      <c r="B2075" t="s">
        <v>2613</v>
      </c>
      <c r="C2075" t="s">
        <v>5606</v>
      </c>
      <c r="D2075" s="92">
        <v>0.32</v>
      </c>
      <c r="E2075" s="92">
        <v>0.26</v>
      </c>
      <c r="F2075" t="s">
        <v>428</v>
      </c>
      <c r="G2075" t="s">
        <v>428</v>
      </c>
      <c r="H2075" t="s">
        <v>5615</v>
      </c>
      <c r="I2075">
        <v>0</v>
      </c>
      <c r="J2075" t="s">
        <v>87</v>
      </c>
      <c r="K2075">
        <v>0</v>
      </c>
      <c r="L2075">
        <v>0</v>
      </c>
    </row>
    <row r="2076" spans="1:12">
      <c r="A2076" s="93">
        <v>193584</v>
      </c>
      <c r="B2076" t="s">
        <v>2614</v>
      </c>
      <c r="C2076" t="s">
        <v>5602</v>
      </c>
      <c r="D2076" s="92">
        <v>0.72</v>
      </c>
      <c r="E2076" s="92">
        <v>0.58</v>
      </c>
      <c r="F2076" t="s">
        <v>428</v>
      </c>
      <c r="G2076" t="s">
        <v>428</v>
      </c>
      <c r="H2076" t="s">
        <v>5617</v>
      </c>
      <c r="I2076">
        <v>0</v>
      </c>
      <c r="J2076" t="s">
        <v>87</v>
      </c>
      <c r="K2076">
        <v>0</v>
      </c>
      <c r="L2076">
        <v>0</v>
      </c>
    </row>
    <row r="2077" spans="1:12">
      <c r="A2077" s="93">
        <v>193609</v>
      </c>
      <c r="B2077" t="s">
        <v>2615</v>
      </c>
      <c r="C2077" t="s">
        <v>5609</v>
      </c>
      <c r="D2077" s="92" t="s">
        <v>428</v>
      </c>
      <c r="E2077" s="92" t="s">
        <v>428</v>
      </c>
      <c r="F2077" t="s">
        <v>428</v>
      </c>
      <c r="G2077" t="s">
        <v>428</v>
      </c>
      <c r="H2077" t="s">
        <v>5617</v>
      </c>
      <c r="I2077">
        <v>0</v>
      </c>
      <c r="J2077" t="s">
        <v>87</v>
      </c>
      <c r="K2077">
        <v>0</v>
      </c>
      <c r="L2077">
        <v>0</v>
      </c>
    </row>
    <row r="2078" spans="1:12">
      <c r="A2078" s="93">
        <v>193645</v>
      </c>
      <c r="B2078" t="s">
        <v>2616</v>
      </c>
      <c r="C2078" t="s">
        <v>5603</v>
      </c>
      <c r="D2078" s="92">
        <v>0.31</v>
      </c>
      <c r="E2078" s="92">
        <v>0.3</v>
      </c>
      <c r="F2078">
        <v>15</v>
      </c>
      <c r="G2078">
        <v>17</v>
      </c>
      <c r="H2078" t="s">
        <v>5617</v>
      </c>
      <c r="I2078">
        <v>0</v>
      </c>
      <c r="J2078" t="s">
        <v>87</v>
      </c>
      <c r="K2078">
        <v>0</v>
      </c>
      <c r="L2078">
        <v>0</v>
      </c>
    </row>
    <row r="2079" spans="1:12">
      <c r="A2079" s="93">
        <v>193654</v>
      </c>
      <c r="B2079" t="s">
        <v>2617</v>
      </c>
      <c r="C2079" t="s">
        <v>5602</v>
      </c>
      <c r="D2079" s="92">
        <v>0.68</v>
      </c>
      <c r="E2079" s="92">
        <v>0.6</v>
      </c>
      <c r="F2079">
        <v>20</v>
      </c>
      <c r="G2079">
        <v>23.5</v>
      </c>
      <c r="H2079" t="s">
        <v>5617</v>
      </c>
      <c r="I2079">
        <v>0</v>
      </c>
      <c r="J2079" t="s">
        <v>87</v>
      </c>
      <c r="K2079">
        <v>0</v>
      </c>
      <c r="L2079">
        <v>0</v>
      </c>
    </row>
    <row r="2080" spans="1:12">
      <c r="A2080" s="93">
        <v>193751</v>
      </c>
      <c r="B2080" t="s">
        <v>2618</v>
      </c>
      <c r="C2080" t="s">
        <v>5607</v>
      </c>
      <c r="D2080" s="92" t="s">
        <v>428</v>
      </c>
      <c r="E2080" s="92" t="s">
        <v>428</v>
      </c>
      <c r="F2080" t="s">
        <v>428</v>
      </c>
      <c r="G2080" t="s">
        <v>428</v>
      </c>
      <c r="H2080" t="s">
        <v>5615</v>
      </c>
      <c r="I2080">
        <v>0</v>
      </c>
      <c r="J2080" t="s">
        <v>87</v>
      </c>
      <c r="K2080">
        <v>0</v>
      </c>
      <c r="L2080">
        <v>0</v>
      </c>
    </row>
    <row r="2081" spans="1:12">
      <c r="A2081" s="93">
        <v>193821</v>
      </c>
      <c r="B2081" t="s">
        <v>2619</v>
      </c>
      <c r="C2081" t="s">
        <v>5607</v>
      </c>
      <c r="D2081" s="92" t="s">
        <v>428</v>
      </c>
      <c r="E2081" s="92" t="s">
        <v>428</v>
      </c>
      <c r="F2081" t="s">
        <v>428</v>
      </c>
      <c r="G2081" t="s">
        <v>428</v>
      </c>
      <c r="H2081" t="s">
        <v>5615</v>
      </c>
      <c r="I2081">
        <v>0</v>
      </c>
      <c r="J2081" t="s">
        <v>87</v>
      </c>
      <c r="K2081">
        <v>0</v>
      </c>
      <c r="L2081">
        <v>0</v>
      </c>
    </row>
    <row r="2082" spans="1:12">
      <c r="A2082" s="93">
        <v>193830</v>
      </c>
      <c r="B2082" t="s">
        <v>2620</v>
      </c>
      <c r="C2082" t="s">
        <v>5607</v>
      </c>
      <c r="D2082" s="92" t="s">
        <v>428</v>
      </c>
      <c r="E2082" s="92" t="s">
        <v>428</v>
      </c>
      <c r="F2082" t="s">
        <v>428</v>
      </c>
      <c r="G2082" t="s">
        <v>428</v>
      </c>
      <c r="H2082" t="s">
        <v>5615</v>
      </c>
      <c r="I2082">
        <v>0</v>
      </c>
      <c r="J2082" t="s">
        <v>87</v>
      </c>
      <c r="K2082">
        <v>0</v>
      </c>
      <c r="L2082">
        <v>0</v>
      </c>
    </row>
    <row r="2083" spans="1:12">
      <c r="A2083" s="93">
        <v>193894</v>
      </c>
      <c r="B2083" t="s">
        <v>2621</v>
      </c>
      <c r="C2083" t="s">
        <v>5607</v>
      </c>
      <c r="D2083" s="92" t="s">
        <v>428</v>
      </c>
      <c r="E2083" s="92" t="s">
        <v>428</v>
      </c>
      <c r="F2083" t="s">
        <v>428</v>
      </c>
      <c r="G2083" t="s">
        <v>428</v>
      </c>
      <c r="H2083" t="s">
        <v>5615</v>
      </c>
      <c r="I2083">
        <v>0</v>
      </c>
      <c r="J2083" t="s">
        <v>87</v>
      </c>
      <c r="K2083">
        <v>0</v>
      </c>
      <c r="L2083">
        <v>0</v>
      </c>
    </row>
    <row r="2084" spans="1:12">
      <c r="A2084" s="93">
        <v>193900</v>
      </c>
      <c r="B2084" t="s">
        <v>2622</v>
      </c>
      <c r="C2084" t="s">
        <v>5612</v>
      </c>
      <c r="D2084" s="92">
        <v>0.85</v>
      </c>
      <c r="E2084" s="92">
        <v>0.85</v>
      </c>
      <c r="F2084">
        <v>29</v>
      </c>
      <c r="G2084">
        <v>31</v>
      </c>
      <c r="H2084" t="s">
        <v>5618</v>
      </c>
      <c r="I2084">
        <v>0</v>
      </c>
      <c r="J2084" t="s">
        <v>87</v>
      </c>
      <c r="K2084">
        <v>0</v>
      </c>
      <c r="L2084">
        <v>0</v>
      </c>
    </row>
    <row r="2085" spans="1:12">
      <c r="A2085" s="93">
        <v>193946</v>
      </c>
      <c r="B2085" t="s">
        <v>2623</v>
      </c>
      <c r="C2085" t="s">
        <v>5606</v>
      </c>
      <c r="D2085" s="92">
        <v>0.39</v>
      </c>
      <c r="E2085" s="92">
        <v>0.29</v>
      </c>
      <c r="F2085" t="s">
        <v>428</v>
      </c>
      <c r="G2085" t="s">
        <v>428</v>
      </c>
      <c r="H2085" t="s">
        <v>5615</v>
      </c>
      <c r="I2085">
        <v>0</v>
      </c>
      <c r="J2085" t="s">
        <v>87</v>
      </c>
      <c r="K2085">
        <v>0</v>
      </c>
      <c r="L2085">
        <v>0</v>
      </c>
    </row>
    <row r="2086" spans="1:12">
      <c r="A2086" s="93">
        <v>193973</v>
      </c>
      <c r="B2086" t="s">
        <v>2624</v>
      </c>
      <c r="C2086" t="s">
        <v>5602</v>
      </c>
      <c r="D2086" s="92">
        <v>0.64</v>
      </c>
      <c r="E2086" s="92">
        <v>0.5</v>
      </c>
      <c r="F2086">
        <v>21</v>
      </c>
      <c r="G2086">
        <v>23</v>
      </c>
      <c r="H2086" t="s">
        <v>5616</v>
      </c>
      <c r="I2086">
        <v>0</v>
      </c>
      <c r="J2086" t="s">
        <v>87</v>
      </c>
      <c r="K2086">
        <v>0</v>
      </c>
      <c r="L2086">
        <v>0</v>
      </c>
    </row>
    <row r="2087" spans="1:12">
      <c r="A2087" s="93">
        <v>194028</v>
      </c>
      <c r="B2087" t="s">
        <v>2625</v>
      </c>
      <c r="C2087" t="s">
        <v>5606</v>
      </c>
      <c r="D2087" s="92">
        <v>0.37</v>
      </c>
      <c r="E2087" s="92">
        <v>0.35</v>
      </c>
      <c r="F2087" t="s">
        <v>428</v>
      </c>
      <c r="G2087" t="s">
        <v>428</v>
      </c>
      <c r="H2087" t="s">
        <v>5615</v>
      </c>
      <c r="I2087">
        <v>0</v>
      </c>
      <c r="J2087" t="s">
        <v>87</v>
      </c>
      <c r="K2087">
        <v>0</v>
      </c>
      <c r="L2087">
        <v>0</v>
      </c>
    </row>
    <row r="2088" spans="1:12">
      <c r="A2088" s="93">
        <v>194073</v>
      </c>
      <c r="B2088" t="s">
        <v>2626</v>
      </c>
      <c r="C2088" t="s">
        <v>5607</v>
      </c>
      <c r="D2088" s="92" t="s">
        <v>428</v>
      </c>
      <c r="E2088" s="92" t="s">
        <v>428</v>
      </c>
      <c r="F2088" t="s">
        <v>428</v>
      </c>
      <c r="G2088" t="s">
        <v>428</v>
      </c>
      <c r="H2088" t="s">
        <v>5615</v>
      </c>
      <c r="I2088">
        <v>0</v>
      </c>
      <c r="J2088" t="s">
        <v>87</v>
      </c>
      <c r="K2088">
        <v>0</v>
      </c>
      <c r="L2088">
        <v>0</v>
      </c>
    </row>
    <row r="2089" spans="1:12">
      <c r="A2089" s="93">
        <v>194091</v>
      </c>
      <c r="B2089" t="s">
        <v>2627</v>
      </c>
      <c r="C2089" t="s">
        <v>5602</v>
      </c>
      <c r="D2089" s="92">
        <v>0.45</v>
      </c>
      <c r="E2089" s="92">
        <v>0.34</v>
      </c>
      <c r="F2089">
        <v>22</v>
      </c>
      <c r="G2089">
        <v>24.5</v>
      </c>
      <c r="H2089" t="s">
        <v>5617</v>
      </c>
      <c r="I2089">
        <v>0</v>
      </c>
      <c r="J2089" t="s">
        <v>87</v>
      </c>
      <c r="K2089">
        <v>0</v>
      </c>
      <c r="L2089">
        <v>0</v>
      </c>
    </row>
    <row r="2090" spans="1:12">
      <c r="A2090" s="93">
        <v>194116</v>
      </c>
      <c r="B2090" t="s">
        <v>2628</v>
      </c>
      <c r="C2090" t="s">
        <v>5608</v>
      </c>
      <c r="D2090" s="92">
        <v>0.76</v>
      </c>
      <c r="E2090" s="92">
        <v>0.5</v>
      </c>
      <c r="F2090">
        <v>16</v>
      </c>
      <c r="G2090">
        <v>18.5</v>
      </c>
      <c r="H2090" t="s">
        <v>5617</v>
      </c>
      <c r="I2090">
        <v>0</v>
      </c>
      <c r="J2090" t="s">
        <v>87</v>
      </c>
      <c r="K2090">
        <v>0</v>
      </c>
      <c r="L2090">
        <v>0</v>
      </c>
    </row>
    <row r="2091" spans="1:12">
      <c r="A2091" s="93">
        <v>194161</v>
      </c>
      <c r="B2091" t="s">
        <v>2629</v>
      </c>
      <c r="C2091" t="s">
        <v>5604</v>
      </c>
      <c r="D2091" s="92">
        <v>0.43</v>
      </c>
      <c r="E2091" s="92">
        <v>0.32</v>
      </c>
      <c r="F2091">
        <v>18</v>
      </c>
      <c r="G2091">
        <v>21.5</v>
      </c>
      <c r="H2091" t="s">
        <v>5616</v>
      </c>
      <c r="I2091">
        <v>0</v>
      </c>
      <c r="J2091" t="s">
        <v>87</v>
      </c>
      <c r="K2091">
        <v>0</v>
      </c>
      <c r="L2091">
        <v>0</v>
      </c>
    </row>
    <row r="2092" spans="1:12">
      <c r="A2092" s="93">
        <v>194189</v>
      </c>
      <c r="B2092" t="s">
        <v>2630</v>
      </c>
      <c r="C2092" t="s">
        <v>5607</v>
      </c>
      <c r="D2092" s="92">
        <v>0.14</v>
      </c>
      <c r="E2092" s="92" t="s">
        <v>428</v>
      </c>
      <c r="F2092" t="s">
        <v>428</v>
      </c>
      <c r="G2092" t="s">
        <v>428</v>
      </c>
      <c r="H2092" t="s">
        <v>5615</v>
      </c>
      <c r="I2092">
        <v>0</v>
      </c>
      <c r="J2092" t="s">
        <v>87</v>
      </c>
      <c r="K2092">
        <v>0</v>
      </c>
      <c r="L2092">
        <v>0</v>
      </c>
    </row>
    <row r="2093" spans="1:12">
      <c r="A2093" s="93">
        <v>194222</v>
      </c>
      <c r="B2093" t="s">
        <v>2631</v>
      </c>
      <c r="C2093" t="s">
        <v>5606</v>
      </c>
      <c r="D2093" s="92">
        <v>0.32</v>
      </c>
      <c r="E2093" s="92">
        <v>0.25</v>
      </c>
      <c r="F2093" t="s">
        <v>428</v>
      </c>
      <c r="G2093" t="s">
        <v>428</v>
      </c>
      <c r="H2093" t="s">
        <v>5615</v>
      </c>
      <c r="I2093">
        <v>0</v>
      </c>
      <c r="J2093" t="s">
        <v>87</v>
      </c>
      <c r="K2093">
        <v>0</v>
      </c>
      <c r="L2093">
        <v>0</v>
      </c>
    </row>
    <row r="2094" spans="1:12">
      <c r="A2094" s="93">
        <v>194240</v>
      </c>
      <c r="B2094" t="s">
        <v>2632</v>
      </c>
      <c r="C2094" t="s">
        <v>5606</v>
      </c>
      <c r="D2094" s="92">
        <v>0.29</v>
      </c>
      <c r="E2094" s="92">
        <v>0.22</v>
      </c>
      <c r="F2094" t="s">
        <v>428</v>
      </c>
      <c r="G2094" t="s">
        <v>428</v>
      </c>
      <c r="H2094" t="s">
        <v>5615</v>
      </c>
      <c r="I2094">
        <v>0</v>
      </c>
      <c r="J2094" t="s">
        <v>87</v>
      </c>
      <c r="K2094">
        <v>0</v>
      </c>
      <c r="L2094">
        <v>0</v>
      </c>
    </row>
    <row r="2095" spans="1:12">
      <c r="A2095" s="93">
        <v>194310</v>
      </c>
      <c r="B2095" t="s">
        <v>2633</v>
      </c>
      <c r="C2095" t="s">
        <v>5602</v>
      </c>
      <c r="D2095" s="92">
        <v>0.59</v>
      </c>
      <c r="E2095" s="92">
        <v>0.51</v>
      </c>
      <c r="F2095">
        <v>21</v>
      </c>
      <c r="G2095">
        <v>24</v>
      </c>
      <c r="H2095" t="s">
        <v>5617</v>
      </c>
      <c r="I2095">
        <v>0</v>
      </c>
      <c r="J2095" t="s">
        <v>87</v>
      </c>
      <c r="K2095">
        <v>0</v>
      </c>
      <c r="L2095">
        <v>0</v>
      </c>
    </row>
    <row r="2096" spans="1:12">
      <c r="A2096" s="93">
        <v>194392</v>
      </c>
      <c r="B2096" t="s">
        <v>2634</v>
      </c>
      <c r="C2096" t="s">
        <v>5607</v>
      </c>
      <c r="D2096" s="92">
        <v>0.41</v>
      </c>
      <c r="E2096" s="92">
        <v>0.15</v>
      </c>
      <c r="F2096" t="s">
        <v>428</v>
      </c>
      <c r="G2096" t="s">
        <v>428</v>
      </c>
      <c r="H2096" t="s">
        <v>5617</v>
      </c>
      <c r="I2096">
        <v>0</v>
      </c>
      <c r="J2096" t="s">
        <v>87</v>
      </c>
      <c r="K2096">
        <v>0</v>
      </c>
      <c r="L2096">
        <v>0</v>
      </c>
    </row>
    <row r="2097" spans="1:12">
      <c r="A2097" s="93">
        <v>194499</v>
      </c>
      <c r="B2097" t="s">
        <v>2635</v>
      </c>
      <c r="C2097" t="s">
        <v>5607</v>
      </c>
      <c r="D2097" s="92" t="s">
        <v>428</v>
      </c>
      <c r="E2097" s="92" t="s">
        <v>428</v>
      </c>
      <c r="F2097" t="s">
        <v>428</v>
      </c>
      <c r="G2097" t="s">
        <v>428</v>
      </c>
      <c r="H2097" t="s">
        <v>5616</v>
      </c>
      <c r="I2097">
        <v>0</v>
      </c>
      <c r="J2097" t="s">
        <v>87</v>
      </c>
      <c r="K2097">
        <v>0</v>
      </c>
      <c r="L2097">
        <v>0</v>
      </c>
    </row>
    <row r="2098" spans="1:12">
      <c r="A2098" s="93">
        <v>194569</v>
      </c>
      <c r="B2098" t="s">
        <v>2636</v>
      </c>
      <c r="C2098" t="s">
        <v>5607</v>
      </c>
      <c r="D2098" s="92">
        <v>0.34</v>
      </c>
      <c r="E2098" s="92">
        <v>0.33</v>
      </c>
      <c r="F2098" t="s">
        <v>428</v>
      </c>
      <c r="G2098" t="s">
        <v>428</v>
      </c>
      <c r="H2098" t="s">
        <v>5613</v>
      </c>
      <c r="I2098">
        <v>1</v>
      </c>
      <c r="J2098" t="s">
        <v>87</v>
      </c>
      <c r="K2098">
        <v>0</v>
      </c>
      <c r="L2098">
        <v>0</v>
      </c>
    </row>
    <row r="2099" spans="1:12">
      <c r="A2099" s="93">
        <v>194578</v>
      </c>
      <c r="B2099" t="s">
        <v>2637</v>
      </c>
      <c r="C2099" t="s">
        <v>5603</v>
      </c>
      <c r="D2099" s="92">
        <v>0.66</v>
      </c>
      <c r="E2099" s="92">
        <v>0.59</v>
      </c>
      <c r="F2099">
        <v>24</v>
      </c>
      <c r="G2099">
        <v>27</v>
      </c>
      <c r="H2099" t="s">
        <v>5617</v>
      </c>
      <c r="I2099">
        <v>0</v>
      </c>
      <c r="J2099" t="s">
        <v>87</v>
      </c>
      <c r="K2099">
        <v>0</v>
      </c>
      <c r="L2099">
        <v>0</v>
      </c>
    </row>
    <row r="2100" spans="1:12">
      <c r="A2100" s="93">
        <v>194657</v>
      </c>
      <c r="B2100" t="s">
        <v>2638</v>
      </c>
      <c r="C2100" t="s">
        <v>5607</v>
      </c>
      <c r="D2100" s="92">
        <v>0.47</v>
      </c>
      <c r="E2100" s="92" t="s">
        <v>428</v>
      </c>
      <c r="F2100" t="s">
        <v>428</v>
      </c>
      <c r="G2100" t="s">
        <v>428</v>
      </c>
      <c r="H2100" t="s">
        <v>5614</v>
      </c>
      <c r="I2100">
        <v>1</v>
      </c>
      <c r="J2100" t="s">
        <v>87</v>
      </c>
      <c r="K2100">
        <v>0</v>
      </c>
      <c r="L2100">
        <v>0</v>
      </c>
    </row>
    <row r="2101" spans="1:12">
      <c r="A2101" s="93">
        <v>194666</v>
      </c>
      <c r="B2101" t="s">
        <v>2639</v>
      </c>
      <c r="C2101" t="s">
        <v>5604</v>
      </c>
      <c r="D2101" s="92">
        <v>0.82</v>
      </c>
      <c r="E2101" s="92" t="s">
        <v>428</v>
      </c>
      <c r="F2101" t="s">
        <v>428</v>
      </c>
      <c r="G2101" t="s">
        <v>428</v>
      </c>
      <c r="H2101" t="s">
        <v>5614</v>
      </c>
      <c r="I2101">
        <v>1</v>
      </c>
      <c r="J2101" t="s">
        <v>87</v>
      </c>
      <c r="K2101">
        <v>0</v>
      </c>
      <c r="L2101">
        <v>0</v>
      </c>
    </row>
    <row r="2102" spans="1:12">
      <c r="A2102" s="93">
        <v>194693</v>
      </c>
      <c r="B2102" t="s">
        <v>2640</v>
      </c>
      <c r="C2102" t="s">
        <v>5607</v>
      </c>
      <c r="D2102" s="92">
        <v>0.5</v>
      </c>
      <c r="E2102" s="92" t="s">
        <v>428</v>
      </c>
      <c r="F2102" t="s">
        <v>428</v>
      </c>
      <c r="G2102" t="s">
        <v>428</v>
      </c>
      <c r="H2102" t="s">
        <v>5614</v>
      </c>
      <c r="I2102">
        <v>1</v>
      </c>
      <c r="J2102" t="s">
        <v>87</v>
      </c>
      <c r="K2102">
        <v>0</v>
      </c>
      <c r="L2102">
        <v>0</v>
      </c>
    </row>
    <row r="2103" spans="1:12">
      <c r="A2103" s="93">
        <v>194736</v>
      </c>
      <c r="B2103" t="s">
        <v>2641</v>
      </c>
      <c r="C2103" t="s">
        <v>5607</v>
      </c>
      <c r="D2103" s="92">
        <v>0.12</v>
      </c>
      <c r="E2103" s="92" t="s">
        <v>428</v>
      </c>
      <c r="F2103" t="s">
        <v>428</v>
      </c>
      <c r="G2103" t="s">
        <v>428</v>
      </c>
      <c r="H2103" t="s">
        <v>5624</v>
      </c>
      <c r="I2103">
        <v>1</v>
      </c>
      <c r="J2103" t="s">
        <v>87</v>
      </c>
      <c r="K2103">
        <v>0</v>
      </c>
      <c r="L2103">
        <v>0</v>
      </c>
    </row>
    <row r="2104" spans="1:12">
      <c r="A2104" s="93">
        <v>194763</v>
      </c>
      <c r="B2104" t="s">
        <v>2642</v>
      </c>
      <c r="C2104" t="s">
        <v>5607</v>
      </c>
      <c r="D2104" s="92">
        <v>0.42</v>
      </c>
      <c r="E2104" s="92" t="s">
        <v>428</v>
      </c>
      <c r="F2104" t="s">
        <v>428</v>
      </c>
      <c r="G2104" t="s">
        <v>428</v>
      </c>
      <c r="H2104" t="s">
        <v>5624</v>
      </c>
      <c r="I2104">
        <v>1</v>
      </c>
      <c r="J2104" t="s">
        <v>87</v>
      </c>
      <c r="K2104">
        <v>0</v>
      </c>
      <c r="L2104">
        <v>0</v>
      </c>
    </row>
    <row r="2105" spans="1:12">
      <c r="A2105" s="93">
        <v>194824</v>
      </c>
      <c r="B2105" t="s">
        <v>2643</v>
      </c>
      <c r="C2105" t="s">
        <v>5612</v>
      </c>
      <c r="D2105" s="92">
        <v>0.82</v>
      </c>
      <c r="E2105" s="92">
        <v>0.72</v>
      </c>
      <c r="F2105">
        <v>28</v>
      </c>
      <c r="G2105">
        <v>30</v>
      </c>
      <c r="H2105" t="s">
        <v>5618</v>
      </c>
      <c r="I2105">
        <v>0</v>
      </c>
      <c r="J2105" t="s">
        <v>87</v>
      </c>
      <c r="K2105">
        <v>0</v>
      </c>
      <c r="L2105">
        <v>0</v>
      </c>
    </row>
    <row r="2106" spans="1:12">
      <c r="A2106" s="93">
        <v>194958</v>
      </c>
      <c r="B2106" t="s">
        <v>2644</v>
      </c>
      <c r="C2106" t="s">
        <v>5602</v>
      </c>
      <c r="D2106" s="92">
        <v>0.62</v>
      </c>
      <c r="E2106" s="92">
        <v>0.46</v>
      </c>
      <c r="F2106">
        <v>21</v>
      </c>
      <c r="G2106">
        <v>22.5</v>
      </c>
      <c r="H2106" t="s">
        <v>5617</v>
      </c>
      <c r="I2106">
        <v>0</v>
      </c>
      <c r="J2106" t="s">
        <v>87</v>
      </c>
      <c r="K2106">
        <v>0</v>
      </c>
      <c r="L2106">
        <v>0</v>
      </c>
    </row>
    <row r="2107" spans="1:12">
      <c r="A2107" s="93">
        <v>195003</v>
      </c>
      <c r="B2107" t="s">
        <v>2645</v>
      </c>
      <c r="C2107" t="s">
        <v>5605</v>
      </c>
      <c r="D2107" s="92">
        <v>0.68</v>
      </c>
      <c r="E2107" s="92">
        <v>0.5600000000000001</v>
      </c>
      <c r="F2107">
        <v>26</v>
      </c>
      <c r="G2107">
        <v>28.5</v>
      </c>
      <c r="H2107" t="s">
        <v>5617</v>
      </c>
      <c r="I2107">
        <v>0</v>
      </c>
      <c r="J2107" t="s">
        <v>87</v>
      </c>
      <c r="K2107">
        <v>0</v>
      </c>
      <c r="L2107">
        <v>0</v>
      </c>
    </row>
    <row r="2108" spans="1:12">
      <c r="A2108" s="93">
        <v>195030</v>
      </c>
      <c r="B2108" t="s">
        <v>583</v>
      </c>
      <c r="C2108" t="s">
        <v>5612</v>
      </c>
      <c r="D2108" s="92">
        <v>0.85</v>
      </c>
      <c r="E2108" s="92">
        <v>0.78</v>
      </c>
      <c r="F2108" t="s">
        <v>428</v>
      </c>
      <c r="G2108" t="s">
        <v>428</v>
      </c>
      <c r="H2108" t="s">
        <v>5621</v>
      </c>
      <c r="I2108">
        <v>1</v>
      </c>
      <c r="J2108" t="s">
        <v>87</v>
      </c>
      <c r="K2108">
        <v>0</v>
      </c>
      <c r="L2108">
        <v>0</v>
      </c>
    </row>
    <row r="2109" spans="1:12">
      <c r="A2109" s="93">
        <v>195049</v>
      </c>
      <c r="B2109" t="s">
        <v>2646</v>
      </c>
      <c r="C2109" t="s">
        <v>5607</v>
      </c>
      <c r="D2109" s="92" t="s">
        <v>428</v>
      </c>
      <c r="E2109" s="92" t="s">
        <v>428</v>
      </c>
      <c r="F2109" t="s">
        <v>428</v>
      </c>
      <c r="G2109" t="s">
        <v>428</v>
      </c>
      <c r="H2109" t="s">
        <v>5615</v>
      </c>
      <c r="I2109">
        <v>0</v>
      </c>
      <c r="J2109" t="s">
        <v>87</v>
      </c>
      <c r="K2109">
        <v>0</v>
      </c>
      <c r="L2109">
        <v>0</v>
      </c>
    </row>
    <row r="2110" spans="1:12">
      <c r="A2110" s="93">
        <v>195058</v>
      </c>
      <c r="B2110" t="s">
        <v>2647</v>
      </c>
      <c r="C2110" t="s">
        <v>5606</v>
      </c>
      <c r="D2110" s="92">
        <v>0.36</v>
      </c>
      <c r="E2110" s="92">
        <v>0.29</v>
      </c>
      <c r="F2110" t="s">
        <v>428</v>
      </c>
      <c r="G2110" t="s">
        <v>428</v>
      </c>
      <c r="H2110" t="s">
        <v>5615</v>
      </c>
      <c r="I2110">
        <v>0</v>
      </c>
      <c r="J2110" t="s">
        <v>87</v>
      </c>
      <c r="K2110">
        <v>0</v>
      </c>
      <c r="L2110">
        <v>0</v>
      </c>
    </row>
    <row r="2111" spans="1:12">
      <c r="A2111" s="93">
        <v>195128</v>
      </c>
      <c r="B2111" t="s">
        <v>2648</v>
      </c>
      <c r="C2111" t="s">
        <v>5602</v>
      </c>
      <c r="D2111" s="92">
        <v>0.59</v>
      </c>
      <c r="E2111" s="92">
        <v>0.46</v>
      </c>
      <c r="F2111" t="s">
        <v>428</v>
      </c>
      <c r="G2111" t="s">
        <v>428</v>
      </c>
      <c r="H2111" t="s">
        <v>5616</v>
      </c>
      <c r="I2111">
        <v>0</v>
      </c>
      <c r="J2111" t="s">
        <v>87</v>
      </c>
      <c r="K2111">
        <v>0</v>
      </c>
      <c r="L2111">
        <v>0</v>
      </c>
    </row>
    <row r="2112" spans="1:12">
      <c r="A2112" s="93">
        <v>195155</v>
      </c>
      <c r="B2112" t="s">
        <v>2649</v>
      </c>
      <c r="C2112" t="s">
        <v>5607</v>
      </c>
      <c r="D2112" s="92" t="s">
        <v>428</v>
      </c>
      <c r="E2112" s="92" t="s">
        <v>428</v>
      </c>
      <c r="F2112" t="s">
        <v>428</v>
      </c>
      <c r="G2112" t="s">
        <v>428</v>
      </c>
      <c r="H2112" t="s">
        <v>5615</v>
      </c>
      <c r="I2112">
        <v>0</v>
      </c>
      <c r="J2112" t="s">
        <v>87</v>
      </c>
      <c r="K2112">
        <v>0</v>
      </c>
      <c r="L2112">
        <v>0</v>
      </c>
    </row>
    <row r="2113" spans="1:12">
      <c r="A2113" s="93">
        <v>195164</v>
      </c>
      <c r="B2113" t="s">
        <v>2650</v>
      </c>
      <c r="C2113" t="s">
        <v>5602</v>
      </c>
      <c r="D2113" s="92">
        <v>0.66</v>
      </c>
      <c r="E2113" s="92">
        <v>0.54</v>
      </c>
      <c r="F2113">
        <v>20</v>
      </c>
      <c r="G2113">
        <v>23.5</v>
      </c>
      <c r="H2113" t="s">
        <v>5617</v>
      </c>
      <c r="I2113">
        <v>0</v>
      </c>
      <c r="J2113" t="s">
        <v>87</v>
      </c>
      <c r="K2113">
        <v>0</v>
      </c>
      <c r="L2113">
        <v>0</v>
      </c>
    </row>
    <row r="2114" spans="1:12">
      <c r="A2114" s="93">
        <v>195173</v>
      </c>
      <c r="B2114" t="s">
        <v>2651</v>
      </c>
      <c r="C2114" t="s">
        <v>5608</v>
      </c>
      <c r="D2114" s="92">
        <v>0.53</v>
      </c>
      <c r="E2114" s="92">
        <v>0.46</v>
      </c>
      <c r="F2114">
        <v>15</v>
      </c>
      <c r="G2114">
        <v>17.5</v>
      </c>
      <c r="H2114" t="s">
        <v>5616</v>
      </c>
      <c r="I2114">
        <v>0</v>
      </c>
      <c r="J2114" t="s">
        <v>87</v>
      </c>
      <c r="K2114">
        <v>0</v>
      </c>
      <c r="L2114">
        <v>0</v>
      </c>
    </row>
    <row r="2115" spans="1:12">
      <c r="A2115" s="93">
        <v>195191</v>
      </c>
      <c r="B2115" t="s">
        <v>2652</v>
      </c>
      <c r="C2115" t="s">
        <v>5609</v>
      </c>
      <c r="D2115" s="92" t="s">
        <v>428</v>
      </c>
      <c r="E2115" s="92" t="s">
        <v>428</v>
      </c>
      <c r="F2115" t="s">
        <v>428</v>
      </c>
      <c r="G2115" t="s">
        <v>428</v>
      </c>
      <c r="H2115" t="s">
        <v>5616</v>
      </c>
      <c r="I2115">
        <v>0</v>
      </c>
      <c r="J2115" t="s">
        <v>87</v>
      </c>
      <c r="K2115">
        <v>0</v>
      </c>
      <c r="L2115">
        <v>0</v>
      </c>
    </row>
    <row r="2116" spans="1:12">
      <c r="A2116" s="93">
        <v>195216</v>
      </c>
      <c r="B2116" t="s">
        <v>2653</v>
      </c>
      <c r="C2116" t="s">
        <v>5603</v>
      </c>
      <c r="D2116" s="92">
        <v>0.85</v>
      </c>
      <c r="E2116" s="92">
        <v>0.83</v>
      </c>
      <c r="F2116" t="s">
        <v>428</v>
      </c>
      <c r="G2116" t="s">
        <v>428</v>
      </c>
      <c r="H2116" t="s">
        <v>5616</v>
      </c>
      <c r="I2116">
        <v>0</v>
      </c>
      <c r="J2116" t="s">
        <v>87</v>
      </c>
      <c r="K2116">
        <v>0</v>
      </c>
      <c r="L2116">
        <v>0</v>
      </c>
    </row>
    <row r="2117" spans="1:12">
      <c r="A2117" s="93">
        <v>195234</v>
      </c>
      <c r="B2117" t="s">
        <v>2654</v>
      </c>
      <c r="C2117" t="s">
        <v>5602</v>
      </c>
      <c r="D2117" s="92">
        <v>0.62</v>
      </c>
      <c r="E2117" s="92">
        <v>0.53</v>
      </c>
      <c r="F2117" t="s">
        <v>428</v>
      </c>
      <c r="G2117" t="s">
        <v>428</v>
      </c>
      <c r="H2117" t="s">
        <v>5617</v>
      </c>
      <c r="I2117">
        <v>0</v>
      </c>
      <c r="J2117" t="s">
        <v>87</v>
      </c>
      <c r="K2117">
        <v>0</v>
      </c>
      <c r="L2117">
        <v>0</v>
      </c>
    </row>
    <row r="2118" spans="1:12">
      <c r="A2118" s="93">
        <v>195243</v>
      </c>
      <c r="B2118" t="s">
        <v>2655</v>
      </c>
      <c r="C2118" t="s">
        <v>5602</v>
      </c>
      <c r="D2118" s="92">
        <v>0.58</v>
      </c>
      <c r="E2118" s="92">
        <v>0.48</v>
      </c>
      <c r="F2118">
        <v>17</v>
      </c>
      <c r="G2118">
        <v>19.5</v>
      </c>
      <c r="H2118" t="s">
        <v>5616</v>
      </c>
      <c r="I2118">
        <v>0</v>
      </c>
      <c r="J2118" t="s">
        <v>87</v>
      </c>
      <c r="K2118">
        <v>0</v>
      </c>
      <c r="L2118">
        <v>0</v>
      </c>
    </row>
    <row r="2119" spans="1:12">
      <c r="A2119" s="93">
        <v>195289</v>
      </c>
      <c r="B2119" t="s">
        <v>2656</v>
      </c>
      <c r="C2119" t="s">
        <v>5609</v>
      </c>
      <c r="D2119" s="92" t="s">
        <v>428</v>
      </c>
      <c r="E2119" s="92" t="s">
        <v>428</v>
      </c>
      <c r="F2119" t="s">
        <v>428</v>
      </c>
      <c r="G2119" t="s">
        <v>428</v>
      </c>
      <c r="H2119" t="s">
        <v>5617</v>
      </c>
      <c r="I2119">
        <v>0</v>
      </c>
      <c r="J2119" t="s">
        <v>87</v>
      </c>
      <c r="K2119">
        <v>0</v>
      </c>
      <c r="L2119">
        <v>0</v>
      </c>
    </row>
    <row r="2120" spans="1:12">
      <c r="A2120" s="93">
        <v>195304</v>
      </c>
      <c r="B2120" t="s">
        <v>2657</v>
      </c>
      <c r="C2120" t="s">
        <v>5605</v>
      </c>
      <c r="D2120" s="92">
        <v>0.8</v>
      </c>
      <c r="E2120" s="92">
        <v>0.8100000000000001</v>
      </c>
      <c r="F2120">
        <v>27</v>
      </c>
      <c r="G2120">
        <v>29</v>
      </c>
      <c r="H2120" t="s">
        <v>5618</v>
      </c>
      <c r="I2120">
        <v>0</v>
      </c>
      <c r="J2120" t="s">
        <v>87</v>
      </c>
      <c r="K2120">
        <v>0</v>
      </c>
      <c r="L2120">
        <v>0</v>
      </c>
    </row>
    <row r="2121" spans="1:12">
      <c r="A2121" s="93">
        <v>195322</v>
      </c>
      <c r="B2121" t="s">
        <v>2658</v>
      </c>
      <c r="C2121" t="s">
        <v>5606</v>
      </c>
      <c r="D2121" s="92">
        <v>0.28</v>
      </c>
      <c r="E2121" s="92">
        <v>0.15</v>
      </c>
      <c r="F2121" t="s">
        <v>428</v>
      </c>
      <c r="G2121" t="s">
        <v>428</v>
      </c>
      <c r="H2121" t="s">
        <v>5615</v>
      </c>
      <c r="I2121">
        <v>0</v>
      </c>
      <c r="J2121" t="s">
        <v>87</v>
      </c>
      <c r="K2121">
        <v>0</v>
      </c>
      <c r="L2121">
        <v>0</v>
      </c>
    </row>
    <row r="2122" spans="1:12">
      <c r="A2122" s="93">
        <v>195438</v>
      </c>
      <c r="B2122" t="s">
        <v>2659</v>
      </c>
      <c r="C2122" t="s">
        <v>5607</v>
      </c>
      <c r="D2122" s="92">
        <v>0.5600000000000001</v>
      </c>
      <c r="E2122" s="92" t="s">
        <v>428</v>
      </c>
      <c r="F2122" t="s">
        <v>428</v>
      </c>
      <c r="G2122" t="s">
        <v>428</v>
      </c>
      <c r="H2122" t="s">
        <v>5614</v>
      </c>
      <c r="I2122">
        <v>1</v>
      </c>
      <c r="J2122" t="s">
        <v>87</v>
      </c>
      <c r="K2122">
        <v>0</v>
      </c>
      <c r="L2122">
        <v>0</v>
      </c>
    </row>
    <row r="2123" spans="1:12">
      <c r="A2123" s="93">
        <v>195474</v>
      </c>
      <c r="B2123" t="s">
        <v>2660</v>
      </c>
      <c r="C2123" t="s">
        <v>5602</v>
      </c>
      <c r="D2123" s="92">
        <v>0.77</v>
      </c>
      <c r="E2123" s="92">
        <v>0.68</v>
      </c>
      <c r="F2123" t="s">
        <v>428</v>
      </c>
      <c r="G2123" t="s">
        <v>428</v>
      </c>
      <c r="H2123" t="s">
        <v>5617</v>
      </c>
      <c r="I2123">
        <v>0</v>
      </c>
      <c r="J2123" t="s">
        <v>87</v>
      </c>
      <c r="K2123">
        <v>0</v>
      </c>
      <c r="L2123">
        <v>0</v>
      </c>
    </row>
    <row r="2124" spans="1:12">
      <c r="A2124" s="93">
        <v>195526</v>
      </c>
      <c r="B2124" t="s">
        <v>495</v>
      </c>
      <c r="C2124" t="s">
        <v>5605</v>
      </c>
      <c r="D2124" s="92">
        <v>0.89</v>
      </c>
      <c r="E2124" s="92">
        <v>0.87</v>
      </c>
      <c r="F2124">
        <v>26</v>
      </c>
      <c r="G2124">
        <v>28</v>
      </c>
      <c r="H2124" t="s">
        <v>5621</v>
      </c>
      <c r="I2124">
        <v>1</v>
      </c>
      <c r="J2124" t="s">
        <v>87</v>
      </c>
      <c r="K2124">
        <v>0</v>
      </c>
      <c r="L2124">
        <v>0</v>
      </c>
    </row>
    <row r="2125" spans="1:12">
      <c r="A2125" s="93">
        <v>195544</v>
      </c>
      <c r="B2125" t="s">
        <v>2661</v>
      </c>
      <c r="C2125" t="s">
        <v>5608</v>
      </c>
      <c r="D2125" s="92">
        <v>0.6899999999999999</v>
      </c>
      <c r="E2125" s="92">
        <v>0.5600000000000001</v>
      </c>
      <c r="F2125">
        <v>20</v>
      </c>
      <c r="G2125">
        <v>22.5</v>
      </c>
      <c r="H2125" t="s">
        <v>5616</v>
      </c>
      <c r="I2125">
        <v>0</v>
      </c>
      <c r="J2125" t="s">
        <v>87</v>
      </c>
      <c r="K2125">
        <v>0</v>
      </c>
      <c r="L2125">
        <v>0</v>
      </c>
    </row>
    <row r="2126" spans="1:12">
      <c r="A2126" s="93">
        <v>195562</v>
      </c>
      <c r="B2126" t="s">
        <v>2662</v>
      </c>
      <c r="C2126" t="s">
        <v>5607</v>
      </c>
      <c r="D2126" s="92" t="s">
        <v>428</v>
      </c>
      <c r="E2126" s="92" t="s">
        <v>428</v>
      </c>
      <c r="F2126" t="s">
        <v>428</v>
      </c>
      <c r="G2126" t="s">
        <v>428</v>
      </c>
      <c r="H2126" t="s">
        <v>5615</v>
      </c>
      <c r="I2126">
        <v>0</v>
      </c>
      <c r="J2126" t="s">
        <v>87</v>
      </c>
      <c r="K2126">
        <v>0</v>
      </c>
      <c r="L2126">
        <v>0</v>
      </c>
    </row>
    <row r="2127" spans="1:12">
      <c r="A2127" s="93">
        <v>195580</v>
      </c>
      <c r="B2127" t="s">
        <v>2663</v>
      </c>
      <c r="C2127" t="s">
        <v>5607</v>
      </c>
      <c r="D2127" s="92" t="s">
        <v>428</v>
      </c>
      <c r="E2127" s="92" t="s">
        <v>428</v>
      </c>
      <c r="F2127" t="s">
        <v>428</v>
      </c>
      <c r="G2127" t="s">
        <v>428</v>
      </c>
      <c r="H2127" t="s">
        <v>5615</v>
      </c>
      <c r="I2127">
        <v>0</v>
      </c>
      <c r="J2127" t="s">
        <v>87</v>
      </c>
      <c r="K2127">
        <v>0</v>
      </c>
      <c r="L2127">
        <v>0</v>
      </c>
    </row>
    <row r="2128" spans="1:12">
      <c r="A2128" s="93">
        <v>195702</v>
      </c>
      <c r="B2128" t="s">
        <v>2664</v>
      </c>
      <c r="C2128" t="s">
        <v>5609</v>
      </c>
      <c r="D2128" s="92" t="s">
        <v>428</v>
      </c>
      <c r="E2128" s="92" t="s">
        <v>428</v>
      </c>
      <c r="F2128" t="s">
        <v>428</v>
      </c>
      <c r="G2128" t="s">
        <v>428</v>
      </c>
      <c r="H2128" t="s">
        <v>5617</v>
      </c>
      <c r="I2128">
        <v>0</v>
      </c>
      <c r="J2128" t="s">
        <v>87</v>
      </c>
      <c r="K2128">
        <v>0</v>
      </c>
      <c r="L2128">
        <v>0</v>
      </c>
    </row>
    <row r="2129" spans="1:12">
      <c r="A2129" s="93">
        <v>195720</v>
      </c>
      <c r="B2129" t="s">
        <v>2665</v>
      </c>
      <c r="C2129" t="s">
        <v>5602</v>
      </c>
      <c r="D2129" s="92">
        <v>0.71</v>
      </c>
      <c r="E2129" s="92">
        <v>0.65</v>
      </c>
      <c r="F2129">
        <v>22</v>
      </c>
      <c r="G2129">
        <v>24</v>
      </c>
      <c r="H2129" t="s">
        <v>5617</v>
      </c>
      <c r="I2129">
        <v>0</v>
      </c>
      <c r="J2129" t="s">
        <v>87</v>
      </c>
      <c r="K2129">
        <v>0</v>
      </c>
      <c r="L2129">
        <v>0</v>
      </c>
    </row>
    <row r="2130" spans="1:12">
      <c r="A2130" s="93">
        <v>195784</v>
      </c>
      <c r="B2130" t="s">
        <v>2666</v>
      </c>
      <c r="C2130" t="s">
        <v>5606</v>
      </c>
      <c r="D2130" s="92" t="s">
        <v>428</v>
      </c>
      <c r="E2130" s="92" t="s">
        <v>428</v>
      </c>
      <c r="F2130" t="s">
        <v>428</v>
      </c>
      <c r="G2130" t="s">
        <v>428</v>
      </c>
      <c r="H2130" t="s">
        <v>5617</v>
      </c>
      <c r="I2130">
        <v>0</v>
      </c>
      <c r="J2130" t="s">
        <v>87</v>
      </c>
      <c r="K2130">
        <v>0</v>
      </c>
      <c r="L2130">
        <v>0</v>
      </c>
    </row>
    <row r="2131" spans="1:12">
      <c r="A2131" s="93">
        <v>195809</v>
      </c>
      <c r="B2131" t="s">
        <v>2667</v>
      </c>
      <c r="C2131" t="s">
        <v>5602</v>
      </c>
      <c r="D2131" s="92">
        <v>0.58</v>
      </c>
      <c r="E2131" s="92">
        <v>0.49</v>
      </c>
      <c r="F2131">
        <v>18</v>
      </c>
      <c r="G2131">
        <v>21</v>
      </c>
      <c r="H2131" t="s">
        <v>5617</v>
      </c>
      <c r="I2131">
        <v>0</v>
      </c>
      <c r="J2131" t="s">
        <v>87</v>
      </c>
      <c r="K2131">
        <v>0</v>
      </c>
      <c r="L2131">
        <v>0</v>
      </c>
    </row>
    <row r="2132" spans="1:12">
      <c r="A2132" s="93">
        <v>195845</v>
      </c>
      <c r="B2132" t="s">
        <v>2668</v>
      </c>
      <c r="C2132" t="s">
        <v>5606</v>
      </c>
      <c r="D2132" s="92">
        <v>0.48</v>
      </c>
      <c r="E2132" s="92">
        <v>0.44</v>
      </c>
      <c r="F2132" t="s">
        <v>428</v>
      </c>
      <c r="G2132" t="s">
        <v>428</v>
      </c>
      <c r="H2132" t="s">
        <v>5616</v>
      </c>
      <c r="I2132">
        <v>0</v>
      </c>
      <c r="J2132" t="s">
        <v>87</v>
      </c>
      <c r="K2132">
        <v>0</v>
      </c>
      <c r="L2132">
        <v>0</v>
      </c>
    </row>
    <row r="2133" spans="1:12">
      <c r="A2133" s="93">
        <v>195988</v>
      </c>
      <c r="B2133" t="s">
        <v>2669</v>
      </c>
      <c r="C2133" t="s">
        <v>5606</v>
      </c>
      <c r="D2133" s="92">
        <v>0.38</v>
      </c>
      <c r="E2133" s="92">
        <v>0.37</v>
      </c>
      <c r="F2133" t="s">
        <v>428</v>
      </c>
      <c r="G2133" t="s">
        <v>428</v>
      </c>
      <c r="H2133" t="s">
        <v>5615</v>
      </c>
      <c r="I2133">
        <v>0</v>
      </c>
      <c r="J2133" t="s">
        <v>87</v>
      </c>
      <c r="K2133">
        <v>0</v>
      </c>
      <c r="L2133">
        <v>0</v>
      </c>
    </row>
    <row r="2134" spans="1:12">
      <c r="A2134" s="93">
        <v>196006</v>
      </c>
      <c r="B2134" t="s">
        <v>2670</v>
      </c>
      <c r="C2134" t="s">
        <v>5602</v>
      </c>
      <c r="D2134" s="92">
        <v>0.57</v>
      </c>
      <c r="E2134" s="92">
        <v>0.5</v>
      </c>
      <c r="F2134">
        <v>19</v>
      </c>
      <c r="G2134">
        <v>21.5</v>
      </c>
      <c r="H2134" t="s">
        <v>5615</v>
      </c>
      <c r="I2134">
        <v>0</v>
      </c>
      <c r="J2134" t="s">
        <v>87</v>
      </c>
      <c r="K2134">
        <v>0</v>
      </c>
      <c r="L2134">
        <v>0</v>
      </c>
    </row>
    <row r="2135" spans="1:12">
      <c r="A2135" s="93">
        <v>196015</v>
      </c>
      <c r="B2135" t="s">
        <v>2671</v>
      </c>
      <c r="C2135" t="s">
        <v>5604</v>
      </c>
      <c r="D2135" s="92">
        <v>0.35</v>
      </c>
      <c r="E2135" s="92">
        <v>0.3</v>
      </c>
      <c r="F2135">
        <v>14</v>
      </c>
      <c r="G2135">
        <v>17</v>
      </c>
      <c r="H2135" t="s">
        <v>5615</v>
      </c>
      <c r="I2135">
        <v>0</v>
      </c>
      <c r="J2135" t="s">
        <v>87</v>
      </c>
      <c r="K2135">
        <v>0</v>
      </c>
      <c r="L2135">
        <v>0</v>
      </c>
    </row>
    <row r="2136" spans="1:12">
      <c r="A2136" s="93">
        <v>196024</v>
      </c>
      <c r="B2136" t="s">
        <v>2672</v>
      </c>
      <c r="C2136" t="s">
        <v>5607</v>
      </c>
      <c r="D2136" s="92">
        <v>0.49</v>
      </c>
      <c r="E2136" s="92">
        <v>0.39</v>
      </c>
      <c r="F2136" t="s">
        <v>428</v>
      </c>
      <c r="G2136" t="s">
        <v>428</v>
      </c>
      <c r="H2136" t="s">
        <v>5615</v>
      </c>
      <c r="I2136">
        <v>0</v>
      </c>
      <c r="J2136" t="s">
        <v>87</v>
      </c>
      <c r="K2136">
        <v>0</v>
      </c>
      <c r="L2136">
        <v>0</v>
      </c>
    </row>
    <row r="2137" spans="1:12">
      <c r="A2137" s="93">
        <v>196033</v>
      </c>
      <c r="B2137" t="s">
        <v>2673</v>
      </c>
      <c r="C2137" t="s">
        <v>5602</v>
      </c>
      <c r="D2137" s="92">
        <v>0.46</v>
      </c>
      <c r="E2137" s="92">
        <v>0.33</v>
      </c>
      <c r="F2137">
        <v>20</v>
      </c>
      <c r="G2137">
        <v>22</v>
      </c>
      <c r="H2137" t="s">
        <v>5615</v>
      </c>
      <c r="I2137">
        <v>0</v>
      </c>
      <c r="J2137" t="s">
        <v>87</v>
      </c>
      <c r="K2137">
        <v>0</v>
      </c>
      <c r="L2137">
        <v>0</v>
      </c>
    </row>
    <row r="2138" spans="1:12">
      <c r="A2138" s="93">
        <v>196042</v>
      </c>
      <c r="B2138" t="s">
        <v>2674</v>
      </c>
      <c r="C2138" t="s">
        <v>5602</v>
      </c>
      <c r="D2138" s="92">
        <v>0.49</v>
      </c>
      <c r="E2138" s="92">
        <v>0.45</v>
      </c>
      <c r="F2138">
        <v>19</v>
      </c>
      <c r="G2138">
        <v>21</v>
      </c>
      <c r="H2138" t="s">
        <v>5615</v>
      </c>
      <c r="I2138">
        <v>0</v>
      </c>
      <c r="J2138" t="s">
        <v>87</v>
      </c>
      <c r="K2138">
        <v>0</v>
      </c>
      <c r="L2138">
        <v>0</v>
      </c>
    </row>
    <row r="2139" spans="1:12">
      <c r="A2139" s="93">
        <v>196051</v>
      </c>
      <c r="B2139" t="s">
        <v>2675</v>
      </c>
      <c r="C2139" t="s">
        <v>5604</v>
      </c>
      <c r="D2139" s="92">
        <v>0.34</v>
      </c>
      <c r="E2139" s="92">
        <v>0.2</v>
      </c>
      <c r="F2139">
        <v>13</v>
      </c>
      <c r="G2139">
        <v>15.5</v>
      </c>
      <c r="H2139" t="s">
        <v>5615</v>
      </c>
      <c r="I2139">
        <v>0</v>
      </c>
      <c r="J2139" t="s">
        <v>87</v>
      </c>
      <c r="K2139">
        <v>0</v>
      </c>
      <c r="L2139">
        <v>0</v>
      </c>
    </row>
    <row r="2140" spans="1:12">
      <c r="A2140" s="93">
        <v>196060</v>
      </c>
      <c r="B2140" t="s">
        <v>2676</v>
      </c>
      <c r="C2140" t="s">
        <v>5602</v>
      </c>
      <c r="D2140" s="92">
        <v>0.66</v>
      </c>
      <c r="E2140" s="92">
        <v>0.7</v>
      </c>
      <c r="F2140">
        <v>22</v>
      </c>
      <c r="G2140">
        <v>24</v>
      </c>
      <c r="H2140" t="s">
        <v>5615</v>
      </c>
      <c r="I2140">
        <v>0</v>
      </c>
      <c r="J2140" t="s">
        <v>87</v>
      </c>
      <c r="K2140">
        <v>0</v>
      </c>
      <c r="L2140">
        <v>0</v>
      </c>
    </row>
    <row r="2141" spans="1:12">
      <c r="A2141" s="93">
        <v>196079</v>
      </c>
      <c r="B2141" t="s">
        <v>2677</v>
      </c>
      <c r="C2141" t="s">
        <v>5612</v>
      </c>
      <c r="D2141" s="92">
        <v>0.83</v>
      </c>
      <c r="E2141" s="92">
        <v>0.82</v>
      </c>
      <c r="F2141">
        <v>28</v>
      </c>
      <c r="G2141">
        <v>29.5</v>
      </c>
      <c r="H2141" t="s">
        <v>5615</v>
      </c>
      <c r="I2141">
        <v>0</v>
      </c>
      <c r="J2141" t="s">
        <v>87</v>
      </c>
      <c r="K2141">
        <v>0</v>
      </c>
      <c r="L2141">
        <v>0</v>
      </c>
    </row>
    <row r="2142" spans="1:12">
      <c r="A2142" s="93">
        <v>196088</v>
      </c>
      <c r="B2142" t="s">
        <v>2678</v>
      </c>
      <c r="C2142" t="s">
        <v>5602</v>
      </c>
      <c r="D2142" s="92">
        <v>0.74</v>
      </c>
      <c r="E2142" s="92">
        <v>0.72</v>
      </c>
      <c r="F2142">
        <v>24</v>
      </c>
      <c r="G2142">
        <v>26.5</v>
      </c>
      <c r="H2142" t="s">
        <v>5615</v>
      </c>
      <c r="I2142">
        <v>0</v>
      </c>
      <c r="J2142" t="s">
        <v>87</v>
      </c>
      <c r="K2142">
        <v>0</v>
      </c>
      <c r="L2142">
        <v>0</v>
      </c>
    </row>
    <row r="2143" spans="1:12">
      <c r="A2143" s="93">
        <v>196097</v>
      </c>
      <c r="B2143" t="s">
        <v>2679</v>
      </c>
      <c r="C2143" t="s">
        <v>5612</v>
      </c>
      <c r="D2143" s="92">
        <v>0.72</v>
      </c>
      <c r="E2143" s="92">
        <v>0.67</v>
      </c>
      <c r="F2143">
        <v>26</v>
      </c>
      <c r="G2143">
        <v>28.5</v>
      </c>
      <c r="H2143" t="s">
        <v>5615</v>
      </c>
      <c r="I2143">
        <v>0</v>
      </c>
      <c r="J2143" t="s">
        <v>87</v>
      </c>
      <c r="K2143">
        <v>0</v>
      </c>
      <c r="L2143">
        <v>0</v>
      </c>
    </row>
    <row r="2144" spans="1:12">
      <c r="A2144" s="93">
        <v>196103</v>
      </c>
      <c r="B2144" t="s">
        <v>2680</v>
      </c>
      <c r="C2144" t="s">
        <v>5603</v>
      </c>
      <c r="D2144" s="92">
        <v>0.72</v>
      </c>
      <c r="E2144" s="92">
        <v>0.65</v>
      </c>
      <c r="F2144">
        <v>23</v>
      </c>
      <c r="G2144">
        <v>25</v>
      </c>
      <c r="H2144" t="s">
        <v>5615</v>
      </c>
      <c r="I2144">
        <v>0</v>
      </c>
      <c r="J2144" t="s">
        <v>87</v>
      </c>
      <c r="K2144">
        <v>0</v>
      </c>
      <c r="L2144">
        <v>0</v>
      </c>
    </row>
    <row r="2145" spans="1:12">
      <c r="A2145" s="93">
        <v>196112</v>
      </c>
      <c r="B2145" t="s">
        <v>2681</v>
      </c>
      <c r="C2145" t="s">
        <v>5603</v>
      </c>
      <c r="D2145" s="92">
        <v>0.45</v>
      </c>
      <c r="E2145" s="92">
        <v>0.39</v>
      </c>
      <c r="F2145">
        <v>24</v>
      </c>
      <c r="G2145">
        <v>26.5</v>
      </c>
      <c r="H2145" t="s">
        <v>5615</v>
      </c>
      <c r="I2145">
        <v>0</v>
      </c>
      <c r="J2145" t="s">
        <v>87</v>
      </c>
      <c r="K2145">
        <v>0</v>
      </c>
      <c r="L2145">
        <v>0</v>
      </c>
    </row>
    <row r="2146" spans="1:12">
      <c r="A2146" s="93">
        <v>196121</v>
      </c>
      <c r="B2146" t="s">
        <v>2682</v>
      </c>
      <c r="C2146" t="s">
        <v>5602</v>
      </c>
      <c r="D2146" s="92">
        <v>0.68</v>
      </c>
      <c r="E2146" s="92">
        <v>0.59</v>
      </c>
      <c r="F2146">
        <v>20</v>
      </c>
      <c r="G2146">
        <v>22.5</v>
      </c>
      <c r="H2146" t="s">
        <v>5615</v>
      </c>
      <c r="I2146">
        <v>0</v>
      </c>
      <c r="J2146" t="s">
        <v>87</v>
      </c>
      <c r="K2146">
        <v>0</v>
      </c>
      <c r="L2146">
        <v>0</v>
      </c>
    </row>
    <row r="2147" spans="1:12">
      <c r="A2147" s="93">
        <v>196130</v>
      </c>
      <c r="B2147" t="s">
        <v>2683</v>
      </c>
      <c r="C2147" t="s">
        <v>5602</v>
      </c>
      <c r="D2147" s="92">
        <v>0.5</v>
      </c>
      <c r="E2147" s="92">
        <v>0.49</v>
      </c>
      <c r="F2147">
        <v>14</v>
      </c>
      <c r="G2147">
        <v>16</v>
      </c>
      <c r="H2147" t="s">
        <v>5615</v>
      </c>
      <c r="I2147">
        <v>0</v>
      </c>
      <c r="J2147" t="s">
        <v>87</v>
      </c>
      <c r="K2147">
        <v>0</v>
      </c>
      <c r="L2147">
        <v>0</v>
      </c>
    </row>
    <row r="2148" spans="1:12">
      <c r="A2148" s="93">
        <v>196149</v>
      </c>
      <c r="B2148" t="s">
        <v>2684</v>
      </c>
      <c r="C2148" t="s">
        <v>5603</v>
      </c>
      <c r="D2148" s="92">
        <v>0.74</v>
      </c>
      <c r="E2148" s="92">
        <v>0.63</v>
      </c>
      <c r="F2148">
        <v>22</v>
      </c>
      <c r="G2148">
        <v>23.5</v>
      </c>
      <c r="H2148" t="s">
        <v>5615</v>
      </c>
      <c r="I2148">
        <v>0</v>
      </c>
      <c r="J2148" t="s">
        <v>87</v>
      </c>
      <c r="K2148">
        <v>0</v>
      </c>
      <c r="L2148">
        <v>0</v>
      </c>
    </row>
    <row r="2149" spans="1:12">
      <c r="A2149" s="93">
        <v>196158</v>
      </c>
      <c r="B2149" t="s">
        <v>2685</v>
      </c>
      <c r="C2149" t="s">
        <v>5602</v>
      </c>
      <c r="D2149" s="92">
        <v>0.65</v>
      </c>
      <c r="E2149" s="92">
        <v>0.51</v>
      </c>
      <c r="F2149">
        <v>22</v>
      </c>
      <c r="G2149">
        <v>24.5</v>
      </c>
      <c r="H2149" t="s">
        <v>5615</v>
      </c>
      <c r="I2149">
        <v>0</v>
      </c>
      <c r="J2149" t="s">
        <v>87</v>
      </c>
      <c r="K2149">
        <v>0</v>
      </c>
      <c r="L2149">
        <v>0</v>
      </c>
    </row>
    <row r="2150" spans="1:12">
      <c r="A2150" s="93">
        <v>196167</v>
      </c>
      <c r="B2150" t="s">
        <v>2686</v>
      </c>
      <c r="C2150" t="s">
        <v>5603</v>
      </c>
      <c r="D2150" s="92">
        <v>0.8100000000000001</v>
      </c>
      <c r="E2150" s="92">
        <v>0.66</v>
      </c>
      <c r="F2150">
        <v>25</v>
      </c>
      <c r="G2150">
        <v>27</v>
      </c>
      <c r="H2150" t="s">
        <v>5615</v>
      </c>
      <c r="I2150">
        <v>0</v>
      </c>
      <c r="J2150" t="s">
        <v>87</v>
      </c>
      <c r="K2150">
        <v>0</v>
      </c>
      <c r="L2150">
        <v>0</v>
      </c>
    </row>
    <row r="2151" spans="1:12">
      <c r="A2151" s="93">
        <v>196176</v>
      </c>
      <c r="B2151" t="s">
        <v>2687</v>
      </c>
      <c r="C2151" t="s">
        <v>5602</v>
      </c>
      <c r="D2151" s="92">
        <v>0.72</v>
      </c>
      <c r="E2151" s="92">
        <v>0.6899999999999999</v>
      </c>
      <c r="F2151">
        <v>23</v>
      </c>
      <c r="G2151">
        <v>25</v>
      </c>
      <c r="H2151" t="s">
        <v>5615</v>
      </c>
      <c r="I2151">
        <v>0</v>
      </c>
      <c r="J2151" t="s">
        <v>87</v>
      </c>
      <c r="K2151">
        <v>0</v>
      </c>
      <c r="L2151">
        <v>0</v>
      </c>
    </row>
    <row r="2152" spans="1:12">
      <c r="A2152" s="93">
        <v>196185</v>
      </c>
      <c r="B2152" t="s">
        <v>2688</v>
      </c>
      <c r="C2152" t="s">
        <v>5602</v>
      </c>
      <c r="D2152" s="92">
        <v>0.72</v>
      </c>
      <c r="E2152" s="92">
        <v>0.63</v>
      </c>
      <c r="F2152">
        <v>22</v>
      </c>
      <c r="G2152">
        <v>24</v>
      </c>
      <c r="H2152" t="s">
        <v>5615</v>
      </c>
      <c r="I2152">
        <v>0</v>
      </c>
      <c r="J2152" t="s">
        <v>87</v>
      </c>
      <c r="K2152">
        <v>0</v>
      </c>
      <c r="L2152">
        <v>0</v>
      </c>
    </row>
    <row r="2153" spans="1:12">
      <c r="A2153" s="93">
        <v>196194</v>
      </c>
      <c r="B2153" t="s">
        <v>2689</v>
      </c>
      <c r="C2153" t="s">
        <v>5602</v>
      </c>
      <c r="D2153" s="92">
        <v>0.66</v>
      </c>
      <c r="E2153" s="92">
        <v>0.58</v>
      </c>
      <c r="F2153">
        <v>22</v>
      </c>
      <c r="G2153">
        <v>24.5</v>
      </c>
      <c r="H2153" t="s">
        <v>5615</v>
      </c>
      <c r="I2153">
        <v>0</v>
      </c>
      <c r="J2153" t="s">
        <v>87</v>
      </c>
      <c r="K2153">
        <v>0</v>
      </c>
      <c r="L2153">
        <v>0</v>
      </c>
    </row>
    <row r="2154" spans="1:12">
      <c r="A2154" s="93">
        <v>196200</v>
      </c>
      <c r="B2154" t="s">
        <v>2690</v>
      </c>
      <c r="C2154" t="s">
        <v>5602</v>
      </c>
      <c r="D2154" s="92">
        <v>0.54</v>
      </c>
      <c r="E2154" s="92">
        <v>0.45</v>
      </c>
      <c r="F2154" t="s">
        <v>428</v>
      </c>
      <c r="G2154" t="s">
        <v>428</v>
      </c>
      <c r="H2154" t="s">
        <v>5615</v>
      </c>
      <c r="I2154">
        <v>0</v>
      </c>
      <c r="J2154" t="s">
        <v>87</v>
      </c>
      <c r="K2154">
        <v>0</v>
      </c>
      <c r="L2154">
        <v>0</v>
      </c>
    </row>
    <row r="2155" spans="1:12">
      <c r="A2155" s="93">
        <v>196219</v>
      </c>
      <c r="B2155" t="s">
        <v>2691</v>
      </c>
      <c r="C2155" t="s">
        <v>5602</v>
      </c>
      <c r="D2155" s="92">
        <v>0.62</v>
      </c>
      <c r="E2155" s="92">
        <v>0.64</v>
      </c>
      <c r="F2155">
        <v>20</v>
      </c>
      <c r="G2155">
        <v>23.5</v>
      </c>
      <c r="H2155" t="s">
        <v>5615</v>
      </c>
      <c r="I2155">
        <v>0</v>
      </c>
      <c r="J2155" t="s">
        <v>87</v>
      </c>
      <c r="K2155">
        <v>0</v>
      </c>
      <c r="L2155">
        <v>0</v>
      </c>
    </row>
    <row r="2156" spans="1:12">
      <c r="A2156" s="93">
        <v>196228</v>
      </c>
      <c r="B2156" t="s">
        <v>2692</v>
      </c>
      <c r="C2156" t="s">
        <v>5607</v>
      </c>
      <c r="D2156" s="92" t="s">
        <v>428</v>
      </c>
      <c r="E2156" s="92" t="s">
        <v>428</v>
      </c>
      <c r="F2156" t="s">
        <v>428</v>
      </c>
      <c r="G2156" t="s">
        <v>428</v>
      </c>
      <c r="H2156" t="s">
        <v>5615</v>
      </c>
      <c r="I2156">
        <v>0</v>
      </c>
      <c r="J2156" t="s">
        <v>87</v>
      </c>
      <c r="K2156">
        <v>0</v>
      </c>
      <c r="L2156">
        <v>0</v>
      </c>
    </row>
    <row r="2157" spans="1:12">
      <c r="A2157" s="93">
        <v>196237</v>
      </c>
      <c r="B2157" t="s">
        <v>2693</v>
      </c>
      <c r="C2157" t="s">
        <v>5602</v>
      </c>
      <c r="D2157" s="92">
        <v>0.4</v>
      </c>
      <c r="E2157" s="92">
        <v>0.42</v>
      </c>
      <c r="F2157">
        <v>16</v>
      </c>
      <c r="G2157">
        <v>18.5</v>
      </c>
      <c r="H2157" t="s">
        <v>5615</v>
      </c>
      <c r="I2157">
        <v>0</v>
      </c>
      <c r="J2157" t="s">
        <v>87</v>
      </c>
      <c r="K2157">
        <v>0</v>
      </c>
      <c r="L2157">
        <v>0</v>
      </c>
    </row>
    <row r="2158" spans="1:12">
      <c r="A2158" s="93">
        <v>196246</v>
      </c>
      <c r="B2158" t="s">
        <v>2694</v>
      </c>
      <c r="C2158" t="s">
        <v>5602</v>
      </c>
      <c r="D2158" s="92">
        <v>0.63</v>
      </c>
      <c r="E2158" s="92">
        <v>0.6</v>
      </c>
      <c r="F2158">
        <v>19</v>
      </c>
      <c r="G2158">
        <v>22</v>
      </c>
      <c r="H2158" t="s">
        <v>5615</v>
      </c>
      <c r="I2158">
        <v>0</v>
      </c>
      <c r="J2158" t="s">
        <v>87</v>
      </c>
      <c r="K2158">
        <v>0</v>
      </c>
      <c r="L2158">
        <v>0</v>
      </c>
    </row>
    <row r="2159" spans="1:12">
      <c r="A2159" s="93">
        <v>196255</v>
      </c>
      <c r="B2159" t="s">
        <v>2695</v>
      </c>
      <c r="C2159" t="s">
        <v>5607</v>
      </c>
      <c r="D2159" s="92" t="s">
        <v>428</v>
      </c>
      <c r="E2159" s="92" t="s">
        <v>428</v>
      </c>
      <c r="F2159" t="s">
        <v>428</v>
      </c>
      <c r="G2159" t="s">
        <v>428</v>
      </c>
      <c r="H2159" t="s">
        <v>5615</v>
      </c>
      <c r="I2159">
        <v>0</v>
      </c>
      <c r="J2159" t="s">
        <v>87</v>
      </c>
      <c r="K2159">
        <v>0</v>
      </c>
      <c r="L2159">
        <v>0</v>
      </c>
    </row>
    <row r="2160" spans="1:12">
      <c r="A2160" s="93">
        <v>196264</v>
      </c>
      <c r="B2160" t="s">
        <v>2696</v>
      </c>
      <c r="C2160" t="s">
        <v>5610</v>
      </c>
      <c r="D2160" s="92">
        <v>0.16</v>
      </c>
      <c r="E2160" s="92">
        <v>0.12</v>
      </c>
      <c r="F2160" t="s">
        <v>428</v>
      </c>
      <c r="G2160" t="s">
        <v>428</v>
      </c>
      <c r="H2160" t="s">
        <v>5615</v>
      </c>
      <c r="I2160">
        <v>0</v>
      </c>
      <c r="J2160" t="s">
        <v>87</v>
      </c>
      <c r="K2160">
        <v>0</v>
      </c>
      <c r="L2160">
        <v>0</v>
      </c>
    </row>
    <row r="2161" spans="1:12">
      <c r="A2161" s="93">
        <v>196291</v>
      </c>
      <c r="B2161" t="s">
        <v>2697</v>
      </c>
      <c r="C2161" t="s">
        <v>5602</v>
      </c>
      <c r="D2161" s="92">
        <v>0.53</v>
      </c>
      <c r="E2161" s="92">
        <v>0.38</v>
      </c>
      <c r="F2161">
        <v>23</v>
      </c>
      <c r="G2161">
        <v>25</v>
      </c>
      <c r="H2161" t="s">
        <v>5615</v>
      </c>
      <c r="I2161">
        <v>0</v>
      </c>
      <c r="J2161" t="s">
        <v>87</v>
      </c>
      <c r="K2161">
        <v>0</v>
      </c>
      <c r="L2161">
        <v>0</v>
      </c>
    </row>
    <row r="2162" spans="1:12">
      <c r="A2162" s="93">
        <v>196307</v>
      </c>
      <c r="B2162" t="s">
        <v>2698</v>
      </c>
      <c r="C2162" t="s">
        <v>5607</v>
      </c>
      <c r="D2162" s="92" t="s">
        <v>428</v>
      </c>
      <c r="E2162" s="92" t="s">
        <v>428</v>
      </c>
      <c r="F2162" t="s">
        <v>428</v>
      </c>
      <c r="G2162" t="s">
        <v>428</v>
      </c>
      <c r="H2162" t="s">
        <v>5615</v>
      </c>
      <c r="I2162">
        <v>0</v>
      </c>
      <c r="J2162" t="s">
        <v>87</v>
      </c>
      <c r="K2162">
        <v>0</v>
      </c>
      <c r="L2162">
        <v>0</v>
      </c>
    </row>
    <row r="2163" spans="1:12">
      <c r="A2163" s="93">
        <v>196389</v>
      </c>
      <c r="B2163" t="s">
        <v>2699</v>
      </c>
      <c r="C2163" t="s">
        <v>5606</v>
      </c>
      <c r="D2163" s="92" t="s">
        <v>428</v>
      </c>
      <c r="E2163" s="92" t="s">
        <v>428</v>
      </c>
      <c r="F2163" t="s">
        <v>428</v>
      </c>
      <c r="G2163" t="s">
        <v>428</v>
      </c>
      <c r="H2163" t="s">
        <v>5617</v>
      </c>
      <c r="I2163">
        <v>0</v>
      </c>
      <c r="J2163" t="s">
        <v>87</v>
      </c>
      <c r="K2163">
        <v>0</v>
      </c>
      <c r="L2163">
        <v>0</v>
      </c>
    </row>
    <row r="2164" spans="1:12">
      <c r="A2164" s="93">
        <v>196413</v>
      </c>
      <c r="B2164" t="s">
        <v>599</v>
      </c>
      <c r="C2164" t="s">
        <v>5603</v>
      </c>
      <c r="D2164" s="92">
        <v>0.82</v>
      </c>
      <c r="E2164" s="92">
        <v>0.8</v>
      </c>
      <c r="F2164">
        <v>25</v>
      </c>
      <c r="G2164">
        <v>27</v>
      </c>
      <c r="H2164" t="s">
        <v>5618</v>
      </c>
      <c r="I2164">
        <v>0</v>
      </c>
      <c r="J2164" t="s">
        <v>87</v>
      </c>
      <c r="K2164">
        <v>0</v>
      </c>
      <c r="L2164">
        <v>0</v>
      </c>
    </row>
    <row r="2165" spans="1:12">
      <c r="A2165" s="93">
        <v>196431</v>
      </c>
      <c r="B2165" t="s">
        <v>2700</v>
      </c>
      <c r="C2165" t="s">
        <v>5607</v>
      </c>
      <c r="D2165" s="92">
        <v>0.2</v>
      </c>
      <c r="E2165" s="92" t="s">
        <v>428</v>
      </c>
      <c r="F2165" t="s">
        <v>428</v>
      </c>
      <c r="G2165" t="s">
        <v>428</v>
      </c>
      <c r="H2165" t="s">
        <v>5616</v>
      </c>
      <c r="I2165">
        <v>0</v>
      </c>
      <c r="J2165" t="s">
        <v>87</v>
      </c>
      <c r="K2165">
        <v>0</v>
      </c>
      <c r="L2165">
        <v>0</v>
      </c>
    </row>
    <row r="2166" spans="1:12">
      <c r="A2166" s="93">
        <v>196440</v>
      </c>
      <c r="B2166" t="s">
        <v>2701</v>
      </c>
      <c r="C2166" t="s">
        <v>5607</v>
      </c>
      <c r="D2166" s="92">
        <v>0.67</v>
      </c>
      <c r="E2166" s="92" t="s">
        <v>428</v>
      </c>
      <c r="F2166" t="s">
        <v>428</v>
      </c>
      <c r="G2166" t="s">
        <v>428</v>
      </c>
      <c r="H2166" t="s">
        <v>5615</v>
      </c>
      <c r="I2166">
        <v>0</v>
      </c>
      <c r="J2166" t="s">
        <v>87</v>
      </c>
      <c r="K2166">
        <v>0</v>
      </c>
      <c r="L2166">
        <v>0</v>
      </c>
    </row>
    <row r="2167" spans="1:12">
      <c r="A2167" s="93">
        <v>196468</v>
      </c>
      <c r="B2167" t="s">
        <v>2702</v>
      </c>
      <c r="C2167" t="s">
        <v>5607</v>
      </c>
      <c r="D2167" s="92" t="s">
        <v>428</v>
      </c>
      <c r="E2167" s="92" t="s">
        <v>428</v>
      </c>
      <c r="F2167" t="s">
        <v>428</v>
      </c>
      <c r="G2167" t="s">
        <v>428</v>
      </c>
      <c r="H2167" t="s">
        <v>5615</v>
      </c>
      <c r="I2167">
        <v>0</v>
      </c>
      <c r="J2167" t="s">
        <v>87</v>
      </c>
      <c r="K2167">
        <v>0</v>
      </c>
      <c r="L2167">
        <v>0</v>
      </c>
    </row>
    <row r="2168" spans="1:12">
      <c r="A2168" s="93">
        <v>196477</v>
      </c>
      <c r="B2168" t="s">
        <v>2703</v>
      </c>
      <c r="C2168" t="s">
        <v>5606</v>
      </c>
      <c r="D2168" s="92" t="s">
        <v>428</v>
      </c>
      <c r="E2168" s="92" t="s">
        <v>428</v>
      </c>
      <c r="F2168" t="s">
        <v>428</v>
      </c>
      <c r="G2168" t="s">
        <v>428</v>
      </c>
      <c r="H2168" t="s">
        <v>5617</v>
      </c>
      <c r="I2168">
        <v>0</v>
      </c>
      <c r="J2168" t="s">
        <v>87</v>
      </c>
      <c r="K2168">
        <v>0</v>
      </c>
      <c r="L2168">
        <v>0</v>
      </c>
    </row>
    <row r="2169" spans="1:12">
      <c r="A2169" s="93">
        <v>196565</v>
      </c>
      <c r="B2169" t="s">
        <v>2704</v>
      </c>
      <c r="C2169" t="s">
        <v>5606</v>
      </c>
      <c r="D2169" s="92">
        <v>0.4</v>
      </c>
      <c r="E2169" s="92">
        <v>0.35</v>
      </c>
      <c r="F2169" t="s">
        <v>428</v>
      </c>
      <c r="G2169" t="s">
        <v>428</v>
      </c>
      <c r="H2169" t="s">
        <v>5615</v>
      </c>
      <c r="I2169">
        <v>0</v>
      </c>
      <c r="J2169" t="s">
        <v>87</v>
      </c>
      <c r="K2169">
        <v>0</v>
      </c>
      <c r="L2169">
        <v>0</v>
      </c>
    </row>
    <row r="2170" spans="1:12">
      <c r="A2170" s="93">
        <v>196583</v>
      </c>
      <c r="B2170" t="s">
        <v>2705</v>
      </c>
      <c r="C2170" t="s">
        <v>5607</v>
      </c>
      <c r="D2170" s="92">
        <v>0.06</v>
      </c>
      <c r="E2170" s="92" t="s">
        <v>428</v>
      </c>
      <c r="F2170" t="s">
        <v>428</v>
      </c>
      <c r="G2170" t="s">
        <v>428</v>
      </c>
      <c r="H2170" t="s">
        <v>5624</v>
      </c>
      <c r="I2170">
        <v>1</v>
      </c>
      <c r="J2170" t="s">
        <v>87</v>
      </c>
      <c r="K2170">
        <v>0</v>
      </c>
      <c r="L2170">
        <v>0</v>
      </c>
    </row>
    <row r="2171" spans="1:12">
      <c r="A2171" s="93">
        <v>196592</v>
      </c>
      <c r="B2171" t="s">
        <v>2706</v>
      </c>
      <c r="C2171" t="s">
        <v>5603</v>
      </c>
      <c r="D2171" s="92">
        <v>0.48</v>
      </c>
      <c r="E2171" s="92">
        <v>0.44</v>
      </c>
      <c r="F2171" t="s">
        <v>428</v>
      </c>
      <c r="G2171" t="s">
        <v>428</v>
      </c>
      <c r="H2171" t="s">
        <v>5617</v>
      </c>
      <c r="I2171">
        <v>0</v>
      </c>
      <c r="J2171" t="s">
        <v>87</v>
      </c>
      <c r="K2171">
        <v>0</v>
      </c>
      <c r="L2171">
        <v>0</v>
      </c>
    </row>
    <row r="2172" spans="1:12">
      <c r="A2172" s="93">
        <v>196653</v>
      </c>
      <c r="B2172" t="s">
        <v>2707</v>
      </c>
      <c r="C2172" t="s">
        <v>5604</v>
      </c>
      <c r="D2172" s="92" t="s">
        <v>428</v>
      </c>
      <c r="E2172" s="92" t="s">
        <v>428</v>
      </c>
      <c r="F2172" t="s">
        <v>428</v>
      </c>
      <c r="G2172" t="s">
        <v>428</v>
      </c>
      <c r="H2172" t="s">
        <v>5613</v>
      </c>
      <c r="I2172">
        <v>1</v>
      </c>
      <c r="J2172" t="s">
        <v>87</v>
      </c>
      <c r="K2172">
        <v>0</v>
      </c>
      <c r="L2172">
        <v>0</v>
      </c>
    </row>
    <row r="2173" spans="1:12">
      <c r="A2173" s="93">
        <v>196680</v>
      </c>
      <c r="B2173" t="s">
        <v>2708</v>
      </c>
      <c r="C2173" t="s">
        <v>5610</v>
      </c>
      <c r="D2173" s="92" t="s">
        <v>428</v>
      </c>
      <c r="E2173" s="92" t="s">
        <v>428</v>
      </c>
      <c r="F2173" t="s">
        <v>428</v>
      </c>
      <c r="G2173" t="s">
        <v>428</v>
      </c>
      <c r="H2173" t="s">
        <v>5615</v>
      </c>
      <c r="I2173">
        <v>0</v>
      </c>
      <c r="J2173" t="s">
        <v>87</v>
      </c>
      <c r="K2173">
        <v>0</v>
      </c>
      <c r="L2173">
        <v>0</v>
      </c>
    </row>
    <row r="2174" spans="1:12">
      <c r="A2174" s="93">
        <v>196699</v>
      </c>
      <c r="B2174" t="s">
        <v>2709</v>
      </c>
      <c r="C2174" t="s">
        <v>5606</v>
      </c>
      <c r="D2174" s="92">
        <v>0.38</v>
      </c>
      <c r="E2174" s="92">
        <v>0.27</v>
      </c>
      <c r="F2174" t="s">
        <v>428</v>
      </c>
      <c r="G2174" t="s">
        <v>428</v>
      </c>
      <c r="H2174" t="s">
        <v>5615</v>
      </c>
      <c r="I2174">
        <v>0</v>
      </c>
      <c r="J2174" t="s">
        <v>87</v>
      </c>
      <c r="K2174">
        <v>0</v>
      </c>
      <c r="L2174">
        <v>0</v>
      </c>
    </row>
    <row r="2175" spans="1:12">
      <c r="A2175" s="93">
        <v>196866</v>
      </c>
      <c r="B2175" t="s">
        <v>1783</v>
      </c>
      <c r="C2175" t="s">
        <v>5612</v>
      </c>
      <c r="D2175" s="92">
        <v>0.87</v>
      </c>
      <c r="E2175" s="92">
        <v>0.89</v>
      </c>
      <c r="F2175" t="s">
        <v>428</v>
      </c>
      <c r="G2175" t="s">
        <v>428</v>
      </c>
      <c r="H2175" t="s">
        <v>5621</v>
      </c>
      <c r="I2175">
        <v>1</v>
      </c>
      <c r="J2175" t="s">
        <v>87</v>
      </c>
      <c r="K2175">
        <v>0</v>
      </c>
      <c r="L2175">
        <v>0</v>
      </c>
    </row>
    <row r="2176" spans="1:12">
      <c r="A2176" s="93">
        <v>196884</v>
      </c>
      <c r="B2176" t="s">
        <v>2710</v>
      </c>
      <c r="C2176" t="s">
        <v>5607</v>
      </c>
      <c r="D2176" s="92" t="s">
        <v>428</v>
      </c>
      <c r="E2176" s="92" t="s">
        <v>428</v>
      </c>
      <c r="F2176" t="s">
        <v>428</v>
      </c>
      <c r="G2176" t="s">
        <v>428</v>
      </c>
      <c r="H2176" t="s">
        <v>5615</v>
      </c>
      <c r="I2176">
        <v>0</v>
      </c>
      <c r="J2176" t="s">
        <v>87</v>
      </c>
      <c r="K2176">
        <v>0</v>
      </c>
      <c r="L2176">
        <v>0</v>
      </c>
    </row>
    <row r="2177" spans="1:12">
      <c r="A2177" s="93">
        <v>197018</v>
      </c>
      <c r="B2177" t="s">
        <v>2711</v>
      </c>
      <c r="C2177" t="s">
        <v>5604</v>
      </c>
      <c r="D2177" s="92">
        <v>0.5</v>
      </c>
      <c r="E2177" s="92">
        <v>0.17</v>
      </c>
      <c r="F2177" t="s">
        <v>428</v>
      </c>
      <c r="G2177" t="s">
        <v>428</v>
      </c>
      <c r="H2177" t="s">
        <v>5613</v>
      </c>
      <c r="I2177">
        <v>1</v>
      </c>
      <c r="J2177" t="s">
        <v>87</v>
      </c>
      <c r="K2177">
        <v>0</v>
      </c>
      <c r="L2177">
        <v>0</v>
      </c>
    </row>
    <row r="2178" spans="1:12">
      <c r="A2178" s="93">
        <v>197027</v>
      </c>
      <c r="B2178" t="s">
        <v>2712</v>
      </c>
      <c r="C2178" t="s">
        <v>5605</v>
      </c>
      <c r="D2178" s="92">
        <v>0.72</v>
      </c>
      <c r="E2178" s="92">
        <v>0.53</v>
      </c>
      <c r="F2178">
        <v>26</v>
      </c>
      <c r="G2178">
        <v>28</v>
      </c>
      <c r="H2178" t="s">
        <v>5615</v>
      </c>
      <c r="I2178">
        <v>0</v>
      </c>
      <c r="J2178" t="s">
        <v>87</v>
      </c>
      <c r="K2178">
        <v>0</v>
      </c>
      <c r="L2178">
        <v>0</v>
      </c>
    </row>
    <row r="2179" spans="1:12">
      <c r="A2179" s="93">
        <v>197036</v>
      </c>
      <c r="B2179" t="s">
        <v>2713</v>
      </c>
      <c r="C2179" t="s">
        <v>5605</v>
      </c>
      <c r="D2179" s="92">
        <v>0.86</v>
      </c>
      <c r="E2179" s="92">
        <v>0.78</v>
      </c>
      <c r="F2179">
        <v>26</v>
      </c>
      <c r="G2179">
        <v>28.5</v>
      </c>
      <c r="H2179" t="s">
        <v>5615</v>
      </c>
      <c r="I2179">
        <v>0</v>
      </c>
      <c r="J2179" t="s">
        <v>87</v>
      </c>
      <c r="K2179">
        <v>0</v>
      </c>
      <c r="L2179">
        <v>0</v>
      </c>
    </row>
    <row r="2180" spans="1:12">
      <c r="A2180" s="93">
        <v>197045</v>
      </c>
      <c r="B2180" t="s">
        <v>2714</v>
      </c>
      <c r="C2180" t="s">
        <v>5602</v>
      </c>
      <c r="D2180" s="92">
        <v>0.44</v>
      </c>
      <c r="E2180" s="92">
        <v>0.32</v>
      </c>
      <c r="F2180" t="s">
        <v>428</v>
      </c>
      <c r="G2180" t="s">
        <v>428</v>
      </c>
      <c r="H2180" t="s">
        <v>5617</v>
      </c>
      <c r="I2180">
        <v>0</v>
      </c>
      <c r="J2180" t="s">
        <v>87</v>
      </c>
      <c r="K2180">
        <v>0</v>
      </c>
      <c r="L2180">
        <v>0</v>
      </c>
    </row>
    <row r="2181" spans="1:12">
      <c r="A2181" s="93">
        <v>197133</v>
      </c>
      <c r="B2181" t="s">
        <v>2715</v>
      </c>
      <c r="C2181" t="s">
        <v>5612</v>
      </c>
      <c r="D2181" s="92">
        <v>0.91</v>
      </c>
      <c r="E2181" s="92">
        <v>0.9</v>
      </c>
      <c r="F2181">
        <v>30</v>
      </c>
      <c r="G2181">
        <v>31.5</v>
      </c>
      <c r="H2181" t="s">
        <v>5623</v>
      </c>
      <c r="I2181">
        <v>1</v>
      </c>
      <c r="J2181" t="s">
        <v>87</v>
      </c>
      <c r="K2181">
        <v>0</v>
      </c>
      <c r="L2181">
        <v>0</v>
      </c>
    </row>
    <row r="2182" spans="1:12">
      <c r="A2182" s="93">
        <v>197142</v>
      </c>
      <c r="B2182" t="s">
        <v>2716</v>
      </c>
      <c r="C2182" t="s">
        <v>5607</v>
      </c>
      <c r="D2182" s="92">
        <v>0.32</v>
      </c>
      <c r="E2182" s="92">
        <v>0.16</v>
      </c>
      <c r="F2182" t="s">
        <v>428</v>
      </c>
      <c r="G2182" t="s">
        <v>428</v>
      </c>
      <c r="H2182" t="s">
        <v>5613</v>
      </c>
      <c r="I2182">
        <v>1</v>
      </c>
      <c r="J2182" t="s">
        <v>87</v>
      </c>
      <c r="K2182">
        <v>0</v>
      </c>
      <c r="L2182">
        <v>0</v>
      </c>
    </row>
    <row r="2183" spans="1:12">
      <c r="A2183" s="93">
        <v>197151</v>
      </c>
      <c r="B2183" t="s">
        <v>2717</v>
      </c>
      <c r="C2183" t="s">
        <v>5610</v>
      </c>
      <c r="D2183" s="92">
        <v>0.66</v>
      </c>
      <c r="E2183" s="92">
        <v>0.57</v>
      </c>
      <c r="F2183">
        <v>21</v>
      </c>
      <c r="G2183">
        <v>23.5</v>
      </c>
      <c r="H2183" t="s">
        <v>5617</v>
      </c>
      <c r="I2183">
        <v>0</v>
      </c>
      <c r="J2183" t="s">
        <v>87</v>
      </c>
      <c r="K2183">
        <v>0</v>
      </c>
      <c r="L2183">
        <v>0</v>
      </c>
    </row>
    <row r="2184" spans="1:12">
      <c r="A2184" s="93">
        <v>197197</v>
      </c>
      <c r="B2184" t="s">
        <v>2718</v>
      </c>
      <c r="C2184" t="s">
        <v>5602</v>
      </c>
      <c r="D2184" s="92">
        <v>0.66</v>
      </c>
      <c r="E2184" s="92">
        <v>0.57</v>
      </c>
      <c r="F2184" t="s">
        <v>428</v>
      </c>
      <c r="G2184" t="s">
        <v>428</v>
      </c>
      <c r="H2184" t="s">
        <v>5617</v>
      </c>
      <c r="I2184">
        <v>0</v>
      </c>
      <c r="J2184" t="s">
        <v>87</v>
      </c>
      <c r="K2184">
        <v>0</v>
      </c>
      <c r="L2184">
        <v>0</v>
      </c>
    </row>
    <row r="2185" spans="1:12">
      <c r="A2185" s="93">
        <v>197221</v>
      </c>
      <c r="B2185" t="s">
        <v>2719</v>
      </c>
      <c r="C2185" t="s">
        <v>5612</v>
      </c>
      <c r="D2185" s="92">
        <v>0.83</v>
      </c>
      <c r="E2185" s="92">
        <v>1</v>
      </c>
      <c r="F2185">
        <v>34</v>
      </c>
      <c r="G2185">
        <v>34.5</v>
      </c>
      <c r="H2185" t="s">
        <v>5615</v>
      </c>
      <c r="I2185">
        <v>0</v>
      </c>
      <c r="J2185" t="s">
        <v>87</v>
      </c>
      <c r="K2185">
        <v>0</v>
      </c>
      <c r="L2185">
        <v>0</v>
      </c>
    </row>
    <row r="2186" spans="1:12">
      <c r="A2186" s="93">
        <v>197230</v>
      </c>
      <c r="B2186" t="s">
        <v>516</v>
      </c>
      <c r="C2186" t="s">
        <v>5602</v>
      </c>
      <c r="D2186" s="92">
        <v>0.53</v>
      </c>
      <c r="E2186" s="92">
        <v>0.33</v>
      </c>
      <c r="F2186">
        <v>19</v>
      </c>
      <c r="G2186">
        <v>22.5</v>
      </c>
      <c r="H2186" t="s">
        <v>5616</v>
      </c>
      <c r="I2186">
        <v>0</v>
      </c>
      <c r="J2186" t="s">
        <v>87</v>
      </c>
      <c r="K2186">
        <v>0</v>
      </c>
      <c r="L2186">
        <v>0</v>
      </c>
    </row>
    <row r="2187" spans="1:12">
      <c r="A2187" s="93">
        <v>197285</v>
      </c>
      <c r="B2187" t="s">
        <v>2720</v>
      </c>
      <c r="C2187" t="s">
        <v>5607</v>
      </c>
      <c r="D2187" s="92">
        <v>0.32</v>
      </c>
      <c r="E2187" s="92">
        <v>0.31</v>
      </c>
      <c r="F2187" t="s">
        <v>428</v>
      </c>
      <c r="G2187" t="s">
        <v>428</v>
      </c>
      <c r="H2187" t="s">
        <v>5617</v>
      </c>
      <c r="I2187">
        <v>0</v>
      </c>
      <c r="J2187" t="s">
        <v>87</v>
      </c>
      <c r="K2187">
        <v>0</v>
      </c>
      <c r="L2187">
        <v>0</v>
      </c>
    </row>
    <row r="2188" spans="1:12">
      <c r="A2188" s="93">
        <v>197294</v>
      </c>
      <c r="B2188" t="s">
        <v>2721</v>
      </c>
      <c r="C2188" t="s">
        <v>5606</v>
      </c>
      <c r="D2188" s="92">
        <v>0.25</v>
      </c>
      <c r="E2188" s="92">
        <v>0.23</v>
      </c>
      <c r="F2188" t="s">
        <v>428</v>
      </c>
      <c r="G2188" t="s">
        <v>428</v>
      </c>
      <c r="H2188" t="s">
        <v>5615</v>
      </c>
      <c r="I2188">
        <v>0</v>
      </c>
      <c r="J2188" t="s">
        <v>87</v>
      </c>
      <c r="K2188">
        <v>0</v>
      </c>
      <c r="L2188">
        <v>0</v>
      </c>
    </row>
    <row r="2189" spans="1:12">
      <c r="A2189" s="93">
        <v>197522</v>
      </c>
      <c r="B2189" t="s">
        <v>2722</v>
      </c>
      <c r="C2189" t="s">
        <v>5606</v>
      </c>
      <c r="D2189" s="92" t="s">
        <v>428</v>
      </c>
      <c r="E2189" s="92" t="s">
        <v>428</v>
      </c>
      <c r="F2189" t="s">
        <v>428</v>
      </c>
      <c r="G2189" t="s">
        <v>428</v>
      </c>
      <c r="H2189" t="s">
        <v>5616</v>
      </c>
      <c r="I2189">
        <v>0</v>
      </c>
      <c r="J2189" t="s">
        <v>87</v>
      </c>
      <c r="K2189">
        <v>0</v>
      </c>
      <c r="L2189">
        <v>0</v>
      </c>
    </row>
    <row r="2190" spans="1:12">
      <c r="A2190" s="93">
        <v>197531</v>
      </c>
      <c r="B2190" t="s">
        <v>2723</v>
      </c>
      <c r="C2190" t="s">
        <v>5606</v>
      </c>
      <c r="D2190" s="92">
        <v>0.83</v>
      </c>
      <c r="E2190" s="92">
        <v>0.73</v>
      </c>
      <c r="F2190" t="s">
        <v>428</v>
      </c>
      <c r="G2190" t="s">
        <v>428</v>
      </c>
      <c r="H2190" t="s">
        <v>5613</v>
      </c>
      <c r="I2190">
        <v>1</v>
      </c>
      <c r="J2190" t="s">
        <v>87</v>
      </c>
      <c r="K2190">
        <v>0</v>
      </c>
      <c r="L2190">
        <v>0</v>
      </c>
    </row>
    <row r="2191" spans="1:12">
      <c r="A2191" s="93">
        <v>197601</v>
      </c>
      <c r="B2191" t="s">
        <v>2724</v>
      </c>
      <c r="C2191" t="s">
        <v>5607</v>
      </c>
      <c r="D2191" s="92">
        <v>0.5</v>
      </c>
      <c r="E2191" s="92" t="s">
        <v>428</v>
      </c>
      <c r="F2191" t="s">
        <v>428</v>
      </c>
      <c r="G2191" t="s">
        <v>428</v>
      </c>
      <c r="H2191" t="s">
        <v>5624</v>
      </c>
      <c r="I2191">
        <v>1</v>
      </c>
      <c r="J2191" t="s">
        <v>87</v>
      </c>
      <c r="K2191">
        <v>0</v>
      </c>
      <c r="L2191">
        <v>0</v>
      </c>
    </row>
    <row r="2192" spans="1:12">
      <c r="A2192" s="93">
        <v>197610</v>
      </c>
      <c r="B2192" t="s">
        <v>2725</v>
      </c>
      <c r="C2192" t="s">
        <v>5607</v>
      </c>
      <c r="D2192" s="92">
        <v>0.06</v>
      </c>
      <c r="E2192" s="92" t="s">
        <v>428</v>
      </c>
      <c r="F2192" t="s">
        <v>428</v>
      </c>
      <c r="G2192" t="s">
        <v>428</v>
      </c>
      <c r="H2192" t="s">
        <v>5615</v>
      </c>
      <c r="I2192">
        <v>0</v>
      </c>
      <c r="J2192" t="s">
        <v>87</v>
      </c>
      <c r="K2192">
        <v>0</v>
      </c>
      <c r="L2192">
        <v>0</v>
      </c>
    </row>
    <row r="2193" spans="1:12">
      <c r="A2193" s="93">
        <v>197647</v>
      </c>
      <c r="B2193" t="s">
        <v>2726</v>
      </c>
      <c r="C2193" t="s">
        <v>5607</v>
      </c>
      <c r="D2193" s="92">
        <v>0.21</v>
      </c>
      <c r="E2193" s="92" t="s">
        <v>428</v>
      </c>
      <c r="F2193" t="s">
        <v>428</v>
      </c>
      <c r="G2193" t="s">
        <v>428</v>
      </c>
      <c r="H2193" t="s">
        <v>5624</v>
      </c>
      <c r="I2193">
        <v>1</v>
      </c>
      <c r="J2193" t="s">
        <v>87</v>
      </c>
      <c r="K2193">
        <v>0</v>
      </c>
      <c r="L2193">
        <v>0</v>
      </c>
    </row>
    <row r="2194" spans="1:12">
      <c r="A2194" s="93">
        <v>197674</v>
      </c>
      <c r="B2194" t="s">
        <v>2727</v>
      </c>
      <c r="C2194" t="s">
        <v>5604</v>
      </c>
      <c r="D2194" s="92">
        <v>0.17</v>
      </c>
      <c r="E2194" s="92" t="s">
        <v>428</v>
      </c>
      <c r="F2194" t="s">
        <v>428</v>
      </c>
      <c r="G2194" t="s">
        <v>428</v>
      </c>
      <c r="H2194" t="s">
        <v>5614</v>
      </c>
      <c r="I2194">
        <v>1</v>
      </c>
      <c r="J2194" t="s">
        <v>87</v>
      </c>
      <c r="K2194">
        <v>0</v>
      </c>
      <c r="L2194">
        <v>0</v>
      </c>
    </row>
    <row r="2195" spans="1:12">
      <c r="A2195" s="93">
        <v>197692</v>
      </c>
      <c r="B2195" t="s">
        <v>2728</v>
      </c>
      <c r="C2195" t="s">
        <v>5607</v>
      </c>
      <c r="D2195" s="92">
        <v>0.58</v>
      </c>
      <c r="E2195" s="92" t="s">
        <v>428</v>
      </c>
      <c r="F2195" t="s">
        <v>428</v>
      </c>
      <c r="G2195" t="s">
        <v>428</v>
      </c>
      <c r="H2195" t="s">
        <v>5615</v>
      </c>
      <c r="I2195">
        <v>0</v>
      </c>
      <c r="J2195" t="s">
        <v>87</v>
      </c>
      <c r="K2195">
        <v>0</v>
      </c>
      <c r="L2195">
        <v>0</v>
      </c>
    </row>
    <row r="2196" spans="1:12">
      <c r="A2196" s="93">
        <v>197708</v>
      </c>
      <c r="B2196" t="s">
        <v>2729</v>
      </c>
      <c r="C2196" t="s">
        <v>5603</v>
      </c>
      <c r="D2196" s="92">
        <v>0.85</v>
      </c>
      <c r="E2196" s="92">
        <v>0.67</v>
      </c>
      <c r="F2196">
        <v>23</v>
      </c>
      <c r="G2196">
        <v>26.5</v>
      </c>
      <c r="H2196" t="s">
        <v>5617</v>
      </c>
      <c r="I2196">
        <v>0</v>
      </c>
      <c r="J2196" t="s">
        <v>87</v>
      </c>
      <c r="K2196">
        <v>0</v>
      </c>
      <c r="L2196">
        <v>0</v>
      </c>
    </row>
    <row r="2197" spans="1:12">
      <c r="A2197" s="93">
        <v>197735</v>
      </c>
      <c r="B2197" t="s">
        <v>2730</v>
      </c>
      <c r="C2197" t="s">
        <v>5607</v>
      </c>
      <c r="D2197" s="92">
        <v>0.88</v>
      </c>
      <c r="E2197" s="92" t="s">
        <v>428</v>
      </c>
      <c r="F2197" t="s">
        <v>428</v>
      </c>
      <c r="G2197" t="s">
        <v>428</v>
      </c>
      <c r="H2197" t="s">
        <v>5624</v>
      </c>
      <c r="I2197">
        <v>1</v>
      </c>
      <c r="J2197" t="s">
        <v>87</v>
      </c>
      <c r="K2197">
        <v>0</v>
      </c>
      <c r="L2197">
        <v>0</v>
      </c>
    </row>
    <row r="2198" spans="1:12">
      <c r="A2198" s="93">
        <v>197744</v>
      </c>
      <c r="B2198" t="s">
        <v>2731</v>
      </c>
      <c r="C2198" t="s">
        <v>5607</v>
      </c>
      <c r="D2198" s="92">
        <v>0.12</v>
      </c>
      <c r="E2198" s="92" t="s">
        <v>428</v>
      </c>
      <c r="F2198" t="s">
        <v>428</v>
      </c>
      <c r="G2198" t="s">
        <v>428</v>
      </c>
      <c r="H2198" t="s">
        <v>5613</v>
      </c>
      <c r="I2198">
        <v>1</v>
      </c>
      <c r="J2198" t="s">
        <v>87</v>
      </c>
      <c r="K2198">
        <v>0</v>
      </c>
      <c r="L2198">
        <v>0</v>
      </c>
    </row>
    <row r="2199" spans="1:12">
      <c r="A2199" s="93">
        <v>197814</v>
      </c>
      <c r="B2199" t="s">
        <v>2732</v>
      </c>
      <c r="C2199" t="s">
        <v>5606</v>
      </c>
      <c r="D2199" s="92" t="s">
        <v>428</v>
      </c>
      <c r="E2199" s="92" t="s">
        <v>428</v>
      </c>
      <c r="F2199" t="s">
        <v>428</v>
      </c>
      <c r="G2199" t="s">
        <v>428</v>
      </c>
      <c r="H2199" t="s">
        <v>5615</v>
      </c>
      <c r="I2199">
        <v>0</v>
      </c>
      <c r="J2199" t="s">
        <v>87</v>
      </c>
      <c r="K2199">
        <v>0</v>
      </c>
      <c r="L2199">
        <v>0</v>
      </c>
    </row>
    <row r="2200" spans="1:12">
      <c r="A2200" s="93">
        <v>197832</v>
      </c>
      <c r="B2200" t="s">
        <v>2733</v>
      </c>
      <c r="C2200" t="s">
        <v>5604</v>
      </c>
      <c r="D2200" s="92">
        <v>0.23</v>
      </c>
      <c r="E2200" s="92">
        <v>0.22</v>
      </c>
      <c r="F2200" t="s">
        <v>428</v>
      </c>
      <c r="G2200" t="s">
        <v>428</v>
      </c>
      <c r="H2200" t="s">
        <v>5617</v>
      </c>
      <c r="I2200">
        <v>0</v>
      </c>
      <c r="J2200" t="s">
        <v>87</v>
      </c>
      <c r="K2200">
        <v>0</v>
      </c>
      <c r="L2200">
        <v>0</v>
      </c>
    </row>
    <row r="2201" spans="1:12">
      <c r="A2201" s="93">
        <v>197850</v>
      </c>
      <c r="B2201" t="s">
        <v>2734</v>
      </c>
      <c r="C2201" t="s">
        <v>5606</v>
      </c>
      <c r="D2201" s="92">
        <v>0.27</v>
      </c>
      <c r="E2201" s="92">
        <v>0.24</v>
      </c>
      <c r="F2201" t="s">
        <v>428</v>
      </c>
      <c r="G2201" t="s">
        <v>428</v>
      </c>
      <c r="H2201" t="s">
        <v>5615</v>
      </c>
      <c r="I2201">
        <v>0</v>
      </c>
      <c r="J2201" t="s">
        <v>87</v>
      </c>
      <c r="K2201">
        <v>0</v>
      </c>
      <c r="L2201">
        <v>0</v>
      </c>
    </row>
    <row r="2202" spans="1:12">
      <c r="A2202" s="93">
        <v>197869</v>
      </c>
      <c r="B2202" t="s">
        <v>2735</v>
      </c>
      <c r="C2202" t="s">
        <v>5603</v>
      </c>
      <c r="D2202" s="92">
        <v>0.72</v>
      </c>
      <c r="E2202" s="92">
        <v>0.66</v>
      </c>
      <c r="F2202">
        <v>23</v>
      </c>
      <c r="G2202">
        <v>25</v>
      </c>
      <c r="H2202" t="s">
        <v>5617</v>
      </c>
      <c r="I2202">
        <v>0</v>
      </c>
      <c r="J2202" t="s">
        <v>87</v>
      </c>
      <c r="K2202">
        <v>0</v>
      </c>
      <c r="L2202">
        <v>0</v>
      </c>
    </row>
    <row r="2203" spans="1:12">
      <c r="A2203" s="93">
        <v>197887</v>
      </c>
      <c r="B2203" t="s">
        <v>2736</v>
      </c>
      <c r="C2203" t="s">
        <v>5606</v>
      </c>
      <c r="D2203" s="92">
        <v>0.33</v>
      </c>
      <c r="E2203" s="92">
        <v>0.35</v>
      </c>
      <c r="F2203" t="s">
        <v>428</v>
      </c>
      <c r="G2203" t="s">
        <v>428</v>
      </c>
      <c r="H2203" t="s">
        <v>5615</v>
      </c>
      <c r="I2203">
        <v>0</v>
      </c>
      <c r="J2203" t="s">
        <v>87</v>
      </c>
      <c r="K2203">
        <v>0</v>
      </c>
      <c r="L2203">
        <v>0</v>
      </c>
    </row>
    <row r="2204" spans="1:12">
      <c r="A2204" s="93">
        <v>197911</v>
      </c>
      <c r="B2204" t="s">
        <v>2737</v>
      </c>
      <c r="C2204" t="s">
        <v>5608</v>
      </c>
      <c r="D2204" s="92">
        <v>0.45</v>
      </c>
      <c r="E2204" s="92">
        <v>0.38</v>
      </c>
      <c r="F2204">
        <v>17</v>
      </c>
      <c r="G2204">
        <v>20</v>
      </c>
      <c r="H2204" t="s">
        <v>5617</v>
      </c>
      <c r="I2204">
        <v>0</v>
      </c>
      <c r="J2204" t="s">
        <v>87</v>
      </c>
      <c r="K2204">
        <v>0</v>
      </c>
      <c r="L2204">
        <v>0</v>
      </c>
    </row>
    <row r="2205" spans="1:12">
      <c r="A2205" s="93">
        <v>197966</v>
      </c>
      <c r="B2205" t="s">
        <v>2738</v>
      </c>
      <c r="C2205" t="s">
        <v>5606</v>
      </c>
      <c r="D2205" s="92" t="s">
        <v>428</v>
      </c>
      <c r="E2205" s="92" t="s">
        <v>428</v>
      </c>
      <c r="F2205" t="s">
        <v>428</v>
      </c>
      <c r="G2205" t="s">
        <v>428</v>
      </c>
      <c r="H2205" t="s">
        <v>5615</v>
      </c>
      <c r="I2205">
        <v>0</v>
      </c>
      <c r="J2205" t="s">
        <v>87</v>
      </c>
      <c r="K2205">
        <v>0</v>
      </c>
      <c r="L2205">
        <v>0</v>
      </c>
    </row>
    <row r="2206" spans="1:12">
      <c r="A2206" s="93">
        <v>197984</v>
      </c>
      <c r="B2206" t="s">
        <v>513</v>
      </c>
      <c r="C2206" t="s">
        <v>5602</v>
      </c>
      <c r="D2206" s="92">
        <v>0.42</v>
      </c>
      <c r="E2206" s="92">
        <v>0.43</v>
      </c>
      <c r="F2206">
        <v>18</v>
      </c>
      <c r="G2206">
        <v>21</v>
      </c>
      <c r="H2206" t="s">
        <v>5617</v>
      </c>
      <c r="I2206">
        <v>0</v>
      </c>
      <c r="J2206" t="s">
        <v>87</v>
      </c>
      <c r="K2206">
        <v>0</v>
      </c>
      <c r="L2206">
        <v>0</v>
      </c>
    </row>
    <row r="2207" spans="1:12">
      <c r="A2207" s="93">
        <v>197993</v>
      </c>
      <c r="B2207" t="s">
        <v>2739</v>
      </c>
      <c r="C2207" t="s">
        <v>5604</v>
      </c>
      <c r="D2207" s="92">
        <v>0.42</v>
      </c>
      <c r="E2207" s="92">
        <v>0.58</v>
      </c>
      <c r="F2207" t="s">
        <v>428</v>
      </c>
      <c r="G2207" t="s">
        <v>428</v>
      </c>
      <c r="H2207" t="s">
        <v>5617</v>
      </c>
      <c r="I2207">
        <v>0</v>
      </c>
      <c r="J2207" t="s">
        <v>138</v>
      </c>
      <c r="K2207">
        <v>0</v>
      </c>
      <c r="L2207">
        <v>0</v>
      </c>
    </row>
    <row r="2208" spans="1:12">
      <c r="A2208" s="93">
        <v>198011</v>
      </c>
      <c r="B2208" t="s">
        <v>2740</v>
      </c>
      <c r="C2208" t="s">
        <v>5606</v>
      </c>
      <c r="D2208" s="92" t="s">
        <v>428</v>
      </c>
      <c r="E2208" s="92" t="s">
        <v>428</v>
      </c>
      <c r="F2208" t="s">
        <v>428</v>
      </c>
      <c r="G2208" t="s">
        <v>428</v>
      </c>
      <c r="H2208" t="s">
        <v>5615</v>
      </c>
      <c r="I2208">
        <v>0</v>
      </c>
      <c r="J2208" t="s">
        <v>87</v>
      </c>
      <c r="K2208">
        <v>0</v>
      </c>
      <c r="L2208">
        <v>0</v>
      </c>
    </row>
    <row r="2209" spans="1:12">
      <c r="A2209" s="93">
        <v>198039</v>
      </c>
      <c r="B2209" t="s">
        <v>2741</v>
      </c>
      <c r="C2209" t="s">
        <v>5606</v>
      </c>
      <c r="D2209" s="92">
        <v>0.36</v>
      </c>
      <c r="E2209" s="92">
        <v>0.25</v>
      </c>
      <c r="F2209" t="s">
        <v>428</v>
      </c>
      <c r="G2209" t="s">
        <v>428</v>
      </c>
      <c r="H2209" t="s">
        <v>5615</v>
      </c>
      <c r="I2209">
        <v>0</v>
      </c>
      <c r="J2209" t="s">
        <v>87</v>
      </c>
      <c r="K2209">
        <v>0</v>
      </c>
      <c r="L2209">
        <v>0</v>
      </c>
    </row>
    <row r="2210" spans="1:12">
      <c r="A2210" s="93">
        <v>198066</v>
      </c>
      <c r="B2210" t="s">
        <v>2742</v>
      </c>
      <c r="C2210" t="s">
        <v>5607</v>
      </c>
      <c r="D2210" s="92">
        <v>0.42</v>
      </c>
      <c r="E2210" s="92">
        <v>0.34</v>
      </c>
      <c r="F2210" t="s">
        <v>428</v>
      </c>
      <c r="G2210" t="s">
        <v>428</v>
      </c>
      <c r="H2210" t="s">
        <v>5617</v>
      </c>
      <c r="I2210">
        <v>0</v>
      </c>
      <c r="J2210" t="s">
        <v>87</v>
      </c>
      <c r="K2210">
        <v>0</v>
      </c>
      <c r="L2210">
        <v>0</v>
      </c>
    </row>
    <row r="2211" spans="1:12">
      <c r="A2211" s="93">
        <v>198084</v>
      </c>
      <c r="B2211" t="s">
        <v>2743</v>
      </c>
      <c r="C2211" t="s">
        <v>5606</v>
      </c>
      <c r="D2211" s="92" t="s">
        <v>428</v>
      </c>
      <c r="E2211" s="92" t="s">
        <v>428</v>
      </c>
      <c r="F2211" t="s">
        <v>428</v>
      </c>
      <c r="G2211" t="s">
        <v>428</v>
      </c>
      <c r="H2211" t="s">
        <v>5615</v>
      </c>
      <c r="I2211">
        <v>0</v>
      </c>
      <c r="J2211" t="s">
        <v>87</v>
      </c>
      <c r="K2211">
        <v>0</v>
      </c>
      <c r="L2211">
        <v>0</v>
      </c>
    </row>
    <row r="2212" spans="1:12">
      <c r="A2212" s="93">
        <v>198109</v>
      </c>
      <c r="B2212" t="s">
        <v>2744</v>
      </c>
      <c r="C2212" t="s">
        <v>5610</v>
      </c>
      <c r="D2212" s="92" t="s">
        <v>428</v>
      </c>
      <c r="E2212" s="92" t="s">
        <v>428</v>
      </c>
      <c r="F2212">
        <v>20</v>
      </c>
      <c r="G2212">
        <v>22</v>
      </c>
      <c r="H2212" t="s">
        <v>5616</v>
      </c>
      <c r="I2212">
        <v>0</v>
      </c>
      <c r="J2212" t="s">
        <v>87</v>
      </c>
      <c r="K2212">
        <v>0</v>
      </c>
      <c r="L2212">
        <v>0</v>
      </c>
    </row>
    <row r="2213" spans="1:12">
      <c r="A2213" s="93">
        <v>198118</v>
      </c>
      <c r="B2213" t="s">
        <v>2745</v>
      </c>
      <c r="C2213" t="s">
        <v>5606</v>
      </c>
      <c r="D2213" s="92" t="s">
        <v>428</v>
      </c>
      <c r="E2213" s="92" t="s">
        <v>428</v>
      </c>
      <c r="F2213" t="s">
        <v>428</v>
      </c>
      <c r="G2213" t="s">
        <v>428</v>
      </c>
      <c r="H2213" t="s">
        <v>5615</v>
      </c>
      <c r="I2213">
        <v>0</v>
      </c>
      <c r="J2213" t="s">
        <v>87</v>
      </c>
      <c r="K2213">
        <v>0</v>
      </c>
      <c r="L2213">
        <v>0</v>
      </c>
    </row>
    <row r="2214" spans="1:12">
      <c r="A2214" s="93">
        <v>198136</v>
      </c>
      <c r="B2214" t="s">
        <v>2746</v>
      </c>
      <c r="C2214" t="s">
        <v>5603</v>
      </c>
      <c r="D2214" s="92">
        <v>0.51</v>
      </c>
      <c r="E2214" s="92">
        <v>0.4</v>
      </c>
      <c r="F2214">
        <v>19</v>
      </c>
      <c r="G2214">
        <v>22</v>
      </c>
      <c r="H2214" t="s">
        <v>5617</v>
      </c>
      <c r="I2214">
        <v>0</v>
      </c>
      <c r="J2214" t="s">
        <v>87</v>
      </c>
      <c r="K2214">
        <v>0</v>
      </c>
      <c r="L2214">
        <v>0</v>
      </c>
    </row>
    <row r="2215" spans="1:12">
      <c r="A2215" s="93">
        <v>198154</v>
      </c>
      <c r="B2215" t="s">
        <v>2747</v>
      </c>
      <c r="C2215" t="s">
        <v>5606</v>
      </c>
      <c r="D2215" s="92">
        <v>0.44</v>
      </c>
      <c r="E2215" s="92">
        <v>0.28</v>
      </c>
      <c r="F2215" t="s">
        <v>428</v>
      </c>
      <c r="G2215" t="s">
        <v>428</v>
      </c>
      <c r="H2215" t="s">
        <v>5615</v>
      </c>
      <c r="I2215">
        <v>0</v>
      </c>
      <c r="J2215" t="s">
        <v>87</v>
      </c>
      <c r="K2215">
        <v>0</v>
      </c>
      <c r="L2215">
        <v>0</v>
      </c>
    </row>
    <row r="2216" spans="1:12">
      <c r="A2216" s="93">
        <v>198206</v>
      </c>
      <c r="B2216" t="s">
        <v>2748</v>
      </c>
      <c r="C2216" t="s">
        <v>5606</v>
      </c>
      <c r="D2216" s="92" t="s">
        <v>428</v>
      </c>
      <c r="E2216" s="92" t="s">
        <v>428</v>
      </c>
      <c r="F2216" t="s">
        <v>428</v>
      </c>
      <c r="G2216" t="s">
        <v>428</v>
      </c>
      <c r="H2216" t="s">
        <v>5615</v>
      </c>
      <c r="I2216">
        <v>0</v>
      </c>
      <c r="J2216" t="s">
        <v>87</v>
      </c>
      <c r="K2216">
        <v>0</v>
      </c>
      <c r="L2216">
        <v>0</v>
      </c>
    </row>
    <row r="2217" spans="1:12">
      <c r="A2217" s="93">
        <v>198215</v>
      </c>
      <c r="B2217" t="s">
        <v>514</v>
      </c>
      <c r="C2217" t="s">
        <v>5602</v>
      </c>
      <c r="D2217" s="92">
        <v>0.5</v>
      </c>
      <c r="E2217" s="92">
        <v>0.4</v>
      </c>
      <c r="F2217">
        <v>18</v>
      </c>
      <c r="G2217">
        <v>21</v>
      </c>
      <c r="H2217" t="s">
        <v>5617</v>
      </c>
      <c r="I2217">
        <v>0</v>
      </c>
      <c r="J2217" t="s">
        <v>87</v>
      </c>
      <c r="K2217">
        <v>0</v>
      </c>
      <c r="L2217">
        <v>0</v>
      </c>
    </row>
    <row r="2218" spans="1:12">
      <c r="A2218" s="93">
        <v>198233</v>
      </c>
      <c r="B2218" t="s">
        <v>2749</v>
      </c>
      <c r="C2218" t="s">
        <v>5606</v>
      </c>
      <c r="D2218" s="92">
        <v>0.33</v>
      </c>
      <c r="E2218" s="92">
        <v>0.32</v>
      </c>
      <c r="F2218" t="s">
        <v>428</v>
      </c>
      <c r="G2218" t="s">
        <v>428</v>
      </c>
      <c r="H2218" t="s">
        <v>5615</v>
      </c>
      <c r="I2218">
        <v>0</v>
      </c>
      <c r="J2218" t="s">
        <v>87</v>
      </c>
      <c r="K2218">
        <v>0</v>
      </c>
      <c r="L2218">
        <v>0</v>
      </c>
    </row>
    <row r="2219" spans="1:12">
      <c r="A2219" s="93">
        <v>198251</v>
      </c>
      <c r="B2219" t="s">
        <v>2750</v>
      </c>
      <c r="C2219" t="s">
        <v>5606</v>
      </c>
      <c r="D2219" s="92">
        <v>0.32</v>
      </c>
      <c r="E2219" s="92">
        <v>0.32</v>
      </c>
      <c r="F2219" t="s">
        <v>428</v>
      </c>
      <c r="G2219" t="s">
        <v>428</v>
      </c>
      <c r="H2219" t="s">
        <v>5615</v>
      </c>
      <c r="I2219">
        <v>0</v>
      </c>
      <c r="J2219" t="s">
        <v>87</v>
      </c>
      <c r="K2219">
        <v>0</v>
      </c>
      <c r="L2219">
        <v>0</v>
      </c>
    </row>
    <row r="2220" spans="1:12">
      <c r="A2220" s="93">
        <v>198260</v>
      </c>
      <c r="B2220" t="s">
        <v>2751</v>
      </c>
      <c r="C2220" t="s">
        <v>5606</v>
      </c>
      <c r="D2220" s="92">
        <v>0.3</v>
      </c>
      <c r="E2220" s="92">
        <v>0.23</v>
      </c>
      <c r="F2220" t="s">
        <v>428</v>
      </c>
      <c r="G2220" t="s">
        <v>428</v>
      </c>
      <c r="H2220" t="s">
        <v>5615</v>
      </c>
      <c r="I2220">
        <v>0</v>
      </c>
      <c r="J2220" t="s">
        <v>87</v>
      </c>
      <c r="K2220">
        <v>0</v>
      </c>
      <c r="L2220">
        <v>0</v>
      </c>
    </row>
    <row r="2221" spans="1:12">
      <c r="A2221" s="93">
        <v>198303</v>
      </c>
      <c r="B2221" t="s">
        <v>2752</v>
      </c>
      <c r="C2221" t="s">
        <v>5604</v>
      </c>
      <c r="D2221" s="92">
        <v>0.24</v>
      </c>
      <c r="E2221" s="92">
        <v>0.22</v>
      </c>
      <c r="F2221">
        <v>14</v>
      </c>
      <c r="G2221">
        <v>15.5</v>
      </c>
      <c r="H2221" t="s">
        <v>5617</v>
      </c>
      <c r="I2221">
        <v>0</v>
      </c>
      <c r="J2221" t="s">
        <v>87</v>
      </c>
      <c r="K2221">
        <v>0</v>
      </c>
      <c r="L2221">
        <v>0</v>
      </c>
    </row>
    <row r="2222" spans="1:12">
      <c r="A2222" s="93">
        <v>198321</v>
      </c>
      <c r="B2222" t="s">
        <v>2753</v>
      </c>
      <c r="C2222" t="s">
        <v>5606</v>
      </c>
      <c r="D2222" s="92" t="s">
        <v>428</v>
      </c>
      <c r="E2222" s="92" t="s">
        <v>428</v>
      </c>
      <c r="F2222" t="s">
        <v>428</v>
      </c>
      <c r="G2222" t="s">
        <v>428</v>
      </c>
      <c r="H2222" t="s">
        <v>5615</v>
      </c>
      <c r="I2222">
        <v>0</v>
      </c>
      <c r="J2222" t="s">
        <v>87</v>
      </c>
      <c r="K2222">
        <v>0</v>
      </c>
      <c r="L2222">
        <v>0</v>
      </c>
    </row>
    <row r="2223" spans="1:12">
      <c r="A2223" s="93">
        <v>198330</v>
      </c>
      <c r="B2223" t="s">
        <v>2754</v>
      </c>
      <c r="C2223" t="s">
        <v>5606</v>
      </c>
      <c r="D2223" s="92">
        <v>0.33</v>
      </c>
      <c r="E2223" s="92">
        <v>0.29</v>
      </c>
      <c r="F2223" t="s">
        <v>428</v>
      </c>
      <c r="G2223" t="s">
        <v>428</v>
      </c>
      <c r="H2223" t="s">
        <v>5615</v>
      </c>
      <c r="I2223">
        <v>0</v>
      </c>
      <c r="J2223" t="s">
        <v>87</v>
      </c>
      <c r="K2223">
        <v>0</v>
      </c>
      <c r="L2223">
        <v>0</v>
      </c>
    </row>
    <row r="2224" spans="1:12">
      <c r="A2224" s="93">
        <v>198367</v>
      </c>
      <c r="B2224" t="s">
        <v>2755</v>
      </c>
      <c r="C2224" t="s">
        <v>5606</v>
      </c>
      <c r="D2224" s="92">
        <v>0.28</v>
      </c>
      <c r="E2224" s="92">
        <v>0.23</v>
      </c>
      <c r="F2224" t="s">
        <v>428</v>
      </c>
      <c r="G2224" t="s">
        <v>428</v>
      </c>
      <c r="H2224" t="s">
        <v>5615</v>
      </c>
      <c r="I2224">
        <v>0</v>
      </c>
      <c r="J2224" t="s">
        <v>87</v>
      </c>
      <c r="K2224">
        <v>0</v>
      </c>
      <c r="L2224">
        <v>0</v>
      </c>
    </row>
    <row r="2225" spans="1:12">
      <c r="A2225" s="93">
        <v>198376</v>
      </c>
      <c r="B2225" t="s">
        <v>2756</v>
      </c>
      <c r="C2225" t="s">
        <v>5606</v>
      </c>
      <c r="D2225" s="92">
        <v>0.38</v>
      </c>
      <c r="E2225" s="92">
        <v>0.32</v>
      </c>
      <c r="F2225" t="s">
        <v>428</v>
      </c>
      <c r="G2225" t="s">
        <v>428</v>
      </c>
      <c r="H2225" t="s">
        <v>5615</v>
      </c>
      <c r="I2225">
        <v>0</v>
      </c>
      <c r="J2225" t="s">
        <v>87</v>
      </c>
      <c r="K2225">
        <v>0</v>
      </c>
      <c r="L2225">
        <v>0</v>
      </c>
    </row>
    <row r="2226" spans="1:12">
      <c r="A2226" s="93">
        <v>198385</v>
      </c>
      <c r="B2226" t="s">
        <v>555</v>
      </c>
      <c r="C2226" t="s">
        <v>5611</v>
      </c>
      <c r="D2226" s="92">
        <v>0.95</v>
      </c>
      <c r="E2226" s="92">
        <v>0.93</v>
      </c>
      <c r="F2226">
        <v>28</v>
      </c>
      <c r="G2226">
        <v>30.5</v>
      </c>
      <c r="H2226" t="s">
        <v>5623</v>
      </c>
      <c r="I2226">
        <v>1</v>
      </c>
      <c r="J2226" t="s">
        <v>87</v>
      </c>
      <c r="K2226">
        <v>0</v>
      </c>
      <c r="L2226">
        <v>0</v>
      </c>
    </row>
    <row r="2227" spans="1:12">
      <c r="A2227" s="93">
        <v>198419</v>
      </c>
      <c r="B2227" t="s">
        <v>473</v>
      </c>
      <c r="C2227" t="s">
        <v>5611</v>
      </c>
      <c r="D2227" s="92">
        <v>0.95</v>
      </c>
      <c r="E2227" s="92">
        <v>0.96</v>
      </c>
      <c r="F2227">
        <v>31</v>
      </c>
      <c r="G2227">
        <v>32.5</v>
      </c>
      <c r="H2227" t="s">
        <v>5619</v>
      </c>
      <c r="I2227">
        <v>1</v>
      </c>
      <c r="J2227" t="s">
        <v>87</v>
      </c>
      <c r="K2227">
        <v>0</v>
      </c>
      <c r="L2227">
        <v>0</v>
      </c>
    </row>
    <row r="2228" spans="1:12">
      <c r="A2228" s="93">
        <v>198455</v>
      </c>
      <c r="B2228" t="s">
        <v>2757</v>
      </c>
      <c r="C2228" t="s">
        <v>5606</v>
      </c>
      <c r="D2228" s="92">
        <v>0.24</v>
      </c>
      <c r="E2228" s="92">
        <v>0.19</v>
      </c>
      <c r="F2228" t="s">
        <v>428</v>
      </c>
      <c r="G2228" t="s">
        <v>428</v>
      </c>
      <c r="H2228" t="s">
        <v>5615</v>
      </c>
      <c r="I2228">
        <v>0</v>
      </c>
      <c r="J2228" t="s">
        <v>87</v>
      </c>
      <c r="K2228">
        <v>0</v>
      </c>
      <c r="L2228">
        <v>0</v>
      </c>
    </row>
    <row r="2229" spans="1:12">
      <c r="A2229" s="93">
        <v>198464</v>
      </c>
      <c r="B2229" t="s">
        <v>2758</v>
      </c>
      <c r="C2229" t="s">
        <v>5602</v>
      </c>
      <c r="D2229" s="92">
        <v>0.61</v>
      </c>
      <c r="E2229" s="92">
        <v>0.62</v>
      </c>
      <c r="F2229">
        <v>20</v>
      </c>
      <c r="G2229">
        <v>22</v>
      </c>
      <c r="H2229" t="s">
        <v>5615</v>
      </c>
      <c r="I2229">
        <v>0</v>
      </c>
      <c r="J2229" t="s">
        <v>87</v>
      </c>
      <c r="K2229">
        <v>0</v>
      </c>
      <c r="L2229">
        <v>0</v>
      </c>
    </row>
    <row r="2230" spans="1:12">
      <c r="A2230" s="93">
        <v>198491</v>
      </c>
      <c r="B2230" t="s">
        <v>2759</v>
      </c>
      <c r="C2230" t="s">
        <v>5606</v>
      </c>
      <c r="D2230" s="92" t="s">
        <v>428</v>
      </c>
      <c r="E2230" s="92" t="s">
        <v>428</v>
      </c>
      <c r="F2230" t="s">
        <v>428</v>
      </c>
      <c r="G2230" t="s">
        <v>428</v>
      </c>
      <c r="H2230" t="s">
        <v>5615</v>
      </c>
      <c r="I2230">
        <v>0</v>
      </c>
      <c r="J2230" t="s">
        <v>87</v>
      </c>
      <c r="K2230">
        <v>0</v>
      </c>
      <c r="L2230">
        <v>0</v>
      </c>
    </row>
    <row r="2231" spans="1:12">
      <c r="A2231" s="93">
        <v>198507</v>
      </c>
      <c r="B2231" t="s">
        <v>2760</v>
      </c>
      <c r="C2231" t="s">
        <v>5602</v>
      </c>
      <c r="D2231" s="92">
        <v>0.37</v>
      </c>
      <c r="E2231" s="92">
        <v>0.53</v>
      </c>
      <c r="F2231">
        <v>17</v>
      </c>
      <c r="G2231">
        <v>19</v>
      </c>
      <c r="H2231" t="s">
        <v>5613</v>
      </c>
      <c r="I2231">
        <v>1</v>
      </c>
      <c r="J2231" t="s">
        <v>138</v>
      </c>
      <c r="K2231">
        <v>0</v>
      </c>
      <c r="L2231">
        <v>0</v>
      </c>
    </row>
    <row r="2232" spans="1:12">
      <c r="A2232" s="93">
        <v>198516</v>
      </c>
      <c r="B2232" t="s">
        <v>2761</v>
      </c>
      <c r="C2232" t="s">
        <v>5603</v>
      </c>
      <c r="D2232" s="92">
        <v>0.82</v>
      </c>
      <c r="E2232" s="92">
        <v>0.77</v>
      </c>
      <c r="F2232">
        <v>25</v>
      </c>
      <c r="G2232">
        <v>27</v>
      </c>
      <c r="H2232" t="s">
        <v>5618</v>
      </c>
      <c r="I2232">
        <v>0</v>
      </c>
      <c r="J2232" t="s">
        <v>87</v>
      </c>
      <c r="K2232">
        <v>0</v>
      </c>
      <c r="L2232">
        <v>0</v>
      </c>
    </row>
    <row r="2233" spans="1:12">
      <c r="A2233" s="93">
        <v>198534</v>
      </c>
      <c r="B2233" t="s">
        <v>2762</v>
      </c>
      <c r="C2233" t="s">
        <v>5606</v>
      </c>
      <c r="D2233" s="92">
        <v>0.23</v>
      </c>
      <c r="E2233" s="92">
        <v>0.19</v>
      </c>
      <c r="F2233" t="s">
        <v>428</v>
      </c>
      <c r="G2233" t="s">
        <v>428</v>
      </c>
      <c r="H2233" t="s">
        <v>5615</v>
      </c>
      <c r="I2233">
        <v>0</v>
      </c>
      <c r="J2233" t="s">
        <v>87</v>
      </c>
      <c r="K2233">
        <v>0</v>
      </c>
      <c r="L2233">
        <v>0</v>
      </c>
    </row>
    <row r="2234" spans="1:12">
      <c r="A2234" s="93">
        <v>198543</v>
      </c>
      <c r="B2234" t="s">
        <v>2763</v>
      </c>
      <c r="C2234" t="s">
        <v>5602</v>
      </c>
      <c r="D2234" s="92">
        <v>0.32</v>
      </c>
      <c r="E2234" s="92">
        <v>0.47</v>
      </c>
      <c r="F2234">
        <v>17</v>
      </c>
      <c r="G2234">
        <v>19</v>
      </c>
      <c r="H2234" t="s">
        <v>5615</v>
      </c>
      <c r="I2234">
        <v>0</v>
      </c>
      <c r="J2234" t="s">
        <v>138</v>
      </c>
      <c r="K2234">
        <v>0</v>
      </c>
      <c r="L2234">
        <v>0</v>
      </c>
    </row>
    <row r="2235" spans="1:12">
      <c r="A2235" s="93">
        <v>198552</v>
      </c>
      <c r="B2235" t="s">
        <v>2764</v>
      </c>
      <c r="C2235" t="s">
        <v>5606</v>
      </c>
      <c r="D2235" s="92">
        <v>0.26</v>
      </c>
      <c r="E2235" s="92">
        <v>0.19</v>
      </c>
      <c r="F2235" t="s">
        <v>428</v>
      </c>
      <c r="G2235" t="s">
        <v>428</v>
      </c>
      <c r="H2235" t="s">
        <v>5615</v>
      </c>
      <c r="I2235">
        <v>0</v>
      </c>
      <c r="J2235" t="s">
        <v>87</v>
      </c>
      <c r="K2235">
        <v>0</v>
      </c>
      <c r="L2235">
        <v>0</v>
      </c>
    </row>
    <row r="2236" spans="1:12">
      <c r="A2236" s="93">
        <v>198561</v>
      </c>
      <c r="B2236" t="s">
        <v>2765</v>
      </c>
      <c r="C2236" t="s">
        <v>5602</v>
      </c>
      <c r="D2236" s="92">
        <v>0.49</v>
      </c>
      <c r="E2236" s="92">
        <v>0.3</v>
      </c>
      <c r="F2236">
        <v>18</v>
      </c>
      <c r="G2236">
        <v>21</v>
      </c>
      <c r="H2236" t="s">
        <v>5617</v>
      </c>
      <c r="I2236">
        <v>0</v>
      </c>
      <c r="J2236" t="s">
        <v>87</v>
      </c>
      <c r="K2236">
        <v>0</v>
      </c>
      <c r="L2236">
        <v>0</v>
      </c>
    </row>
    <row r="2237" spans="1:12">
      <c r="A2237" s="93">
        <v>198570</v>
      </c>
      <c r="B2237" t="s">
        <v>2766</v>
      </c>
      <c r="C2237" t="s">
        <v>5606</v>
      </c>
      <c r="D2237" s="92">
        <v>0.33</v>
      </c>
      <c r="E2237" s="92">
        <v>0.28</v>
      </c>
      <c r="F2237" t="s">
        <v>428</v>
      </c>
      <c r="G2237" t="s">
        <v>428</v>
      </c>
      <c r="H2237" t="s">
        <v>5615</v>
      </c>
      <c r="I2237">
        <v>0</v>
      </c>
      <c r="J2237" t="s">
        <v>87</v>
      </c>
      <c r="K2237">
        <v>0</v>
      </c>
      <c r="L2237">
        <v>0</v>
      </c>
    </row>
    <row r="2238" spans="1:12">
      <c r="A2238" s="93">
        <v>198598</v>
      </c>
      <c r="B2238" t="s">
        <v>2767</v>
      </c>
      <c r="C2238" t="s">
        <v>5608</v>
      </c>
      <c r="D2238" s="92">
        <v>0.4</v>
      </c>
      <c r="E2238" s="92">
        <v>0.33</v>
      </c>
      <c r="F2238">
        <v>17</v>
      </c>
      <c r="G2238">
        <v>20</v>
      </c>
      <c r="H2238" t="s">
        <v>5617</v>
      </c>
      <c r="I2238">
        <v>0</v>
      </c>
      <c r="J2238" t="s">
        <v>87</v>
      </c>
      <c r="K2238">
        <v>0</v>
      </c>
      <c r="L2238">
        <v>0</v>
      </c>
    </row>
    <row r="2239" spans="1:12">
      <c r="A2239" s="93">
        <v>198613</v>
      </c>
      <c r="B2239" t="s">
        <v>2768</v>
      </c>
      <c r="C2239" t="s">
        <v>5602</v>
      </c>
      <c r="D2239" s="92">
        <v>0.6</v>
      </c>
      <c r="E2239" s="92">
        <v>0.5600000000000001</v>
      </c>
      <c r="F2239" t="s">
        <v>428</v>
      </c>
      <c r="G2239" t="s">
        <v>428</v>
      </c>
      <c r="H2239" t="s">
        <v>5617</v>
      </c>
      <c r="I2239">
        <v>0</v>
      </c>
      <c r="J2239" t="s">
        <v>87</v>
      </c>
      <c r="K2239">
        <v>0</v>
      </c>
      <c r="L2239">
        <v>0</v>
      </c>
    </row>
    <row r="2240" spans="1:12">
      <c r="A2240" s="93">
        <v>198622</v>
      </c>
      <c r="B2240" t="s">
        <v>2769</v>
      </c>
      <c r="C2240" t="s">
        <v>5606</v>
      </c>
      <c r="D2240" s="92">
        <v>0.3</v>
      </c>
      <c r="E2240" s="92">
        <v>0.24</v>
      </c>
      <c r="F2240" t="s">
        <v>428</v>
      </c>
      <c r="G2240" t="s">
        <v>428</v>
      </c>
      <c r="H2240" t="s">
        <v>5615</v>
      </c>
      <c r="I2240">
        <v>0</v>
      </c>
      <c r="J2240" t="s">
        <v>87</v>
      </c>
      <c r="K2240">
        <v>0</v>
      </c>
      <c r="L2240">
        <v>0</v>
      </c>
    </row>
    <row r="2241" spans="1:12">
      <c r="A2241" s="93">
        <v>198640</v>
      </c>
      <c r="B2241" t="s">
        <v>2770</v>
      </c>
      <c r="C2241" t="s">
        <v>5606</v>
      </c>
      <c r="D2241" s="92">
        <v>0.28</v>
      </c>
      <c r="E2241" s="92">
        <v>0.27</v>
      </c>
      <c r="F2241" t="s">
        <v>428</v>
      </c>
      <c r="G2241" t="s">
        <v>428</v>
      </c>
      <c r="H2241" t="s">
        <v>5615</v>
      </c>
      <c r="I2241">
        <v>0</v>
      </c>
      <c r="J2241" t="s">
        <v>87</v>
      </c>
      <c r="K2241">
        <v>0</v>
      </c>
      <c r="L2241">
        <v>0</v>
      </c>
    </row>
    <row r="2242" spans="1:12">
      <c r="A2242" s="93">
        <v>198668</v>
      </c>
      <c r="B2242" t="s">
        <v>2771</v>
      </c>
      <c r="C2242" t="s">
        <v>5606</v>
      </c>
      <c r="D2242" s="92" t="s">
        <v>428</v>
      </c>
      <c r="E2242" s="92" t="s">
        <v>428</v>
      </c>
      <c r="F2242" t="s">
        <v>428</v>
      </c>
      <c r="G2242" t="s">
        <v>428</v>
      </c>
      <c r="H2242" t="s">
        <v>5615</v>
      </c>
      <c r="I2242">
        <v>0</v>
      </c>
      <c r="J2242" t="s">
        <v>87</v>
      </c>
      <c r="K2242">
        <v>0</v>
      </c>
      <c r="L2242">
        <v>0</v>
      </c>
    </row>
    <row r="2243" spans="1:12">
      <c r="A2243" s="93">
        <v>198677</v>
      </c>
      <c r="B2243" t="s">
        <v>2772</v>
      </c>
      <c r="C2243" t="s">
        <v>5604</v>
      </c>
      <c r="D2243" s="92">
        <v>0.44</v>
      </c>
      <c r="E2243" s="92">
        <v>1</v>
      </c>
      <c r="F2243" t="s">
        <v>428</v>
      </c>
      <c r="G2243" t="s">
        <v>428</v>
      </c>
      <c r="H2243" t="s">
        <v>5616</v>
      </c>
      <c r="I2243">
        <v>0</v>
      </c>
      <c r="J2243" t="s">
        <v>87</v>
      </c>
      <c r="K2243">
        <v>0</v>
      </c>
      <c r="L2243">
        <v>0</v>
      </c>
    </row>
    <row r="2244" spans="1:12">
      <c r="A2244" s="93">
        <v>198695</v>
      </c>
      <c r="B2244" t="s">
        <v>2773</v>
      </c>
      <c r="C2244" t="s">
        <v>5602</v>
      </c>
      <c r="D2244" s="92">
        <v>0.64</v>
      </c>
      <c r="E2244" s="92">
        <v>0.55</v>
      </c>
      <c r="F2244">
        <v>21</v>
      </c>
      <c r="G2244">
        <v>23.5</v>
      </c>
      <c r="H2244" t="s">
        <v>5617</v>
      </c>
      <c r="I2244">
        <v>0</v>
      </c>
      <c r="J2244" t="s">
        <v>87</v>
      </c>
      <c r="K2244">
        <v>0</v>
      </c>
      <c r="L2244">
        <v>0</v>
      </c>
    </row>
    <row r="2245" spans="1:12">
      <c r="A2245" s="93">
        <v>198710</v>
      </c>
      <c r="B2245" t="s">
        <v>2774</v>
      </c>
      <c r="C2245" t="s">
        <v>5606</v>
      </c>
      <c r="D2245" s="92">
        <v>0.22</v>
      </c>
      <c r="E2245" s="92">
        <v>0.21</v>
      </c>
      <c r="F2245" t="s">
        <v>428</v>
      </c>
      <c r="G2245" t="s">
        <v>428</v>
      </c>
      <c r="H2245" t="s">
        <v>5615</v>
      </c>
      <c r="I2245">
        <v>0</v>
      </c>
      <c r="J2245" t="s">
        <v>87</v>
      </c>
      <c r="K2245">
        <v>0</v>
      </c>
      <c r="L2245">
        <v>0</v>
      </c>
    </row>
    <row r="2246" spans="1:12">
      <c r="A2246" s="93">
        <v>198729</v>
      </c>
      <c r="B2246" t="s">
        <v>2775</v>
      </c>
      <c r="C2246" t="s">
        <v>5606</v>
      </c>
      <c r="D2246" s="92" t="s">
        <v>428</v>
      </c>
      <c r="E2246" s="92" t="s">
        <v>428</v>
      </c>
      <c r="F2246" t="s">
        <v>428</v>
      </c>
      <c r="G2246" t="s">
        <v>428</v>
      </c>
      <c r="H2246" t="s">
        <v>5615</v>
      </c>
      <c r="I2246">
        <v>0</v>
      </c>
      <c r="J2246" t="s">
        <v>87</v>
      </c>
      <c r="K2246">
        <v>0</v>
      </c>
      <c r="L2246">
        <v>0</v>
      </c>
    </row>
    <row r="2247" spans="1:12">
      <c r="A2247" s="93">
        <v>198747</v>
      </c>
      <c r="B2247" t="s">
        <v>2776</v>
      </c>
      <c r="C2247" t="s">
        <v>5608</v>
      </c>
      <c r="D2247" s="92">
        <v>0.3</v>
      </c>
      <c r="E2247" s="92">
        <v>0.12</v>
      </c>
      <c r="F2247">
        <v>15</v>
      </c>
      <c r="G2247">
        <v>19.5</v>
      </c>
      <c r="H2247" t="s">
        <v>5617</v>
      </c>
      <c r="I2247">
        <v>0</v>
      </c>
      <c r="J2247" t="s">
        <v>87</v>
      </c>
      <c r="K2247">
        <v>0</v>
      </c>
      <c r="L2247">
        <v>0</v>
      </c>
    </row>
    <row r="2248" spans="1:12">
      <c r="A2248" s="93">
        <v>198756</v>
      </c>
      <c r="B2248" t="s">
        <v>2777</v>
      </c>
      <c r="C2248" t="s">
        <v>5608</v>
      </c>
      <c r="D2248" s="92">
        <v>0.51</v>
      </c>
      <c r="E2248" s="92">
        <v>0.62</v>
      </c>
      <c r="F2248">
        <v>15</v>
      </c>
      <c r="G2248">
        <v>17</v>
      </c>
      <c r="H2248" t="s">
        <v>5617</v>
      </c>
      <c r="I2248">
        <v>0</v>
      </c>
      <c r="J2248" t="s">
        <v>138</v>
      </c>
      <c r="K2248">
        <v>0</v>
      </c>
      <c r="L2248">
        <v>0</v>
      </c>
    </row>
    <row r="2249" spans="1:12">
      <c r="A2249" s="93">
        <v>198774</v>
      </c>
      <c r="B2249" t="s">
        <v>2778</v>
      </c>
      <c r="C2249" t="s">
        <v>5606</v>
      </c>
      <c r="D2249" s="92">
        <v>0.41</v>
      </c>
      <c r="E2249" s="92">
        <v>0.39</v>
      </c>
      <c r="F2249" t="s">
        <v>428</v>
      </c>
      <c r="G2249" t="s">
        <v>428</v>
      </c>
      <c r="H2249" t="s">
        <v>5615</v>
      </c>
      <c r="I2249">
        <v>0</v>
      </c>
      <c r="J2249" t="s">
        <v>87</v>
      </c>
      <c r="K2249">
        <v>0</v>
      </c>
      <c r="L2249">
        <v>0</v>
      </c>
    </row>
    <row r="2250" spans="1:12">
      <c r="A2250" s="93">
        <v>198808</v>
      </c>
      <c r="B2250" t="s">
        <v>2779</v>
      </c>
      <c r="C2250" t="s">
        <v>5602</v>
      </c>
      <c r="D2250" s="92">
        <v>0.38</v>
      </c>
      <c r="E2250" s="92">
        <v>0.36</v>
      </c>
      <c r="F2250" t="s">
        <v>428</v>
      </c>
      <c r="G2250" t="s">
        <v>428</v>
      </c>
      <c r="H2250" t="s">
        <v>5617</v>
      </c>
      <c r="I2250">
        <v>0</v>
      </c>
      <c r="J2250" t="s">
        <v>87</v>
      </c>
      <c r="K2250">
        <v>0</v>
      </c>
      <c r="L2250">
        <v>0</v>
      </c>
    </row>
    <row r="2251" spans="1:12">
      <c r="A2251" s="93">
        <v>198817</v>
      </c>
      <c r="B2251" t="s">
        <v>2780</v>
      </c>
      <c r="C2251" t="s">
        <v>5606</v>
      </c>
      <c r="D2251" s="92" t="s">
        <v>428</v>
      </c>
      <c r="E2251" s="92" t="s">
        <v>428</v>
      </c>
      <c r="F2251" t="s">
        <v>428</v>
      </c>
      <c r="G2251" t="s">
        <v>428</v>
      </c>
      <c r="H2251" t="s">
        <v>5615</v>
      </c>
      <c r="I2251">
        <v>0</v>
      </c>
      <c r="J2251" t="s">
        <v>87</v>
      </c>
      <c r="K2251">
        <v>0</v>
      </c>
      <c r="L2251">
        <v>0</v>
      </c>
    </row>
    <row r="2252" spans="1:12">
      <c r="A2252" s="93">
        <v>198835</v>
      </c>
      <c r="B2252" t="s">
        <v>2781</v>
      </c>
      <c r="C2252" t="s">
        <v>5602</v>
      </c>
      <c r="D2252" s="92">
        <v>0.5</v>
      </c>
      <c r="E2252" s="92">
        <v>0.42</v>
      </c>
      <c r="F2252">
        <v>15</v>
      </c>
      <c r="G2252">
        <v>18</v>
      </c>
      <c r="H2252" t="s">
        <v>5617</v>
      </c>
      <c r="I2252">
        <v>0</v>
      </c>
      <c r="J2252" t="s">
        <v>87</v>
      </c>
      <c r="K2252">
        <v>0</v>
      </c>
      <c r="L2252">
        <v>0</v>
      </c>
    </row>
    <row r="2253" spans="1:12">
      <c r="A2253" s="93">
        <v>198862</v>
      </c>
      <c r="B2253" t="s">
        <v>2782</v>
      </c>
      <c r="C2253" t="s">
        <v>5608</v>
      </c>
      <c r="D2253" s="92">
        <v>0.25</v>
      </c>
      <c r="E2253" s="92">
        <v>0.39</v>
      </c>
      <c r="F2253">
        <v>13</v>
      </c>
      <c r="G2253">
        <v>15</v>
      </c>
      <c r="H2253" t="s">
        <v>5617</v>
      </c>
      <c r="I2253">
        <v>0</v>
      </c>
      <c r="J2253" t="s">
        <v>138</v>
      </c>
      <c r="K2253">
        <v>0</v>
      </c>
      <c r="L2253">
        <v>0</v>
      </c>
    </row>
    <row r="2254" spans="1:12">
      <c r="A2254" s="93">
        <v>198871</v>
      </c>
      <c r="B2254" t="s">
        <v>2783</v>
      </c>
      <c r="C2254" t="s">
        <v>5609</v>
      </c>
      <c r="D2254" s="92">
        <v>0.47</v>
      </c>
      <c r="E2254" s="92">
        <v>0.44</v>
      </c>
      <c r="F2254">
        <v>14</v>
      </c>
      <c r="G2254">
        <v>16</v>
      </c>
      <c r="H2254" t="s">
        <v>5617</v>
      </c>
      <c r="I2254">
        <v>0</v>
      </c>
      <c r="J2254" t="s">
        <v>87</v>
      </c>
      <c r="K2254">
        <v>0</v>
      </c>
      <c r="L2254">
        <v>0</v>
      </c>
    </row>
    <row r="2255" spans="1:12">
      <c r="A2255" s="93">
        <v>198899</v>
      </c>
      <c r="B2255" t="s">
        <v>2784</v>
      </c>
      <c r="C2255" t="s">
        <v>5602</v>
      </c>
      <c r="D2255" s="92">
        <v>0.35</v>
      </c>
      <c r="E2255" s="92">
        <v>0.2</v>
      </c>
      <c r="F2255">
        <v>17</v>
      </c>
      <c r="G2255">
        <v>19.5</v>
      </c>
      <c r="H2255" t="s">
        <v>5616</v>
      </c>
      <c r="I2255">
        <v>0</v>
      </c>
      <c r="J2255" t="s">
        <v>87</v>
      </c>
      <c r="K2255">
        <v>0</v>
      </c>
      <c r="L2255">
        <v>0</v>
      </c>
    </row>
    <row r="2256" spans="1:12">
      <c r="A2256" s="93">
        <v>198905</v>
      </c>
      <c r="B2256" t="s">
        <v>2785</v>
      </c>
      <c r="C2256" t="s">
        <v>5606</v>
      </c>
      <c r="D2256" s="92" t="s">
        <v>428</v>
      </c>
      <c r="E2256" s="92" t="s">
        <v>428</v>
      </c>
      <c r="F2256" t="s">
        <v>428</v>
      </c>
      <c r="G2256" t="s">
        <v>428</v>
      </c>
      <c r="H2256" t="s">
        <v>5615</v>
      </c>
      <c r="I2256">
        <v>0</v>
      </c>
      <c r="J2256" t="s">
        <v>87</v>
      </c>
      <c r="K2256">
        <v>0</v>
      </c>
      <c r="L2256">
        <v>0</v>
      </c>
    </row>
    <row r="2257" spans="1:12">
      <c r="A2257" s="93">
        <v>198914</v>
      </c>
      <c r="B2257" t="s">
        <v>2786</v>
      </c>
      <c r="C2257" t="s">
        <v>5606</v>
      </c>
      <c r="D2257" s="92" t="s">
        <v>428</v>
      </c>
      <c r="E2257" s="92" t="s">
        <v>428</v>
      </c>
      <c r="F2257" t="s">
        <v>428</v>
      </c>
      <c r="G2257" t="s">
        <v>428</v>
      </c>
      <c r="H2257" t="s">
        <v>5615</v>
      </c>
      <c r="I2257">
        <v>0</v>
      </c>
      <c r="J2257" t="s">
        <v>87</v>
      </c>
      <c r="K2257">
        <v>0</v>
      </c>
      <c r="L2257">
        <v>0</v>
      </c>
    </row>
    <row r="2258" spans="1:12">
      <c r="A2258" s="93">
        <v>198923</v>
      </c>
      <c r="B2258" t="s">
        <v>2787</v>
      </c>
      <c r="C2258" t="s">
        <v>5606</v>
      </c>
      <c r="D2258" s="92">
        <v>0.24</v>
      </c>
      <c r="E2258" s="92">
        <v>0.21</v>
      </c>
      <c r="F2258" t="s">
        <v>428</v>
      </c>
      <c r="G2258" t="s">
        <v>428</v>
      </c>
      <c r="H2258" t="s">
        <v>5615</v>
      </c>
      <c r="I2258">
        <v>0</v>
      </c>
      <c r="J2258" t="s">
        <v>87</v>
      </c>
      <c r="K2258">
        <v>0</v>
      </c>
      <c r="L2258">
        <v>0</v>
      </c>
    </row>
    <row r="2259" spans="1:12">
      <c r="A2259" s="93">
        <v>198941</v>
      </c>
      <c r="B2259" t="s">
        <v>2788</v>
      </c>
      <c r="C2259" t="s">
        <v>5606</v>
      </c>
      <c r="D2259" s="92" t="s">
        <v>428</v>
      </c>
      <c r="E2259" s="92" t="s">
        <v>428</v>
      </c>
      <c r="F2259" t="s">
        <v>428</v>
      </c>
      <c r="G2259" t="s">
        <v>428</v>
      </c>
      <c r="H2259" t="s">
        <v>5615</v>
      </c>
      <c r="I2259">
        <v>0</v>
      </c>
      <c r="J2259" t="s">
        <v>87</v>
      </c>
      <c r="K2259">
        <v>0</v>
      </c>
      <c r="L2259">
        <v>0</v>
      </c>
    </row>
    <row r="2260" spans="1:12">
      <c r="A2260" s="93">
        <v>198950</v>
      </c>
      <c r="B2260" t="s">
        <v>2789</v>
      </c>
      <c r="C2260" t="s">
        <v>5602</v>
      </c>
      <c r="D2260" s="92">
        <v>0.62</v>
      </c>
      <c r="E2260" s="92">
        <v>0.52</v>
      </c>
      <c r="F2260">
        <v>21</v>
      </c>
      <c r="G2260">
        <v>23.5</v>
      </c>
      <c r="H2260" t="s">
        <v>5617</v>
      </c>
      <c r="I2260">
        <v>0</v>
      </c>
      <c r="J2260" t="s">
        <v>87</v>
      </c>
      <c r="K2260">
        <v>0</v>
      </c>
      <c r="L2260">
        <v>0</v>
      </c>
    </row>
    <row r="2261" spans="1:12">
      <c r="A2261" s="93">
        <v>198969</v>
      </c>
      <c r="B2261" t="s">
        <v>2790</v>
      </c>
      <c r="C2261" t="s">
        <v>5602</v>
      </c>
      <c r="D2261" s="92">
        <v>0.39</v>
      </c>
      <c r="E2261" s="92">
        <v>0.22</v>
      </c>
      <c r="F2261">
        <v>17</v>
      </c>
      <c r="G2261">
        <v>20</v>
      </c>
      <c r="H2261" t="s">
        <v>5617</v>
      </c>
      <c r="I2261">
        <v>0</v>
      </c>
      <c r="J2261" t="s">
        <v>87</v>
      </c>
      <c r="K2261">
        <v>0</v>
      </c>
      <c r="L2261">
        <v>0</v>
      </c>
    </row>
    <row r="2262" spans="1:12">
      <c r="A2262" s="93">
        <v>198978</v>
      </c>
      <c r="B2262" t="s">
        <v>2791</v>
      </c>
      <c r="C2262" t="s">
        <v>5604</v>
      </c>
      <c r="D2262" s="92">
        <v>1</v>
      </c>
      <c r="E2262" s="92">
        <v>1</v>
      </c>
      <c r="F2262" t="s">
        <v>428</v>
      </c>
      <c r="G2262" t="s">
        <v>428</v>
      </c>
      <c r="H2262" t="s">
        <v>5617</v>
      </c>
      <c r="I2262">
        <v>0</v>
      </c>
      <c r="J2262" t="s">
        <v>87</v>
      </c>
      <c r="K2262">
        <v>0</v>
      </c>
      <c r="L2262">
        <v>0</v>
      </c>
    </row>
    <row r="2263" spans="1:12">
      <c r="A2263" s="93">
        <v>198987</v>
      </c>
      <c r="B2263" t="s">
        <v>2792</v>
      </c>
      <c r="C2263" t="s">
        <v>5606</v>
      </c>
      <c r="D2263" s="92">
        <v>0.31</v>
      </c>
      <c r="E2263" s="92">
        <v>0.22</v>
      </c>
      <c r="F2263" t="s">
        <v>428</v>
      </c>
      <c r="G2263" t="s">
        <v>428</v>
      </c>
      <c r="H2263" t="s">
        <v>5615</v>
      </c>
      <c r="I2263">
        <v>0</v>
      </c>
      <c r="J2263" t="s">
        <v>87</v>
      </c>
      <c r="K2263">
        <v>0</v>
      </c>
      <c r="L2263">
        <v>0</v>
      </c>
    </row>
    <row r="2264" spans="1:12">
      <c r="A2264" s="93">
        <v>199023</v>
      </c>
      <c r="B2264" t="s">
        <v>2793</v>
      </c>
      <c r="C2264" t="s">
        <v>5606</v>
      </c>
      <c r="D2264" s="92" t="s">
        <v>428</v>
      </c>
      <c r="E2264" s="92" t="s">
        <v>428</v>
      </c>
      <c r="F2264" t="s">
        <v>428</v>
      </c>
      <c r="G2264" t="s">
        <v>428</v>
      </c>
      <c r="H2264" t="s">
        <v>5615</v>
      </c>
      <c r="I2264">
        <v>0</v>
      </c>
      <c r="J2264" t="s">
        <v>87</v>
      </c>
      <c r="K2264">
        <v>0</v>
      </c>
      <c r="L2264">
        <v>0</v>
      </c>
    </row>
    <row r="2265" spans="1:12">
      <c r="A2265" s="93">
        <v>199032</v>
      </c>
      <c r="B2265" t="s">
        <v>2794</v>
      </c>
      <c r="C2265" t="s">
        <v>5608</v>
      </c>
      <c r="D2265" s="92">
        <v>0.41</v>
      </c>
      <c r="E2265" s="92">
        <v>0.35</v>
      </c>
      <c r="F2265">
        <v>18</v>
      </c>
      <c r="G2265">
        <v>20.5</v>
      </c>
      <c r="H2265" t="s">
        <v>5617</v>
      </c>
      <c r="I2265">
        <v>0</v>
      </c>
      <c r="J2265" t="s">
        <v>87</v>
      </c>
      <c r="K2265">
        <v>0</v>
      </c>
      <c r="L2265">
        <v>0</v>
      </c>
    </row>
    <row r="2266" spans="1:12">
      <c r="A2266" s="93">
        <v>199069</v>
      </c>
      <c r="B2266" t="s">
        <v>2795</v>
      </c>
      <c r="C2266" t="s">
        <v>5602</v>
      </c>
      <c r="D2266" s="92">
        <v>0.45</v>
      </c>
      <c r="E2266" s="92">
        <v>0.43</v>
      </c>
      <c r="F2266">
        <v>17</v>
      </c>
      <c r="G2266">
        <v>19.5</v>
      </c>
      <c r="H2266" t="s">
        <v>5616</v>
      </c>
      <c r="I2266">
        <v>0</v>
      </c>
      <c r="J2266" t="s">
        <v>87</v>
      </c>
      <c r="K2266">
        <v>0</v>
      </c>
      <c r="L2266">
        <v>0</v>
      </c>
    </row>
    <row r="2267" spans="1:12">
      <c r="A2267" s="93">
        <v>199087</v>
      </c>
      <c r="B2267" t="s">
        <v>2796</v>
      </c>
      <c r="C2267" t="s">
        <v>5606</v>
      </c>
      <c r="D2267" s="92" t="s">
        <v>428</v>
      </c>
      <c r="E2267" s="92" t="s">
        <v>428</v>
      </c>
      <c r="F2267" t="s">
        <v>428</v>
      </c>
      <c r="G2267" t="s">
        <v>428</v>
      </c>
      <c r="H2267" t="s">
        <v>5615</v>
      </c>
      <c r="I2267">
        <v>0</v>
      </c>
      <c r="J2267" t="s">
        <v>87</v>
      </c>
      <c r="K2267">
        <v>0</v>
      </c>
      <c r="L2267">
        <v>0</v>
      </c>
    </row>
    <row r="2268" spans="1:12">
      <c r="A2268" s="93">
        <v>199102</v>
      </c>
      <c r="B2268" t="s">
        <v>2797</v>
      </c>
      <c r="C2268" t="s">
        <v>5608</v>
      </c>
      <c r="D2268" s="92">
        <v>0.43</v>
      </c>
      <c r="E2268" s="92">
        <v>0.6</v>
      </c>
      <c r="F2268">
        <v>18</v>
      </c>
      <c r="G2268">
        <v>20</v>
      </c>
      <c r="H2268" t="s">
        <v>5617</v>
      </c>
      <c r="I2268">
        <v>0</v>
      </c>
      <c r="J2268" t="s">
        <v>138</v>
      </c>
      <c r="K2268">
        <v>0</v>
      </c>
      <c r="L2268">
        <v>0</v>
      </c>
    </row>
    <row r="2269" spans="1:12">
      <c r="A2269" s="93">
        <v>199111</v>
      </c>
      <c r="B2269" t="s">
        <v>2798</v>
      </c>
      <c r="C2269" t="s">
        <v>5603</v>
      </c>
      <c r="D2269" s="92">
        <v>0.62</v>
      </c>
      <c r="E2269" s="92">
        <v>0.51</v>
      </c>
      <c r="F2269">
        <v>23</v>
      </c>
      <c r="G2269">
        <v>25.5</v>
      </c>
      <c r="H2269" t="s">
        <v>5615</v>
      </c>
      <c r="I2269">
        <v>0</v>
      </c>
      <c r="J2269" t="s">
        <v>87</v>
      </c>
      <c r="K2269">
        <v>0</v>
      </c>
      <c r="L2269">
        <v>0</v>
      </c>
    </row>
    <row r="2270" spans="1:12">
      <c r="A2270" s="93">
        <v>199120</v>
      </c>
      <c r="B2270" t="s">
        <v>2799</v>
      </c>
      <c r="C2270" t="s">
        <v>5605</v>
      </c>
      <c r="D2270" s="92">
        <v>0.91</v>
      </c>
      <c r="E2270" s="92">
        <v>0.86</v>
      </c>
      <c r="F2270">
        <v>28</v>
      </c>
      <c r="G2270">
        <v>30.5</v>
      </c>
      <c r="H2270" t="s">
        <v>5623</v>
      </c>
      <c r="I2270">
        <v>1</v>
      </c>
      <c r="J2270" t="s">
        <v>87</v>
      </c>
      <c r="K2270">
        <v>0</v>
      </c>
      <c r="L2270">
        <v>0</v>
      </c>
    </row>
    <row r="2271" spans="1:12">
      <c r="A2271" s="93">
        <v>199139</v>
      </c>
      <c r="B2271" t="s">
        <v>2800</v>
      </c>
      <c r="C2271" t="s">
        <v>5602</v>
      </c>
      <c r="D2271" s="92">
        <v>0.57</v>
      </c>
      <c r="E2271" s="92">
        <v>0.55</v>
      </c>
      <c r="F2271">
        <v>22</v>
      </c>
      <c r="G2271">
        <v>24</v>
      </c>
      <c r="H2271" t="s">
        <v>5615</v>
      </c>
      <c r="I2271">
        <v>0</v>
      </c>
      <c r="J2271" t="s">
        <v>87</v>
      </c>
      <c r="K2271">
        <v>0</v>
      </c>
      <c r="L2271">
        <v>0</v>
      </c>
    </row>
    <row r="2272" spans="1:12">
      <c r="A2272" s="93">
        <v>199148</v>
      </c>
      <c r="B2272" t="s">
        <v>2801</v>
      </c>
      <c r="C2272" t="s">
        <v>5602</v>
      </c>
      <c r="D2272" s="92">
        <v>0.54</v>
      </c>
      <c r="E2272" s="92">
        <v>0.59</v>
      </c>
      <c r="F2272">
        <v>21</v>
      </c>
      <c r="G2272">
        <v>23</v>
      </c>
      <c r="H2272" t="s">
        <v>5615</v>
      </c>
      <c r="I2272">
        <v>0</v>
      </c>
      <c r="J2272" t="s">
        <v>87</v>
      </c>
      <c r="K2272">
        <v>0</v>
      </c>
      <c r="L2272">
        <v>0</v>
      </c>
    </row>
    <row r="2273" spans="1:12">
      <c r="A2273" s="93">
        <v>199157</v>
      </c>
      <c r="B2273" t="s">
        <v>2802</v>
      </c>
      <c r="C2273" t="s">
        <v>5602</v>
      </c>
      <c r="D2273" s="92">
        <v>0.43</v>
      </c>
      <c r="E2273" s="92">
        <v>0.59</v>
      </c>
      <c r="F2273">
        <v>17</v>
      </c>
      <c r="G2273">
        <v>18</v>
      </c>
      <c r="H2273" t="s">
        <v>5617</v>
      </c>
      <c r="I2273">
        <v>0</v>
      </c>
      <c r="J2273" t="s">
        <v>138</v>
      </c>
      <c r="K2273">
        <v>0</v>
      </c>
      <c r="L2273">
        <v>0</v>
      </c>
    </row>
    <row r="2274" spans="1:12">
      <c r="A2274" s="93">
        <v>199184</v>
      </c>
      <c r="B2274" t="s">
        <v>2803</v>
      </c>
      <c r="C2274" t="s">
        <v>5610</v>
      </c>
      <c r="D2274" s="92">
        <v>0.65</v>
      </c>
      <c r="E2274" s="92">
        <v>0.67</v>
      </c>
      <c r="F2274">
        <v>22</v>
      </c>
      <c r="G2274">
        <v>25</v>
      </c>
      <c r="H2274" t="s">
        <v>5615</v>
      </c>
      <c r="I2274">
        <v>0</v>
      </c>
      <c r="J2274" t="s">
        <v>87</v>
      </c>
      <c r="K2274">
        <v>0</v>
      </c>
      <c r="L2274">
        <v>0</v>
      </c>
    </row>
    <row r="2275" spans="1:12">
      <c r="A2275" s="93">
        <v>199193</v>
      </c>
      <c r="B2275" t="s">
        <v>2804</v>
      </c>
      <c r="C2275" t="s">
        <v>5605</v>
      </c>
      <c r="D2275" s="92">
        <v>0.78</v>
      </c>
      <c r="E2275" s="92">
        <v>0.74</v>
      </c>
      <c r="F2275">
        <v>26</v>
      </c>
      <c r="G2275">
        <v>28.5</v>
      </c>
      <c r="H2275" t="s">
        <v>5615</v>
      </c>
      <c r="I2275">
        <v>0</v>
      </c>
      <c r="J2275" t="s">
        <v>87</v>
      </c>
      <c r="K2275">
        <v>0</v>
      </c>
      <c r="L2275">
        <v>0</v>
      </c>
    </row>
    <row r="2276" spans="1:12">
      <c r="A2276" s="93">
        <v>199209</v>
      </c>
      <c r="B2276" t="s">
        <v>2805</v>
      </c>
      <c r="C2276" t="s">
        <v>5602</v>
      </c>
      <c r="D2276" s="92">
        <v>0.26</v>
      </c>
      <c r="E2276" s="92">
        <v>0.22</v>
      </c>
      <c r="F2276">
        <v>16</v>
      </c>
      <c r="G2276">
        <v>19.5</v>
      </c>
      <c r="H2276" t="s">
        <v>5617</v>
      </c>
      <c r="I2276">
        <v>0</v>
      </c>
      <c r="J2276" t="s">
        <v>87</v>
      </c>
      <c r="K2276">
        <v>0</v>
      </c>
      <c r="L2276">
        <v>0</v>
      </c>
    </row>
    <row r="2277" spans="1:12">
      <c r="A2277" s="93">
        <v>199218</v>
      </c>
      <c r="B2277" t="s">
        <v>2806</v>
      </c>
      <c r="C2277" t="s">
        <v>5603</v>
      </c>
      <c r="D2277" s="92">
        <v>0.72</v>
      </c>
      <c r="E2277" s="92">
        <v>0.71</v>
      </c>
      <c r="F2277">
        <v>22</v>
      </c>
      <c r="G2277">
        <v>24</v>
      </c>
      <c r="H2277" t="s">
        <v>5615</v>
      </c>
      <c r="I2277">
        <v>0</v>
      </c>
      <c r="J2277" t="s">
        <v>87</v>
      </c>
      <c r="K2277">
        <v>0</v>
      </c>
      <c r="L2277">
        <v>0</v>
      </c>
    </row>
    <row r="2278" spans="1:12">
      <c r="A2278" s="93">
        <v>199263</v>
      </c>
      <c r="B2278" t="s">
        <v>2807</v>
      </c>
      <c r="C2278" t="s">
        <v>5606</v>
      </c>
      <c r="D2278" s="92" t="s">
        <v>428</v>
      </c>
      <c r="E2278" s="92" t="s">
        <v>428</v>
      </c>
      <c r="F2278" t="s">
        <v>428</v>
      </c>
      <c r="G2278" t="s">
        <v>428</v>
      </c>
      <c r="H2278" t="s">
        <v>5615</v>
      </c>
      <c r="I2278">
        <v>0</v>
      </c>
      <c r="J2278" t="s">
        <v>87</v>
      </c>
      <c r="K2278">
        <v>0</v>
      </c>
      <c r="L2278">
        <v>0</v>
      </c>
    </row>
    <row r="2279" spans="1:12">
      <c r="A2279" s="93">
        <v>199272</v>
      </c>
      <c r="B2279" t="s">
        <v>2808</v>
      </c>
      <c r="C2279" t="s">
        <v>5608</v>
      </c>
      <c r="D2279" s="92">
        <v>0.4</v>
      </c>
      <c r="E2279" s="92">
        <v>0.44</v>
      </c>
      <c r="F2279">
        <v>16</v>
      </c>
      <c r="G2279">
        <v>19</v>
      </c>
      <c r="H2279" t="s">
        <v>5617</v>
      </c>
      <c r="I2279">
        <v>0</v>
      </c>
      <c r="J2279" t="s">
        <v>87</v>
      </c>
      <c r="K2279">
        <v>0</v>
      </c>
      <c r="L2279">
        <v>0</v>
      </c>
    </row>
    <row r="2280" spans="1:12">
      <c r="A2280" s="93">
        <v>199281</v>
      </c>
      <c r="B2280" t="s">
        <v>2809</v>
      </c>
      <c r="C2280" t="s">
        <v>5608</v>
      </c>
      <c r="D2280" s="92">
        <v>0.36</v>
      </c>
      <c r="E2280" s="92">
        <v>0.38</v>
      </c>
      <c r="F2280">
        <v>18</v>
      </c>
      <c r="G2280">
        <v>19.5</v>
      </c>
      <c r="H2280" t="s">
        <v>5615</v>
      </c>
      <c r="I2280">
        <v>0</v>
      </c>
      <c r="J2280" t="s">
        <v>87</v>
      </c>
      <c r="K2280">
        <v>0</v>
      </c>
      <c r="L2280">
        <v>0</v>
      </c>
    </row>
    <row r="2281" spans="1:12">
      <c r="A2281" s="93">
        <v>199306</v>
      </c>
      <c r="B2281" t="s">
        <v>2810</v>
      </c>
      <c r="C2281" t="s">
        <v>5608</v>
      </c>
      <c r="D2281" s="92">
        <v>0.39</v>
      </c>
      <c r="E2281" s="92">
        <v>0.27</v>
      </c>
      <c r="F2281">
        <v>17</v>
      </c>
      <c r="G2281">
        <v>19.5</v>
      </c>
      <c r="H2281" t="s">
        <v>5617</v>
      </c>
      <c r="I2281">
        <v>0</v>
      </c>
      <c r="J2281" t="s">
        <v>87</v>
      </c>
      <c r="K2281">
        <v>0</v>
      </c>
      <c r="L2281">
        <v>0</v>
      </c>
    </row>
    <row r="2282" spans="1:12">
      <c r="A2282" s="93">
        <v>199324</v>
      </c>
      <c r="B2282" t="s">
        <v>2811</v>
      </c>
      <c r="C2282" t="s">
        <v>5606</v>
      </c>
      <c r="D2282" s="92">
        <v>0.35</v>
      </c>
      <c r="E2282" s="92">
        <v>0.37</v>
      </c>
      <c r="F2282" t="s">
        <v>428</v>
      </c>
      <c r="G2282" t="s">
        <v>428</v>
      </c>
      <c r="H2282" t="s">
        <v>5615</v>
      </c>
      <c r="I2282">
        <v>0</v>
      </c>
      <c r="J2282" t="s">
        <v>87</v>
      </c>
      <c r="K2282">
        <v>0</v>
      </c>
      <c r="L2282">
        <v>0</v>
      </c>
    </row>
    <row r="2283" spans="1:12">
      <c r="A2283" s="93">
        <v>199333</v>
      </c>
      <c r="B2283" t="s">
        <v>2812</v>
      </c>
      <c r="C2283" t="s">
        <v>5606</v>
      </c>
      <c r="D2283" s="92">
        <v>0.28</v>
      </c>
      <c r="E2283" s="92">
        <v>0.22</v>
      </c>
      <c r="F2283" t="s">
        <v>428</v>
      </c>
      <c r="G2283" t="s">
        <v>428</v>
      </c>
      <c r="H2283" t="s">
        <v>5615</v>
      </c>
      <c r="I2283">
        <v>0</v>
      </c>
      <c r="J2283" t="s">
        <v>87</v>
      </c>
      <c r="K2283">
        <v>0</v>
      </c>
      <c r="L2283">
        <v>0</v>
      </c>
    </row>
    <row r="2284" spans="1:12">
      <c r="A2284" s="93">
        <v>199412</v>
      </c>
      <c r="B2284" t="s">
        <v>2813</v>
      </c>
      <c r="C2284" t="s">
        <v>5602</v>
      </c>
      <c r="D2284" s="92">
        <v>0.5600000000000001</v>
      </c>
      <c r="E2284" s="92">
        <v>0.52</v>
      </c>
      <c r="F2284">
        <v>21</v>
      </c>
      <c r="G2284">
        <v>23.5</v>
      </c>
      <c r="H2284" t="s">
        <v>5616</v>
      </c>
      <c r="I2284">
        <v>0</v>
      </c>
      <c r="J2284" t="s">
        <v>87</v>
      </c>
      <c r="K2284">
        <v>0</v>
      </c>
      <c r="L2284">
        <v>0</v>
      </c>
    </row>
    <row r="2285" spans="1:12">
      <c r="A2285" s="93">
        <v>199421</v>
      </c>
      <c r="B2285" t="s">
        <v>2814</v>
      </c>
      <c r="C2285" t="s">
        <v>5606</v>
      </c>
      <c r="D2285" s="92" t="s">
        <v>428</v>
      </c>
      <c r="E2285" s="92" t="s">
        <v>428</v>
      </c>
      <c r="F2285" t="s">
        <v>428</v>
      </c>
      <c r="G2285" t="s">
        <v>428</v>
      </c>
      <c r="H2285" t="s">
        <v>5615</v>
      </c>
      <c r="I2285">
        <v>0</v>
      </c>
      <c r="J2285" t="s">
        <v>87</v>
      </c>
      <c r="K2285">
        <v>0</v>
      </c>
      <c r="L2285">
        <v>0</v>
      </c>
    </row>
    <row r="2286" spans="1:12">
      <c r="A2286" s="93">
        <v>199449</v>
      </c>
      <c r="B2286" t="s">
        <v>2815</v>
      </c>
      <c r="C2286" t="s">
        <v>5606</v>
      </c>
      <c r="D2286" s="92">
        <v>0.22</v>
      </c>
      <c r="E2286" s="92">
        <v>0.2</v>
      </c>
      <c r="F2286" t="s">
        <v>428</v>
      </c>
      <c r="G2286" t="s">
        <v>428</v>
      </c>
      <c r="H2286" t="s">
        <v>5615</v>
      </c>
      <c r="I2286">
        <v>0</v>
      </c>
      <c r="J2286" t="s">
        <v>87</v>
      </c>
      <c r="K2286">
        <v>0</v>
      </c>
      <c r="L2286">
        <v>0</v>
      </c>
    </row>
    <row r="2287" spans="1:12">
      <c r="A2287" s="93">
        <v>199458</v>
      </c>
      <c r="B2287" t="s">
        <v>2816</v>
      </c>
      <c r="C2287" t="s">
        <v>5608</v>
      </c>
      <c r="D2287" s="92">
        <v>0.41</v>
      </c>
      <c r="E2287" s="92">
        <v>0.17</v>
      </c>
      <c r="F2287">
        <v>17</v>
      </c>
      <c r="G2287">
        <v>19</v>
      </c>
      <c r="H2287" t="s">
        <v>5616</v>
      </c>
      <c r="I2287">
        <v>0</v>
      </c>
      <c r="J2287" t="s">
        <v>87</v>
      </c>
      <c r="K2287">
        <v>0</v>
      </c>
      <c r="L2287">
        <v>0</v>
      </c>
    </row>
    <row r="2288" spans="1:12">
      <c r="A2288" s="93">
        <v>199467</v>
      </c>
      <c r="B2288" t="s">
        <v>2817</v>
      </c>
      <c r="C2288" t="s">
        <v>5606</v>
      </c>
      <c r="D2288" s="92" t="s">
        <v>428</v>
      </c>
      <c r="E2288" s="92" t="s">
        <v>428</v>
      </c>
      <c r="F2288" t="s">
        <v>428</v>
      </c>
      <c r="G2288" t="s">
        <v>428</v>
      </c>
      <c r="H2288" t="s">
        <v>5615</v>
      </c>
      <c r="I2288">
        <v>0</v>
      </c>
      <c r="J2288" t="s">
        <v>87</v>
      </c>
      <c r="K2288">
        <v>0</v>
      </c>
      <c r="L2288">
        <v>0</v>
      </c>
    </row>
    <row r="2289" spans="1:12">
      <c r="A2289" s="93">
        <v>199476</v>
      </c>
      <c r="B2289" t="s">
        <v>2818</v>
      </c>
      <c r="C2289" t="s">
        <v>5606</v>
      </c>
      <c r="D2289" s="92">
        <v>0.17</v>
      </c>
      <c r="E2289" s="92">
        <v>0.15</v>
      </c>
      <c r="F2289" t="s">
        <v>428</v>
      </c>
      <c r="G2289" t="s">
        <v>428</v>
      </c>
      <c r="H2289" t="s">
        <v>5615</v>
      </c>
      <c r="I2289">
        <v>0</v>
      </c>
      <c r="J2289" t="s">
        <v>87</v>
      </c>
      <c r="K2289">
        <v>0</v>
      </c>
      <c r="L2289">
        <v>0</v>
      </c>
    </row>
    <row r="2290" spans="1:12">
      <c r="A2290" s="93">
        <v>199485</v>
      </c>
      <c r="B2290" t="s">
        <v>2819</v>
      </c>
      <c r="C2290" t="s">
        <v>5606</v>
      </c>
      <c r="D2290" s="92">
        <v>0.27</v>
      </c>
      <c r="E2290" s="92">
        <v>0.21</v>
      </c>
      <c r="F2290" t="s">
        <v>428</v>
      </c>
      <c r="G2290" t="s">
        <v>428</v>
      </c>
      <c r="H2290" t="s">
        <v>5615</v>
      </c>
      <c r="I2290">
        <v>0</v>
      </c>
      <c r="J2290" t="s">
        <v>87</v>
      </c>
      <c r="K2290">
        <v>0</v>
      </c>
      <c r="L2290">
        <v>0</v>
      </c>
    </row>
    <row r="2291" spans="1:12">
      <c r="A2291" s="93">
        <v>199494</v>
      </c>
      <c r="B2291" t="s">
        <v>2820</v>
      </c>
      <c r="C2291" t="s">
        <v>5606</v>
      </c>
      <c r="D2291" s="92" t="s">
        <v>428</v>
      </c>
      <c r="E2291" s="92" t="s">
        <v>428</v>
      </c>
      <c r="F2291" t="s">
        <v>428</v>
      </c>
      <c r="G2291" t="s">
        <v>428</v>
      </c>
      <c r="H2291" t="s">
        <v>5615</v>
      </c>
      <c r="I2291">
        <v>0</v>
      </c>
      <c r="J2291" t="s">
        <v>87</v>
      </c>
      <c r="K2291">
        <v>0</v>
      </c>
      <c r="L2291">
        <v>0</v>
      </c>
    </row>
    <row r="2292" spans="1:12">
      <c r="A2292" s="93">
        <v>199582</v>
      </c>
      <c r="B2292" t="s">
        <v>2821</v>
      </c>
      <c r="C2292" t="s">
        <v>5602</v>
      </c>
      <c r="D2292" s="92">
        <v>0.23</v>
      </c>
      <c r="E2292" s="92">
        <v>0.39</v>
      </c>
      <c r="F2292">
        <v>12</v>
      </c>
      <c r="G2292">
        <v>14</v>
      </c>
      <c r="H2292" t="s">
        <v>5617</v>
      </c>
      <c r="I2292">
        <v>0</v>
      </c>
      <c r="J2292" t="s">
        <v>138</v>
      </c>
      <c r="K2292">
        <v>0</v>
      </c>
      <c r="L2292">
        <v>0</v>
      </c>
    </row>
    <row r="2293" spans="1:12">
      <c r="A2293" s="93">
        <v>199607</v>
      </c>
      <c r="B2293" t="s">
        <v>2822</v>
      </c>
      <c r="C2293" t="s">
        <v>5605</v>
      </c>
      <c r="D2293" s="92">
        <v>0.61</v>
      </c>
      <c r="E2293" s="92">
        <v>0.54</v>
      </c>
      <c r="F2293">
        <v>22</v>
      </c>
      <c r="G2293">
        <v>24.5</v>
      </c>
      <c r="H2293" t="s">
        <v>5613</v>
      </c>
      <c r="I2293">
        <v>1</v>
      </c>
      <c r="J2293" t="s">
        <v>87</v>
      </c>
      <c r="K2293">
        <v>0</v>
      </c>
      <c r="L2293">
        <v>0</v>
      </c>
    </row>
    <row r="2294" spans="1:12">
      <c r="A2294" s="93">
        <v>199625</v>
      </c>
      <c r="B2294" t="s">
        <v>2823</v>
      </c>
      <c r="C2294" t="s">
        <v>5606</v>
      </c>
      <c r="D2294" s="92">
        <v>0.28</v>
      </c>
      <c r="E2294" s="92">
        <v>0.26</v>
      </c>
      <c r="F2294" t="s">
        <v>428</v>
      </c>
      <c r="G2294" t="s">
        <v>428</v>
      </c>
      <c r="H2294" t="s">
        <v>5615</v>
      </c>
      <c r="I2294">
        <v>0</v>
      </c>
      <c r="J2294" t="s">
        <v>87</v>
      </c>
      <c r="K2294">
        <v>0</v>
      </c>
      <c r="L2294">
        <v>0</v>
      </c>
    </row>
    <row r="2295" spans="1:12">
      <c r="A2295" s="93">
        <v>199634</v>
      </c>
      <c r="B2295" t="s">
        <v>2824</v>
      </c>
      <c r="C2295" t="s">
        <v>5606</v>
      </c>
      <c r="D2295" s="92" t="s">
        <v>428</v>
      </c>
      <c r="E2295" s="92" t="s">
        <v>428</v>
      </c>
      <c r="F2295" t="s">
        <v>428</v>
      </c>
      <c r="G2295" t="s">
        <v>428</v>
      </c>
      <c r="H2295" t="s">
        <v>5615</v>
      </c>
      <c r="I2295">
        <v>0</v>
      </c>
      <c r="J2295" t="s">
        <v>87</v>
      </c>
      <c r="K2295">
        <v>0</v>
      </c>
      <c r="L2295">
        <v>0</v>
      </c>
    </row>
    <row r="2296" spans="1:12">
      <c r="A2296" s="93">
        <v>199643</v>
      </c>
      <c r="B2296" t="s">
        <v>2825</v>
      </c>
      <c r="C2296" t="s">
        <v>5602</v>
      </c>
      <c r="D2296" s="92">
        <v>0.19</v>
      </c>
      <c r="E2296" s="92">
        <v>0.34</v>
      </c>
      <c r="F2296" t="s">
        <v>428</v>
      </c>
      <c r="G2296" t="s">
        <v>428</v>
      </c>
      <c r="H2296" t="s">
        <v>5617</v>
      </c>
      <c r="I2296">
        <v>0</v>
      </c>
      <c r="J2296" t="s">
        <v>138</v>
      </c>
      <c r="K2296">
        <v>0</v>
      </c>
      <c r="L2296">
        <v>0</v>
      </c>
    </row>
    <row r="2297" spans="1:12">
      <c r="A2297" s="93">
        <v>199698</v>
      </c>
      <c r="B2297" t="s">
        <v>2826</v>
      </c>
      <c r="C2297" t="s">
        <v>5608</v>
      </c>
      <c r="D2297" s="92">
        <v>0.29</v>
      </c>
      <c r="E2297" s="92">
        <v>0.26</v>
      </c>
      <c r="F2297">
        <v>16</v>
      </c>
      <c r="G2297">
        <v>18.5</v>
      </c>
      <c r="H2297" t="s">
        <v>5617</v>
      </c>
      <c r="I2297">
        <v>0</v>
      </c>
      <c r="J2297" t="s">
        <v>87</v>
      </c>
      <c r="K2297">
        <v>0</v>
      </c>
      <c r="L2297">
        <v>0</v>
      </c>
    </row>
    <row r="2298" spans="1:12">
      <c r="A2298" s="93">
        <v>199722</v>
      </c>
      <c r="B2298" t="s">
        <v>1649</v>
      </c>
      <c r="C2298" t="s">
        <v>5606</v>
      </c>
      <c r="D2298" s="92" t="s">
        <v>428</v>
      </c>
      <c r="E2298" s="92" t="s">
        <v>428</v>
      </c>
      <c r="F2298" t="s">
        <v>428</v>
      </c>
      <c r="G2298" t="s">
        <v>428</v>
      </c>
      <c r="H2298" t="s">
        <v>5615</v>
      </c>
      <c r="I2298">
        <v>0</v>
      </c>
      <c r="J2298" t="s">
        <v>87</v>
      </c>
      <c r="K2298">
        <v>0</v>
      </c>
      <c r="L2298">
        <v>0</v>
      </c>
    </row>
    <row r="2299" spans="1:12">
      <c r="A2299" s="93">
        <v>199731</v>
      </c>
      <c r="B2299" t="s">
        <v>1650</v>
      </c>
      <c r="C2299" t="s">
        <v>5606</v>
      </c>
      <c r="D2299" s="92" t="s">
        <v>428</v>
      </c>
      <c r="E2299" s="92" t="s">
        <v>428</v>
      </c>
      <c r="F2299" t="s">
        <v>428</v>
      </c>
      <c r="G2299" t="s">
        <v>428</v>
      </c>
      <c r="H2299" t="s">
        <v>5615</v>
      </c>
      <c r="I2299">
        <v>0</v>
      </c>
      <c r="J2299" t="s">
        <v>87</v>
      </c>
      <c r="K2299">
        <v>0</v>
      </c>
      <c r="L2299">
        <v>0</v>
      </c>
    </row>
    <row r="2300" spans="1:12">
      <c r="A2300" s="93">
        <v>199740</v>
      </c>
      <c r="B2300" t="s">
        <v>2827</v>
      </c>
      <c r="C2300" t="s">
        <v>5606</v>
      </c>
      <c r="D2300" s="92" t="s">
        <v>428</v>
      </c>
      <c r="E2300" s="92" t="s">
        <v>428</v>
      </c>
      <c r="F2300" t="s">
        <v>428</v>
      </c>
      <c r="G2300" t="s">
        <v>428</v>
      </c>
      <c r="H2300" t="s">
        <v>5615</v>
      </c>
      <c r="I2300">
        <v>0</v>
      </c>
      <c r="J2300" t="s">
        <v>87</v>
      </c>
      <c r="K2300">
        <v>0</v>
      </c>
      <c r="L2300">
        <v>0</v>
      </c>
    </row>
    <row r="2301" spans="1:12">
      <c r="A2301" s="93">
        <v>199759</v>
      </c>
      <c r="B2301" t="s">
        <v>2828</v>
      </c>
      <c r="C2301" t="s">
        <v>5607</v>
      </c>
      <c r="D2301" s="92">
        <v>0.29</v>
      </c>
      <c r="E2301" s="92">
        <v>0.17</v>
      </c>
      <c r="F2301" t="s">
        <v>428</v>
      </c>
      <c r="G2301" t="s">
        <v>428</v>
      </c>
      <c r="H2301" t="s">
        <v>5615</v>
      </c>
      <c r="I2301">
        <v>0</v>
      </c>
      <c r="J2301" t="s">
        <v>87</v>
      </c>
      <c r="K2301">
        <v>0</v>
      </c>
      <c r="L2301">
        <v>0</v>
      </c>
    </row>
    <row r="2302" spans="1:12">
      <c r="A2302" s="93">
        <v>199768</v>
      </c>
      <c r="B2302" t="s">
        <v>2829</v>
      </c>
      <c r="C2302" t="s">
        <v>5606</v>
      </c>
      <c r="D2302" s="92">
        <v>0.39</v>
      </c>
      <c r="E2302" s="92">
        <v>0.38</v>
      </c>
      <c r="F2302" t="s">
        <v>428</v>
      </c>
      <c r="G2302" t="s">
        <v>428</v>
      </c>
      <c r="H2302" t="s">
        <v>5615</v>
      </c>
      <c r="I2302">
        <v>0</v>
      </c>
      <c r="J2302" t="s">
        <v>87</v>
      </c>
      <c r="K2302">
        <v>0</v>
      </c>
      <c r="L2302">
        <v>0</v>
      </c>
    </row>
    <row r="2303" spans="1:12">
      <c r="A2303" s="93">
        <v>199786</v>
      </c>
      <c r="B2303" t="s">
        <v>2830</v>
      </c>
      <c r="C2303" t="s">
        <v>5606</v>
      </c>
      <c r="D2303" s="92">
        <v>0.31</v>
      </c>
      <c r="E2303" s="92">
        <v>0.25</v>
      </c>
      <c r="F2303" t="s">
        <v>428</v>
      </c>
      <c r="G2303" t="s">
        <v>428</v>
      </c>
      <c r="H2303" t="s">
        <v>5615</v>
      </c>
      <c r="I2303">
        <v>0</v>
      </c>
      <c r="J2303" t="s">
        <v>87</v>
      </c>
      <c r="K2303">
        <v>0</v>
      </c>
      <c r="L2303">
        <v>0</v>
      </c>
    </row>
    <row r="2304" spans="1:12">
      <c r="A2304" s="93">
        <v>199795</v>
      </c>
      <c r="B2304" t="s">
        <v>2831</v>
      </c>
      <c r="C2304" t="s">
        <v>5606</v>
      </c>
      <c r="D2304" s="92">
        <v>0.31</v>
      </c>
      <c r="E2304" s="92">
        <v>0.2</v>
      </c>
      <c r="F2304" t="s">
        <v>428</v>
      </c>
      <c r="G2304" t="s">
        <v>428</v>
      </c>
      <c r="H2304" t="s">
        <v>5615</v>
      </c>
      <c r="I2304">
        <v>0</v>
      </c>
      <c r="J2304" t="s">
        <v>87</v>
      </c>
      <c r="K2304">
        <v>0</v>
      </c>
      <c r="L2304">
        <v>0</v>
      </c>
    </row>
    <row r="2305" spans="1:12">
      <c r="A2305" s="93">
        <v>199838</v>
      </c>
      <c r="B2305" t="s">
        <v>2832</v>
      </c>
      <c r="C2305" t="s">
        <v>5606</v>
      </c>
      <c r="D2305" s="92">
        <v>0.38</v>
      </c>
      <c r="E2305" s="92">
        <v>0.3</v>
      </c>
      <c r="F2305" t="s">
        <v>428</v>
      </c>
      <c r="G2305" t="s">
        <v>428</v>
      </c>
      <c r="H2305" t="s">
        <v>5615</v>
      </c>
      <c r="I2305">
        <v>0</v>
      </c>
      <c r="J2305" t="s">
        <v>87</v>
      </c>
      <c r="K2305">
        <v>0</v>
      </c>
      <c r="L2305">
        <v>0</v>
      </c>
    </row>
    <row r="2306" spans="1:12">
      <c r="A2306" s="93">
        <v>199847</v>
      </c>
      <c r="B2306" t="s">
        <v>511</v>
      </c>
      <c r="C2306" t="s">
        <v>5612</v>
      </c>
      <c r="D2306" s="92">
        <v>0.88</v>
      </c>
      <c r="E2306" s="92">
        <v>0.87</v>
      </c>
      <c r="F2306" t="s">
        <v>428</v>
      </c>
      <c r="G2306" t="s">
        <v>428</v>
      </c>
      <c r="H2306" t="s">
        <v>5622</v>
      </c>
      <c r="I2306">
        <v>0</v>
      </c>
      <c r="J2306" t="s">
        <v>87</v>
      </c>
      <c r="K2306">
        <v>0</v>
      </c>
      <c r="L2306">
        <v>0</v>
      </c>
    </row>
    <row r="2307" spans="1:12">
      <c r="A2307" s="93">
        <v>199856</v>
      </c>
      <c r="B2307" t="s">
        <v>2833</v>
      </c>
      <c r="C2307" t="s">
        <v>5606</v>
      </c>
      <c r="D2307" s="92">
        <v>0.33</v>
      </c>
      <c r="E2307" s="92">
        <v>0.27</v>
      </c>
      <c r="F2307" t="s">
        <v>428</v>
      </c>
      <c r="G2307" t="s">
        <v>428</v>
      </c>
      <c r="H2307" t="s">
        <v>5615</v>
      </c>
      <c r="I2307">
        <v>0</v>
      </c>
      <c r="J2307" t="s">
        <v>87</v>
      </c>
      <c r="K2307">
        <v>0</v>
      </c>
      <c r="L2307">
        <v>0</v>
      </c>
    </row>
    <row r="2308" spans="1:12">
      <c r="A2308" s="93">
        <v>199865</v>
      </c>
      <c r="B2308" t="s">
        <v>2834</v>
      </c>
      <c r="C2308" t="s">
        <v>5603</v>
      </c>
      <c r="D2308" s="92">
        <v>0.51</v>
      </c>
      <c r="E2308" s="92">
        <v>0.62</v>
      </c>
      <c r="F2308" t="s">
        <v>428</v>
      </c>
      <c r="G2308" t="s">
        <v>428</v>
      </c>
      <c r="H2308" t="s">
        <v>5616</v>
      </c>
      <c r="I2308">
        <v>0</v>
      </c>
      <c r="J2308" t="s">
        <v>87</v>
      </c>
      <c r="K2308">
        <v>0</v>
      </c>
      <c r="L2308">
        <v>0</v>
      </c>
    </row>
    <row r="2309" spans="1:12">
      <c r="A2309" s="93">
        <v>199883</v>
      </c>
      <c r="B2309" t="s">
        <v>2835</v>
      </c>
      <c r="C2309" t="s">
        <v>5606</v>
      </c>
      <c r="D2309" s="92" t="s">
        <v>428</v>
      </c>
      <c r="E2309" s="92" t="s">
        <v>428</v>
      </c>
      <c r="F2309" t="s">
        <v>428</v>
      </c>
      <c r="G2309" t="s">
        <v>428</v>
      </c>
      <c r="H2309" t="s">
        <v>5615</v>
      </c>
      <c r="I2309">
        <v>0</v>
      </c>
      <c r="J2309" t="s">
        <v>87</v>
      </c>
      <c r="K2309">
        <v>0</v>
      </c>
      <c r="L2309">
        <v>0</v>
      </c>
    </row>
    <row r="2310" spans="1:12">
      <c r="A2310" s="93">
        <v>199892</v>
      </c>
      <c r="B2310" t="s">
        <v>2836</v>
      </c>
      <c r="C2310" t="s">
        <v>5606</v>
      </c>
      <c r="D2310" s="92" t="s">
        <v>428</v>
      </c>
      <c r="E2310" s="92" t="s">
        <v>428</v>
      </c>
      <c r="F2310" t="s">
        <v>428</v>
      </c>
      <c r="G2310" t="s">
        <v>428</v>
      </c>
      <c r="H2310" t="s">
        <v>5615</v>
      </c>
      <c r="I2310">
        <v>0</v>
      </c>
      <c r="J2310" t="s">
        <v>87</v>
      </c>
      <c r="K2310">
        <v>0</v>
      </c>
      <c r="L2310">
        <v>0</v>
      </c>
    </row>
    <row r="2311" spans="1:12">
      <c r="A2311" s="93">
        <v>199908</v>
      </c>
      <c r="B2311" t="s">
        <v>2837</v>
      </c>
      <c r="C2311" t="s">
        <v>5606</v>
      </c>
      <c r="D2311" s="92" t="s">
        <v>428</v>
      </c>
      <c r="E2311" s="92" t="s">
        <v>428</v>
      </c>
      <c r="F2311" t="s">
        <v>428</v>
      </c>
      <c r="G2311" t="s">
        <v>428</v>
      </c>
      <c r="H2311" t="s">
        <v>5615</v>
      </c>
      <c r="I2311">
        <v>0</v>
      </c>
      <c r="J2311" t="s">
        <v>87</v>
      </c>
      <c r="K2311">
        <v>0</v>
      </c>
      <c r="L2311">
        <v>0</v>
      </c>
    </row>
    <row r="2312" spans="1:12">
      <c r="A2312" s="93">
        <v>199926</v>
      </c>
      <c r="B2312" t="s">
        <v>2838</v>
      </c>
      <c r="C2312" t="s">
        <v>5606</v>
      </c>
      <c r="D2312" s="92">
        <v>0.37</v>
      </c>
      <c r="E2312" s="92">
        <v>0.29</v>
      </c>
      <c r="F2312" t="s">
        <v>428</v>
      </c>
      <c r="G2312" t="s">
        <v>428</v>
      </c>
      <c r="H2312" t="s">
        <v>5615</v>
      </c>
      <c r="I2312">
        <v>0</v>
      </c>
      <c r="J2312" t="s">
        <v>87</v>
      </c>
      <c r="K2312">
        <v>0</v>
      </c>
      <c r="L2312">
        <v>0</v>
      </c>
    </row>
    <row r="2313" spans="1:12">
      <c r="A2313" s="93">
        <v>199953</v>
      </c>
      <c r="B2313" t="s">
        <v>2839</v>
      </c>
      <c r="C2313" t="s">
        <v>5606</v>
      </c>
      <c r="D2313" s="92" t="s">
        <v>428</v>
      </c>
      <c r="E2313" s="92" t="s">
        <v>428</v>
      </c>
      <c r="F2313" t="s">
        <v>428</v>
      </c>
      <c r="G2313" t="s">
        <v>428</v>
      </c>
      <c r="H2313" t="s">
        <v>5615</v>
      </c>
      <c r="I2313">
        <v>0</v>
      </c>
      <c r="J2313" t="s">
        <v>87</v>
      </c>
      <c r="K2313">
        <v>0</v>
      </c>
      <c r="L2313">
        <v>0</v>
      </c>
    </row>
    <row r="2314" spans="1:12">
      <c r="A2314" s="93">
        <v>199962</v>
      </c>
      <c r="B2314" t="s">
        <v>2840</v>
      </c>
      <c r="C2314" t="s">
        <v>5602</v>
      </c>
      <c r="D2314" s="92">
        <v>0.53</v>
      </c>
      <c r="E2314" s="92">
        <v>0.51</v>
      </c>
      <c r="F2314">
        <v>20</v>
      </c>
      <c r="G2314">
        <v>22.5</v>
      </c>
      <c r="H2314" t="s">
        <v>5616</v>
      </c>
      <c r="I2314">
        <v>0</v>
      </c>
      <c r="J2314" t="s">
        <v>87</v>
      </c>
      <c r="K2314">
        <v>0</v>
      </c>
      <c r="L2314">
        <v>0</v>
      </c>
    </row>
    <row r="2315" spans="1:12">
      <c r="A2315" s="93">
        <v>199971</v>
      </c>
      <c r="B2315" t="s">
        <v>2841</v>
      </c>
      <c r="C2315" t="s">
        <v>5604</v>
      </c>
      <c r="D2315" s="92">
        <v>0.82</v>
      </c>
      <c r="E2315" s="92">
        <v>0.82</v>
      </c>
      <c r="F2315" t="s">
        <v>428</v>
      </c>
      <c r="G2315" t="s">
        <v>428</v>
      </c>
      <c r="H2315" t="s">
        <v>5615</v>
      </c>
      <c r="I2315">
        <v>0</v>
      </c>
      <c r="J2315" t="s">
        <v>87</v>
      </c>
      <c r="K2315">
        <v>0</v>
      </c>
      <c r="L2315">
        <v>0</v>
      </c>
    </row>
    <row r="2316" spans="1:12">
      <c r="A2316" s="93">
        <v>199999</v>
      </c>
      <c r="B2316" t="s">
        <v>2842</v>
      </c>
      <c r="C2316" t="s">
        <v>5608</v>
      </c>
      <c r="D2316" s="92">
        <v>0.47</v>
      </c>
      <c r="E2316" s="92">
        <v>0.63</v>
      </c>
      <c r="F2316">
        <v>17</v>
      </c>
      <c r="G2316">
        <v>18</v>
      </c>
      <c r="H2316" t="s">
        <v>5615</v>
      </c>
      <c r="I2316">
        <v>0</v>
      </c>
      <c r="J2316" t="s">
        <v>138</v>
      </c>
      <c r="K2316">
        <v>0</v>
      </c>
      <c r="L2316">
        <v>0</v>
      </c>
    </row>
    <row r="2317" spans="1:12">
      <c r="A2317" s="93">
        <v>200004</v>
      </c>
      <c r="B2317" t="s">
        <v>2843</v>
      </c>
      <c r="C2317" t="s">
        <v>5602</v>
      </c>
      <c r="D2317" s="92">
        <v>0.57</v>
      </c>
      <c r="E2317" s="92">
        <v>0.5600000000000001</v>
      </c>
      <c r="F2317">
        <v>20</v>
      </c>
      <c r="G2317">
        <v>22.5</v>
      </c>
      <c r="H2317" t="s">
        <v>5615</v>
      </c>
      <c r="I2317">
        <v>0</v>
      </c>
      <c r="J2317" t="s">
        <v>87</v>
      </c>
      <c r="K2317">
        <v>0</v>
      </c>
      <c r="L2317">
        <v>0</v>
      </c>
    </row>
    <row r="2318" spans="1:12">
      <c r="A2318" s="93">
        <v>200013</v>
      </c>
      <c r="B2318" t="s">
        <v>2844</v>
      </c>
      <c r="C2318" t="s">
        <v>5604</v>
      </c>
      <c r="D2318" s="92">
        <v>0.26</v>
      </c>
      <c r="E2318" s="92">
        <v>0</v>
      </c>
      <c r="F2318" t="s">
        <v>428</v>
      </c>
      <c r="G2318" t="s">
        <v>428</v>
      </c>
      <c r="H2318" t="s">
        <v>5617</v>
      </c>
      <c r="I2318">
        <v>0</v>
      </c>
      <c r="J2318" t="s">
        <v>87</v>
      </c>
      <c r="K2318">
        <v>0</v>
      </c>
      <c r="L2318">
        <v>0</v>
      </c>
    </row>
    <row r="2319" spans="1:12">
      <c r="A2319" s="93">
        <v>200022</v>
      </c>
      <c r="B2319" t="s">
        <v>2845</v>
      </c>
      <c r="C2319" t="s">
        <v>5604</v>
      </c>
      <c r="D2319" s="92" t="s">
        <v>428</v>
      </c>
      <c r="E2319" s="92" t="s">
        <v>428</v>
      </c>
      <c r="F2319" t="s">
        <v>428</v>
      </c>
      <c r="G2319" t="s">
        <v>428</v>
      </c>
      <c r="H2319" t="s">
        <v>5615</v>
      </c>
      <c r="I2319">
        <v>0</v>
      </c>
      <c r="J2319" t="s">
        <v>87</v>
      </c>
      <c r="K2319">
        <v>0</v>
      </c>
      <c r="L2319">
        <v>0</v>
      </c>
    </row>
    <row r="2320" spans="1:12">
      <c r="A2320" s="93">
        <v>200059</v>
      </c>
      <c r="B2320" t="s">
        <v>2846</v>
      </c>
      <c r="C2320" t="s">
        <v>5608</v>
      </c>
      <c r="D2320" s="92">
        <v>0.31</v>
      </c>
      <c r="E2320" s="92">
        <v>0.19</v>
      </c>
      <c r="F2320">
        <v>18</v>
      </c>
      <c r="G2320">
        <v>24.5</v>
      </c>
      <c r="H2320" t="s">
        <v>5615</v>
      </c>
      <c r="I2320">
        <v>0</v>
      </c>
      <c r="J2320" t="s">
        <v>87</v>
      </c>
      <c r="K2320">
        <v>0</v>
      </c>
      <c r="L2320">
        <v>0</v>
      </c>
    </row>
    <row r="2321" spans="1:12">
      <c r="A2321" s="93">
        <v>200086</v>
      </c>
      <c r="B2321" t="s">
        <v>2847</v>
      </c>
      <c r="C2321" t="s">
        <v>5604</v>
      </c>
      <c r="D2321" s="92" t="s">
        <v>428</v>
      </c>
      <c r="E2321" s="92" t="s">
        <v>428</v>
      </c>
      <c r="F2321" t="s">
        <v>428</v>
      </c>
      <c r="G2321" t="s">
        <v>428</v>
      </c>
      <c r="H2321" t="s">
        <v>5615</v>
      </c>
      <c r="I2321">
        <v>0</v>
      </c>
      <c r="J2321" t="s">
        <v>87</v>
      </c>
      <c r="K2321">
        <v>0</v>
      </c>
      <c r="L2321">
        <v>0</v>
      </c>
    </row>
    <row r="2322" spans="1:12">
      <c r="A2322" s="93">
        <v>200110</v>
      </c>
      <c r="B2322" t="s">
        <v>2848</v>
      </c>
      <c r="C2322" t="s">
        <v>5606</v>
      </c>
      <c r="D2322" s="92" t="s">
        <v>428</v>
      </c>
      <c r="E2322" s="92" t="s">
        <v>428</v>
      </c>
      <c r="F2322" t="s">
        <v>428</v>
      </c>
      <c r="G2322" t="s">
        <v>428</v>
      </c>
      <c r="H2322" t="s">
        <v>5616</v>
      </c>
      <c r="I2322">
        <v>0</v>
      </c>
      <c r="J2322" t="s">
        <v>87</v>
      </c>
      <c r="K2322">
        <v>0</v>
      </c>
      <c r="L2322">
        <v>0</v>
      </c>
    </row>
    <row r="2323" spans="1:12">
      <c r="A2323" s="93">
        <v>200129</v>
      </c>
      <c r="B2323" t="s">
        <v>2849</v>
      </c>
      <c r="C2323" t="s">
        <v>5606</v>
      </c>
      <c r="D2323" s="92" t="s">
        <v>428</v>
      </c>
      <c r="E2323" s="92" t="s">
        <v>428</v>
      </c>
      <c r="F2323" t="s">
        <v>428</v>
      </c>
      <c r="G2323" t="s">
        <v>428</v>
      </c>
      <c r="H2323" t="s">
        <v>5616</v>
      </c>
      <c r="I2323">
        <v>0</v>
      </c>
      <c r="J2323" t="s">
        <v>87</v>
      </c>
      <c r="K2323">
        <v>0</v>
      </c>
      <c r="L2323">
        <v>0</v>
      </c>
    </row>
    <row r="2324" spans="1:12">
      <c r="A2324" s="93">
        <v>200156</v>
      </c>
      <c r="B2324" t="s">
        <v>2850</v>
      </c>
      <c r="C2324" t="s">
        <v>5602</v>
      </c>
      <c r="D2324" s="92">
        <v>0.46</v>
      </c>
      <c r="E2324" s="92">
        <v>0.21</v>
      </c>
      <c r="F2324">
        <v>20</v>
      </c>
      <c r="G2324">
        <v>22.5</v>
      </c>
      <c r="H2324" t="s">
        <v>5616</v>
      </c>
      <c r="I2324">
        <v>0</v>
      </c>
      <c r="J2324" t="s">
        <v>87</v>
      </c>
      <c r="K2324">
        <v>0</v>
      </c>
      <c r="L2324">
        <v>0</v>
      </c>
    </row>
    <row r="2325" spans="1:12">
      <c r="A2325" s="93">
        <v>200165</v>
      </c>
      <c r="B2325" t="s">
        <v>2851</v>
      </c>
      <c r="C2325" t="s">
        <v>5606</v>
      </c>
      <c r="D2325" s="92" t="s">
        <v>428</v>
      </c>
      <c r="E2325" s="92" t="s">
        <v>428</v>
      </c>
      <c r="F2325" t="s">
        <v>428</v>
      </c>
      <c r="G2325" t="s">
        <v>428</v>
      </c>
      <c r="H2325" t="s">
        <v>5616</v>
      </c>
      <c r="I2325">
        <v>0</v>
      </c>
      <c r="J2325" t="s">
        <v>87</v>
      </c>
      <c r="K2325">
        <v>0</v>
      </c>
      <c r="L2325">
        <v>0</v>
      </c>
    </row>
    <row r="2326" spans="1:12">
      <c r="A2326" s="93">
        <v>200192</v>
      </c>
      <c r="B2326" t="s">
        <v>2852</v>
      </c>
      <c r="C2326" t="s">
        <v>5606</v>
      </c>
      <c r="D2326" s="92" t="s">
        <v>428</v>
      </c>
      <c r="E2326" s="92" t="s">
        <v>428</v>
      </c>
      <c r="F2326" t="s">
        <v>428</v>
      </c>
      <c r="G2326" t="s">
        <v>428</v>
      </c>
      <c r="H2326" t="s">
        <v>5615</v>
      </c>
      <c r="I2326">
        <v>0</v>
      </c>
      <c r="J2326" t="s">
        <v>87</v>
      </c>
      <c r="K2326">
        <v>0</v>
      </c>
      <c r="L2326">
        <v>0</v>
      </c>
    </row>
    <row r="2327" spans="1:12">
      <c r="A2327" s="93">
        <v>200208</v>
      </c>
      <c r="B2327" t="s">
        <v>2853</v>
      </c>
      <c r="C2327" t="s">
        <v>5606</v>
      </c>
      <c r="D2327" s="92" t="s">
        <v>428</v>
      </c>
      <c r="E2327" s="92" t="s">
        <v>428</v>
      </c>
      <c r="F2327" t="s">
        <v>428</v>
      </c>
      <c r="G2327" t="s">
        <v>428</v>
      </c>
      <c r="H2327" t="s">
        <v>5615</v>
      </c>
      <c r="I2327">
        <v>0</v>
      </c>
      <c r="J2327" t="s">
        <v>87</v>
      </c>
      <c r="K2327">
        <v>0</v>
      </c>
      <c r="L2327">
        <v>0</v>
      </c>
    </row>
    <row r="2328" spans="1:12">
      <c r="A2328" s="93">
        <v>200217</v>
      </c>
      <c r="B2328" t="s">
        <v>2854</v>
      </c>
      <c r="C2328" t="s">
        <v>5602</v>
      </c>
      <c r="D2328" s="92">
        <v>0.53</v>
      </c>
      <c r="E2328" s="92">
        <v>0.39</v>
      </c>
      <c r="F2328">
        <v>20</v>
      </c>
      <c r="G2328">
        <v>23</v>
      </c>
      <c r="H2328" t="s">
        <v>5616</v>
      </c>
      <c r="I2328">
        <v>0</v>
      </c>
      <c r="J2328" t="s">
        <v>87</v>
      </c>
      <c r="K2328">
        <v>0</v>
      </c>
      <c r="L2328">
        <v>0</v>
      </c>
    </row>
    <row r="2329" spans="1:12">
      <c r="A2329" s="93">
        <v>200226</v>
      </c>
      <c r="B2329" t="s">
        <v>2855</v>
      </c>
      <c r="C2329" t="s">
        <v>5604</v>
      </c>
      <c r="D2329" s="92">
        <v>0.32</v>
      </c>
      <c r="E2329" s="92">
        <v>0.16</v>
      </c>
      <c r="F2329">
        <v>18</v>
      </c>
      <c r="G2329">
        <v>20.5</v>
      </c>
      <c r="H2329" t="s">
        <v>5615</v>
      </c>
      <c r="I2329">
        <v>0</v>
      </c>
      <c r="J2329" t="s">
        <v>87</v>
      </c>
      <c r="K2329">
        <v>0</v>
      </c>
      <c r="L2329">
        <v>0</v>
      </c>
    </row>
    <row r="2330" spans="1:12">
      <c r="A2330" s="93">
        <v>200253</v>
      </c>
      <c r="B2330" t="s">
        <v>2856</v>
      </c>
      <c r="C2330" t="s">
        <v>5602</v>
      </c>
      <c r="D2330" s="92">
        <v>0.42</v>
      </c>
      <c r="E2330" s="92">
        <v>0.26</v>
      </c>
      <c r="F2330">
        <v>18</v>
      </c>
      <c r="G2330">
        <v>20.5</v>
      </c>
      <c r="H2330" t="s">
        <v>5615</v>
      </c>
      <c r="I2330">
        <v>0</v>
      </c>
      <c r="J2330" t="s">
        <v>87</v>
      </c>
      <c r="K2330">
        <v>0</v>
      </c>
      <c r="L2330">
        <v>0</v>
      </c>
    </row>
    <row r="2331" spans="1:12">
      <c r="A2331" s="93">
        <v>200280</v>
      </c>
      <c r="B2331" t="s">
        <v>2857</v>
      </c>
      <c r="C2331" t="s">
        <v>5602</v>
      </c>
      <c r="D2331" s="92">
        <v>0.54</v>
      </c>
      <c r="E2331" s="92">
        <v>0.42</v>
      </c>
      <c r="F2331">
        <v>21</v>
      </c>
      <c r="G2331">
        <v>23.5</v>
      </c>
      <c r="H2331" t="s">
        <v>5615</v>
      </c>
      <c r="I2331">
        <v>0</v>
      </c>
      <c r="J2331" t="s">
        <v>87</v>
      </c>
      <c r="K2331">
        <v>0</v>
      </c>
      <c r="L2331">
        <v>0</v>
      </c>
    </row>
    <row r="2332" spans="1:12">
      <c r="A2332" s="93">
        <v>200305</v>
      </c>
      <c r="B2332" t="s">
        <v>2858</v>
      </c>
      <c r="C2332" t="s">
        <v>5606</v>
      </c>
      <c r="D2332" s="92" t="s">
        <v>428</v>
      </c>
      <c r="E2332" s="92" t="s">
        <v>428</v>
      </c>
      <c r="F2332" t="s">
        <v>428</v>
      </c>
      <c r="G2332" t="s">
        <v>428</v>
      </c>
      <c r="H2332" t="s">
        <v>5615</v>
      </c>
      <c r="I2332">
        <v>0</v>
      </c>
      <c r="J2332" t="s">
        <v>87</v>
      </c>
      <c r="K2332">
        <v>0</v>
      </c>
      <c r="L2332">
        <v>0</v>
      </c>
    </row>
    <row r="2333" spans="1:12">
      <c r="A2333" s="93">
        <v>200314</v>
      </c>
      <c r="B2333" t="s">
        <v>2859</v>
      </c>
      <c r="C2333" t="s">
        <v>5606</v>
      </c>
      <c r="D2333" s="92" t="s">
        <v>428</v>
      </c>
      <c r="E2333" s="92" t="s">
        <v>428</v>
      </c>
      <c r="F2333" t="s">
        <v>428</v>
      </c>
      <c r="G2333" t="s">
        <v>428</v>
      </c>
      <c r="H2333" t="s">
        <v>5615</v>
      </c>
      <c r="I2333">
        <v>0</v>
      </c>
      <c r="J2333" t="s">
        <v>87</v>
      </c>
      <c r="K2333">
        <v>0</v>
      </c>
      <c r="L2333">
        <v>0</v>
      </c>
    </row>
    <row r="2334" spans="1:12">
      <c r="A2334" s="93">
        <v>200332</v>
      </c>
      <c r="B2334" t="s">
        <v>2860</v>
      </c>
      <c r="C2334" t="s">
        <v>5602</v>
      </c>
      <c r="D2334" s="92">
        <v>0.55</v>
      </c>
      <c r="E2334" s="92">
        <v>0.37</v>
      </c>
      <c r="F2334">
        <v>21</v>
      </c>
      <c r="G2334">
        <v>23.5</v>
      </c>
      <c r="H2334" t="s">
        <v>5615</v>
      </c>
      <c r="I2334">
        <v>0</v>
      </c>
      <c r="J2334" t="s">
        <v>87</v>
      </c>
      <c r="K2334">
        <v>0</v>
      </c>
      <c r="L2334">
        <v>0</v>
      </c>
    </row>
    <row r="2335" spans="1:12">
      <c r="A2335" s="93">
        <v>200341</v>
      </c>
      <c r="B2335" t="s">
        <v>2861</v>
      </c>
      <c r="C2335" t="s">
        <v>5606</v>
      </c>
      <c r="D2335" s="92" t="s">
        <v>428</v>
      </c>
      <c r="E2335" s="92" t="s">
        <v>428</v>
      </c>
      <c r="F2335" t="s">
        <v>428</v>
      </c>
      <c r="G2335" t="s">
        <v>428</v>
      </c>
      <c r="H2335" t="s">
        <v>5615</v>
      </c>
      <c r="I2335">
        <v>0</v>
      </c>
      <c r="J2335" t="s">
        <v>87</v>
      </c>
      <c r="K2335">
        <v>0</v>
      </c>
      <c r="L2335">
        <v>0</v>
      </c>
    </row>
    <row r="2336" spans="1:12">
      <c r="A2336" s="93">
        <v>200387</v>
      </c>
      <c r="B2336" t="s">
        <v>2862</v>
      </c>
      <c r="C2336" t="s">
        <v>5606</v>
      </c>
      <c r="D2336" s="92" t="s">
        <v>428</v>
      </c>
      <c r="E2336" s="92" t="s">
        <v>428</v>
      </c>
      <c r="F2336" t="s">
        <v>428</v>
      </c>
      <c r="G2336" t="s">
        <v>428</v>
      </c>
      <c r="H2336" t="s">
        <v>5617</v>
      </c>
      <c r="I2336">
        <v>0</v>
      </c>
      <c r="J2336" t="s">
        <v>87</v>
      </c>
      <c r="K2336">
        <v>0</v>
      </c>
      <c r="L2336">
        <v>0</v>
      </c>
    </row>
    <row r="2337" spans="1:12">
      <c r="A2337" s="93">
        <v>200466</v>
      </c>
      <c r="B2337" t="s">
        <v>2863</v>
      </c>
      <c r="C2337" t="s">
        <v>5604</v>
      </c>
      <c r="D2337" s="92" t="s">
        <v>428</v>
      </c>
      <c r="E2337" s="92" t="s">
        <v>428</v>
      </c>
      <c r="F2337" t="s">
        <v>428</v>
      </c>
      <c r="G2337" t="s">
        <v>428</v>
      </c>
      <c r="H2337" t="s">
        <v>5615</v>
      </c>
      <c r="I2337">
        <v>0</v>
      </c>
      <c r="J2337" t="s">
        <v>87</v>
      </c>
      <c r="K2337">
        <v>0</v>
      </c>
      <c r="L2337">
        <v>0</v>
      </c>
    </row>
    <row r="2338" spans="1:12">
      <c r="A2338" s="93">
        <v>200484</v>
      </c>
      <c r="B2338" t="s">
        <v>2864</v>
      </c>
      <c r="C2338" t="s">
        <v>5608</v>
      </c>
      <c r="D2338" s="92">
        <v>0.4</v>
      </c>
      <c r="E2338" s="92">
        <v>0.36</v>
      </c>
      <c r="F2338">
        <v>17</v>
      </c>
      <c r="G2338">
        <v>19.5</v>
      </c>
      <c r="H2338" t="s">
        <v>5617</v>
      </c>
      <c r="I2338">
        <v>0</v>
      </c>
      <c r="J2338" t="s">
        <v>87</v>
      </c>
      <c r="K2338">
        <v>0</v>
      </c>
      <c r="L2338">
        <v>0</v>
      </c>
    </row>
    <row r="2339" spans="1:12">
      <c r="A2339" s="93">
        <v>200527</v>
      </c>
      <c r="B2339" t="s">
        <v>2865</v>
      </c>
      <c r="C2339" t="s">
        <v>5604</v>
      </c>
      <c r="D2339" s="92" t="s">
        <v>428</v>
      </c>
      <c r="E2339" s="92" t="s">
        <v>428</v>
      </c>
      <c r="F2339" t="s">
        <v>428</v>
      </c>
      <c r="G2339" t="s">
        <v>428</v>
      </c>
      <c r="H2339" t="s">
        <v>5613</v>
      </c>
      <c r="I2339">
        <v>1</v>
      </c>
      <c r="J2339" t="s">
        <v>87</v>
      </c>
      <c r="K2339">
        <v>0</v>
      </c>
      <c r="L2339">
        <v>0</v>
      </c>
    </row>
    <row r="2340" spans="1:12">
      <c r="A2340" s="93">
        <v>200554</v>
      </c>
      <c r="B2340" t="s">
        <v>2866</v>
      </c>
      <c r="C2340" t="s">
        <v>5604</v>
      </c>
      <c r="D2340" s="92" t="s">
        <v>428</v>
      </c>
      <c r="E2340" s="92" t="s">
        <v>428</v>
      </c>
      <c r="F2340" t="s">
        <v>428</v>
      </c>
      <c r="G2340" t="s">
        <v>428</v>
      </c>
      <c r="H2340" t="s">
        <v>5624</v>
      </c>
      <c r="I2340">
        <v>1</v>
      </c>
      <c r="J2340" t="s">
        <v>87</v>
      </c>
      <c r="K2340">
        <v>0</v>
      </c>
      <c r="L2340">
        <v>0</v>
      </c>
    </row>
    <row r="2341" spans="1:12">
      <c r="A2341" s="93">
        <v>200572</v>
      </c>
      <c r="B2341" t="s">
        <v>2867</v>
      </c>
      <c r="C2341" t="s">
        <v>5602</v>
      </c>
      <c r="D2341" s="92">
        <v>0.41</v>
      </c>
      <c r="E2341" s="92">
        <v>0.16</v>
      </c>
      <c r="F2341">
        <v>18</v>
      </c>
      <c r="G2341">
        <v>21</v>
      </c>
      <c r="H2341" t="s">
        <v>5615</v>
      </c>
      <c r="I2341">
        <v>0</v>
      </c>
      <c r="J2341" t="s">
        <v>87</v>
      </c>
      <c r="K2341">
        <v>0</v>
      </c>
      <c r="L2341">
        <v>0</v>
      </c>
    </row>
    <row r="2342" spans="1:12">
      <c r="A2342" s="93">
        <v>200590</v>
      </c>
      <c r="B2342" t="s">
        <v>2868</v>
      </c>
      <c r="C2342" t="s">
        <v>5606</v>
      </c>
      <c r="D2342" s="92" t="s">
        <v>428</v>
      </c>
      <c r="E2342" s="92" t="s">
        <v>428</v>
      </c>
      <c r="F2342" t="s">
        <v>428</v>
      </c>
      <c r="G2342" t="s">
        <v>428</v>
      </c>
      <c r="H2342" t="s">
        <v>5616</v>
      </c>
      <c r="I2342">
        <v>0</v>
      </c>
      <c r="J2342" t="s">
        <v>87</v>
      </c>
      <c r="K2342">
        <v>0</v>
      </c>
      <c r="L2342">
        <v>0</v>
      </c>
    </row>
    <row r="2343" spans="1:12">
      <c r="A2343" s="93">
        <v>200624</v>
      </c>
      <c r="B2343" t="s">
        <v>2869</v>
      </c>
      <c r="C2343" t="s">
        <v>5607</v>
      </c>
      <c r="D2343" s="92" t="s">
        <v>428</v>
      </c>
      <c r="E2343" s="92" t="s">
        <v>428</v>
      </c>
      <c r="F2343" t="s">
        <v>428</v>
      </c>
      <c r="G2343" t="s">
        <v>428</v>
      </c>
      <c r="H2343" t="s">
        <v>5617</v>
      </c>
      <c r="I2343">
        <v>0</v>
      </c>
      <c r="J2343" t="s">
        <v>87</v>
      </c>
      <c r="K2343">
        <v>0</v>
      </c>
      <c r="L2343">
        <v>0</v>
      </c>
    </row>
    <row r="2344" spans="1:12">
      <c r="A2344" s="93">
        <v>200633</v>
      </c>
      <c r="B2344" t="s">
        <v>2870</v>
      </c>
      <c r="C2344" t="s">
        <v>5606</v>
      </c>
      <c r="D2344" s="92" t="s">
        <v>428</v>
      </c>
      <c r="E2344" s="92" t="s">
        <v>428</v>
      </c>
      <c r="F2344" t="s">
        <v>428</v>
      </c>
      <c r="G2344" t="s">
        <v>428</v>
      </c>
      <c r="H2344" t="s">
        <v>5617</v>
      </c>
      <c r="I2344">
        <v>0</v>
      </c>
      <c r="J2344" t="s">
        <v>87</v>
      </c>
      <c r="K2344">
        <v>0</v>
      </c>
      <c r="L2344">
        <v>0</v>
      </c>
    </row>
    <row r="2345" spans="1:12">
      <c r="A2345" s="93">
        <v>200697</v>
      </c>
      <c r="B2345" t="s">
        <v>2871</v>
      </c>
      <c r="C2345" t="s">
        <v>5607</v>
      </c>
      <c r="D2345" s="92" t="s">
        <v>428</v>
      </c>
      <c r="E2345" s="92" t="s">
        <v>428</v>
      </c>
      <c r="F2345" t="s">
        <v>428</v>
      </c>
      <c r="G2345" t="s">
        <v>428</v>
      </c>
      <c r="H2345" t="s">
        <v>5615</v>
      </c>
      <c r="I2345">
        <v>0</v>
      </c>
      <c r="J2345" t="s">
        <v>87</v>
      </c>
      <c r="K2345">
        <v>0</v>
      </c>
      <c r="L2345">
        <v>0</v>
      </c>
    </row>
    <row r="2346" spans="1:12">
      <c r="A2346" s="93">
        <v>200785</v>
      </c>
      <c r="B2346" t="s">
        <v>2872</v>
      </c>
      <c r="C2346" t="s">
        <v>5607</v>
      </c>
      <c r="D2346" s="92">
        <v>0.2</v>
      </c>
      <c r="E2346" s="92">
        <v>0</v>
      </c>
      <c r="F2346" t="s">
        <v>428</v>
      </c>
      <c r="G2346" t="s">
        <v>428</v>
      </c>
      <c r="H2346" t="s">
        <v>5617</v>
      </c>
      <c r="I2346">
        <v>0</v>
      </c>
      <c r="J2346" t="s">
        <v>87</v>
      </c>
      <c r="K2346">
        <v>0</v>
      </c>
      <c r="L2346">
        <v>0</v>
      </c>
    </row>
    <row r="2347" spans="1:12">
      <c r="A2347" s="93">
        <v>200800</v>
      </c>
      <c r="B2347" t="s">
        <v>2873</v>
      </c>
      <c r="C2347" t="s">
        <v>5602</v>
      </c>
      <c r="D2347" s="92">
        <v>0.43</v>
      </c>
      <c r="E2347" s="92">
        <v>0.22</v>
      </c>
      <c r="F2347">
        <v>19</v>
      </c>
      <c r="G2347">
        <v>22.5</v>
      </c>
      <c r="H2347" t="s">
        <v>5617</v>
      </c>
      <c r="I2347">
        <v>0</v>
      </c>
      <c r="J2347" t="s">
        <v>87</v>
      </c>
      <c r="K2347">
        <v>0</v>
      </c>
      <c r="L2347">
        <v>0</v>
      </c>
    </row>
    <row r="2348" spans="1:12">
      <c r="A2348" s="93">
        <v>200846</v>
      </c>
      <c r="B2348" t="s">
        <v>2874</v>
      </c>
      <c r="C2348" t="s">
        <v>5606</v>
      </c>
      <c r="D2348" s="92">
        <v>0.15</v>
      </c>
      <c r="E2348" s="92">
        <v>0.14</v>
      </c>
      <c r="F2348" t="s">
        <v>428</v>
      </c>
      <c r="G2348" t="s">
        <v>428</v>
      </c>
      <c r="H2348" t="s">
        <v>5615</v>
      </c>
      <c r="I2348">
        <v>0</v>
      </c>
      <c r="J2348" t="s">
        <v>87</v>
      </c>
      <c r="K2348">
        <v>0</v>
      </c>
      <c r="L2348">
        <v>0</v>
      </c>
    </row>
    <row r="2349" spans="1:12">
      <c r="A2349" s="93">
        <v>200873</v>
      </c>
      <c r="B2349" t="s">
        <v>2875</v>
      </c>
      <c r="C2349" t="s">
        <v>5604</v>
      </c>
      <c r="D2349" s="92">
        <v>0.22</v>
      </c>
      <c r="E2349" s="92" t="s">
        <v>428</v>
      </c>
      <c r="F2349" t="s">
        <v>428</v>
      </c>
      <c r="G2349" t="s">
        <v>428</v>
      </c>
      <c r="H2349" t="s">
        <v>5614</v>
      </c>
      <c r="I2349">
        <v>1</v>
      </c>
      <c r="J2349" t="s">
        <v>87</v>
      </c>
      <c r="K2349">
        <v>0</v>
      </c>
      <c r="L2349">
        <v>0</v>
      </c>
    </row>
    <row r="2350" spans="1:12">
      <c r="A2350" s="93">
        <v>201016</v>
      </c>
      <c r="B2350" t="s">
        <v>2876</v>
      </c>
      <c r="C2350" t="s">
        <v>5606</v>
      </c>
      <c r="D2350" s="92" t="s">
        <v>428</v>
      </c>
      <c r="E2350" s="92" t="s">
        <v>428</v>
      </c>
      <c r="F2350" t="s">
        <v>428</v>
      </c>
      <c r="G2350" t="s">
        <v>428</v>
      </c>
      <c r="H2350" t="s">
        <v>5617</v>
      </c>
      <c r="I2350">
        <v>0</v>
      </c>
      <c r="J2350" t="s">
        <v>87</v>
      </c>
      <c r="K2350">
        <v>0</v>
      </c>
      <c r="L2350">
        <v>0</v>
      </c>
    </row>
    <row r="2351" spans="1:12">
      <c r="A2351" s="93">
        <v>201061</v>
      </c>
      <c r="B2351" t="s">
        <v>2877</v>
      </c>
      <c r="C2351" t="s">
        <v>5610</v>
      </c>
      <c r="D2351" s="92">
        <v>0.5600000000000001</v>
      </c>
      <c r="E2351" s="92">
        <v>0.6</v>
      </c>
      <c r="F2351">
        <v>17</v>
      </c>
      <c r="G2351">
        <v>20.5</v>
      </c>
      <c r="H2351" t="s">
        <v>5617</v>
      </c>
      <c r="I2351">
        <v>0</v>
      </c>
      <c r="J2351" t="s">
        <v>87</v>
      </c>
      <c r="K2351">
        <v>0</v>
      </c>
      <c r="L2351">
        <v>0</v>
      </c>
    </row>
    <row r="2352" spans="1:12">
      <c r="A2352" s="93">
        <v>201104</v>
      </c>
      <c r="B2352" t="s">
        <v>2878</v>
      </c>
      <c r="C2352" t="s">
        <v>5602</v>
      </c>
      <c r="D2352" s="92">
        <v>0.59</v>
      </c>
      <c r="E2352" s="92">
        <v>0.32</v>
      </c>
      <c r="F2352">
        <v>20</v>
      </c>
      <c r="G2352">
        <v>22.5</v>
      </c>
      <c r="H2352" t="s">
        <v>5617</v>
      </c>
      <c r="I2352">
        <v>0</v>
      </c>
      <c r="J2352" t="s">
        <v>87</v>
      </c>
      <c r="K2352">
        <v>0</v>
      </c>
      <c r="L2352">
        <v>0</v>
      </c>
    </row>
    <row r="2353" spans="1:12">
      <c r="A2353" s="93">
        <v>201140</v>
      </c>
      <c r="B2353" t="s">
        <v>2879</v>
      </c>
      <c r="C2353" t="s">
        <v>5604</v>
      </c>
      <c r="D2353" s="92" t="s">
        <v>428</v>
      </c>
      <c r="E2353" s="92" t="s">
        <v>428</v>
      </c>
      <c r="F2353" t="s">
        <v>428</v>
      </c>
      <c r="G2353" t="s">
        <v>428</v>
      </c>
      <c r="H2353" t="s">
        <v>5615</v>
      </c>
      <c r="I2353">
        <v>0</v>
      </c>
      <c r="J2353" t="s">
        <v>87</v>
      </c>
      <c r="K2353">
        <v>0</v>
      </c>
      <c r="L2353">
        <v>0</v>
      </c>
    </row>
    <row r="2354" spans="1:12">
      <c r="A2354" s="93">
        <v>201177</v>
      </c>
      <c r="B2354" t="s">
        <v>2880</v>
      </c>
      <c r="C2354" t="s">
        <v>5602</v>
      </c>
      <c r="D2354" s="92" t="s">
        <v>428</v>
      </c>
      <c r="E2354" s="92" t="s">
        <v>428</v>
      </c>
      <c r="F2354">
        <v>20</v>
      </c>
      <c r="G2354">
        <v>21</v>
      </c>
      <c r="H2354" t="s">
        <v>5617</v>
      </c>
      <c r="I2354">
        <v>0</v>
      </c>
      <c r="J2354" t="s">
        <v>87</v>
      </c>
      <c r="K2354">
        <v>0</v>
      </c>
      <c r="L2354">
        <v>0</v>
      </c>
    </row>
    <row r="2355" spans="1:12">
      <c r="A2355" s="93">
        <v>201195</v>
      </c>
      <c r="B2355" t="s">
        <v>2881</v>
      </c>
      <c r="C2355" t="s">
        <v>5602</v>
      </c>
      <c r="D2355" s="92">
        <v>0.67</v>
      </c>
      <c r="E2355" s="92">
        <v>0.49</v>
      </c>
      <c r="F2355" t="s">
        <v>428</v>
      </c>
      <c r="G2355" t="s">
        <v>428</v>
      </c>
      <c r="H2355" t="s">
        <v>5616</v>
      </c>
      <c r="I2355">
        <v>0</v>
      </c>
      <c r="J2355" t="s">
        <v>87</v>
      </c>
      <c r="K2355">
        <v>0</v>
      </c>
      <c r="L2355">
        <v>0</v>
      </c>
    </row>
    <row r="2356" spans="1:12">
      <c r="A2356" s="93">
        <v>201283</v>
      </c>
      <c r="B2356" t="s">
        <v>2882</v>
      </c>
      <c r="C2356" t="s">
        <v>5606</v>
      </c>
      <c r="D2356" s="92" t="s">
        <v>428</v>
      </c>
      <c r="E2356" s="92" t="s">
        <v>428</v>
      </c>
      <c r="F2356" t="s">
        <v>428</v>
      </c>
      <c r="G2356" t="s">
        <v>428</v>
      </c>
      <c r="H2356" t="s">
        <v>5615</v>
      </c>
      <c r="I2356">
        <v>0</v>
      </c>
      <c r="J2356" t="s">
        <v>87</v>
      </c>
      <c r="K2356">
        <v>0</v>
      </c>
      <c r="L2356">
        <v>0</v>
      </c>
    </row>
    <row r="2357" spans="1:12">
      <c r="A2357" s="93">
        <v>201371</v>
      </c>
      <c r="B2357" t="s">
        <v>2883</v>
      </c>
      <c r="C2357" t="s">
        <v>5602</v>
      </c>
      <c r="D2357" s="92">
        <v>0.52</v>
      </c>
      <c r="E2357" s="92">
        <v>0.25</v>
      </c>
      <c r="F2357">
        <v>19</v>
      </c>
      <c r="G2357">
        <v>21.5</v>
      </c>
      <c r="H2357" t="s">
        <v>5617</v>
      </c>
      <c r="I2357">
        <v>0</v>
      </c>
      <c r="J2357" t="s">
        <v>87</v>
      </c>
      <c r="K2357">
        <v>0</v>
      </c>
      <c r="L2357">
        <v>0</v>
      </c>
    </row>
    <row r="2358" spans="1:12">
      <c r="A2358" s="93">
        <v>201399</v>
      </c>
      <c r="B2358" t="s">
        <v>2884</v>
      </c>
      <c r="C2358" t="s">
        <v>5606</v>
      </c>
      <c r="D2358" s="92" t="s">
        <v>428</v>
      </c>
      <c r="E2358" s="92" t="s">
        <v>428</v>
      </c>
      <c r="F2358" t="s">
        <v>428</v>
      </c>
      <c r="G2358" t="s">
        <v>428</v>
      </c>
      <c r="H2358" t="s">
        <v>5617</v>
      </c>
      <c r="I2358">
        <v>0</v>
      </c>
      <c r="J2358" t="s">
        <v>87</v>
      </c>
      <c r="K2358">
        <v>0</v>
      </c>
      <c r="L2358">
        <v>0</v>
      </c>
    </row>
    <row r="2359" spans="1:12">
      <c r="A2359" s="93">
        <v>201432</v>
      </c>
      <c r="B2359" t="s">
        <v>2885</v>
      </c>
      <c r="C2359" t="s">
        <v>5606</v>
      </c>
      <c r="D2359" s="92">
        <v>0.21</v>
      </c>
      <c r="E2359" s="92">
        <v>0.15</v>
      </c>
      <c r="F2359" t="s">
        <v>428</v>
      </c>
      <c r="G2359" t="s">
        <v>428</v>
      </c>
      <c r="H2359" t="s">
        <v>5615</v>
      </c>
      <c r="I2359">
        <v>0</v>
      </c>
      <c r="J2359" t="s">
        <v>87</v>
      </c>
      <c r="K2359">
        <v>0</v>
      </c>
      <c r="L2359">
        <v>0</v>
      </c>
    </row>
    <row r="2360" spans="1:12">
      <c r="A2360" s="93">
        <v>201441</v>
      </c>
      <c r="B2360" t="s">
        <v>2886</v>
      </c>
      <c r="C2360" t="s">
        <v>5602</v>
      </c>
      <c r="D2360" s="92">
        <v>0.53</v>
      </c>
      <c r="E2360" s="92">
        <v>0.38</v>
      </c>
      <c r="F2360">
        <v>19</v>
      </c>
      <c r="G2360">
        <v>21.5</v>
      </c>
      <c r="H2360" t="s">
        <v>5615</v>
      </c>
      <c r="I2360">
        <v>0</v>
      </c>
      <c r="J2360" t="s">
        <v>87</v>
      </c>
      <c r="K2360">
        <v>0</v>
      </c>
      <c r="L2360">
        <v>0</v>
      </c>
    </row>
    <row r="2361" spans="1:12">
      <c r="A2361" s="93">
        <v>201469</v>
      </c>
      <c r="B2361" t="s">
        <v>2887</v>
      </c>
      <c r="C2361" t="s">
        <v>5604</v>
      </c>
      <c r="D2361" s="92" t="s">
        <v>428</v>
      </c>
      <c r="E2361" s="92" t="s">
        <v>428</v>
      </c>
      <c r="F2361" t="s">
        <v>428</v>
      </c>
      <c r="G2361" t="s">
        <v>428</v>
      </c>
      <c r="H2361" t="s">
        <v>5617</v>
      </c>
      <c r="I2361">
        <v>0</v>
      </c>
      <c r="J2361" t="s">
        <v>87</v>
      </c>
      <c r="K2361">
        <v>0</v>
      </c>
      <c r="L2361">
        <v>0</v>
      </c>
    </row>
    <row r="2362" spans="1:12">
      <c r="A2362" s="93">
        <v>201548</v>
      </c>
      <c r="B2362" t="s">
        <v>2888</v>
      </c>
      <c r="C2362" t="s">
        <v>5602</v>
      </c>
      <c r="D2362" s="92">
        <v>0.6</v>
      </c>
      <c r="E2362" s="92">
        <v>0.43</v>
      </c>
      <c r="F2362">
        <v>22</v>
      </c>
      <c r="G2362">
        <v>25</v>
      </c>
      <c r="H2362" t="s">
        <v>5617</v>
      </c>
      <c r="I2362">
        <v>0</v>
      </c>
      <c r="J2362" t="s">
        <v>87</v>
      </c>
      <c r="K2362">
        <v>0</v>
      </c>
      <c r="L2362">
        <v>0</v>
      </c>
    </row>
    <row r="2363" spans="1:12">
      <c r="A2363" s="93">
        <v>201645</v>
      </c>
      <c r="B2363" t="s">
        <v>2889</v>
      </c>
      <c r="C2363" t="s">
        <v>5612</v>
      </c>
      <c r="D2363" s="92">
        <v>0.82</v>
      </c>
      <c r="E2363" s="92">
        <v>0.72</v>
      </c>
      <c r="F2363">
        <v>30</v>
      </c>
      <c r="G2363">
        <v>32</v>
      </c>
      <c r="H2363" t="s">
        <v>5621</v>
      </c>
      <c r="I2363">
        <v>1</v>
      </c>
      <c r="J2363" t="s">
        <v>87</v>
      </c>
      <c r="K2363">
        <v>0</v>
      </c>
      <c r="L2363">
        <v>0</v>
      </c>
    </row>
    <row r="2364" spans="1:12">
      <c r="A2364" s="93">
        <v>201654</v>
      </c>
      <c r="B2364" t="s">
        <v>2890</v>
      </c>
      <c r="C2364" t="s">
        <v>5603</v>
      </c>
      <c r="D2364" s="92">
        <v>0.71</v>
      </c>
      <c r="E2364" s="92">
        <v>0.66</v>
      </c>
      <c r="F2364">
        <v>23</v>
      </c>
      <c r="G2364">
        <v>26</v>
      </c>
      <c r="H2364" t="s">
        <v>5617</v>
      </c>
      <c r="I2364">
        <v>0</v>
      </c>
      <c r="J2364" t="s">
        <v>87</v>
      </c>
      <c r="K2364">
        <v>0</v>
      </c>
      <c r="L2364">
        <v>0</v>
      </c>
    </row>
    <row r="2365" spans="1:12">
      <c r="A2365" s="93">
        <v>201672</v>
      </c>
      <c r="B2365" t="s">
        <v>2891</v>
      </c>
      <c r="C2365" t="s">
        <v>5606</v>
      </c>
      <c r="D2365" s="92">
        <v>0.22</v>
      </c>
      <c r="E2365" s="92">
        <v>0.28</v>
      </c>
      <c r="F2365" t="s">
        <v>428</v>
      </c>
      <c r="G2365" t="s">
        <v>428</v>
      </c>
      <c r="H2365" t="s">
        <v>5615</v>
      </c>
      <c r="I2365">
        <v>0</v>
      </c>
      <c r="J2365" t="s">
        <v>87</v>
      </c>
      <c r="K2365">
        <v>0</v>
      </c>
      <c r="L2365">
        <v>0</v>
      </c>
    </row>
    <row r="2366" spans="1:12">
      <c r="A2366" s="93">
        <v>201690</v>
      </c>
      <c r="B2366" t="s">
        <v>2892</v>
      </c>
      <c r="C2366" t="s">
        <v>5602</v>
      </c>
      <c r="D2366" s="92">
        <v>0.26</v>
      </c>
      <c r="E2366" s="92">
        <v>0.41</v>
      </c>
      <c r="F2366">
        <v>15</v>
      </c>
      <c r="G2366">
        <v>16.5</v>
      </c>
      <c r="H2366" t="s">
        <v>5613</v>
      </c>
      <c r="I2366">
        <v>1</v>
      </c>
      <c r="J2366" t="s">
        <v>138</v>
      </c>
      <c r="K2366">
        <v>0</v>
      </c>
      <c r="L2366">
        <v>0</v>
      </c>
    </row>
    <row r="2367" spans="1:12">
      <c r="A2367" s="93">
        <v>201751</v>
      </c>
      <c r="B2367" t="s">
        <v>2893</v>
      </c>
      <c r="C2367" t="s">
        <v>5606</v>
      </c>
      <c r="D2367" s="92" t="s">
        <v>428</v>
      </c>
      <c r="E2367" s="92" t="s">
        <v>428</v>
      </c>
      <c r="F2367" t="s">
        <v>428</v>
      </c>
      <c r="G2367" t="s">
        <v>428</v>
      </c>
      <c r="H2367" t="s">
        <v>5616</v>
      </c>
      <c r="I2367">
        <v>0</v>
      </c>
      <c r="J2367" t="s">
        <v>87</v>
      </c>
      <c r="K2367">
        <v>0</v>
      </c>
      <c r="L2367">
        <v>0</v>
      </c>
    </row>
    <row r="2368" spans="1:12">
      <c r="A2368" s="93">
        <v>201821</v>
      </c>
      <c r="B2368" t="s">
        <v>2894</v>
      </c>
      <c r="C2368" t="s">
        <v>5602</v>
      </c>
      <c r="D2368" s="92" t="s">
        <v>428</v>
      </c>
      <c r="E2368" s="92" t="s">
        <v>428</v>
      </c>
      <c r="F2368">
        <v>20</v>
      </c>
      <c r="G2368">
        <v>21.5</v>
      </c>
      <c r="H2368" t="s">
        <v>5617</v>
      </c>
      <c r="I2368">
        <v>0</v>
      </c>
      <c r="J2368" t="s">
        <v>87</v>
      </c>
      <c r="K2368">
        <v>0</v>
      </c>
      <c r="L2368">
        <v>0</v>
      </c>
    </row>
    <row r="2369" spans="1:12">
      <c r="A2369" s="93">
        <v>201858</v>
      </c>
      <c r="B2369" t="s">
        <v>2895</v>
      </c>
      <c r="C2369" t="s">
        <v>5604</v>
      </c>
      <c r="D2369" s="92">
        <v>0.32</v>
      </c>
      <c r="E2369" s="92">
        <v>0.21</v>
      </c>
      <c r="F2369">
        <v>18</v>
      </c>
      <c r="G2369">
        <v>20</v>
      </c>
      <c r="H2369" t="s">
        <v>5617</v>
      </c>
      <c r="I2369">
        <v>0</v>
      </c>
      <c r="J2369" t="s">
        <v>87</v>
      </c>
      <c r="K2369">
        <v>0</v>
      </c>
      <c r="L2369">
        <v>0</v>
      </c>
    </row>
    <row r="2370" spans="1:12">
      <c r="A2370" s="93">
        <v>201867</v>
      </c>
      <c r="B2370" t="s">
        <v>2896</v>
      </c>
      <c r="C2370" t="s">
        <v>5607</v>
      </c>
      <c r="D2370" s="92" t="s">
        <v>428</v>
      </c>
      <c r="E2370" s="92" t="s">
        <v>428</v>
      </c>
      <c r="F2370" t="s">
        <v>428</v>
      </c>
      <c r="G2370" t="s">
        <v>428</v>
      </c>
      <c r="H2370" t="s">
        <v>5615</v>
      </c>
      <c r="I2370">
        <v>0</v>
      </c>
      <c r="J2370" t="s">
        <v>87</v>
      </c>
      <c r="K2370">
        <v>0</v>
      </c>
      <c r="L2370">
        <v>0</v>
      </c>
    </row>
    <row r="2371" spans="1:12">
      <c r="A2371" s="93">
        <v>201885</v>
      </c>
      <c r="B2371" t="s">
        <v>2897</v>
      </c>
      <c r="C2371" t="s">
        <v>5603</v>
      </c>
      <c r="D2371" s="92">
        <v>0.67</v>
      </c>
      <c r="E2371" s="92">
        <v>0.59</v>
      </c>
      <c r="F2371">
        <v>23</v>
      </c>
      <c r="G2371">
        <v>25.5</v>
      </c>
      <c r="H2371" t="s">
        <v>5617</v>
      </c>
      <c r="I2371">
        <v>0</v>
      </c>
      <c r="J2371" t="s">
        <v>87</v>
      </c>
      <c r="K2371">
        <v>0</v>
      </c>
      <c r="L2371">
        <v>0</v>
      </c>
    </row>
    <row r="2372" spans="1:12">
      <c r="A2372" s="93">
        <v>201928</v>
      </c>
      <c r="B2372" t="s">
        <v>2898</v>
      </c>
      <c r="C2372" t="s">
        <v>5606</v>
      </c>
      <c r="D2372" s="92">
        <v>0.22</v>
      </c>
      <c r="E2372" s="92">
        <v>0.17</v>
      </c>
      <c r="F2372" t="s">
        <v>428</v>
      </c>
      <c r="G2372" t="s">
        <v>428</v>
      </c>
      <c r="H2372" t="s">
        <v>5615</v>
      </c>
      <c r="I2372">
        <v>0</v>
      </c>
      <c r="J2372" t="s">
        <v>87</v>
      </c>
      <c r="K2372">
        <v>0</v>
      </c>
      <c r="L2372">
        <v>0</v>
      </c>
    </row>
    <row r="2373" spans="1:12">
      <c r="A2373" s="93">
        <v>201946</v>
      </c>
      <c r="B2373" t="s">
        <v>2899</v>
      </c>
      <c r="C2373" t="s">
        <v>5604</v>
      </c>
      <c r="D2373" s="92" t="s">
        <v>428</v>
      </c>
      <c r="E2373" s="92" t="s">
        <v>428</v>
      </c>
      <c r="F2373" t="s">
        <v>428</v>
      </c>
      <c r="G2373" t="s">
        <v>428</v>
      </c>
      <c r="H2373" t="s">
        <v>5615</v>
      </c>
      <c r="I2373">
        <v>0</v>
      </c>
      <c r="J2373" t="s">
        <v>87</v>
      </c>
      <c r="K2373">
        <v>0</v>
      </c>
      <c r="L2373">
        <v>0</v>
      </c>
    </row>
    <row r="2374" spans="1:12">
      <c r="A2374" s="93">
        <v>201955</v>
      </c>
      <c r="B2374" t="s">
        <v>2900</v>
      </c>
      <c r="C2374" t="s">
        <v>5604</v>
      </c>
      <c r="D2374" s="92" t="s">
        <v>428</v>
      </c>
      <c r="E2374" s="92" t="s">
        <v>428</v>
      </c>
      <c r="F2374" t="s">
        <v>428</v>
      </c>
      <c r="G2374" t="s">
        <v>428</v>
      </c>
      <c r="H2374" t="s">
        <v>5615</v>
      </c>
      <c r="I2374">
        <v>0</v>
      </c>
      <c r="J2374" t="s">
        <v>87</v>
      </c>
      <c r="K2374">
        <v>0</v>
      </c>
      <c r="L2374">
        <v>0</v>
      </c>
    </row>
    <row r="2375" spans="1:12">
      <c r="A2375" s="93">
        <v>201964</v>
      </c>
      <c r="B2375" t="s">
        <v>2901</v>
      </c>
      <c r="C2375" t="s">
        <v>5604</v>
      </c>
      <c r="D2375" s="92">
        <v>0.33</v>
      </c>
      <c r="E2375" s="92">
        <v>0.25</v>
      </c>
      <c r="F2375" t="s">
        <v>428</v>
      </c>
      <c r="G2375" t="s">
        <v>428</v>
      </c>
      <c r="H2375" t="s">
        <v>5617</v>
      </c>
      <c r="I2375">
        <v>0</v>
      </c>
      <c r="J2375" t="s">
        <v>87</v>
      </c>
      <c r="K2375">
        <v>0</v>
      </c>
      <c r="L2375">
        <v>0</v>
      </c>
    </row>
    <row r="2376" spans="1:12">
      <c r="A2376" s="93">
        <v>201973</v>
      </c>
      <c r="B2376" t="s">
        <v>2902</v>
      </c>
      <c r="C2376" t="s">
        <v>5606</v>
      </c>
      <c r="D2376" s="92">
        <v>0.24</v>
      </c>
      <c r="E2376" s="92">
        <v>0.2</v>
      </c>
      <c r="F2376" t="s">
        <v>428</v>
      </c>
      <c r="G2376" t="s">
        <v>428</v>
      </c>
      <c r="H2376" t="s">
        <v>5615</v>
      </c>
      <c r="I2376">
        <v>0</v>
      </c>
      <c r="J2376" t="s">
        <v>87</v>
      </c>
      <c r="K2376">
        <v>0</v>
      </c>
      <c r="L2376">
        <v>0</v>
      </c>
    </row>
    <row r="2377" spans="1:12">
      <c r="A2377" s="93">
        <v>201982</v>
      </c>
      <c r="B2377" t="s">
        <v>2903</v>
      </c>
      <c r="C2377" t="s">
        <v>5606</v>
      </c>
      <c r="D2377" s="92" t="s">
        <v>428</v>
      </c>
      <c r="E2377" s="92" t="s">
        <v>428</v>
      </c>
      <c r="F2377" t="s">
        <v>428</v>
      </c>
      <c r="G2377" t="s">
        <v>428</v>
      </c>
      <c r="H2377" t="s">
        <v>5624</v>
      </c>
      <c r="I2377">
        <v>1</v>
      </c>
      <c r="J2377" t="s">
        <v>87</v>
      </c>
      <c r="K2377">
        <v>0</v>
      </c>
      <c r="L2377">
        <v>0</v>
      </c>
    </row>
    <row r="2378" spans="1:12">
      <c r="A2378" s="93">
        <v>202046</v>
      </c>
      <c r="B2378" t="s">
        <v>2904</v>
      </c>
      <c r="C2378" t="s">
        <v>5602</v>
      </c>
      <c r="D2378" s="92">
        <v>0.65</v>
      </c>
      <c r="E2378" s="92">
        <v>0.52</v>
      </c>
      <c r="F2378">
        <v>20</v>
      </c>
      <c r="G2378">
        <v>23</v>
      </c>
      <c r="H2378" t="s">
        <v>5617</v>
      </c>
      <c r="I2378">
        <v>0</v>
      </c>
      <c r="J2378" t="s">
        <v>87</v>
      </c>
      <c r="K2378">
        <v>0</v>
      </c>
      <c r="L2378">
        <v>0</v>
      </c>
    </row>
    <row r="2379" spans="1:12">
      <c r="A2379" s="93">
        <v>202073</v>
      </c>
      <c r="B2379" t="s">
        <v>2905</v>
      </c>
      <c r="C2379" t="s">
        <v>5610</v>
      </c>
      <c r="D2379" s="92">
        <v>0.6899999999999999</v>
      </c>
      <c r="E2379" s="92">
        <v>0.5</v>
      </c>
      <c r="F2379" t="s">
        <v>428</v>
      </c>
      <c r="G2379" t="s">
        <v>428</v>
      </c>
      <c r="H2379" t="s">
        <v>5617</v>
      </c>
      <c r="I2379">
        <v>0</v>
      </c>
      <c r="J2379" t="s">
        <v>87</v>
      </c>
      <c r="K2379">
        <v>0</v>
      </c>
      <c r="L2379">
        <v>0</v>
      </c>
    </row>
    <row r="2380" spans="1:12">
      <c r="A2380" s="93">
        <v>202134</v>
      </c>
      <c r="B2380" t="s">
        <v>2906</v>
      </c>
      <c r="C2380" t="s">
        <v>5602</v>
      </c>
      <c r="D2380" s="92">
        <v>0.41</v>
      </c>
      <c r="E2380" s="92">
        <v>0.19</v>
      </c>
      <c r="F2380">
        <v>19</v>
      </c>
      <c r="G2380">
        <v>22</v>
      </c>
      <c r="H2380" t="s">
        <v>5617</v>
      </c>
      <c r="I2380">
        <v>0</v>
      </c>
      <c r="J2380" t="s">
        <v>87</v>
      </c>
      <c r="K2380">
        <v>0</v>
      </c>
      <c r="L2380">
        <v>0</v>
      </c>
    </row>
    <row r="2381" spans="1:12">
      <c r="A2381" s="93">
        <v>202161</v>
      </c>
      <c r="B2381" t="s">
        <v>2907</v>
      </c>
      <c r="C2381" t="s">
        <v>5606</v>
      </c>
      <c r="D2381" s="92" t="s">
        <v>428</v>
      </c>
      <c r="E2381" s="92" t="s">
        <v>428</v>
      </c>
      <c r="F2381" t="s">
        <v>428</v>
      </c>
      <c r="G2381" t="s">
        <v>428</v>
      </c>
      <c r="H2381" t="s">
        <v>5617</v>
      </c>
      <c r="I2381">
        <v>0</v>
      </c>
      <c r="J2381" t="s">
        <v>87</v>
      </c>
      <c r="K2381">
        <v>0</v>
      </c>
      <c r="L2381">
        <v>0</v>
      </c>
    </row>
    <row r="2382" spans="1:12">
      <c r="A2382" s="93">
        <v>202170</v>
      </c>
      <c r="B2382" t="s">
        <v>2908</v>
      </c>
      <c r="C2382" t="s">
        <v>5602</v>
      </c>
      <c r="D2382" s="92">
        <v>0.59</v>
      </c>
      <c r="E2382" s="92">
        <v>0.49</v>
      </c>
      <c r="F2382" t="s">
        <v>428</v>
      </c>
      <c r="G2382" t="s">
        <v>428</v>
      </c>
      <c r="H2382" t="s">
        <v>5617</v>
      </c>
      <c r="I2382">
        <v>0</v>
      </c>
      <c r="J2382" t="s">
        <v>87</v>
      </c>
      <c r="K2382">
        <v>0</v>
      </c>
      <c r="L2382">
        <v>0</v>
      </c>
    </row>
    <row r="2383" spans="1:12">
      <c r="A2383" s="93">
        <v>202222</v>
      </c>
      <c r="B2383" t="s">
        <v>2909</v>
      </c>
      <c r="C2383" t="s">
        <v>5606</v>
      </c>
      <c r="D2383" s="92">
        <v>0.3</v>
      </c>
      <c r="E2383" s="92">
        <v>0.22</v>
      </c>
      <c r="F2383" t="s">
        <v>428</v>
      </c>
      <c r="G2383" t="s">
        <v>428</v>
      </c>
      <c r="H2383" t="s">
        <v>5615</v>
      </c>
      <c r="I2383">
        <v>0</v>
      </c>
      <c r="J2383" t="s">
        <v>87</v>
      </c>
      <c r="K2383">
        <v>0</v>
      </c>
      <c r="L2383">
        <v>0</v>
      </c>
    </row>
    <row r="2384" spans="1:12">
      <c r="A2384" s="93">
        <v>202356</v>
      </c>
      <c r="B2384" t="s">
        <v>2910</v>
      </c>
      <c r="C2384" t="s">
        <v>5606</v>
      </c>
      <c r="D2384" s="92">
        <v>0.26</v>
      </c>
      <c r="E2384" s="92">
        <v>0.2</v>
      </c>
      <c r="F2384" t="s">
        <v>428</v>
      </c>
      <c r="G2384" t="s">
        <v>428</v>
      </c>
      <c r="H2384" t="s">
        <v>5615</v>
      </c>
      <c r="I2384">
        <v>0</v>
      </c>
      <c r="J2384" t="s">
        <v>87</v>
      </c>
      <c r="K2384">
        <v>0</v>
      </c>
      <c r="L2384">
        <v>0</v>
      </c>
    </row>
    <row r="2385" spans="1:12">
      <c r="A2385" s="93">
        <v>202435</v>
      </c>
      <c r="B2385" t="s">
        <v>2911</v>
      </c>
      <c r="C2385" t="s">
        <v>5606</v>
      </c>
      <c r="D2385" s="92" t="s">
        <v>428</v>
      </c>
      <c r="E2385" s="92" t="s">
        <v>428</v>
      </c>
      <c r="F2385" t="s">
        <v>428</v>
      </c>
      <c r="G2385" t="s">
        <v>428</v>
      </c>
      <c r="H2385" t="s">
        <v>5617</v>
      </c>
      <c r="I2385">
        <v>0</v>
      </c>
      <c r="J2385" t="s">
        <v>87</v>
      </c>
      <c r="K2385">
        <v>0</v>
      </c>
      <c r="L2385">
        <v>0</v>
      </c>
    </row>
    <row r="2386" spans="1:12">
      <c r="A2386" s="93">
        <v>202453</v>
      </c>
      <c r="B2386" t="s">
        <v>2912</v>
      </c>
      <c r="C2386" t="s">
        <v>5606</v>
      </c>
      <c r="D2386" s="92" t="s">
        <v>428</v>
      </c>
      <c r="E2386" s="92" t="s">
        <v>428</v>
      </c>
      <c r="F2386" t="s">
        <v>428</v>
      </c>
      <c r="G2386" t="s">
        <v>428</v>
      </c>
      <c r="H2386" t="s">
        <v>5616</v>
      </c>
      <c r="I2386">
        <v>0</v>
      </c>
      <c r="J2386" t="s">
        <v>87</v>
      </c>
      <c r="K2386">
        <v>0</v>
      </c>
      <c r="L2386">
        <v>0</v>
      </c>
    </row>
    <row r="2387" spans="1:12">
      <c r="A2387" s="93">
        <v>202480</v>
      </c>
      <c r="B2387" t="s">
        <v>472</v>
      </c>
      <c r="C2387" t="s">
        <v>5602</v>
      </c>
      <c r="D2387" s="92">
        <v>0.75</v>
      </c>
      <c r="E2387" s="92">
        <v>0.61</v>
      </c>
      <c r="F2387">
        <v>24</v>
      </c>
      <c r="G2387">
        <v>26.5</v>
      </c>
      <c r="H2387" t="s">
        <v>5617</v>
      </c>
      <c r="I2387">
        <v>0</v>
      </c>
      <c r="J2387" t="s">
        <v>87</v>
      </c>
      <c r="K2387">
        <v>0</v>
      </c>
      <c r="L2387">
        <v>0</v>
      </c>
    </row>
    <row r="2388" spans="1:12">
      <c r="A2388" s="93">
        <v>202514</v>
      </c>
      <c r="B2388" t="s">
        <v>2913</v>
      </c>
      <c r="C2388" t="s">
        <v>5602</v>
      </c>
      <c r="D2388" s="92">
        <v>0.44</v>
      </c>
      <c r="E2388" s="92">
        <v>0.28</v>
      </c>
      <c r="F2388">
        <v>18</v>
      </c>
      <c r="G2388">
        <v>20.5</v>
      </c>
      <c r="H2388" t="s">
        <v>5617</v>
      </c>
      <c r="I2388">
        <v>0</v>
      </c>
      <c r="J2388" t="s">
        <v>87</v>
      </c>
      <c r="K2388">
        <v>0</v>
      </c>
      <c r="L2388">
        <v>0</v>
      </c>
    </row>
    <row r="2389" spans="1:12">
      <c r="A2389" s="93">
        <v>202523</v>
      </c>
      <c r="B2389" t="s">
        <v>458</v>
      </c>
      <c r="C2389" t="s">
        <v>5612</v>
      </c>
      <c r="D2389" s="92">
        <v>0.8100000000000001</v>
      </c>
      <c r="E2389" s="92">
        <v>0.74</v>
      </c>
      <c r="F2389">
        <v>28</v>
      </c>
      <c r="G2389">
        <v>30</v>
      </c>
      <c r="H2389" t="s">
        <v>5621</v>
      </c>
      <c r="I2389">
        <v>1</v>
      </c>
      <c r="J2389" t="s">
        <v>87</v>
      </c>
      <c r="K2389">
        <v>0</v>
      </c>
      <c r="L2389">
        <v>0</v>
      </c>
    </row>
    <row r="2390" spans="1:12">
      <c r="A2390" s="93">
        <v>202648</v>
      </c>
      <c r="B2390" t="s">
        <v>2914</v>
      </c>
      <c r="C2390" t="s">
        <v>5606</v>
      </c>
      <c r="D2390" s="92">
        <v>0.3</v>
      </c>
      <c r="E2390" s="92">
        <v>0.32</v>
      </c>
      <c r="F2390" t="s">
        <v>428</v>
      </c>
      <c r="G2390" t="s">
        <v>428</v>
      </c>
      <c r="H2390" t="s">
        <v>5615</v>
      </c>
      <c r="I2390">
        <v>0</v>
      </c>
      <c r="J2390" t="s">
        <v>87</v>
      </c>
      <c r="K2390">
        <v>0</v>
      </c>
      <c r="L2390">
        <v>0</v>
      </c>
    </row>
    <row r="2391" spans="1:12">
      <c r="A2391" s="93">
        <v>202657</v>
      </c>
      <c r="B2391" t="s">
        <v>2915</v>
      </c>
      <c r="C2391" t="s">
        <v>5606</v>
      </c>
      <c r="D2391" s="92" t="s">
        <v>428</v>
      </c>
      <c r="E2391" s="92" t="s">
        <v>428</v>
      </c>
      <c r="F2391" t="s">
        <v>428</v>
      </c>
      <c r="G2391" t="s">
        <v>428</v>
      </c>
      <c r="H2391" t="s">
        <v>5615</v>
      </c>
      <c r="I2391">
        <v>0</v>
      </c>
      <c r="J2391" t="s">
        <v>87</v>
      </c>
      <c r="K2391">
        <v>0</v>
      </c>
      <c r="L2391">
        <v>0</v>
      </c>
    </row>
    <row r="2392" spans="1:12">
      <c r="A2392" s="93">
        <v>202684</v>
      </c>
      <c r="B2392" t="s">
        <v>2916</v>
      </c>
      <c r="C2392" t="s">
        <v>5604</v>
      </c>
      <c r="D2392" s="92" t="s">
        <v>428</v>
      </c>
      <c r="E2392" s="92" t="s">
        <v>428</v>
      </c>
      <c r="F2392" t="s">
        <v>428</v>
      </c>
      <c r="G2392" t="s">
        <v>428</v>
      </c>
      <c r="H2392" t="s">
        <v>5617</v>
      </c>
      <c r="I2392">
        <v>0</v>
      </c>
      <c r="J2392" t="s">
        <v>87</v>
      </c>
      <c r="K2392">
        <v>0</v>
      </c>
      <c r="L2392">
        <v>0</v>
      </c>
    </row>
    <row r="2393" spans="1:12">
      <c r="A2393" s="93">
        <v>202763</v>
      </c>
      <c r="B2393" t="s">
        <v>2917</v>
      </c>
      <c r="C2393" t="s">
        <v>5602</v>
      </c>
      <c r="D2393" s="92">
        <v>0.58</v>
      </c>
      <c r="E2393" s="92">
        <v>0.34</v>
      </c>
      <c r="F2393">
        <v>20</v>
      </c>
      <c r="G2393">
        <v>22.5</v>
      </c>
      <c r="H2393" t="s">
        <v>5616</v>
      </c>
      <c r="I2393">
        <v>0</v>
      </c>
      <c r="J2393" t="s">
        <v>87</v>
      </c>
      <c r="K2393">
        <v>0</v>
      </c>
      <c r="L2393">
        <v>0</v>
      </c>
    </row>
    <row r="2394" spans="1:12">
      <c r="A2394" s="93">
        <v>202806</v>
      </c>
      <c r="B2394" t="s">
        <v>2918</v>
      </c>
      <c r="C2394" t="s">
        <v>5610</v>
      </c>
      <c r="D2394" s="92">
        <v>0.09</v>
      </c>
      <c r="E2394" s="92">
        <v>0.09</v>
      </c>
      <c r="F2394" t="s">
        <v>428</v>
      </c>
      <c r="G2394" t="s">
        <v>428</v>
      </c>
      <c r="H2394" t="s">
        <v>5617</v>
      </c>
      <c r="I2394">
        <v>0</v>
      </c>
      <c r="J2394" t="s">
        <v>87</v>
      </c>
      <c r="K2394">
        <v>0</v>
      </c>
      <c r="L2394">
        <v>0</v>
      </c>
    </row>
    <row r="2395" spans="1:12">
      <c r="A2395" s="93">
        <v>202903</v>
      </c>
      <c r="B2395" t="s">
        <v>2919</v>
      </c>
      <c r="C2395" t="s">
        <v>5604</v>
      </c>
      <c r="D2395" s="92">
        <v>0.44</v>
      </c>
      <c r="E2395" s="92">
        <v>0</v>
      </c>
      <c r="F2395" t="s">
        <v>428</v>
      </c>
      <c r="G2395" t="s">
        <v>428</v>
      </c>
      <c r="H2395" t="s">
        <v>5616</v>
      </c>
      <c r="I2395">
        <v>0</v>
      </c>
      <c r="J2395" t="s">
        <v>87</v>
      </c>
      <c r="K2395">
        <v>0</v>
      </c>
      <c r="L2395">
        <v>0</v>
      </c>
    </row>
    <row r="2396" spans="1:12">
      <c r="A2396" s="93">
        <v>202912</v>
      </c>
      <c r="B2396" t="s">
        <v>2920</v>
      </c>
      <c r="C2396" t="s">
        <v>5602</v>
      </c>
      <c r="D2396" s="92" t="s">
        <v>428</v>
      </c>
      <c r="E2396" s="92" t="s">
        <v>428</v>
      </c>
      <c r="F2396">
        <v>19</v>
      </c>
      <c r="G2396">
        <v>21</v>
      </c>
      <c r="H2396" t="s">
        <v>5616</v>
      </c>
      <c r="I2396">
        <v>0</v>
      </c>
      <c r="J2396" t="s">
        <v>87</v>
      </c>
      <c r="K2396">
        <v>0</v>
      </c>
      <c r="L2396">
        <v>0</v>
      </c>
    </row>
    <row r="2397" spans="1:12">
      <c r="A2397" s="93">
        <v>203067</v>
      </c>
      <c r="B2397" t="s">
        <v>2921</v>
      </c>
      <c r="C2397" t="s">
        <v>5607</v>
      </c>
      <c r="D2397" s="92" t="s">
        <v>428</v>
      </c>
      <c r="E2397" s="92" t="s">
        <v>428</v>
      </c>
      <c r="F2397" t="s">
        <v>428</v>
      </c>
      <c r="G2397" t="s">
        <v>428</v>
      </c>
      <c r="H2397" t="s">
        <v>5615</v>
      </c>
      <c r="I2397">
        <v>0</v>
      </c>
      <c r="J2397" t="s">
        <v>87</v>
      </c>
      <c r="K2397">
        <v>0</v>
      </c>
      <c r="L2397">
        <v>0</v>
      </c>
    </row>
    <row r="2398" spans="1:12">
      <c r="A2398" s="93">
        <v>203085</v>
      </c>
      <c r="B2398" t="s">
        <v>2922</v>
      </c>
      <c r="C2398" t="s">
        <v>5602</v>
      </c>
      <c r="D2398" s="92">
        <v>0.45</v>
      </c>
      <c r="E2398" s="92">
        <v>0.28</v>
      </c>
      <c r="F2398">
        <v>19</v>
      </c>
      <c r="G2398">
        <v>22</v>
      </c>
      <c r="H2398" t="s">
        <v>5617</v>
      </c>
      <c r="I2398">
        <v>0</v>
      </c>
      <c r="J2398" t="s">
        <v>87</v>
      </c>
      <c r="K2398">
        <v>0</v>
      </c>
      <c r="L2398">
        <v>0</v>
      </c>
    </row>
    <row r="2399" spans="1:12">
      <c r="A2399" s="93">
        <v>203128</v>
      </c>
      <c r="B2399" t="s">
        <v>2923</v>
      </c>
      <c r="C2399" t="s">
        <v>5602</v>
      </c>
      <c r="D2399" s="92">
        <v>0.62</v>
      </c>
      <c r="E2399" s="92">
        <v>0.43</v>
      </c>
      <c r="F2399">
        <v>19</v>
      </c>
      <c r="G2399">
        <v>22</v>
      </c>
      <c r="H2399" t="s">
        <v>5617</v>
      </c>
      <c r="I2399">
        <v>0</v>
      </c>
      <c r="J2399" t="s">
        <v>87</v>
      </c>
      <c r="K2399">
        <v>0</v>
      </c>
      <c r="L2399">
        <v>0</v>
      </c>
    </row>
    <row r="2400" spans="1:12">
      <c r="A2400" s="93">
        <v>203155</v>
      </c>
      <c r="B2400" t="s">
        <v>2924</v>
      </c>
      <c r="C2400" t="s">
        <v>5606</v>
      </c>
      <c r="D2400" s="92">
        <v>0.32</v>
      </c>
      <c r="E2400" s="92">
        <v>0.17</v>
      </c>
      <c r="F2400" t="s">
        <v>428</v>
      </c>
      <c r="G2400" t="s">
        <v>428</v>
      </c>
      <c r="H2400" t="s">
        <v>5615</v>
      </c>
      <c r="I2400">
        <v>0</v>
      </c>
      <c r="J2400" t="s">
        <v>87</v>
      </c>
      <c r="K2400">
        <v>0</v>
      </c>
      <c r="L2400">
        <v>0</v>
      </c>
    </row>
    <row r="2401" spans="1:12">
      <c r="A2401" s="93">
        <v>203289</v>
      </c>
      <c r="B2401" t="s">
        <v>2925</v>
      </c>
      <c r="C2401" t="s">
        <v>5606</v>
      </c>
      <c r="D2401" s="92" t="s">
        <v>428</v>
      </c>
      <c r="E2401" s="92" t="s">
        <v>428</v>
      </c>
      <c r="F2401" t="s">
        <v>428</v>
      </c>
      <c r="G2401" t="s">
        <v>428</v>
      </c>
      <c r="H2401" t="s">
        <v>5617</v>
      </c>
      <c r="I2401">
        <v>0</v>
      </c>
      <c r="J2401" t="s">
        <v>87</v>
      </c>
      <c r="K2401">
        <v>0</v>
      </c>
      <c r="L2401">
        <v>0</v>
      </c>
    </row>
    <row r="2402" spans="1:12">
      <c r="A2402" s="93">
        <v>203313</v>
      </c>
      <c r="B2402" t="s">
        <v>2926</v>
      </c>
      <c r="C2402" t="s">
        <v>5607</v>
      </c>
      <c r="D2402" s="92" t="s">
        <v>428</v>
      </c>
      <c r="E2402" s="92" t="s">
        <v>428</v>
      </c>
      <c r="F2402" t="s">
        <v>428</v>
      </c>
      <c r="G2402" t="s">
        <v>428</v>
      </c>
      <c r="H2402" t="s">
        <v>5617</v>
      </c>
      <c r="I2402">
        <v>0</v>
      </c>
      <c r="J2402" t="s">
        <v>87</v>
      </c>
      <c r="K2402">
        <v>0</v>
      </c>
      <c r="L2402">
        <v>0</v>
      </c>
    </row>
    <row r="2403" spans="1:12">
      <c r="A2403" s="93">
        <v>203331</v>
      </c>
      <c r="B2403" t="s">
        <v>2927</v>
      </c>
      <c r="C2403" t="s">
        <v>5606</v>
      </c>
      <c r="D2403" s="92" t="s">
        <v>428</v>
      </c>
      <c r="E2403" s="92" t="s">
        <v>428</v>
      </c>
      <c r="F2403" t="s">
        <v>428</v>
      </c>
      <c r="G2403" t="s">
        <v>428</v>
      </c>
      <c r="H2403" t="s">
        <v>5615</v>
      </c>
      <c r="I2403">
        <v>0</v>
      </c>
      <c r="J2403" t="s">
        <v>87</v>
      </c>
      <c r="K2403">
        <v>0</v>
      </c>
      <c r="L2403">
        <v>0</v>
      </c>
    </row>
    <row r="2404" spans="1:12">
      <c r="A2404" s="93">
        <v>203368</v>
      </c>
      <c r="B2404" t="s">
        <v>2928</v>
      </c>
      <c r="C2404" t="s">
        <v>5602</v>
      </c>
      <c r="D2404" s="92">
        <v>0.73</v>
      </c>
      <c r="E2404" s="92">
        <v>0.59</v>
      </c>
      <c r="F2404">
        <v>22</v>
      </c>
      <c r="G2404">
        <v>24.5</v>
      </c>
      <c r="H2404" t="s">
        <v>5617</v>
      </c>
      <c r="I2404">
        <v>0</v>
      </c>
      <c r="J2404" t="s">
        <v>87</v>
      </c>
      <c r="K2404">
        <v>0</v>
      </c>
      <c r="L2404">
        <v>0</v>
      </c>
    </row>
    <row r="2405" spans="1:12">
      <c r="A2405" s="93">
        <v>203386</v>
      </c>
      <c r="B2405" t="s">
        <v>2929</v>
      </c>
      <c r="C2405" t="s">
        <v>5607</v>
      </c>
      <c r="D2405" s="92" t="s">
        <v>428</v>
      </c>
      <c r="E2405" s="92" t="s">
        <v>428</v>
      </c>
      <c r="F2405" t="s">
        <v>428</v>
      </c>
      <c r="G2405" t="s">
        <v>428</v>
      </c>
      <c r="H2405" t="s">
        <v>5617</v>
      </c>
      <c r="I2405">
        <v>0</v>
      </c>
      <c r="J2405" t="s">
        <v>87</v>
      </c>
      <c r="K2405">
        <v>0</v>
      </c>
      <c r="L2405">
        <v>0</v>
      </c>
    </row>
    <row r="2406" spans="1:12">
      <c r="A2406" s="93">
        <v>203438</v>
      </c>
      <c r="B2406" t="s">
        <v>2930</v>
      </c>
      <c r="C2406" t="s">
        <v>5606</v>
      </c>
      <c r="D2406" s="92" t="s">
        <v>428</v>
      </c>
      <c r="E2406" s="92" t="s">
        <v>428</v>
      </c>
      <c r="F2406" t="s">
        <v>428</v>
      </c>
      <c r="G2406" t="s">
        <v>428</v>
      </c>
      <c r="H2406" t="s">
        <v>5616</v>
      </c>
      <c r="I2406">
        <v>0</v>
      </c>
      <c r="J2406" t="s">
        <v>87</v>
      </c>
      <c r="K2406">
        <v>0</v>
      </c>
      <c r="L2406">
        <v>0</v>
      </c>
    </row>
    <row r="2407" spans="1:12">
      <c r="A2407" s="93">
        <v>203447</v>
      </c>
      <c r="B2407" t="s">
        <v>2931</v>
      </c>
      <c r="C2407" t="s">
        <v>5604</v>
      </c>
      <c r="D2407" s="92">
        <v>0.12</v>
      </c>
      <c r="E2407" s="92">
        <v>0.09</v>
      </c>
      <c r="F2407" t="s">
        <v>428</v>
      </c>
      <c r="G2407" t="s">
        <v>428</v>
      </c>
      <c r="H2407" t="s">
        <v>5615</v>
      </c>
      <c r="I2407">
        <v>0</v>
      </c>
      <c r="J2407" t="s">
        <v>87</v>
      </c>
      <c r="K2407">
        <v>0</v>
      </c>
      <c r="L2407">
        <v>0</v>
      </c>
    </row>
    <row r="2408" spans="1:12">
      <c r="A2408" s="93">
        <v>203456</v>
      </c>
      <c r="B2408" t="s">
        <v>2932</v>
      </c>
      <c r="C2408" t="s">
        <v>5604</v>
      </c>
      <c r="D2408" s="92">
        <v>0.08</v>
      </c>
      <c r="E2408" s="92">
        <v>0.14</v>
      </c>
      <c r="F2408" t="s">
        <v>428</v>
      </c>
      <c r="G2408" t="s">
        <v>428</v>
      </c>
      <c r="H2408" t="s">
        <v>5615</v>
      </c>
      <c r="I2408">
        <v>0</v>
      </c>
      <c r="J2408" t="s">
        <v>87</v>
      </c>
      <c r="K2408">
        <v>0</v>
      </c>
      <c r="L2408">
        <v>0</v>
      </c>
    </row>
    <row r="2409" spans="1:12">
      <c r="A2409" s="93">
        <v>203465</v>
      </c>
      <c r="B2409" t="s">
        <v>2933</v>
      </c>
      <c r="C2409" t="s">
        <v>5604</v>
      </c>
      <c r="D2409" s="92">
        <v>0.27</v>
      </c>
      <c r="E2409" s="92">
        <v>0.1</v>
      </c>
      <c r="F2409" t="s">
        <v>428</v>
      </c>
      <c r="G2409" t="s">
        <v>428</v>
      </c>
      <c r="H2409" t="s">
        <v>5615</v>
      </c>
      <c r="I2409">
        <v>0</v>
      </c>
      <c r="J2409" t="s">
        <v>87</v>
      </c>
      <c r="K2409">
        <v>0</v>
      </c>
      <c r="L2409">
        <v>0</v>
      </c>
    </row>
    <row r="2410" spans="1:12">
      <c r="A2410" s="93">
        <v>203474</v>
      </c>
      <c r="B2410" t="s">
        <v>2934</v>
      </c>
      <c r="C2410" t="s">
        <v>5604</v>
      </c>
      <c r="D2410" s="92">
        <v>0.16</v>
      </c>
      <c r="E2410" s="92">
        <v>0.07000000000000001</v>
      </c>
      <c r="F2410" t="s">
        <v>428</v>
      </c>
      <c r="G2410" t="s">
        <v>428</v>
      </c>
      <c r="H2410" t="s">
        <v>5615</v>
      </c>
      <c r="I2410">
        <v>0</v>
      </c>
      <c r="J2410" t="s">
        <v>87</v>
      </c>
      <c r="K2410">
        <v>0</v>
      </c>
      <c r="L2410">
        <v>0</v>
      </c>
    </row>
    <row r="2411" spans="1:12">
      <c r="A2411" s="93">
        <v>203483</v>
      </c>
      <c r="B2411" t="s">
        <v>2935</v>
      </c>
      <c r="C2411" t="s">
        <v>5604</v>
      </c>
      <c r="D2411" s="92">
        <v>0.17</v>
      </c>
      <c r="E2411" s="92">
        <v>0.1</v>
      </c>
      <c r="F2411" t="s">
        <v>428</v>
      </c>
      <c r="G2411" t="s">
        <v>428</v>
      </c>
      <c r="H2411" t="s">
        <v>5615</v>
      </c>
      <c r="I2411">
        <v>0</v>
      </c>
      <c r="J2411" t="s">
        <v>87</v>
      </c>
      <c r="K2411">
        <v>0</v>
      </c>
      <c r="L2411">
        <v>0</v>
      </c>
    </row>
    <row r="2412" spans="1:12">
      <c r="A2412" s="93">
        <v>203492</v>
      </c>
      <c r="B2412" t="s">
        <v>2936</v>
      </c>
      <c r="C2412" t="s">
        <v>5604</v>
      </c>
      <c r="D2412" s="92">
        <v>0.16</v>
      </c>
      <c r="E2412" s="92">
        <v>0</v>
      </c>
      <c r="F2412" t="s">
        <v>428</v>
      </c>
      <c r="G2412" t="s">
        <v>428</v>
      </c>
      <c r="H2412" t="s">
        <v>5615</v>
      </c>
      <c r="I2412">
        <v>0</v>
      </c>
      <c r="J2412" t="s">
        <v>87</v>
      </c>
      <c r="K2412">
        <v>0</v>
      </c>
      <c r="L2412">
        <v>0</v>
      </c>
    </row>
    <row r="2413" spans="1:12">
      <c r="A2413" s="93">
        <v>203517</v>
      </c>
      <c r="B2413" t="s">
        <v>2937</v>
      </c>
      <c r="C2413" t="s">
        <v>5602</v>
      </c>
      <c r="D2413" s="92">
        <v>0.55</v>
      </c>
      <c r="E2413" s="92">
        <v>0.38</v>
      </c>
      <c r="F2413">
        <v>21</v>
      </c>
      <c r="G2413">
        <v>23</v>
      </c>
      <c r="H2413" t="s">
        <v>5616</v>
      </c>
      <c r="I2413">
        <v>0</v>
      </c>
      <c r="J2413" t="s">
        <v>87</v>
      </c>
      <c r="K2413">
        <v>0</v>
      </c>
      <c r="L2413">
        <v>0</v>
      </c>
    </row>
    <row r="2414" spans="1:12">
      <c r="A2414" s="93">
        <v>203526</v>
      </c>
      <c r="B2414" t="s">
        <v>2938</v>
      </c>
      <c r="C2414" t="s">
        <v>5604</v>
      </c>
      <c r="D2414" s="92">
        <v>0.21</v>
      </c>
      <c r="E2414" s="92">
        <v>0.12</v>
      </c>
      <c r="F2414" t="s">
        <v>428</v>
      </c>
      <c r="G2414" t="s">
        <v>428</v>
      </c>
      <c r="H2414" t="s">
        <v>5615</v>
      </c>
      <c r="I2414">
        <v>0</v>
      </c>
      <c r="J2414" t="s">
        <v>87</v>
      </c>
      <c r="K2414">
        <v>0</v>
      </c>
      <c r="L2414">
        <v>0</v>
      </c>
    </row>
    <row r="2415" spans="1:12">
      <c r="A2415" s="93">
        <v>203535</v>
      </c>
      <c r="B2415" t="s">
        <v>2939</v>
      </c>
      <c r="C2415" t="s">
        <v>5612</v>
      </c>
      <c r="D2415" s="92">
        <v>0.89</v>
      </c>
      <c r="E2415" s="92">
        <v>0.8100000000000001</v>
      </c>
      <c r="F2415">
        <v>29</v>
      </c>
      <c r="G2415">
        <v>31</v>
      </c>
      <c r="H2415" t="s">
        <v>5619</v>
      </c>
      <c r="I2415">
        <v>1</v>
      </c>
      <c r="J2415" t="s">
        <v>87</v>
      </c>
      <c r="K2415">
        <v>0</v>
      </c>
      <c r="L2415">
        <v>0</v>
      </c>
    </row>
    <row r="2416" spans="1:12">
      <c r="A2416" s="93">
        <v>203544</v>
      </c>
      <c r="B2416" t="s">
        <v>2940</v>
      </c>
      <c r="C2416" t="s">
        <v>5607</v>
      </c>
      <c r="D2416" s="92">
        <v>0.42</v>
      </c>
      <c r="E2416" s="92">
        <v>0.38</v>
      </c>
      <c r="F2416" t="s">
        <v>428</v>
      </c>
      <c r="G2416" t="s">
        <v>428</v>
      </c>
      <c r="H2416" t="s">
        <v>5617</v>
      </c>
      <c r="I2416">
        <v>0</v>
      </c>
      <c r="J2416" t="s">
        <v>87</v>
      </c>
      <c r="K2416">
        <v>0</v>
      </c>
      <c r="L2416">
        <v>0</v>
      </c>
    </row>
    <row r="2417" spans="1:12">
      <c r="A2417" s="93">
        <v>203580</v>
      </c>
      <c r="B2417" t="s">
        <v>2941</v>
      </c>
      <c r="C2417" t="s">
        <v>5608</v>
      </c>
      <c r="D2417" s="92">
        <v>0.48</v>
      </c>
      <c r="E2417" s="92">
        <v>0.23</v>
      </c>
      <c r="F2417">
        <v>18</v>
      </c>
      <c r="G2417">
        <v>20</v>
      </c>
      <c r="H2417" t="s">
        <v>5617</v>
      </c>
      <c r="I2417">
        <v>0</v>
      </c>
      <c r="J2417" t="s">
        <v>87</v>
      </c>
      <c r="K2417">
        <v>0</v>
      </c>
      <c r="L2417">
        <v>0</v>
      </c>
    </row>
    <row r="2418" spans="1:12">
      <c r="A2418" s="93">
        <v>203599</v>
      </c>
      <c r="B2418" t="s">
        <v>2942</v>
      </c>
      <c r="C2418" t="s">
        <v>5606</v>
      </c>
      <c r="D2418" s="92">
        <v>0.29</v>
      </c>
      <c r="E2418" s="92">
        <v>0.24</v>
      </c>
      <c r="F2418" t="s">
        <v>428</v>
      </c>
      <c r="G2418" t="s">
        <v>428</v>
      </c>
      <c r="H2418" t="s">
        <v>5615</v>
      </c>
      <c r="I2418">
        <v>0</v>
      </c>
      <c r="J2418" t="s">
        <v>87</v>
      </c>
      <c r="K2418">
        <v>0</v>
      </c>
      <c r="L2418">
        <v>0</v>
      </c>
    </row>
    <row r="2419" spans="1:12">
      <c r="A2419" s="93">
        <v>203614</v>
      </c>
      <c r="B2419" t="s">
        <v>2943</v>
      </c>
      <c r="C2419" t="s">
        <v>5606</v>
      </c>
      <c r="D2419" s="92" t="s">
        <v>428</v>
      </c>
      <c r="E2419" s="92" t="s">
        <v>428</v>
      </c>
      <c r="F2419" t="s">
        <v>428</v>
      </c>
      <c r="G2419" t="s">
        <v>428</v>
      </c>
      <c r="H2419" t="s">
        <v>5615</v>
      </c>
      <c r="I2419">
        <v>0</v>
      </c>
      <c r="J2419" t="s">
        <v>87</v>
      </c>
      <c r="K2419">
        <v>0</v>
      </c>
      <c r="L2419">
        <v>0</v>
      </c>
    </row>
    <row r="2420" spans="1:12">
      <c r="A2420" s="93">
        <v>203678</v>
      </c>
      <c r="B2420" t="s">
        <v>2944</v>
      </c>
      <c r="C2420" t="s">
        <v>5606</v>
      </c>
      <c r="D2420" s="92" t="s">
        <v>428</v>
      </c>
      <c r="E2420" s="92" t="s">
        <v>428</v>
      </c>
      <c r="F2420" t="s">
        <v>428</v>
      </c>
      <c r="G2420" t="s">
        <v>428</v>
      </c>
      <c r="H2420" t="s">
        <v>5615</v>
      </c>
      <c r="I2420">
        <v>0</v>
      </c>
      <c r="J2420" t="s">
        <v>87</v>
      </c>
      <c r="K2420">
        <v>0</v>
      </c>
      <c r="L2420">
        <v>0</v>
      </c>
    </row>
    <row r="2421" spans="1:12">
      <c r="A2421" s="93">
        <v>203720</v>
      </c>
      <c r="B2421" t="s">
        <v>2945</v>
      </c>
      <c r="C2421" t="s">
        <v>5606</v>
      </c>
      <c r="D2421" s="92" t="s">
        <v>428</v>
      </c>
      <c r="E2421" s="92" t="s">
        <v>428</v>
      </c>
      <c r="F2421" t="s">
        <v>428</v>
      </c>
      <c r="G2421" t="s">
        <v>428</v>
      </c>
      <c r="H2421" t="s">
        <v>5617</v>
      </c>
      <c r="I2421">
        <v>0</v>
      </c>
      <c r="J2421" t="s">
        <v>87</v>
      </c>
      <c r="K2421">
        <v>0</v>
      </c>
      <c r="L2421">
        <v>0</v>
      </c>
    </row>
    <row r="2422" spans="1:12">
      <c r="A2422" s="93">
        <v>203739</v>
      </c>
      <c r="B2422" t="s">
        <v>2946</v>
      </c>
      <c r="C2422" t="s">
        <v>5606</v>
      </c>
      <c r="D2422" s="92" t="s">
        <v>428</v>
      </c>
      <c r="E2422" s="92" t="s">
        <v>428</v>
      </c>
      <c r="F2422" t="s">
        <v>428</v>
      </c>
      <c r="G2422" t="s">
        <v>428</v>
      </c>
      <c r="H2422" t="s">
        <v>5616</v>
      </c>
      <c r="I2422">
        <v>0</v>
      </c>
      <c r="J2422" t="s">
        <v>87</v>
      </c>
      <c r="K2422">
        <v>0</v>
      </c>
      <c r="L2422">
        <v>0</v>
      </c>
    </row>
    <row r="2423" spans="1:12">
      <c r="A2423" s="93">
        <v>203748</v>
      </c>
      <c r="B2423" t="s">
        <v>2947</v>
      </c>
      <c r="C2423" t="s">
        <v>5606</v>
      </c>
      <c r="D2423" s="92">
        <v>0.29</v>
      </c>
      <c r="E2423" s="92">
        <v>0.22</v>
      </c>
      <c r="F2423" t="s">
        <v>428</v>
      </c>
      <c r="G2423" t="s">
        <v>428</v>
      </c>
      <c r="H2423" t="s">
        <v>5615</v>
      </c>
      <c r="I2423">
        <v>0</v>
      </c>
      <c r="J2423" t="s">
        <v>87</v>
      </c>
      <c r="K2423">
        <v>0</v>
      </c>
      <c r="L2423">
        <v>0</v>
      </c>
    </row>
    <row r="2424" spans="1:12">
      <c r="A2424" s="93">
        <v>203757</v>
      </c>
      <c r="B2424" t="s">
        <v>2948</v>
      </c>
      <c r="C2424" t="s">
        <v>5604</v>
      </c>
      <c r="D2424" s="92">
        <v>0.28</v>
      </c>
      <c r="E2424" s="92">
        <v>0.14</v>
      </c>
      <c r="F2424">
        <v>18</v>
      </c>
      <c r="G2424">
        <v>21</v>
      </c>
      <c r="H2424" t="s">
        <v>5617</v>
      </c>
      <c r="I2424">
        <v>0</v>
      </c>
      <c r="J2424" t="s">
        <v>87</v>
      </c>
      <c r="K2424">
        <v>0</v>
      </c>
      <c r="L2424">
        <v>0</v>
      </c>
    </row>
    <row r="2425" spans="1:12">
      <c r="A2425" s="93">
        <v>203775</v>
      </c>
      <c r="B2425" t="s">
        <v>2949</v>
      </c>
      <c r="C2425" t="s">
        <v>5602</v>
      </c>
      <c r="D2425" s="92">
        <v>0.54</v>
      </c>
      <c r="E2425" s="92">
        <v>0.31</v>
      </c>
      <c r="F2425">
        <v>19</v>
      </c>
      <c r="G2425">
        <v>22</v>
      </c>
      <c r="H2425" t="s">
        <v>5617</v>
      </c>
      <c r="I2425">
        <v>0</v>
      </c>
      <c r="J2425" t="s">
        <v>87</v>
      </c>
      <c r="K2425">
        <v>0</v>
      </c>
      <c r="L2425">
        <v>0</v>
      </c>
    </row>
    <row r="2426" spans="1:12">
      <c r="A2426" s="93">
        <v>203845</v>
      </c>
      <c r="B2426" t="s">
        <v>2950</v>
      </c>
      <c r="C2426" t="s">
        <v>5602</v>
      </c>
      <c r="D2426" s="92">
        <v>0.63</v>
      </c>
      <c r="E2426" s="92">
        <v>0.48</v>
      </c>
      <c r="F2426">
        <v>21</v>
      </c>
      <c r="G2426">
        <v>23.5</v>
      </c>
      <c r="H2426" t="s">
        <v>5617</v>
      </c>
      <c r="I2426">
        <v>0</v>
      </c>
      <c r="J2426" t="s">
        <v>87</v>
      </c>
      <c r="K2426">
        <v>0</v>
      </c>
      <c r="L2426">
        <v>0</v>
      </c>
    </row>
    <row r="2427" spans="1:12">
      <c r="A2427" s="93">
        <v>203881</v>
      </c>
      <c r="B2427" t="s">
        <v>2951</v>
      </c>
      <c r="C2427" t="s">
        <v>5606</v>
      </c>
      <c r="D2427" s="92" t="s">
        <v>428</v>
      </c>
      <c r="E2427" s="92" t="s">
        <v>428</v>
      </c>
      <c r="F2427" t="s">
        <v>428</v>
      </c>
      <c r="G2427" t="s">
        <v>428</v>
      </c>
      <c r="H2427" t="s">
        <v>5615</v>
      </c>
      <c r="I2427">
        <v>0</v>
      </c>
      <c r="J2427" t="s">
        <v>87</v>
      </c>
      <c r="K2427">
        <v>0</v>
      </c>
      <c r="L2427">
        <v>0</v>
      </c>
    </row>
    <row r="2428" spans="1:12">
      <c r="A2428" s="93">
        <v>203960</v>
      </c>
      <c r="B2428" t="s">
        <v>2952</v>
      </c>
      <c r="C2428" t="s">
        <v>5607</v>
      </c>
      <c r="D2428" s="92">
        <v>0.47</v>
      </c>
      <c r="E2428" s="92">
        <v>0.5</v>
      </c>
      <c r="F2428" t="s">
        <v>428</v>
      </c>
      <c r="G2428" t="s">
        <v>428</v>
      </c>
      <c r="H2428" t="s">
        <v>5617</v>
      </c>
      <c r="I2428">
        <v>0</v>
      </c>
      <c r="J2428" t="s">
        <v>87</v>
      </c>
      <c r="K2428">
        <v>0</v>
      </c>
      <c r="L2428">
        <v>0</v>
      </c>
    </row>
    <row r="2429" spans="1:12">
      <c r="A2429" s="93">
        <v>203997</v>
      </c>
      <c r="B2429" t="s">
        <v>2953</v>
      </c>
      <c r="C2429" t="s">
        <v>5607</v>
      </c>
      <c r="D2429" s="92" t="s">
        <v>428</v>
      </c>
      <c r="E2429" s="92" t="s">
        <v>428</v>
      </c>
      <c r="F2429" t="s">
        <v>428</v>
      </c>
      <c r="G2429" t="s">
        <v>428</v>
      </c>
      <c r="H2429" t="s">
        <v>5615</v>
      </c>
      <c r="I2429">
        <v>0</v>
      </c>
      <c r="J2429" t="s">
        <v>87</v>
      </c>
      <c r="K2429">
        <v>0</v>
      </c>
      <c r="L2429">
        <v>0</v>
      </c>
    </row>
    <row r="2430" spans="1:12">
      <c r="A2430" s="93">
        <v>204006</v>
      </c>
      <c r="B2430" t="s">
        <v>2954</v>
      </c>
      <c r="C2430" t="s">
        <v>5604</v>
      </c>
      <c r="D2430" s="92">
        <v>0.25</v>
      </c>
      <c r="E2430" s="92">
        <v>0.09</v>
      </c>
      <c r="F2430" t="s">
        <v>428</v>
      </c>
      <c r="G2430" t="s">
        <v>428</v>
      </c>
      <c r="H2430" t="s">
        <v>5615</v>
      </c>
      <c r="I2430">
        <v>0</v>
      </c>
      <c r="J2430" t="s">
        <v>87</v>
      </c>
      <c r="K2430">
        <v>0</v>
      </c>
      <c r="L2430">
        <v>0</v>
      </c>
    </row>
    <row r="2431" spans="1:12">
      <c r="A2431" s="93">
        <v>204015</v>
      </c>
      <c r="B2431" t="s">
        <v>2955</v>
      </c>
      <c r="C2431" t="s">
        <v>5604</v>
      </c>
      <c r="D2431" s="92">
        <v>0.18</v>
      </c>
      <c r="E2431" s="92">
        <v>0.06</v>
      </c>
      <c r="F2431" t="s">
        <v>428</v>
      </c>
      <c r="G2431" t="s">
        <v>428</v>
      </c>
      <c r="H2431" t="s">
        <v>5615</v>
      </c>
      <c r="I2431">
        <v>0</v>
      </c>
      <c r="J2431" t="s">
        <v>87</v>
      </c>
      <c r="K2431">
        <v>0</v>
      </c>
      <c r="L2431">
        <v>0</v>
      </c>
    </row>
    <row r="2432" spans="1:12">
      <c r="A2432" s="93">
        <v>204024</v>
      </c>
      <c r="B2432" t="s">
        <v>2956</v>
      </c>
      <c r="C2432" t="s">
        <v>5605</v>
      </c>
      <c r="D2432" s="92">
        <v>0.78</v>
      </c>
      <c r="E2432" s="92">
        <v>0.71</v>
      </c>
      <c r="F2432">
        <v>26</v>
      </c>
      <c r="G2432">
        <v>28.5</v>
      </c>
      <c r="H2432" t="s">
        <v>5617</v>
      </c>
      <c r="I2432">
        <v>0</v>
      </c>
      <c r="J2432" t="s">
        <v>87</v>
      </c>
      <c r="K2432">
        <v>0</v>
      </c>
      <c r="L2432">
        <v>0</v>
      </c>
    </row>
    <row r="2433" spans="1:12">
      <c r="A2433" s="93">
        <v>204060</v>
      </c>
      <c r="B2433" t="s">
        <v>2957</v>
      </c>
      <c r="C2433" t="s">
        <v>5606</v>
      </c>
      <c r="D2433" s="92" t="s">
        <v>428</v>
      </c>
      <c r="E2433" s="92" t="s">
        <v>428</v>
      </c>
      <c r="F2433" t="s">
        <v>428</v>
      </c>
      <c r="G2433" t="s">
        <v>428</v>
      </c>
      <c r="H2433" t="s">
        <v>5617</v>
      </c>
      <c r="I2433">
        <v>0</v>
      </c>
      <c r="J2433" t="s">
        <v>87</v>
      </c>
      <c r="K2433">
        <v>0</v>
      </c>
      <c r="L2433">
        <v>0</v>
      </c>
    </row>
    <row r="2434" spans="1:12">
      <c r="A2434" s="93">
        <v>204121</v>
      </c>
      <c r="B2434" t="s">
        <v>2958</v>
      </c>
      <c r="C2434" t="s">
        <v>5606</v>
      </c>
      <c r="D2434" s="92">
        <v>0.63</v>
      </c>
      <c r="E2434" s="92">
        <v>0.67</v>
      </c>
      <c r="F2434" t="s">
        <v>428</v>
      </c>
      <c r="G2434" t="s">
        <v>428</v>
      </c>
      <c r="H2434" t="s">
        <v>5624</v>
      </c>
      <c r="I2434">
        <v>1</v>
      </c>
      <c r="J2434" t="s">
        <v>87</v>
      </c>
      <c r="K2434">
        <v>0</v>
      </c>
      <c r="L2434">
        <v>0</v>
      </c>
    </row>
    <row r="2435" spans="1:12">
      <c r="A2435" s="93">
        <v>204176</v>
      </c>
      <c r="B2435" t="s">
        <v>2959</v>
      </c>
      <c r="C2435" t="s">
        <v>5602</v>
      </c>
      <c r="D2435" s="92">
        <v>0.7</v>
      </c>
      <c r="E2435" s="92">
        <v>0.64</v>
      </c>
      <c r="F2435">
        <v>19</v>
      </c>
      <c r="G2435">
        <v>21</v>
      </c>
      <c r="H2435" t="s">
        <v>5616</v>
      </c>
      <c r="I2435">
        <v>0</v>
      </c>
      <c r="J2435" t="s">
        <v>87</v>
      </c>
      <c r="K2435">
        <v>0</v>
      </c>
      <c r="L2435">
        <v>0</v>
      </c>
    </row>
    <row r="2436" spans="1:12">
      <c r="A2436" s="93">
        <v>204185</v>
      </c>
      <c r="B2436" t="s">
        <v>2960</v>
      </c>
      <c r="C2436" t="s">
        <v>5602</v>
      </c>
      <c r="D2436" s="92">
        <v>0.61</v>
      </c>
      <c r="E2436" s="92">
        <v>0.37</v>
      </c>
      <c r="F2436">
        <v>20</v>
      </c>
      <c r="G2436">
        <v>23</v>
      </c>
      <c r="H2436" t="s">
        <v>5617</v>
      </c>
      <c r="I2436">
        <v>0</v>
      </c>
      <c r="J2436" t="s">
        <v>87</v>
      </c>
      <c r="K2436">
        <v>0</v>
      </c>
      <c r="L2436">
        <v>0</v>
      </c>
    </row>
    <row r="2437" spans="1:12">
      <c r="A2437" s="93">
        <v>204194</v>
      </c>
      <c r="B2437" t="s">
        <v>2961</v>
      </c>
      <c r="C2437" t="s">
        <v>5602</v>
      </c>
      <c r="D2437" s="92">
        <v>0.58</v>
      </c>
      <c r="E2437" s="92">
        <v>0.4</v>
      </c>
      <c r="F2437">
        <v>20</v>
      </c>
      <c r="G2437">
        <v>22.5</v>
      </c>
      <c r="H2437" t="s">
        <v>5617</v>
      </c>
      <c r="I2437">
        <v>0</v>
      </c>
      <c r="J2437" t="s">
        <v>87</v>
      </c>
      <c r="K2437">
        <v>0</v>
      </c>
      <c r="L2437">
        <v>0</v>
      </c>
    </row>
    <row r="2438" spans="1:12">
      <c r="A2438" s="93">
        <v>204200</v>
      </c>
      <c r="B2438" t="s">
        <v>2962</v>
      </c>
      <c r="C2438" t="s">
        <v>5602</v>
      </c>
      <c r="D2438" s="92">
        <v>0.52</v>
      </c>
      <c r="E2438" s="92">
        <v>0.42</v>
      </c>
      <c r="F2438">
        <v>19</v>
      </c>
      <c r="G2438">
        <v>21.5</v>
      </c>
      <c r="H2438" t="s">
        <v>5616</v>
      </c>
      <c r="I2438">
        <v>0</v>
      </c>
      <c r="J2438" t="s">
        <v>87</v>
      </c>
      <c r="K2438">
        <v>0</v>
      </c>
      <c r="L2438">
        <v>0</v>
      </c>
    </row>
    <row r="2439" spans="1:12">
      <c r="A2439" s="93">
        <v>204255</v>
      </c>
      <c r="B2439" t="s">
        <v>2963</v>
      </c>
      <c r="C2439" t="s">
        <v>5606</v>
      </c>
      <c r="D2439" s="92">
        <v>0.37</v>
      </c>
      <c r="E2439" s="92">
        <v>0.31</v>
      </c>
      <c r="F2439" t="s">
        <v>428</v>
      </c>
      <c r="G2439" t="s">
        <v>428</v>
      </c>
      <c r="H2439" t="s">
        <v>5615</v>
      </c>
      <c r="I2439">
        <v>0</v>
      </c>
      <c r="J2439" t="s">
        <v>87</v>
      </c>
      <c r="K2439">
        <v>0</v>
      </c>
      <c r="L2439">
        <v>0</v>
      </c>
    </row>
    <row r="2440" spans="1:12">
      <c r="A2440" s="93">
        <v>204264</v>
      </c>
      <c r="B2440" t="s">
        <v>2964</v>
      </c>
      <c r="C2440" t="s">
        <v>5602</v>
      </c>
      <c r="D2440" s="92">
        <v>0.53</v>
      </c>
      <c r="E2440" s="92">
        <v>0.34</v>
      </c>
      <c r="F2440">
        <v>19</v>
      </c>
      <c r="G2440">
        <v>21.5</v>
      </c>
      <c r="H2440" t="s">
        <v>5617</v>
      </c>
      <c r="I2440">
        <v>0</v>
      </c>
      <c r="J2440" t="s">
        <v>87</v>
      </c>
      <c r="K2440">
        <v>0</v>
      </c>
      <c r="L2440">
        <v>0</v>
      </c>
    </row>
    <row r="2441" spans="1:12">
      <c r="A2441" s="93">
        <v>204316</v>
      </c>
      <c r="B2441" t="s">
        <v>2965</v>
      </c>
      <c r="C2441" t="s">
        <v>5607</v>
      </c>
      <c r="D2441" s="92" t="s">
        <v>428</v>
      </c>
      <c r="E2441" s="92" t="s">
        <v>428</v>
      </c>
      <c r="F2441" t="s">
        <v>428</v>
      </c>
      <c r="G2441" t="s">
        <v>428</v>
      </c>
      <c r="H2441" t="s">
        <v>5617</v>
      </c>
      <c r="I2441">
        <v>0</v>
      </c>
      <c r="J2441" t="s">
        <v>87</v>
      </c>
      <c r="K2441">
        <v>0</v>
      </c>
      <c r="L2441">
        <v>0</v>
      </c>
    </row>
    <row r="2442" spans="1:12">
      <c r="A2442" s="93">
        <v>204422</v>
      </c>
      <c r="B2442" t="s">
        <v>2966</v>
      </c>
      <c r="C2442" t="s">
        <v>5606</v>
      </c>
      <c r="D2442" s="92">
        <v>0.22</v>
      </c>
      <c r="E2442" s="92">
        <v>0.18</v>
      </c>
      <c r="F2442" t="s">
        <v>428</v>
      </c>
      <c r="G2442" t="s">
        <v>428</v>
      </c>
      <c r="H2442" t="s">
        <v>5615</v>
      </c>
      <c r="I2442">
        <v>0</v>
      </c>
      <c r="J2442" t="s">
        <v>87</v>
      </c>
      <c r="K2442">
        <v>0</v>
      </c>
      <c r="L2442">
        <v>0</v>
      </c>
    </row>
    <row r="2443" spans="1:12">
      <c r="A2443" s="93">
        <v>204440</v>
      </c>
      <c r="B2443" t="s">
        <v>2967</v>
      </c>
      <c r="C2443" t="s">
        <v>5606</v>
      </c>
      <c r="D2443" s="92">
        <v>0.3</v>
      </c>
      <c r="E2443" s="92">
        <v>0.21</v>
      </c>
      <c r="F2443" t="s">
        <v>428</v>
      </c>
      <c r="G2443" t="s">
        <v>428</v>
      </c>
      <c r="H2443" t="s">
        <v>5615</v>
      </c>
      <c r="I2443">
        <v>0</v>
      </c>
      <c r="J2443" t="s">
        <v>87</v>
      </c>
      <c r="K2443">
        <v>0</v>
      </c>
      <c r="L2443">
        <v>0</v>
      </c>
    </row>
    <row r="2444" spans="1:12">
      <c r="A2444" s="93">
        <v>204459</v>
      </c>
      <c r="B2444" t="s">
        <v>2968</v>
      </c>
      <c r="C2444" t="s">
        <v>5609</v>
      </c>
      <c r="D2444" s="92">
        <v>0.84</v>
      </c>
      <c r="E2444" s="92">
        <v>0.83</v>
      </c>
      <c r="F2444" t="s">
        <v>428</v>
      </c>
      <c r="G2444" t="s">
        <v>428</v>
      </c>
      <c r="H2444" t="s">
        <v>5615</v>
      </c>
      <c r="I2444">
        <v>0</v>
      </c>
      <c r="J2444" t="s">
        <v>87</v>
      </c>
      <c r="K2444">
        <v>0</v>
      </c>
      <c r="L2444">
        <v>0</v>
      </c>
    </row>
    <row r="2445" spans="1:12">
      <c r="A2445" s="93">
        <v>204468</v>
      </c>
      <c r="B2445" t="s">
        <v>2969</v>
      </c>
      <c r="C2445" t="s">
        <v>5604</v>
      </c>
      <c r="D2445" s="92">
        <v>0.36</v>
      </c>
      <c r="E2445" s="92">
        <v>0.23</v>
      </c>
      <c r="F2445">
        <v>18</v>
      </c>
      <c r="G2445">
        <v>20</v>
      </c>
      <c r="H2445" t="s">
        <v>5617</v>
      </c>
      <c r="I2445">
        <v>0</v>
      </c>
      <c r="J2445" t="s">
        <v>87</v>
      </c>
      <c r="K2445">
        <v>0</v>
      </c>
      <c r="L2445">
        <v>0</v>
      </c>
    </row>
    <row r="2446" spans="1:12">
      <c r="A2446" s="93">
        <v>204477</v>
      </c>
      <c r="B2446" t="s">
        <v>2970</v>
      </c>
      <c r="C2446" t="s">
        <v>5607</v>
      </c>
      <c r="D2446" s="92" t="s">
        <v>428</v>
      </c>
      <c r="E2446" s="92" t="s">
        <v>428</v>
      </c>
      <c r="F2446" t="s">
        <v>428</v>
      </c>
      <c r="G2446" t="s">
        <v>428</v>
      </c>
      <c r="H2446" t="s">
        <v>5615</v>
      </c>
      <c r="I2446">
        <v>0</v>
      </c>
      <c r="J2446" t="s">
        <v>87</v>
      </c>
      <c r="K2446">
        <v>0</v>
      </c>
      <c r="L2446">
        <v>0</v>
      </c>
    </row>
    <row r="2447" spans="1:12">
      <c r="A2447" s="93">
        <v>204486</v>
      </c>
      <c r="B2447" t="s">
        <v>2971</v>
      </c>
      <c r="C2447" t="s">
        <v>5604</v>
      </c>
      <c r="D2447" s="92">
        <v>0.34</v>
      </c>
      <c r="E2447" s="92">
        <v>0.13</v>
      </c>
      <c r="F2447" t="s">
        <v>428</v>
      </c>
      <c r="G2447" t="s">
        <v>428</v>
      </c>
      <c r="H2447" t="s">
        <v>5617</v>
      </c>
      <c r="I2447">
        <v>0</v>
      </c>
      <c r="J2447" t="s">
        <v>87</v>
      </c>
      <c r="K2447">
        <v>0</v>
      </c>
      <c r="L2447">
        <v>0</v>
      </c>
    </row>
    <row r="2448" spans="1:12">
      <c r="A2448" s="93">
        <v>204501</v>
      </c>
      <c r="B2448" t="s">
        <v>2972</v>
      </c>
      <c r="C2448" t="s">
        <v>5612</v>
      </c>
      <c r="D2448" s="92">
        <v>0.85</v>
      </c>
      <c r="E2448" s="92">
        <v>0.79</v>
      </c>
      <c r="F2448">
        <v>29</v>
      </c>
      <c r="G2448">
        <v>31</v>
      </c>
      <c r="H2448" t="s">
        <v>5619</v>
      </c>
      <c r="I2448">
        <v>1</v>
      </c>
      <c r="J2448" t="s">
        <v>87</v>
      </c>
      <c r="K2448">
        <v>0</v>
      </c>
      <c r="L2448">
        <v>0</v>
      </c>
    </row>
    <row r="2449" spans="1:12">
      <c r="A2449" s="93">
        <v>204608</v>
      </c>
      <c r="B2449" t="s">
        <v>2973</v>
      </c>
      <c r="C2449" t="s">
        <v>5606</v>
      </c>
      <c r="D2449" s="92" t="s">
        <v>428</v>
      </c>
      <c r="E2449" s="92" t="s">
        <v>428</v>
      </c>
      <c r="F2449" t="s">
        <v>428</v>
      </c>
      <c r="G2449" t="s">
        <v>428</v>
      </c>
      <c r="H2449" t="s">
        <v>5617</v>
      </c>
      <c r="I2449">
        <v>0</v>
      </c>
      <c r="J2449" t="s">
        <v>87</v>
      </c>
      <c r="K2449">
        <v>0</v>
      </c>
      <c r="L2449">
        <v>0</v>
      </c>
    </row>
    <row r="2450" spans="1:12">
      <c r="A2450" s="93">
        <v>204617</v>
      </c>
      <c r="B2450" t="s">
        <v>2974</v>
      </c>
      <c r="C2450" t="s">
        <v>5602</v>
      </c>
      <c r="D2450" s="92">
        <v>0.42</v>
      </c>
      <c r="E2450" s="92">
        <v>0.25</v>
      </c>
      <c r="F2450">
        <v>19</v>
      </c>
      <c r="G2450">
        <v>21.5</v>
      </c>
      <c r="H2450" t="s">
        <v>5617</v>
      </c>
      <c r="I2450">
        <v>0</v>
      </c>
      <c r="J2450" t="s">
        <v>87</v>
      </c>
      <c r="K2450">
        <v>0</v>
      </c>
      <c r="L2450">
        <v>0</v>
      </c>
    </row>
    <row r="2451" spans="1:12">
      <c r="A2451" s="93">
        <v>204626</v>
      </c>
      <c r="B2451" t="s">
        <v>2975</v>
      </c>
      <c r="C2451" t="s">
        <v>5606</v>
      </c>
      <c r="D2451" s="92" t="s">
        <v>428</v>
      </c>
      <c r="E2451" s="92" t="s">
        <v>428</v>
      </c>
      <c r="F2451" t="s">
        <v>428</v>
      </c>
      <c r="G2451" t="s">
        <v>428</v>
      </c>
      <c r="H2451" t="s">
        <v>5617</v>
      </c>
      <c r="I2451">
        <v>0</v>
      </c>
      <c r="J2451" t="s">
        <v>87</v>
      </c>
      <c r="K2451">
        <v>0</v>
      </c>
      <c r="L2451">
        <v>0</v>
      </c>
    </row>
    <row r="2452" spans="1:12">
      <c r="A2452" s="93">
        <v>204635</v>
      </c>
      <c r="B2452" t="s">
        <v>2976</v>
      </c>
      <c r="C2452" t="s">
        <v>5603</v>
      </c>
      <c r="D2452" s="92">
        <v>0.68</v>
      </c>
      <c r="E2452" s="92">
        <v>0.58</v>
      </c>
      <c r="F2452">
        <v>23</v>
      </c>
      <c r="G2452">
        <v>25.5</v>
      </c>
      <c r="H2452" t="s">
        <v>5617</v>
      </c>
      <c r="I2452">
        <v>0</v>
      </c>
      <c r="J2452" t="s">
        <v>87</v>
      </c>
      <c r="K2452">
        <v>0</v>
      </c>
      <c r="L2452">
        <v>0</v>
      </c>
    </row>
    <row r="2453" spans="1:12">
      <c r="A2453" s="93">
        <v>204662</v>
      </c>
      <c r="B2453" t="s">
        <v>2977</v>
      </c>
      <c r="C2453" t="s">
        <v>5606</v>
      </c>
      <c r="D2453" s="92" t="s">
        <v>428</v>
      </c>
      <c r="E2453" s="92" t="s">
        <v>428</v>
      </c>
      <c r="F2453" t="s">
        <v>428</v>
      </c>
      <c r="G2453" t="s">
        <v>428</v>
      </c>
      <c r="H2453" t="s">
        <v>5615</v>
      </c>
      <c r="I2453">
        <v>0</v>
      </c>
      <c r="J2453" t="s">
        <v>87</v>
      </c>
      <c r="K2453">
        <v>0</v>
      </c>
      <c r="L2453">
        <v>0</v>
      </c>
    </row>
    <row r="2454" spans="1:12">
      <c r="A2454" s="93">
        <v>204671</v>
      </c>
      <c r="B2454" t="s">
        <v>2978</v>
      </c>
      <c r="C2454" t="s">
        <v>5602</v>
      </c>
      <c r="D2454" s="92">
        <v>0.31</v>
      </c>
      <c r="E2454" s="92">
        <v>0.16</v>
      </c>
      <c r="F2454" t="s">
        <v>428</v>
      </c>
      <c r="G2454" t="s">
        <v>428</v>
      </c>
      <c r="H2454" t="s">
        <v>5615</v>
      </c>
      <c r="I2454">
        <v>0</v>
      </c>
      <c r="J2454" t="s">
        <v>87</v>
      </c>
      <c r="K2454">
        <v>0</v>
      </c>
      <c r="L2454">
        <v>0</v>
      </c>
    </row>
    <row r="2455" spans="1:12">
      <c r="A2455" s="93">
        <v>204680</v>
      </c>
      <c r="B2455" t="s">
        <v>2979</v>
      </c>
      <c r="C2455" t="s">
        <v>5602</v>
      </c>
      <c r="D2455" s="92">
        <v>0.42</v>
      </c>
      <c r="E2455" s="92">
        <v>0.2</v>
      </c>
      <c r="F2455" t="s">
        <v>428</v>
      </c>
      <c r="G2455" t="s">
        <v>428</v>
      </c>
      <c r="H2455" t="s">
        <v>5615</v>
      </c>
      <c r="I2455">
        <v>0</v>
      </c>
      <c r="J2455" t="s">
        <v>87</v>
      </c>
      <c r="K2455">
        <v>0</v>
      </c>
      <c r="L2455">
        <v>0</v>
      </c>
    </row>
    <row r="2456" spans="1:12">
      <c r="A2456" s="93">
        <v>204699</v>
      </c>
      <c r="B2456" t="s">
        <v>2980</v>
      </c>
      <c r="C2456" t="s">
        <v>5602</v>
      </c>
      <c r="D2456" s="92">
        <v>0.41</v>
      </c>
      <c r="E2456" s="92">
        <v>0.27</v>
      </c>
      <c r="F2456" t="s">
        <v>428</v>
      </c>
      <c r="G2456" t="s">
        <v>428</v>
      </c>
      <c r="H2456" t="s">
        <v>5615</v>
      </c>
      <c r="I2456">
        <v>0</v>
      </c>
      <c r="J2456" t="s">
        <v>87</v>
      </c>
      <c r="K2456">
        <v>0</v>
      </c>
      <c r="L2456">
        <v>0</v>
      </c>
    </row>
    <row r="2457" spans="1:12">
      <c r="A2457" s="93">
        <v>204705</v>
      </c>
      <c r="B2457" t="s">
        <v>2981</v>
      </c>
      <c r="C2457" t="s">
        <v>5602</v>
      </c>
      <c r="D2457" s="92">
        <v>0.35</v>
      </c>
      <c r="E2457" s="92">
        <v>0.25</v>
      </c>
      <c r="F2457" t="s">
        <v>428</v>
      </c>
      <c r="G2457" t="s">
        <v>428</v>
      </c>
      <c r="H2457" t="s">
        <v>5615</v>
      </c>
      <c r="I2457">
        <v>0</v>
      </c>
      <c r="J2457" t="s">
        <v>87</v>
      </c>
      <c r="K2457">
        <v>0</v>
      </c>
      <c r="L2457">
        <v>0</v>
      </c>
    </row>
    <row r="2458" spans="1:12">
      <c r="A2458" s="93">
        <v>204714</v>
      </c>
      <c r="B2458" t="s">
        <v>2982</v>
      </c>
      <c r="C2458" t="s">
        <v>5606</v>
      </c>
      <c r="D2458" s="92" t="s">
        <v>428</v>
      </c>
      <c r="E2458" s="92" t="s">
        <v>428</v>
      </c>
      <c r="F2458" t="s">
        <v>428</v>
      </c>
      <c r="G2458" t="s">
        <v>428</v>
      </c>
      <c r="H2458" t="s">
        <v>5624</v>
      </c>
      <c r="I2458">
        <v>1</v>
      </c>
      <c r="J2458" t="s">
        <v>87</v>
      </c>
      <c r="K2458">
        <v>0</v>
      </c>
      <c r="L2458">
        <v>0</v>
      </c>
    </row>
    <row r="2459" spans="1:12">
      <c r="A2459" s="93">
        <v>204723</v>
      </c>
      <c r="B2459" t="s">
        <v>2983</v>
      </c>
      <c r="C2459" t="s">
        <v>5606</v>
      </c>
      <c r="D2459" s="92" t="s">
        <v>428</v>
      </c>
      <c r="E2459" s="92" t="s">
        <v>428</v>
      </c>
      <c r="F2459" t="s">
        <v>428</v>
      </c>
      <c r="G2459" t="s">
        <v>428</v>
      </c>
      <c r="H2459" t="s">
        <v>5616</v>
      </c>
      <c r="I2459">
        <v>0</v>
      </c>
      <c r="J2459" t="s">
        <v>87</v>
      </c>
      <c r="K2459">
        <v>0</v>
      </c>
      <c r="L2459">
        <v>0</v>
      </c>
    </row>
    <row r="2460" spans="1:12">
      <c r="A2460" s="93">
        <v>204769</v>
      </c>
      <c r="B2460" t="s">
        <v>2984</v>
      </c>
      <c r="C2460" t="s">
        <v>5606</v>
      </c>
      <c r="D2460" s="92" t="s">
        <v>428</v>
      </c>
      <c r="E2460" s="92" t="s">
        <v>428</v>
      </c>
      <c r="F2460" t="s">
        <v>428</v>
      </c>
      <c r="G2460" t="s">
        <v>428</v>
      </c>
      <c r="H2460" t="s">
        <v>5617</v>
      </c>
      <c r="I2460">
        <v>0</v>
      </c>
      <c r="J2460" t="s">
        <v>87</v>
      </c>
      <c r="K2460">
        <v>0</v>
      </c>
      <c r="L2460">
        <v>0</v>
      </c>
    </row>
    <row r="2461" spans="1:12">
      <c r="A2461" s="93">
        <v>204778</v>
      </c>
      <c r="B2461" t="s">
        <v>2985</v>
      </c>
      <c r="C2461" t="s">
        <v>5606</v>
      </c>
      <c r="D2461" s="92" t="s">
        <v>428</v>
      </c>
      <c r="E2461" s="92" t="s">
        <v>428</v>
      </c>
      <c r="F2461" t="s">
        <v>428</v>
      </c>
      <c r="G2461" t="s">
        <v>428</v>
      </c>
      <c r="H2461" t="s">
        <v>5616</v>
      </c>
      <c r="I2461">
        <v>0</v>
      </c>
      <c r="J2461" t="s">
        <v>87</v>
      </c>
      <c r="K2461">
        <v>0</v>
      </c>
      <c r="L2461">
        <v>0</v>
      </c>
    </row>
    <row r="2462" spans="1:12">
      <c r="A2462" s="93">
        <v>204796</v>
      </c>
      <c r="B2462" t="s">
        <v>2986</v>
      </c>
      <c r="C2462" t="s">
        <v>5605</v>
      </c>
      <c r="D2462" s="92">
        <v>0.84</v>
      </c>
      <c r="E2462" s="92">
        <v>0.76</v>
      </c>
      <c r="F2462">
        <v>27</v>
      </c>
      <c r="G2462">
        <v>29</v>
      </c>
      <c r="H2462" t="s">
        <v>5617</v>
      </c>
      <c r="I2462">
        <v>0</v>
      </c>
      <c r="J2462" t="s">
        <v>87</v>
      </c>
      <c r="K2462">
        <v>0</v>
      </c>
      <c r="L2462">
        <v>0</v>
      </c>
    </row>
    <row r="2463" spans="1:12">
      <c r="A2463" s="93">
        <v>204802</v>
      </c>
      <c r="B2463" t="s">
        <v>2987</v>
      </c>
      <c r="C2463" t="s">
        <v>5604</v>
      </c>
      <c r="D2463" s="92">
        <v>0.35</v>
      </c>
      <c r="E2463" s="92">
        <v>0.11</v>
      </c>
      <c r="F2463" t="s">
        <v>428</v>
      </c>
      <c r="G2463" t="s">
        <v>428</v>
      </c>
      <c r="H2463" t="s">
        <v>5615</v>
      </c>
      <c r="I2463">
        <v>0</v>
      </c>
      <c r="J2463" t="s">
        <v>87</v>
      </c>
      <c r="K2463">
        <v>0</v>
      </c>
      <c r="L2463">
        <v>0</v>
      </c>
    </row>
    <row r="2464" spans="1:12">
      <c r="A2464" s="93">
        <v>204820</v>
      </c>
      <c r="B2464" t="s">
        <v>2988</v>
      </c>
      <c r="C2464" t="s">
        <v>5604</v>
      </c>
      <c r="D2464" s="92">
        <v>0.17</v>
      </c>
      <c r="E2464" s="92">
        <v>0.1</v>
      </c>
      <c r="F2464" t="s">
        <v>428</v>
      </c>
      <c r="G2464" t="s">
        <v>428</v>
      </c>
      <c r="H2464" t="s">
        <v>5615</v>
      </c>
      <c r="I2464">
        <v>0</v>
      </c>
      <c r="J2464" t="s">
        <v>87</v>
      </c>
      <c r="K2464">
        <v>0</v>
      </c>
      <c r="L2464">
        <v>0</v>
      </c>
    </row>
    <row r="2465" spans="1:12">
      <c r="A2465" s="93">
        <v>204839</v>
      </c>
      <c r="B2465" t="s">
        <v>2989</v>
      </c>
      <c r="C2465" t="s">
        <v>5604</v>
      </c>
      <c r="D2465" s="92">
        <v>0.13</v>
      </c>
      <c r="E2465" s="92">
        <v>0</v>
      </c>
      <c r="F2465" t="s">
        <v>428</v>
      </c>
      <c r="G2465" t="s">
        <v>428</v>
      </c>
      <c r="H2465" t="s">
        <v>5615</v>
      </c>
      <c r="I2465">
        <v>0</v>
      </c>
      <c r="J2465" t="s">
        <v>87</v>
      </c>
      <c r="K2465">
        <v>0</v>
      </c>
      <c r="L2465">
        <v>0</v>
      </c>
    </row>
    <row r="2466" spans="1:12">
      <c r="A2466" s="93">
        <v>204848</v>
      </c>
      <c r="B2466" t="s">
        <v>2990</v>
      </c>
      <c r="C2466" t="s">
        <v>5604</v>
      </c>
      <c r="D2466" s="92">
        <v>0.23</v>
      </c>
      <c r="E2466" s="92">
        <v>0.09</v>
      </c>
      <c r="F2466" t="s">
        <v>428</v>
      </c>
      <c r="G2466" t="s">
        <v>428</v>
      </c>
      <c r="H2466" t="s">
        <v>5615</v>
      </c>
      <c r="I2466">
        <v>0</v>
      </c>
      <c r="J2466" t="s">
        <v>87</v>
      </c>
      <c r="K2466">
        <v>0</v>
      </c>
      <c r="L2466">
        <v>0</v>
      </c>
    </row>
    <row r="2467" spans="1:12">
      <c r="A2467" s="93">
        <v>204857</v>
      </c>
      <c r="B2467" t="s">
        <v>2991</v>
      </c>
      <c r="C2467" t="s">
        <v>5602</v>
      </c>
      <c r="D2467" s="92">
        <v>0.64</v>
      </c>
      <c r="E2467" s="92">
        <v>0.5600000000000001</v>
      </c>
      <c r="F2467">
        <v>21</v>
      </c>
      <c r="G2467">
        <v>23.5</v>
      </c>
      <c r="H2467" t="s">
        <v>5615</v>
      </c>
      <c r="I2467">
        <v>0</v>
      </c>
      <c r="J2467" t="s">
        <v>87</v>
      </c>
      <c r="K2467">
        <v>0</v>
      </c>
      <c r="L2467">
        <v>0</v>
      </c>
    </row>
    <row r="2468" spans="1:12">
      <c r="A2468" s="93">
        <v>204866</v>
      </c>
      <c r="B2468" t="s">
        <v>2992</v>
      </c>
      <c r="C2468" t="s">
        <v>5604</v>
      </c>
      <c r="D2468" s="92">
        <v>0.28</v>
      </c>
      <c r="E2468" s="92">
        <v>0.21</v>
      </c>
      <c r="F2468" t="s">
        <v>428</v>
      </c>
      <c r="G2468" t="s">
        <v>428</v>
      </c>
      <c r="H2468" t="s">
        <v>5615</v>
      </c>
      <c r="I2468">
        <v>0</v>
      </c>
      <c r="J2468" t="s">
        <v>87</v>
      </c>
      <c r="K2468">
        <v>0</v>
      </c>
      <c r="L2468">
        <v>0</v>
      </c>
    </row>
    <row r="2469" spans="1:12">
      <c r="A2469" s="93">
        <v>204884</v>
      </c>
      <c r="B2469" t="s">
        <v>2993</v>
      </c>
      <c r="C2469" t="s">
        <v>5606</v>
      </c>
      <c r="D2469" s="92" t="s">
        <v>428</v>
      </c>
      <c r="E2469" s="92" t="s">
        <v>428</v>
      </c>
      <c r="F2469" t="s">
        <v>428</v>
      </c>
      <c r="G2469" t="s">
        <v>428</v>
      </c>
      <c r="H2469" t="s">
        <v>5616</v>
      </c>
      <c r="I2469">
        <v>0</v>
      </c>
      <c r="J2469" t="s">
        <v>87</v>
      </c>
      <c r="K2469">
        <v>0</v>
      </c>
      <c r="L2469">
        <v>0</v>
      </c>
    </row>
    <row r="2470" spans="1:12">
      <c r="A2470" s="93">
        <v>204893</v>
      </c>
      <c r="B2470" t="s">
        <v>2994</v>
      </c>
      <c r="C2470" t="s">
        <v>5606</v>
      </c>
      <c r="D2470" s="92" t="s">
        <v>428</v>
      </c>
      <c r="E2470" s="92" t="s">
        <v>428</v>
      </c>
      <c r="F2470">
        <v>17</v>
      </c>
      <c r="G2470">
        <v>18</v>
      </c>
      <c r="H2470" t="s">
        <v>5615</v>
      </c>
      <c r="I2470">
        <v>0</v>
      </c>
      <c r="J2470" t="s">
        <v>87</v>
      </c>
      <c r="K2470">
        <v>0</v>
      </c>
      <c r="L2470">
        <v>0</v>
      </c>
    </row>
    <row r="2471" spans="1:12">
      <c r="A2471" s="93">
        <v>204909</v>
      </c>
      <c r="B2471" t="s">
        <v>2995</v>
      </c>
      <c r="C2471" t="s">
        <v>5603</v>
      </c>
      <c r="D2471" s="92">
        <v>0.68</v>
      </c>
      <c r="E2471" s="92">
        <v>0.51</v>
      </c>
      <c r="F2471" t="s">
        <v>428</v>
      </c>
      <c r="G2471" t="s">
        <v>428</v>
      </c>
      <c r="H2471" t="s">
        <v>5617</v>
      </c>
      <c r="I2471">
        <v>0</v>
      </c>
      <c r="J2471" t="s">
        <v>87</v>
      </c>
      <c r="K2471">
        <v>0</v>
      </c>
      <c r="L2471">
        <v>0</v>
      </c>
    </row>
    <row r="2472" spans="1:12">
      <c r="A2472" s="93">
        <v>204936</v>
      </c>
      <c r="B2472" t="s">
        <v>2996</v>
      </c>
      <c r="C2472" t="s">
        <v>5602</v>
      </c>
      <c r="D2472" s="92">
        <v>0.59</v>
      </c>
      <c r="E2472" s="92">
        <v>0.44</v>
      </c>
      <c r="F2472">
        <v>21</v>
      </c>
      <c r="G2472">
        <v>24</v>
      </c>
      <c r="H2472" t="s">
        <v>5617</v>
      </c>
      <c r="I2472">
        <v>0</v>
      </c>
      <c r="J2472" t="s">
        <v>87</v>
      </c>
      <c r="K2472">
        <v>0</v>
      </c>
      <c r="L2472">
        <v>0</v>
      </c>
    </row>
    <row r="2473" spans="1:12">
      <c r="A2473" s="93">
        <v>204945</v>
      </c>
      <c r="B2473" t="s">
        <v>2997</v>
      </c>
      <c r="C2473" t="s">
        <v>5606</v>
      </c>
      <c r="D2473" s="92">
        <v>0.23</v>
      </c>
      <c r="E2473" s="92">
        <v>0.11</v>
      </c>
      <c r="F2473" t="s">
        <v>428</v>
      </c>
      <c r="G2473" t="s">
        <v>428</v>
      </c>
      <c r="H2473" t="s">
        <v>5615</v>
      </c>
      <c r="I2473">
        <v>0</v>
      </c>
      <c r="J2473" t="s">
        <v>87</v>
      </c>
      <c r="K2473">
        <v>0</v>
      </c>
      <c r="L2473">
        <v>0</v>
      </c>
    </row>
    <row r="2474" spans="1:12">
      <c r="A2474" s="93">
        <v>204963</v>
      </c>
      <c r="B2474" t="s">
        <v>2998</v>
      </c>
      <c r="C2474" t="s">
        <v>5606</v>
      </c>
      <c r="D2474" s="92" t="s">
        <v>428</v>
      </c>
      <c r="E2474" s="92" t="s">
        <v>428</v>
      </c>
      <c r="F2474" t="s">
        <v>428</v>
      </c>
      <c r="G2474" t="s">
        <v>428</v>
      </c>
      <c r="H2474" t="s">
        <v>5616</v>
      </c>
      <c r="I2474">
        <v>0</v>
      </c>
      <c r="J2474" t="s">
        <v>87</v>
      </c>
      <c r="K2474">
        <v>0</v>
      </c>
      <c r="L2474">
        <v>0</v>
      </c>
    </row>
    <row r="2475" spans="1:12">
      <c r="A2475" s="93">
        <v>204990</v>
      </c>
      <c r="B2475" t="s">
        <v>2999</v>
      </c>
      <c r="C2475" t="s">
        <v>5607</v>
      </c>
      <c r="D2475" s="92" t="s">
        <v>428</v>
      </c>
      <c r="E2475" s="92" t="s">
        <v>428</v>
      </c>
      <c r="F2475" t="s">
        <v>428</v>
      </c>
      <c r="G2475" t="s">
        <v>428</v>
      </c>
      <c r="H2475" t="s">
        <v>5615</v>
      </c>
      <c r="I2475">
        <v>0</v>
      </c>
      <c r="J2475" t="s">
        <v>87</v>
      </c>
      <c r="K2475">
        <v>0</v>
      </c>
      <c r="L2475">
        <v>0</v>
      </c>
    </row>
    <row r="2476" spans="1:12">
      <c r="A2476" s="93">
        <v>205027</v>
      </c>
      <c r="B2476" t="s">
        <v>3000</v>
      </c>
      <c r="C2476" t="s">
        <v>5607</v>
      </c>
      <c r="D2476" s="92">
        <v>0.85</v>
      </c>
      <c r="E2476" s="92">
        <v>0.86</v>
      </c>
      <c r="F2476" t="s">
        <v>428</v>
      </c>
      <c r="G2476" t="s">
        <v>428</v>
      </c>
      <c r="H2476" t="s">
        <v>5617</v>
      </c>
      <c r="I2476">
        <v>0</v>
      </c>
      <c r="J2476" t="s">
        <v>87</v>
      </c>
      <c r="K2476">
        <v>0</v>
      </c>
      <c r="L2476">
        <v>0</v>
      </c>
    </row>
    <row r="2477" spans="1:12">
      <c r="A2477" s="93">
        <v>205054</v>
      </c>
      <c r="B2477" t="s">
        <v>3001</v>
      </c>
      <c r="C2477" t="s">
        <v>5609</v>
      </c>
      <c r="D2477" s="92" t="s">
        <v>428</v>
      </c>
      <c r="E2477" s="92" t="s">
        <v>428</v>
      </c>
      <c r="F2477" t="s">
        <v>428</v>
      </c>
      <c r="G2477" t="s">
        <v>428</v>
      </c>
      <c r="H2477" t="s">
        <v>5617</v>
      </c>
      <c r="I2477">
        <v>0</v>
      </c>
      <c r="J2477" t="s">
        <v>87</v>
      </c>
      <c r="K2477">
        <v>0</v>
      </c>
      <c r="L2477">
        <v>0</v>
      </c>
    </row>
    <row r="2478" spans="1:12">
      <c r="A2478" s="93">
        <v>205090</v>
      </c>
      <c r="B2478" t="s">
        <v>3002</v>
      </c>
      <c r="C2478" t="s">
        <v>5606</v>
      </c>
      <c r="D2478" s="92" t="s">
        <v>428</v>
      </c>
      <c r="E2478" s="92" t="s">
        <v>428</v>
      </c>
      <c r="F2478" t="s">
        <v>428</v>
      </c>
      <c r="G2478" t="s">
        <v>428</v>
      </c>
      <c r="H2478" t="s">
        <v>5615</v>
      </c>
      <c r="I2478">
        <v>0</v>
      </c>
      <c r="J2478" t="s">
        <v>87</v>
      </c>
      <c r="K2478">
        <v>0</v>
      </c>
      <c r="L2478">
        <v>0</v>
      </c>
    </row>
    <row r="2479" spans="1:12">
      <c r="A2479" s="93">
        <v>205124</v>
      </c>
      <c r="B2479" t="s">
        <v>3003</v>
      </c>
      <c r="C2479" t="s">
        <v>5607</v>
      </c>
      <c r="D2479" s="92">
        <v>0.25</v>
      </c>
      <c r="E2479" s="92" t="s">
        <v>428</v>
      </c>
      <c r="F2479" t="s">
        <v>428</v>
      </c>
      <c r="G2479" t="s">
        <v>428</v>
      </c>
      <c r="H2479" t="s">
        <v>5615</v>
      </c>
      <c r="I2479">
        <v>0</v>
      </c>
      <c r="J2479" t="s">
        <v>87</v>
      </c>
      <c r="K2479">
        <v>0</v>
      </c>
      <c r="L2479">
        <v>0</v>
      </c>
    </row>
    <row r="2480" spans="1:12">
      <c r="A2480" s="93">
        <v>205142</v>
      </c>
      <c r="B2480" t="s">
        <v>3004</v>
      </c>
      <c r="C2480" t="s">
        <v>5606</v>
      </c>
      <c r="D2480" s="92" t="s">
        <v>428</v>
      </c>
      <c r="E2480" s="92" t="s">
        <v>428</v>
      </c>
      <c r="F2480" t="s">
        <v>428</v>
      </c>
      <c r="G2480" t="s">
        <v>428</v>
      </c>
      <c r="H2480" t="s">
        <v>5613</v>
      </c>
      <c r="I2480">
        <v>1</v>
      </c>
      <c r="J2480" t="s">
        <v>87</v>
      </c>
      <c r="K2480">
        <v>0</v>
      </c>
      <c r="L2480">
        <v>0</v>
      </c>
    </row>
    <row r="2481" spans="1:12">
      <c r="A2481" s="93">
        <v>205179</v>
      </c>
      <c r="B2481" t="s">
        <v>3005</v>
      </c>
      <c r="C2481" t="s">
        <v>5606</v>
      </c>
      <c r="D2481" s="92" t="s">
        <v>428</v>
      </c>
      <c r="E2481" s="92" t="s">
        <v>428</v>
      </c>
      <c r="F2481" t="s">
        <v>428</v>
      </c>
      <c r="G2481" t="s">
        <v>428</v>
      </c>
      <c r="H2481" t="s">
        <v>5617</v>
      </c>
      <c r="I2481">
        <v>0</v>
      </c>
      <c r="J2481" t="s">
        <v>87</v>
      </c>
      <c r="K2481">
        <v>0</v>
      </c>
      <c r="L2481">
        <v>0</v>
      </c>
    </row>
    <row r="2482" spans="1:12">
      <c r="A2482" s="93">
        <v>205203</v>
      </c>
      <c r="B2482" t="s">
        <v>3006</v>
      </c>
      <c r="C2482" t="s">
        <v>5604</v>
      </c>
      <c r="D2482" s="92">
        <v>0.18</v>
      </c>
      <c r="E2482" s="92">
        <v>0.1</v>
      </c>
      <c r="F2482" t="s">
        <v>428</v>
      </c>
      <c r="G2482" t="s">
        <v>428</v>
      </c>
      <c r="H2482" t="s">
        <v>5617</v>
      </c>
      <c r="I2482">
        <v>0</v>
      </c>
      <c r="J2482" t="s">
        <v>87</v>
      </c>
      <c r="K2482">
        <v>0</v>
      </c>
      <c r="L2482">
        <v>0</v>
      </c>
    </row>
    <row r="2483" spans="1:12">
      <c r="A2483" s="93">
        <v>205391</v>
      </c>
      <c r="B2483" t="s">
        <v>3007</v>
      </c>
      <c r="C2483" t="s">
        <v>5609</v>
      </c>
      <c r="D2483" s="92" t="s">
        <v>428</v>
      </c>
      <c r="E2483" s="92" t="s">
        <v>428</v>
      </c>
      <c r="F2483" t="s">
        <v>428</v>
      </c>
      <c r="G2483" t="s">
        <v>428</v>
      </c>
      <c r="H2483" t="s">
        <v>5617</v>
      </c>
      <c r="I2483">
        <v>0</v>
      </c>
      <c r="J2483" t="s">
        <v>87</v>
      </c>
      <c r="K2483">
        <v>0</v>
      </c>
      <c r="L2483">
        <v>0</v>
      </c>
    </row>
    <row r="2484" spans="1:12">
      <c r="A2484" s="93">
        <v>205443</v>
      </c>
      <c r="B2484" t="s">
        <v>3008</v>
      </c>
      <c r="C2484" t="s">
        <v>5602</v>
      </c>
      <c r="D2484" s="92">
        <v>0.27</v>
      </c>
      <c r="E2484" s="92">
        <v>0.15</v>
      </c>
      <c r="F2484">
        <v>18</v>
      </c>
      <c r="G2484">
        <v>21</v>
      </c>
      <c r="H2484" t="s">
        <v>5615</v>
      </c>
      <c r="I2484">
        <v>0</v>
      </c>
      <c r="J2484" t="s">
        <v>87</v>
      </c>
      <c r="K2484">
        <v>0</v>
      </c>
      <c r="L2484">
        <v>0</v>
      </c>
    </row>
    <row r="2485" spans="1:12">
      <c r="A2485" s="93">
        <v>205470</v>
      </c>
      <c r="B2485" t="s">
        <v>3009</v>
      </c>
      <c r="C2485" t="s">
        <v>5606</v>
      </c>
      <c r="D2485" s="92">
        <v>0.3</v>
      </c>
      <c r="E2485" s="92">
        <v>0.2</v>
      </c>
      <c r="F2485" t="s">
        <v>428</v>
      </c>
      <c r="G2485" t="s">
        <v>428</v>
      </c>
      <c r="H2485" t="s">
        <v>5615</v>
      </c>
      <c r="I2485">
        <v>0</v>
      </c>
      <c r="J2485" t="s">
        <v>87</v>
      </c>
      <c r="K2485">
        <v>0</v>
      </c>
      <c r="L2485">
        <v>0</v>
      </c>
    </row>
    <row r="2486" spans="1:12">
      <c r="A2486" s="93">
        <v>205513</v>
      </c>
      <c r="B2486" t="s">
        <v>3010</v>
      </c>
      <c r="C2486" t="s">
        <v>5606</v>
      </c>
      <c r="D2486" s="92" t="s">
        <v>428</v>
      </c>
      <c r="E2486" s="92" t="s">
        <v>428</v>
      </c>
      <c r="F2486" t="s">
        <v>428</v>
      </c>
      <c r="G2486" t="s">
        <v>428</v>
      </c>
      <c r="H2486" t="s">
        <v>5617</v>
      </c>
      <c r="I2486">
        <v>0</v>
      </c>
      <c r="J2486" t="s">
        <v>87</v>
      </c>
      <c r="K2486">
        <v>0</v>
      </c>
      <c r="L2486">
        <v>0</v>
      </c>
    </row>
    <row r="2487" spans="1:12">
      <c r="A2487" s="93">
        <v>205522</v>
      </c>
      <c r="B2487" t="s">
        <v>3011</v>
      </c>
      <c r="C2487" t="s">
        <v>5606</v>
      </c>
      <c r="D2487" s="92" t="s">
        <v>428</v>
      </c>
      <c r="E2487" s="92" t="s">
        <v>428</v>
      </c>
      <c r="F2487" t="s">
        <v>428</v>
      </c>
      <c r="G2487" t="s">
        <v>428</v>
      </c>
      <c r="H2487" t="s">
        <v>5617</v>
      </c>
      <c r="I2487">
        <v>0</v>
      </c>
      <c r="J2487" t="s">
        <v>87</v>
      </c>
      <c r="K2487">
        <v>0</v>
      </c>
      <c r="L2487">
        <v>0</v>
      </c>
    </row>
    <row r="2488" spans="1:12">
      <c r="A2488" s="93">
        <v>205559</v>
      </c>
      <c r="B2488" t="s">
        <v>3012</v>
      </c>
      <c r="C2488" t="s">
        <v>5606</v>
      </c>
      <c r="D2488" s="92" t="s">
        <v>428</v>
      </c>
      <c r="E2488" s="92" t="s">
        <v>428</v>
      </c>
      <c r="F2488" t="s">
        <v>428</v>
      </c>
      <c r="G2488" t="s">
        <v>428</v>
      </c>
      <c r="H2488" t="s">
        <v>5617</v>
      </c>
      <c r="I2488">
        <v>0</v>
      </c>
      <c r="J2488" t="s">
        <v>87</v>
      </c>
      <c r="K2488">
        <v>0</v>
      </c>
      <c r="L2488">
        <v>0</v>
      </c>
    </row>
    <row r="2489" spans="1:12">
      <c r="A2489" s="93">
        <v>205610</v>
      </c>
      <c r="B2489" t="s">
        <v>3013</v>
      </c>
      <c r="C2489" t="s">
        <v>5607</v>
      </c>
      <c r="D2489" s="92" t="s">
        <v>428</v>
      </c>
      <c r="E2489" s="92" t="s">
        <v>428</v>
      </c>
      <c r="F2489" t="s">
        <v>428</v>
      </c>
      <c r="G2489" t="s">
        <v>428</v>
      </c>
      <c r="H2489" t="s">
        <v>5617</v>
      </c>
      <c r="I2489">
        <v>0</v>
      </c>
      <c r="J2489" t="s">
        <v>87</v>
      </c>
      <c r="K2489">
        <v>0</v>
      </c>
      <c r="L2489">
        <v>0</v>
      </c>
    </row>
    <row r="2490" spans="1:12">
      <c r="A2490" s="93">
        <v>205647</v>
      </c>
      <c r="B2490" t="s">
        <v>3014</v>
      </c>
      <c r="C2490" t="s">
        <v>5607</v>
      </c>
      <c r="D2490" s="92" t="s">
        <v>428</v>
      </c>
      <c r="E2490" s="92" t="s">
        <v>428</v>
      </c>
      <c r="F2490" t="s">
        <v>428</v>
      </c>
      <c r="G2490" t="s">
        <v>428</v>
      </c>
      <c r="H2490" t="s">
        <v>5617</v>
      </c>
      <c r="I2490">
        <v>0</v>
      </c>
      <c r="J2490" t="s">
        <v>87</v>
      </c>
      <c r="K2490">
        <v>0</v>
      </c>
      <c r="L2490">
        <v>0</v>
      </c>
    </row>
    <row r="2491" spans="1:12">
      <c r="A2491" s="93">
        <v>205841</v>
      </c>
      <c r="B2491" t="s">
        <v>3015</v>
      </c>
      <c r="C2491" t="s">
        <v>5606</v>
      </c>
      <c r="D2491" s="92">
        <v>0.17</v>
      </c>
      <c r="E2491" s="92">
        <v>0.12</v>
      </c>
      <c r="F2491" t="s">
        <v>428</v>
      </c>
      <c r="G2491" t="s">
        <v>428</v>
      </c>
      <c r="H2491" t="s">
        <v>5615</v>
      </c>
      <c r="I2491">
        <v>0</v>
      </c>
      <c r="J2491" t="s">
        <v>87</v>
      </c>
      <c r="K2491">
        <v>0</v>
      </c>
      <c r="L2491">
        <v>0</v>
      </c>
    </row>
    <row r="2492" spans="1:12">
      <c r="A2492" s="93">
        <v>205887</v>
      </c>
      <c r="B2492" t="s">
        <v>3016</v>
      </c>
      <c r="C2492" t="s">
        <v>5606</v>
      </c>
      <c r="D2492" s="92" t="s">
        <v>428</v>
      </c>
      <c r="E2492" s="92" t="s">
        <v>428</v>
      </c>
      <c r="F2492" t="s">
        <v>428</v>
      </c>
      <c r="G2492" t="s">
        <v>428</v>
      </c>
      <c r="H2492" t="s">
        <v>5617</v>
      </c>
      <c r="I2492">
        <v>0</v>
      </c>
      <c r="J2492" t="s">
        <v>87</v>
      </c>
      <c r="K2492">
        <v>0</v>
      </c>
      <c r="L2492">
        <v>0</v>
      </c>
    </row>
    <row r="2493" spans="1:12">
      <c r="A2493" s="93">
        <v>205957</v>
      </c>
      <c r="B2493" t="s">
        <v>3017</v>
      </c>
      <c r="C2493" t="s">
        <v>5603</v>
      </c>
      <c r="D2493" s="92">
        <v>0.76</v>
      </c>
      <c r="E2493" s="92">
        <v>0.6899999999999999</v>
      </c>
      <c r="F2493">
        <v>22</v>
      </c>
      <c r="G2493">
        <v>25</v>
      </c>
      <c r="H2493" t="s">
        <v>5617</v>
      </c>
      <c r="I2493">
        <v>0</v>
      </c>
      <c r="J2493" t="s">
        <v>87</v>
      </c>
      <c r="K2493">
        <v>0</v>
      </c>
      <c r="L2493">
        <v>0</v>
      </c>
    </row>
    <row r="2494" spans="1:12">
      <c r="A2494" s="93">
        <v>205966</v>
      </c>
      <c r="B2494" t="s">
        <v>3018</v>
      </c>
      <c r="C2494" t="s">
        <v>5606</v>
      </c>
      <c r="D2494" s="92">
        <v>0.32</v>
      </c>
      <c r="E2494" s="92">
        <v>0.32</v>
      </c>
      <c r="F2494" t="s">
        <v>428</v>
      </c>
      <c r="G2494" t="s">
        <v>428</v>
      </c>
      <c r="H2494" t="s">
        <v>5615</v>
      </c>
      <c r="I2494">
        <v>0</v>
      </c>
      <c r="J2494" t="s">
        <v>87</v>
      </c>
      <c r="K2494">
        <v>0</v>
      </c>
      <c r="L2494">
        <v>0</v>
      </c>
    </row>
    <row r="2495" spans="1:12">
      <c r="A2495" s="93">
        <v>206011</v>
      </c>
      <c r="B2495" t="s">
        <v>3019</v>
      </c>
      <c r="C2495" t="s">
        <v>5606</v>
      </c>
      <c r="D2495" s="92">
        <v>0.2</v>
      </c>
      <c r="E2495" s="92">
        <v>0.2</v>
      </c>
      <c r="F2495" t="s">
        <v>428</v>
      </c>
      <c r="G2495" t="s">
        <v>428</v>
      </c>
      <c r="H2495" t="s">
        <v>5615</v>
      </c>
      <c r="I2495">
        <v>0</v>
      </c>
      <c r="J2495" t="s">
        <v>87</v>
      </c>
      <c r="K2495">
        <v>0</v>
      </c>
      <c r="L2495">
        <v>0</v>
      </c>
    </row>
    <row r="2496" spans="1:12">
      <c r="A2496" s="93">
        <v>206039</v>
      </c>
      <c r="B2496" t="s">
        <v>3020</v>
      </c>
      <c r="C2496" t="s">
        <v>5606</v>
      </c>
      <c r="D2496" s="92" t="s">
        <v>428</v>
      </c>
      <c r="E2496" s="92" t="s">
        <v>428</v>
      </c>
      <c r="F2496" t="s">
        <v>428</v>
      </c>
      <c r="G2496" t="s">
        <v>428</v>
      </c>
      <c r="H2496" t="s">
        <v>5624</v>
      </c>
      <c r="I2496">
        <v>1</v>
      </c>
      <c r="J2496" t="s">
        <v>87</v>
      </c>
      <c r="K2496">
        <v>0</v>
      </c>
      <c r="L2496">
        <v>0</v>
      </c>
    </row>
    <row r="2497" spans="1:12">
      <c r="A2497" s="93">
        <v>206048</v>
      </c>
      <c r="B2497" t="s">
        <v>3021</v>
      </c>
      <c r="C2497" t="s">
        <v>5602</v>
      </c>
      <c r="D2497" s="92">
        <v>0.44</v>
      </c>
      <c r="E2497" s="92">
        <v>0.29</v>
      </c>
      <c r="F2497" t="s">
        <v>428</v>
      </c>
      <c r="G2497" t="s">
        <v>428</v>
      </c>
      <c r="H2497" t="s">
        <v>5617</v>
      </c>
      <c r="I2497">
        <v>0</v>
      </c>
      <c r="J2497" t="s">
        <v>87</v>
      </c>
      <c r="K2497">
        <v>0</v>
      </c>
      <c r="L2497">
        <v>0</v>
      </c>
    </row>
    <row r="2498" spans="1:12">
      <c r="A2498" s="93">
        <v>206084</v>
      </c>
      <c r="B2498" t="s">
        <v>3022</v>
      </c>
      <c r="C2498" t="s">
        <v>5604</v>
      </c>
      <c r="D2498" s="92">
        <v>0.43</v>
      </c>
      <c r="E2498" s="92">
        <v>0.23</v>
      </c>
      <c r="F2498">
        <v>20</v>
      </c>
      <c r="G2498">
        <v>23</v>
      </c>
      <c r="H2498" t="s">
        <v>5617</v>
      </c>
      <c r="I2498">
        <v>0</v>
      </c>
      <c r="J2498" t="s">
        <v>87</v>
      </c>
      <c r="K2498">
        <v>0</v>
      </c>
      <c r="L2498">
        <v>0</v>
      </c>
    </row>
    <row r="2499" spans="1:12">
      <c r="A2499" s="93">
        <v>206154</v>
      </c>
      <c r="B2499" t="s">
        <v>3023</v>
      </c>
      <c r="C2499" t="s">
        <v>5604</v>
      </c>
      <c r="D2499" s="92">
        <v>0.57</v>
      </c>
      <c r="E2499" s="92">
        <v>0.33</v>
      </c>
      <c r="F2499" t="s">
        <v>428</v>
      </c>
      <c r="G2499" t="s">
        <v>428</v>
      </c>
      <c r="H2499" t="s">
        <v>5617</v>
      </c>
      <c r="I2499">
        <v>0</v>
      </c>
      <c r="J2499" t="s">
        <v>87</v>
      </c>
      <c r="K2499">
        <v>0</v>
      </c>
      <c r="L2499">
        <v>0</v>
      </c>
    </row>
    <row r="2500" spans="1:12">
      <c r="A2500" s="93">
        <v>206172</v>
      </c>
      <c r="B2500" t="s">
        <v>3024</v>
      </c>
      <c r="C2500" t="s">
        <v>5606</v>
      </c>
      <c r="D2500" s="92" t="s">
        <v>428</v>
      </c>
      <c r="E2500" s="92" t="s">
        <v>428</v>
      </c>
      <c r="F2500" t="s">
        <v>428</v>
      </c>
      <c r="G2500" t="s">
        <v>428</v>
      </c>
      <c r="H2500" t="s">
        <v>5615</v>
      </c>
      <c r="I2500">
        <v>0</v>
      </c>
      <c r="J2500" t="s">
        <v>87</v>
      </c>
      <c r="K2500">
        <v>0</v>
      </c>
      <c r="L2500">
        <v>0</v>
      </c>
    </row>
    <row r="2501" spans="1:12">
      <c r="A2501" s="93">
        <v>206215</v>
      </c>
      <c r="B2501" t="s">
        <v>3025</v>
      </c>
      <c r="C2501" t="s">
        <v>5607</v>
      </c>
      <c r="D2501" s="92" t="s">
        <v>428</v>
      </c>
      <c r="E2501" s="92" t="s">
        <v>428</v>
      </c>
      <c r="F2501" t="s">
        <v>428</v>
      </c>
      <c r="G2501" t="s">
        <v>428</v>
      </c>
      <c r="H2501" t="s">
        <v>5615</v>
      </c>
      <c r="I2501">
        <v>0</v>
      </c>
      <c r="J2501" t="s">
        <v>87</v>
      </c>
      <c r="K2501">
        <v>0</v>
      </c>
      <c r="L2501">
        <v>0</v>
      </c>
    </row>
    <row r="2502" spans="1:12">
      <c r="A2502" s="93">
        <v>206224</v>
      </c>
      <c r="B2502" t="s">
        <v>3026</v>
      </c>
      <c r="C2502" t="s">
        <v>5606</v>
      </c>
      <c r="D2502" s="92" t="s">
        <v>428</v>
      </c>
      <c r="E2502" s="92" t="s">
        <v>428</v>
      </c>
      <c r="F2502" t="s">
        <v>428</v>
      </c>
      <c r="G2502" t="s">
        <v>428</v>
      </c>
      <c r="H2502" t="s">
        <v>5617</v>
      </c>
      <c r="I2502">
        <v>0</v>
      </c>
      <c r="J2502" t="s">
        <v>87</v>
      </c>
      <c r="K2502">
        <v>0</v>
      </c>
      <c r="L2502">
        <v>0</v>
      </c>
    </row>
    <row r="2503" spans="1:12">
      <c r="A2503" s="93">
        <v>206279</v>
      </c>
      <c r="B2503" t="s">
        <v>3027</v>
      </c>
      <c r="C2503" t="s">
        <v>5610</v>
      </c>
      <c r="D2503" s="92">
        <v>0.16</v>
      </c>
      <c r="E2503" s="92">
        <v>0.05</v>
      </c>
      <c r="F2503" t="s">
        <v>428</v>
      </c>
      <c r="G2503" t="s">
        <v>428</v>
      </c>
      <c r="H2503" t="s">
        <v>5617</v>
      </c>
      <c r="I2503">
        <v>0</v>
      </c>
      <c r="J2503" t="s">
        <v>87</v>
      </c>
      <c r="K2503">
        <v>0</v>
      </c>
      <c r="L2503">
        <v>0</v>
      </c>
    </row>
    <row r="2504" spans="1:12">
      <c r="A2504" s="93">
        <v>206288</v>
      </c>
      <c r="B2504" t="s">
        <v>3028</v>
      </c>
      <c r="C2504" t="s">
        <v>5607</v>
      </c>
      <c r="D2504" s="92" t="s">
        <v>428</v>
      </c>
      <c r="E2504" s="92" t="s">
        <v>428</v>
      </c>
      <c r="F2504" t="s">
        <v>428</v>
      </c>
      <c r="G2504" t="s">
        <v>428</v>
      </c>
      <c r="H2504" t="s">
        <v>5615</v>
      </c>
      <c r="I2504">
        <v>0</v>
      </c>
      <c r="J2504" t="s">
        <v>87</v>
      </c>
      <c r="K2504">
        <v>0</v>
      </c>
      <c r="L2504">
        <v>0</v>
      </c>
    </row>
    <row r="2505" spans="1:12">
      <c r="A2505" s="93">
        <v>206330</v>
      </c>
      <c r="B2505" t="s">
        <v>3029</v>
      </c>
      <c r="C2505" t="s">
        <v>5602</v>
      </c>
      <c r="D2505" s="92">
        <v>0.35</v>
      </c>
      <c r="E2505" s="92">
        <v>0.21</v>
      </c>
      <c r="F2505">
        <v>17</v>
      </c>
      <c r="G2505">
        <v>19</v>
      </c>
      <c r="H2505" t="s">
        <v>5617</v>
      </c>
      <c r="I2505">
        <v>0</v>
      </c>
      <c r="J2505" t="s">
        <v>87</v>
      </c>
      <c r="K2505">
        <v>0</v>
      </c>
      <c r="L2505">
        <v>0</v>
      </c>
    </row>
    <row r="2506" spans="1:12">
      <c r="A2506" s="93">
        <v>206349</v>
      </c>
      <c r="B2506" t="s">
        <v>3030</v>
      </c>
      <c r="C2506" t="s">
        <v>5608</v>
      </c>
      <c r="D2506" s="92">
        <v>0.46</v>
      </c>
      <c r="E2506" s="92">
        <v>0.27</v>
      </c>
      <c r="F2506">
        <v>19</v>
      </c>
      <c r="G2506">
        <v>21.5</v>
      </c>
      <c r="H2506" t="s">
        <v>5616</v>
      </c>
      <c r="I2506">
        <v>0</v>
      </c>
      <c r="J2506" t="s">
        <v>87</v>
      </c>
      <c r="K2506">
        <v>0</v>
      </c>
      <c r="L2506">
        <v>0</v>
      </c>
    </row>
    <row r="2507" spans="1:12">
      <c r="A2507" s="93">
        <v>206394</v>
      </c>
      <c r="B2507" t="s">
        <v>3031</v>
      </c>
      <c r="C2507" t="s">
        <v>5607</v>
      </c>
      <c r="D2507" s="92">
        <v>0.43</v>
      </c>
      <c r="E2507" s="92">
        <v>0.06</v>
      </c>
      <c r="F2507" t="s">
        <v>428</v>
      </c>
      <c r="G2507" t="s">
        <v>428</v>
      </c>
      <c r="H2507" t="s">
        <v>5617</v>
      </c>
      <c r="I2507">
        <v>0</v>
      </c>
      <c r="J2507" t="s">
        <v>87</v>
      </c>
      <c r="K2507">
        <v>0</v>
      </c>
      <c r="L2507">
        <v>0</v>
      </c>
    </row>
    <row r="2508" spans="1:12">
      <c r="A2508" s="93">
        <v>206437</v>
      </c>
      <c r="B2508" t="s">
        <v>550</v>
      </c>
      <c r="C2508" t="s">
        <v>5602</v>
      </c>
      <c r="D2508" s="92">
        <v>0.58</v>
      </c>
      <c r="E2508" s="92">
        <v>0.38</v>
      </c>
      <c r="F2508">
        <v>19</v>
      </c>
      <c r="G2508">
        <v>22</v>
      </c>
      <c r="H2508" t="s">
        <v>5616</v>
      </c>
      <c r="I2508">
        <v>0</v>
      </c>
      <c r="J2508" t="s">
        <v>87</v>
      </c>
      <c r="K2508">
        <v>0</v>
      </c>
      <c r="L2508">
        <v>0</v>
      </c>
    </row>
    <row r="2509" spans="1:12">
      <c r="A2509" s="93">
        <v>206446</v>
      </c>
      <c r="B2509" t="s">
        <v>3032</v>
      </c>
      <c r="C2509" t="s">
        <v>5606</v>
      </c>
      <c r="D2509" s="92" t="s">
        <v>428</v>
      </c>
      <c r="E2509" s="92" t="s">
        <v>428</v>
      </c>
      <c r="F2509" t="s">
        <v>428</v>
      </c>
      <c r="G2509" t="s">
        <v>428</v>
      </c>
      <c r="H2509" t="s">
        <v>5615</v>
      </c>
      <c r="I2509">
        <v>0</v>
      </c>
      <c r="J2509" t="s">
        <v>87</v>
      </c>
      <c r="K2509">
        <v>0</v>
      </c>
      <c r="L2509">
        <v>0</v>
      </c>
    </row>
    <row r="2510" spans="1:12">
      <c r="A2510" s="93">
        <v>206482</v>
      </c>
      <c r="B2510" t="s">
        <v>3033</v>
      </c>
      <c r="C2510" t="s">
        <v>5606</v>
      </c>
      <c r="D2510" s="92" t="s">
        <v>428</v>
      </c>
      <c r="E2510" s="92" t="s">
        <v>428</v>
      </c>
      <c r="F2510" t="s">
        <v>428</v>
      </c>
      <c r="G2510" t="s">
        <v>428</v>
      </c>
      <c r="H2510" t="s">
        <v>5616</v>
      </c>
      <c r="I2510">
        <v>0</v>
      </c>
      <c r="J2510" t="s">
        <v>87</v>
      </c>
      <c r="K2510">
        <v>0</v>
      </c>
      <c r="L2510">
        <v>0</v>
      </c>
    </row>
    <row r="2511" spans="1:12">
      <c r="A2511" s="93">
        <v>206491</v>
      </c>
      <c r="B2511" t="s">
        <v>3034</v>
      </c>
      <c r="C2511" t="s">
        <v>5602</v>
      </c>
      <c r="D2511" s="92">
        <v>0.21</v>
      </c>
      <c r="E2511" s="92">
        <v>0.38</v>
      </c>
      <c r="F2511">
        <v>15</v>
      </c>
      <c r="G2511">
        <v>17</v>
      </c>
      <c r="H2511" t="s">
        <v>5617</v>
      </c>
      <c r="I2511">
        <v>0</v>
      </c>
      <c r="J2511" t="s">
        <v>138</v>
      </c>
      <c r="K2511">
        <v>0</v>
      </c>
      <c r="L2511">
        <v>0</v>
      </c>
    </row>
    <row r="2512" spans="1:12">
      <c r="A2512" s="93">
        <v>206507</v>
      </c>
      <c r="B2512" t="s">
        <v>3035</v>
      </c>
      <c r="C2512" t="s">
        <v>5602</v>
      </c>
      <c r="D2512" s="92">
        <v>0.51</v>
      </c>
      <c r="E2512" s="92">
        <v>0.32</v>
      </c>
      <c r="F2512">
        <v>18</v>
      </c>
      <c r="G2512">
        <v>20.5</v>
      </c>
      <c r="H2512" t="s">
        <v>5617</v>
      </c>
      <c r="I2512">
        <v>0</v>
      </c>
      <c r="J2512" t="s">
        <v>87</v>
      </c>
      <c r="K2512">
        <v>0</v>
      </c>
      <c r="L2512">
        <v>0</v>
      </c>
    </row>
    <row r="2513" spans="1:12">
      <c r="A2513" s="93">
        <v>206516</v>
      </c>
      <c r="B2513" t="s">
        <v>3036</v>
      </c>
      <c r="C2513" t="s">
        <v>5607</v>
      </c>
      <c r="D2513" s="92" t="s">
        <v>428</v>
      </c>
      <c r="E2513" s="92" t="s">
        <v>428</v>
      </c>
      <c r="F2513" t="s">
        <v>428</v>
      </c>
      <c r="G2513" t="s">
        <v>428</v>
      </c>
      <c r="H2513" t="s">
        <v>5615</v>
      </c>
      <c r="I2513">
        <v>0</v>
      </c>
      <c r="J2513" t="s">
        <v>87</v>
      </c>
      <c r="K2513">
        <v>0</v>
      </c>
      <c r="L2513">
        <v>0</v>
      </c>
    </row>
    <row r="2514" spans="1:12">
      <c r="A2514" s="93">
        <v>206525</v>
      </c>
      <c r="B2514" t="s">
        <v>3037</v>
      </c>
      <c r="C2514" t="s">
        <v>5602</v>
      </c>
      <c r="D2514" s="92">
        <v>0.67</v>
      </c>
      <c r="E2514" s="92">
        <v>0.42</v>
      </c>
      <c r="F2514" t="s">
        <v>428</v>
      </c>
      <c r="G2514" t="s">
        <v>428</v>
      </c>
      <c r="H2514" t="s">
        <v>5617</v>
      </c>
      <c r="I2514">
        <v>0</v>
      </c>
      <c r="J2514" t="s">
        <v>87</v>
      </c>
      <c r="K2514">
        <v>0</v>
      </c>
      <c r="L2514">
        <v>0</v>
      </c>
    </row>
    <row r="2515" spans="1:12">
      <c r="A2515" s="93">
        <v>206589</v>
      </c>
      <c r="B2515" t="s">
        <v>470</v>
      </c>
      <c r="C2515" t="s">
        <v>5603</v>
      </c>
      <c r="D2515" s="92">
        <v>0.78</v>
      </c>
      <c r="E2515" s="92">
        <v>0.6899999999999999</v>
      </c>
      <c r="F2515">
        <v>24</v>
      </c>
      <c r="G2515">
        <v>27</v>
      </c>
      <c r="H2515" t="s">
        <v>5621</v>
      </c>
      <c r="I2515">
        <v>1</v>
      </c>
      <c r="J2515" t="s">
        <v>87</v>
      </c>
      <c r="K2515">
        <v>0</v>
      </c>
      <c r="L2515">
        <v>0</v>
      </c>
    </row>
    <row r="2516" spans="1:12">
      <c r="A2516" s="93">
        <v>206604</v>
      </c>
      <c r="B2516" t="s">
        <v>3038</v>
      </c>
      <c r="C2516" t="s">
        <v>5602</v>
      </c>
      <c r="D2516" s="92">
        <v>0.35</v>
      </c>
      <c r="E2516" s="92">
        <v>0.2</v>
      </c>
      <c r="F2516">
        <v>18</v>
      </c>
      <c r="G2516">
        <v>21.5</v>
      </c>
      <c r="H2516" t="s">
        <v>5615</v>
      </c>
      <c r="I2516">
        <v>0</v>
      </c>
      <c r="J2516" t="s">
        <v>87</v>
      </c>
      <c r="K2516">
        <v>0</v>
      </c>
      <c r="L2516">
        <v>0</v>
      </c>
    </row>
    <row r="2517" spans="1:12">
      <c r="A2517" s="93">
        <v>206613</v>
      </c>
      <c r="B2517" t="s">
        <v>3039</v>
      </c>
      <c r="C2517" t="s">
        <v>5604</v>
      </c>
      <c r="D2517" s="92">
        <v>0.29</v>
      </c>
      <c r="E2517" s="92">
        <v>0.06</v>
      </c>
      <c r="F2517">
        <v>19</v>
      </c>
      <c r="G2517">
        <v>21.5</v>
      </c>
      <c r="H2517" t="s">
        <v>5615</v>
      </c>
      <c r="I2517">
        <v>0</v>
      </c>
      <c r="J2517" t="s">
        <v>87</v>
      </c>
      <c r="K2517">
        <v>0</v>
      </c>
      <c r="L2517">
        <v>0</v>
      </c>
    </row>
    <row r="2518" spans="1:12">
      <c r="A2518" s="93">
        <v>206622</v>
      </c>
      <c r="B2518" t="s">
        <v>3040</v>
      </c>
      <c r="C2518" t="s">
        <v>5602</v>
      </c>
      <c r="D2518" s="92">
        <v>0.72</v>
      </c>
      <c r="E2518" s="92">
        <v>0.58</v>
      </c>
      <c r="F2518">
        <v>23</v>
      </c>
      <c r="G2518">
        <v>25.5</v>
      </c>
      <c r="H2518" t="s">
        <v>5626</v>
      </c>
      <c r="I2518">
        <v>0</v>
      </c>
      <c r="J2518" t="s">
        <v>87</v>
      </c>
      <c r="K2518">
        <v>0</v>
      </c>
      <c r="L2518">
        <v>0</v>
      </c>
    </row>
    <row r="2519" spans="1:12">
      <c r="A2519" s="93">
        <v>206631</v>
      </c>
      <c r="B2519" t="s">
        <v>3041</v>
      </c>
      <c r="C2519" t="s">
        <v>5607</v>
      </c>
      <c r="D2519" s="92" t="s">
        <v>428</v>
      </c>
      <c r="E2519" s="92" t="s">
        <v>428</v>
      </c>
      <c r="F2519" t="s">
        <v>428</v>
      </c>
      <c r="G2519" t="s">
        <v>428</v>
      </c>
      <c r="H2519" t="s">
        <v>5617</v>
      </c>
      <c r="I2519">
        <v>0</v>
      </c>
      <c r="J2519" t="s">
        <v>87</v>
      </c>
      <c r="K2519">
        <v>0</v>
      </c>
      <c r="L2519">
        <v>0</v>
      </c>
    </row>
    <row r="2520" spans="1:12">
      <c r="A2520" s="93">
        <v>206695</v>
      </c>
      <c r="B2520" t="s">
        <v>3042</v>
      </c>
      <c r="C2520" t="s">
        <v>5602</v>
      </c>
      <c r="D2520" s="92">
        <v>0.31</v>
      </c>
      <c r="E2520" s="92">
        <v>0.1</v>
      </c>
      <c r="F2520">
        <v>18</v>
      </c>
      <c r="G2520">
        <v>21.5</v>
      </c>
      <c r="H2520" t="s">
        <v>5615</v>
      </c>
      <c r="I2520">
        <v>0</v>
      </c>
      <c r="J2520" t="s">
        <v>87</v>
      </c>
      <c r="K2520">
        <v>0</v>
      </c>
      <c r="L2520">
        <v>0</v>
      </c>
    </row>
    <row r="2521" spans="1:12">
      <c r="A2521" s="93">
        <v>206817</v>
      </c>
      <c r="B2521" t="s">
        <v>3043</v>
      </c>
      <c r="C2521" t="s">
        <v>5604</v>
      </c>
      <c r="D2521" s="92">
        <v>0.09</v>
      </c>
      <c r="E2521" s="92">
        <v>0.11</v>
      </c>
      <c r="F2521">
        <v>15</v>
      </c>
      <c r="G2521">
        <v>17</v>
      </c>
      <c r="H2521" t="s">
        <v>5617</v>
      </c>
      <c r="I2521">
        <v>0</v>
      </c>
      <c r="J2521" t="s">
        <v>87</v>
      </c>
      <c r="K2521">
        <v>0</v>
      </c>
      <c r="L2521">
        <v>0</v>
      </c>
    </row>
    <row r="2522" spans="1:12">
      <c r="A2522" s="93">
        <v>206835</v>
      </c>
      <c r="B2522" t="s">
        <v>3044</v>
      </c>
      <c r="C2522" t="s">
        <v>5602</v>
      </c>
      <c r="D2522" s="92">
        <v>0.42</v>
      </c>
      <c r="E2522" s="92">
        <v>0.19</v>
      </c>
      <c r="F2522">
        <v>18</v>
      </c>
      <c r="G2522">
        <v>20.5</v>
      </c>
      <c r="H2522" t="s">
        <v>5617</v>
      </c>
      <c r="I2522">
        <v>0</v>
      </c>
      <c r="J2522" t="s">
        <v>87</v>
      </c>
      <c r="K2522">
        <v>0</v>
      </c>
      <c r="L2522">
        <v>0</v>
      </c>
    </row>
    <row r="2523" spans="1:12">
      <c r="A2523" s="93">
        <v>206862</v>
      </c>
      <c r="B2523" t="s">
        <v>3045</v>
      </c>
      <c r="C2523" t="s">
        <v>5604</v>
      </c>
      <c r="D2523" s="92">
        <v>0.42</v>
      </c>
      <c r="E2523" s="92">
        <v>0.17</v>
      </c>
      <c r="F2523" t="s">
        <v>428</v>
      </c>
      <c r="G2523" t="s">
        <v>428</v>
      </c>
      <c r="H2523" t="s">
        <v>5617</v>
      </c>
      <c r="I2523">
        <v>0</v>
      </c>
      <c r="J2523" t="s">
        <v>87</v>
      </c>
      <c r="K2523">
        <v>0</v>
      </c>
      <c r="L2523">
        <v>0</v>
      </c>
    </row>
    <row r="2524" spans="1:12">
      <c r="A2524" s="93">
        <v>206914</v>
      </c>
      <c r="B2524" t="s">
        <v>3046</v>
      </c>
      <c r="C2524" t="s">
        <v>5604</v>
      </c>
      <c r="D2524" s="92">
        <v>0.23</v>
      </c>
      <c r="E2524" s="92">
        <v>0.18</v>
      </c>
      <c r="F2524" t="s">
        <v>428</v>
      </c>
      <c r="G2524" t="s">
        <v>428</v>
      </c>
      <c r="H2524" t="s">
        <v>5615</v>
      </c>
      <c r="I2524">
        <v>0</v>
      </c>
      <c r="J2524" t="s">
        <v>87</v>
      </c>
      <c r="K2524">
        <v>0</v>
      </c>
      <c r="L2524">
        <v>0</v>
      </c>
    </row>
    <row r="2525" spans="1:12">
      <c r="A2525" s="93">
        <v>206923</v>
      </c>
      <c r="B2525" t="s">
        <v>3047</v>
      </c>
      <c r="C2525" t="s">
        <v>5606</v>
      </c>
      <c r="D2525" s="92">
        <v>0.44</v>
      </c>
      <c r="E2525" s="92">
        <v>0.33</v>
      </c>
      <c r="F2525" t="s">
        <v>428</v>
      </c>
      <c r="G2525" t="s">
        <v>428</v>
      </c>
      <c r="H2525" t="s">
        <v>5615</v>
      </c>
      <c r="I2525">
        <v>0</v>
      </c>
      <c r="J2525" t="s">
        <v>87</v>
      </c>
      <c r="K2525">
        <v>0</v>
      </c>
      <c r="L2525">
        <v>0</v>
      </c>
    </row>
    <row r="2526" spans="1:12">
      <c r="A2526" s="93">
        <v>206941</v>
      </c>
      <c r="B2526" t="s">
        <v>3048</v>
      </c>
      <c r="C2526" t="s">
        <v>5602</v>
      </c>
      <c r="D2526" s="92">
        <v>0.38</v>
      </c>
      <c r="E2526" s="92">
        <v>0.33</v>
      </c>
      <c r="F2526">
        <v>19</v>
      </c>
      <c r="G2526">
        <v>21.5</v>
      </c>
      <c r="H2526" t="s">
        <v>5615</v>
      </c>
      <c r="I2526">
        <v>0</v>
      </c>
      <c r="J2526" t="s">
        <v>87</v>
      </c>
      <c r="K2526">
        <v>0</v>
      </c>
      <c r="L2526">
        <v>0</v>
      </c>
    </row>
    <row r="2527" spans="1:12">
      <c r="A2527" s="93">
        <v>206996</v>
      </c>
      <c r="B2527" t="s">
        <v>3049</v>
      </c>
      <c r="C2527" t="s">
        <v>5606</v>
      </c>
      <c r="D2527" s="92">
        <v>0.22</v>
      </c>
      <c r="E2527" s="92">
        <v>0.15</v>
      </c>
      <c r="F2527" t="s">
        <v>428</v>
      </c>
      <c r="G2527" t="s">
        <v>428</v>
      </c>
      <c r="H2527" t="s">
        <v>5615</v>
      </c>
      <c r="I2527">
        <v>0</v>
      </c>
      <c r="J2527" t="s">
        <v>87</v>
      </c>
      <c r="K2527">
        <v>0</v>
      </c>
      <c r="L2527">
        <v>0</v>
      </c>
    </row>
    <row r="2528" spans="1:12">
      <c r="A2528" s="93">
        <v>207041</v>
      </c>
      <c r="B2528" t="s">
        <v>3050</v>
      </c>
      <c r="C2528" t="s">
        <v>5602</v>
      </c>
      <c r="D2528" s="92">
        <v>0.34</v>
      </c>
      <c r="E2528" s="92">
        <v>0.32</v>
      </c>
      <c r="F2528">
        <v>17</v>
      </c>
      <c r="G2528">
        <v>20</v>
      </c>
      <c r="H2528" t="s">
        <v>5615</v>
      </c>
      <c r="I2528">
        <v>0</v>
      </c>
      <c r="J2528" t="s">
        <v>87</v>
      </c>
      <c r="K2528">
        <v>0</v>
      </c>
      <c r="L2528">
        <v>0</v>
      </c>
    </row>
    <row r="2529" spans="1:12">
      <c r="A2529" s="93">
        <v>207050</v>
      </c>
      <c r="B2529" t="s">
        <v>3051</v>
      </c>
      <c r="C2529" t="s">
        <v>5606</v>
      </c>
      <c r="D2529" s="92">
        <v>0.33</v>
      </c>
      <c r="E2529" s="92">
        <v>0.25</v>
      </c>
      <c r="F2529" t="s">
        <v>428</v>
      </c>
      <c r="G2529" t="s">
        <v>428</v>
      </c>
      <c r="H2529" t="s">
        <v>5615</v>
      </c>
      <c r="I2529">
        <v>0</v>
      </c>
      <c r="J2529" t="s">
        <v>87</v>
      </c>
      <c r="K2529">
        <v>0</v>
      </c>
      <c r="L2529">
        <v>0</v>
      </c>
    </row>
    <row r="2530" spans="1:12">
      <c r="A2530" s="93">
        <v>207069</v>
      </c>
      <c r="B2530" t="s">
        <v>3052</v>
      </c>
      <c r="C2530" t="s">
        <v>5606</v>
      </c>
      <c r="D2530" s="92">
        <v>0.34</v>
      </c>
      <c r="E2530" s="92">
        <v>0.2</v>
      </c>
      <c r="F2530" t="s">
        <v>428</v>
      </c>
      <c r="G2530" t="s">
        <v>428</v>
      </c>
      <c r="H2530" t="s">
        <v>5615</v>
      </c>
      <c r="I2530">
        <v>0</v>
      </c>
      <c r="J2530" t="s">
        <v>87</v>
      </c>
      <c r="K2530">
        <v>0</v>
      </c>
      <c r="L2530">
        <v>0</v>
      </c>
    </row>
    <row r="2531" spans="1:12">
      <c r="A2531" s="93">
        <v>207157</v>
      </c>
      <c r="B2531" t="s">
        <v>3053</v>
      </c>
      <c r="C2531" t="s">
        <v>5608</v>
      </c>
      <c r="D2531" s="92">
        <v>0.21</v>
      </c>
      <c r="E2531" s="92">
        <v>0</v>
      </c>
      <c r="F2531">
        <v>17</v>
      </c>
      <c r="G2531">
        <v>19.5</v>
      </c>
      <c r="H2531" t="s">
        <v>5616</v>
      </c>
      <c r="I2531">
        <v>0</v>
      </c>
      <c r="J2531" t="s">
        <v>87</v>
      </c>
      <c r="K2531">
        <v>0</v>
      </c>
      <c r="L2531">
        <v>0</v>
      </c>
    </row>
    <row r="2532" spans="1:12">
      <c r="A2532" s="93">
        <v>207209</v>
      </c>
      <c r="B2532" t="s">
        <v>3054</v>
      </c>
      <c r="C2532" t="s">
        <v>5602</v>
      </c>
      <c r="D2532" s="92">
        <v>0.18</v>
      </c>
      <c r="E2532" s="92">
        <v>0.33</v>
      </c>
      <c r="F2532" t="s">
        <v>428</v>
      </c>
      <c r="G2532" t="s">
        <v>428</v>
      </c>
      <c r="H2532" t="s">
        <v>5617</v>
      </c>
      <c r="I2532">
        <v>0</v>
      </c>
      <c r="J2532" t="s">
        <v>138</v>
      </c>
      <c r="K2532">
        <v>0</v>
      </c>
      <c r="L2532">
        <v>0</v>
      </c>
    </row>
    <row r="2533" spans="1:12">
      <c r="A2533" s="93">
        <v>207236</v>
      </c>
      <c r="B2533" t="s">
        <v>3055</v>
      </c>
      <c r="C2533" t="s">
        <v>5606</v>
      </c>
      <c r="D2533" s="92">
        <v>0.32</v>
      </c>
      <c r="E2533" s="92">
        <v>0.35</v>
      </c>
      <c r="F2533" t="s">
        <v>428</v>
      </c>
      <c r="G2533" t="s">
        <v>428</v>
      </c>
      <c r="H2533" t="s">
        <v>5615</v>
      </c>
      <c r="I2533">
        <v>0</v>
      </c>
      <c r="J2533" t="s">
        <v>87</v>
      </c>
      <c r="K2533">
        <v>0</v>
      </c>
      <c r="L2533">
        <v>0</v>
      </c>
    </row>
    <row r="2534" spans="1:12">
      <c r="A2534" s="93">
        <v>207254</v>
      </c>
      <c r="B2534" t="s">
        <v>3056</v>
      </c>
      <c r="C2534" t="s">
        <v>5604</v>
      </c>
      <c r="D2534" s="92">
        <v>0.82</v>
      </c>
      <c r="E2534" s="92">
        <v>0.5</v>
      </c>
      <c r="F2534" t="s">
        <v>428</v>
      </c>
      <c r="G2534" t="s">
        <v>428</v>
      </c>
      <c r="H2534" t="s">
        <v>5617</v>
      </c>
      <c r="I2534">
        <v>0</v>
      </c>
      <c r="J2534" t="s">
        <v>87</v>
      </c>
      <c r="K2534">
        <v>0</v>
      </c>
      <c r="L2534">
        <v>0</v>
      </c>
    </row>
    <row r="2535" spans="1:12">
      <c r="A2535" s="93">
        <v>207263</v>
      </c>
      <c r="B2535" t="s">
        <v>3057</v>
      </c>
      <c r="C2535" t="s">
        <v>5603</v>
      </c>
      <c r="D2535" s="92">
        <v>0.27</v>
      </c>
      <c r="E2535" s="92">
        <v>0.26</v>
      </c>
      <c r="F2535">
        <v>19</v>
      </c>
      <c r="G2535">
        <v>21.5</v>
      </c>
      <c r="H2535" t="s">
        <v>5615</v>
      </c>
      <c r="I2535">
        <v>0</v>
      </c>
      <c r="J2535" t="s">
        <v>87</v>
      </c>
      <c r="K2535">
        <v>0</v>
      </c>
      <c r="L2535">
        <v>0</v>
      </c>
    </row>
    <row r="2536" spans="1:12">
      <c r="A2536" s="93">
        <v>207281</v>
      </c>
      <c r="B2536" t="s">
        <v>3058</v>
      </c>
      <c r="C2536" t="s">
        <v>5606</v>
      </c>
      <c r="D2536" s="92">
        <v>0.37</v>
      </c>
      <c r="E2536" s="92">
        <v>0.32</v>
      </c>
      <c r="F2536" t="s">
        <v>428</v>
      </c>
      <c r="G2536" t="s">
        <v>428</v>
      </c>
      <c r="H2536" t="s">
        <v>5615</v>
      </c>
      <c r="I2536">
        <v>0</v>
      </c>
      <c r="J2536" t="s">
        <v>87</v>
      </c>
      <c r="K2536">
        <v>0</v>
      </c>
      <c r="L2536">
        <v>0</v>
      </c>
    </row>
    <row r="2537" spans="1:12">
      <c r="A2537" s="93">
        <v>207290</v>
      </c>
      <c r="B2537" t="s">
        <v>3059</v>
      </c>
      <c r="C2537" t="s">
        <v>5606</v>
      </c>
      <c r="D2537" s="92">
        <v>0.31</v>
      </c>
      <c r="E2537" s="92">
        <v>0.23</v>
      </c>
      <c r="F2537" t="s">
        <v>428</v>
      </c>
      <c r="G2537" t="s">
        <v>428</v>
      </c>
      <c r="H2537" t="s">
        <v>5615</v>
      </c>
      <c r="I2537">
        <v>0</v>
      </c>
      <c r="J2537" t="s">
        <v>87</v>
      </c>
      <c r="K2537">
        <v>0</v>
      </c>
      <c r="L2537">
        <v>0</v>
      </c>
    </row>
    <row r="2538" spans="1:12">
      <c r="A2538" s="93">
        <v>207306</v>
      </c>
      <c r="B2538" t="s">
        <v>3060</v>
      </c>
      <c r="C2538" t="s">
        <v>5604</v>
      </c>
      <c r="D2538" s="92">
        <v>0.26</v>
      </c>
      <c r="E2538" s="92">
        <v>0.12</v>
      </c>
      <c r="F2538">
        <v>18</v>
      </c>
      <c r="G2538">
        <v>20.5</v>
      </c>
      <c r="H2538" t="s">
        <v>5615</v>
      </c>
      <c r="I2538">
        <v>0</v>
      </c>
      <c r="J2538" t="s">
        <v>87</v>
      </c>
      <c r="K2538">
        <v>0</v>
      </c>
      <c r="L2538">
        <v>0</v>
      </c>
    </row>
    <row r="2539" spans="1:12">
      <c r="A2539" s="93">
        <v>207315</v>
      </c>
      <c r="B2539" t="s">
        <v>3061</v>
      </c>
      <c r="C2539" t="s">
        <v>5607</v>
      </c>
      <c r="D2539" s="92" t="s">
        <v>428</v>
      </c>
      <c r="E2539" s="92" t="s">
        <v>428</v>
      </c>
      <c r="F2539" t="s">
        <v>428</v>
      </c>
      <c r="G2539" t="s">
        <v>428</v>
      </c>
      <c r="H2539" t="s">
        <v>5615</v>
      </c>
      <c r="I2539">
        <v>0</v>
      </c>
      <c r="J2539" t="s">
        <v>87</v>
      </c>
      <c r="K2539">
        <v>0</v>
      </c>
      <c r="L2539">
        <v>0</v>
      </c>
    </row>
    <row r="2540" spans="1:12">
      <c r="A2540" s="93">
        <v>207324</v>
      </c>
      <c r="B2540" t="s">
        <v>3062</v>
      </c>
      <c r="C2540" t="s">
        <v>5603</v>
      </c>
      <c r="D2540" s="92">
        <v>0.49</v>
      </c>
      <c r="E2540" s="92">
        <v>0.3</v>
      </c>
      <c r="F2540">
        <v>21</v>
      </c>
      <c r="G2540">
        <v>24.5</v>
      </c>
      <c r="H2540" t="s">
        <v>5616</v>
      </c>
      <c r="I2540">
        <v>0</v>
      </c>
      <c r="J2540" t="s">
        <v>87</v>
      </c>
      <c r="K2540">
        <v>0</v>
      </c>
      <c r="L2540">
        <v>0</v>
      </c>
    </row>
    <row r="2541" spans="1:12">
      <c r="A2541" s="93">
        <v>207342</v>
      </c>
      <c r="B2541" t="s">
        <v>3063</v>
      </c>
      <c r="C2541" t="s">
        <v>5607</v>
      </c>
      <c r="D2541" s="92" t="s">
        <v>428</v>
      </c>
      <c r="E2541" s="92" t="s">
        <v>428</v>
      </c>
      <c r="F2541" t="s">
        <v>428</v>
      </c>
      <c r="G2541" t="s">
        <v>428</v>
      </c>
      <c r="H2541" t="s">
        <v>5615</v>
      </c>
      <c r="I2541">
        <v>0</v>
      </c>
      <c r="J2541" t="s">
        <v>87</v>
      </c>
      <c r="K2541">
        <v>0</v>
      </c>
      <c r="L2541">
        <v>0</v>
      </c>
    </row>
    <row r="2542" spans="1:12">
      <c r="A2542" s="93">
        <v>207351</v>
      </c>
      <c r="B2542" t="s">
        <v>3064</v>
      </c>
      <c r="C2542" t="s">
        <v>5604</v>
      </c>
      <c r="D2542" s="92">
        <v>0.32</v>
      </c>
      <c r="E2542" s="92">
        <v>0.2</v>
      </c>
      <c r="F2542" t="s">
        <v>428</v>
      </c>
      <c r="G2542" t="s">
        <v>428</v>
      </c>
      <c r="H2542" t="s">
        <v>5615</v>
      </c>
      <c r="I2542">
        <v>0</v>
      </c>
      <c r="J2542" t="s">
        <v>87</v>
      </c>
      <c r="K2542">
        <v>0</v>
      </c>
      <c r="L2542">
        <v>0</v>
      </c>
    </row>
    <row r="2543" spans="1:12">
      <c r="A2543" s="93">
        <v>207388</v>
      </c>
      <c r="B2543" t="s">
        <v>3065</v>
      </c>
      <c r="C2543" t="s">
        <v>5603</v>
      </c>
      <c r="D2543" s="92">
        <v>0.63</v>
      </c>
      <c r="E2543" s="92">
        <v>0.49</v>
      </c>
      <c r="F2543">
        <v>21</v>
      </c>
      <c r="G2543">
        <v>24</v>
      </c>
      <c r="H2543" t="s">
        <v>5615</v>
      </c>
      <c r="I2543">
        <v>0</v>
      </c>
      <c r="J2543" t="s">
        <v>87</v>
      </c>
      <c r="K2543">
        <v>0</v>
      </c>
      <c r="L2543">
        <v>0</v>
      </c>
    </row>
    <row r="2544" spans="1:12">
      <c r="A2544" s="93">
        <v>207397</v>
      </c>
      <c r="B2544" t="s">
        <v>3066</v>
      </c>
      <c r="C2544" t="s">
        <v>5604</v>
      </c>
      <c r="D2544" s="92" t="s">
        <v>428</v>
      </c>
      <c r="E2544" s="92" t="s">
        <v>428</v>
      </c>
      <c r="F2544" t="s">
        <v>428</v>
      </c>
      <c r="G2544" t="s">
        <v>428</v>
      </c>
      <c r="H2544" t="s">
        <v>5615</v>
      </c>
      <c r="I2544">
        <v>0</v>
      </c>
      <c r="J2544" t="s">
        <v>87</v>
      </c>
      <c r="K2544">
        <v>0</v>
      </c>
      <c r="L2544">
        <v>0</v>
      </c>
    </row>
    <row r="2545" spans="1:12">
      <c r="A2545" s="93">
        <v>207403</v>
      </c>
      <c r="B2545" t="s">
        <v>3067</v>
      </c>
      <c r="C2545" t="s">
        <v>5602</v>
      </c>
      <c r="D2545" s="92">
        <v>0.53</v>
      </c>
      <c r="E2545" s="92">
        <v>0.41</v>
      </c>
      <c r="F2545">
        <v>20</v>
      </c>
      <c r="G2545">
        <v>23</v>
      </c>
      <c r="H2545" t="s">
        <v>5616</v>
      </c>
      <c r="I2545">
        <v>0</v>
      </c>
      <c r="J2545" t="s">
        <v>87</v>
      </c>
      <c r="K2545">
        <v>0</v>
      </c>
      <c r="L2545">
        <v>0</v>
      </c>
    </row>
    <row r="2546" spans="1:12">
      <c r="A2546" s="93">
        <v>207449</v>
      </c>
      <c r="B2546" t="s">
        <v>3068</v>
      </c>
      <c r="C2546" t="s">
        <v>5606</v>
      </c>
      <c r="D2546" s="92">
        <v>0.2</v>
      </c>
      <c r="E2546" s="92">
        <v>0.15</v>
      </c>
      <c r="F2546" t="s">
        <v>428</v>
      </c>
      <c r="G2546" t="s">
        <v>428</v>
      </c>
      <c r="H2546" t="s">
        <v>5615</v>
      </c>
      <c r="I2546">
        <v>0</v>
      </c>
      <c r="J2546" t="s">
        <v>87</v>
      </c>
      <c r="K2546">
        <v>0</v>
      </c>
      <c r="L2546">
        <v>0</v>
      </c>
    </row>
    <row r="2547" spans="1:12">
      <c r="A2547" s="93">
        <v>207458</v>
      </c>
      <c r="B2547" t="s">
        <v>3069</v>
      </c>
      <c r="C2547" t="s">
        <v>5603</v>
      </c>
      <c r="D2547" s="92">
        <v>0.59</v>
      </c>
      <c r="E2547" s="92">
        <v>0.5</v>
      </c>
      <c r="F2547">
        <v>22</v>
      </c>
      <c r="G2547">
        <v>25.5</v>
      </c>
      <c r="H2547" t="s">
        <v>5617</v>
      </c>
      <c r="I2547">
        <v>0</v>
      </c>
      <c r="J2547" t="s">
        <v>87</v>
      </c>
      <c r="K2547">
        <v>0</v>
      </c>
      <c r="L2547">
        <v>0</v>
      </c>
    </row>
    <row r="2548" spans="1:12">
      <c r="A2548" s="93">
        <v>207500</v>
      </c>
      <c r="B2548" t="s">
        <v>3070</v>
      </c>
      <c r="C2548" t="s">
        <v>5603</v>
      </c>
      <c r="D2548" s="92">
        <v>0.68</v>
      </c>
      <c r="E2548" s="92">
        <v>0.59</v>
      </c>
      <c r="F2548">
        <v>23</v>
      </c>
      <c r="G2548">
        <v>26</v>
      </c>
      <c r="H2548" t="s">
        <v>5615</v>
      </c>
      <c r="I2548">
        <v>0</v>
      </c>
      <c r="J2548" t="s">
        <v>87</v>
      </c>
      <c r="K2548">
        <v>0</v>
      </c>
      <c r="L2548">
        <v>0</v>
      </c>
    </row>
    <row r="2549" spans="1:12">
      <c r="A2549" s="93">
        <v>207564</v>
      </c>
      <c r="B2549" t="s">
        <v>3071</v>
      </c>
      <c r="C2549" t="s">
        <v>5604</v>
      </c>
      <c r="D2549" s="92">
        <v>0</v>
      </c>
      <c r="E2549" s="92">
        <v>0</v>
      </c>
      <c r="F2549" t="s">
        <v>428</v>
      </c>
      <c r="G2549" t="s">
        <v>428</v>
      </c>
      <c r="H2549" t="s">
        <v>5615</v>
      </c>
      <c r="I2549">
        <v>0</v>
      </c>
      <c r="J2549" t="s">
        <v>87</v>
      </c>
      <c r="K2549">
        <v>0</v>
      </c>
      <c r="L2549">
        <v>0</v>
      </c>
    </row>
    <row r="2550" spans="1:12">
      <c r="A2550" s="93">
        <v>207582</v>
      </c>
      <c r="B2550" t="s">
        <v>3072</v>
      </c>
      <c r="C2550" t="s">
        <v>5602</v>
      </c>
      <c r="D2550" s="92">
        <v>0.5600000000000001</v>
      </c>
      <c r="E2550" s="92">
        <v>0.46</v>
      </c>
      <c r="F2550">
        <v>19</v>
      </c>
      <c r="G2550">
        <v>21.5</v>
      </c>
      <c r="H2550" t="s">
        <v>5617</v>
      </c>
      <c r="I2550">
        <v>0</v>
      </c>
      <c r="J2550" t="s">
        <v>87</v>
      </c>
      <c r="K2550">
        <v>0</v>
      </c>
      <c r="L2550">
        <v>0</v>
      </c>
    </row>
    <row r="2551" spans="1:12">
      <c r="A2551" s="93">
        <v>207625</v>
      </c>
      <c r="B2551" t="s">
        <v>3073</v>
      </c>
      <c r="C2551" t="s">
        <v>5606</v>
      </c>
      <c r="D2551" s="92" t="s">
        <v>428</v>
      </c>
      <c r="E2551" s="92" t="s">
        <v>428</v>
      </c>
      <c r="F2551" t="s">
        <v>428</v>
      </c>
      <c r="G2551" t="s">
        <v>428</v>
      </c>
      <c r="H2551" t="s">
        <v>5617</v>
      </c>
      <c r="I2551">
        <v>0</v>
      </c>
      <c r="J2551" t="s">
        <v>87</v>
      </c>
      <c r="K2551">
        <v>0</v>
      </c>
      <c r="L2551">
        <v>0</v>
      </c>
    </row>
    <row r="2552" spans="1:12">
      <c r="A2552" s="93">
        <v>207661</v>
      </c>
      <c r="B2552" t="s">
        <v>3074</v>
      </c>
      <c r="C2552" t="s">
        <v>5604</v>
      </c>
      <c r="D2552" s="92">
        <v>0.25</v>
      </c>
      <c r="E2552" s="92">
        <v>0.24</v>
      </c>
      <c r="F2552" t="s">
        <v>428</v>
      </c>
      <c r="G2552" t="s">
        <v>428</v>
      </c>
      <c r="H2552" t="s">
        <v>5615</v>
      </c>
      <c r="I2552">
        <v>0</v>
      </c>
      <c r="J2552" t="s">
        <v>87</v>
      </c>
      <c r="K2552">
        <v>0</v>
      </c>
      <c r="L2552">
        <v>0</v>
      </c>
    </row>
    <row r="2553" spans="1:12">
      <c r="A2553" s="93">
        <v>207670</v>
      </c>
      <c r="B2553" t="s">
        <v>3075</v>
      </c>
      <c r="C2553" t="s">
        <v>5606</v>
      </c>
      <c r="D2553" s="92">
        <v>0.27</v>
      </c>
      <c r="E2553" s="92">
        <v>0.18</v>
      </c>
      <c r="F2553" t="s">
        <v>428</v>
      </c>
      <c r="G2553" t="s">
        <v>428</v>
      </c>
      <c r="H2553" t="s">
        <v>5615</v>
      </c>
      <c r="I2553">
        <v>0</v>
      </c>
      <c r="J2553" t="s">
        <v>87</v>
      </c>
      <c r="K2553">
        <v>0</v>
      </c>
      <c r="L2553">
        <v>0</v>
      </c>
    </row>
    <row r="2554" spans="1:12">
      <c r="A2554" s="93">
        <v>207689</v>
      </c>
      <c r="B2554" t="s">
        <v>3076</v>
      </c>
      <c r="C2554" t="s">
        <v>5604</v>
      </c>
      <c r="D2554" s="92">
        <v>0.28</v>
      </c>
      <c r="E2554" s="92">
        <v>0.24</v>
      </c>
      <c r="F2554" t="s">
        <v>428</v>
      </c>
      <c r="G2554" t="s">
        <v>428</v>
      </c>
      <c r="H2554" t="s">
        <v>5617</v>
      </c>
      <c r="I2554">
        <v>0</v>
      </c>
      <c r="J2554" t="s">
        <v>87</v>
      </c>
      <c r="K2554">
        <v>0</v>
      </c>
      <c r="L2554">
        <v>0</v>
      </c>
    </row>
    <row r="2555" spans="1:12">
      <c r="A2555" s="93">
        <v>207722</v>
      </c>
      <c r="B2555" t="s">
        <v>3077</v>
      </c>
      <c r="C2555" t="s">
        <v>5603</v>
      </c>
      <c r="D2555" s="92">
        <v>0.42</v>
      </c>
      <c r="E2555" s="92">
        <v>0.43</v>
      </c>
      <c r="F2555">
        <v>19</v>
      </c>
      <c r="G2555">
        <v>21.5</v>
      </c>
      <c r="H2555" t="s">
        <v>5615</v>
      </c>
      <c r="I2555">
        <v>0</v>
      </c>
      <c r="J2555" t="s">
        <v>87</v>
      </c>
      <c r="K2555">
        <v>0</v>
      </c>
      <c r="L2555">
        <v>0</v>
      </c>
    </row>
    <row r="2556" spans="1:12">
      <c r="A2556" s="93">
        <v>207740</v>
      </c>
      <c r="B2556" t="s">
        <v>3078</v>
      </c>
      <c r="C2556" t="s">
        <v>5606</v>
      </c>
      <c r="D2556" s="92">
        <v>0.38</v>
      </c>
      <c r="E2556" s="92">
        <v>0.32</v>
      </c>
      <c r="F2556" t="s">
        <v>428</v>
      </c>
      <c r="G2556" t="s">
        <v>428</v>
      </c>
      <c r="H2556" t="s">
        <v>5615</v>
      </c>
      <c r="I2556">
        <v>0</v>
      </c>
      <c r="J2556" t="s">
        <v>87</v>
      </c>
      <c r="K2556">
        <v>0</v>
      </c>
      <c r="L2556">
        <v>0</v>
      </c>
    </row>
    <row r="2557" spans="1:12">
      <c r="A2557" s="93">
        <v>207847</v>
      </c>
      <c r="B2557" t="s">
        <v>3079</v>
      </c>
      <c r="C2557" t="s">
        <v>5602</v>
      </c>
      <c r="D2557" s="92">
        <v>0.28</v>
      </c>
      <c r="E2557" s="92">
        <v>0.23</v>
      </c>
      <c r="F2557">
        <v>18</v>
      </c>
      <c r="G2557">
        <v>20.5</v>
      </c>
      <c r="H2557" t="s">
        <v>5615</v>
      </c>
      <c r="I2557">
        <v>0</v>
      </c>
      <c r="J2557" t="s">
        <v>87</v>
      </c>
      <c r="K2557">
        <v>0</v>
      </c>
      <c r="L2557">
        <v>0</v>
      </c>
    </row>
    <row r="2558" spans="1:12">
      <c r="A2558" s="93">
        <v>207856</v>
      </c>
      <c r="B2558" t="s">
        <v>3080</v>
      </c>
      <c r="C2558" t="s">
        <v>5608</v>
      </c>
      <c r="D2558" s="92">
        <v>0.37</v>
      </c>
      <c r="E2558" s="92">
        <v>0.35</v>
      </c>
      <c r="F2558">
        <v>17</v>
      </c>
      <c r="G2558">
        <v>19</v>
      </c>
      <c r="H2558" t="s">
        <v>5613</v>
      </c>
      <c r="I2558">
        <v>1</v>
      </c>
      <c r="J2558" t="s">
        <v>87</v>
      </c>
      <c r="K2558">
        <v>0</v>
      </c>
      <c r="L2558">
        <v>0</v>
      </c>
    </row>
    <row r="2559" spans="1:12">
      <c r="A2559" s="93">
        <v>207865</v>
      </c>
      <c r="B2559" t="s">
        <v>3081</v>
      </c>
      <c r="C2559" t="s">
        <v>5602</v>
      </c>
      <c r="D2559" s="92">
        <v>0.34</v>
      </c>
      <c r="E2559" s="92">
        <v>0.26</v>
      </c>
      <c r="F2559">
        <v>18</v>
      </c>
      <c r="G2559">
        <v>21</v>
      </c>
      <c r="H2559" t="s">
        <v>5615</v>
      </c>
      <c r="I2559">
        <v>0</v>
      </c>
      <c r="J2559" t="s">
        <v>87</v>
      </c>
      <c r="K2559">
        <v>0</v>
      </c>
      <c r="L2559">
        <v>0</v>
      </c>
    </row>
    <row r="2560" spans="1:12">
      <c r="A2560" s="93">
        <v>207935</v>
      </c>
      <c r="B2560" t="s">
        <v>3082</v>
      </c>
      <c r="C2560" t="s">
        <v>5606</v>
      </c>
      <c r="D2560" s="92">
        <v>0.28</v>
      </c>
      <c r="E2560" s="92">
        <v>0.26</v>
      </c>
      <c r="F2560" t="s">
        <v>428</v>
      </c>
      <c r="G2560" t="s">
        <v>428</v>
      </c>
      <c r="H2560" t="s">
        <v>5615</v>
      </c>
      <c r="I2560">
        <v>0</v>
      </c>
      <c r="J2560" t="s">
        <v>87</v>
      </c>
      <c r="K2560">
        <v>0</v>
      </c>
      <c r="L2560">
        <v>0</v>
      </c>
    </row>
    <row r="2561" spans="1:12">
      <c r="A2561" s="93">
        <v>207962</v>
      </c>
      <c r="B2561" t="s">
        <v>3083</v>
      </c>
      <c r="C2561" t="s">
        <v>5606</v>
      </c>
      <c r="D2561" s="92" t="s">
        <v>428</v>
      </c>
      <c r="E2561" s="92" t="s">
        <v>428</v>
      </c>
      <c r="F2561" t="s">
        <v>428</v>
      </c>
      <c r="G2561" t="s">
        <v>428</v>
      </c>
      <c r="H2561" t="s">
        <v>5617</v>
      </c>
      <c r="I2561">
        <v>0</v>
      </c>
      <c r="J2561" t="s">
        <v>87</v>
      </c>
      <c r="K2561">
        <v>0</v>
      </c>
      <c r="L2561">
        <v>0</v>
      </c>
    </row>
    <row r="2562" spans="1:12">
      <c r="A2562" s="93">
        <v>207971</v>
      </c>
      <c r="B2562" t="s">
        <v>3084</v>
      </c>
      <c r="C2562" t="s">
        <v>5605</v>
      </c>
      <c r="D2562" s="92">
        <v>0.7</v>
      </c>
      <c r="E2562" s="92">
        <v>0.57</v>
      </c>
      <c r="F2562">
        <v>26</v>
      </c>
      <c r="G2562">
        <v>29.5</v>
      </c>
      <c r="H2562" t="s">
        <v>5617</v>
      </c>
      <c r="I2562">
        <v>0</v>
      </c>
      <c r="J2562" t="s">
        <v>87</v>
      </c>
      <c r="K2562">
        <v>0</v>
      </c>
      <c r="L2562">
        <v>0</v>
      </c>
    </row>
    <row r="2563" spans="1:12">
      <c r="A2563" s="93">
        <v>208026</v>
      </c>
      <c r="B2563" t="s">
        <v>3085</v>
      </c>
      <c r="C2563" t="s">
        <v>5606</v>
      </c>
      <c r="D2563" s="92">
        <v>0.99</v>
      </c>
      <c r="E2563" s="92">
        <v>1</v>
      </c>
      <c r="F2563" t="s">
        <v>428</v>
      </c>
      <c r="G2563" t="s">
        <v>428</v>
      </c>
      <c r="H2563" t="s">
        <v>5615</v>
      </c>
      <c r="I2563">
        <v>0</v>
      </c>
      <c r="J2563" t="s">
        <v>87</v>
      </c>
      <c r="K2563">
        <v>0</v>
      </c>
      <c r="L2563">
        <v>0</v>
      </c>
    </row>
    <row r="2564" spans="1:12">
      <c r="A2564" s="93">
        <v>208035</v>
      </c>
      <c r="B2564" t="s">
        <v>3086</v>
      </c>
      <c r="C2564" t="s">
        <v>5606</v>
      </c>
      <c r="D2564" s="92">
        <v>0.29</v>
      </c>
      <c r="E2564" s="92">
        <v>0.21</v>
      </c>
      <c r="F2564" t="s">
        <v>428</v>
      </c>
      <c r="G2564" t="s">
        <v>428</v>
      </c>
      <c r="H2564" t="s">
        <v>5615</v>
      </c>
      <c r="I2564">
        <v>0</v>
      </c>
      <c r="J2564" t="s">
        <v>87</v>
      </c>
      <c r="K2564">
        <v>0</v>
      </c>
      <c r="L2564">
        <v>0</v>
      </c>
    </row>
    <row r="2565" spans="1:12">
      <c r="A2565" s="93">
        <v>208080</v>
      </c>
      <c r="B2565" t="s">
        <v>3087</v>
      </c>
      <c r="C2565" t="s">
        <v>5606</v>
      </c>
      <c r="D2565" s="92" t="s">
        <v>428</v>
      </c>
      <c r="E2565" s="92" t="s">
        <v>428</v>
      </c>
      <c r="F2565" t="s">
        <v>428</v>
      </c>
      <c r="G2565" t="s">
        <v>428</v>
      </c>
      <c r="H2565" t="s">
        <v>5613</v>
      </c>
      <c r="I2565">
        <v>1</v>
      </c>
      <c r="J2565" t="s">
        <v>87</v>
      </c>
      <c r="K2565">
        <v>0</v>
      </c>
      <c r="L2565">
        <v>0</v>
      </c>
    </row>
    <row r="2566" spans="1:12">
      <c r="A2566" s="93">
        <v>208187</v>
      </c>
      <c r="B2566" t="s">
        <v>3088</v>
      </c>
      <c r="C2566" t="s">
        <v>5606</v>
      </c>
      <c r="D2566" s="92" t="s">
        <v>428</v>
      </c>
      <c r="E2566" s="92" t="s">
        <v>428</v>
      </c>
      <c r="F2566" t="s">
        <v>428</v>
      </c>
      <c r="G2566" t="s">
        <v>428</v>
      </c>
      <c r="H2566" t="s">
        <v>5616</v>
      </c>
      <c r="I2566">
        <v>0</v>
      </c>
      <c r="J2566" t="s">
        <v>87</v>
      </c>
      <c r="K2566">
        <v>0</v>
      </c>
      <c r="L2566">
        <v>0</v>
      </c>
    </row>
    <row r="2567" spans="1:12">
      <c r="A2567" s="93">
        <v>208239</v>
      </c>
      <c r="B2567" t="s">
        <v>3089</v>
      </c>
      <c r="C2567" t="s">
        <v>5610</v>
      </c>
      <c r="D2567" s="92">
        <v>0.28</v>
      </c>
      <c r="E2567" s="92">
        <v>0.27</v>
      </c>
      <c r="F2567" t="s">
        <v>428</v>
      </c>
      <c r="G2567" t="s">
        <v>428</v>
      </c>
      <c r="H2567" t="s">
        <v>5617</v>
      </c>
      <c r="I2567">
        <v>0</v>
      </c>
      <c r="J2567" t="s">
        <v>87</v>
      </c>
      <c r="K2567">
        <v>0</v>
      </c>
      <c r="L2567">
        <v>0</v>
      </c>
    </row>
    <row r="2568" spans="1:12">
      <c r="A2568" s="93">
        <v>208275</v>
      </c>
      <c r="B2568" t="s">
        <v>3090</v>
      </c>
      <c r="C2568" t="s">
        <v>5606</v>
      </c>
      <c r="D2568" s="92">
        <v>0.34</v>
      </c>
      <c r="E2568" s="92">
        <v>0.3</v>
      </c>
      <c r="F2568" t="s">
        <v>428</v>
      </c>
      <c r="G2568" t="s">
        <v>428</v>
      </c>
      <c r="H2568" t="s">
        <v>5615</v>
      </c>
      <c r="I2568">
        <v>0</v>
      </c>
      <c r="J2568" t="s">
        <v>87</v>
      </c>
      <c r="K2568">
        <v>0</v>
      </c>
      <c r="L2568">
        <v>0</v>
      </c>
    </row>
    <row r="2569" spans="1:12">
      <c r="A2569" s="93">
        <v>208318</v>
      </c>
      <c r="B2569" t="s">
        <v>3091</v>
      </c>
      <c r="C2569" t="s">
        <v>5606</v>
      </c>
      <c r="D2569" s="92">
        <v>0.3</v>
      </c>
      <c r="E2569" s="92">
        <v>0.3</v>
      </c>
      <c r="F2569" t="s">
        <v>428</v>
      </c>
      <c r="G2569" t="s">
        <v>428</v>
      </c>
      <c r="H2569" t="s">
        <v>5615</v>
      </c>
      <c r="I2569">
        <v>0</v>
      </c>
      <c r="J2569" t="s">
        <v>87</v>
      </c>
      <c r="K2569">
        <v>0</v>
      </c>
      <c r="L2569">
        <v>0</v>
      </c>
    </row>
    <row r="2570" spans="1:12">
      <c r="A2570" s="93">
        <v>208390</v>
      </c>
      <c r="B2570" t="s">
        <v>3092</v>
      </c>
      <c r="C2570" t="s">
        <v>5606</v>
      </c>
      <c r="D2570" s="92">
        <v>0.27</v>
      </c>
      <c r="E2570" s="92">
        <v>0.26</v>
      </c>
      <c r="F2570" t="s">
        <v>428</v>
      </c>
      <c r="G2570" t="s">
        <v>428</v>
      </c>
      <c r="H2570" t="s">
        <v>5615</v>
      </c>
      <c r="I2570">
        <v>0</v>
      </c>
      <c r="J2570" t="s">
        <v>87</v>
      </c>
      <c r="K2570">
        <v>0</v>
      </c>
      <c r="L2570">
        <v>0</v>
      </c>
    </row>
    <row r="2571" spans="1:12">
      <c r="A2571" s="93">
        <v>208406</v>
      </c>
      <c r="B2571" t="s">
        <v>3093</v>
      </c>
      <c r="C2571" t="s">
        <v>5606</v>
      </c>
      <c r="D2571" s="92">
        <v>0.34</v>
      </c>
      <c r="E2571" s="92">
        <v>0.34</v>
      </c>
      <c r="F2571" t="s">
        <v>428</v>
      </c>
      <c r="G2571" t="s">
        <v>428</v>
      </c>
      <c r="H2571" t="s">
        <v>5615</v>
      </c>
      <c r="I2571">
        <v>0</v>
      </c>
      <c r="J2571" t="s">
        <v>87</v>
      </c>
      <c r="K2571">
        <v>0</v>
      </c>
      <c r="L2571">
        <v>0</v>
      </c>
    </row>
    <row r="2572" spans="1:12">
      <c r="A2572" s="93">
        <v>208415</v>
      </c>
      <c r="B2572" t="s">
        <v>3094</v>
      </c>
      <c r="C2572" t="s">
        <v>5606</v>
      </c>
      <c r="D2572" s="92">
        <v>0.3</v>
      </c>
      <c r="E2572" s="92">
        <v>0.3</v>
      </c>
      <c r="F2572" t="s">
        <v>428</v>
      </c>
      <c r="G2572" t="s">
        <v>428</v>
      </c>
      <c r="H2572" t="s">
        <v>5615</v>
      </c>
      <c r="I2572">
        <v>0</v>
      </c>
      <c r="J2572" t="s">
        <v>87</v>
      </c>
      <c r="K2572">
        <v>0</v>
      </c>
      <c r="L2572">
        <v>0</v>
      </c>
    </row>
    <row r="2573" spans="1:12">
      <c r="A2573" s="93">
        <v>208433</v>
      </c>
      <c r="B2573" t="s">
        <v>3095</v>
      </c>
      <c r="C2573" t="s">
        <v>5606</v>
      </c>
      <c r="D2573" s="92" t="s">
        <v>428</v>
      </c>
      <c r="E2573" s="92" t="s">
        <v>428</v>
      </c>
      <c r="F2573" t="s">
        <v>428</v>
      </c>
      <c r="G2573" t="s">
        <v>428</v>
      </c>
      <c r="H2573" t="s">
        <v>5624</v>
      </c>
      <c r="I2573">
        <v>1</v>
      </c>
      <c r="J2573" t="s">
        <v>87</v>
      </c>
      <c r="K2573">
        <v>0</v>
      </c>
      <c r="L2573">
        <v>0</v>
      </c>
    </row>
    <row r="2574" spans="1:12">
      <c r="A2574" s="93">
        <v>208479</v>
      </c>
      <c r="B2574" t="s">
        <v>3096</v>
      </c>
      <c r="C2574" t="s">
        <v>5609</v>
      </c>
      <c r="D2574" s="92" t="s">
        <v>428</v>
      </c>
      <c r="E2574" s="92" t="s">
        <v>428</v>
      </c>
      <c r="F2574" t="s">
        <v>428</v>
      </c>
      <c r="G2574" t="s">
        <v>428</v>
      </c>
      <c r="H2574" t="s">
        <v>5617</v>
      </c>
      <c r="I2574">
        <v>0</v>
      </c>
      <c r="J2574" t="s">
        <v>87</v>
      </c>
      <c r="K2574">
        <v>0</v>
      </c>
      <c r="L2574">
        <v>0</v>
      </c>
    </row>
    <row r="2575" spans="1:12">
      <c r="A2575" s="93">
        <v>208488</v>
      </c>
      <c r="B2575" t="s">
        <v>3097</v>
      </c>
      <c r="C2575" t="s">
        <v>5602</v>
      </c>
      <c r="D2575" s="92">
        <v>0.48</v>
      </c>
      <c r="E2575" s="92">
        <v>0.32</v>
      </c>
      <c r="F2575">
        <v>18</v>
      </c>
      <c r="G2575">
        <v>20.5</v>
      </c>
      <c r="H2575" t="s">
        <v>5617</v>
      </c>
      <c r="I2575">
        <v>0</v>
      </c>
      <c r="J2575" t="s">
        <v>87</v>
      </c>
      <c r="K2575">
        <v>0</v>
      </c>
      <c r="L2575">
        <v>0</v>
      </c>
    </row>
    <row r="2576" spans="1:12">
      <c r="A2576" s="93">
        <v>208512</v>
      </c>
      <c r="B2576" t="s">
        <v>3098</v>
      </c>
      <c r="C2576" t="s">
        <v>5606</v>
      </c>
      <c r="D2576" s="92" t="s">
        <v>428</v>
      </c>
      <c r="E2576" s="92" t="s">
        <v>428</v>
      </c>
      <c r="F2576" t="s">
        <v>428</v>
      </c>
      <c r="G2576" t="s">
        <v>428</v>
      </c>
      <c r="H2576" t="s">
        <v>5617</v>
      </c>
      <c r="I2576">
        <v>0</v>
      </c>
      <c r="J2576" t="s">
        <v>87</v>
      </c>
      <c r="K2576">
        <v>0</v>
      </c>
      <c r="L2576">
        <v>0</v>
      </c>
    </row>
    <row r="2577" spans="1:12">
      <c r="A2577" s="93">
        <v>208646</v>
      </c>
      <c r="B2577" t="s">
        <v>3099</v>
      </c>
      <c r="C2577" t="s">
        <v>5602</v>
      </c>
      <c r="D2577" s="92">
        <v>0.3</v>
      </c>
      <c r="E2577" s="92">
        <v>0.25</v>
      </c>
      <c r="F2577">
        <v>17</v>
      </c>
      <c r="G2577">
        <v>20</v>
      </c>
      <c r="H2577" t="s">
        <v>5615</v>
      </c>
      <c r="I2577">
        <v>0</v>
      </c>
      <c r="J2577" t="s">
        <v>87</v>
      </c>
      <c r="K2577">
        <v>0</v>
      </c>
      <c r="L2577">
        <v>0</v>
      </c>
    </row>
    <row r="2578" spans="1:12">
      <c r="A2578" s="93">
        <v>208655</v>
      </c>
      <c r="B2578" t="s">
        <v>3100</v>
      </c>
      <c r="C2578" t="s">
        <v>5606</v>
      </c>
      <c r="D2578" s="92" t="s">
        <v>428</v>
      </c>
      <c r="E2578" s="92" t="s">
        <v>428</v>
      </c>
      <c r="F2578" t="s">
        <v>428</v>
      </c>
      <c r="G2578" t="s">
        <v>428</v>
      </c>
      <c r="H2578" t="s">
        <v>5613</v>
      </c>
      <c r="I2578">
        <v>1</v>
      </c>
      <c r="J2578" t="s">
        <v>87</v>
      </c>
      <c r="K2578">
        <v>0</v>
      </c>
      <c r="L2578">
        <v>0</v>
      </c>
    </row>
    <row r="2579" spans="1:12">
      <c r="A2579" s="93">
        <v>208725</v>
      </c>
      <c r="B2579" t="s">
        <v>3101</v>
      </c>
      <c r="C2579" t="s">
        <v>5607</v>
      </c>
      <c r="D2579" s="92">
        <v>0.26</v>
      </c>
      <c r="E2579" s="92">
        <v>0</v>
      </c>
      <c r="F2579" t="s">
        <v>428</v>
      </c>
      <c r="G2579" t="s">
        <v>428</v>
      </c>
      <c r="H2579" t="s">
        <v>5616</v>
      </c>
      <c r="I2579">
        <v>0</v>
      </c>
      <c r="J2579" t="s">
        <v>87</v>
      </c>
      <c r="K2579">
        <v>0</v>
      </c>
      <c r="L2579">
        <v>0</v>
      </c>
    </row>
    <row r="2580" spans="1:12">
      <c r="A2580" s="93">
        <v>208822</v>
      </c>
      <c r="B2580" t="s">
        <v>3102</v>
      </c>
      <c r="C2580" t="s">
        <v>5602</v>
      </c>
      <c r="D2580" s="92">
        <v>0.66</v>
      </c>
      <c r="E2580" s="92">
        <v>0.53</v>
      </c>
      <c r="F2580">
        <v>21</v>
      </c>
      <c r="G2580">
        <v>24</v>
      </c>
      <c r="H2580" t="s">
        <v>5617</v>
      </c>
      <c r="I2580">
        <v>0</v>
      </c>
      <c r="J2580" t="s">
        <v>87</v>
      </c>
      <c r="K2580">
        <v>0</v>
      </c>
      <c r="L2580">
        <v>0</v>
      </c>
    </row>
    <row r="2581" spans="1:12">
      <c r="A2581" s="93">
        <v>208859</v>
      </c>
      <c r="B2581" t="s">
        <v>3103</v>
      </c>
      <c r="C2581" t="s">
        <v>5606</v>
      </c>
      <c r="D2581" s="92" t="s">
        <v>428</v>
      </c>
      <c r="E2581" s="92" t="s">
        <v>428</v>
      </c>
      <c r="F2581" t="s">
        <v>428</v>
      </c>
      <c r="G2581" t="s">
        <v>428</v>
      </c>
      <c r="H2581" t="s">
        <v>5613</v>
      </c>
      <c r="I2581">
        <v>1</v>
      </c>
      <c r="J2581" t="s">
        <v>87</v>
      </c>
      <c r="K2581">
        <v>0</v>
      </c>
      <c r="L2581">
        <v>0</v>
      </c>
    </row>
    <row r="2582" spans="1:12">
      <c r="A2582" s="93">
        <v>208965</v>
      </c>
      <c r="B2582" t="s">
        <v>3104</v>
      </c>
      <c r="C2582" t="s">
        <v>5607</v>
      </c>
      <c r="D2582" s="92" t="s">
        <v>428</v>
      </c>
      <c r="E2582" s="92" t="s">
        <v>428</v>
      </c>
      <c r="F2582" t="s">
        <v>428</v>
      </c>
      <c r="G2582" t="s">
        <v>428</v>
      </c>
      <c r="H2582" t="s">
        <v>5617</v>
      </c>
      <c r="I2582">
        <v>0</v>
      </c>
      <c r="J2582" t="s">
        <v>87</v>
      </c>
      <c r="K2582">
        <v>0</v>
      </c>
      <c r="L2582">
        <v>0</v>
      </c>
    </row>
    <row r="2583" spans="1:12">
      <c r="A2583" s="93">
        <v>209038</v>
      </c>
      <c r="B2583" t="s">
        <v>3105</v>
      </c>
      <c r="C2583" t="s">
        <v>5606</v>
      </c>
      <c r="D2583" s="92">
        <v>0.22</v>
      </c>
      <c r="E2583" s="92">
        <v>0.16</v>
      </c>
      <c r="F2583" t="s">
        <v>428</v>
      </c>
      <c r="G2583" t="s">
        <v>428</v>
      </c>
      <c r="H2583" t="s">
        <v>5615</v>
      </c>
      <c r="I2583">
        <v>0</v>
      </c>
      <c r="J2583" t="s">
        <v>87</v>
      </c>
      <c r="K2583">
        <v>0</v>
      </c>
      <c r="L2583">
        <v>0</v>
      </c>
    </row>
    <row r="2584" spans="1:12">
      <c r="A2584" s="93">
        <v>209056</v>
      </c>
      <c r="B2584" t="s">
        <v>508</v>
      </c>
      <c r="C2584" t="s">
        <v>5605</v>
      </c>
      <c r="D2584" s="92">
        <v>0.77</v>
      </c>
      <c r="E2584" s="92">
        <v>0.7</v>
      </c>
      <c r="F2584">
        <v>27</v>
      </c>
      <c r="G2584">
        <v>29</v>
      </c>
      <c r="H2584" t="s">
        <v>5618</v>
      </c>
      <c r="I2584">
        <v>0</v>
      </c>
      <c r="J2584" t="s">
        <v>87</v>
      </c>
      <c r="K2584">
        <v>0</v>
      </c>
      <c r="L2584">
        <v>0</v>
      </c>
    </row>
    <row r="2585" spans="1:12">
      <c r="A2585" s="93">
        <v>209065</v>
      </c>
      <c r="B2585" t="s">
        <v>3106</v>
      </c>
      <c r="C2585" t="s">
        <v>5602</v>
      </c>
      <c r="D2585" s="92">
        <v>0.68</v>
      </c>
      <c r="E2585" s="92">
        <v>0.64</v>
      </c>
      <c r="F2585">
        <v>20</v>
      </c>
      <c r="G2585">
        <v>22</v>
      </c>
      <c r="H2585" t="s">
        <v>5617</v>
      </c>
      <c r="I2585">
        <v>0</v>
      </c>
      <c r="J2585" t="s">
        <v>87</v>
      </c>
      <c r="K2585">
        <v>0</v>
      </c>
      <c r="L2585">
        <v>0</v>
      </c>
    </row>
    <row r="2586" spans="1:12">
      <c r="A2586" s="93">
        <v>209074</v>
      </c>
      <c r="B2586" t="s">
        <v>3107</v>
      </c>
      <c r="C2586" t="s">
        <v>5606</v>
      </c>
      <c r="D2586" s="92">
        <v>0.23</v>
      </c>
      <c r="E2586" s="92">
        <v>0.19</v>
      </c>
      <c r="F2586" t="s">
        <v>428</v>
      </c>
      <c r="G2586" t="s">
        <v>428</v>
      </c>
      <c r="H2586" t="s">
        <v>5615</v>
      </c>
      <c r="I2586">
        <v>0</v>
      </c>
      <c r="J2586" t="s">
        <v>87</v>
      </c>
      <c r="K2586">
        <v>0</v>
      </c>
      <c r="L2586">
        <v>0</v>
      </c>
    </row>
    <row r="2587" spans="1:12">
      <c r="A2587" s="93">
        <v>209083</v>
      </c>
      <c r="B2587" t="s">
        <v>3108</v>
      </c>
      <c r="C2587" t="s">
        <v>5606</v>
      </c>
      <c r="D2587" s="92" t="s">
        <v>428</v>
      </c>
      <c r="E2587" s="92" t="s">
        <v>428</v>
      </c>
      <c r="F2587" t="s">
        <v>428</v>
      </c>
      <c r="G2587" t="s">
        <v>428</v>
      </c>
      <c r="H2587" t="s">
        <v>5617</v>
      </c>
      <c r="I2587">
        <v>0</v>
      </c>
      <c r="J2587" t="s">
        <v>87</v>
      </c>
      <c r="K2587">
        <v>0</v>
      </c>
      <c r="L2587">
        <v>0</v>
      </c>
    </row>
    <row r="2588" spans="1:12">
      <c r="A2588" s="93">
        <v>209108</v>
      </c>
      <c r="B2588" t="s">
        <v>3109</v>
      </c>
      <c r="C2588" t="s">
        <v>5604</v>
      </c>
      <c r="D2588" s="92">
        <v>0.31</v>
      </c>
      <c r="E2588" s="92">
        <v>0.33</v>
      </c>
      <c r="F2588" t="s">
        <v>428</v>
      </c>
      <c r="G2588" t="s">
        <v>428</v>
      </c>
      <c r="H2588" t="s">
        <v>5617</v>
      </c>
      <c r="I2588">
        <v>0</v>
      </c>
      <c r="J2588" t="s">
        <v>87</v>
      </c>
      <c r="K2588">
        <v>0</v>
      </c>
      <c r="L2588">
        <v>0</v>
      </c>
    </row>
    <row r="2589" spans="1:12">
      <c r="A2589" s="93">
        <v>209153</v>
      </c>
      <c r="B2589" t="s">
        <v>3110</v>
      </c>
      <c r="C2589" t="s">
        <v>5606</v>
      </c>
      <c r="D2589" s="92" t="s">
        <v>428</v>
      </c>
      <c r="E2589" s="92" t="s">
        <v>428</v>
      </c>
      <c r="F2589" t="s">
        <v>428</v>
      </c>
      <c r="G2589" t="s">
        <v>428</v>
      </c>
      <c r="H2589" t="s">
        <v>5624</v>
      </c>
      <c r="I2589">
        <v>1</v>
      </c>
      <c r="J2589" t="s">
        <v>87</v>
      </c>
      <c r="K2589">
        <v>0</v>
      </c>
      <c r="L2589">
        <v>0</v>
      </c>
    </row>
    <row r="2590" spans="1:12">
      <c r="A2590" s="93">
        <v>209205</v>
      </c>
      <c r="B2590" t="s">
        <v>3111</v>
      </c>
      <c r="C2590" t="s">
        <v>5606</v>
      </c>
      <c r="D2590" s="92" t="s">
        <v>428</v>
      </c>
      <c r="E2590" s="92" t="s">
        <v>428</v>
      </c>
      <c r="F2590" t="s">
        <v>428</v>
      </c>
      <c r="G2590" t="s">
        <v>428</v>
      </c>
      <c r="H2590" t="s">
        <v>5616</v>
      </c>
      <c r="I2590">
        <v>0</v>
      </c>
      <c r="J2590" t="s">
        <v>87</v>
      </c>
      <c r="K2590">
        <v>0</v>
      </c>
      <c r="L2590">
        <v>0</v>
      </c>
    </row>
    <row r="2591" spans="1:12">
      <c r="A2591" s="93">
        <v>209241</v>
      </c>
      <c r="B2591" t="s">
        <v>3112</v>
      </c>
      <c r="C2591" t="s">
        <v>5607</v>
      </c>
      <c r="D2591" s="92">
        <v>0.6</v>
      </c>
      <c r="E2591" s="92">
        <v>0.43</v>
      </c>
      <c r="F2591" t="s">
        <v>428</v>
      </c>
      <c r="G2591" t="s">
        <v>428</v>
      </c>
      <c r="H2591" t="s">
        <v>5617</v>
      </c>
      <c r="I2591">
        <v>0</v>
      </c>
      <c r="J2591" t="s">
        <v>87</v>
      </c>
      <c r="K2591">
        <v>0</v>
      </c>
      <c r="L2591">
        <v>0</v>
      </c>
    </row>
    <row r="2592" spans="1:12">
      <c r="A2592" s="93">
        <v>209250</v>
      </c>
      <c r="B2592" t="s">
        <v>3113</v>
      </c>
      <c r="C2592" t="s">
        <v>5606</v>
      </c>
      <c r="D2592" s="92">
        <v>0.32</v>
      </c>
      <c r="E2592" s="92">
        <v>0.23</v>
      </c>
      <c r="F2592" t="s">
        <v>428</v>
      </c>
      <c r="G2592" t="s">
        <v>428</v>
      </c>
      <c r="H2592" t="s">
        <v>5615</v>
      </c>
      <c r="I2592">
        <v>0</v>
      </c>
      <c r="J2592" t="s">
        <v>87</v>
      </c>
      <c r="K2592">
        <v>0</v>
      </c>
      <c r="L2592">
        <v>0</v>
      </c>
    </row>
    <row r="2593" spans="1:12">
      <c r="A2593" s="93">
        <v>209287</v>
      </c>
      <c r="B2593" t="s">
        <v>3114</v>
      </c>
      <c r="C2593" t="s">
        <v>5607</v>
      </c>
      <c r="D2593" s="92">
        <v>0.52</v>
      </c>
      <c r="E2593" s="92">
        <v>0.44</v>
      </c>
      <c r="F2593" t="s">
        <v>428</v>
      </c>
      <c r="G2593" t="s">
        <v>428</v>
      </c>
      <c r="H2593" t="s">
        <v>5617</v>
      </c>
      <c r="I2593">
        <v>0</v>
      </c>
      <c r="J2593" t="s">
        <v>87</v>
      </c>
      <c r="K2593">
        <v>0</v>
      </c>
      <c r="L2593">
        <v>0</v>
      </c>
    </row>
    <row r="2594" spans="1:12">
      <c r="A2594" s="93">
        <v>209296</v>
      </c>
      <c r="B2594" t="s">
        <v>3115</v>
      </c>
      <c r="C2594" t="s">
        <v>5607</v>
      </c>
      <c r="D2594" s="92" t="s">
        <v>428</v>
      </c>
      <c r="E2594" s="92" t="s">
        <v>428</v>
      </c>
      <c r="F2594" t="s">
        <v>428</v>
      </c>
      <c r="G2594" t="s">
        <v>428</v>
      </c>
      <c r="H2594" t="s">
        <v>5615</v>
      </c>
      <c r="I2594">
        <v>0</v>
      </c>
      <c r="J2594" t="s">
        <v>87</v>
      </c>
      <c r="K2594">
        <v>0</v>
      </c>
      <c r="L2594">
        <v>0</v>
      </c>
    </row>
    <row r="2595" spans="1:12">
      <c r="A2595" s="93">
        <v>209409</v>
      </c>
      <c r="B2595" t="s">
        <v>3116</v>
      </c>
      <c r="C2595" t="s">
        <v>5602</v>
      </c>
      <c r="D2595" s="92">
        <v>0.53</v>
      </c>
      <c r="E2595" s="92">
        <v>0.52</v>
      </c>
      <c r="F2595">
        <v>17</v>
      </c>
      <c r="G2595">
        <v>20.5</v>
      </c>
      <c r="H2595" t="s">
        <v>5617</v>
      </c>
      <c r="I2595">
        <v>0</v>
      </c>
      <c r="J2595" t="s">
        <v>87</v>
      </c>
      <c r="K2595">
        <v>0</v>
      </c>
      <c r="L2595">
        <v>0</v>
      </c>
    </row>
    <row r="2596" spans="1:12">
      <c r="A2596" s="93">
        <v>209490</v>
      </c>
      <c r="B2596" t="s">
        <v>3117</v>
      </c>
      <c r="C2596" t="s">
        <v>5607</v>
      </c>
      <c r="D2596" s="92" t="s">
        <v>428</v>
      </c>
      <c r="E2596" s="92" t="s">
        <v>428</v>
      </c>
      <c r="F2596" t="s">
        <v>428</v>
      </c>
      <c r="G2596" t="s">
        <v>428</v>
      </c>
      <c r="H2596" t="s">
        <v>5615</v>
      </c>
      <c r="I2596">
        <v>0</v>
      </c>
      <c r="J2596" t="s">
        <v>87</v>
      </c>
      <c r="K2596">
        <v>0</v>
      </c>
      <c r="L2596">
        <v>0</v>
      </c>
    </row>
    <row r="2597" spans="1:12">
      <c r="A2597" s="93">
        <v>209506</v>
      </c>
      <c r="B2597" t="s">
        <v>3118</v>
      </c>
      <c r="C2597" t="s">
        <v>5602</v>
      </c>
      <c r="D2597" s="92">
        <v>0.47</v>
      </c>
      <c r="E2597" s="92">
        <v>0.42</v>
      </c>
      <c r="F2597">
        <v>21</v>
      </c>
      <c r="G2597">
        <v>23</v>
      </c>
      <c r="H2597" t="s">
        <v>5615</v>
      </c>
      <c r="I2597">
        <v>0</v>
      </c>
      <c r="J2597" t="s">
        <v>87</v>
      </c>
      <c r="K2597">
        <v>0</v>
      </c>
      <c r="L2597">
        <v>0</v>
      </c>
    </row>
    <row r="2598" spans="1:12">
      <c r="A2598" s="93">
        <v>209533</v>
      </c>
      <c r="B2598" t="s">
        <v>3119</v>
      </c>
      <c r="C2598" t="s">
        <v>5607</v>
      </c>
      <c r="D2598" s="92">
        <v>0.55</v>
      </c>
      <c r="E2598" s="92">
        <v>1</v>
      </c>
      <c r="F2598" t="s">
        <v>428</v>
      </c>
      <c r="G2598" t="s">
        <v>428</v>
      </c>
      <c r="H2598" t="s">
        <v>5617</v>
      </c>
      <c r="I2598">
        <v>0</v>
      </c>
      <c r="J2598" t="s">
        <v>87</v>
      </c>
      <c r="K2598">
        <v>0</v>
      </c>
      <c r="L2598">
        <v>0</v>
      </c>
    </row>
    <row r="2599" spans="1:12">
      <c r="A2599" s="93">
        <v>209542</v>
      </c>
      <c r="B2599" t="s">
        <v>3120</v>
      </c>
      <c r="C2599" t="s">
        <v>5603</v>
      </c>
      <c r="D2599" s="92">
        <v>0.63</v>
      </c>
      <c r="E2599" s="92">
        <v>0.55</v>
      </c>
      <c r="F2599">
        <v>22</v>
      </c>
      <c r="G2599">
        <v>25</v>
      </c>
      <c r="H2599" t="s">
        <v>5615</v>
      </c>
      <c r="I2599">
        <v>0</v>
      </c>
      <c r="J2599" t="s">
        <v>87</v>
      </c>
      <c r="K2599">
        <v>0</v>
      </c>
      <c r="L2599">
        <v>0</v>
      </c>
    </row>
    <row r="2600" spans="1:12">
      <c r="A2600" s="93">
        <v>209551</v>
      </c>
      <c r="B2600" t="s">
        <v>585</v>
      </c>
      <c r="C2600" t="s">
        <v>5602</v>
      </c>
      <c r="D2600" s="92">
        <v>0.72</v>
      </c>
      <c r="E2600" s="92">
        <v>0.67</v>
      </c>
      <c r="F2600">
        <v>22</v>
      </c>
      <c r="G2600">
        <v>24.5</v>
      </c>
      <c r="H2600" t="s">
        <v>5617</v>
      </c>
      <c r="I2600">
        <v>0</v>
      </c>
      <c r="J2600" t="s">
        <v>87</v>
      </c>
      <c r="K2600">
        <v>0</v>
      </c>
      <c r="L2600">
        <v>0</v>
      </c>
    </row>
    <row r="2601" spans="1:12">
      <c r="A2601" s="93">
        <v>209603</v>
      </c>
      <c r="B2601" t="s">
        <v>3121</v>
      </c>
      <c r="C2601" t="s">
        <v>5610</v>
      </c>
      <c r="D2601" s="92">
        <v>0.29</v>
      </c>
      <c r="E2601" s="92">
        <v>0.14</v>
      </c>
      <c r="F2601" t="s">
        <v>428</v>
      </c>
      <c r="G2601" t="s">
        <v>428</v>
      </c>
      <c r="H2601" t="s">
        <v>5617</v>
      </c>
      <c r="I2601">
        <v>0</v>
      </c>
      <c r="J2601" t="s">
        <v>87</v>
      </c>
      <c r="K2601">
        <v>0</v>
      </c>
      <c r="L2601">
        <v>0</v>
      </c>
    </row>
    <row r="2602" spans="1:12">
      <c r="A2602" s="93">
        <v>209612</v>
      </c>
      <c r="B2602" t="s">
        <v>3122</v>
      </c>
      <c r="C2602" t="s">
        <v>5602</v>
      </c>
      <c r="D2602" s="92">
        <v>0.62</v>
      </c>
      <c r="E2602" s="92">
        <v>0.6</v>
      </c>
      <c r="F2602">
        <v>22</v>
      </c>
      <c r="G2602">
        <v>24.5</v>
      </c>
      <c r="H2602" t="s">
        <v>5617</v>
      </c>
      <c r="I2602">
        <v>0</v>
      </c>
      <c r="J2602" t="s">
        <v>87</v>
      </c>
      <c r="K2602">
        <v>0</v>
      </c>
      <c r="L2602">
        <v>0</v>
      </c>
    </row>
    <row r="2603" spans="1:12">
      <c r="A2603" s="93">
        <v>209667</v>
      </c>
      <c r="B2603" t="s">
        <v>3123</v>
      </c>
      <c r="C2603" t="s">
        <v>5606</v>
      </c>
      <c r="D2603" s="92" t="s">
        <v>428</v>
      </c>
      <c r="E2603" s="92" t="s">
        <v>428</v>
      </c>
      <c r="F2603" t="s">
        <v>428</v>
      </c>
      <c r="G2603" t="s">
        <v>428</v>
      </c>
      <c r="H2603" t="s">
        <v>5624</v>
      </c>
      <c r="I2603">
        <v>1</v>
      </c>
      <c r="J2603" t="s">
        <v>87</v>
      </c>
      <c r="K2603">
        <v>0</v>
      </c>
      <c r="L2603">
        <v>0</v>
      </c>
    </row>
    <row r="2604" spans="1:12">
      <c r="A2604" s="93">
        <v>209676</v>
      </c>
      <c r="B2604" t="s">
        <v>3124</v>
      </c>
      <c r="C2604" t="s">
        <v>5606</v>
      </c>
      <c r="D2604" s="92">
        <v>0.77</v>
      </c>
      <c r="E2604" s="92">
        <v>0.92</v>
      </c>
      <c r="F2604" t="s">
        <v>428</v>
      </c>
      <c r="G2604" t="s">
        <v>428</v>
      </c>
      <c r="H2604" t="s">
        <v>5624</v>
      </c>
      <c r="I2604">
        <v>1</v>
      </c>
      <c r="J2604" t="s">
        <v>87</v>
      </c>
      <c r="K2604">
        <v>0</v>
      </c>
      <c r="L2604">
        <v>0</v>
      </c>
    </row>
    <row r="2605" spans="1:12">
      <c r="A2605" s="93">
        <v>209694</v>
      </c>
      <c r="B2605" t="s">
        <v>3125</v>
      </c>
      <c r="C2605" t="s">
        <v>5606</v>
      </c>
      <c r="D2605" s="92">
        <v>0.71</v>
      </c>
      <c r="E2605" s="92">
        <v>0.79</v>
      </c>
      <c r="F2605" t="s">
        <v>428</v>
      </c>
      <c r="G2605" t="s">
        <v>428</v>
      </c>
      <c r="H2605" t="s">
        <v>5613</v>
      </c>
      <c r="I2605">
        <v>1</v>
      </c>
      <c r="J2605" t="s">
        <v>87</v>
      </c>
      <c r="K2605">
        <v>0</v>
      </c>
      <c r="L2605">
        <v>0</v>
      </c>
    </row>
    <row r="2606" spans="1:12">
      <c r="A2606" s="93">
        <v>209700</v>
      </c>
      <c r="B2606" t="s">
        <v>3126</v>
      </c>
      <c r="C2606" t="s">
        <v>5606</v>
      </c>
      <c r="D2606" s="92" t="s">
        <v>428</v>
      </c>
      <c r="E2606" s="92" t="s">
        <v>428</v>
      </c>
      <c r="F2606" t="s">
        <v>428</v>
      </c>
      <c r="G2606" t="s">
        <v>428</v>
      </c>
      <c r="H2606" t="s">
        <v>5613</v>
      </c>
      <c r="I2606">
        <v>1</v>
      </c>
      <c r="J2606" t="s">
        <v>87</v>
      </c>
      <c r="K2606">
        <v>0</v>
      </c>
      <c r="L2606">
        <v>0</v>
      </c>
    </row>
    <row r="2607" spans="1:12">
      <c r="A2607" s="93">
        <v>209719</v>
      </c>
      <c r="B2607" t="s">
        <v>3127</v>
      </c>
      <c r="C2607" t="s">
        <v>5606</v>
      </c>
      <c r="D2607" s="92" t="s">
        <v>428</v>
      </c>
      <c r="E2607" s="92" t="s">
        <v>428</v>
      </c>
      <c r="F2607" t="s">
        <v>428</v>
      </c>
      <c r="G2607" t="s">
        <v>428</v>
      </c>
      <c r="H2607" t="s">
        <v>5616</v>
      </c>
      <c r="I2607">
        <v>0</v>
      </c>
      <c r="J2607" t="s">
        <v>87</v>
      </c>
      <c r="K2607">
        <v>0</v>
      </c>
      <c r="L2607">
        <v>0</v>
      </c>
    </row>
    <row r="2608" spans="1:12">
      <c r="A2608" s="93">
        <v>209746</v>
      </c>
      <c r="B2608" t="s">
        <v>3128</v>
      </c>
      <c r="C2608" t="s">
        <v>5606</v>
      </c>
      <c r="D2608" s="92">
        <v>0.25</v>
      </c>
      <c r="E2608" s="92">
        <v>0.21</v>
      </c>
      <c r="F2608" t="s">
        <v>428</v>
      </c>
      <c r="G2608" t="s">
        <v>428</v>
      </c>
      <c r="H2608" t="s">
        <v>5615</v>
      </c>
      <c r="I2608">
        <v>0</v>
      </c>
      <c r="J2608" t="s">
        <v>87</v>
      </c>
      <c r="K2608">
        <v>0</v>
      </c>
      <c r="L2608">
        <v>0</v>
      </c>
    </row>
    <row r="2609" spans="1:12">
      <c r="A2609" s="93">
        <v>209807</v>
      </c>
      <c r="B2609" t="s">
        <v>3129</v>
      </c>
      <c r="C2609" t="s">
        <v>5602</v>
      </c>
      <c r="D2609" s="92">
        <v>0.48</v>
      </c>
      <c r="E2609" s="92">
        <v>0.44</v>
      </c>
      <c r="F2609">
        <v>19</v>
      </c>
      <c r="G2609">
        <v>22</v>
      </c>
      <c r="H2609" t="s">
        <v>5615</v>
      </c>
      <c r="I2609">
        <v>0</v>
      </c>
      <c r="J2609" t="s">
        <v>87</v>
      </c>
      <c r="K2609">
        <v>0</v>
      </c>
      <c r="L2609">
        <v>0</v>
      </c>
    </row>
    <row r="2610" spans="1:12">
      <c r="A2610" s="93">
        <v>209825</v>
      </c>
      <c r="B2610" t="s">
        <v>3130</v>
      </c>
      <c r="C2610" t="s">
        <v>5603</v>
      </c>
      <c r="D2610" s="92">
        <v>0.82</v>
      </c>
      <c r="E2610" s="92">
        <v>0.8</v>
      </c>
      <c r="F2610">
        <v>21</v>
      </c>
      <c r="G2610">
        <v>24.5</v>
      </c>
      <c r="H2610" t="s">
        <v>5617</v>
      </c>
      <c r="I2610">
        <v>0</v>
      </c>
      <c r="J2610" t="s">
        <v>87</v>
      </c>
      <c r="K2610">
        <v>0</v>
      </c>
      <c r="L2610">
        <v>0</v>
      </c>
    </row>
    <row r="2611" spans="1:12">
      <c r="A2611" s="93">
        <v>209922</v>
      </c>
      <c r="B2611" t="s">
        <v>3131</v>
      </c>
      <c r="C2611" t="s">
        <v>5612</v>
      </c>
      <c r="D2611" s="92">
        <v>0.8</v>
      </c>
      <c r="E2611" s="92">
        <v>0.71</v>
      </c>
      <c r="F2611">
        <v>29</v>
      </c>
      <c r="G2611">
        <v>31</v>
      </c>
      <c r="H2611" t="s">
        <v>5622</v>
      </c>
      <c r="I2611">
        <v>0</v>
      </c>
      <c r="J2611" t="s">
        <v>87</v>
      </c>
      <c r="K2611">
        <v>0</v>
      </c>
      <c r="L2611">
        <v>0</v>
      </c>
    </row>
    <row r="2612" spans="1:12">
      <c r="A2612" s="93">
        <v>209940</v>
      </c>
      <c r="B2612" t="s">
        <v>3132</v>
      </c>
      <c r="C2612" t="s">
        <v>5606</v>
      </c>
      <c r="D2612" s="92">
        <v>0.21</v>
      </c>
      <c r="E2612" s="92">
        <v>0.18</v>
      </c>
      <c r="F2612" t="s">
        <v>428</v>
      </c>
      <c r="G2612" t="s">
        <v>428</v>
      </c>
      <c r="H2612" t="s">
        <v>5615</v>
      </c>
      <c r="I2612">
        <v>0</v>
      </c>
      <c r="J2612" t="s">
        <v>87</v>
      </c>
      <c r="K2612">
        <v>0</v>
      </c>
      <c r="L2612">
        <v>0</v>
      </c>
    </row>
    <row r="2613" spans="1:12">
      <c r="A2613" s="93">
        <v>209986</v>
      </c>
      <c r="B2613" t="s">
        <v>3133</v>
      </c>
      <c r="C2613" t="s">
        <v>5606</v>
      </c>
      <c r="D2613" s="92" t="s">
        <v>428</v>
      </c>
      <c r="E2613" s="92" t="s">
        <v>428</v>
      </c>
      <c r="F2613" t="s">
        <v>428</v>
      </c>
      <c r="G2613" t="s">
        <v>428</v>
      </c>
      <c r="H2613" t="s">
        <v>5613</v>
      </c>
      <c r="I2613">
        <v>1</v>
      </c>
      <c r="J2613" t="s">
        <v>87</v>
      </c>
      <c r="K2613">
        <v>0</v>
      </c>
      <c r="L2613">
        <v>0</v>
      </c>
    </row>
    <row r="2614" spans="1:12">
      <c r="A2614" s="93">
        <v>210076</v>
      </c>
      <c r="B2614" t="s">
        <v>3134</v>
      </c>
      <c r="C2614" t="s">
        <v>5604</v>
      </c>
      <c r="D2614" s="92" t="s">
        <v>428</v>
      </c>
      <c r="E2614" s="92" t="s">
        <v>428</v>
      </c>
      <c r="F2614" t="s">
        <v>428</v>
      </c>
      <c r="G2614" t="s">
        <v>428</v>
      </c>
      <c r="H2614" t="s">
        <v>5617</v>
      </c>
      <c r="I2614">
        <v>0</v>
      </c>
      <c r="J2614" t="s">
        <v>87</v>
      </c>
      <c r="K2614">
        <v>0</v>
      </c>
      <c r="L2614">
        <v>0</v>
      </c>
    </row>
    <row r="2615" spans="1:12">
      <c r="A2615" s="93">
        <v>210100</v>
      </c>
      <c r="B2615" t="s">
        <v>3135</v>
      </c>
      <c r="C2615" t="s">
        <v>5606</v>
      </c>
      <c r="D2615" s="92">
        <v>0.6899999999999999</v>
      </c>
      <c r="E2615" s="92">
        <v>0.75</v>
      </c>
      <c r="F2615" t="s">
        <v>428</v>
      </c>
      <c r="G2615" t="s">
        <v>428</v>
      </c>
      <c r="H2615" t="s">
        <v>5624</v>
      </c>
      <c r="I2615">
        <v>1</v>
      </c>
      <c r="J2615" t="s">
        <v>87</v>
      </c>
      <c r="K2615">
        <v>0</v>
      </c>
      <c r="L2615">
        <v>0</v>
      </c>
    </row>
    <row r="2616" spans="1:12">
      <c r="A2616" s="93">
        <v>210146</v>
      </c>
      <c r="B2616" t="s">
        <v>3136</v>
      </c>
      <c r="C2616" t="s">
        <v>5602</v>
      </c>
      <c r="D2616" s="92">
        <v>0.39</v>
      </c>
      <c r="E2616" s="92">
        <v>0.38</v>
      </c>
      <c r="F2616">
        <v>19</v>
      </c>
      <c r="G2616">
        <v>22</v>
      </c>
      <c r="H2616" t="s">
        <v>5615</v>
      </c>
      <c r="I2616">
        <v>0</v>
      </c>
      <c r="J2616" t="s">
        <v>87</v>
      </c>
      <c r="K2616">
        <v>0</v>
      </c>
      <c r="L2616">
        <v>0</v>
      </c>
    </row>
    <row r="2617" spans="1:12">
      <c r="A2617" s="93">
        <v>210155</v>
      </c>
      <c r="B2617" t="s">
        <v>3137</v>
      </c>
      <c r="C2617" t="s">
        <v>5606</v>
      </c>
      <c r="D2617" s="92">
        <v>0.4</v>
      </c>
      <c r="E2617" s="92">
        <v>0.39</v>
      </c>
      <c r="F2617" t="s">
        <v>428</v>
      </c>
      <c r="G2617" t="s">
        <v>428</v>
      </c>
      <c r="H2617" t="s">
        <v>5615</v>
      </c>
      <c r="I2617">
        <v>0</v>
      </c>
      <c r="J2617" t="s">
        <v>87</v>
      </c>
      <c r="K2617">
        <v>0</v>
      </c>
      <c r="L2617">
        <v>0</v>
      </c>
    </row>
    <row r="2618" spans="1:12">
      <c r="A2618" s="93">
        <v>210234</v>
      </c>
      <c r="B2618" t="s">
        <v>3138</v>
      </c>
      <c r="C2618" t="s">
        <v>5606</v>
      </c>
      <c r="D2618" s="92" t="s">
        <v>428</v>
      </c>
      <c r="E2618" s="92" t="s">
        <v>428</v>
      </c>
      <c r="F2618" t="s">
        <v>428</v>
      </c>
      <c r="G2618" t="s">
        <v>428</v>
      </c>
      <c r="H2618" t="s">
        <v>5615</v>
      </c>
      <c r="I2618">
        <v>0</v>
      </c>
      <c r="J2618" t="s">
        <v>87</v>
      </c>
      <c r="K2618">
        <v>0</v>
      </c>
      <c r="L2618">
        <v>0</v>
      </c>
    </row>
    <row r="2619" spans="1:12">
      <c r="A2619" s="93">
        <v>210270</v>
      </c>
      <c r="B2619" t="s">
        <v>3139</v>
      </c>
      <c r="C2619" t="s">
        <v>5606</v>
      </c>
      <c r="D2619" s="92">
        <v>0.24</v>
      </c>
      <c r="E2619" s="92">
        <v>0.25</v>
      </c>
      <c r="F2619" t="s">
        <v>428</v>
      </c>
      <c r="G2619" t="s">
        <v>428</v>
      </c>
      <c r="H2619" t="s">
        <v>5615</v>
      </c>
      <c r="I2619">
        <v>0</v>
      </c>
      <c r="J2619" t="s">
        <v>87</v>
      </c>
      <c r="K2619">
        <v>0</v>
      </c>
      <c r="L2619">
        <v>0</v>
      </c>
    </row>
    <row r="2620" spans="1:12">
      <c r="A2620" s="93">
        <v>210304</v>
      </c>
      <c r="B2620" t="s">
        <v>3140</v>
      </c>
      <c r="C2620" t="s">
        <v>5602</v>
      </c>
      <c r="D2620" s="92">
        <v>0.46</v>
      </c>
      <c r="E2620" s="92">
        <v>0.26</v>
      </c>
      <c r="F2620" t="s">
        <v>428</v>
      </c>
      <c r="G2620" t="s">
        <v>428</v>
      </c>
      <c r="H2620" t="s">
        <v>5617</v>
      </c>
      <c r="I2620">
        <v>0</v>
      </c>
      <c r="J2620" t="s">
        <v>87</v>
      </c>
      <c r="K2620">
        <v>0</v>
      </c>
      <c r="L2620">
        <v>0</v>
      </c>
    </row>
    <row r="2621" spans="1:12">
      <c r="A2621" s="93">
        <v>210331</v>
      </c>
      <c r="B2621" t="s">
        <v>3141</v>
      </c>
      <c r="C2621" t="s">
        <v>5602</v>
      </c>
      <c r="D2621" s="92">
        <v>0.57</v>
      </c>
      <c r="E2621" s="92">
        <v>0.48</v>
      </c>
      <c r="F2621">
        <v>20</v>
      </c>
      <c r="G2621">
        <v>23</v>
      </c>
      <c r="H2621" t="s">
        <v>5617</v>
      </c>
      <c r="I2621">
        <v>0</v>
      </c>
      <c r="J2621" t="s">
        <v>87</v>
      </c>
      <c r="K2621">
        <v>0</v>
      </c>
      <c r="L2621">
        <v>0</v>
      </c>
    </row>
    <row r="2622" spans="1:12">
      <c r="A2622" s="93">
        <v>210340</v>
      </c>
      <c r="B2622" t="s">
        <v>3142</v>
      </c>
      <c r="C2622" t="s">
        <v>5606</v>
      </c>
      <c r="D2622" s="92">
        <v>0.63</v>
      </c>
      <c r="E2622" s="92">
        <v>0.78</v>
      </c>
      <c r="F2622" t="s">
        <v>428</v>
      </c>
      <c r="G2622" t="s">
        <v>428</v>
      </c>
      <c r="H2622" t="s">
        <v>5624</v>
      </c>
      <c r="I2622">
        <v>1</v>
      </c>
      <c r="J2622" t="s">
        <v>87</v>
      </c>
      <c r="K2622">
        <v>0</v>
      </c>
      <c r="L2622">
        <v>0</v>
      </c>
    </row>
    <row r="2623" spans="1:12">
      <c r="A2623" s="93">
        <v>210368</v>
      </c>
      <c r="B2623" t="s">
        <v>3143</v>
      </c>
      <c r="C2623" t="s">
        <v>5607</v>
      </c>
      <c r="D2623" s="92" t="s">
        <v>428</v>
      </c>
      <c r="E2623" s="92" t="s">
        <v>428</v>
      </c>
      <c r="F2623" t="s">
        <v>428</v>
      </c>
      <c r="G2623" t="s">
        <v>428</v>
      </c>
      <c r="H2623" t="s">
        <v>5615</v>
      </c>
      <c r="I2623">
        <v>0</v>
      </c>
      <c r="J2623" t="s">
        <v>87</v>
      </c>
      <c r="K2623">
        <v>0</v>
      </c>
      <c r="L2623">
        <v>0</v>
      </c>
    </row>
    <row r="2624" spans="1:12">
      <c r="A2624" s="93">
        <v>210401</v>
      </c>
      <c r="B2624" t="s">
        <v>3144</v>
      </c>
      <c r="C2624" t="s">
        <v>5603</v>
      </c>
      <c r="D2624" s="92">
        <v>0.78</v>
      </c>
      <c r="E2624" s="92">
        <v>0.82</v>
      </c>
      <c r="F2624" t="s">
        <v>428</v>
      </c>
      <c r="G2624" t="s">
        <v>428</v>
      </c>
      <c r="H2624" t="s">
        <v>5617</v>
      </c>
      <c r="I2624">
        <v>0</v>
      </c>
      <c r="J2624" t="s">
        <v>87</v>
      </c>
      <c r="K2624">
        <v>0</v>
      </c>
      <c r="L2624">
        <v>0</v>
      </c>
    </row>
    <row r="2625" spans="1:12">
      <c r="A2625" s="93">
        <v>210429</v>
      </c>
      <c r="B2625" t="s">
        <v>3145</v>
      </c>
      <c r="C2625" t="s">
        <v>5608</v>
      </c>
      <c r="D2625" s="92">
        <v>0.43</v>
      </c>
      <c r="E2625" s="92">
        <v>0.45</v>
      </c>
      <c r="F2625">
        <v>17</v>
      </c>
      <c r="G2625">
        <v>20</v>
      </c>
      <c r="H2625" t="s">
        <v>5615</v>
      </c>
      <c r="I2625">
        <v>0</v>
      </c>
      <c r="J2625" t="s">
        <v>87</v>
      </c>
      <c r="K2625">
        <v>0</v>
      </c>
      <c r="L2625">
        <v>0</v>
      </c>
    </row>
    <row r="2626" spans="1:12">
      <c r="A2626" s="93">
        <v>210438</v>
      </c>
      <c r="B2626" t="s">
        <v>3146</v>
      </c>
      <c r="C2626" t="s">
        <v>5604</v>
      </c>
      <c r="D2626" s="92" t="s">
        <v>428</v>
      </c>
      <c r="E2626" s="92" t="s">
        <v>428</v>
      </c>
      <c r="F2626" t="s">
        <v>428</v>
      </c>
      <c r="G2626" t="s">
        <v>428</v>
      </c>
      <c r="H2626" t="s">
        <v>5615</v>
      </c>
      <c r="I2626">
        <v>0</v>
      </c>
      <c r="J2626" t="s">
        <v>87</v>
      </c>
      <c r="K2626">
        <v>0</v>
      </c>
      <c r="L2626">
        <v>0</v>
      </c>
    </row>
    <row r="2627" spans="1:12">
      <c r="A2627" s="93">
        <v>210456</v>
      </c>
      <c r="B2627" t="s">
        <v>3147</v>
      </c>
      <c r="C2627" t="s">
        <v>5606</v>
      </c>
      <c r="D2627" s="92" t="s">
        <v>428</v>
      </c>
      <c r="E2627" s="92" t="s">
        <v>428</v>
      </c>
      <c r="F2627" t="s">
        <v>428</v>
      </c>
      <c r="G2627" t="s">
        <v>428</v>
      </c>
      <c r="H2627" t="s">
        <v>5615</v>
      </c>
      <c r="I2627">
        <v>0</v>
      </c>
      <c r="J2627" t="s">
        <v>87</v>
      </c>
      <c r="K2627">
        <v>0</v>
      </c>
      <c r="L2627">
        <v>0</v>
      </c>
    </row>
    <row r="2628" spans="1:12">
      <c r="A2628" s="93">
        <v>210483</v>
      </c>
      <c r="B2628" t="s">
        <v>3148</v>
      </c>
      <c r="C2628" t="s">
        <v>5606</v>
      </c>
      <c r="D2628" s="92">
        <v>0.65</v>
      </c>
      <c r="E2628" s="92">
        <v>0.52</v>
      </c>
      <c r="F2628" t="s">
        <v>428</v>
      </c>
      <c r="G2628" t="s">
        <v>428</v>
      </c>
      <c r="H2628" t="s">
        <v>5616</v>
      </c>
      <c r="I2628">
        <v>0</v>
      </c>
      <c r="J2628" t="s">
        <v>87</v>
      </c>
      <c r="K2628">
        <v>0</v>
      </c>
      <c r="L2628">
        <v>0</v>
      </c>
    </row>
    <row r="2629" spans="1:12">
      <c r="A2629" s="93">
        <v>210492</v>
      </c>
      <c r="B2629" t="s">
        <v>3149</v>
      </c>
      <c r="C2629" t="s">
        <v>5602</v>
      </c>
      <c r="D2629" s="92">
        <v>0.5600000000000001</v>
      </c>
      <c r="E2629" s="92">
        <v>0.61</v>
      </c>
      <c r="F2629">
        <v>18</v>
      </c>
      <c r="G2629">
        <v>20.5</v>
      </c>
      <c r="H2629" t="s">
        <v>5616</v>
      </c>
      <c r="I2629">
        <v>0</v>
      </c>
      <c r="J2629" t="s">
        <v>87</v>
      </c>
      <c r="K2629">
        <v>0</v>
      </c>
      <c r="L2629">
        <v>0</v>
      </c>
    </row>
    <row r="2630" spans="1:12">
      <c r="A2630" s="93">
        <v>210508</v>
      </c>
      <c r="B2630" t="s">
        <v>3150</v>
      </c>
      <c r="C2630" t="s">
        <v>5607</v>
      </c>
      <c r="D2630" s="92" t="s">
        <v>428</v>
      </c>
      <c r="E2630" s="92" t="s">
        <v>428</v>
      </c>
      <c r="F2630" t="s">
        <v>428</v>
      </c>
      <c r="G2630" t="s">
        <v>428</v>
      </c>
      <c r="H2630" t="s">
        <v>5615</v>
      </c>
      <c r="I2630">
        <v>0</v>
      </c>
      <c r="J2630" t="s">
        <v>87</v>
      </c>
      <c r="K2630">
        <v>0</v>
      </c>
      <c r="L2630">
        <v>0</v>
      </c>
    </row>
    <row r="2631" spans="1:12">
      <c r="A2631" s="93">
        <v>210571</v>
      </c>
      <c r="B2631" t="s">
        <v>3151</v>
      </c>
      <c r="C2631" t="s">
        <v>5602</v>
      </c>
      <c r="D2631" s="92">
        <v>0.55</v>
      </c>
      <c r="E2631" s="92">
        <v>0.41</v>
      </c>
      <c r="F2631" t="s">
        <v>428</v>
      </c>
      <c r="G2631" t="s">
        <v>428</v>
      </c>
      <c r="H2631" t="s">
        <v>5617</v>
      </c>
      <c r="I2631">
        <v>0</v>
      </c>
      <c r="J2631" t="s">
        <v>87</v>
      </c>
      <c r="K2631">
        <v>0</v>
      </c>
      <c r="L2631">
        <v>0</v>
      </c>
    </row>
    <row r="2632" spans="1:12">
      <c r="A2632" s="93">
        <v>210605</v>
      </c>
      <c r="B2632" t="s">
        <v>3152</v>
      </c>
      <c r="C2632" t="s">
        <v>5606</v>
      </c>
      <c r="D2632" s="92">
        <v>0.28</v>
      </c>
      <c r="E2632" s="92">
        <v>0.2</v>
      </c>
      <c r="F2632" t="s">
        <v>428</v>
      </c>
      <c r="G2632" t="s">
        <v>428</v>
      </c>
      <c r="H2632" t="s">
        <v>5615</v>
      </c>
      <c r="I2632">
        <v>0</v>
      </c>
      <c r="J2632" t="s">
        <v>87</v>
      </c>
      <c r="K2632">
        <v>0</v>
      </c>
      <c r="L2632">
        <v>0</v>
      </c>
    </row>
    <row r="2633" spans="1:12">
      <c r="A2633" s="93">
        <v>210669</v>
      </c>
      <c r="B2633" t="s">
        <v>3153</v>
      </c>
      <c r="C2633" t="s">
        <v>5603</v>
      </c>
      <c r="D2633" s="92">
        <v>0.76</v>
      </c>
      <c r="E2633" s="92">
        <v>0.63</v>
      </c>
      <c r="F2633" t="s">
        <v>428</v>
      </c>
      <c r="G2633" t="s">
        <v>428</v>
      </c>
      <c r="H2633" t="s">
        <v>5617</v>
      </c>
      <c r="I2633">
        <v>0</v>
      </c>
      <c r="J2633" t="s">
        <v>87</v>
      </c>
      <c r="K2633">
        <v>0</v>
      </c>
      <c r="L2633">
        <v>0</v>
      </c>
    </row>
    <row r="2634" spans="1:12">
      <c r="A2634" s="93">
        <v>210739</v>
      </c>
      <c r="B2634" t="s">
        <v>3154</v>
      </c>
      <c r="C2634" t="s">
        <v>5602</v>
      </c>
      <c r="D2634" s="92">
        <v>0.6899999999999999</v>
      </c>
      <c r="E2634" s="92">
        <v>0.64</v>
      </c>
      <c r="F2634">
        <v>17</v>
      </c>
      <c r="G2634">
        <v>20.5</v>
      </c>
      <c r="H2634" t="s">
        <v>5617</v>
      </c>
      <c r="I2634">
        <v>0</v>
      </c>
      <c r="J2634" t="s">
        <v>87</v>
      </c>
      <c r="K2634">
        <v>0</v>
      </c>
      <c r="L2634">
        <v>0</v>
      </c>
    </row>
    <row r="2635" spans="1:12">
      <c r="A2635" s="93">
        <v>210775</v>
      </c>
      <c r="B2635" t="s">
        <v>3155</v>
      </c>
      <c r="C2635" t="s">
        <v>5602</v>
      </c>
      <c r="D2635" s="92">
        <v>0.52</v>
      </c>
      <c r="E2635" s="92">
        <v>0.34</v>
      </c>
      <c r="F2635">
        <v>19</v>
      </c>
      <c r="G2635">
        <v>21</v>
      </c>
      <c r="H2635" t="s">
        <v>5617</v>
      </c>
      <c r="I2635">
        <v>0</v>
      </c>
      <c r="J2635" t="s">
        <v>87</v>
      </c>
      <c r="K2635">
        <v>0</v>
      </c>
      <c r="L2635">
        <v>0</v>
      </c>
    </row>
    <row r="2636" spans="1:12">
      <c r="A2636" s="93">
        <v>210809</v>
      </c>
      <c r="B2636" t="s">
        <v>3156</v>
      </c>
      <c r="C2636" t="s">
        <v>5607</v>
      </c>
      <c r="D2636" s="92" t="s">
        <v>428</v>
      </c>
      <c r="E2636" s="92" t="s">
        <v>428</v>
      </c>
      <c r="F2636" t="s">
        <v>428</v>
      </c>
      <c r="G2636" t="s">
        <v>428</v>
      </c>
      <c r="H2636" t="s">
        <v>5615</v>
      </c>
      <c r="I2636">
        <v>0</v>
      </c>
      <c r="J2636" t="s">
        <v>87</v>
      </c>
      <c r="K2636">
        <v>0</v>
      </c>
      <c r="L2636">
        <v>0</v>
      </c>
    </row>
    <row r="2637" spans="1:12">
      <c r="A2637" s="93">
        <v>210890</v>
      </c>
      <c r="B2637" t="s">
        <v>3157</v>
      </c>
      <c r="C2637" t="s">
        <v>5606</v>
      </c>
      <c r="D2637" s="92">
        <v>0.78</v>
      </c>
      <c r="E2637" s="92">
        <v>0.67</v>
      </c>
      <c r="F2637" t="s">
        <v>428</v>
      </c>
      <c r="G2637" t="s">
        <v>428</v>
      </c>
      <c r="H2637" t="s">
        <v>5617</v>
      </c>
      <c r="I2637">
        <v>0</v>
      </c>
      <c r="J2637" t="s">
        <v>87</v>
      </c>
      <c r="K2637">
        <v>0</v>
      </c>
      <c r="L2637">
        <v>0</v>
      </c>
    </row>
    <row r="2638" spans="1:12">
      <c r="A2638" s="93">
        <v>210906</v>
      </c>
      <c r="B2638" t="s">
        <v>3158</v>
      </c>
      <c r="C2638" t="s">
        <v>5607</v>
      </c>
      <c r="D2638" s="92">
        <v>0.54</v>
      </c>
      <c r="E2638" s="92">
        <v>0.46</v>
      </c>
      <c r="F2638" t="s">
        <v>428</v>
      </c>
      <c r="G2638" t="s">
        <v>428</v>
      </c>
      <c r="H2638" t="s">
        <v>5617</v>
      </c>
      <c r="I2638">
        <v>0</v>
      </c>
      <c r="J2638" t="s">
        <v>87</v>
      </c>
      <c r="K2638">
        <v>0</v>
      </c>
      <c r="L2638">
        <v>0</v>
      </c>
    </row>
    <row r="2639" spans="1:12">
      <c r="A2639" s="93">
        <v>210942</v>
      </c>
      <c r="B2639" t="s">
        <v>3159</v>
      </c>
      <c r="C2639" t="s">
        <v>5604</v>
      </c>
      <c r="D2639" s="92">
        <v>0.33</v>
      </c>
      <c r="E2639" s="92">
        <v>0.29</v>
      </c>
      <c r="F2639" t="s">
        <v>428</v>
      </c>
      <c r="G2639" t="s">
        <v>428</v>
      </c>
      <c r="H2639" t="s">
        <v>5617</v>
      </c>
      <c r="I2639">
        <v>0</v>
      </c>
      <c r="J2639" t="s">
        <v>87</v>
      </c>
      <c r="K2639">
        <v>0</v>
      </c>
      <c r="L2639">
        <v>0</v>
      </c>
    </row>
    <row r="2640" spans="1:12">
      <c r="A2640" s="93">
        <v>210951</v>
      </c>
      <c r="B2640" t="s">
        <v>3160</v>
      </c>
      <c r="C2640" t="s">
        <v>5606</v>
      </c>
      <c r="D2640" s="92" t="s">
        <v>428</v>
      </c>
      <c r="E2640" s="92" t="s">
        <v>428</v>
      </c>
      <c r="F2640" t="s">
        <v>428</v>
      </c>
      <c r="G2640" t="s">
        <v>428</v>
      </c>
      <c r="H2640" t="s">
        <v>5617</v>
      </c>
      <c r="I2640">
        <v>0</v>
      </c>
      <c r="J2640" t="s">
        <v>87</v>
      </c>
      <c r="K2640">
        <v>0</v>
      </c>
      <c r="L2640">
        <v>0</v>
      </c>
    </row>
    <row r="2641" spans="1:12">
      <c r="A2641" s="93">
        <v>210960</v>
      </c>
      <c r="B2641" t="s">
        <v>3161</v>
      </c>
      <c r="C2641" t="s">
        <v>5604</v>
      </c>
      <c r="D2641" s="92">
        <v>0.32</v>
      </c>
      <c r="E2641" s="92">
        <v>0.18</v>
      </c>
      <c r="F2641" t="s">
        <v>428</v>
      </c>
      <c r="G2641" t="s">
        <v>428</v>
      </c>
      <c r="H2641" t="s">
        <v>5617</v>
      </c>
      <c r="I2641">
        <v>0</v>
      </c>
      <c r="J2641" t="s">
        <v>87</v>
      </c>
      <c r="K2641">
        <v>0</v>
      </c>
      <c r="L2641">
        <v>0</v>
      </c>
    </row>
    <row r="2642" spans="1:12">
      <c r="A2642" s="93">
        <v>211006</v>
      </c>
      <c r="B2642" t="s">
        <v>3162</v>
      </c>
      <c r="C2642" t="s">
        <v>5606</v>
      </c>
      <c r="D2642" s="92" t="s">
        <v>428</v>
      </c>
      <c r="E2642" s="92" t="s">
        <v>428</v>
      </c>
      <c r="F2642" t="s">
        <v>428</v>
      </c>
      <c r="G2642" t="s">
        <v>428</v>
      </c>
      <c r="H2642" t="s">
        <v>5616</v>
      </c>
      <c r="I2642">
        <v>0</v>
      </c>
      <c r="J2642" t="s">
        <v>87</v>
      </c>
      <c r="K2642">
        <v>0</v>
      </c>
      <c r="L2642">
        <v>0</v>
      </c>
    </row>
    <row r="2643" spans="1:12">
      <c r="A2643" s="93">
        <v>211024</v>
      </c>
      <c r="B2643" t="s">
        <v>3163</v>
      </c>
      <c r="C2643" t="s">
        <v>5607</v>
      </c>
      <c r="D2643" s="92">
        <v>0.53</v>
      </c>
      <c r="E2643" s="92">
        <v>0.29</v>
      </c>
      <c r="F2643" t="s">
        <v>428</v>
      </c>
      <c r="G2643" t="s">
        <v>428</v>
      </c>
      <c r="H2643" t="s">
        <v>5616</v>
      </c>
      <c r="I2643">
        <v>0</v>
      </c>
      <c r="J2643" t="s">
        <v>87</v>
      </c>
      <c r="K2643">
        <v>0</v>
      </c>
      <c r="L2643">
        <v>0</v>
      </c>
    </row>
    <row r="2644" spans="1:12">
      <c r="A2644" s="93">
        <v>211079</v>
      </c>
      <c r="B2644" t="s">
        <v>3164</v>
      </c>
      <c r="C2644" t="s">
        <v>5606</v>
      </c>
      <c r="D2644" s="92" t="s">
        <v>428</v>
      </c>
      <c r="E2644" s="92" t="s">
        <v>428</v>
      </c>
      <c r="F2644" t="s">
        <v>428</v>
      </c>
      <c r="G2644" t="s">
        <v>428</v>
      </c>
      <c r="H2644" t="s">
        <v>5615</v>
      </c>
      <c r="I2644">
        <v>0</v>
      </c>
      <c r="J2644" t="s">
        <v>87</v>
      </c>
      <c r="K2644">
        <v>0</v>
      </c>
      <c r="L2644">
        <v>0</v>
      </c>
    </row>
    <row r="2645" spans="1:12">
      <c r="A2645" s="93">
        <v>211088</v>
      </c>
      <c r="B2645" t="s">
        <v>3165</v>
      </c>
      <c r="C2645" t="s">
        <v>5602</v>
      </c>
      <c r="D2645" s="92">
        <v>0.6</v>
      </c>
      <c r="E2645" s="92">
        <v>0.49</v>
      </c>
      <c r="F2645">
        <v>23</v>
      </c>
      <c r="G2645">
        <v>25.5</v>
      </c>
      <c r="H2645" t="s">
        <v>5617</v>
      </c>
      <c r="I2645">
        <v>0</v>
      </c>
      <c r="J2645" t="s">
        <v>87</v>
      </c>
      <c r="K2645">
        <v>0</v>
      </c>
      <c r="L2645">
        <v>0</v>
      </c>
    </row>
    <row r="2646" spans="1:12">
      <c r="A2646" s="93">
        <v>211130</v>
      </c>
      <c r="B2646" t="s">
        <v>3166</v>
      </c>
      <c r="C2646" t="s">
        <v>5607</v>
      </c>
      <c r="D2646" s="92" t="s">
        <v>428</v>
      </c>
      <c r="E2646" s="92" t="s">
        <v>428</v>
      </c>
      <c r="F2646" t="s">
        <v>428</v>
      </c>
      <c r="G2646" t="s">
        <v>428</v>
      </c>
      <c r="H2646" t="s">
        <v>5615</v>
      </c>
      <c r="I2646">
        <v>0</v>
      </c>
      <c r="J2646" t="s">
        <v>87</v>
      </c>
      <c r="K2646">
        <v>0</v>
      </c>
      <c r="L2646">
        <v>0</v>
      </c>
    </row>
    <row r="2647" spans="1:12">
      <c r="A2647" s="93">
        <v>211149</v>
      </c>
      <c r="B2647" t="s">
        <v>3167</v>
      </c>
      <c r="C2647" t="s">
        <v>5609</v>
      </c>
      <c r="D2647" s="92" t="s">
        <v>428</v>
      </c>
      <c r="E2647" s="92" t="s">
        <v>428</v>
      </c>
      <c r="F2647" t="s">
        <v>428</v>
      </c>
      <c r="G2647" t="s">
        <v>428</v>
      </c>
      <c r="H2647" t="s">
        <v>5614</v>
      </c>
      <c r="I2647">
        <v>1</v>
      </c>
      <c r="J2647" t="s">
        <v>87</v>
      </c>
      <c r="K2647">
        <v>0</v>
      </c>
      <c r="L2647">
        <v>0</v>
      </c>
    </row>
    <row r="2648" spans="1:12">
      <c r="A2648" s="93">
        <v>211158</v>
      </c>
      <c r="B2648" t="s">
        <v>3168</v>
      </c>
      <c r="C2648" t="s">
        <v>5608</v>
      </c>
      <c r="D2648" s="92">
        <v>0.62</v>
      </c>
      <c r="E2648" s="92">
        <v>0.4</v>
      </c>
      <c r="F2648">
        <v>15</v>
      </c>
      <c r="G2648">
        <v>18</v>
      </c>
      <c r="H2648" t="s">
        <v>5615</v>
      </c>
      <c r="I2648">
        <v>0</v>
      </c>
      <c r="J2648" t="s">
        <v>87</v>
      </c>
      <c r="K2648">
        <v>0</v>
      </c>
      <c r="L2648">
        <v>0</v>
      </c>
    </row>
    <row r="2649" spans="1:12">
      <c r="A2649" s="93">
        <v>211200</v>
      </c>
      <c r="B2649" t="s">
        <v>2907</v>
      </c>
      <c r="C2649" t="s">
        <v>5606</v>
      </c>
      <c r="D2649" s="92" t="s">
        <v>428</v>
      </c>
      <c r="E2649" s="92" t="s">
        <v>428</v>
      </c>
      <c r="F2649" t="s">
        <v>428</v>
      </c>
      <c r="G2649" t="s">
        <v>428</v>
      </c>
      <c r="H2649" t="s">
        <v>5616</v>
      </c>
      <c r="I2649">
        <v>0</v>
      </c>
      <c r="J2649" t="s">
        <v>87</v>
      </c>
      <c r="K2649">
        <v>0</v>
      </c>
      <c r="L2649">
        <v>0</v>
      </c>
    </row>
    <row r="2650" spans="1:12">
      <c r="A2650" s="93">
        <v>211273</v>
      </c>
      <c r="B2650" t="s">
        <v>3169</v>
      </c>
      <c r="C2650" t="s">
        <v>5612</v>
      </c>
      <c r="D2650" s="92">
        <v>0.83</v>
      </c>
      <c r="E2650" s="92">
        <v>0.84</v>
      </c>
      <c r="F2650">
        <v>28</v>
      </c>
      <c r="G2650">
        <v>30</v>
      </c>
      <c r="H2650" t="s">
        <v>5622</v>
      </c>
      <c r="I2650">
        <v>0</v>
      </c>
      <c r="J2650" t="s">
        <v>87</v>
      </c>
      <c r="K2650">
        <v>0</v>
      </c>
      <c r="L2650">
        <v>0</v>
      </c>
    </row>
    <row r="2651" spans="1:12">
      <c r="A2651" s="93">
        <v>211291</v>
      </c>
      <c r="B2651" t="s">
        <v>536</v>
      </c>
      <c r="C2651" t="s">
        <v>5612</v>
      </c>
      <c r="D2651" s="92">
        <v>0.88</v>
      </c>
      <c r="E2651" s="92">
        <v>0.86</v>
      </c>
      <c r="F2651">
        <v>28</v>
      </c>
      <c r="G2651">
        <v>30</v>
      </c>
      <c r="H2651" t="s">
        <v>5627</v>
      </c>
      <c r="I2651">
        <v>0</v>
      </c>
      <c r="J2651" t="s">
        <v>87</v>
      </c>
      <c r="K2651">
        <v>0</v>
      </c>
      <c r="L2651">
        <v>0</v>
      </c>
    </row>
    <row r="2652" spans="1:12">
      <c r="A2652" s="93">
        <v>211307</v>
      </c>
      <c r="B2652" t="s">
        <v>3170</v>
      </c>
      <c r="C2652" t="s">
        <v>5606</v>
      </c>
      <c r="D2652" s="92">
        <v>0.33</v>
      </c>
      <c r="E2652" s="92">
        <v>0.26</v>
      </c>
      <c r="F2652" t="s">
        <v>428</v>
      </c>
      <c r="G2652" t="s">
        <v>428</v>
      </c>
      <c r="H2652" t="s">
        <v>5615</v>
      </c>
      <c r="I2652">
        <v>0</v>
      </c>
      <c r="J2652" t="s">
        <v>87</v>
      </c>
      <c r="K2652">
        <v>0</v>
      </c>
      <c r="L2652">
        <v>0</v>
      </c>
    </row>
    <row r="2653" spans="1:12">
      <c r="A2653" s="93">
        <v>211316</v>
      </c>
      <c r="B2653" t="s">
        <v>3171</v>
      </c>
      <c r="C2653" t="s">
        <v>5606</v>
      </c>
      <c r="D2653" s="92" t="s">
        <v>428</v>
      </c>
      <c r="E2653" s="92" t="s">
        <v>428</v>
      </c>
      <c r="F2653" t="s">
        <v>428</v>
      </c>
      <c r="G2653" t="s">
        <v>428</v>
      </c>
      <c r="H2653" t="s">
        <v>5617</v>
      </c>
      <c r="I2653">
        <v>0</v>
      </c>
      <c r="J2653" t="s">
        <v>87</v>
      </c>
      <c r="K2653">
        <v>0</v>
      </c>
      <c r="L2653">
        <v>0</v>
      </c>
    </row>
    <row r="2654" spans="1:12">
      <c r="A2654" s="93">
        <v>211343</v>
      </c>
      <c r="B2654" t="s">
        <v>3172</v>
      </c>
      <c r="C2654" t="s">
        <v>5606</v>
      </c>
      <c r="D2654" s="92">
        <v>0.39</v>
      </c>
      <c r="E2654" s="92">
        <v>0.34</v>
      </c>
      <c r="F2654" t="s">
        <v>428</v>
      </c>
      <c r="G2654" t="s">
        <v>428</v>
      </c>
      <c r="H2654" t="s">
        <v>5615</v>
      </c>
      <c r="I2654">
        <v>0</v>
      </c>
      <c r="J2654" t="s">
        <v>87</v>
      </c>
      <c r="K2654">
        <v>0</v>
      </c>
      <c r="L2654">
        <v>0</v>
      </c>
    </row>
    <row r="2655" spans="1:12">
      <c r="A2655" s="93">
        <v>211352</v>
      </c>
      <c r="B2655" t="s">
        <v>3173</v>
      </c>
      <c r="C2655" t="s">
        <v>5608</v>
      </c>
      <c r="D2655" s="92">
        <v>0.54</v>
      </c>
      <c r="E2655" s="92">
        <v>0.4</v>
      </c>
      <c r="F2655">
        <v>16</v>
      </c>
      <c r="G2655">
        <v>18</v>
      </c>
      <c r="H2655" t="s">
        <v>5617</v>
      </c>
      <c r="I2655">
        <v>0</v>
      </c>
      <c r="J2655" t="s">
        <v>87</v>
      </c>
      <c r="K2655">
        <v>0</v>
      </c>
      <c r="L2655">
        <v>0</v>
      </c>
    </row>
    <row r="2656" spans="1:12">
      <c r="A2656" s="93">
        <v>211361</v>
      </c>
      <c r="B2656" t="s">
        <v>3174</v>
      </c>
      <c r="C2656" t="s">
        <v>5608</v>
      </c>
      <c r="D2656" s="92">
        <v>0.54</v>
      </c>
      <c r="E2656" s="92">
        <v>0.45</v>
      </c>
      <c r="F2656">
        <v>16</v>
      </c>
      <c r="G2656">
        <v>19</v>
      </c>
      <c r="H2656" t="s">
        <v>5615</v>
      </c>
      <c r="I2656">
        <v>0</v>
      </c>
      <c r="J2656" t="s">
        <v>87</v>
      </c>
      <c r="K2656">
        <v>0</v>
      </c>
      <c r="L2656">
        <v>0</v>
      </c>
    </row>
    <row r="2657" spans="1:12">
      <c r="A2657" s="93">
        <v>211431</v>
      </c>
      <c r="B2657" t="s">
        <v>3175</v>
      </c>
      <c r="C2657" t="s">
        <v>5608</v>
      </c>
      <c r="D2657" s="92">
        <v>0.55</v>
      </c>
      <c r="E2657" s="92">
        <v>0.38</v>
      </c>
      <c r="F2657">
        <v>19</v>
      </c>
      <c r="G2657">
        <v>21.5</v>
      </c>
      <c r="H2657" t="s">
        <v>5616</v>
      </c>
      <c r="I2657">
        <v>0</v>
      </c>
      <c r="J2657" t="s">
        <v>87</v>
      </c>
      <c r="K2657">
        <v>0</v>
      </c>
      <c r="L2657">
        <v>0</v>
      </c>
    </row>
    <row r="2658" spans="1:12">
      <c r="A2658" s="93">
        <v>211440</v>
      </c>
      <c r="B2658" t="s">
        <v>3176</v>
      </c>
      <c r="C2658" t="s">
        <v>5611</v>
      </c>
      <c r="D2658" s="92">
        <v>0.9</v>
      </c>
      <c r="E2658" s="92">
        <v>0.82</v>
      </c>
      <c r="F2658">
        <v>31</v>
      </c>
      <c r="G2658">
        <v>32.5</v>
      </c>
      <c r="H2658" t="s">
        <v>5619</v>
      </c>
      <c r="I2658">
        <v>1</v>
      </c>
      <c r="J2658" t="s">
        <v>87</v>
      </c>
      <c r="K2658">
        <v>0</v>
      </c>
      <c r="L2658">
        <v>0</v>
      </c>
    </row>
    <row r="2659" spans="1:12">
      <c r="A2659" s="93">
        <v>211468</v>
      </c>
      <c r="B2659" t="s">
        <v>3177</v>
      </c>
      <c r="C2659" t="s">
        <v>5602</v>
      </c>
      <c r="D2659" s="92">
        <v>0.62</v>
      </c>
      <c r="E2659" s="92">
        <v>0.51</v>
      </c>
      <c r="F2659">
        <v>16</v>
      </c>
      <c r="G2659">
        <v>18.5</v>
      </c>
      <c r="H2659" t="s">
        <v>5617</v>
      </c>
      <c r="I2659">
        <v>0</v>
      </c>
      <c r="J2659" t="s">
        <v>87</v>
      </c>
      <c r="K2659">
        <v>0</v>
      </c>
      <c r="L2659">
        <v>0</v>
      </c>
    </row>
    <row r="2660" spans="1:12">
      <c r="A2660" s="93">
        <v>211477</v>
      </c>
      <c r="B2660" t="s">
        <v>3178</v>
      </c>
      <c r="C2660" t="s">
        <v>5604</v>
      </c>
      <c r="D2660" s="92">
        <v>0.4</v>
      </c>
      <c r="E2660" s="92">
        <v>0.26</v>
      </c>
      <c r="F2660">
        <v>11</v>
      </c>
      <c r="G2660">
        <v>13.5</v>
      </c>
      <c r="H2660" t="s">
        <v>5617</v>
      </c>
      <c r="I2660">
        <v>0</v>
      </c>
      <c r="J2660" t="s">
        <v>87</v>
      </c>
      <c r="K2660">
        <v>0</v>
      </c>
      <c r="L2660">
        <v>0</v>
      </c>
    </row>
    <row r="2661" spans="1:12">
      <c r="A2661" s="93">
        <v>211556</v>
      </c>
      <c r="B2661" t="s">
        <v>3179</v>
      </c>
      <c r="C2661" t="s">
        <v>5602</v>
      </c>
      <c r="D2661" s="92">
        <v>0.55</v>
      </c>
      <c r="E2661" s="92">
        <v>0.4</v>
      </c>
      <c r="F2661" t="s">
        <v>428</v>
      </c>
      <c r="G2661" t="s">
        <v>428</v>
      </c>
      <c r="H2661" t="s">
        <v>5617</v>
      </c>
      <c r="I2661">
        <v>0</v>
      </c>
      <c r="J2661" t="s">
        <v>87</v>
      </c>
      <c r="K2661">
        <v>0</v>
      </c>
      <c r="L2661">
        <v>0</v>
      </c>
    </row>
    <row r="2662" spans="1:12">
      <c r="A2662" s="93">
        <v>211583</v>
      </c>
      <c r="B2662" t="s">
        <v>3180</v>
      </c>
      <c r="C2662" t="s">
        <v>5602</v>
      </c>
      <c r="D2662" s="92">
        <v>0.48</v>
      </c>
      <c r="E2662" s="92">
        <v>0.34</v>
      </c>
      <c r="F2662">
        <v>15</v>
      </c>
      <c r="G2662">
        <v>18</v>
      </c>
      <c r="H2662" t="s">
        <v>5617</v>
      </c>
      <c r="I2662">
        <v>0</v>
      </c>
      <c r="J2662" t="s">
        <v>87</v>
      </c>
      <c r="K2662">
        <v>0</v>
      </c>
      <c r="L2662">
        <v>0</v>
      </c>
    </row>
    <row r="2663" spans="1:12">
      <c r="A2663" s="93">
        <v>211608</v>
      </c>
      <c r="B2663" t="s">
        <v>3181</v>
      </c>
      <c r="C2663" t="s">
        <v>5608</v>
      </c>
      <c r="D2663" s="92">
        <v>0.16</v>
      </c>
      <c r="E2663" s="92">
        <v>0.31</v>
      </c>
      <c r="F2663" t="s">
        <v>428</v>
      </c>
      <c r="G2663" t="s">
        <v>428</v>
      </c>
      <c r="H2663" t="s">
        <v>5615</v>
      </c>
      <c r="I2663">
        <v>0</v>
      </c>
      <c r="J2663" t="s">
        <v>138</v>
      </c>
      <c r="K2663">
        <v>0</v>
      </c>
      <c r="L2663">
        <v>0</v>
      </c>
    </row>
    <row r="2664" spans="1:12">
      <c r="A2664" s="93">
        <v>211617</v>
      </c>
      <c r="B2664" t="s">
        <v>3182</v>
      </c>
      <c r="C2664" t="s">
        <v>5606</v>
      </c>
      <c r="D2664" s="92" t="s">
        <v>428</v>
      </c>
      <c r="E2664" s="92" t="s">
        <v>428</v>
      </c>
      <c r="F2664" t="s">
        <v>428</v>
      </c>
      <c r="G2664" t="s">
        <v>428</v>
      </c>
      <c r="H2664" t="s">
        <v>5617</v>
      </c>
      <c r="I2664">
        <v>0</v>
      </c>
      <c r="J2664" t="s">
        <v>87</v>
      </c>
      <c r="K2664">
        <v>0</v>
      </c>
      <c r="L2664">
        <v>0</v>
      </c>
    </row>
    <row r="2665" spans="1:12">
      <c r="A2665" s="93">
        <v>211635</v>
      </c>
      <c r="B2665" t="s">
        <v>3183</v>
      </c>
      <c r="C2665" t="s">
        <v>5609</v>
      </c>
      <c r="D2665" s="92" t="s">
        <v>428</v>
      </c>
      <c r="E2665" s="92" t="s">
        <v>428</v>
      </c>
      <c r="F2665" t="s">
        <v>428</v>
      </c>
      <c r="G2665" t="s">
        <v>428</v>
      </c>
      <c r="H2665" t="s">
        <v>5615</v>
      </c>
      <c r="I2665">
        <v>0</v>
      </c>
      <c r="J2665" t="s">
        <v>87</v>
      </c>
      <c r="K2665">
        <v>0</v>
      </c>
      <c r="L2665">
        <v>0</v>
      </c>
    </row>
    <row r="2666" spans="1:12">
      <c r="A2666" s="93">
        <v>211644</v>
      </c>
      <c r="B2666" t="s">
        <v>3184</v>
      </c>
      <c r="C2666" t="s">
        <v>5608</v>
      </c>
      <c r="D2666" s="92">
        <v>0.5</v>
      </c>
      <c r="E2666" s="92">
        <v>0.2</v>
      </c>
      <c r="F2666">
        <v>17</v>
      </c>
      <c r="G2666">
        <v>20</v>
      </c>
      <c r="H2666" t="s">
        <v>5615</v>
      </c>
      <c r="I2666">
        <v>0</v>
      </c>
      <c r="J2666" t="s">
        <v>87</v>
      </c>
      <c r="K2666">
        <v>0</v>
      </c>
      <c r="L2666">
        <v>0</v>
      </c>
    </row>
    <row r="2667" spans="1:12">
      <c r="A2667" s="93">
        <v>211802</v>
      </c>
      <c r="B2667" t="s">
        <v>3185</v>
      </c>
      <c r="C2667" t="s">
        <v>5609</v>
      </c>
      <c r="D2667" s="92" t="s">
        <v>428</v>
      </c>
      <c r="E2667" s="92" t="s">
        <v>428</v>
      </c>
      <c r="F2667" t="s">
        <v>428</v>
      </c>
      <c r="G2667" t="s">
        <v>428</v>
      </c>
      <c r="H2667" t="s">
        <v>5616</v>
      </c>
      <c r="I2667">
        <v>0</v>
      </c>
      <c r="J2667" t="s">
        <v>87</v>
      </c>
      <c r="K2667">
        <v>0</v>
      </c>
      <c r="L2667">
        <v>0</v>
      </c>
    </row>
    <row r="2668" spans="1:12">
      <c r="A2668" s="93">
        <v>211820</v>
      </c>
      <c r="B2668" t="s">
        <v>3186</v>
      </c>
      <c r="C2668" t="s">
        <v>5606</v>
      </c>
      <c r="D2668" s="92" t="s">
        <v>428</v>
      </c>
      <c r="E2668" s="92" t="s">
        <v>428</v>
      </c>
      <c r="F2668" t="s">
        <v>428</v>
      </c>
      <c r="G2668" t="s">
        <v>428</v>
      </c>
      <c r="H2668" t="s">
        <v>5616</v>
      </c>
      <c r="I2668">
        <v>0</v>
      </c>
      <c r="J2668" t="s">
        <v>87</v>
      </c>
      <c r="K2668">
        <v>0</v>
      </c>
      <c r="L2668">
        <v>0</v>
      </c>
    </row>
    <row r="2669" spans="1:12">
      <c r="A2669" s="93">
        <v>211893</v>
      </c>
      <c r="B2669" t="s">
        <v>3187</v>
      </c>
      <c r="C2669" t="s">
        <v>5610</v>
      </c>
      <c r="D2669" s="92">
        <v>0.83</v>
      </c>
      <c r="E2669" s="92">
        <v>1</v>
      </c>
      <c r="F2669" t="s">
        <v>428</v>
      </c>
      <c r="G2669" t="s">
        <v>428</v>
      </c>
      <c r="H2669" t="s">
        <v>5624</v>
      </c>
      <c r="I2669">
        <v>1</v>
      </c>
      <c r="J2669" t="s">
        <v>87</v>
      </c>
      <c r="K2669">
        <v>0</v>
      </c>
      <c r="L2669">
        <v>0</v>
      </c>
    </row>
    <row r="2670" spans="1:12">
      <c r="A2670" s="93">
        <v>211909</v>
      </c>
      <c r="B2670" t="s">
        <v>3188</v>
      </c>
      <c r="C2670" t="s">
        <v>5606</v>
      </c>
      <c r="D2670" s="92" t="s">
        <v>428</v>
      </c>
      <c r="E2670" s="92" t="s">
        <v>428</v>
      </c>
      <c r="F2670" t="s">
        <v>428</v>
      </c>
      <c r="G2670" t="s">
        <v>428</v>
      </c>
      <c r="H2670" t="s">
        <v>5617</v>
      </c>
      <c r="I2670">
        <v>0</v>
      </c>
      <c r="J2670" t="s">
        <v>87</v>
      </c>
      <c r="K2670">
        <v>0</v>
      </c>
      <c r="L2670">
        <v>0</v>
      </c>
    </row>
    <row r="2671" spans="1:12">
      <c r="A2671" s="93">
        <v>211927</v>
      </c>
      <c r="B2671" t="s">
        <v>3189</v>
      </c>
      <c r="C2671" t="s">
        <v>5606</v>
      </c>
      <c r="D2671" s="92">
        <v>0.28</v>
      </c>
      <c r="E2671" s="92">
        <v>0.24</v>
      </c>
      <c r="F2671" t="s">
        <v>428</v>
      </c>
      <c r="G2671" t="s">
        <v>428</v>
      </c>
      <c r="H2671" t="s">
        <v>5615</v>
      </c>
      <c r="I2671">
        <v>0</v>
      </c>
      <c r="J2671" t="s">
        <v>87</v>
      </c>
      <c r="K2671">
        <v>0</v>
      </c>
      <c r="L2671">
        <v>0</v>
      </c>
    </row>
    <row r="2672" spans="1:12">
      <c r="A2672" s="93">
        <v>211981</v>
      </c>
      <c r="B2672" t="s">
        <v>3190</v>
      </c>
      <c r="C2672" t="s">
        <v>5602</v>
      </c>
      <c r="D2672" s="92">
        <v>0.57</v>
      </c>
      <c r="E2672" s="92">
        <v>0.31</v>
      </c>
      <c r="F2672">
        <v>18</v>
      </c>
      <c r="G2672">
        <v>22</v>
      </c>
      <c r="H2672" t="s">
        <v>5617</v>
      </c>
      <c r="I2672">
        <v>0</v>
      </c>
      <c r="J2672" t="s">
        <v>87</v>
      </c>
      <c r="K2672">
        <v>0</v>
      </c>
      <c r="L2672">
        <v>0</v>
      </c>
    </row>
    <row r="2673" spans="1:12">
      <c r="A2673" s="93">
        <v>212009</v>
      </c>
      <c r="B2673" t="s">
        <v>468</v>
      </c>
      <c r="C2673" t="s">
        <v>5612</v>
      </c>
      <c r="D2673" s="92">
        <v>0.84</v>
      </c>
      <c r="E2673" s="92">
        <v>0.8</v>
      </c>
      <c r="F2673" t="s">
        <v>428</v>
      </c>
      <c r="G2673" t="s">
        <v>428</v>
      </c>
      <c r="H2673" t="s">
        <v>5619</v>
      </c>
      <c r="I2673">
        <v>1</v>
      </c>
      <c r="J2673" t="s">
        <v>87</v>
      </c>
      <c r="K2673">
        <v>0</v>
      </c>
      <c r="L2673">
        <v>0</v>
      </c>
    </row>
    <row r="2674" spans="1:12">
      <c r="A2674" s="93">
        <v>212018</v>
      </c>
      <c r="B2674" t="s">
        <v>3191</v>
      </c>
      <c r="C2674" t="s">
        <v>5607</v>
      </c>
      <c r="D2674" s="92" t="s">
        <v>428</v>
      </c>
      <c r="E2674" s="92" t="s">
        <v>428</v>
      </c>
      <c r="F2674" t="s">
        <v>428</v>
      </c>
      <c r="G2674" t="s">
        <v>428</v>
      </c>
      <c r="H2674" t="s">
        <v>5615</v>
      </c>
      <c r="I2674">
        <v>0</v>
      </c>
      <c r="J2674" t="s">
        <v>87</v>
      </c>
      <c r="K2674">
        <v>0</v>
      </c>
      <c r="L2674">
        <v>0</v>
      </c>
    </row>
    <row r="2675" spans="1:12">
      <c r="A2675" s="93">
        <v>212045</v>
      </c>
      <c r="B2675" t="s">
        <v>3192</v>
      </c>
      <c r="C2675" t="s">
        <v>5606</v>
      </c>
      <c r="D2675" s="92" t="s">
        <v>428</v>
      </c>
      <c r="E2675" s="92" t="s">
        <v>428</v>
      </c>
      <c r="F2675" t="s">
        <v>428</v>
      </c>
      <c r="G2675" t="s">
        <v>428</v>
      </c>
      <c r="H2675" t="s">
        <v>5617</v>
      </c>
      <c r="I2675">
        <v>0</v>
      </c>
      <c r="J2675" t="s">
        <v>87</v>
      </c>
      <c r="K2675">
        <v>0</v>
      </c>
      <c r="L2675">
        <v>0</v>
      </c>
    </row>
    <row r="2676" spans="1:12">
      <c r="A2676" s="93">
        <v>212054</v>
      </c>
      <c r="B2676" t="s">
        <v>3193</v>
      </c>
      <c r="C2676" t="s">
        <v>5603</v>
      </c>
      <c r="D2676" s="92">
        <v>0.7</v>
      </c>
      <c r="E2676" s="92">
        <v>0.5600000000000001</v>
      </c>
      <c r="F2676">
        <v>25</v>
      </c>
      <c r="G2676">
        <v>27.5</v>
      </c>
      <c r="H2676" t="s">
        <v>5618</v>
      </c>
      <c r="I2676">
        <v>0</v>
      </c>
      <c r="J2676" t="s">
        <v>87</v>
      </c>
      <c r="K2676">
        <v>0</v>
      </c>
      <c r="L2676">
        <v>0</v>
      </c>
    </row>
    <row r="2677" spans="1:12">
      <c r="A2677" s="93">
        <v>212106</v>
      </c>
      <c r="B2677" t="s">
        <v>3194</v>
      </c>
      <c r="C2677" t="s">
        <v>5603</v>
      </c>
      <c r="D2677" s="92">
        <v>0.77</v>
      </c>
      <c r="E2677" s="92">
        <v>0.64</v>
      </c>
      <c r="F2677">
        <v>24</v>
      </c>
      <c r="G2677">
        <v>26.5</v>
      </c>
      <c r="H2677" t="s">
        <v>5617</v>
      </c>
      <c r="I2677">
        <v>0</v>
      </c>
      <c r="J2677" t="s">
        <v>87</v>
      </c>
      <c r="K2677">
        <v>0</v>
      </c>
      <c r="L2677">
        <v>0</v>
      </c>
    </row>
    <row r="2678" spans="1:12">
      <c r="A2678" s="93">
        <v>212115</v>
      </c>
      <c r="B2678" t="s">
        <v>3195</v>
      </c>
      <c r="C2678" t="s">
        <v>5602</v>
      </c>
      <c r="D2678" s="92">
        <v>0.57</v>
      </c>
      <c r="E2678" s="92">
        <v>0.48</v>
      </c>
      <c r="F2678">
        <v>19</v>
      </c>
      <c r="G2678">
        <v>21.5</v>
      </c>
      <c r="H2678" t="s">
        <v>5615</v>
      </c>
      <c r="I2678">
        <v>0</v>
      </c>
      <c r="J2678" t="s">
        <v>87</v>
      </c>
      <c r="K2678">
        <v>0</v>
      </c>
      <c r="L2678">
        <v>0</v>
      </c>
    </row>
    <row r="2679" spans="1:12">
      <c r="A2679" s="93">
        <v>212133</v>
      </c>
      <c r="B2679" t="s">
        <v>3196</v>
      </c>
      <c r="C2679" t="s">
        <v>5602</v>
      </c>
      <c r="D2679" s="92">
        <v>0.63</v>
      </c>
      <c r="E2679" s="92">
        <v>0.49</v>
      </c>
      <c r="F2679">
        <v>17</v>
      </c>
      <c r="G2679">
        <v>20</v>
      </c>
      <c r="H2679" t="s">
        <v>5617</v>
      </c>
      <c r="I2679">
        <v>0</v>
      </c>
      <c r="J2679" t="s">
        <v>87</v>
      </c>
      <c r="K2679">
        <v>0</v>
      </c>
      <c r="L2679">
        <v>0</v>
      </c>
    </row>
    <row r="2680" spans="1:12">
      <c r="A2680" s="93">
        <v>212160</v>
      </c>
      <c r="B2680" t="s">
        <v>3197</v>
      </c>
      <c r="C2680" t="s">
        <v>5608</v>
      </c>
      <c r="D2680" s="92">
        <v>0.49</v>
      </c>
      <c r="E2680" s="92">
        <v>0.41</v>
      </c>
      <c r="F2680">
        <v>16</v>
      </c>
      <c r="G2680">
        <v>19.5</v>
      </c>
      <c r="H2680" t="s">
        <v>5615</v>
      </c>
      <c r="I2680">
        <v>0</v>
      </c>
      <c r="J2680" t="s">
        <v>87</v>
      </c>
      <c r="K2680">
        <v>0</v>
      </c>
      <c r="L2680">
        <v>0</v>
      </c>
    </row>
    <row r="2681" spans="1:12">
      <c r="A2681" s="93">
        <v>212197</v>
      </c>
      <c r="B2681" t="s">
        <v>3198</v>
      </c>
      <c r="C2681" t="s">
        <v>5602</v>
      </c>
      <c r="D2681" s="92">
        <v>0.74</v>
      </c>
      <c r="E2681" s="92">
        <v>0.5</v>
      </c>
      <c r="F2681">
        <v>21</v>
      </c>
      <c r="G2681">
        <v>24.5</v>
      </c>
      <c r="H2681" t="s">
        <v>5617</v>
      </c>
      <c r="I2681">
        <v>0</v>
      </c>
      <c r="J2681" t="s">
        <v>87</v>
      </c>
      <c r="K2681">
        <v>0</v>
      </c>
      <c r="L2681">
        <v>0</v>
      </c>
    </row>
    <row r="2682" spans="1:12">
      <c r="A2682" s="93">
        <v>212434</v>
      </c>
      <c r="B2682" t="s">
        <v>3199</v>
      </c>
      <c r="C2682" t="s">
        <v>5606</v>
      </c>
      <c r="D2682" s="92" t="s">
        <v>428</v>
      </c>
      <c r="E2682" s="92" t="s">
        <v>428</v>
      </c>
      <c r="F2682" t="s">
        <v>428</v>
      </c>
      <c r="G2682" t="s">
        <v>428</v>
      </c>
      <c r="H2682" t="s">
        <v>5616</v>
      </c>
      <c r="I2682">
        <v>0</v>
      </c>
      <c r="J2682" t="s">
        <v>87</v>
      </c>
      <c r="K2682">
        <v>0</v>
      </c>
      <c r="L2682">
        <v>0</v>
      </c>
    </row>
    <row r="2683" spans="1:12">
      <c r="A2683" s="93">
        <v>212443</v>
      </c>
      <c r="B2683" t="s">
        <v>3200</v>
      </c>
      <c r="C2683" t="s">
        <v>5607</v>
      </c>
      <c r="D2683" s="92" t="s">
        <v>428</v>
      </c>
      <c r="E2683" s="92" t="s">
        <v>428</v>
      </c>
      <c r="F2683" t="s">
        <v>428</v>
      </c>
      <c r="G2683" t="s">
        <v>428</v>
      </c>
      <c r="H2683" t="s">
        <v>5615</v>
      </c>
      <c r="I2683">
        <v>0</v>
      </c>
      <c r="J2683" t="s">
        <v>87</v>
      </c>
      <c r="K2683">
        <v>0</v>
      </c>
      <c r="L2683">
        <v>0</v>
      </c>
    </row>
    <row r="2684" spans="1:12">
      <c r="A2684" s="93">
        <v>212452</v>
      </c>
      <c r="B2684" t="s">
        <v>3201</v>
      </c>
      <c r="C2684" t="s">
        <v>5607</v>
      </c>
      <c r="D2684" s="92">
        <v>0.49</v>
      </c>
      <c r="E2684" s="92">
        <v>0.5</v>
      </c>
      <c r="F2684" t="s">
        <v>428</v>
      </c>
      <c r="G2684" t="s">
        <v>428</v>
      </c>
      <c r="H2684" t="s">
        <v>5617</v>
      </c>
      <c r="I2684">
        <v>0</v>
      </c>
      <c r="J2684" t="s">
        <v>87</v>
      </c>
      <c r="K2684">
        <v>0</v>
      </c>
      <c r="L2684">
        <v>0</v>
      </c>
    </row>
    <row r="2685" spans="1:12">
      <c r="A2685" s="93">
        <v>212568</v>
      </c>
      <c r="B2685" t="s">
        <v>3202</v>
      </c>
      <c r="C2685" t="s">
        <v>5609</v>
      </c>
      <c r="D2685" s="92" t="s">
        <v>428</v>
      </c>
      <c r="E2685" s="92" t="s">
        <v>428</v>
      </c>
      <c r="F2685" t="s">
        <v>428</v>
      </c>
      <c r="G2685" t="s">
        <v>428</v>
      </c>
      <c r="H2685" t="s">
        <v>5615</v>
      </c>
      <c r="I2685">
        <v>0</v>
      </c>
      <c r="J2685" t="s">
        <v>87</v>
      </c>
      <c r="K2685">
        <v>0</v>
      </c>
      <c r="L2685">
        <v>0</v>
      </c>
    </row>
    <row r="2686" spans="1:12">
      <c r="A2686" s="93">
        <v>212577</v>
      </c>
      <c r="B2686" t="s">
        <v>3203</v>
      </c>
      <c r="C2686" t="s">
        <v>5605</v>
      </c>
      <c r="D2686" s="92">
        <v>0.87</v>
      </c>
      <c r="E2686" s="92">
        <v>0.87</v>
      </c>
      <c r="F2686" t="s">
        <v>428</v>
      </c>
      <c r="G2686" t="s">
        <v>428</v>
      </c>
      <c r="H2686" t="s">
        <v>5623</v>
      </c>
      <c r="I2686">
        <v>1</v>
      </c>
      <c r="J2686" t="s">
        <v>87</v>
      </c>
      <c r="K2686">
        <v>0</v>
      </c>
      <c r="L2686">
        <v>0</v>
      </c>
    </row>
    <row r="2687" spans="1:12">
      <c r="A2687" s="93">
        <v>212601</v>
      </c>
      <c r="B2687" t="s">
        <v>3204</v>
      </c>
      <c r="C2687" t="s">
        <v>5602</v>
      </c>
      <c r="D2687" s="92">
        <v>0.65</v>
      </c>
      <c r="E2687" s="92">
        <v>0.39</v>
      </c>
      <c r="F2687">
        <v>20</v>
      </c>
      <c r="G2687">
        <v>23</v>
      </c>
      <c r="H2687" t="s">
        <v>5617</v>
      </c>
      <c r="I2687">
        <v>0</v>
      </c>
      <c r="J2687" t="s">
        <v>87</v>
      </c>
      <c r="K2687">
        <v>0</v>
      </c>
      <c r="L2687">
        <v>0</v>
      </c>
    </row>
    <row r="2688" spans="1:12">
      <c r="A2688" s="93">
        <v>212656</v>
      </c>
      <c r="B2688" t="s">
        <v>3205</v>
      </c>
      <c r="C2688" t="s">
        <v>5602</v>
      </c>
      <c r="D2688" s="92">
        <v>0.64</v>
      </c>
      <c r="E2688" s="92">
        <v>0.29</v>
      </c>
      <c r="F2688">
        <v>20</v>
      </c>
      <c r="G2688">
        <v>24.5</v>
      </c>
      <c r="H2688" t="s">
        <v>5617</v>
      </c>
      <c r="I2688">
        <v>0</v>
      </c>
      <c r="J2688" t="s">
        <v>87</v>
      </c>
      <c r="K2688">
        <v>0</v>
      </c>
      <c r="L2688">
        <v>0</v>
      </c>
    </row>
    <row r="2689" spans="1:12">
      <c r="A2689" s="93">
        <v>212674</v>
      </c>
      <c r="B2689" t="s">
        <v>453</v>
      </c>
      <c r="C2689" t="s">
        <v>5605</v>
      </c>
      <c r="D2689" s="92">
        <v>0.85</v>
      </c>
      <c r="E2689" s="92">
        <v>0.83</v>
      </c>
      <c r="F2689" t="s">
        <v>428</v>
      </c>
      <c r="G2689" t="s">
        <v>428</v>
      </c>
      <c r="H2689" t="s">
        <v>5623</v>
      </c>
      <c r="I2689">
        <v>1</v>
      </c>
      <c r="J2689" t="s">
        <v>87</v>
      </c>
      <c r="K2689">
        <v>0</v>
      </c>
      <c r="L2689">
        <v>0</v>
      </c>
    </row>
    <row r="2690" spans="1:12">
      <c r="A2690" s="93">
        <v>212771</v>
      </c>
      <c r="B2690" t="s">
        <v>3206</v>
      </c>
      <c r="C2690" t="s">
        <v>5607</v>
      </c>
      <c r="D2690" s="92" t="s">
        <v>428</v>
      </c>
      <c r="E2690" s="92" t="s">
        <v>428</v>
      </c>
      <c r="F2690" t="s">
        <v>428</v>
      </c>
      <c r="G2690" t="s">
        <v>428</v>
      </c>
      <c r="H2690" t="s">
        <v>5615</v>
      </c>
      <c r="I2690">
        <v>0</v>
      </c>
      <c r="J2690" t="s">
        <v>87</v>
      </c>
      <c r="K2690">
        <v>0</v>
      </c>
      <c r="L2690">
        <v>0</v>
      </c>
    </row>
    <row r="2691" spans="1:12">
      <c r="A2691" s="93">
        <v>212805</v>
      </c>
      <c r="B2691" t="s">
        <v>3207</v>
      </c>
      <c r="C2691" t="s">
        <v>5603</v>
      </c>
      <c r="D2691" s="92">
        <v>0.83</v>
      </c>
      <c r="E2691" s="92">
        <v>0.8</v>
      </c>
      <c r="F2691">
        <v>23</v>
      </c>
      <c r="G2691">
        <v>26</v>
      </c>
      <c r="H2691" t="s">
        <v>5615</v>
      </c>
      <c r="I2691">
        <v>0</v>
      </c>
      <c r="J2691" t="s">
        <v>87</v>
      </c>
      <c r="K2691">
        <v>0</v>
      </c>
      <c r="L2691">
        <v>0</v>
      </c>
    </row>
    <row r="2692" spans="1:12">
      <c r="A2692" s="93">
        <v>212832</v>
      </c>
      <c r="B2692" t="s">
        <v>3208</v>
      </c>
      <c r="C2692" t="s">
        <v>5608</v>
      </c>
      <c r="D2692" s="92">
        <v>0.54</v>
      </c>
      <c r="E2692" s="92">
        <v>0.36</v>
      </c>
      <c r="F2692">
        <v>16</v>
      </c>
      <c r="G2692">
        <v>19.5</v>
      </c>
      <c r="H2692" t="s">
        <v>5617</v>
      </c>
      <c r="I2692">
        <v>0</v>
      </c>
      <c r="J2692" t="s">
        <v>87</v>
      </c>
      <c r="K2692">
        <v>0</v>
      </c>
      <c r="L2692">
        <v>0</v>
      </c>
    </row>
    <row r="2693" spans="1:12">
      <c r="A2693" s="93">
        <v>212869</v>
      </c>
      <c r="B2693" t="s">
        <v>3209</v>
      </c>
      <c r="C2693" t="s">
        <v>5606</v>
      </c>
      <c r="D2693" s="92" t="s">
        <v>428</v>
      </c>
      <c r="E2693" s="92" t="s">
        <v>428</v>
      </c>
      <c r="F2693" t="s">
        <v>428</v>
      </c>
      <c r="G2693" t="s">
        <v>428</v>
      </c>
      <c r="H2693" t="s">
        <v>5617</v>
      </c>
      <c r="I2693">
        <v>0</v>
      </c>
      <c r="J2693" t="s">
        <v>87</v>
      </c>
      <c r="K2693">
        <v>0</v>
      </c>
      <c r="L2693">
        <v>0</v>
      </c>
    </row>
    <row r="2694" spans="1:12">
      <c r="A2694" s="93">
        <v>212878</v>
      </c>
      <c r="B2694" t="s">
        <v>3210</v>
      </c>
      <c r="C2694" t="s">
        <v>5606</v>
      </c>
      <c r="D2694" s="92">
        <v>0.19</v>
      </c>
      <c r="E2694" s="92">
        <v>0.14</v>
      </c>
      <c r="F2694" t="s">
        <v>428</v>
      </c>
      <c r="G2694" t="s">
        <v>428</v>
      </c>
      <c r="H2694" t="s">
        <v>5615</v>
      </c>
      <c r="I2694">
        <v>0</v>
      </c>
      <c r="J2694" t="s">
        <v>87</v>
      </c>
      <c r="K2694">
        <v>0</v>
      </c>
      <c r="L2694">
        <v>0</v>
      </c>
    </row>
    <row r="2695" spans="1:12">
      <c r="A2695" s="93">
        <v>212911</v>
      </c>
      <c r="B2695" t="s">
        <v>3211</v>
      </c>
      <c r="C2695" t="s">
        <v>5611</v>
      </c>
      <c r="D2695" s="92">
        <v>0.91</v>
      </c>
      <c r="E2695" s="92">
        <v>0.87</v>
      </c>
      <c r="F2695">
        <v>31</v>
      </c>
      <c r="G2695">
        <v>32.5</v>
      </c>
      <c r="H2695" t="s">
        <v>5619</v>
      </c>
      <c r="I2695">
        <v>1</v>
      </c>
      <c r="J2695" t="s">
        <v>87</v>
      </c>
      <c r="K2695">
        <v>0</v>
      </c>
      <c r="L2695">
        <v>0</v>
      </c>
    </row>
    <row r="2696" spans="1:12">
      <c r="A2696" s="93">
        <v>212975</v>
      </c>
      <c r="B2696" t="s">
        <v>3212</v>
      </c>
      <c r="C2696" t="s">
        <v>5606</v>
      </c>
      <c r="D2696" s="92" t="s">
        <v>428</v>
      </c>
      <c r="E2696" s="92" t="s">
        <v>428</v>
      </c>
      <c r="F2696" t="s">
        <v>428</v>
      </c>
      <c r="G2696" t="s">
        <v>428</v>
      </c>
      <c r="H2696" t="s">
        <v>5617</v>
      </c>
      <c r="I2696">
        <v>0</v>
      </c>
      <c r="J2696" t="s">
        <v>87</v>
      </c>
      <c r="K2696">
        <v>0</v>
      </c>
      <c r="L2696">
        <v>0</v>
      </c>
    </row>
    <row r="2697" spans="1:12">
      <c r="A2697" s="93">
        <v>212984</v>
      </c>
      <c r="B2697" t="s">
        <v>3213</v>
      </c>
      <c r="C2697" t="s">
        <v>5608</v>
      </c>
      <c r="D2697" s="92">
        <v>0.57</v>
      </c>
      <c r="E2697" s="92">
        <v>0.39</v>
      </c>
      <c r="F2697">
        <v>15</v>
      </c>
      <c r="G2697">
        <v>17.5</v>
      </c>
      <c r="H2697" t="s">
        <v>5616</v>
      </c>
      <c r="I2697">
        <v>0</v>
      </c>
      <c r="J2697" t="s">
        <v>87</v>
      </c>
      <c r="K2697">
        <v>0</v>
      </c>
      <c r="L2697">
        <v>0</v>
      </c>
    </row>
    <row r="2698" spans="1:12">
      <c r="A2698" s="93">
        <v>212993</v>
      </c>
      <c r="B2698" t="s">
        <v>3214</v>
      </c>
      <c r="C2698" t="s">
        <v>5608</v>
      </c>
      <c r="D2698" s="92">
        <v>0.92</v>
      </c>
      <c r="E2698" s="92">
        <v>1</v>
      </c>
      <c r="F2698">
        <v>15</v>
      </c>
      <c r="G2698">
        <v>18.5</v>
      </c>
      <c r="H2698" t="s">
        <v>5617</v>
      </c>
      <c r="I2698">
        <v>0</v>
      </c>
      <c r="J2698" t="s">
        <v>87</v>
      </c>
      <c r="K2698">
        <v>0</v>
      </c>
      <c r="L2698">
        <v>0</v>
      </c>
    </row>
    <row r="2699" spans="1:12">
      <c r="A2699" s="93">
        <v>213002</v>
      </c>
      <c r="B2699" t="s">
        <v>3215</v>
      </c>
      <c r="C2699" t="s">
        <v>5606</v>
      </c>
      <c r="D2699" s="92" t="s">
        <v>428</v>
      </c>
      <c r="E2699" s="92" t="s">
        <v>428</v>
      </c>
      <c r="F2699" t="s">
        <v>428</v>
      </c>
      <c r="G2699" t="s">
        <v>428</v>
      </c>
      <c r="H2699" t="s">
        <v>5617</v>
      </c>
      <c r="I2699">
        <v>0</v>
      </c>
      <c r="J2699" t="s">
        <v>87</v>
      </c>
      <c r="K2699">
        <v>0</v>
      </c>
      <c r="L2699">
        <v>0</v>
      </c>
    </row>
    <row r="2700" spans="1:12">
      <c r="A2700" s="93">
        <v>213011</v>
      </c>
      <c r="B2700" t="s">
        <v>3216</v>
      </c>
      <c r="C2700" t="s">
        <v>5602</v>
      </c>
      <c r="D2700" s="92">
        <v>0.66</v>
      </c>
      <c r="E2700" s="92">
        <v>0.54</v>
      </c>
      <c r="F2700">
        <v>18</v>
      </c>
      <c r="G2700">
        <v>20.5</v>
      </c>
      <c r="H2700" t="s">
        <v>5617</v>
      </c>
      <c r="I2700">
        <v>0</v>
      </c>
      <c r="J2700" t="s">
        <v>87</v>
      </c>
      <c r="K2700">
        <v>0</v>
      </c>
      <c r="L2700">
        <v>0</v>
      </c>
    </row>
    <row r="2701" spans="1:12">
      <c r="A2701" s="93">
        <v>213020</v>
      </c>
      <c r="B2701" t="s">
        <v>3217</v>
      </c>
      <c r="C2701" t="s">
        <v>5608</v>
      </c>
      <c r="D2701" s="92">
        <v>0.54</v>
      </c>
      <c r="E2701" s="92">
        <v>0.35</v>
      </c>
      <c r="F2701">
        <v>15</v>
      </c>
      <c r="G2701">
        <v>17.5</v>
      </c>
      <c r="H2701" t="s">
        <v>5615</v>
      </c>
      <c r="I2701">
        <v>0</v>
      </c>
      <c r="J2701" t="s">
        <v>87</v>
      </c>
      <c r="K2701">
        <v>0</v>
      </c>
      <c r="L2701">
        <v>0</v>
      </c>
    </row>
    <row r="2702" spans="1:12">
      <c r="A2702" s="93">
        <v>213163</v>
      </c>
      <c r="B2702" t="s">
        <v>3218</v>
      </c>
      <c r="C2702" t="s">
        <v>5606</v>
      </c>
      <c r="D2702" s="92" t="s">
        <v>428</v>
      </c>
      <c r="E2702" s="92" t="s">
        <v>428</v>
      </c>
      <c r="F2702" t="s">
        <v>428</v>
      </c>
      <c r="G2702" t="s">
        <v>428</v>
      </c>
      <c r="H2702" t="s">
        <v>5615</v>
      </c>
      <c r="I2702">
        <v>0</v>
      </c>
      <c r="J2702" t="s">
        <v>87</v>
      </c>
      <c r="K2702">
        <v>0</v>
      </c>
      <c r="L2702">
        <v>0</v>
      </c>
    </row>
    <row r="2703" spans="1:12">
      <c r="A2703" s="93">
        <v>213181</v>
      </c>
      <c r="B2703" t="s">
        <v>3219</v>
      </c>
      <c r="C2703" t="s">
        <v>5606</v>
      </c>
      <c r="D2703" s="92" t="s">
        <v>428</v>
      </c>
      <c r="E2703" s="92" t="s">
        <v>428</v>
      </c>
      <c r="F2703" t="s">
        <v>428</v>
      </c>
      <c r="G2703" t="s">
        <v>428</v>
      </c>
      <c r="H2703" t="s">
        <v>5617</v>
      </c>
      <c r="I2703">
        <v>0</v>
      </c>
      <c r="J2703" t="s">
        <v>87</v>
      </c>
      <c r="K2703">
        <v>0</v>
      </c>
      <c r="L2703">
        <v>0</v>
      </c>
    </row>
    <row r="2704" spans="1:12">
      <c r="A2704" s="93">
        <v>213233</v>
      </c>
      <c r="B2704" t="s">
        <v>3220</v>
      </c>
      <c r="C2704" t="s">
        <v>5609</v>
      </c>
      <c r="D2704" s="92" t="s">
        <v>428</v>
      </c>
      <c r="E2704" s="92" t="s">
        <v>428</v>
      </c>
      <c r="F2704" t="s">
        <v>428</v>
      </c>
      <c r="G2704" t="s">
        <v>428</v>
      </c>
      <c r="H2704" t="s">
        <v>5617</v>
      </c>
      <c r="I2704">
        <v>0</v>
      </c>
      <c r="J2704" t="s">
        <v>87</v>
      </c>
      <c r="K2704">
        <v>0</v>
      </c>
      <c r="L2704">
        <v>0</v>
      </c>
    </row>
    <row r="2705" spans="1:12">
      <c r="A2705" s="93">
        <v>213251</v>
      </c>
      <c r="B2705" t="s">
        <v>3221</v>
      </c>
      <c r="C2705" t="s">
        <v>5603</v>
      </c>
      <c r="D2705" s="92">
        <v>0.76</v>
      </c>
      <c r="E2705" s="92">
        <v>0.65</v>
      </c>
      <c r="F2705" t="s">
        <v>428</v>
      </c>
      <c r="G2705" t="s">
        <v>428</v>
      </c>
      <c r="H2705" t="s">
        <v>5617</v>
      </c>
      <c r="I2705">
        <v>0</v>
      </c>
      <c r="J2705" t="s">
        <v>87</v>
      </c>
      <c r="K2705">
        <v>0</v>
      </c>
      <c r="L2705">
        <v>0</v>
      </c>
    </row>
    <row r="2706" spans="1:12">
      <c r="A2706" s="93">
        <v>213303</v>
      </c>
      <c r="B2706" t="s">
        <v>3222</v>
      </c>
      <c r="C2706" t="s">
        <v>5608</v>
      </c>
      <c r="D2706" s="92">
        <v>0.42</v>
      </c>
      <c r="E2706" s="92">
        <v>0.31</v>
      </c>
      <c r="F2706">
        <v>14</v>
      </c>
      <c r="G2706">
        <v>16</v>
      </c>
      <c r="H2706" t="s">
        <v>5617</v>
      </c>
      <c r="I2706">
        <v>0</v>
      </c>
      <c r="J2706" t="s">
        <v>87</v>
      </c>
      <c r="K2706">
        <v>0</v>
      </c>
      <c r="L2706">
        <v>0</v>
      </c>
    </row>
    <row r="2707" spans="1:12">
      <c r="A2707" s="93">
        <v>213321</v>
      </c>
      <c r="B2707" t="s">
        <v>3223</v>
      </c>
      <c r="C2707" t="s">
        <v>5602</v>
      </c>
      <c r="D2707" s="92">
        <v>0.64</v>
      </c>
      <c r="E2707" s="92">
        <v>0.47</v>
      </c>
      <c r="F2707" t="s">
        <v>428</v>
      </c>
      <c r="G2707" t="s">
        <v>428</v>
      </c>
      <c r="H2707" t="s">
        <v>5617</v>
      </c>
      <c r="I2707">
        <v>0</v>
      </c>
      <c r="J2707" t="s">
        <v>87</v>
      </c>
      <c r="K2707">
        <v>0</v>
      </c>
      <c r="L2707">
        <v>0</v>
      </c>
    </row>
    <row r="2708" spans="1:12">
      <c r="A2708" s="93">
        <v>213349</v>
      </c>
      <c r="B2708" t="s">
        <v>3224</v>
      </c>
      <c r="C2708" t="s">
        <v>5608</v>
      </c>
      <c r="D2708" s="92">
        <v>0.55</v>
      </c>
      <c r="E2708" s="92">
        <v>0.37</v>
      </c>
      <c r="F2708">
        <v>16</v>
      </c>
      <c r="G2708">
        <v>18.5</v>
      </c>
      <c r="H2708" t="s">
        <v>5615</v>
      </c>
      <c r="I2708">
        <v>0</v>
      </c>
      <c r="J2708" t="s">
        <v>87</v>
      </c>
      <c r="K2708">
        <v>0</v>
      </c>
      <c r="L2708">
        <v>0</v>
      </c>
    </row>
    <row r="2709" spans="1:12">
      <c r="A2709" s="93">
        <v>213358</v>
      </c>
      <c r="B2709" t="s">
        <v>3225</v>
      </c>
      <c r="C2709" t="s">
        <v>5608</v>
      </c>
      <c r="D2709" s="92">
        <v>0.47</v>
      </c>
      <c r="E2709" s="92">
        <v>0.29</v>
      </c>
      <c r="F2709">
        <v>17</v>
      </c>
      <c r="G2709">
        <v>20</v>
      </c>
      <c r="H2709" t="s">
        <v>5617</v>
      </c>
      <c r="I2709">
        <v>0</v>
      </c>
      <c r="J2709" t="s">
        <v>87</v>
      </c>
      <c r="K2709">
        <v>0</v>
      </c>
      <c r="L2709">
        <v>0</v>
      </c>
    </row>
    <row r="2710" spans="1:12">
      <c r="A2710" s="93">
        <v>213367</v>
      </c>
      <c r="B2710" t="s">
        <v>3226</v>
      </c>
      <c r="C2710" t="s">
        <v>5602</v>
      </c>
      <c r="D2710" s="92">
        <v>0.65</v>
      </c>
      <c r="E2710" s="92">
        <v>0.52</v>
      </c>
      <c r="F2710">
        <v>19</v>
      </c>
      <c r="G2710">
        <v>22</v>
      </c>
      <c r="H2710" t="s">
        <v>5617</v>
      </c>
      <c r="I2710">
        <v>0</v>
      </c>
      <c r="J2710" t="s">
        <v>87</v>
      </c>
      <c r="K2710">
        <v>0</v>
      </c>
      <c r="L2710">
        <v>0</v>
      </c>
    </row>
    <row r="2711" spans="1:12">
      <c r="A2711" s="93">
        <v>213376</v>
      </c>
      <c r="B2711" t="s">
        <v>3227</v>
      </c>
      <c r="C2711" t="s">
        <v>5604</v>
      </c>
      <c r="D2711" s="92">
        <v>0.3</v>
      </c>
      <c r="E2711" s="92">
        <v>0.17</v>
      </c>
      <c r="F2711" t="s">
        <v>428</v>
      </c>
      <c r="G2711" t="s">
        <v>428</v>
      </c>
      <c r="H2711" t="s">
        <v>5617</v>
      </c>
      <c r="I2711">
        <v>0</v>
      </c>
      <c r="J2711" t="s">
        <v>87</v>
      </c>
      <c r="K2711">
        <v>0</v>
      </c>
      <c r="L2711">
        <v>0</v>
      </c>
    </row>
    <row r="2712" spans="1:12">
      <c r="A2712" s="93">
        <v>213385</v>
      </c>
      <c r="B2712" t="s">
        <v>466</v>
      </c>
      <c r="C2712" t="s">
        <v>5612</v>
      </c>
      <c r="D2712" s="92">
        <v>0.89</v>
      </c>
      <c r="E2712" s="92">
        <v>0.86</v>
      </c>
      <c r="F2712">
        <v>27</v>
      </c>
      <c r="G2712">
        <v>29</v>
      </c>
      <c r="H2712" t="s">
        <v>5619</v>
      </c>
      <c r="I2712">
        <v>1</v>
      </c>
      <c r="J2712" t="s">
        <v>87</v>
      </c>
      <c r="K2712">
        <v>0</v>
      </c>
      <c r="L2712">
        <v>0</v>
      </c>
    </row>
    <row r="2713" spans="1:12">
      <c r="A2713" s="93">
        <v>213400</v>
      </c>
      <c r="B2713" t="s">
        <v>3228</v>
      </c>
      <c r="C2713" t="s">
        <v>5602</v>
      </c>
      <c r="D2713" s="92">
        <v>0.65</v>
      </c>
      <c r="E2713" s="92">
        <v>0.44</v>
      </c>
      <c r="F2713">
        <v>19</v>
      </c>
      <c r="G2713">
        <v>22</v>
      </c>
      <c r="H2713" t="s">
        <v>5617</v>
      </c>
      <c r="I2713">
        <v>0</v>
      </c>
      <c r="J2713" t="s">
        <v>87</v>
      </c>
      <c r="K2713">
        <v>0</v>
      </c>
      <c r="L2713">
        <v>0</v>
      </c>
    </row>
    <row r="2714" spans="1:12">
      <c r="A2714" s="93">
        <v>213446</v>
      </c>
      <c r="B2714" t="s">
        <v>3229</v>
      </c>
      <c r="C2714" t="s">
        <v>5607</v>
      </c>
      <c r="D2714" s="92" t="s">
        <v>428</v>
      </c>
      <c r="E2714" s="92" t="s">
        <v>428</v>
      </c>
      <c r="F2714" t="s">
        <v>428</v>
      </c>
      <c r="G2714" t="s">
        <v>428</v>
      </c>
      <c r="H2714" t="s">
        <v>5615</v>
      </c>
      <c r="I2714">
        <v>0</v>
      </c>
      <c r="J2714" t="s">
        <v>87</v>
      </c>
      <c r="K2714">
        <v>0</v>
      </c>
      <c r="L2714">
        <v>0</v>
      </c>
    </row>
    <row r="2715" spans="1:12">
      <c r="A2715" s="93">
        <v>213473</v>
      </c>
      <c r="B2715" t="s">
        <v>3230</v>
      </c>
      <c r="C2715" t="s">
        <v>5606</v>
      </c>
      <c r="D2715" s="92" t="s">
        <v>428</v>
      </c>
      <c r="E2715" s="92" t="s">
        <v>428</v>
      </c>
      <c r="F2715" t="s">
        <v>428</v>
      </c>
      <c r="G2715" t="s">
        <v>428</v>
      </c>
      <c r="H2715" t="s">
        <v>5617</v>
      </c>
      <c r="I2715">
        <v>0</v>
      </c>
      <c r="J2715" t="s">
        <v>87</v>
      </c>
      <c r="K2715">
        <v>0</v>
      </c>
      <c r="L2715">
        <v>0</v>
      </c>
    </row>
    <row r="2716" spans="1:12">
      <c r="A2716" s="93">
        <v>213507</v>
      </c>
      <c r="B2716" t="s">
        <v>3231</v>
      </c>
      <c r="C2716" t="s">
        <v>5602</v>
      </c>
      <c r="D2716" s="92">
        <v>0.75</v>
      </c>
      <c r="E2716" s="92">
        <v>0.59</v>
      </c>
      <c r="F2716">
        <v>21</v>
      </c>
      <c r="G2716">
        <v>24.5</v>
      </c>
      <c r="H2716" t="s">
        <v>5617</v>
      </c>
      <c r="I2716">
        <v>0</v>
      </c>
      <c r="J2716" t="s">
        <v>87</v>
      </c>
      <c r="K2716">
        <v>0</v>
      </c>
      <c r="L2716">
        <v>0</v>
      </c>
    </row>
    <row r="2717" spans="1:12">
      <c r="A2717" s="93">
        <v>213525</v>
      </c>
      <c r="B2717" t="s">
        <v>3232</v>
      </c>
      <c r="C2717" t="s">
        <v>5606</v>
      </c>
      <c r="D2717" s="92">
        <v>0.28</v>
      </c>
      <c r="E2717" s="92">
        <v>0.17</v>
      </c>
      <c r="F2717" t="s">
        <v>428</v>
      </c>
      <c r="G2717" t="s">
        <v>428</v>
      </c>
      <c r="H2717" t="s">
        <v>5615</v>
      </c>
      <c r="I2717">
        <v>0</v>
      </c>
      <c r="J2717" t="s">
        <v>87</v>
      </c>
      <c r="K2717">
        <v>0</v>
      </c>
      <c r="L2717">
        <v>0</v>
      </c>
    </row>
    <row r="2718" spans="1:12">
      <c r="A2718" s="93">
        <v>213534</v>
      </c>
      <c r="B2718" t="s">
        <v>3233</v>
      </c>
      <c r="C2718" t="s">
        <v>5606</v>
      </c>
      <c r="D2718" s="92" t="s">
        <v>428</v>
      </c>
      <c r="E2718" s="92" t="s">
        <v>428</v>
      </c>
      <c r="F2718" t="s">
        <v>428</v>
      </c>
      <c r="G2718" t="s">
        <v>428</v>
      </c>
      <c r="H2718" t="s">
        <v>5617</v>
      </c>
      <c r="I2718">
        <v>0</v>
      </c>
      <c r="J2718" t="s">
        <v>87</v>
      </c>
      <c r="K2718">
        <v>0</v>
      </c>
      <c r="L2718">
        <v>0</v>
      </c>
    </row>
    <row r="2719" spans="1:12">
      <c r="A2719" s="93">
        <v>213543</v>
      </c>
      <c r="B2719" t="s">
        <v>3234</v>
      </c>
      <c r="C2719" t="s">
        <v>5612</v>
      </c>
      <c r="D2719" s="92">
        <v>0.89</v>
      </c>
      <c r="E2719" s="92">
        <v>0.78</v>
      </c>
      <c r="F2719">
        <v>29</v>
      </c>
      <c r="G2719">
        <v>30.5</v>
      </c>
      <c r="H2719" t="s">
        <v>5619</v>
      </c>
      <c r="I2719">
        <v>1</v>
      </c>
      <c r="J2719" t="s">
        <v>87</v>
      </c>
      <c r="K2719">
        <v>0</v>
      </c>
      <c r="L2719">
        <v>0</v>
      </c>
    </row>
    <row r="2720" spans="1:12">
      <c r="A2720" s="93">
        <v>213570</v>
      </c>
      <c r="B2720" t="s">
        <v>3235</v>
      </c>
      <c r="C2720" t="s">
        <v>5606</v>
      </c>
      <c r="D2720" s="92" t="s">
        <v>428</v>
      </c>
      <c r="E2720" s="92" t="s">
        <v>428</v>
      </c>
      <c r="F2720" t="s">
        <v>428</v>
      </c>
      <c r="G2720" t="s">
        <v>428</v>
      </c>
      <c r="H2720" t="s">
        <v>5617</v>
      </c>
      <c r="I2720">
        <v>0</v>
      </c>
      <c r="J2720" t="s">
        <v>87</v>
      </c>
      <c r="K2720">
        <v>0</v>
      </c>
      <c r="L2720">
        <v>0</v>
      </c>
    </row>
    <row r="2721" spans="1:12">
      <c r="A2721" s="93">
        <v>213589</v>
      </c>
      <c r="B2721" t="s">
        <v>3236</v>
      </c>
      <c r="C2721" t="s">
        <v>5606</v>
      </c>
      <c r="D2721" s="92" t="s">
        <v>428</v>
      </c>
      <c r="E2721" s="92" t="s">
        <v>428</v>
      </c>
      <c r="F2721" t="s">
        <v>428</v>
      </c>
      <c r="G2721" t="s">
        <v>428</v>
      </c>
      <c r="H2721" t="s">
        <v>5617</v>
      </c>
      <c r="I2721">
        <v>0</v>
      </c>
      <c r="J2721" t="s">
        <v>87</v>
      </c>
      <c r="K2721">
        <v>0</v>
      </c>
      <c r="L2721">
        <v>0</v>
      </c>
    </row>
    <row r="2722" spans="1:12">
      <c r="A2722" s="93">
        <v>213598</v>
      </c>
      <c r="B2722" t="s">
        <v>2236</v>
      </c>
      <c r="C2722" t="s">
        <v>5604</v>
      </c>
      <c r="D2722" s="92">
        <v>0.43</v>
      </c>
      <c r="E2722" s="92">
        <v>0.6</v>
      </c>
      <c r="F2722">
        <v>13</v>
      </c>
      <c r="G2722">
        <v>15</v>
      </c>
      <c r="H2722" t="s">
        <v>5617</v>
      </c>
      <c r="I2722">
        <v>0</v>
      </c>
      <c r="J2722" t="s">
        <v>138</v>
      </c>
      <c r="K2722">
        <v>0</v>
      </c>
      <c r="L2722">
        <v>0</v>
      </c>
    </row>
    <row r="2723" spans="1:12">
      <c r="A2723" s="93">
        <v>213613</v>
      </c>
      <c r="B2723" t="s">
        <v>3237</v>
      </c>
      <c r="C2723" t="s">
        <v>5608</v>
      </c>
      <c r="D2723" s="92">
        <v>0.48</v>
      </c>
      <c r="E2723" s="92">
        <v>0.36</v>
      </c>
      <c r="F2723">
        <v>15</v>
      </c>
      <c r="G2723">
        <v>17.5</v>
      </c>
      <c r="H2723" t="s">
        <v>5615</v>
      </c>
      <c r="I2723">
        <v>0</v>
      </c>
      <c r="J2723" t="s">
        <v>87</v>
      </c>
      <c r="K2723">
        <v>0</v>
      </c>
      <c r="L2723">
        <v>0</v>
      </c>
    </row>
    <row r="2724" spans="1:12">
      <c r="A2724" s="93">
        <v>213622</v>
      </c>
      <c r="B2724" t="s">
        <v>3238</v>
      </c>
      <c r="C2724" t="s">
        <v>5606</v>
      </c>
      <c r="D2724" s="92">
        <v>0.39</v>
      </c>
      <c r="E2724" s="92">
        <v>0</v>
      </c>
      <c r="F2724" t="s">
        <v>428</v>
      </c>
      <c r="G2724" t="s">
        <v>428</v>
      </c>
      <c r="H2724" t="s">
        <v>5615</v>
      </c>
      <c r="I2724">
        <v>0</v>
      </c>
      <c r="J2724" t="s">
        <v>87</v>
      </c>
      <c r="K2724">
        <v>0</v>
      </c>
      <c r="L2724">
        <v>0</v>
      </c>
    </row>
    <row r="2725" spans="1:12">
      <c r="A2725" s="93">
        <v>213631</v>
      </c>
      <c r="B2725" t="s">
        <v>3239</v>
      </c>
      <c r="C2725" t="s">
        <v>5607</v>
      </c>
      <c r="D2725" s="92" t="s">
        <v>428</v>
      </c>
      <c r="E2725" s="92" t="s">
        <v>428</v>
      </c>
      <c r="F2725" t="s">
        <v>428</v>
      </c>
      <c r="G2725" t="s">
        <v>428</v>
      </c>
      <c r="H2725" t="s">
        <v>5615</v>
      </c>
      <c r="I2725">
        <v>0</v>
      </c>
      <c r="J2725" t="s">
        <v>87</v>
      </c>
      <c r="K2725">
        <v>0</v>
      </c>
      <c r="L2725">
        <v>0</v>
      </c>
    </row>
    <row r="2726" spans="1:12">
      <c r="A2726" s="93">
        <v>213640</v>
      </c>
      <c r="B2726" t="s">
        <v>3240</v>
      </c>
      <c r="C2726" t="s">
        <v>5607</v>
      </c>
      <c r="D2726" s="92" t="s">
        <v>428</v>
      </c>
      <c r="E2726" s="92" t="s">
        <v>428</v>
      </c>
      <c r="F2726" t="s">
        <v>428</v>
      </c>
      <c r="G2726" t="s">
        <v>428</v>
      </c>
      <c r="H2726" t="s">
        <v>5615</v>
      </c>
      <c r="I2726">
        <v>0</v>
      </c>
      <c r="J2726" t="s">
        <v>87</v>
      </c>
      <c r="K2726">
        <v>0</v>
      </c>
      <c r="L2726">
        <v>0</v>
      </c>
    </row>
    <row r="2727" spans="1:12">
      <c r="A2727" s="93">
        <v>213659</v>
      </c>
      <c r="B2727" t="s">
        <v>3241</v>
      </c>
      <c r="C2727" t="s">
        <v>5606</v>
      </c>
      <c r="D2727" s="92">
        <v>0.27</v>
      </c>
      <c r="E2727" s="92">
        <v>0.18</v>
      </c>
      <c r="F2727" t="s">
        <v>428</v>
      </c>
      <c r="G2727" t="s">
        <v>428</v>
      </c>
      <c r="H2727" t="s">
        <v>5615</v>
      </c>
      <c r="I2727">
        <v>0</v>
      </c>
      <c r="J2727" t="s">
        <v>87</v>
      </c>
      <c r="K2727">
        <v>0</v>
      </c>
      <c r="L2727">
        <v>0</v>
      </c>
    </row>
    <row r="2728" spans="1:12">
      <c r="A2728" s="93">
        <v>213668</v>
      </c>
      <c r="B2728" t="s">
        <v>456</v>
      </c>
      <c r="C2728" t="s">
        <v>5602</v>
      </c>
      <c r="D2728" s="92">
        <v>0.8100000000000001</v>
      </c>
      <c r="E2728" s="92">
        <v>0.77</v>
      </c>
      <c r="F2728">
        <v>20</v>
      </c>
      <c r="G2728">
        <v>22.5</v>
      </c>
      <c r="H2728" t="s">
        <v>5624</v>
      </c>
      <c r="I2728">
        <v>1</v>
      </c>
      <c r="J2728" t="s">
        <v>87</v>
      </c>
      <c r="K2728">
        <v>0</v>
      </c>
      <c r="L2728">
        <v>0</v>
      </c>
    </row>
    <row r="2729" spans="1:12">
      <c r="A2729" s="93">
        <v>213774</v>
      </c>
      <c r="B2729" t="s">
        <v>3242</v>
      </c>
      <c r="C2729" t="s">
        <v>5609</v>
      </c>
      <c r="D2729" s="92">
        <v>0.44</v>
      </c>
      <c r="E2729" s="92">
        <v>0.37</v>
      </c>
      <c r="F2729">
        <v>11</v>
      </c>
      <c r="G2729">
        <v>13.5</v>
      </c>
      <c r="H2729" t="s">
        <v>5617</v>
      </c>
      <c r="I2729">
        <v>0</v>
      </c>
      <c r="J2729" t="s">
        <v>87</v>
      </c>
      <c r="K2729">
        <v>0</v>
      </c>
      <c r="L2729">
        <v>0</v>
      </c>
    </row>
    <row r="2730" spans="1:12">
      <c r="A2730" s="93">
        <v>213783</v>
      </c>
      <c r="B2730" t="s">
        <v>3243</v>
      </c>
      <c r="C2730" t="s">
        <v>5608</v>
      </c>
      <c r="D2730" s="92">
        <v>0.53</v>
      </c>
      <c r="E2730" s="92">
        <v>0.47</v>
      </c>
      <c r="F2730">
        <v>18</v>
      </c>
      <c r="G2730">
        <v>21</v>
      </c>
      <c r="H2730" t="s">
        <v>5615</v>
      </c>
      <c r="I2730">
        <v>0</v>
      </c>
      <c r="J2730" t="s">
        <v>87</v>
      </c>
      <c r="K2730">
        <v>0</v>
      </c>
      <c r="L2730">
        <v>0</v>
      </c>
    </row>
    <row r="2731" spans="1:12">
      <c r="A2731" s="93">
        <v>213826</v>
      </c>
      <c r="B2731" t="s">
        <v>3244</v>
      </c>
      <c r="C2731" t="s">
        <v>5602</v>
      </c>
      <c r="D2731" s="92">
        <v>0.68</v>
      </c>
      <c r="E2731" s="92">
        <v>0.52</v>
      </c>
      <c r="F2731">
        <v>17</v>
      </c>
      <c r="G2731">
        <v>19.5</v>
      </c>
      <c r="H2731" t="s">
        <v>5617</v>
      </c>
      <c r="I2731">
        <v>0</v>
      </c>
      <c r="J2731" t="s">
        <v>87</v>
      </c>
      <c r="K2731">
        <v>0</v>
      </c>
      <c r="L2731">
        <v>0</v>
      </c>
    </row>
    <row r="2732" spans="1:12">
      <c r="A2732" s="93">
        <v>213871</v>
      </c>
      <c r="B2732" t="s">
        <v>3245</v>
      </c>
      <c r="C2732" t="s">
        <v>5606</v>
      </c>
      <c r="D2732" s="92" t="s">
        <v>428</v>
      </c>
      <c r="E2732" s="92" t="s">
        <v>428</v>
      </c>
      <c r="F2732" t="s">
        <v>428</v>
      </c>
      <c r="G2732" t="s">
        <v>428</v>
      </c>
      <c r="H2732" t="s">
        <v>5617</v>
      </c>
      <c r="I2732">
        <v>0</v>
      </c>
      <c r="J2732" t="s">
        <v>87</v>
      </c>
      <c r="K2732">
        <v>0</v>
      </c>
      <c r="L2732">
        <v>0</v>
      </c>
    </row>
    <row r="2733" spans="1:12">
      <c r="A2733" s="93">
        <v>213914</v>
      </c>
      <c r="B2733" t="s">
        <v>3246</v>
      </c>
      <c r="C2733" t="s">
        <v>5606</v>
      </c>
      <c r="D2733" s="92" t="s">
        <v>428</v>
      </c>
      <c r="E2733" s="92" t="s">
        <v>428</v>
      </c>
      <c r="F2733" t="s">
        <v>428</v>
      </c>
      <c r="G2733" t="s">
        <v>428</v>
      </c>
      <c r="H2733" t="s">
        <v>5616</v>
      </c>
      <c r="I2733">
        <v>0</v>
      </c>
      <c r="J2733" t="s">
        <v>87</v>
      </c>
      <c r="K2733">
        <v>0</v>
      </c>
      <c r="L2733">
        <v>0</v>
      </c>
    </row>
    <row r="2734" spans="1:12">
      <c r="A2734" s="93">
        <v>213932</v>
      </c>
      <c r="B2734" t="s">
        <v>3247</v>
      </c>
      <c r="C2734" t="s">
        <v>5606</v>
      </c>
      <c r="D2734" s="92" t="s">
        <v>428</v>
      </c>
      <c r="E2734" s="92" t="s">
        <v>428</v>
      </c>
      <c r="F2734" t="s">
        <v>428</v>
      </c>
      <c r="G2734" t="s">
        <v>428</v>
      </c>
      <c r="H2734" t="s">
        <v>5615</v>
      </c>
      <c r="I2734">
        <v>0</v>
      </c>
      <c r="J2734" t="s">
        <v>87</v>
      </c>
      <c r="K2734">
        <v>0</v>
      </c>
      <c r="L2734">
        <v>0</v>
      </c>
    </row>
    <row r="2735" spans="1:12">
      <c r="A2735" s="93">
        <v>213987</v>
      </c>
      <c r="B2735" t="s">
        <v>3248</v>
      </c>
      <c r="C2735" t="s">
        <v>5602</v>
      </c>
      <c r="D2735" s="92">
        <v>0.66</v>
      </c>
      <c r="E2735" s="92">
        <v>0.47</v>
      </c>
      <c r="F2735" t="s">
        <v>428</v>
      </c>
      <c r="G2735" t="s">
        <v>428</v>
      </c>
      <c r="H2735" t="s">
        <v>5617</v>
      </c>
      <c r="I2735">
        <v>0</v>
      </c>
      <c r="J2735" t="s">
        <v>87</v>
      </c>
      <c r="K2735">
        <v>0</v>
      </c>
      <c r="L2735">
        <v>0</v>
      </c>
    </row>
    <row r="2736" spans="1:12">
      <c r="A2736" s="93">
        <v>213996</v>
      </c>
      <c r="B2736" t="s">
        <v>3249</v>
      </c>
      <c r="C2736" t="s">
        <v>5602</v>
      </c>
      <c r="D2736" s="92">
        <v>0.78</v>
      </c>
      <c r="E2736" s="92">
        <v>0.59</v>
      </c>
      <c r="F2736">
        <v>22</v>
      </c>
      <c r="G2736">
        <v>25.5</v>
      </c>
      <c r="H2736" t="s">
        <v>5617</v>
      </c>
      <c r="I2736">
        <v>0</v>
      </c>
      <c r="J2736" t="s">
        <v>87</v>
      </c>
      <c r="K2736">
        <v>0</v>
      </c>
      <c r="L2736">
        <v>0</v>
      </c>
    </row>
    <row r="2737" spans="1:12">
      <c r="A2737" s="93">
        <v>214023</v>
      </c>
      <c r="B2737" t="s">
        <v>3250</v>
      </c>
      <c r="C2737" t="s">
        <v>5606</v>
      </c>
      <c r="D2737" s="92" t="s">
        <v>428</v>
      </c>
      <c r="E2737" s="92" t="s">
        <v>428</v>
      </c>
      <c r="F2737" t="s">
        <v>428</v>
      </c>
      <c r="G2737" t="s">
        <v>428</v>
      </c>
      <c r="H2737" t="s">
        <v>5617</v>
      </c>
      <c r="I2737">
        <v>0</v>
      </c>
      <c r="J2737" t="s">
        <v>87</v>
      </c>
      <c r="K2737">
        <v>0</v>
      </c>
      <c r="L2737">
        <v>0</v>
      </c>
    </row>
    <row r="2738" spans="1:12">
      <c r="A2738" s="93">
        <v>214041</v>
      </c>
      <c r="B2738" t="s">
        <v>3251</v>
      </c>
      <c r="C2738" t="s">
        <v>5602</v>
      </c>
      <c r="D2738" s="92">
        <v>0.61</v>
      </c>
      <c r="E2738" s="92">
        <v>0.47</v>
      </c>
      <c r="F2738">
        <v>17</v>
      </c>
      <c r="G2738">
        <v>20</v>
      </c>
      <c r="H2738" t="s">
        <v>5615</v>
      </c>
      <c r="I2738">
        <v>0</v>
      </c>
      <c r="J2738" t="s">
        <v>87</v>
      </c>
      <c r="K2738">
        <v>0</v>
      </c>
      <c r="L2738">
        <v>0</v>
      </c>
    </row>
    <row r="2739" spans="1:12">
      <c r="A2739" s="93">
        <v>214069</v>
      </c>
      <c r="B2739" t="s">
        <v>3252</v>
      </c>
      <c r="C2739" t="s">
        <v>5602</v>
      </c>
      <c r="D2739" s="92">
        <v>0.72</v>
      </c>
      <c r="E2739" s="92">
        <v>0.67</v>
      </c>
      <c r="F2739">
        <v>22</v>
      </c>
      <c r="G2739">
        <v>24</v>
      </c>
      <c r="H2739" t="s">
        <v>5617</v>
      </c>
      <c r="I2739">
        <v>0</v>
      </c>
      <c r="J2739" t="s">
        <v>87</v>
      </c>
      <c r="K2739">
        <v>0</v>
      </c>
      <c r="L2739">
        <v>0</v>
      </c>
    </row>
    <row r="2740" spans="1:12">
      <c r="A2740" s="93">
        <v>214111</v>
      </c>
      <c r="B2740" t="s">
        <v>3253</v>
      </c>
      <c r="C2740" t="s">
        <v>5606</v>
      </c>
      <c r="D2740" s="92">
        <v>0.33</v>
      </c>
      <c r="E2740" s="92">
        <v>0.25</v>
      </c>
      <c r="F2740" t="s">
        <v>428</v>
      </c>
      <c r="G2740" t="s">
        <v>428</v>
      </c>
      <c r="H2740" t="s">
        <v>5615</v>
      </c>
      <c r="I2740">
        <v>0</v>
      </c>
      <c r="J2740" t="s">
        <v>87</v>
      </c>
      <c r="K2740">
        <v>0</v>
      </c>
      <c r="L2740">
        <v>0</v>
      </c>
    </row>
    <row r="2741" spans="1:12">
      <c r="A2741" s="93">
        <v>214148</v>
      </c>
      <c r="B2741" t="s">
        <v>3254</v>
      </c>
      <c r="C2741" t="s">
        <v>5610</v>
      </c>
      <c r="D2741" s="92">
        <v>0.6</v>
      </c>
      <c r="E2741" s="92">
        <v>0.66</v>
      </c>
      <c r="F2741" t="s">
        <v>428</v>
      </c>
      <c r="G2741" t="s">
        <v>428</v>
      </c>
      <c r="H2741" t="s">
        <v>5617</v>
      </c>
      <c r="I2741">
        <v>0</v>
      </c>
      <c r="J2741" t="s">
        <v>87</v>
      </c>
      <c r="K2741">
        <v>0</v>
      </c>
      <c r="L2741">
        <v>0</v>
      </c>
    </row>
    <row r="2742" spans="1:12">
      <c r="A2742" s="93">
        <v>214157</v>
      </c>
      <c r="B2742" t="s">
        <v>3255</v>
      </c>
      <c r="C2742" t="s">
        <v>5610</v>
      </c>
      <c r="D2742" s="92">
        <v>0.6899999999999999</v>
      </c>
      <c r="E2742" s="92">
        <v>0.64</v>
      </c>
      <c r="F2742">
        <v>16</v>
      </c>
      <c r="G2742">
        <v>19</v>
      </c>
      <c r="H2742" t="s">
        <v>5617</v>
      </c>
      <c r="I2742">
        <v>0</v>
      </c>
      <c r="J2742" t="s">
        <v>87</v>
      </c>
      <c r="K2742">
        <v>0</v>
      </c>
      <c r="L2742">
        <v>0</v>
      </c>
    </row>
    <row r="2743" spans="1:12">
      <c r="A2743" s="93">
        <v>214166</v>
      </c>
      <c r="B2743" t="s">
        <v>3256</v>
      </c>
      <c r="C2743" t="s">
        <v>5602</v>
      </c>
      <c r="D2743" s="92">
        <v>0.37</v>
      </c>
      <c r="E2743" s="92">
        <v>0.15</v>
      </c>
      <c r="F2743">
        <v>18</v>
      </c>
      <c r="G2743">
        <v>19.5</v>
      </c>
      <c r="H2743" t="s">
        <v>5617</v>
      </c>
      <c r="I2743">
        <v>0</v>
      </c>
      <c r="J2743" t="s">
        <v>87</v>
      </c>
      <c r="K2743">
        <v>0</v>
      </c>
      <c r="L2743">
        <v>0</v>
      </c>
    </row>
    <row r="2744" spans="1:12">
      <c r="A2744" s="93">
        <v>214175</v>
      </c>
      <c r="B2744" t="s">
        <v>3257</v>
      </c>
      <c r="C2744" t="s">
        <v>5603</v>
      </c>
      <c r="D2744" s="92">
        <v>0.85</v>
      </c>
      <c r="E2744" s="92">
        <v>0.86</v>
      </c>
      <c r="F2744">
        <v>26</v>
      </c>
      <c r="G2744">
        <v>28</v>
      </c>
      <c r="H2744" t="s">
        <v>5622</v>
      </c>
      <c r="I2744">
        <v>0</v>
      </c>
      <c r="J2744" t="s">
        <v>87</v>
      </c>
      <c r="K2744">
        <v>0</v>
      </c>
      <c r="L2744">
        <v>0</v>
      </c>
    </row>
    <row r="2745" spans="1:12">
      <c r="A2745" s="93">
        <v>214254</v>
      </c>
      <c r="B2745" t="s">
        <v>3258</v>
      </c>
      <c r="C2745" t="s">
        <v>5606</v>
      </c>
      <c r="D2745" s="92" t="s">
        <v>428</v>
      </c>
      <c r="E2745" s="92" t="s">
        <v>428</v>
      </c>
      <c r="F2745" t="s">
        <v>428</v>
      </c>
      <c r="G2745" t="s">
        <v>428</v>
      </c>
      <c r="H2745" t="s">
        <v>5617</v>
      </c>
      <c r="I2745">
        <v>0</v>
      </c>
      <c r="J2745" t="s">
        <v>87</v>
      </c>
      <c r="K2745">
        <v>0</v>
      </c>
      <c r="L2745">
        <v>0</v>
      </c>
    </row>
    <row r="2746" spans="1:12">
      <c r="A2746" s="93">
        <v>214272</v>
      </c>
      <c r="B2746" t="s">
        <v>3259</v>
      </c>
      <c r="C2746" t="s">
        <v>5608</v>
      </c>
      <c r="D2746" s="92">
        <v>0.53</v>
      </c>
      <c r="E2746" s="92">
        <v>0.43</v>
      </c>
      <c r="F2746">
        <v>14</v>
      </c>
      <c r="G2746">
        <v>16</v>
      </c>
      <c r="H2746" t="s">
        <v>5617</v>
      </c>
      <c r="I2746">
        <v>0</v>
      </c>
      <c r="J2746" t="s">
        <v>87</v>
      </c>
      <c r="K2746">
        <v>0</v>
      </c>
      <c r="L2746">
        <v>0</v>
      </c>
    </row>
    <row r="2747" spans="1:12">
      <c r="A2747" s="93">
        <v>214290</v>
      </c>
      <c r="B2747" t="s">
        <v>3260</v>
      </c>
      <c r="C2747" t="s">
        <v>5606</v>
      </c>
      <c r="D2747" s="92" t="s">
        <v>428</v>
      </c>
      <c r="E2747" s="92" t="s">
        <v>428</v>
      </c>
      <c r="F2747" t="s">
        <v>428</v>
      </c>
      <c r="G2747" t="s">
        <v>428</v>
      </c>
      <c r="H2747" t="s">
        <v>5624</v>
      </c>
      <c r="I2747">
        <v>1</v>
      </c>
      <c r="J2747" t="s">
        <v>87</v>
      </c>
      <c r="K2747">
        <v>0</v>
      </c>
      <c r="L2747">
        <v>0</v>
      </c>
    </row>
    <row r="2748" spans="1:12">
      <c r="A2748" s="93">
        <v>214379</v>
      </c>
      <c r="B2748" t="s">
        <v>3261</v>
      </c>
      <c r="C2748" t="s">
        <v>5606</v>
      </c>
      <c r="D2748" s="92">
        <v>0.33</v>
      </c>
      <c r="E2748" s="92">
        <v>0.24</v>
      </c>
      <c r="F2748" t="s">
        <v>428</v>
      </c>
      <c r="G2748" t="s">
        <v>428</v>
      </c>
      <c r="H2748" t="s">
        <v>5615</v>
      </c>
      <c r="I2748">
        <v>0</v>
      </c>
      <c r="J2748" t="s">
        <v>87</v>
      </c>
      <c r="K2748">
        <v>0</v>
      </c>
      <c r="L2748">
        <v>0</v>
      </c>
    </row>
    <row r="2749" spans="1:12">
      <c r="A2749" s="93">
        <v>214528</v>
      </c>
      <c r="B2749" t="s">
        <v>3262</v>
      </c>
      <c r="C2749" t="s">
        <v>5609</v>
      </c>
      <c r="D2749" s="92" t="s">
        <v>428</v>
      </c>
      <c r="E2749" s="92" t="s">
        <v>428</v>
      </c>
      <c r="F2749" t="s">
        <v>428</v>
      </c>
      <c r="G2749" t="s">
        <v>428</v>
      </c>
      <c r="H2749" t="s">
        <v>5617</v>
      </c>
      <c r="I2749">
        <v>0</v>
      </c>
      <c r="J2749" t="s">
        <v>87</v>
      </c>
      <c r="K2749">
        <v>0</v>
      </c>
      <c r="L2749">
        <v>0</v>
      </c>
    </row>
    <row r="2750" spans="1:12">
      <c r="A2750" s="93">
        <v>214564</v>
      </c>
      <c r="B2750" t="s">
        <v>3263</v>
      </c>
      <c r="C2750" t="s">
        <v>5607</v>
      </c>
      <c r="D2750" s="92" t="s">
        <v>428</v>
      </c>
      <c r="E2750" s="92" t="s">
        <v>428</v>
      </c>
      <c r="F2750" t="s">
        <v>428</v>
      </c>
      <c r="G2750" t="s">
        <v>428</v>
      </c>
      <c r="H2750" t="s">
        <v>5615</v>
      </c>
      <c r="I2750">
        <v>0</v>
      </c>
      <c r="J2750" t="s">
        <v>87</v>
      </c>
      <c r="K2750">
        <v>0</v>
      </c>
      <c r="L2750">
        <v>0</v>
      </c>
    </row>
    <row r="2751" spans="1:12">
      <c r="A2751" s="93">
        <v>214582</v>
      </c>
      <c r="B2751" t="s">
        <v>3264</v>
      </c>
      <c r="C2751" t="s">
        <v>5606</v>
      </c>
      <c r="D2751" s="92" t="s">
        <v>428</v>
      </c>
      <c r="E2751" s="92" t="s">
        <v>428</v>
      </c>
      <c r="F2751" t="s">
        <v>428</v>
      </c>
      <c r="G2751" t="s">
        <v>428</v>
      </c>
      <c r="H2751" t="s">
        <v>5616</v>
      </c>
      <c r="I2751">
        <v>0</v>
      </c>
      <c r="J2751" t="s">
        <v>87</v>
      </c>
      <c r="K2751">
        <v>0</v>
      </c>
      <c r="L2751">
        <v>0</v>
      </c>
    </row>
    <row r="2752" spans="1:12">
      <c r="A2752" s="93">
        <v>214591</v>
      </c>
      <c r="B2752" t="s">
        <v>3265</v>
      </c>
      <c r="C2752" t="s">
        <v>5602</v>
      </c>
      <c r="D2752" s="92">
        <v>0.67</v>
      </c>
      <c r="E2752" s="92">
        <v>0.4</v>
      </c>
      <c r="F2752">
        <v>18</v>
      </c>
      <c r="G2752">
        <v>21.5</v>
      </c>
      <c r="H2752" t="s">
        <v>5615</v>
      </c>
      <c r="I2752">
        <v>0</v>
      </c>
      <c r="J2752" t="s">
        <v>87</v>
      </c>
      <c r="K2752">
        <v>0</v>
      </c>
      <c r="L2752">
        <v>0</v>
      </c>
    </row>
    <row r="2753" spans="1:12">
      <c r="A2753" s="93">
        <v>214607</v>
      </c>
      <c r="B2753" t="s">
        <v>3266</v>
      </c>
      <c r="C2753" t="s">
        <v>5607</v>
      </c>
      <c r="D2753" s="92" t="s">
        <v>428</v>
      </c>
      <c r="E2753" s="92" t="s">
        <v>428</v>
      </c>
      <c r="F2753" t="s">
        <v>428</v>
      </c>
      <c r="G2753" t="s">
        <v>428</v>
      </c>
      <c r="H2753" t="s">
        <v>5615</v>
      </c>
      <c r="I2753">
        <v>0</v>
      </c>
      <c r="J2753" t="s">
        <v>87</v>
      </c>
      <c r="K2753">
        <v>0</v>
      </c>
      <c r="L2753">
        <v>0</v>
      </c>
    </row>
    <row r="2754" spans="1:12">
      <c r="A2754" s="93">
        <v>214616</v>
      </c>
      <c r="B2754" t="s">
        <v>3267</v>
      </c>
      <c r="C2754" t="s">
        <v>5607</v>
      </c>
      <c r="D2754" s="92" t="s">
        <v>428</v>
      </c>
      <c r="E2754" s="92" t="s">
        <v>428</v>
      </c>
      <c r="F2754" t="s">
        <v>428</v>
      </c>
      <c r="G2754" t="s">
        <v>428</v>
      </c>
      <c r="H2754" t="s">
        <v>5615</v>
      </c>
      <c r="I2754">
        <v>0</v>
      </c>
      <c r="J2754" t="s">
        <v>87</v>
      </c>
      <c r="K2754">
        <v>0</v>
      </c>
      <c r="L2754">
        <v>0</v>
      </c>
    </row>
    <row r="2755" spans="1:12">
      <c r="A2755" s="93">
        <v>214625</v>
      </c>
      <c r="B2755" t="s">
        <v>3268</v>
      </c>
      <c r="C2755" t="s">
        <v>5608</v>
      </c>
      <c r="D2755" s="92">
        <v>0.5</v>
      </c>
      <c r="E2755" s="92">
        <v>0.41</v>
      </c>
      <c r="F2755">
        <v>17</v>
      </c>
      <c r="G2755">
        <v>20</v>
      </c>
      <c r="H2755" t="s">
        <v>5615</v>
      </c>
      <c r="I2755">
        <v>0</v>
      </c>
      <c r="J2755" t="s">
        <v>87</v>
      </c>
      <c r="K2755">
        <v>0</v>
      </c>
      <c r="L2755">
        <v>0</v>
      </c>
    </row>
    <row r="2756" spans="1:12">
      <c r="A2756" s="93">
        <v>214634</v>
      </c>
      <c r="B2756" t="s">
        <v>3269</v>
      </c>
      <c r="C2756" t="s">
        <v>5604</v>
      </c>
      <c r="D2756" s="92">
        <v>0.3</v>
      </c>
      <c r="E2756" s="92">
        <v>0.11</v>
      </c>
      <c r="F2756">
        <v>15</v>
      </c>
      <c r="G2756">
        <v>17.5</v>
      </c>
      <c r="H2756" t="s">
        <v>5615</v>
      </c>
      <c r="I2756">
        <v>0</v>
      </c>
      <c r="J2756" t="s">
        <v>87</v>
      </c>
      <c r="K2756">
        <v>0</v>
      </c>
      <c r="L2756">
        <v>0</v>
      </c>
    </row>
    <row r="2757" spans="1:12">
      <c r="A2757" s="93">
        <v>214643</v>
      </c>
      <c r="B2757" t="s">
        <v>3270</v>
      </c>
      <c r="C2757" t="s">
        <v>5604</v>
      </c>
      <c r="D2757" s="92">
        <v>0.49</v>
      </c>
      <c r="E2757" s="92">
        <v>0.42</v>
      </c>
      <c r="F2757">
        <v>16</v>
      </c>
      <c r="G2757">
        <v>18.5</v>
      </c>
      <c r="H2757" t="s">
        <v>5615</v>
      </c>
      <c r="I2757">
        <v>0</v>
      </c>
      <c r="J2757" t="s">
        <v>87</v>
      </c>
      <c r="K2757">
        <v>0</v>
      </c>
      <c r="L2757">
        <v>0</v>
      </c>
    </row>
    <row r="2758" spans="1:12">
      <c r="A2758" s="93">
        <v>214652</v>
      </c>
      <c r="B2758" t="s">
        <v>3271</v>
      </c>
      <c r="C2758" t="s">
        <v>5608</v>
      </c>
      <c r="D2758" s="92">
        <v>0.42</v>
      </c>
      <c r="E2758" s="92">
        <v>0.28</v>
      </c>
      <c r="F2758">
        <v>15</v>
      </c>
      <c r="G2758">
        <v>18</v>
      </c>
      <c r="H2758" t="s">
        <v>5615</v>
      </c>
      <c r="I2758">
        <v>0</v>
      </c>
      <c r="J2758" t="s">
        <v>87</v>
      </c>
      <c r="K2758">
        <v>0</v>
      </c>
      <c r="L2758">
        <v>0</v>
      </c>
    </row>
    <row r="2759" spans="1:12">
      <c r="A2759" s="93">
        <v>214670</v>
      </c>
      <c r="B2759" t="s">
        <v>3272</v>
      </c>
      <c r="C2759" t="s">
        <v>5604</v>
      </c>
      <c r="D2759" s="92">
        <v>0.54</v>
      </c>
      <c r="E2759" s="92">
        <v>0.45</v>
      </c>
      <c r="F2759">
        <v>16</v>
      </c>
      <c r="G2759">
        <v>20</v>
      </c>
      <c r="H2759" t="s">
        <v>5615</v>
      </c>
      <c r="I2759">
        <v>0</v>
      </c>
      <c r="J2759" t="s">
        <v>87</v>
      </c>
      <c r="K2759">
        <v>0</v>
      </c>
      <c r="L2759">
        <v>0</v>
      </c>
    </row>
    <row r="2760" spans="1:12">
      <c r="A2760" s="93">
        <v>214689</v>
      </c>
      <c r="B2760" t="s">
        <v>3273</v>
      </c>
      <c r="C2760" t="s">
        <v>5602</v>
      </c>
      <c r="D2760" s="92">
        <v>0.6899999999999999</v>
      </c>
      <c r="E2760" s="92">
        <v>0.59</v>
      </c>
      <c r="F2760">
        <v>16</v>
      </c>
      <c r="G2760">
        <v>19</v>
      </c>
      <c r="H2760" t="s">
        <v>5615</v>
      </c>
      <c r="I2760">
        <v>0</v>
      </c>
      <c r="J2760" t="s">
        <v>87</v>
      </c>
      <c r="K2760">
        <v>0</v>
      </c>
      <c r="L2760">
        <v>0</v>
      </c>
    </row>
    <row r="2761" spans="1:12">
      <c r="A2761" s="93">
        <v>214698</v>
      </c>
      <c r="B2761" t="s">
        <v>3274</v>
      </c>
      <c r="C2761" t="s">
        <v>5604</v>
      </c>
      <c r="D2761" s="92">
        <v>0.44</v>
      </c>
      <c r="E2761" s="92">
        <v>0.38</v>
      </c>
      <c r="F2761">
        <v>16</v>
      </c>
      <c r="G2761">
        <v>20</v>
      </c>
      <c r="H2761" t="s">
        <v>5615</v>
      </c>
      <c r="I2761">
        <v>0</v>
      </c>
      <c r="J2761" t="s">
        <v>87</v>
      </c>
      <c r="K2761">
        <v>0</v>
      </c>
      <c r="L2761">
        <v>0</v>
      </c>
    </row>
    <row r="2762" spans="1:12">
      <c r="A2762" s="93">
        <v>214704</v>
      </c>
      <c r="B2762" t="s">
        <v>3275</v>
      </c>
      <c r="C2762" t="s">
        <v>5604</v>
      </c>
      <c r="D2762" s="92">
        <v>0.59</v>
      </c>
      <c r="E2762" s="92">
        <v>0.46</v>
      </c>
      <c r="F2762">
        <v>15</v>
      </c>
      <c r="G2762">
        <v>18.5</v>
      </c>
      <c r="H2762" t="s">
        <v>5615</v>
      </c>
      <c r="I2762">
        <v>0</v>
      </c>
      <c r="J2762" t="s">
        <v>87</v>
      </c>
      <c r="K2762">
        <v>0</v>
      </c>
      <c r="L2762">
        <v>0</v>
      </c>
    </row>
    <row r="2763" spans="1:12">
      <c r="A2763" s="93">
        <v>214713</v>
      </c>
      <c r="B2763" t="s">
        <v>3276</v>
      </c>
      <c r="C2763" t="s">
        <v>5604</v>
      </c>
      <c r="D2763" s="92">
        <v>0.65</v>
      </c>
      <c r="E2763" s="92">
        <v>0.62</v>
      </c>
      <c r="F2763">
        <v>17</v>
      </c>
      <c r="G2763">
        <v>21</v>
      </c>
      <c r="H2763" t="s">
        <v>5615</v>
      </c>
      <c r="I2763">
        <v>0</v>
      </c>
      <c r="J2763" t="s">
        <v>87</v>
      </c>
      <c r="K2763">
        <v>0</v>
      </c>
      <c r="L2763">
        <v>0</v>
      </c>
    </row>
    <row r="2764" spans="1:12">
      <c r="A2764" s="93">
        <v>214731</v>
      </c>
      <c r="B2764" t="s">
        <v>3277</v>
      </c>
      <c r="C2764" t="s">
        <v>5608</v>
      </c>
      <c r="D2764" s="92">
        <v>0.43</v>
      </c>
      <c r="E2764" s="92">
        <v>0.27</v>
      </c>
      <c r="F2764">
        <v>15</v>
      </c>
      <c r="G2764">
        <v>18</v>
      </c>
      <c r="H2764" t="s">
        <v>5615</v>
      </c>
      <c r="I2764">
        <v>0</v>
      </c>
      <c r="J2764" t="s">
        <v>87</v>
      </c>
      <c r="K2764">
        <v>0</v>
      </c>
      <c r="L2764">
        <v>0</v>
      </c>
    </row>
    <row r="2765" spans="1:12">
      <c r="A2765" s="93">
        <v>214740</v>
      </c>
      <c r="B2765" t="s">
        <v>3278</v>
      </c>
      <c r="C2765" t="s">
        <v>5604</v>
      </c>
      <c r="D2765" s="92">
        <v>0.43</v>
      </c>
      <c r="E2765" s="92">
        <v>0.2</v>
      </c>
      <c r="F2765">
        <v>16</v>
      </c>
      <c r="G2765">
        <v>19</v>
      </c>
      <c r="H2765" t="s">
        <v>5615</v>
      </c>
      <c r="I2765">
        <v>0</v>
      </c>
      <c r="J2765" t="s">
        <v>87</v>
      </c>
      <c r="K2765">
        <v>0</v>
      </c>
      <c r="L2765">
        <v>0</v>
      </c>
    </row>
    <row r="2766" spans="1:12">
      <c r="A2766" s="93">
        <v>214759</v>
      </c>
      <c r="B2766" t="s">
        <v>3279</v>
      </c>
      <c r="C2766" t="s">
        <v>5608</v>
      </c>
      <c r="D2766" s="92">
        <v>0.46</v>
      </c>
      <c r="E2766" s="92">
        <v>0.21</v>
      </c>
      <c r="F2766">
        <v>15</v>
      </c>
      <c r="G2766">
        <v>18</v>
      </c>
      <c r="H2766" t="s">
        <v>5615</v>
      </c>
      <c r="I2766">
        <v>0</v>
      </c>
      <c r="J2766" t="s">
        <v>87</v>
      </c>
      <c r="K2766">
        <v>0</v>
      </c>
      <c r="L2766">
        <v>0</v>
      </c>
    </row>
    <row r="2767" spans="1:12">
      <c r="A2767" s="93">
        <v>214768</v>
      </c>
      <c r="B2767" t="s">
        <v>3280</v>
      </c>
      <c r="C2767" t="s">
        <v>5608</v>
      </c>
      <c r="D2767" s="92">
        <v>0.53</v>
      </c>
      <c r="E2767" s="92">
        <v>0.47</v>
      </c>
      <c r="F2767">
        <v>16</v>
      </c>
      <c r="G2767">
        <v>19.5</v>
      </c>
      <c r="H2767" t="s">
        <v>5615</v>
      </c>
      <c r="I2767">
        <v>0</v>
      </c>
      <c r="J2767" t="s">
        <v>87</v>
      </c>
      <c r="K2767">
        <v>0</v>
      </c>
      <c r="L2767">
        <v>0</v>
      </c>
    </row>
    <row r="2768" spans="1:12">
      <c r="A2768" s="93">
        <v>214777</v>
      </c>
      <c r="B2768" t="s">
        <v>3281</v>
      </c>
      <c r="C2768" t="s">
        <v>5603</v>
      </c>
      <c r="D2768" s="92">
        <v>0.86</v>
      </c>
      <c r="E2768" s="92">
        <v>0.76</v>
      </c>
      <c r="F2768">
        <v>25</v>
      </c>
      <c r="G2768">
        <v>27</v>
      </c>
      <c r="H2768" t="s">
        <v>5617</v>
      </c>
      <c r="I2768">
        <v>0</v>
      </c>
      <c r="J2768" t="s">
        <v>87</v>
      </c>
      <c r="K2768">
        <v>0</v>
      </c>
      <c r="L2768">
        <v>0</v>
      </c>
    </row>
    <row r="2769" spans="1:12">
      <c r="A2769" s="93">
        <v>214786</v>
      </c>
      <c r="B2769" t="s">
        <v>3282</v>
      </c>
      <c r="C2769" t="s">
        <v>5604</v>
      </c>
      <c r="D2769" s="92">
        <v>0.39</v>
      </c>
      <c r="E2769" s="92">
        <v>0.28</v>
      </c>
      <c r="F2769">
        <v>15</v>
      </c>
      <c r="G2769">
        <v>18.5</v>
      </c>
      <c r="H2769" t="s">
        <v>5615</v>
      </c>
      <c r="I2769">
        <v>0</v>
      </c>
      <c r="J2769" t="s">
        <v>87</v>
      </c>
      <c r="K2769">
        <v>0</v>
      </c>
      <c r="L2769">
        <v>0</v>
      </c>
    </row>
    <row r="2770" spans="1:12">
      <c r="A2770" s="93">
        <v>214795</v>
      </c>
      <c r="B2770" t="s">
        <v>3283</v>
      </c>
      <c r="C2770" t="s">
        <v>5608</v>
      </c>
      <c r="D2770" s="92">
        <v>0.48</v>
      </c>
      <c r="E2770" s="92">
        <v>0.38</v>
      </c>
      <c r="F2770">
        <v>15</v>
      </c>
      <c r="G2770">
        <v>18.5</v>
      </c>
      <c r="H2770" t="s">
        <v>5615</v>
      </c>
      <c r="I2770">
        <v>0</v>
      </c>
      <c r="J2770" t="s">
        <v>87</v>
      </c>
      <c r="K2770">
        <v>0</v>
      </c>
      <c r="L2770">
        <v>0</v>
      </c>
    </row>
    <row r="2771" spans="1:12">
      <c r="A2771" s="93">
        <v>214801</v>
      </c>
      <c r="B2771" t="s">
        <v>3284</v>
      </c>
      <c r="C2771" t="s">
        <v>5608</v>
      </c>
      <c r="D2771" s="92">
        <v>0.47</v>
      </c>
      <c r="E2771" s="92">
        <v>0.34</v>
      </c>
      <c r="F2771">
        <v>15</v>
      </c>
      <c r="G2771">
        <v>19</v>
      </c>
      <c r="H2771" t="s">
        <v>5615</v>
      </c>
      <c r="I2771">
        <v>0</v>
      </c>
      <c r="J2771" t="s">
        <v>87</v>
      </c>
      <c r="K2771">
        <v>0</v>
      </c>
      <c r="L2771">
        <v>0</v>
      </c>
    </row>
    <row r="2772" spans="1:12">
      <c r="A2772" s="93">
        <v>214810</v>
      </c>
      <c r="B2772" t="s">
        <v>3285</v>
      </c>
      <c r="C2772" t="s">
        <v>5604</v>
      </c>
      <c r="D2772" s="92">
        <v>0.43</v>
      </c>
      <c r="E2772" s="92">
        <v>0.42</v>
      </c>
      <c r="F2772">
        <v>14</v>
      </c>
      <c r="G2772">
        <v>17</v>
      </c>
      <c r="H2772" t="s">
        <v>5615</v>
      </c>
      <c r="I2772">
        <v>0</v>
      </c>
      <c r="J2772" t="s">
        <v>87</v>
      </c>
      <c r="K2772">
        <v>0</v>
      </c>
      <c r="L2772">
        <v>0</v>
      </c>
    </row>
    <row r="2773" spans="1:12">
      <c r="A2773" s="93">
        <v>214829</v>
      </c>
      <c r="B2773" t="s">
        <v>3286</v>
      </c>
      <c r="C2773" t="s">
        <v>5604</v>
      </c>
      <c r="D2773" s="92">
        <v>0.5</v>
      </c>
      <c r="E2773" s="92">
        <v>0.4</v>
      </c>
      <c r="F2773">
        <v>17</v>
      </c>
      <c r="G2773">
        <v>21</v>
      </c>
      <c r="H2773" t="s">
        <v>5615</v>
      </c>
      <c r="I2773">
        <v>0</v>
      </c>
      <c r="J2773" t="s">
        <v>87</v>
      </c>
      <c r="K2773">
        <v>0</v>
      </c>
      <c r="L2773">
        <v>0</v>
      </c>
    </row>
    <row r="2774" spans="1:12">
      <c r="A2774" s="93">
        <v>214883</v>
      </c>
      <c r="B2774" t="s">
        <v>3287</v>
      </c>
      <c r="C2774" t="s">
        <v>5604</v>
      </c>
      <c r="D2774" s="92" t="s">
        <v>428</v>
      </c>
      <c r="E2774" s="92" t="s">
        <v>428</v>
      </c>
      <c r="F2774" t="s">
        <v>428</v>
      </c>
      <c r="G2774" t="s">
        <v>428</v>
      </c>
      <c r="H2774" t="s">
        <v>5624</v>
      </c>
      <c r="I2774">
        <v>1</v>
      </c>
      <c r="J2774" t="s">
        <v>87</v>
      </c>
      <c r="K2774">
        <v>0</v>
      </c>
      <c r="L2774">
        <v>0</v>
      </c>
    </row>
    <row r="2775" spans="1:12">
      <c r="A2775" s="93">
        <v>214892</v>
      </c>
      <c r="B2775" t="s">
        <v>3288</v>
      </c>
      <c r="C2775" t="s">
        <v>5609</v>
      </c>
      <c r="D2775" s="92" t="s">
        <v>428</v>
      </c>
      <c r="E2775" s="92" t="s">
        <v>428</v>
      </c>
      <c r="F2775" t="s">
        <v>428</v>
      </c>
      <c r="G2775" t="s">
        <v>428</v>
      </c>
      <c r="H2775" t="s">
        <v>5617</v>
      </c>
      <c r="I2775">
        <v>0</v>
      </c>
      <c r="J2775" t="s">
        <v>87</v>
      </c>
      <c r="K2775">
        <v>0</v>
      </c>
      <c r="L2775">
        <v>0</v>
      </c>
    </row>
    <row r="2776" spans="1:12">
      <c r="A2776" s="93">
        <v>214944</v>
      </c>
      <c r="B2776" t="s">
        <v>3289</v>
      </c>
      <c r="C2776" t="s">
        <v>5606</v>
      </c>
      <c r="D2776" s="92" t="s">
        <v>428</v>
      </c>
      <c r="E2776" s="92" t="s">
        <v>428</v>
      </c>
      <c r="F2776" t="s">
        <v>428</v>
      </c>
      <c r="G2776" t="s">
        <v>428</v>
      </c>
      <c r="H2776" t="s">
        <v>5617</v>
      </c>
      <c r="I2776">
        <v>0</v>
      </c>
      <c r="J2776" t="s">
        <v>87</v>
      </c>
      <c r="K2776">
        <v>0</v>
      </c>
      <c r="L2776">
        <v>0</v>
      </c>
    </row>
    <row r="2777" spans="1:12">
      <c r="A2777" s="93">
        <v>214971</v>
      </c>
      <c r="B2777" t="s">
        <v>3290</v>
      </c>
      <c r="C2777" t="s">
        <v>5607</v>
      </c>
      <c r="D2777" s="92">
        <v>0.5600000000000001</v>
      </c>
      <c r="E2777" s="92">
        <v>0.46</v>
      </c>
      <c r="F2777" t="s">
        <v>428</v>
      </c>
      <c r="G2777" t="s">
        <v>428</v>
      </c>
      <c r="H2777" t="s">
        <v>5617</v>
      </c>
      <c r="I2777">
        <v>0</v>
      </c>
      <c r="J2777" t="s">
        <v>87</v>
      </c>
      <c r="K2777">
        <v>0</v>
      </c>
      <c r="L2777">
        <v>0</v>
      </c>
    </row>
    <row r="2778" spans="1:12">
      <c r="A2778" s="93">
        <v>215008</v>
      </c>
      <c r="B2778" t="s">
        <v>3291</v>
      </c>
      <c r="C2778" t="s">
        <v>5606</v>
      </c>
      <c r="D2778" s="92" t="s">
        <v>428</v>
      </c>
      <c r="E2778" s="92" t="s">
        <v>428</v>
      </c>
      <c r="F2778" t="s">
        <v>428</v>
      </c>
      <c r="G2778" t="s">
        <v>428</v>
      </c>
      <c r="H2778" t="s">
        <v>5617</v>
      </c>
      <c r="I2778">
        <v>0</v>
      </c>
      <c r="J2778" t="s">
        <v>87</v>
      </c>
      <c r="K2778">
        <v>0</v>
      </c>
      <c r="L2778">
        <v>0</v>
      </c>
    </row>
    <row r="2779" spans="1:12">
      <c r="A2779" s="93">
        <v>215053</v>
      </c>
      <c r="B2779" t="s">
        <v>3292</v>
      </c>
      <c r="C2779" t="s">
        <v>5607</v>
      </c>
      <c r="D2779" s="92">
        <v>0.43</v>
      </c>
      <c r="E2779" s="92">
        <v>0.48</v>
      </c>
      <c r="F2779" t="s">
        <v>428</v>
      </c>
      <c r="G2779" t="s">
        <v>428</v>
      </c>
      <c r="H2779" t="s">
        <v>5617</v>
      </c>
      <c r="I2779">
        <v>0</v>
      </c>
      <c r="J2779" t="s">
        <v>87</v>
      </c>
      <c r="K2779">
        <v>0</v>
      </c>
      <c r="L2779">
        <v>0</v>
      </c>
    </row>
    <row r="2780" spans="1:12">
      <c r="A2780" s="93">
        <v>215062</v>
      </c>
      <c r="B2780" t="s">
        <v>3293</v>
      </c>
      <c r="C2780" t="s">
        <v>5611</v>
      </c>
      <c r="D2780" s="92">
        <v>0.95</v>
      </c>
      <c r="E2780" s="92">
        <v>0.93</v>
      </c>
      <c r="F2780">
        <v>32</v>
      </c>
      <c r="G2780">
        <v>33.5</v>
      </c>
      <c r="H2780" t="s">
        <v>5619</v>
      </c>
      <c r="I2780">
        <v>1</v>
      </c>
      <c r="J2780" t="s">
        <v>87</v>
      </c>
      <c r="K2780">
        <v>0</v>
      </c>
      <c r="L2780">
        <v>0</v>
      </c>
    </row>
    <row r="2781" spans="1:12">
      <c r="A2781" s="93">
        <v>215099</v>
      </c>
      <c r="B2781" t="s">
        <v>3294</v>
      </c>
      <c r="C2781" t="s">
        <v>5602</v>
      </c>
      <c r="D2781" s="92">
        <v>0.63</v>
      </c>
      <c r="E2781" s="92">
        <v>0.54</v>
      </c>
      <c r="F2781">
        <v>20</v>
      </c>
      <c r="G2781">
        <v>23</v>
      </c>
      <c r="H2781" t="s">
        <v>5617</v>
      </c>
      <c r="I2781">
        <v>0</v>
      </c>
      <c r="J2781" t="s">
        <v>87</v>
      </c>
      <c r="K2781">
        <v>0</v>
      </c>
      <c r="L2781">
        <v>0</v>
      </c>
    </row>
    <row r="2782" spans="1:12">
      <c r="A2782" s="93">
        <v>215105</v>
      </c>
      <c r="B2782" t="s">
        <v>3295</v>
      </c>
      <c r="C2782" t="s">
        <v>5610</v>
      </c>
      <c r="D2782" s="92">
        <v>0.61</v>
      </c>
      <c r="E2782" s="92">
        <v>0.55</v>
      </c>
      <c r="F2782">
        <v>19</v>
      </c>
      <c r="G2782">
        <v>23</v>
      </c>
      <c r="H2782" t="s">
        <v>5617</v>
      </c>
      <c r="I2782">
        <v>0</v>
      </c>
      <c r="J2782" t="s">
        <v>87</v>
      </c>
      <c r="K2782">
        <v>0</v>
      </c>
      <c r="L2782">
        <v>0</v>
      </c>
    </row>
    <row r="2783" spans="1:12">
      <c r="A2783" s="93">
        <v>215114</v>
      </c>
      <c r="B2783" t="s">
        <v>3296</v>
      </c>
      <c r="C2783" t="s">
        <v>5602</v>
      </c>
      <c r="D2783" s="92">
        <v>0.6</v>
      </c>
      <c r="E2783" s="92">
        <v>0.38</v>
      </c>
      <c r="F2783">
        <v>16</v>
      </c>
      <c r="G2783">
        <v>20</v>
      </c>
      <c r="H2783" t="s">
        <v>5617</v>
      </c>
      <c r="I2783">
        <v>0</v>
      </c>
      <c r="J2783" t="s">
        <v>87</v>
      </c>
      <c r="K2783">
        <v>0</v>
      </c>
      <c r="L2783">
        <v>0</v>
      </c>
    </row>
    <row r="2784" spans="1:12">
      <c r="A2784" s="93">
        <v>215123</v>
      </c>
      <c r="B2784" t="s">
        <v>3297</v>
      </c>
      <c r="C2784" t="s">
        <v>5607</v>
      </c>
      <c r="D2784" s="92" t="s">
        <v>428</v>
      </c>
      <c r="E2784" s="92" t="s">
        <v>428</v>
      </c>
      <c r="F2784" t="s">
        <v>428</v>
      </c>
      <c r="G2784" t="s">
        <v>428</v>
      </c>
      <c r="H2784" t="s">
        <v>5615</v>
      </c>
      <c r="I2784">
        <v>0</v>
      </c>
      <c r="J2784" t="s">
        <v>87</v>
      </c>
      <c r="K2784">
        <v>0</v>
      </c>
      <c r="L2784">
        <v>0</v>
      </c>
    </row>
    <row r="2785" spans="1:12">
      <c r="A2785" s="93">
        <v>215132</v>
      </c>
      <c r="B2785" t="s">
        <v>3298</v>
      </c>
      <c r="C2785" t="s">
        <v>5603</v>
      </c>
      <c r="D2785" s="92">
        <v>0.72</v>
      </c>
      <c r="E2785" s="92">
        <v>0.54</v>
      </c>
      <c r="F2785">
        <v>23</v>
      </c>
      <c r="G2785">
        <v>25.5</v>
      </c>
      <c r="H2785" t="s">
        <v>5617</v>
      </c>
      <c r="I2785">
        <v>0</v>
      </c>
      <c r="J2785" t="s">
        <v>87</v>
      </c>
      <c r="K2785">
        <v>0</v>
      </c>
      <c r="L2785">
        <v>0</v>
      </c>
    </row>
    <row r="2786" spans="1:12">
      <c r="A2786" s="93">
        <v>215239</v>
      </c>
      <c r="B2786" t="s">
        <v>3299</v>
      </c>
      <c r="C2786" t="s">
        <v>5606</v>
      </c>
      <c r="D2786" s="92">
        <v>0.23</v>
      </c>
      <c r="E2786" s="92">
        <v>0.19</v>
      </c>
      <c r="F2786" t="s">
        <v>428</v>
      </c>
      <c r="G2786" t="s">
        <v>428</v>
      </c>
      <c r="H2786" t="s">
        <v>5615</v>
      </c>
      <c r="I2786">
        <v>0</v>
      </c>
      <c r="J2786" t="s">
        <v>87</v>
      </c>
      <c r="K2786">
        <v>0</v>
      </c>
      <c r="L2786">
        <v>0</v>
      </c>
    </row>
    <row r="2787" spans="1:12">
      <c r="A2787" s="93">
        <v>215266</v>
      </c>
      <c r="B2787" t="s">
        <v>3300</v>
      </c>
      <c r="C2787" t="s">
        <v>5602</v>
      </c>
      <c r="D2787" s="92">
        <v>0.49</v>
      </c>
      <c r="E2787" s="92">
        <v>0.43</v>
      </c>
      <c r="F2787">
        <v>15</v>
      </c>
      <c r="G2787">
        <v>18</v>
      </c>
      <c r="H2787" t="s">
        <v>5615</v>
      </c>
      <c r="I2787">
        <v>0</v>
      </c>
      <c r="J2787" t="s">
        <v>87</v>
      </c>
      <c r="K2787">
        <v>0</v>
      </c>
      <c r="L2787">
        <v>0</v>
      </c>
    </row>
    <row r="2788" spans="1:12">
      <c r="A2788" s="93">
        <v>215275</v>
      </c>
      <c r="B2788" t="s">
        <v>3301</v>
      </c>
      <c r="C2788" t="s">
        <v>5602</v>
      </c>
      <c r="D2788" s="92">
        <v>0.5600000000000001</v>
      </c>
      <c r="E2788" s="92">
        <v>0.5</v>
      </c>
      <c r="F2788">
        <v>20</v>
      </c>
      <c r="G2788">
        <v>22.5</v>
      </c>
      <c r="H2788" t="s">
        <v>5615</v>
      </c>
      <c r="I2788">
        <v>0</v>
      </c>
      <c r="J2788" t="s">
        <v>87</v>
      </c>
      <c r="K2788">
        <v>0</v>
      </c>
      <c r="L2788">
        <v>0</v>
      </c>
    </row>
    <row r="2789" spans="1:12">
      <c r="A2789" s="93">
        <v>215284</v>
      </c>
      <c r="B2789" t="s">
        <v>3302</v>
      </c>
      <c r="C2789" t="s">
        <v>5602</v>
      </c>
      <c r="D2789" s="92">
        <v>0.53</v>
      </c>
      <c r="E2789" s="92">
        <v>0.33</v>
      </c>
      <c r="F2789">
        <v>20</v>
      </c>
      <c r="G2789">
        <v>22.5</v>
      </c>
      <c r="H2789" t="s">
        <v>5615</v>
      </c>
      <c r="I2789">
        <v>0</v>
      </c>
      <c r="J2789" t="s">
        <v>87</v>
      </c>
      <c r="K2789">
        <v>0</v>
      </c>
      <c r="L2789">
        <v>0</v>
      </c>
    </row>
    <row r="2790" spans="1:12">
      <c r="A2790" s="93">
        <v>215293</v>
      </c>
      <c r="B2790" t="s">
        <v>3303</v>
      </c>
      <c r="C2790" t="s">
        <v>5605</v>
      </c>
      <c r="D2790" s="92">
        <v>0.8100000000000001</v>
      </c>
      <c r="E2790" s="92">
        <v>0.6899999999999999</v>
      </c>
      <c r="F2790">
        <v>27</v>
      </c>
      <c r="G2790">
        <v>29.5</v>
      </c>
      <c r="H2790" t="s">
        <v>5615</v>
      </c>
      <c r="I2790">
        <v>0</v>
      </c>
      <c r="J2790" t="s">
        <v>87</v>
      </c>
      <c r="K2790">
        <v>0</v>
      </c>
      <c r="L2790">
        <v>0</v>
      </c>
    </row>
    <row r="2791" spans="1:12">
      <c r="A2791" s="93">
        <v>215309</v>
      </c>
      <c r="B2791" t="s">
        <v>3304</v>
      </c>
      <c r="C2791" t="s">
        <v>5609</v>
      </c>
      <c r="D2791" s="92">
        <v>0.33</v>
      </c>
      <c r="E2791" s="92">
        <v>0.29</v>
      </c>
      <c r="F2791">
        <v>14</v>
      </c>
      <c r="G2791">
        <v>16.5</v>
      </c>
      <c r="H2791" t="s">
        <v>5615</v>
      </c>
      <c r="I2791">
        <v>0</v>
      </c>
      <c r="J2791" t="s">
        <v>87</v>
      </c>
      <c r="K2791">
        <v>0</v>
      </c>
      <c r="L2791">
        <v>0</v>
      </c>
    </row>
    <row r="2792" spans="1:12">
      <c r="A2792" s="93">
        <v>215381</v>
      </c>
      <c r="B2792" t="s">
        <v>3305</v>
      </c>
      <c r="C2792" t="s">
        <v>5606</v>
      </c>
      <c r="D2792" s="92" t="s">
        <v>428</v>
      </c>
      <c r="E2792" s="92" t="s">
        <v>428</v>
      </c>
      <c r="F2792" t="s">
        <v>428</v>
      </c>
      <c r="G2792" t="s">
        <v>428</v>
      </c>
      <c r="H2792" t="s">
        <v>5617</v>
      </c>
      <c r="I2792">
        <v>0</v>
      </c>
      <c r="J2792" t="s">
        <v>87</v>
      </c>
      <c r="K2792">
        <v>0</v>
      </c>
      <c r="L2792">
        <v>0</v>
      </c>
    </row>
    <row r="2793" spans="1:12">
      <c r="A2793" s="93">
        <v>215390</v>
      </c>
      <c r="B2793" t="s">
        <v>3306</v>
      </c>
      <c r="C2793" t="s">
        <v>5609</v>
      </c>
      <c r="D2793" s="92" t="s">
        <v>428</v>
      </c>
      <c r="E2793" s="92" t="s">
        <v>428</v>
      </c>
      <c r="F2793" t="s">
        <v>428</v>
      </c>
      <c r="G2793" t="s">
        <v>428</v>
      </c>
      <c r="H2793" t="s">
        <v>5617</v>
      </c>
      <c r="I2793">
        <v>0</v>
      </c>
      <c r="J2793" t="s">
        <v>87</v>
      </c>
      <c r="K2793">
        <v>0</v>
      </c>
      <c r="L2793">
        <v>0</v>
      </c>
    </row>
    <row r="2794" spans="1:12">
      <c r="A2794" s="93">
        <v>215415</v>
      </c>
      <c r="B2794" t="s">
        <v>3307</v>
      </c>
      <c r="C2794" t="s">
        <v>5604</v>
      </c>
      <c r="D2794" s="92">
        <v>0.5600000000000001</v>
      </c>
      <c r="E2794" s="92">
        <v>0.41</v>
      </c>
      <c r="F2794" t="s">
        <v>428</v>
      </c>
      <c r="G2794" t="s">
        <v>428</v>
      </c>
      <c r="H2794" t="s">
        <v>5617</v>
      </c>
      <c r="I2794">
        <v>0</v>
      </c>
      <c r="J2794" t="s">
        <v>87</v>
      </c>
      <c r="K2794">
        <v>0</v>
      </c>
      <c r="L2794">
        <v>0</v>
      </c>
    </row>
    <row r="2795" spans="1:12">
      <c r="A2795" s="93">
        <v>215424</v>
      </c>
      <c r="B2795" t="s">
        <v>3308</v>
      </c>
      <c r="C2795" t="s">
        <v>5607</v>
      </c>
      <c r="D2795" s="92" t="s">
        <v>428</v>
      </c>
      <c r="E2795" s="92" t="s">
        <v>428</v>
      </c>
      <c r="F2795" t="s">
        <v>428</v>
      </c>
      <c r="G2795" t="s">
        <v>428</v>
      </c>
      <c r="H2795" t="s">
        <v>5615</v>
      </c>
      <c r="I2795">
        <v>0</v>
      </c>
      <c r="J2795" t="s">
        <v>87</v>
      </c>
      <c r="K2795">
        <v>0</v>
      </c>
      <c r="L2795">
        <v>0</v>
      </c>
    </row>
    <row r="2796" spans="1:12">
      <c r="A2796" s="93">
        <v>215442</v>
      </c>
      <c r="B2796" t="s">
        <v>3309</v>
      </c>
      <c r="C2796" t="s">
        <v>5602</v>
      </c>
      <c r="D2796" s="92">
        <v>0.58</v>
      </c>
      <c r="E2796" s="92">
        <v>0.44</v>
      </c>
      <c r="F2796">
        <v>19</v>
      </c>
      <c r="G2796">
        <v>22.5</v>
      </c>
      <c r="H2796" t="s">
        <v>5617</v>
      </c>
      <c r="I2796">
        <v>0</v>
      </c>
      <c r="J2796" t="s">
        <v>87</v>
      </c>
      <c r="K2796">
        <v>0</v>
      </c>
      <c r="L2796">
        <v>0</v>
      </c>
    </row>
    <row r="2797" spans="1:12">
      <c r="A2797" s="93">
        <v>215479</v>
      </c>
      <c r="B2797" t="s">
        <v>3310</v>
      </c>
      <c r="C2797" t="s">
        <v>5606</v>
      </c>
      <c r="D2797" s="92" t="s">
        <v>428</v>
      </c>
      <c r="E2797" s="92" t="s">
        <v>428</v>
      </c>
      <c r="F2797" t="s">
        <v>428</v>
      </c>
      <c r="G2797" t="s">
        <v>428</v>
      </c>
      <c r="H2797" t="s">
        <v>5615</v>
      </c>
      <c r="I2797">
        <v>0</v>
      </c>
      <c r="J2797" t="s">
        <v>87</v>
      </c>
      <c r="K2797">
        <v>0</v>
      </c>
      <c r="L2797">
        <v>0</v>
      </c>
    </row>
    <row r="2798" spans="1:12">
      <c r="A2798" s="93">
        <v>215585</v>
      </c>
      <c r="B2798" t="s">
        <v>3311</v>
      </c>
      <c r="C2798" t="s">
        <v>5606</v>
      </c>
      <c r="D2798" s="92">
        <v>0.24</v>
      </c>
      <c r="E2798" s="92">
        <v>0.17</v>
      </c>
      <c r="F2798" t="s">
        <v>428</v>
      </c>
      <c r="G2798" t="s">
        <v>428</v>
      </c>
      <c r="H2798" t="s">
        <v>5615</v>
      </c>
      <c r="I2798">
        <v>0</v>
      </c>
      <c r="J2798" t="s">
        <v>87</v>
      </c>
      <c r="K2798">
        <v>0</v>
      </c>
      <c r="L2798">
        <v>0</v>
      </c>
    </row>
    <row r="2799" spans="1:12">
      <c r="A2799" s="93">
        <v>215594</v>
      </c>
      <c r="B2799" t="s">
        <v>3312</v>
      </c>
      <c r="C2799" t="s">
        <v>5609</v>
      </c>
      <c r="D2799" s="92" t="s">
        <v>428</v>
      </c>
      <c r="E2799" s="92" t="s">
        <v>428</v>
      </c>
      <c r="F2799">
        <v>15</v>
      </c>
      <c r="G2799">
        <v>17</v>
      </c>
      <c r="H2799" t="s">
        <v>5617</v>
      </c>
      <c r="I2799">
        <v>0</v>
      </c>
      <c r="J2799" t="s">
        <v>87</v>
      </c>
      <c r="K2799">
        <v>0</v>
      </c>
      <c r="L2799">
        <v>0</v>
      </c>
    </row>
    <row r="2800" spans="1:12">
      <c r="A2800" s="93">
        <v>215619</v>
      </c>
      <c r="B2800" t="s">
        <v>3313</v>
      </c>
      <c r="C2800" t="s">
        <v>5607</v>
      </c>
      <c r="D2800" s="92" t="s">
        <v>428</v>
      </c>
      <c r="E2800" s="92" t="s">
        <v>428</v>
      </c>
      <c r="F2800" t="s">
        <v>428</v>
      </c>
      <c r="G2800" t="s">
        <v>428</v>
      </c>
      <c r="H2800" t="s">
        <v>5615</v>
      </c>
      <c r="I2800">
        <v>0</v>
      </c>
      <c r="J2800" t="s">
        <v>87</v>
      </c>
      <c r="K2800">
        <v>0</v>
      </c>
      <c r="L2800">
        <v>0</v>
      </c>
    </row>
    <row r="2801" spans="1:12">
      <c r="A2801" s="93">
        <v>215628</v>
      </c>
      <c r="B2801" t="s">
        <v>3314</v>
      </c>
      <c r="C2801" t="s">
        <v>5607</v>
      </c>
      <c r="D2801" s="92" t="s">
        <v>428</v>
      </c>
      <c r="E2801" s="92" t="s">
        <v>428</v>
      </c>
      <c r="F2801" t="s">
        <v>428</v>
      </c>
      <c r="G2801" t="s">
        <v>428</v>
      </c>
      <c r="H2801" t="s">
        <v>5615</v>
      </c>
      <c r="I2801">
        <v>0</v>
      </c>
      <c r="J2801" t="s">
        <v>87</v>
      </c>
      <c r="K2801">
        <v>0</v>
      </c>
      <c r="L2801">
        <v>0</v>
      </c>
    </row>
    <row r="2802" spans="1:12">
      <c r="A2802" s="93">
        <v>215637</v>
      </c>
      <c r="B2802" t="s">
        <v>3315</v>
      </c>
      <c r="C2802" t="s">
        <v>5607</v>
      </c>
      <c r="D2802" s="92">
        <v>0.12</v>
      </c>
      <c r="E2802" s="92">
        <v>0.12</v>
      </c>
      <c r="F2802" t="s">
        <v>428</v>
      </c>
      <c r="G2802" t="s">
        <v>428</v>
      </c>
      <c r="H2802" t="s">
        <v>5617</v>
      </c>
      <c r="I2802">
        <v>0</v>
      </c>
      <c r="J2802" t="s">
        <v>87</v>
      </c>
      <c r="K2802">
        <v>0</v>
      </c>
      <c r="L2802">
        <v>0</v>
      </c>
    </row>
    <row r="2803" spans="1:12">
      <c r="A2803" s="93">
        <v>215646</v>
      </c>
      <c r="B2803" t="s">
        <v>3316</v>
      </c>
      <c r="C2803" t="s">
        <v>5606</v>
      </c>
      <c r="D2803" s="92" t="s">
        <v>428</v>
      </c>
      <c r="E2803" s="92" t="s">
        <v>428</v>
      </c>
      <c r="F2803" t="s">
        <v>428</v>
      </c>
      <c r="G2803" t="s">
        <v>428</v>
      </c>
      <c r="H2803" t="s">
        <v>5617</v>
      </c>
      <c r="I2803">
        <v>0</v>
      </c>
      <c r="J2803" t="s">
        <v>87</v>
      </c>
      <c r="K2803">
        <v>0</v>
      </c>
      <c r="L2803">
        <v>0</v>
      </c>
    </row>
    <row r="2804" spans="1:12">
      <c r="A2804" s="93">
        <v>215655</v>
      </c>
      <c r="B2804" t="s">
        <v>3317</v>
      </c>
      <c r="C2804" t="s">
        <v>5602</v>
      </c>
      <c r="D2804" s="92">
        <v>0.61</v>
      </c>
      <c r="E2804" s="92">
        <v>0.37</v>
      </c>
      <c r="F2804">
        <v>17</v>
      </c>
      <c r="G2804">
        <v>20</v>
      </c>
      <c r="H2804" t="s">
        <v>5617</v>
      </c>
      <c r="I2804">
        <v>0</v>
      </c>
      <c r="J2804" t="s">
        <v>87</v>
      </c>
      <c r="K2804">
        <v>0</v>
      </c>
      <c r="L2804">
        <v>0</v>
      </c>
    </row>
    <row r="2805" spans="1:12">
      <c r="A2805" s="93">
        <v>215682</v>
      </c>
      <c r="B2805" t="s">
        <v>3318</v>
      </c>
      <c r="C2805" t="s">
        <v>5606</v>
      </c>
      <c r="D2805" s="92" t="s">
        <v>428</v>
      </c>
      <c r="E2805" s="92" t="s">
        <v>428</v>
      </c>
      <c r="F2805" t="s">
        <v>428</v>
      </c>
      <c r="G2805" t="s">
        <v>428</v>
      </c>
      <c r="H2805" t="s">
        <v>5616</v>
      </c>
      <c r="I2805">
        <v>0</v>
      </c>
      <c r="J2805" t="s">
        <v>87</v>
      </c>
      <c r="K2805">
        <v>0</v>
      </c>
      <c r="L2805">
        <v>0</v>
      </c>
    </row>
    <row r="2806" spans="1:12">
      <c r="A2806" s="93">
        <v>215691</v>
      </c>
      <c r="B2806" t="s">
        <v>3319</v>
      </c>
      <c r="C2806" t="s">
        <v>5602</v>
      </c>
      <c r="D2806" s="92">
        <v>0.46</v>
      </c>
      <c r="E2806" s="92">
        <v>0.42</v>
      </c>
      <c r="F2806">
        <v>16</v>
      </c>
      <c r="G2806">
        <v>18</v>
      </c>
      <c r="H2806" t="s">
        <v>5616</v>
      </c>
      <c r="I2806">
        <v>0</v>
      </c>
      <c r="J2806" t="s">
        <v>87</v>
      </c>
      <c r="K2806">
        <v>0</v>
      </c>
      <c r="L2806">
        <v>0</v>
      </c>
    </row>
    <row r="2807" spans="1:12">
      <c r="A2807" s="93">
        <v>215743</v>
      </c>
      <c r="B2807" t="s">
        <v>3320</v>
      </c>
      <c r="C2807" t="s">
        <v>5604</v>
      </c>
      <c r="D2807" s="92">
        <v>0.7</v>
      </c>
      <c r="E2807" s="92">
        <v>0.49</v>
      </c>
      <c r="F2807">
        <v>20</v>
      </c>
      <c r="G2807">
        <v>23.5</v>
      </c>
      <c r="H2807" t="s">
        <v>5617</v>
      </c>
      <c r="I2807">
        <v>0</v>
      </c>
      <c r="J2807" t="s">
        <v>87</v>
      </c>
      <c r="K2807">
        <v>0</v>
      </c>
      <c r="L2807">
        <v>0</v>
      </c>
    </row>
    <row r="2808" spans="1:12">
      <c r="A2808" s="93">
        <v>215770</v>
      </c>
      <c r="B2808" t="s">
        <v>3321</v>
      </c>
      <c r="C2808" t="s">
        <v>5603</v>
      </c>
      <c r="D2808" s="92">
        <v>0.8</v>
      </c>
      <c r="E2808" s="92">
        <v>0.62</v>
      </c>
      <c r="F2808">
        <v>23</v>
      </c>
      <c r="G2808">
        <v>25.5</v>
      </c>
      <c r="H2808" t="s">
        <v>5617</v>
      </c>
      <c r="I2808">
        <v>0</v>
      </c>
      <c r="J2808" t="s">
        <v>87</v>
      </c>
      <c r="K2808">
        <v>0</v>
      </c>
      <c r="L2808">
        <v>0</v>
      </c>
    </row>
    <row r="2809" spans="1:12">
      <c r="A2809" s="93">
        <v>215798</v>
      </c>
      <c r="B2809" t="s">
        <v>3322</v>
      </c>
      <c r="C2809" t="s">
        <v>5602</v>
      </c>
      <c r="D2809" s="92">
        <v>0.72</v>
      </c>
      <c r="E2809" s="92">
        <v>0.62</v>
      </c>
      <c r="F2809">
        <v>20</v>
      </c>
      <c r="G2809">
        <v>23</v>
      </c>
      <c r="H2809" t="s">
        <v>5616</v>
      </c>
      <c r="I2809">
        <v>0</v>
      </c>
      <c r="J2809" t="s">
        <v>87</v>
      </c>
      <c r="K2809">
        <v>0</v>
      </c>
      <c r="L2809">
        <v>0</v>
      </c>
    </row>
    <row r="2810" spans="1:12">
      <c r="A2810" s="93">
        <v>215813</v>
      </c>
      <c r="B2810" t="s">
        <v>3323</v>
      </c>
      <c r="C2810" t="s">
        <v>5607</v>
      </c>
      <c r="D2810" s="92" t="s">
        <v>428</v>
      </c>
      <c r="E2810" s="92" t="s">
        <v>428</v>
      </c>
      <c r="F2810" t="s">
        <v>428</v>
      </c>
      <c r="G2810" t="s">
        <v>428</v>
      </c>
      <c r="H2810" t="s">
        <v>5615</v>
      </c>
      <c r="I2810">
        <v>0</v>
      </c>
      <c r="J2810" t="s">
        <v>87</v>
      </c>
      <c r="K2810">
        <v>0</v>
      </c>
      <c r="L2810">
        <v>0</v>
      </c>
    </row>
    <row r="2811" spans="1:12">
      <c r="A2811" s="93">
        <v>215929</v>
      </c>
      <c r="B2811" t="s">
        <v>3324</v>
      </c>
      <c r="C2811" t="s">
        <v>5603</v>
      </c>
      <c r="D2811" s="92">
        <v>0.79</v>
      </c>
      <c r="E2811" s="92">
        <v>0.73</v>
      </c>
      <c r="F2811">
        <v>23</v>
      </c>
      <c r="G2811">
        <v>25.5</v>
      </c>
      <c r="H2811" t="s">
        <v>5617</v>
      </c>
      <c r="I2811">
        <v>0</v>
      </c>
      <c r="J2811" t="s">
        <v>87</v>
      </c>
      <c r="K2811">
        <v>0</v>
      </c>
      <c r="L2811">
        <v>0</v>
      </c>
    </row>
    <row r="2812" spans="1:12">
      <c r="A2812" s="93">
        <v>215947</v>
      </c>
      <c r="B2812" t="s">
        <v>3325</v>
      </c>
      <c r="C2812" t="s">
        <v>5602</v>
      </c>
      <c r="D2812" s="92">
        <v>0.59</v>
      </c>
      <c r="E2812" s="92">
        <v>0.43</v>
      </c>
      <c r="F2812" t="s">
        <v>428</v>
      </c>
      <c r="G2812" t="s">
        <v>428</v>
      </c>
      <c r="H2812" t="s">
        <v>5617</v>
      </c>
      <c r="I2812">
        <v>0</v>
      </c>
      <c r="J2812" t="s">
        <v>87</v>
      </c>
      <c r="K2812">
        <v>0</v>
      </c>
      <c r="L2812">
        <v>0</v>
      </c>
    </row>
    <row r="2813" spans="1:12">
      <c r="A2813" s="93">
        <v>215974</v>
      </c>
      <c r="B2813" t="s">
        <v>3326</v>
      </c>
      <c r="C2813" t="s">
        <v>5606</v>
      </c>
      <c r="D2813" s="92" t="s">
        <v>428</v>
      </c>
      <c r="E2813" s="92" t="s">
        <v>428</v>
      </c>
      <c r="F2813">
        <v>18</v>
      </c>
      <c r="G2813">
        <v>19.5</v>
      </c>
      <c r="H2813" t="s">
        <v>5617</v>
      </c>
      <c r="I2813">
        <v>0</v>
      </c>
      <c r="J2813" t="s">
        <v>87</v>
      </c>
      <c r="K2813">
        <v>0</v>
      </c>
      <c r="L2813">
        <v>0</v>
      </c>
    </row>
    <row r="2814" spans="1:12">
      <c r="A2814" s="93">
        <v>215992</v>
      </c>
      <c r="B2814" t="s">
        <v>3327</v>
      </c>
      <c r="C2814" t="s">
        <v>5609</v>
      </c>
      <c r="D2814" s="92" t="s">
        <v>428</v>
      </c>
      <c r="E2814" s="92" t="s">
        <v>428</v>
      </c>
      <c r="F2814" t="s">
        <v>428</v>
      </c>
      <c r="G2814" t="s">
        <v>428</v>
      </c>
      <c r="H2814" t="s">
        <v>5624</v>
      </c>
      <c r="I2814">
        <v>1</v>
      </c>
      <c r="J2814" t="s">
        <v>87</v>
      </c>
      <c r="K2814">
        <v>0</v>
      </c>
      <c r="L2814">
        <v>0</v>
      </c>
    </row>
    <row r="2815" spans="1:12">
      <c r="A2815" s="93">
        <v>216010</v>
      </c>
      <c r="B2815" t="s">
        <v>3328</v>
      </c>
      <c r="C2815" t="s">
        <v>5602</v>
      </c>
      <c r="D2815" s="92">
        <v>0.5600000000000001</v>
      </c>
      <c r="E2815" s="92">
        <v>0.4</v>
      </c>
      <c r="F2815">
        <v>15</v>
      </c>
      <c r="G2815">
        <v>18</v>
      </c>
      <c r="H2815" t="s">
        <v>5615</v>
      </c>
      <c r="I2815">
        <v>0</v>
      </c>
      <c r="J2815" t="s">
        <v>87</v>
      </c>
      <c r="K2815">
        <v>0</v>
      </c>
      <c r="L2815">
        <v>0</v>
      </c>
    </row>
    <row r="2816" spans="1:12">
      <c r="A2816" s="93">
        <v>216038</v>
      </c>
      <c r="B2816" t="s">
        <v>3329</v>
      </c>
      <c r="C2816" t="s">
        <v>5602</v>
      </c>
      <c r="D2816" s="92">
        <v>0.68</v>
      </c>
      <c r="E2816" s="92">
        <v>0.53</v>
      </c>
      <c r="F2816">
        <v>19</v>
      </c>
      <c r="G2816">
        <v>21</v>
      </c>
      <c r="H2816" t="s">
        <v>5615</v>
      </c>
      <c r="I2816">
        <v>0</v>
      </c>
      <c r="J2816" t="s">
        <v>87</v>
      </c>
      <c r="K2816">
        <v>0</v>
      </c>
      <c r="L2816">
        <v>0</v>
      </c>
    </row>
    <row r="2817" spans="1:12">
      <c r="A2817" s="93">
        <v>216047</v>
      </c>
      <c r="B2817" t="s">
        <v>3330</v>
      </c>
      <c r="C2817" t="s">
        <v>5607</v>
      </c>
      <c r="D2817" s="92">
        <v>0.71</v>
      </c>
      <c r="E2817" s="92">
        <v>0.75</v>
      </c>
      <c r="F2817" t="s">
        <v>428</v>
      </c>
      <c r="G2817" t="s">
        <v>428</v>
      </c>
      <c r="H2817" t="s">
        <v>5617</v>
      </c>
      <c r="I2817">
        <v>0</v>
      </c>
      <c r="J2817" t="s">
        <v>87</v>
      </c>
      <c r="K2817">
        <v>0</v>
      </c>
      <c r="L2817">
        <v>0</v>
      </c>
    </row>
    <row r="2818" spans="1:12">
      <c r="A2818" s="93">
        <v>216083</v>
      </c>
      <c r="B2818" t="s">
        <v>3331</v>
      </c>
      <c r="C2818" t="s">
        <v>5606</v>
      </c>
      <c r="D2818" s="92">
        <v>0.57</v>
      </c>
      <c r="E2818" s="92">
        <v>0.47</v>
      </c>
      <c r="F2818" t="s">
        <v>428</v>
      </c>
      <c r="G2818" t="s">
        <v>428</v>
      </c>
      <c r="H2818" t="s">
        <v>5617</v>
      </c>
      <c r="I2818">
        <v>0</v>
      </c>
      <c r="J2818" t="s">
        <v>87</v>
      </c>
      <c r="K2818">
        <v>0</v>
      </c>
      <c r="L2818">
        <v>0</v>
      </c>
    </row>
    <row r="2819" spans="1:12">
      <c r="A2819" s="93">
        <v>216278</v>
      </c>
      <c r="B2819" t="s">
        <v>3332</v>
      </c>
      <c r="C2819" t="s">
        <v>5603</v>
      </c>
      <c r="D2819" s="92">
        <v>0.74</v>
      </c>
      <c r="E2819" s="92">
        <v>0.65</v>
      </c>
      <c r="F2819" t="s">
        <v>428</v>
      </c>
      <c r="G2819" t="s">
        <v>428</v>
      </c>
      <c r="H2819" t="s">
        <v>5617</v>
      </c>
      <c r="I2819">
        <v>0</v>
      </c>
      <c r="J2819" t="s">
        <v>87</v>
      </c>
      <c r="K2819">
        <v>0</v>
      </c>
      <c r="L2819">
        <v>0</v>
      </c>
    </row>
    <row r="2820" spans="1:12">
      <c r="A2820" s="93">
        <v>216287</v>
      </c>
      <c r="B2820" t="s">
        <v>479</v>
      </c>
      <c r="C2820" t="s">
        <v>5611</v>
      </c>
      <c r="D2820" s="92">
        <v>0.9399999999999999</v>
      </c>
      <c r="E2820" s="92">
        <v>0.89</v>
      </c>
      <c r="F2820">
        <v>30</v>
      </c>
      <c r="G2820">
        <v>32</v>
      </c>
      <c r="H2820" t="s">
        <v>5619</v>
      </c>
      <c r="I2820">
        <v>1</v>
      </c>
      <c r="J2820" t="s">
        <v>87</v>
      </c>
      <c r="K2820">
        <v>0</v>
      </c>
      <c r="L2820">
        <v>0</v>
      </c>
    </row>
    <row r="2821" spans="1:12">
      <c r="A2821" s="93">
        <v>216296</v>
      </c>
      <c r="B2821" t="s">
        <v>3333</v>
      </c>
      <c r="C2821" t="s">
        <v>5609</v>
      </c>
      <c r="D2821" s="92" t="s">
        <v>428</v>
      </c>
      <c r="E2821" s="92" t="s">
        <v>428</v>
      </c>
      <c r="F2821" t="s">
        <v>428</v>
      </c>
      <c r="G2821" t="s">
        <v>428</v>
      </c>
      <c r="H2821" t="s">
        <v>5615</v>
      </c>
      <c r="I2821">
        <v>0</v>
      </c>
      <c r="J2821" t="s">
        <v>87</v>
      </c>
      <c r="K2821">
        <v>0</v>
      </c>
      <c r="L2821">
        <v>0</v>
      </c>
    </row>
    <row r="2822" spans="1:12">
      <c r="A2822" s="93">
        <v>216311</v>
      </c>
      <c r="B2822" t="s">
        <v>3334</v>
      </c>
      <c r="C2822" t="s">
        <v>5607</v>
      </c>
      <c r="D2822" s="92">
        <v>0.49</v>
      </c>
      <c r="E2822" s="92" t="s">
        <v>428</v>
      </c>
      <c r="F2822" t="s">
        <v>428</v>
      </c>
      <c r="G2822" t="s">
        <v>428</v>
      </c>
      <c r="H2822" t="s">
        <v>5616</v>
      </c>
      <c r="I2822">
        <v>0</v>
      </c>
      <c r="J2822" t="s">
        <v>87</v>
      </c>
      <c r="K2822">
        <v>0</v>
      </c>
      <c r="L2822">
        <v>0</v>
      </c>
    </row>
    <row r="2823" spans="1:12">
      <c r="A2823" s="93">
        <v>216339</v>
      </c>
      <c r="B2823" t="s">
        <v>3335</v>
      </c>
      <c r="C2823" t="s">
        <v>5603</v>
      </c>
      <c r="D2823" s="92">
        <v>0.71</v>
      </c>
      <c r="E2823" s="92">
        <v>0.64</v>
      </c>
      <c r="F2823" t="s">
        <v>428</v>
      </c>
      <c r="G2823" t="s">
        <v>428</v>
      </c>
      <c r="H2823" t="s">
        <v>5617</v>
      </c>
      <c r="I2823">
        <v>0</v>
      </c>
      <c r="J2823" t="s">
        <v>87</v>
      </c>
      <c r="K2823">
        <v>0</v>
      </c>
      <c r="L2823">
        <v>0</v>
      </c>
    </row>
    <row r="2824" spans="1:12">
      <c r="A2824" s="93">
        <v>216348</v>
      </c>
      <c r="B2824" t="s">
        <v>3336</v>
      </c>
      <c r="C2824" t="s">
        <v>5607</v>
      </c>
      <c r="D2824" s="92" t="s">
        <v>428</v>
      </c>
      <c r="E2824" s="92" t="s">
        <v>428</v>
      </c>
      <c r="F2824" t="s">
        <v>428</v>
      </c>
      <c r="G2824" t="s">
        <v>428</v>
      </c>
      <c r="H2824" t="s">
        <v>5615</v>
      </c>
      <c r="I2824">
        <v>0</v>
      </c>
      <c r="J2824" t="s">
        <v>87</v>
      </c>
      <c r="K2824">
        <v>0</v>
      </c>
      <c r="L2824">
        <v>0</v>
      </c>
    </row>
    <row r="2825" spans="1:12">
      <c r="A2825" s="93">
        <v>216357</v>
      </c>
      <c r="B2825" t="s">
        <v>3337</v>
      </c>
      <c r="C2825" t="s">
        <v>5602</v>
      </c>
      <c r="D2825" s="92">
        <v>0.4</v>
      </c>
      <c r="E2825" s="92">
        <v>0.24</v>
      </c>
      <c r="F2825">
        <v>16</v>
      </c>
      <c r="G2825">
        <v>19.5</v>
      </c>
      <c r="H2825" t="s">
        <v>5617</v>
      </c>
      <c r="I2825">
        <v>0</v>
      </c>
      <c r="J2825" t="s">
        <v>87</v>
      </c>
      <c r="K2825">
        <v>0</v>
      </c>
      <c r="L2825">
        <v>0</v>
      </c>
    </row>
    <row r="2826" spans="1:12">
      <c r="A2826" s="93">
        <v>216366</v>
      </c>
      <c r="B2826" t="s">
        <v>3338</v>
      </c>
      <c r="C2826" t="s">
        <v>5607</v>
      </c>
      <c r="D2826" s="92" t="s">
        <v>428</v>
      </c>
      <c r="E2826" s="92" t="s">
        <v>428</v>
      </c>
      <c r="F2826" t="s">
        <v>428</v>
      </c>
      <c r="G2826" t="s">
        <v>428</v>
      </c>
      <c r="H2826" t="s">
        <v>5615</v>
      </c>
      <c r="I2826">
        <v>0</v>
      </c>
      <c r="J2826" t="s">
        <v>87</v>
      </c>
      <c r="K2826">
        <v>0</v>
      </c>
      <c r="L2826">
        <v>0</v>
      </c>
    </row>
    <row r="2827" spans="1:12">
      <c r="A2827" s="93">
        <v>216418</v>
      </c>
      <c r="B2827" t="s">
        <v>3339</v>
      </c>
      <c r="C2827" t="s">
        <v>5606</v>
      </c>
      <c r="D2827" s="92" t="s">
        <v>428</v>
      </c>
      <c r="E2827" s="92" t="s">
        <v>428</v>
      </c>
      <c r="F2827" t="s">
        <v>428</v>
      </c>
      <c r="G2827" t="s">
        <v>428</v>
      </c>
      <c r="H2827" t="s">
        <v>5617</v>
      </c>
      <c r="I2827">
        <v>0</v>
      </c>
      <c r="J2827" t="s">
        <v>87</v>
      </c>
      <c r="K2827">
        <v>0</v>
      </c>
      <c r="L2827">
        <v>0</v>
      </c>
    </row>
    <row r="2828" spans="1:12">
      <c r="A2828" s="93">
        <v>216427</v>
      </c>
      <c r="B2828" t="s">
        <v>3340</v>
      </c>
      <c r="C2828" t="s">
        <v>5606</v>
      </c>
      <c r="D2828" s="92" t="s">
        <v>428</v>
      </c>
      <c r="E2828" s="92" t="s">
        <v>428</v>
      </c>
      <c r="F2828" t="s">
        <v>428</v>
      </c>
      <c r="G2828" t="s">
        <v>428</v>
      </c>
      <c r="H2828" t="s">
        <v>5617</v>
      </c>
      <c r="I2828">
        <v>0</v>
      </c>
      <c r="J2828" t="s">
        <v>87</v>
      </c>
      <c r="K2828">
        <v>0</v>
      </c>
      <c r="L2828">
        <v>0</v>
      </c>
    </row>
    <row r="2829" spans="1:12">
      <c r="A2829" s="93">
        <v>216436</v>
      </c>
      <c r="B2829" t="s">
        <v>3341</v>
      </c>
      <c r="C2829" t="s">
        <v>5606</v>
      </c>
      <c r="D2829" s="92" t="s">
        <v>428</v>
      </c>
      <c r="E2829" s="92" t="s">
        <v>428</v>
      </c>
      <c r="F2829" t="s">
        <v>428</v>
      </c>
      <c r="G2829" t="s">
        <v>428</v>
      </c>
      <c r="H2829" t="s">
        <v>5617</v>
      </c>
      <c r="I2829">
        <v>0</v>
      </c>
      <c r="J2829" t="s">
        <v>87</v>
      </c>
      <c r="K2829">
        <v>0</v>
      </c>
      <c r="L2829">
        <v>0</v>
      </c>
    </row>
    <row r="2830" spans="1:12">
      <c r="A2830" s="93">
        <v>216445</v>
      </c>
      <c r="B2830" t="s">
        <v>3342</v>
      </c>
      <c r="C2830" t="s">
        <v>5606</v>
      </c>
      <c r="D2830" s="92" t="s">
        <v>428</v>
      </c>
      <c r="E2830" s="92" t="s">
        <v>428</v>
      </c>
      <c r="F2830" t="s">
        <v>428</v>
      </c>
      <c r="G2830" t="s">
        <v>428</v>
      </c>
      <c r="H2830" t="s">
        <v>5616</v>
      </c>
      <c r="I2830">
        <v>0</v>
      </c>
      <c r="J2830" t="s">
        <v>87</v>
      </c>
      <c r="K2830">
        <v>0</v>
      </c>
      <c r="L2830">
        <v>0</v>
      </c>
    </row>
    <row r="2831" spans="1:12">
      <c r="A2831" s="93">
        <v>216454</v>
      </c>
      <c r="B2831" t="s">
        <v>3343</v>
      </c>
      <c r="C2831" t="s">
        <v>5606</v>
      </c>
      <c r="D2831" s="92" t="s">
        <v>428</v>
      </c>
      <c r="E2831" s="92" t="s">
        <v>428</v>
      </c>
      <c r="F2831" t="s">
        <v>428</v>
      </c>
      <c r="G2831" t="s">
        <v>428</v>
      </c>
      <c r="H2831" t="s">
        <v>5617</v>
      </c>
      <c r="I2831">
        <v>0</v>
      </c>
      <c r="J2831" t="s">
        <v>87</v>
      </c>
      <c r="K2831">
        <v>0</v>
      </c>
      <c r="L2831">
        <v>0</v>
      </c>
    </row>
    <row r="2832" spans="1:12">
      <c r="A2832" s="93">
        <v>216463</v>
      </c>
      <c r="B2832" t="s">
        <v>3344</v>
      </c>
      <c r="C2832" t="s">
        <v>5607</v>
      </c>
      <c r="D2832" s="92" t="s">
        <v>428</v>
      </c>
      <c r="E2832" s="92" t="s">
        <v>428</v>
      </c>
      <c r="F2832" t="s">
        <v>428</v>
      </c>
      <c r="G2832" t="s">
        <v>428</v>
      </c>
      <c r="H2832" t="s">
        <v>5615</v>
      </c>
      <c r="I2832">
        <v>0</v>
      </c>
      <c r="J2832" t="s">
        <v>87</v>
      </c>
      <c r="K2832">
        <v>0</v>
      </c>
      <c r="L2832">
        <v>0</v>
      </c>
    </row>
    <row r="2833" spans="1:12">
      <c r="A2833" s="93">
        <v>216524</v>
      </c>
      <c r="B2833" t="s">
        <v>3345</v>
      </c>
      <c r="C2833" t="s">
        <v>5603</v>
      </c>
      <c r="D2833" s="92">
        <v>0.79</v>
      </c>
      <c r="E2833" s="92">
        <v>0.74</v>
      </c>
      <c r="F2833" t="s">
        <v>428</v>
      </c>
      <c r="G2833" t="s">
        <v>428</v>
      </c>
      <c r="H2833" t="s">
        <v>5617</v>
      </c>
      <c r="I2833">
        <v>0</v>
      </c>
      <c r="J2833" t="s">
        <v>87</v>
      </c>
      <c r="K2833">
        <v>0</v>
      </c>
      <c r="L2833">
        <v>0</v>
      </c>
    </row>
    <row r="2834" spans="1:12">
      <c r="A2834" s="93">
        <v>216542</v>
      </c>
      <c r="B2834" t="s">
        <v>3346</v>
      </c>
      <c r="C2834" t="s">
        <v>5607</v>
      </c>
      <c r="D2834" s="92">
        <v>0.45</v>
      </c>
      <c r="E2834" s="92">
        <v>0.32</v>
      </c>
      <c r="F2834" t="s">
        <v>428</v>
      </c>
      <c r="G2834" t="s">
        <v>428</v>
      </c>
      <c r="H2834" t="s">
        <v>5617</v>
      </c>
      <c r="I2834">
        <v>0</v>
      </c>
      <c r="J2834" t="s">
        <v>87</v>
      </c>
      <c r="K2834">
        <v>0</v>
      </c>
      <c r="L2834">
        <v>0</v>
      </c>
    </row>
    <row r="2835" spans="1:12">
      <c r="A2835" s="93">
        <v>216551</v>
      </c>
      <c r="B2835" t="s">
        <v>3347</v>
      </c>
      <c r="C2835" t="s">
        <v>5606</v>
      </c>
      <c r="D2835" s="92">
        <v>0.62</v>
      </c>
      <c r="E2835" s="92">
        <v>0.62</v>
      </c>
      <c r="F2835">
        <v>18</v>
      </c>
      <c r="G2835">
        <v>21.5</v>
      </c>
      <c r="H2835" t="s">
        <v>5617</v>
      </c>
      <c r="I2835">
        <v>0</v>
      </c>
      <c r="J2835" t="s">
        <v>87</v>
      </c>
      <c r="K2835">
        <v>0</v>
      </c>
      <c r="L2835">
        <v>0</v>
      </c>
    </row>
    <row r="2836" spans="1:12">
      <c r="A2836" s="93">
        <v>216597</v>
      </c>
      <c r="B2836" t="s">
        <v>494</v>
      </c>
      <c r="C2836" t="s">
        <v>5612</v>
      </c>
      <c r="D2836" s="92">
        <v>0.9</v>
      </c>
      <c r="E2836" s="92">
        <v>0.92</v>
      </c>
      <c r="F2836">
        <v>30</v>
      </c>
      <c r="G2836">
        <v>31</v>
      </c>
      <c r="H2836" t="s">
        <v>5621</v>
      </c>
      <c r="I2836">
        <v>1</v>
      </c>
      <c r="J2836" t="s">
        <v>87</v>
      </c>
      <c r="K2836">
        <v>0</v>
      </c>
      <c r="L2836">
        <v>0</v>
      </c>
    </row>
    <row r="2837" spans="1:12">
      <c r="A2837" s="93">
        <v>216630</v>
      </c>
      <c r="B2837" t="s">
        <v>3348</v>
      </c>
      <c r="C2837" t="s">
        <v>5606</v>
      </c>
      <c r="D2837" s="92" t="s">
        <v>428</v>
      </c>
      <c r="E2837" s="92" t="s">
        <v>428</v>
      </c>
      <c r="F2837" t="s">
        <v>428</v>
      </c>
      <c r="G2837" t="s">
        <v>428</v>
      </c>
      <c r="H2837" t="s">
        <v>5615</v>
      </c>
      <c r="I2837">
        <v>0</v>
      </c>
      <c r="J2837" t="s">
        <v>87</v>
      </c>
      <c r="K2837">
        <v>0</v>
      </c>
      <c r="L2837">
        <v>0</v>
      </c>
    </row>
    <row r="2838" spans="1:12">
      <c r="A2838" s="93">
        <v>216649</v>
      </c>
      <c r="B2838" t="s">
        <v>3349</v>
      </c>
      <c r="C2838" t="s">
        <v>5606</v>
      </c>
      <c r="D2838" s="92" t="s">
        <v>428</v>
      </c>
      <c r="E2838" s="92" t="s">
        <v>428</v>
      </c>
      <c r="F2838" t="s">
        <v>428</v>
      </c>
      <c r="G2838" t="s">
        <v>428</v>
      </c>
      <c r="H2838" t="s">
        <v>5615</v>
      </c>
      <c r="I2838">
        <v>0</v>
      </c>
      <c r="J2838" t="s">
        <v>87</v>
      </c>
      <c r="K2838">
        <v>0</v>
      </c>
      <c r="L2838">
        <v>0</v>
      </c>
    </row>
    <row r="2839" spans="1:12">
      <c r="A2839" s="93">
        <v>216667</v>
      </c>
      <c r="B2839" t="s">
        <v>3350</v>
      </c>
      <c r="C2839" t="s">
        <v>5603</v>
      </c>
      <c r="D2839" s="92">
        <v>0.76</v>
      </c>
      <c r="E2839" s="92">
        <v>0.71</v>
      </c>
      <c r="F2839" t="s">
        <v>428</v>
      </c>
      <c r="G2839" t="s">
        <v>428</v>
      </c>
      <c r="H2839" t="s">
        <v>5617</v>
      </c>
      <c r="I2839">
        <v>0</v>
      </c>
      <c r="J2839" t="s">
        <v>87</v>
      </c>
      <c r="K2839">
        <v>0</v>
      </c>
      <c r="L2839">
        <v>0</v>
      </c>
    </row>
    <row r="2840" spans="1:12">
      <c r="A2840" s="93">
        <v>216694</v>
      </c>
      <c r="B2840" t="s">
        <v>3351</v>
      </c>
      <c r="C2840" t="s">
        <v>5602</v>
      </c>
      <c r="D2840" s="92">
        <v>0.6</v>
      </c>
      <c r="E2840" s="92">
        <v>0.4</v>
      </c>
      <c r="F2840">
        <v>19</v>
      </c>
      <c r="G2840">
        <v>22</v>
      </c>
      <c r="H2840" t="s">
        <v>5616</v>
      </c>
      <c r="I2840">
        <v>0</v>
      </c>
      <c r="J2840" t="s">
        <v>87</v>
      </c>
      <c r="K2840">
        <v>0</v>
      </c>
      <c r="L2840">
        <v>0</v>
      </c>
    </row>
    <row r="2841" spans="1:12">
      <c r="A2841" s="93">
        <v>216764</v>
      </c>
      <c r="B2841" t="s">
        <v>3352</v>
      </c>
      <c r="C2841" t="s">
        <v>5602</v>
      </c>
      <c r="D2841" s="92">
        <v>0.7</v>
      </c>
      <c r="E2841" s="92">
        <v>0.5600000000000001</v>
      </c>
      <c r="F2841">
        <v>18</v>
      </c>
      <c r="G2841">
        <v>20.5</v>
      </c>
      <c r="H2841" t="s">
        <v>5615</v>
      </c>
      <c r="I2841">
        <v>0</v>
      </c>
      <c r="J2841" t="s">
        <v>87</v>
      </c>
      <c r="K2841">
        <v>0</v>
      </c>
      <c r="L2841">
        <v>0</v>
      </c>
    </row>
    <row r="2842" spans="1:12">
      <c r="A2842" s="93">
        <v>216773</v>
      </c>
      <c r="B2842" t="s">
        <v>3353</v>
      </c>
      <c r="C2842" t="s">
        <v>5609</v>
      </c>
      <c r="D2842" s="92" t="s">
        <v>428</v>
      </c>
      <c r="E2842" s="92" t="s">
        <v>428</v>
      </c>
      <c r="F2842" t="s">
        <v>428</v>
      </c>
      <c r="G2842" t="s">
        <v>428</v>
      </c>
      <c r="H2842" t="s">
        <v>5615</v>
      </c>
      <c r="I2842">
        <v>0</v>
      </c>
      <c r="J2842" t="s">
        <v>87</v>
      </c>
      <c r="K2842">
        <v>0</v>
      </c>
      <c r="L2842">
        <v>0</v>
      </c>
    </row>
    <row r="2843" spans="1:12">
      <c r="A2843" s="93">
        <v>216782</v>
      </c>
      <c r="B2843" t="s">
        <v>3354</v>
      </c>
      <c r="C2843" t="s">
        <v>5606</v>
      </c>
      <c r="D2843" s="92" t="s">
        <v>428</v>
      </c>
      <c r="E2843" s="92" t="s">
        <v>428</v>
      </c>
      <c r="F2843" t="s">
        <v>428</v>
      </c>
      <c r="G2843" t="s">
        <v>428</v>
      </c>
      <c r="H2843" t="s">
        <v>5617</v>
      </c>
      <c r="I2843">
        <v>0</v>
      </c>
      <c r="J2843" t="s">
        <v>87</v>
      </c>
      <c r="K2843">
        <v>0</v>
      </c>
      <c r="L2843">
        <v>0</v>
      </c>
    </row>
    <row r="2844" spans="1:12">
      <c r="A2844" s="93">
        <v>216807</v>
      </c>
      <c r="B2844" t="s">
        <v>2287</v>
      </c>
      <c r="C2844" t="s">
        <v>5602</v>
      </c>
      <c r="D2844" s="92">
        <v>0.73</v>
      </c>
      <c r="E2844" s="92">
        <v>0.57</v>
      </c>
      <c r="F2844">
        <v>20</v>
      </c>
      <c r="G2844">
        <v>23</v>
      </c>
      <c r="H2844" t="s">
        <v>5617</v>
      </c>
      <c r="I2844">
        <v>0</v>
      </c>
      <c r="J2844" t="s">
        <v>87</v>
      </c>
      <c r="K2844">
        <v>0</v>
      </c>
      <c r="L2844">
        <v>0</v>
      </c>
    </row>
    <row r="2845" spans="1:12">
      <c r="A2845" s="93">
        <v>216816</v>
      </c>
      <c r="B2845" t="s">
        <v>3355</v>
      </c>
      <c r="C2845" t="s">
        <v>5607</v>
      </c>
      <c r="D2845" s="92" t="s">
        <v>428</v>
      </c>
      <c r="E2845" s="92" t="s">
        <v>428</v>
      </c>
      <c r="F2845" t="s">
        <v>428</v>
      </c>
      <c r="G2845" t="s">
        <v>428</v>
      </c>
      <c r="H2845" t="s">
        <v>5615</v>
      </c>
      <c r="I2845">
        <v>0</v>
      </c>
      <c r="J2845" t="s">
        <v>87</v>
      </c>
      <c r="K2845">
        <v>0</v>
      </c>
      <c r="L2845">
        <v>0</v>
      </c>
    </row>
    <row r="2846" spans="1:12">
      <c r="A2846" s="93">
        <v>216825</v>
      </c>
      <c r="B2846" t="s">
        <v>3356</v>
      </c>
      <c r="C2846" t="s">
        <v>5606</v>
      </c>
      <c r="D2846" s="92">
        <v>0.23</v>
      </c>
      <c r="E2846" s="92">
        <v>0.2</v>
      </c>
      <c r="F2846" t="s">
        <v>428</v>
      </c>
      <c r="G2846" t="s">
        <v>428</v>
      </c>
      <c r="H2846" t="s">
        <v>5615</v>
      </c>
      <c r="I2846">
        <v>0</v>
      </c>
      <c r="J2846" t="s">
        <v>87</v>
      </c>
      <c r="K2846">
        <v>0</v>
      </c>
      <c r="L2846">
        <v>0</v>
      </c>
    </row>
    <row r="2847" spans="1:12">
      <c r="A2847" s="93">
        <v>216852</v>
      </c>
      <c r="B2847" t="s">
        <v>3357</v>
      </c>
      <c r="C2847" t="s">
        <v>5602</v>
      </c>
      <c r="D2847" s="92">
        <v>0.5600000000000001</v>
      </c>
      <c r="E2847" s="92">
        <v>0.38</v>
      </c>
      <c r="F2847">
        <v>17</v>
      </c>
      <c r="G2847">
        <v>20</v>
      </c>
      <c r="H2847" t="s">
        <v>5617</v>
      </c>
      <c r="I2847">
        <v>0</v>
      </c>
      <c r="J2847" t="s">
        <v>87</v>
      </c>
      <c r="K2847">
        <v>0</v>
      </c>
      <c r="L2847">
        <v>0</v>
      </c>
    </row>
    <row r="2848" spans="1:12">
      <c r="A2848" s="93">
        <v>216931</v>
      </c>
      <c r="B2848" t="s">
        <v>3358</v>
      </c>
      <c r="C2848" t="s">
        <v>5602</v>
      </c>
      <c r="D2848" s="92">
        <v>0.59</v>
      </c>
      <c r="E2848" s="92">
        <v>0.4</v>
      </c>
      <c r="F2848">
        <v>20</v>
      </c>
      <c r="G2848">
        <v>22.5</v>
      </c>
      <c r="H2848" t="s">
        <v>5617</v>
      </c>
      <c r="I2848">
        <v>0</v>
      </c>
      <c r="J2848" t="s">
        <v>87</v>
      </c>
      <c r="K2848">
        <v>0</v>
      </c>
      <c r="L2848">
        <v>0</v>
      </c>
    </row>
    <row r="2849" spans="1:12">
      <c r="A2849" s="93">
        <v>217013</v>
      </c>
      <c r="B2849" t="s">
        <v>3359</v>
      </c>
      <c r="C2849" t="s">
        <v>5602</v>
      </c>
      <c r="D2849" s="92">
        <v>0.47</v>
      </c>
      <c r="E2849" s="92">
        <v>0.26</v>
      </c>
      <c r="F2849">
        <v>14</v>
      </c>
      <c r="G2849">
        <v>17</v>
      </c>
      <c r="H2849" t="s">
        <v>5617</v>
      </c>
      <c r="I2849">
        <v>0</v>
      </c>
      <c r="J2849" t="s">
        <v>87</v>
      </c>
      <c r="K2849">
        <v>0</v>
      </c>
      <c r="L2849">
        <v>0</v>
      </c>
    </row>
    <row r="2850" spans="1:12">
      <c r="A2850" s="93">
        <v>217040</v>
      </c>
      <c r="B2850" t="s">
        <v>3360</v>
      </c>
      <c r="C2850" t="s">
        <v>5607</v>
      </c>
      <c r="D2850" s="92">
        <v>0.13</v>
      </c>
      <c r="E2850" s="92" t="s">
        <v>428</v>
      </c>
      <c r="F2850" t="s">
        <v>428</v>
      </c>
      <c r="G2850" t="s">
        <v>428</v>
      </c>
      <c r="H2850" t="s">
        <v>5615</v>
      </c>
      <c r="I2850">
        <v>0</v>
      </c>
      <c r="J2850" t="s">
        <v>87</v>
      </c>
      <c r="K2850">
        <v>0</v>
      </c>
      <c r="L2850">
        <v>0</v>
      </c>
    </row>
    <row r="2851" spans="1:12">
      <c r="A2851" s="93">
        <v>217059</v>
      </c>
      <c r="B2851" t="s">
        <v>3361</v>
      </c>
      <c r="C2851" t="s">
        <v>5602</v>
      </c>
      <c r="D2851" s="92">
        <v>0.6</v>
      </c>
      <c r="E2851" s="92">
        <v>0.4</v>
      </c>
      <c r="F2851">
        <v>20</v>
      </c>
      <c r="G2851">
        <v>22.5</v>
      </c>
      <c r="H2851" t="s">
        <v>5617</v>
      </c>
      <c r="I2851">
        <v>0</v>
      </c>
      <c r="J2851" t="s">
        <v>87</v>
      </c>
      <c r="K2851">
        <v>0</v>
      </c>
      <c r="L2851">
        <v>0</v>
      </c>
    </row>
    <row r="2852" spans="1:12">
      <c r="A2852" s="93">
        <v>217077</v>
      </c>
      <c r="B2852" t="s">
        <v>3362</v>
      </c>
      <c r="C2852" t="s">
        <v>5609</v>
      </c>
      <c r="D2852" s="92" t="s">
        <v>428</v>
      </c>
      <c r="E2852" s="92" t="s">
        <v>428</v>
      </c>
      <c r="F2852" t="s">
        <v>428</v>
      </c>
      <c r="G2852" t="s">
        <v>428</v>
      </c>
      <c r="H2852" t="s">
        <v>5616</v>
      </c>
      <c r="I2852">
        <v>0</v>
      </c>
      <c r="J2852" t="s">
        <v>87</v>
      </c>
      <c r="K2852">
        <v>0</v>
      </c>
      <c r="L2852">
        <v>0</v>
      </c>
    </row>
    <row r="2853" spans="1:12">
      <c r="A2853" s="93">
        <v>217156</v>
      </c>
      <c r="B2853" t="s">
        <v>3363</v>
      </c>
      <c r="C2853" t="s">
        <v>5611</v>
      </c>
      <c r="D2853" s="92">
        <v>0.96</v>
      </c>
      <c r="E2853" s="92">
        <v>0.9</v>
      </c>
      <c r="F2853">
        <v>31</v>
      </c>
      <c r="G2853">
        <v>32.5</v>
      </c>
      <c r="H2853" t="s">
        <v>5619</v>
      </c>
      <c r="I2853">
        <v>1</v>
      </c>
      <c r="J2853" t="s">
        <v>87</v>
      </c>
      <c r="K2853">
        <v>0</v>
      </c>
      <c r="L2853">
        <v>0</v>
      </c>
    </row>
    <row r="2854" spans="1:12">
      <c r="A2854" s="93">
        <v>217165</v>
      </c>
      <c r="B2854" t="s">
        <v>3364</v>
      </c>
      <c r="C2854" t="s">
        <v>5603</v>
      </c>
      <c r="D2854" s="92">
        <v>0.78</v>
      </c>
      <c r="E2854" s="92">
        <v>0.6899999999999999</v>
      </c>
      <c r="F2854" t="s">
        <v>428</v>
      </c>
      <c r="G2854" t="s">
        <v>428</v>
      </c>
      <c r="H2854" t="s">
        <v>5617</v>
      </c>
      <c r="I2854">
        <v>0</v>
      </c>
      <c r="J2854" t="s">
        <v>87</v>
      </c>
      <c r="K2854">
        <v>0</v>
      </c>
      <c r="L2854">
        <v>0</v>
      </c>
    </row>
    <row r="2855" spans="1:12">
      <c r="A2855" s="93">
        <v>217235</v>
      </c>
      <c r="B2855" t="s">
        <v>3365</v>
      </c>
      <c r="C2855" t="s">
        <v>5607</v>
      </c>
      <c r="D2855" s="92">
        <v>0.58</v>
      </c>
      <c r="E2855" s="92">
        <v>0.53</v>
      </c>
      <c r="F2855" t="s">
        <v>428</v>
      </c>
      <c r="G2855" t="s">
        <v>428</v>
      </c>
      <c r="H2855" t="s">
        <v>5617</v>
      </c>
      <c r="I2855">
        <v>0</v>
      </c>
      <c r="J2855" t="s">
        <v>87</v>
      </c>
      <c r="K2855">
        <v>0</v>
      </c>
      <c r="L2855">
        <v>0</v>
      </c>
    </row>
    <row r="2856" spans="1:12">
      <c r="A2856" s="93">
        <v>217305</v>
      </c>
      <c r="B2856" t="s">
        <v>3366</v>
      </c>
      <c r="C2856" t="s">
        <v>5604</v>
      </c>
      <c r="D2856" s="92" t="s">
        <v>428</v>
      </c>
      <c r="E2856" s="92" t="s">
        <v>428</v>
      </c>
      <c r="F2856" t="s">
        <v>428</v>
      </c>
      <c r="G2856" t="s">
        <v>428</v>
      </c>
      <c r="H2856" t="s">
        <v>5617</v>
      </c>
      <c r="I2856">
        <v>0</v>
      </c>
      <c r="J2856" t="s">
        <v>87</v>
      </c>
      <c r="K2856">
        <v>0</v>
      </c>
      <c r="L2856">
        <v>0</v>
      </c>
    </row>
    <row r="2857" spans="1:12">
      <c r="A2857" s="93">
        <v>217402</v>
      </c>
      <c r="B2857" t="s">
        <v>3367</v>
      </c>
      <c r="C2857" t="s">
        <v>5603</v>
      </c>
      <c r="D2857" s="92">
        <v>0.83</v>
      </c>
      <c r="E2857" s="92">
        <v>0.7</v>
      </c>
      <c r="F2857">
        <v>23</v>
      </c>
      <c r="G2857">
        <v>25.5</v>
      </c>
      <c r="H2857" t="s">
        <v>5618</v>
      </c>
      <c r="I2857">
        <v>0</v>
      </c>
      <c r="J2857" t="s">
        <v>87</v>
      </c>
      <c r="K2857">
        <v>0</v>
      </c>
      <c r="L2857">
        <v>0</v>
      </c>
    </row>
    <row r="2858" spans="1:12">
      <c r="A2858" s="93">
        <v>217420</v>
      </c>
      <c r="B2858" t="s">
        <v>3368</v>
      </c>
      <c r="C2858" t="s">
        <v>5608</v>
      </c>
      <c r="D2858" s="92">
        <v>0.45</v>
      </c>
      <c r="E2858" s="92">
        <v>0.38</v>
      </c>
      <c r="F2858">
        <v>14</v>
      </c>
      <c r="G2858">
        <v>16.5</v>
      </c>
      <c r="H2858" t="s">
        <v>5615</v>
      </c>
      <c r="I2858">
        <v>0</v>
      </c>
      <c r="J2858" t="s">
        <v>87</v>
      </c>
      <c r="K2858">
        <v>0</v>
      </c>
      <c r="L2858">
        <v>0</v>
      </c>
    </row>
    <row r="2859" spans="1:12">
      <c r="A2859" s="93">
        <v>217475</v>
      </c>
      <c r="B2859" t="s">
        <v>3369</v>
      </c>
      <c r="C2859" t="s">
        <v>5606</v>
      </c>
      <c r="D2859" s="92">
        <v>0.26</v>
      </c>
      <c r="E2859" s="92">
        <v>0.17</v>
      </c>
      <c r="F2859" t="s">
        <v>428</v>
      </c>
      <c r="G2859" t="s">
        <v>428</v>
      </c>
      <c r="H2859" t="s">
        <v>5615</v>
      </c>
      <c r="I2859">
        <v>0</v>
      </c>
      <c r="J2859" t="s">
        <v>87</v>
      </c>
      <c r="K2859">
        <v>0</v>
      </c>
      <c r="L2859">
        <v>0</v>
      </c>
    </row>
    <row r="2860" spans="1:12">
      <c r="A2860" s="93">
        <v>217484</v>
      </c>
      <c r="B2860" t="s">
        <v>3370</v>
      </c>
      <c r="C2860" t="s">
        <v>5602</v>
      </c>
      <c r="D2860" s="92">
        <v>0.63</v>
      </c>
      <c r="E2860" s="92">
        <v>0.5600000000000001</v>
      </c>
      <c r="F2860">
        <v>22</v>
      </c>
      <c r="G2860">
        <v>24.5</v>
      </c>
      <c r="H2860" t="s">
        <v>5615</v>
      </c>
      <c r="I2860">
        <v>0</v>
      </c>
      <c r="J2860" t="s">
        <v>87</v>
      </c>
      <c r="K2860">
        <v>0</v>
      </c>
      <c r="L2860">
        <v>0</v>
      </c>
    </row>
    <row r="2861" spans="1:12">
      <c r="A2861" s="93">
        <v>217493</v>
      </c>
      <c r="B2861" t="s">
        <v>3371</v>
      </c>
      <c r="C2861" t="s">
        <v>5610</v>
      </c>
      <c r="D2861" s="92">
        <v>0.9</v>
      </c>
      <c r="E2861" s="92">
        <v>0.9</v>
      </c>
      <c r="F2861">
        <v>24</v>
      </c>
      <c r="G2861">
        <v>27</v>
      </c>
      <c r="H2861" t="s">
        <v>5618</v>
      </c>
      <c r="I2861">
        <v>0</v>
      </c>
      <c r="J2861" t="s">
        <v>87</v>
      </c>
      <c r="K2861">
        <v>0</v>
      </c>
      <c r="L2861">
        <v>0</v>
      </c>
    </row>
    <row r="2862" spans="1:12">
      <c r="A2862" s="93">
        <v>217518</v>
      </c>
      <c r="B2862" t="s">
        <v>3372</v>
      </c>
      <c r="C2862" t="s">
        <v>5602</v>
      </c>
      <c r="D2862" s="92">
        <v>0.63</v>
      </c>
      <c r="E2862" s="92">
        <v>0.62</v>
      </c>
      <c r="F2862" t="s">
        <v>428</v>
      </c>
      <c r="G2862" t="s">
        <v>428</v>
      </c>
      <c r="H2862" t="s">
        <v>5617</v>
      </c>
      <c r="I2862">
        <v>0</v>
      </c>
      <c r="J2862" t="s">
        <v>87</v>
      </c>
      <c r="K2862">
        <v>0</v>
      </c>
      <c r="L2862">
        <v>0</v>
      </c>
    </row>
    <row r="2863" spans="1:12">
      <c r="A2863" s="93">
        <v>217536</v>
      </c>
      <c r="B2863" t="s">
        <v>3373</v>
      </c>
      <c r="C2863" t="s">
        <v>5602</v>
      </c>
      <c r="D2863" s="92">
        <v>0.6899999999999999</v>
      </c>
      <c r="E2863" s="92">
        <v>0.6899999999999999</v>
      </c>
      <c r="F2863" t="s">
        <v>428</v>
      </c>
      <c r="G2863" t="s">
        <v>428</v>
      </c>
      <c r="H2863" t="s">
        <v>5616</v>
      </c>
      <c r="I2863">
        <v>0</v>
      </c>
      <c r="J2863" t="s">
        <v>87</v>
      </c>
      <c r="K2863">
        <v>0</v>
      </c>
      <c r="L2863">
        <v>0</v>
      </c>
    </row>
    <row r="2864" spans="1:12">
      <c r="A2864" s="93">
        <v>217572</v>
      </c>
      <c r="B2864" t="s">
        <v>2379</v>
      </c>
      <c r="C2864" t="s">
        <v>5606</v>
      </c>
      <c r="D2864" s="92" t="s">
        <v>428</v>
      </c>
      <c r="E2864" s="92" t="s">
        <v>428</v>
      </c>
      <c r="F2864" t="s">
        <v>428</v>
      </c>
      <c r="G2864" t="s">
        <v>428</v>
      </c>
      <c r="H2864" t="s">
        <v>5617</v>
      </c>
      <c r="I2864">
        <v>0</v>
      </c>
      <c r="J2864" t="s">
        <v>87</v>
      </c>
      <c r="K2864">
        <v>0</v>
      </c>
      <c r="L2864">
        <v>0</v>
      </c>
    </row>
    <row r="2865" spans="1:12">
      <c r="A2865" s="93">
        <v>217606</v>
      </c>
      <c r="B2865" t="s">
        <v>3374</v>
      </c>
      <c r="C2865" t="s">
        <v>5604</v>
      </c>
      <c r="D2865" s="92">
        <v>0.38</v>
      </c>
      <c r="E2865" s="92">
        <v>0.24</v>
      </c>
      <c r="F2865" t="s">
        <v>428</v>
      </c>
      <c r="G2865" t="s">
        <v>428</v>
      </c>
      <c r="H2865" t="s">
        <v>5617</v>
      </c>
      <c r="I2865">
        <v>0</v>
      </c>
      <c r="J2865" t="s">
        <v>87</v>
      </c>
      <c r="K2865">
        <v>0</v>
      </c>
      <c r="L2865">
        <v>0</v>
      </c>
    </row>
    <row r="2866" spans="1:12">
      <c r="A2866" s="93">
        <v>217615</v>
      </c>
      <c r="B2866" t="s">
        <v>3375</v>
      </c>
      <c r="C2866" t="s">
        <v>5606</v>
      </c>
      <c r="D2866" s="92">
        <v>0.21</v>
      </c>
      <c r="E2866" s="92">
        <v>0.19</v>
      </c>
      <c r="F2866" t="s">
        <v>428</v>
      </c>
      <c r="G2866" t="s">
        <v>428</v>
      </c>
      <c r="H2866" t="s">
        <v>5615</v>
      </c>
      <c r="I2866">
        <v>0</v>
      </c>
      <c r="J2866" t="s">
        <v>87</v>
      </c>
      <c r="K2866">
        <v>0</v>
      </c>
      <c r="L2866">
        <v>0</v>
      </c>
    </row>
    <row r="2867" spans="1:12">
      <c r="A2867" s="93">
        <v>217624</v>
      </c>
      <c r="B2867" t="s">
        <v>3376</v>
      </c>
      <c r="C2867" t="s">
        <v>5604</v>
      </c>
      <c r="D2867" s="92">
        <v>0.18</v>
      </c>
      <c r="E2867" s="92">
        <v>0.32</v>
      </c>
      <c r="F2867" t="s">
        <v>428</v>
      </c>
      <c r="G2867" t="s">
        <v>428</v>
      </c>
      <c r="H2867" t="s">
        <v>5616</v>
      </c>
      <c r="I2867">
        <v>0</v>
      </c>
      <c r="J2867" t="s">
        <v>138</v>
      </c>
      <c r="K2867">
        <v>0</v>
      </c>
      <c r="L2867">
        <v>0</v>
      </c>
    </row>
    <row r="2868" spans="1:12">
      <c r="A2868" s="93">
        <v>217633</v>
      </c>
      <c r="B2868" t="s">
        <v>1529</v>
      </c>
      <c r="C2868" t="s">
        <v>5602</v>
      </c>
      <c r="D2868" s="92">
        <v>0.51</v>
      </c>
      <c r="E2868" s="92">
        <v>0.25</v>
      </c>
      <c r="F2868">
        <v>21</v>
      </c>
      <c r="G2868">
        <v>23.5</v>
      </c>
      <c r="H2868" t="s">
        <v>5617</v>
      </c>
      <c r="I2868">
        <v>0</v>
      </c>
      <c r="J2868" t="s">
        <v>87</v>
      </c>
      <c r="K2868">
        <v>0</v>
      </c>
      <c r="L2868">
        <v>0</v>
      </c>
    </row>
    <row r="2869" spans="1:12">
      <c r="A2869" s="93">
        <v>217688</v>
      </c>
      <c r="B2869" t="s">
        <v>3377</v>
      </c>
      <c r="C2869" t="s">
        <v>5602</v>
      </c>
      <c r="D2869" s="92">
        <v>0.36</v>
      </c>
      <c r="E2869" s="92">
        <v>0.29</v>
      </c>
      <c r="F2869">
        <v>20</v>
      </c>
      <c r="G2869">
        <v>22</v>
      </c>
      <c r="H2869" t="s">
        <v>5616</v>
      </c>
      <c r="I2869">
        <v>0</v>
      </c>
      <c r="J2869" t="s">
        <v>87</v>
      </c>
      <c r="K2869">
        <v>0</v>
      </c>
      <c r="L2869">
        <v>0</v>
      </c>
    </row>
    <row r="2870" spans="1:12">
      <c r="A2870" s="93">
        <v>217712</v>
      </c>
      <c r="B2870" t="s">
        <v>3378</v>
      </c>
      <c r="C2870" t="s">
        <v>5606</v>
      </c>
      <c r="D2870" s="92">
        <v>0.21</v>
      </c>
      <c r="E2870" s="92">
        <v>0.19</v>
      </c>
      <c r="F2870" t="s">
        <v>428</v>
      </c>
      <c r="G2870" t="s">
        <v>428</v>
      </c>
      <c r="H2870" t="s">
        <v>5615</v>
      </c>
      <c r="I2870">
        <v>0</v>
      </c>
      <c r="J2870" t="s">
        <v>87</v>
      </c>
      <c r="K2870">
        <v>0</v>
      </c>
      <c r="L2870">
        <v>0</v>
      </c>
    </row>
    <row r="2871" spans="1:12">
      <c r="A2871" s="93">
        <v>217721</v>
      </c>
      <c r="B2871" t="s">
        <v>3379</v>
      </c>
      <c r="C2871" t="s">
        <v>5604</v>
      </c>
      <c r="D2871" s="92">
        <v>0.22</v>
      </c>
      <c r="E2871" s="92">
        <v>0.37</v>
      </c>
      <c r="F2871" t="s">
        <v>428</v>
      </c>
      <c r="G2871" t="s">
        <v>428</v>
      </c>
      <c r="H2871" t="s">
        <v>5616</v>
      </c>
      <c r="I2871">
        <v>0</v>
      </c>
      <c r="J2871" t="s">
        <v>138</v>
      </c>
      <c r="K2871">
        <v>0</v>
      </c>
      <c r="L2871">
        <v>0</v>
      </c>
    </row>
    <row r="2872" spans="1:12">
      <c r="A2872" s="93">
        <v>217749</v>
      </c>
      <c r="B2872" t="s">
        <v>3380</v>
      </c>
      <c r="C2872" t="s">
        <v>5604</v>
      </c>
      <c r="D2872" s="92">
        <v>0.65</v>
      </c>
      <c r="E2872" s="92">
        <v>0.5</v>
      </c>
      <c r="F2872">
        <v>20</v>
      </c>
      <c r="G2872">
        <v>23</v>
      </c>
      <c r="H2872" t="s">
        <v>5616</v>
      </c>
      <c r="I2872">
        <v>0</v>
      </c>
      <c r="J2872" t="s">
        <v>87</v>
      </c>
      <c r="K2872">
        <v>0</v>
      </c>
      <c r="L2872">
        <v>0</v>
      </c>
    </row>
    <row r="2873" spans="1:12">
      <c r="A2873" s="93">
        <v>217776</v>
      </c>
      <c r="B2873" t="s">
        <v>3381</v>
      </c>
      <c r="C2873" t="s">
        <v>5608</v>
      </c>
      <c r="D2873" s="92">
        <v>0.53</v>
      </c>
      <c r="E2873" s="92">
        <v>0.29</v>
      </c>
      <c r="F2873" t="s">
        <v>428</v>
      </c>
      <c r="G2873" t="s">
        <v>428</v>
      </c>
      <c r="H2873" t="s">
        <v>5616</v>
      </c>
      <c r="I2873">
        <v>0</v>
      </c>
      <c r="J2873" t="s">
        <v>87</v>
      </c>
      <c r="K2873">
        <v>0</v>
      </c>
      <c r="L2873">
        <v>0</v>
      </c>
    </row>
    <row r="2874" spans="1:12">
      <c r="A2874" s="93">
        <v>217819</v>
      </c>
      <c r="B2874" t="s">
        <v>3382</v>
      </c>
      <c r="C2874" t="s">
        <v>5602</v>
      </c>
      <c r="D2874" s="92">
        <v>0.6899999999999999</v>
      </c>
      <c r="E2874" s="92">
        <v>0.63</v>
      </c>
      <c r="F2874">
        <v>22</v>
      </c>
      <c r="G2874">
        <v>24.5</v>
      </c>
      <c r="H2874" t="s">
        <v>5615</v>
      </c>
      <c r="I2874">
        <v>0</v>
      </c>
      <c r="J2874" t="s">
        <v>87</v>
      </c>
      <c r="K2874">
        <v>0</v>
      </c>
      <c r="L2874">
        <v>0</v>
      </c>
    </row>
    <row r="2875" spans="1:12">
      <c r="A2875" s="93">
        <v>217837</v>
      </c>
      <c r="B2875" t="s">
        <v>3383</v>
      </c>
      <c r="C2875" t="s">
        <v>5606</v>
      </c>
      <c r="D2875" s="92">
        <v>0.22</v>
      </c>
      <c r="E2875" s="92">
        <v>0.17</v>
      </c>
      <c r="F2875" t="s">
        <v>428</v>
      </c>
      <c r="G2875" t="s">
        <v>428</v>
      </c>
      <c r="H2875" t="s">
        <v>5615</v>
      </c>
      <c r="I2875">
        <v>0</v>
      </c>
      <c r="J2875" t="s">
        <v>87</v>
      </c>
      <c r="K2875">
        <v>0</v>
      </c>
      <c r="L2875">
        <v>0</v>
      </c>
    </row>
    <row r="2876" spans="1:12">
      <c r="A2876" s="93">
        <v>217864</v>
      </c>
      <c r="B2876" t="s">
        <v>3384</v>
      </c>
      <c r="C2876" t="s">
        <v>5602</v>
      </c>
      <c r="D2876" s="92">
        <v>0.6899999999999999</v>
      </c>
      <c r="E2876" s="92">
        <v>0.62</v>
      </c>
      <c r="F2876">
        <v>20</v>
      </c>
      <c r="G2876">
        <v>22.5</v>
      </c>
      <c r="H2876" t="s">
        <v>5615</v>
      </c>
      <c r="I2876">
        <v>0</v>
      </c>
      <c r="J2876" t="s">
        <v>87</v>
      </c>
      <c r="K2876">
        <v>0</v>
      </c>
      <c r="L2876">
        <v>0</v>
      </c>
    </row>
    <row r="2877" spans="1:12">
      <c r="A2877" s="93">
        <v>217873</v>
      </c>
      <c r="B2877" t="s">
        <v>3385</v>
      </c>
      <c r="C2877" t="s">
        <v>5608</v>
      </c>
      <c r="D2877" s="92">
        <v>0.5600000000000001</v>
      </c>
      <c r="E2877" s="92">
        <v>0.72</v>
      </c>
      <c r="F2877">
        <v>18</v>
      </c>
      <c r="G2877">
        <v>19</v>
      </c>
      <c r="H2877" t="s">
        <v>5617</v>
      </c>
      <c r="I2877">
        <v>0</v>
      </c>
      <c r="J2877" t="s">
        <v>138</v>
      </c>
      <c r="K2877">
        <v>0</v>
      </c>
      <c r="L2877">
        <v>0</v>
      </c>
    </row>
    <row r="2878" spans="1:12">
      <c r="A2878" s="93">
        <v>217882</v>
      </c>
      <c r="B2878" t="s">
        <v>3386</v>
      </c>
      <c r="C2878" t="s">
        <v>5605</v>
      </c>
      <c r="D2878" s="92">
        <v>0.8100000000000001</v>
      </c>
      <c r="E2878" s="92">
        <v>0.65</v>
      </c>
      <c r="F2878">
        <v>26</v>
      </c>
      <c r="G2878">
        <v>28.5</v>
      </c>
      <c r="H2878" t="s">
        <v>5615</v>
      </c>
      <c r="I2878">
        <v>0</v>
      </c>
      <c r="J2878" t="s">
        <v>87</v>
      </c>
      <c r="K2878">
        <v>0</v>
      </c>
      <c r="L2878">
        <v>0</v>
      </c>
    </row>
    <row r="2879" spans="1:12">
      <c r="A2879" s="93">
        <v>217891</v>
      </c>
      <c r="B2879" t="s">
        <v>3387</v>
      </c>
      <c r="C2879" t="s">
        <v>5604</v>
      </c>
      <c r="D2879" s="92" t="s">
        <v>428</v>
      </c>
      <c r="E2879" s="92" t="s">
        <v>428</v>
      </c>
      <c r="F2879" t="s">
        <v>428</v>
      </c>
      <c r="G2879" t="s">
        <v>428</v>
      </c>
      <c r="H2879" t="s">
        <v>5616</v>
      </c>
      <c r="I2879">
        <v>0</v>
      </c>
      <c r="J2879" t="s">
        <v>138</v>
      </c>
      <c r="K2879">
        <v>0</v>
      </c>
      <c r="L2879">
        <v>0</v>
      </c>
    </row>
    <row r="2880" spans="1:12">
      <c r="A2880" s="93">
        <v>217907</v>
      </c>
      <c r="B2880" t="s">
        <v>3388</v>
      </c>
      <c r="C2880" t="s">
        <v>5608</v>
      </c>
      <c r="D2880" s="92">
        <v>0.5</v>
      </c>
      <c r="E2880" s="92">
        <v>0.46</v>
      </c>
      <c r="F2880">
        <v>18</v>
      </c>
      <c r="G2880">
        <v>20</v>
      </c>
      <c r="H2880" t="s">
        <v>5616</v>
      </c>
      <c r="I2880">
        <v>0</v>
      </c>
      <c r="J2880" t="s">
        <v>87</v>
      </c>
      <c r="K2880">
        <v>0</v>
      </c>
      <c r="L2880">
        <v>0</v>
      </c>
    </row>
    <row r="2881" spans="1:12">
      <c r="A2881" s="93">
        <v>217925</v>
      </c>
      <c r="B2881" t="s">
        <v>3389</v>
      </c>
      <c r="C2881" t="s">
        <v>5602</v>
      </c>
      <c r="D2881" s="92">
        <v>0.65</v>
      </c>
      <c r="E2881" s="92">
        <v>0.35</v>
      </c>
      <c r="F2881">
        <v>20</v>
      </c>
      <c r="G2881">
        <v>23</v>
      </c>
      <c r="H2881" t="s">
        <v>5617</v>
      </c>
      <c r="I2881">
        <v>0</v>
      </c>
      <c r="J2881" t="s">
        <v>87</v>
      </c>
      <c r="K2881">
        <v>0</v>
      </c>
      <c r="L2881">
        <v>0</v>
      </c>
    </row>
    <row r="2882" spans="1:12">
      <c r="A2882" s="93">
        <v>217934</v>
      </c>
      <c r="B2882" t="s">
        <v>2214</v>
      </c>
      <c r="C2882" t="s">
        <v>5602</v>
      </c>
      <c r="D2882" s="92">
        <v>0.49</v>
      </c>
      <c r="E2882" s="92">
        <v>0.41</v>
      </c>
      <c r="F2882">
        <v>18</v>
      </c>
      <c r="G2882">
        <v>21</v>
      </c>
      <c r="H2882" t="s">
        <v>5617</v>
      </c>
      <c r="I2882">
        <v>0</v>
      </c>
      <c r="J2882" t="s">
        <v>87</v>
      </c>
      <c r="K2882">
        <v>0</v>
      </c>
      <c r="L2882">
        <v>0</v>
      </c>
    </row>
    <row r="2883" spans="1:12">
      <c r="A2883" s="93">
        <v>217961</v>
      </c>
      <c r="B2883" t="s">
        <v>3390</v>
      </c>
      <c r="C2883" t="s">
        <v>5602</v>
      </c>
      <c r="D2883" s="92">
        <v>0.5600000000000001</v>
      </c>
      <c r="E2883" s="92">
        <v>0.62</v>
      </c>
      <c r="F2883">
        <v>20</v>
      </c>
      <c r="G2883">
        <v>23</v>
      </c>
      <c r="H2883" t="s">
        <v>5616</v>
      </c>
      <c r="I2883">
        <v>0</v>
      </c>
      <c r="J2883" t="s">
        <v>87</v>
      </c>
      <c r="K2883">
        <v>0</v>
      </c>
      <c r="L2883">
        <v>0</v>
      </c>
    </row>
    <row r="2884" spans="1:12">
      <c r="A2884" s="93">
        <v>217989</v>
      </c>
      <c r="B2884" t="s">
        <v>3391</v>
      </c>
      <c r="C2884" t="s">
        <v>5606</v>
      </c>
      <c r="D2884" s="92">
        <v>0.16</v>
      </c>
      <c r="E2884" s="92">
        <v>0.3</v>
      </c>
      <c r="F2884" t="s">
        <v>428</v>
      </c>
      <c r="G2884" t="s">
        <v>428</v>
      </c>
      <c r="H2884" t="s">
        <v>5615</v>
      </c>
      <c r="I2884">
        <v>0</v>
      </c>
      <c r="J2884" t="s">
        <v>138</v>
      </c>
      <c r="K2884">
        <v>0</v>
      </c>
      <c r="L2884">
        <v>0</v>
      </c>
    </row>
    <row r="2885" spans="1:12">
      <c r="A2885" s="93">
        <v>217998</v>
      </c>
      <c r="B2885" t="s">
        <v>3392</v>
      </c>
      <c r="C2885" t="s">
        <v>5602</v>
      </c>
      <c r="D2885" s="92">
        <v>0.58</v>
      </c>
      <c r="E2885" s="92">
        <v>0.53</v>
      </c>
      <c r="F2885">
        <v>20</v>
      </c>
      <c r="G2885">
        <v>23</v>
      </c>
      <c r="H2885" t="s">
        <v>5617</v>
      </c>
      <c r="I2885">
        <v>0</v>
      </c>
      <c r="J2885" t="s">
        <v>87</v>
      </c>
      <c r="K2885">
        <v>0</v>
      </c>
      <c r="L2885">
        <v>0</v>
      </c>
    </row>
    <row r="2886" spans="1:12">
      <c r="A2886" s="93">
        <v>218025</v>
      </c>
      <c r="B2886" t="s">
        <v>3393</v>
      </c>
      <c r="C2886" t="s">
        <v>5606</v>
      </c>
      <c r="D2886" s="92">
        <v>0.23</v>
      </c>
      <c r="E2886" s="92">
        <v>0.17</v>
      </c>
      <c r="F2886" t="s">
        <v>428</v>
      </c>
      <c r="G2886" t="s">
        <v>428</v>
      </c>
      <c r="H2886" t="s">
        <v>5615</v>
      </c>
      <c r="I2886">
        <v>0</v>
      </c>
      <c r="J2886" t="s">
        <v>87</v>
      </c>
      <c r="K2886">
        <v>0</v>
      </c>
      <c r="L2886">
        <v>0</v>
      </c>
    </row>
    <row r="2887" spans="1:12">
      <c r="A2887" s="93">
        <v>218043</v>
      </c>
      <c r="B2887" t="s">
        <v>3394</v>
      </c>
      <c r="C2887" t="s">
        <v>5606</v>
      </c>
      <c r="D2887" s="92" t="s">
        <v>428</v>
      </c>
      <c r="E2887" s="92" t="s">
        <v>428</v>
      </c>
      <c r="F2887" t="s">
        <v>428</v>
      </c>
      <c r="G2887" t="s">
        <v>428</v>
      </c>
      <c r="H2887" t="s">
        <v>5617</v>
      </c>
      <c r="I2887">
        <v>0</v>
      </c>
      <c r="J2887" t="s">
        <v>87</v>
      </c>
      <c r="K2887">
        <v>0</v>
      </c>
      <c r="L2887">
        <v>0</v>
      </c>
    </row>
    <row r="2888" spans="1:12">
      <c r="A2888" s="93">
        <v>218061</v>
      </c>
      <c r="B2888" t="s">
        <v>3395</v>
      </c>
      <c r="C2888" t="s">
        <v>5608</v>
      </c>
      <c r="D2888" s="92">
        <v>0.41</v>
      </c>
      <c r="E2888" s="92">
        <v>0.39</v>
      </c>
      <c r="F2888">
        <v>17</v>
      </c>
      <c r="G2888">
        <v>19.5</v>
      </c>
      <c r="H2888" t="s">
        <v>5615</v>
      </c>
      <c r="I2888">
        <v>0</v>
      </c>
      <c r="J2888" t="s">
        <v>87</v>
      </c>
      <c r="K2888">
        <v>0</v>
      </c>
      <c r="L2888">
        <v>0</v>
      </c>
    </row>
    <row r="2889" spans="1:12">
      <c r="A2889" s="93">
        <v>218070</v>
      </c>
      <c r="B2889" t="s">
        <v>3396</v>
      </c>
      <c r="C2889" t="s">
        <v>5603</v>
      </c>
      <c r="D2889" s="92">
        <v>0.84</v>
      </c>
      <c r="E2889" s="92">
        <v>0.73</v>
      </c>
      <c r="F2889" t="s">
        <v>428</v>
      </c>
      <c r="G2889" t="s">
        <v>428</v>
      </c>
      <c r="H2889" t="s">
        <v>5618</v>
      </c>
      <c r="I2889">
        <v>0</v>
      </c>
      <c r="J2889" t="s">
        <v>87</v>
      </c>
      <c r="K2889">
        <v>0</v>
      </c>
      <c r="L2889">
        <v>0</v>
      </c>
    </row>
    <row r="2890" spans="1:12">
      <c r="A2890" s="93">
        <v>218113</v>
      </c>
      <c r="B2890" t="s">
        <v>3397</v>
      </c>
      <c r="C2890" t="s">
        <v>5606</v>
      </c>
      <c r="D2890" s="92">
        <v>0.22</v>
      </c>
      <c r="E2890" s="92">
        <v>0.2</v>
      </c>
      <c r="F2890" t="s">
        <v>428</v>
      </c>
      <c r="G2890" t="s">
        <v>428</v>
      </c>
      <c r="H2890" t="s">
        <v>5615</v>
      </c>
      <c r="I2890">
        <v>0</v>
      </c>
      <c r="J2890" t="s">
        <v>87</v>
      </c>
      <c r="K2890">
        <v>0</v>
      </c>
      <c r="L2890">
        <v>0</v>
      </c>
    </row>
    <row r="2891" spans="1:12">
      <c r="A2891" s="93">
        <v>218140</v>
      </c>
      <c r="B2891" t="s">
        <v>3398</v>
      </c>
      <c r="C2891" t="s">
        <v>5606</v>
      </c>
      <c r="D2891" s="92">
        <v>0.28</v>
      </c>
      <c r="E2891" s="92">
        <v>0.23</v>
      </c>
      <c r="F2891" t="s">
        <v>428</v>
      </c>
      <c r="G2891" t="s">
        <v>428</v>
      </c>
      <c r="H2891" t="s">
        <v>5615</v>
      </c>
      <c r="I2891">
        <v>0</v>
      </c>
      <c r="J2891" t="s">
        <v>87</v>
      </c>
      <c r="K2891">
        <v>0</v>
      </c>
      <c r="L2891">
        <v>0</v>
      </c>
    </row>
    <row r="2892" spans="1:12">
      <c r="A2892" s="93">
        <v>218229</v>
      </c>
      <c r="B2892" t="s">
        <v>3399</v>
      </c>
      <c r="C2892" t="s">
        <v>5602</v>
      </c>
      <c r="D2892" s="92">
        <v>0.44</v>
      </c>
      <c r="E2892" s="92">
        <v>0.37</v>
      </c>
      <c r="F2892">
        <v>17</v>
      </c>
      <c r="G2892">
        <v>20</v>
      </c>
      <c r="H2892" t="s">
        <v>5615</v>
      </c>
      <c r="I2892">
        <v>0</v>
      </c>
      <c r="J2892" t="s">
        <v>87</v>
      </c>
      <c r="K2892">
        <v>0</v>
      </c>
      <c r="L2892">
        <v>0</v>
      </c>
    </row>
    <row r="2893" spans="1:12">
      <c r="A2893" s="93">
        <v>218238</v>
      </c>
      <c r="B2893" t="s">
        <v>3400</v>
      </c>
      <c r="C2893" t="s">
        <v>5602</v>
      </c>
      <c r="D2893" s="92">
        <v>0.34</v>
      </c>
      <c r="E2893" s="92">
        <v>0.31</v>
      </c>
      <c r="F2893">
        <v>19</v>
      </c>
      <c r="G2893">
        <v>21</v>
      </c>
      <c r="H2893" t="s">
        <v>5617</v>
      </c>
      <c r="I2893">
        <v>0</v>
      </c>
      <c r="J2893" t="s">
        <v>87</v>
      </c>
      <c r="K2893">
        <v>0</v>
      </c>
      <c r="L2893">
        <v>0</v>
      </c>
    </row>
    <row r="2894" spans="1:12">
      <c r="A2894" s="93">
        <v>218335</v>
      </c>
      <c r="B2894" t="s">
        <v>3401</v>
      </c>
      <c r="C2894" t="s">
        <v>5607</v>
      </c>
      <c r="D2894" s="92" t="s">
        <v>428</v>
      </c>
      <c r="E2894" s="92" t="s">
        <v>428</v>
      </c>
      <c r="F2894" t="s">
        <v>428</v>
      </c>
      <c r="G2894" t="s">
        <v>428</v>
      </c>
      <c r="H2894" t="s">
        <v>5615</v>
      </c>
      <c r="I2894">
        <v>0</v>
      </c>
      <c r="J2894" t="s">
        <v>87</v>
      </c>
      <c r="K2894">
        <v>0</v>
      </c>
      <c r="L2894">
        <v>0</v>
      </c>
    </row>
    <row r="2895" spans="1:12">
      <c r="A2895" s="93">
        <v>218353</v>
      </c>
      <c r="B2895" t="s">
        <v>3402</v>
      </c>
      <c r="C2895" t="s">
        <v>5606</v>
      </c>
      <c r="D2895" s="92">
        <v>0.27</v>
      </c>
      <c r="E2895" s="92">
        <v>0.22</v>
      </c>
      <c r="F2895" t="s">
        <v>428</v>
      </c>
      <c r="G2895" t="s">
        <v>428</v>
      </c>
      <c r="H2895" t="s">
        <v>5615</v>
      </c>
      <c r="I2895">
        <v>0</v>
      </c>
      <c r="J2895" t="s">
        <v>87</v>
      </c>
      <c r="K2895">
        <v>0</v>
      </c>
      <c r="L2895">
        <v>0</v>
      </c>
    </row>
    <row r="2896" spans="1:12">
      <c r="A2896" s="93">
        <v>218399</v>
      </c>
      <c r="B2896" t="s">
        <v>3403</v>
      </c>
      <c r="C2896" t="s">
        <v>5608</v>
      </c>
      <c r="D2896" s="92">
        <v>0.22</v>
      </c>
      <c r="E2896" s="92">
        <v>0.37</v>
      </c>
      <c r="F2896" t="s">
        <v>428</v>
      </c>
      <c r="G2896" t="s">
        <v>428</v>
      </c>
      <c r="H2896" t="s">
        <v>5617</v>
      </c>
      <c r="I2896">
        <v>0</v>
      </c>
      <c r="J2896" t="s">
        <v>138</v>
      </c>
      <c r="K2896">
        <v>0</v>
      </c>
      <c r="L2896">
        <v>0</v>
      </c>
    </row>
    <row r="2897" spans="1:12">
      <c r="A2897" s="93">
        <v>218414</v>
      </c>
      <c r="B2897" t="s">
        <v>3404</v>
      </c>
      <c r="C2897" t="s">
        <v>5602</v>
      </c>
      <c r="D2897" s="92">
        <v>0.41</v>
      </c>
      <c r="E2897" s="92">
        <v>0.31</v>
      </c>
      <c r="F2897">
        <v>17</v>
      </c>
      <c r="G2897">
        <v>20</v>
      </c>
      <c r="H2897" t="s">
        <v>5617</v>
      </c>
      <c r="I2897">
        <v>0</v>
      </c>
      <c r="J2897" t="s">
        <v>87</v>
      </c>
      <c r="K2897">
        <v>0</v>
      </c>
      <c r="L2897">
        <v>0</v>
      </c>
    </row>
    <row r="2898" spans="1:12">
      <c r="A2898" s="93">
        <v>218441</v>
      </c>
      <c r="B2898" t="s">
        <v>3405</v>
      </c>
      <c r="C2898" t="s">
        <v>5603</v>
      </c>
      <c r="D2898" s="92">
        <v>0.54</v>
      </c>
      <c r="E2898" s="92">
        <v>0.42</v>
      </c>
      <c r="F2898">
        <v>20</v>
      </c>
      <c r="G2898">
        <v>24.5</v>
      </c>
      <c r="H2898" t="s">
        <v>5617</v>
      </c>
      <c r="I2898">
        <v>0</v>
      </c>
      <c r="J2898" t="s">
        <v>87</v>
      </c>
      <c r="K2898">
        <v>0</v>
      </c>
      <c r="L2898">
        <v>0</v>
      </c>
    </row>
    <row r="2899" spans="1:12">
      <c r="A2899" s="93">
        <v>218487</v>
      </c>
      <c r="B2899" t="s">
        <v>3406</v>
      </c>
      <c r="C2899" t="s">
        <v>5606</v>
      </c>
      <c r="D2899" s="92">
        <v>0.17</v>
      </c>
      <c r="E2899" s="92">
        <v>0.12</v>
      </c>
      <c r="F2899" t="s">
        <v>428</v>
      </c>
      <c r="G2899" t="s">
        <v>428</v>
      </c>
      <c r="H2899" t="s">
        <v>5615</v>
      </c>
      <c r="I2899">
        <v>0</v>
      </c>
      <c r="J2899" t="s">
        <v>87</v>
      </c>
      <c r="K2899">
        <v>0</v>
      </c>
      <c r="L2899">
        <v>0</v>
      </c>
    </row>
    <row r="2900" spans="1:12">
      <c r="A2900" s="93">
        <v>218520</v>
      </c>
      <c r="B2900" t="s">
        <v>3407</v>
      </c>
      <c r="C2900" t="s">
        <v>5606</v>
      </c>
      <c r="D2900" s="92">
        <v>0.23</v>
      </c>
      <c r="E2900" s="92">
        <v>0.17</v>
      </c>
      <c r="F2900" t="s">
        <v>428</v>
      </c>
      <c r="G2900" t="s">
        <v>428</v>
      </c>
      <c r="H2900" t="s">
        <v>5615</v>
      </c>
      <c r="I2900">
        <v>0</v>
      </c>
      <c r="J2900" t="s">
        <v>87</v>
      </c>
      <c r="K2900">
        <v>0</v>
      </c>
      <c r="L2900">
        <v>0</v>
      </c>
    </row>
    <row r="2901" spans="1:12">
      <c r="A2901" s="93">
        <v>218539</v>
      </c>
      <c r="B2901" t="s">
        <v>3408</v>
      </c>
      <c r="C2901" t="s">
        <v>5603</v>
      </c>
      <c r="D2901" s="92">
        <v>0.66</v>
      </c>
      <c r="E2901" s="92">
        <v>0.55</v>
      </c>
      <c r="F2901">
        <v>21</v>
      </c>
      <c r="G2901">
        <v>24.5</v>
      </c>
      <c r="H2901" t="s">
        <v>5617</v>
      </c>
      <c r="I2901">
        <v>0</v>
      </c>
      <c r="J2901" t="s">
        <v>87</v>
      </c>
      <c r="K2901">
        <v>0</v>
      </c>
      <c r="L2901">
        <v>0</v>
      </c>
    </row>
    <row r="2902" spans="1:12">
      <c r="A2902" s="93">
        <v>218645</v>
      </c>
      <c r="B2902" t="s">
        <v>3409</v>
      </c>
      <c r="C2902" t="s">
        <v>5602</v>
      </c>
      <c r="D2902" s="92">
        <v>0.41</v>
      </c>
      <c r="E2902" s="92">
        <v>0.4</v>
      </c>
      <c r="F2902">
        <v>18</v>
      </c>
      <c r="G2902">
        <v>21</v>
      </c>
      <c r="H2902" t="s">
        <v>5615</v>
      </c>
      <c r="I2902">
        <v>0</v>
      </c>
      <c r="J2902" t="s">
        <v>87</v>
      </c>
      <c r="K2902">
        <v>0</v>
      </c>
      <c r="L2902">
        <v>0</v>
      </c>
    </row>
    <row r="2903" spans="1:12">
      <c r="A2903" s="93">
        <v>218654</v>
      </c>
      <c r="B2903" t="s">
        <v>3410</v>
      </c>
      <c r="C2903" t="s">
        <v>5602</v>
      </c>
      <c r="D2903" s="92">
        <v>0.24</v>
      </c>
      <c r="E2903" s="92">
        <v>0.23</v>
      </c>
      <c r="F2903">
        <v>18</v>
      </c>
      <c r="G2903">
        <v>21</v>
      </c>
      <c r="H2903" t="s">
        <v>5615</v>
      </c>
      <c r="I2903">
        <v>0</v>
      </c>
      <c r="J2903" t="s">
        <v>87</v>
      </c>
      <c r="K2903">
        <v>0</v>
      </c>
      <c r="L2903">
        <v>0</v>
      </c>
    </row>
    <row r="2904" spans="1:12">
      <c r="A2904" s="93">
        <v>218663</v>
      </c>
      <c r="B2904" t="s">
        <v>3411</v>
      </c>
      <c r="C2904" t="s">
        <v>5603</v>
      </c>
      <c r="D2904" s="92">
        <v>0.73</v>
      </c>
      <c r="E2904" s="92">
        <v>0.71</v>
      </c>
      <c r="F2904">
        <v>25</v>
      </c>
      <c r="G2904">
        <v>27.5</v>
      </c>
      <c r="H2904" t="s">
        <v>5615</v>
      </c>
      <c r="I2904">
        <v>0</v>
      </c>
      <c r="J2904" t="s">
        <v>87</v>
      </c>
      <c r="K2904">
        <v>0</v>
      </c>
      <c r="L2904">
        <v>0</v>
      </c>
    </row>
    <row r="2905" spans="1:12">
      <c r="A2905" s="93">
        <v>218672</v>
      </c>
      <c r="B2905" t="s">
        <v>3412</v>
      </c>
      <c r="C2905" t="s">
        <v>5609</v>
      </c>
      <c r="D2905" s="92">
        <v>0.33</v>
      </c>
      <c r="E2905" s="92">
        <v>0.26</v>
      </c>
      <c r="F2905">
        <v>15</v>
      </c>
      <c r="G2905">
        <v>18</v>
      </c>
      <c r="H2905" t="s">
        <v>5615</v>
      </c>
      <c r="I2905">
        <v>0</v>
      </c>
      <c r="J2905" t="s">
        <v>87</v>
      </c>
      <c r="K2905">
        <v>0</v>
      </c>
      <c r="L2905">
        <v>0</v>
      </c>
    </row>
    <row r="2906" spans="1:12">
      <c r="A2906" s="93">
        <v>218681</v>
      </c>
      <c r="B2906" t="s">
        <v>3413</v>
      </c>
      <c r="C2906" t="s">
        <v>5609</v>
      </c>
      <c r="D2906" s="92">
        <v>0.32</v>
      </c>
      <c r="E2906" s="92">
        <v>0.22</v>
      </c>
      <c r="F2906">
        <v>14</v>
      </c>
      <c r="G2906">
        <v>16</v>
      </c>
      <c r="H2906" t="s">
        <v>5615</v>
      </c>
      <c r="I2906">
        <v>0</v>
      </c>
      <c r="J2906" t="s">
        <v>87</v>
      </c>
      <c r="K2906">
        <v>0</v>
      </c>
      <c r="L2906">
        <v>0</v>
      </c>
    </row>
    <row r="2907" spans="1:12">
      <c r="A2907" s="93">
        <v>218690</v>
      </c>
      <c r="B2907" t="s">
        <v>3414</v>
      </c>
      <c r="C2907" t="s">
        <v>5609</v>
      </c>
      <c r="D2907" s="92">
        <v>0.38</v>
      </c>
      <c r="E2907" s="92">
        <v>0.4</v>
      </c>
      <c r="F2907">
        <v>17</v>
      </c>
      <c r="G2907">
        <v>19</v>
      </c>
      <c r="H2907" t="s">
        <v>5615</v>
      </c>
      <c r="I2907">
        <v>0</v>
      </c>
      <c r="J2907" t="s">
        <v>87</v>
      </c>
      <c r="K2907">
        <v>0</v>
      </c>
      <c r="L2907">
        <v>0</v>
      </c>
    </row>
    <row r="2908" spans="1:12">
      <c r="A2908" s="93">
        <v>218706</v>
      </c>
      <c r="B2908" t="s">
        <v>3415</v>
      </c>
      <c r="C2908" t="s">
        <v>5609</v>
      </c>
      <c r="D2908" s="92">
        <v>0.32</v>
      </c>
      <c r="E2908" s="92">
        <v>0.23</v>
      </c>
      <c r="F2908">
        <v>15</v>
      </c>
      <c r="G2908">
        <v>15.5</v>
      </c>
      <c r="H2908" t="s">
        <v>5615</v>
      </c>
      <c r="I2908">
        <v>0</v>
      </c>
      <c r="J2908" t="s">
        <v>87</v>
      </c>
      <c r="K2908">
        <v>0</v>
      </c>
      <c r="L2908">
        <v>0</v>
      </c>
    </row>
    <row r="2909" spans="1:12">
      <c r="A2909" s="93">
        <v>218724</v>
      </c>
      <c r="B2909" t="s">
        <v>3416</v>
      </c>
      <c r="C2909" t="s">
        <v>5602</v>
      </c>
      <c r="D2909" s="92">
        <v>0.42</v>
      </c>
      <c r="E2909" s="92">
        <v>0.42</v>
      </c>
      <c r="F2909">
        <v>20</v>
      </c>
      <c r="G2909">
        <v>22.5</v>
      </c>
      <c r="H2909" t="s">
        <v>5615</v>
      </c>
      <c r="I2909">
        <v>0</v>
      </c>
      <c r="J2909" t="s">
        <v>87</v>
      </c>
      <c r="K2909">
        <v>0</v>
      </c>
      <c r="L2909">
        <v>0</v>
      </c>
    </row>
    <row r="2910" spans="1:12">
      <c r="A2910" s="93">
        <v>218733</v>
      </c>
      <c r="B2910" t="s">
        <v>3417</v>
      </c>
      <c r="C2910" t="s">
        <v>5608</v>
      </c>
      <c r="D2910" s="92">
        <v>0.38</v>
      </c>
      <c r="E2910" s="92">
        <v>0.53</v>
      </c>
      <c r="F2910">
        <v>14</v>
      </c>
      <c r="G2910">
        <v>15.5</v>
      </c>
      <c r="H2910" t="s">
        <v>5615</v>
      </c>
      <c r="I2910">
        <v>0</v>
      </c>
      <c r="J2910" t="s">
        <v>138</v>
      </c>
      <c r="K2910">
        <v>0</v>
      </c>
      <c r="L2910">
        <v>0</v>
      </c>
    </row>
    <row r="2911" spans="1:12">
      <c r="A2911" s="93">
        <v>218742</v>
      </c>
      <c r="B2911" t="s">
        <v>3418</v>
      </c>
      <c r="C2911" t="s">
        <v>5608</v>
      </c>
      <c r="D2911" s="92">
        <v>0.4</v>
      </c>
      <c r="E2911" s="92">
        <v>0.42</v>
      </c>
      <c r="F2911">
        <v>18</v>
      </c>
      <c r="G2911">
        <v>20.5</v>
      </c>
      <c r="H2911" t="s">
        <v>5615</v>
      </c>
      <c r="I2911">
        <v>0</v>
      </c>
      <c r="J2911" t="s">
        <v>87</v>
      </c>
      <c r="K2911">
        <v>0</v>
      </c>
      <c r="L2911">
        <v>0</v>
      </c>
    </row>
    <row r="2912" spans="1:12">
      <c r="A2912" s="93">
        <v>218751</v>
      </c>
      <c r="B2912" t="s">
        <v>3419</v>
      </c>
      <c r="C2912" t="s">
        <v>5607</v>
      </c>
      <c r="D2912" s="92" t="s">
        <v>428</v>
      </c>
      <c r="E2912" s="92" t="s">
        <v>428</v>
      </c>
      <c r="F2912" t="s">
        <v>428</v>
      </c>
      <c r="G2912" t="s">
        <v>428</v>
      </c>
      <c r="H2912" t="s">
        <v>5615</v>
      </c>
      <c r="I2912">
        <v>0</v>
      </c>
      <c r="J2912" t="s">
        <v>87</v>
      </c>
      <c r="K2912">
        <v>0</v>
      </c>
      <c r="L2912">
        <v>0</v>
      </c>
    </row>
    <row r="2913" spans="1:12">
      <c r="A2913" s="93">
        <v>218821</v>
      </c>
      <c r="B2913" t="s">
        <v>3420</v>
      </c>
      <c r="C2913" t="s">
        <v>5609</v>
      </c>
      <c r="D2913" s="92">
        <v>0.62</v>
      </c>
      <c r="E2913" s="92">
        <v>0.63</v>
      </c>
      <c r="F2913">
        <v>16</v>
      </c>
      <c r="G2913">
        <v>18</v>
      </c>
      <c r="H2913" t="s">
        <v>5616</v>
      </c>
      <c r="I2913">
        <v>0</v>
      </c>
      <c r="J2913" t="s">
        <v>87</v>
      </c>
      <c r="K2913">
        <v>0</v>
      </c>
      <c r="L2913">
        <v>0</v>
      </c>
    </row>
    <row r="2914" spans="1:12">
      <c r="A2914" s="93">
        <v>218830</v>
      </c>
      <c r="B2914" t="s">
        <v>3421</v>
      </c>
      <c r="C2914" t="s">
        <v>5606</v>
      </c>
      <c r="D2914" s="92">
        <v>0.26</v>
      </c>
      <c r="E2914" s="92">
        <v>0.21</v>
      </c>
      <c r="F2914" t="s">
        <v>428</v>
      </c>
      <c r="G2914" t="s">
        <v>428</v>
      </c>
      <c r="H2914" t="s">
        <v>5615</v>
      </c>
      <c r="I2914">
        <v>0</v>
      </c>
      <c r="J2914" t="s">
        <v>87</v>
      </c>
      <c r="K2914">
        <v>0</v>
      </c>
      <c r="L2914">
        <v>0</v>
      </c>
    </row>
    <row r="2915" spans="1:12">
      <c r="A2915" s="93">
        <v>218858</v>
      </c>
      <c r="B2915" t="s">
        <v>3422</v>
      </c>
      <c r="C2915" t="s">
        <v>5606</v>
      </c>
      <c r="D2915" s="92">
        <v>0.21</v>
      </c>
      <c r="E2915" s="92">
        <v>0.16</v>
      </c>
      <c r="F2915" t="s">
        <v>428</v>
      </c>
      <c r="G2915" t="s">
        <v>428</v>
      </c>
      <c r="H2915" t="s">
        <v>5615</v>
      </c>
      <c r="I2915">
        <v>0</v>
      </c>
      <c r="J2915" t="s">
        <v>87</v>
      </c>
      <c r="K2915">
        <v>0</v>
      </c>
      <c r="L2915">
        <v>0</v>
      </c>
    </row>
    <row r="2916" spans="1:12">
      <c r="A2916" s="93">
        <v>218885</v>
      </c>
      <c r="B2916" t="s">
        <v>3423</v>
      </c>
      <c r="C2916" t="s">
        <v>5606</v>
      </c>
      <c r="D2916" s="92">
        <v>0.43</v>
      </c>
      <c r="E2916" s="92">
        <v>0.35</v>
      </c>
      <c r="F2916" t="s">
        <v>428</v>
      </c>
      <c r="G2916" t="s">
        <v>428</v>
      </c>
      <c r="H2916" t="s">
        <v>5615</v>
      </c>
      <c r="I2916">
        <v>0</v>
      </c>
      <c r="J2916" t="s">
        <v>87</v>
      </c>
      <c r="K2916">
        <v>0</v>
      </c>
      <c r="L2916">
        <v>0</v>
      </c>
    </row>
    <row r="2917" spans="1:12">
      <c r="A2917" s="93">
        <v>218894</v>
      </c>
      <c r="B2917" t="s">
        <v>3424</v>
      </c>
      <c r="C2917" t="s">
        <v>5606</v>
      </c>
      <c r="D2917" s="92">
        <v>0.21</v>
      </c>
      <c r="E2917" s="92">
        <v>0.16</v>
      </c>
      <c r="F2917" t="s">
        <v>428</v>
      </c>
      <c r="G2917" t="s">
        <v>428</v>
      </c>
      <c r="H2917" t="s">
        <v>5615</v>
      </c>
      <c r="I2917">
        <v>0</v>
      </c>
      <c r="J2917" t="s">
        <v>87</v>
      </c>
      <c r="K2917">
        <v>0</v>
      </c>
      <c r="L2917">
        <v>0</v>
      </c>
    </row>
    <row r="2918" spans="1:12">
      <c r="A2918" s="93">
        <v>218919</v>
      </c>
      <c r="B2918" t="s">
        <v>3425</v>
      </c>
      <c r="C2918" t="s">
        <v>5602</v>
      </c>
      <c r="D2918" s="92">
        <v>0.26</v>
      </c>
      <c r="E2918" s="92">
        <v>0.42</v>
      </c>
      <c r="F2918" t="s">
        <v>428</v>
      </c>
      <c r="G2918" t="s">
        <v>428</v>
      </c>
      <c r="H2918" t="s">
        <v>5617</v>
      </c>
      <c r="I2918">
        <v>0</v>
      </c>
      <c r="J2918" t="s">
        <v>138</v>
      </c>
      <c r="K2918">
        <v>0</v>
      </c>
      <c r="L2918">
        <v>0</v>
      </c>
    </row>
    <row r="2919" spans="1:12">
      <c r="A2919" s="93">
        <v>218955</v>
      </c>
      <c r="B2919" t="s">
        <v>3426</v>
      </c>
      <c r="C2919" t="s">
        <v>5606</v>
      </c>
      <c r="D2919" s="92">
        <v>0.15</v>
      </c>
      <c r="E2919" s="92">
        <v>0.12</v>
      </c>
      <c r="F2919" t="s">
        <v>428</v>
      </c>
      <c r="G2919" t="s">
        <v>428</v>
      </c>
      <c r="H2919" t="s">
        <v>5615</v>
      </c>
      <c r="I2919">
        <v>0</v>
      </c>
      <c r="J2919" t="s">
        <v>87</v>
      </c>
      <c r="K2919">
        <v>0</v>
      </c>
      <c r="L2919">
        <v>0</v>
      </c>
    </row>
    <row r="2920" spans="1:12">
      <c r="A2920" s="93">
        <v>218964</v>
      </c>
      <c r="B2920" t="s">
        <v>3427</v>
      </c>
      <c r="C2920" t="s">
        <v>5602</v>
      </c>
      <c r="D2920" s="92">
        <v>0.55</v>
      </c>
      <c r="E2920" s="92">
        <v>0.57</v>
      </c>
      <c r="F2920">
        <v>20</v>
      </c>
      <c r="G2920">
        <v>22.5</v>
      </c>
      <c r="H2920" t="s">
        <v>5615</v>
      </c>
      <c r="I2920">
        <v>0</v>
      </c>
      <c r="J2920" t="s">
        <v>87</v>
      </c>
      <c r="K2920">
        <v>0</v>
      </c>
      <c r="L2920">
        <v>0</v>
      </c>
    </row>
    <row r="2921" spans="1:12">
      <c r="A2921" s="93">
        <v>218973</v>
      </c>
      <c r="B2921" t="s">
        <v>3428</v>
      </c>
      <c r="C2921" t="s">
        <v>5603</v>
      </c>
      <c r="D2921" s="92">
        <v>0.8</v>
      </c>
      <c r="E2921" s="92">
        <v>0.78</v>
      </c>
      <c r="F2921">
        <v>24</v>
      </c>
      <c r="G2921">
        <v>26.5</v>
      </c>
      <c r="H2921" t="s">
        <v>5617</v>
      </c>
      <c r="I2921">
        <v>0</v>
      </c>
      <c r="J2921" t="s">
        <v>87</v>
      </c>
      <c r="K2921">
        <v>0</v>
      </c>
      <c r="L2921">
        <v>0</v>
      </c>
    </row>
    <row r="2922" spans="1:12">
      <c r="A2922" s="93">
        <v>218991</v>
      </c>
      <c r="B2922" t="s">
        <v>3429</v>
      </c>
      <c r="C2922" t="s">
        <v>5606</v>
      </c>
      <c r="D2922" s="92">
        <v>0.21</v>
      </c>
      <c r="E2922" s="92">
        <v>0.18</v>
      </c>
      <c r="F2922" t="s">
        <v>428</v>
      </c>
      <c r="G2922" t="s">
        <v>428</v>
      </c>
      <c r="H2922" t="s">
        <v>5615</v>
      </c>
      <c r="I2922">
        <v>0</v>
      </c>
      <c r="J2922" t="s">
        <v>87</v>
      </c>
      <c r="K2922">
        <v>0</v>
      </c>
      <c r="L2922">
        <v>0</v>
      </c>
    </row>
    <row r="2923" spans="1:12">
      <c r="A2923" s="93">
        <v>219000</v>
      </c>
      <c r="B2923" t="s">
        <v>3430</v>
      </c>
      <c r="C2923" t="s">
        <v>5603</v>
      </c>
      <c r="D2923" s="92">
        <v>0.71</v>
      </c>
      <c r="E2923" s="92">
        <v>0.52</v>
      </c>
      <c r="F2923">
        <v>23</v>
      </c>
      <c r="G2923">
        <v>26</v>
      </c>
      <c r="H2923" t="s">
        <v>5616</v>
      </c>
      <c r="I2923">
        <v>0</v>
      </c>
      <c r="J2923" t="s">
        <v>87</v>
      </c>
      <c r="K2923">
        <v>0</v>
      </c>
      <c r="L2923">
        <v>0</v>
      </c>
    </row>
    <row r="2924" spans="1:12">
      <c r="A2924" s="93">
        <v>219037</v>
      </c>
      <c r="B2924" t="s">
        <v>3431</v>
      </c>
      <c r="C2924" t="s">
        <v>5606</v>
      </c>
      <c r="D2924" s="92" t="s">
        <v>428</v>
      </c>
      <c r="E2924" s="92" t="s">
        <v>428</v>
      </c>
      <c r="F2924" t="s">
        <v>428</v>
      </c>
      <c r="G2924" t="s">
        <v>428</v>
      </c>
      <c r="H2924" t="s">
        <v>5613</v>
      </c>
      <c r="I2924">
        <v>1</v>
      </c>
      <c r="J2924" t="s">
        <v>87</v>
      </c>
      <c r="K2924">
        <v>0</v>
      </c>
      <c r="L2924">
        <v>0</v>
      </c>
    </row>
    <row r="2925" spans="1:12">
      <c r="A2925" s="93">
        <v>219046</v>
      </c>
      <c r="B2925" t="s">
        <v>3432</v>
      </c>
      <c r="C2925" t="s">
        <v>5602</v>
      </c>
      <c r="D2925" s="92">
        <v>0.34</v>
      </c>
      <c r="E2925" s="92">
        <v>0.28</v>
      </c>
      <c r="F2925">
        <v>19</v>
      </c>
      <c r="G2925">
        <v>21.5</v>
      </c>
      <c r="H2925" t="s">
        <v>5615</v>
      </c>
      <c r="I2925">
        <v>0</v>
      </c>
      <c r="J2925" t="s">
        <v>87</v>
      </c>
      <c r="K2925">
        <v>0</v>
      </c>
      <c r="L2925">
        <v>0</v>
      </c>
    </row>
    <row r="2926" spans="1:12">
      <c r="A2926" s="93">
        <v>219082</v>
      </c>
      <c r="B2926" t="s">
        <v>3433</v>
      </c>
      <c r="C2926" t="s">
        <v>5602</v>
      </c>
      <c r="D2926" s="92">
        <v>0.39</v>
      </c>
      <c r="E2926" s="92">
        <v>0.12</v>
      </c>
      <c r="F2926">
        <v>19</v>
      </c>
      <c r="G2926">
        <v>22</v>
      </c>
      <c r="H2926" t="s">
        <v>5615</v>
      </c>
      <c r="I2926">
        <v>0</v>
      </c>
      <c r="J2926" t="s">
        <v>87</v>
      </c>
      <c r="K2926">
        <v>0</v>
      </c>
      <c r="L2926">
        <v>0</v>
      </c>
    </row>
    <row r="2927" spans="1:12">
      <c r="A2927" s="93">
        <v>219091</v>
      </c>
      <c r="B2927" t="s">
        <v>3434</v>
      </c>
      <c r="C2927" t="s">
        <v>5602</v>
      </c>
      <c r="D2927" s="92">
        <v>0.44</v>
      </c>
      <c r="E2927" s="92">
        <v>0.34</v>
      </c>
      <c r="F2927">
        <v>19</v>
      </c>
      <c r="G2927">
        <v>21.5</v>
      </c>
      <c r="H2927" t="s">
        <v>5617</v>
      </c>
      <c r="I2927">
        <v>0</v>
      </c>
      <c r="J2927" t="s">
        <v>87</v>
      </c>
      <c r="K2927">
        <v>0</v>
      </c>
      <c r="L2927">
        <v>0</v>
      </c>
    </row>
    <row r="2928" spans="1:12">
      <c r="A2928" s="93">
        <v>219125</v>
      </c>
      <c r="B2928" t="s">
        <v>3435</v>
      </c>
      <c r="C2928" t="s">
        <v>5606</v>
      </c>
      <c r="D2928" s="92" t="s">
        <v>428</v>
      </c>
      <c r="E2928" s="92" t="s">
        <v>428</v>
      </c>
      <c r="F2928" t="s">
        <v>428</v>
      </c>
      <c r="G2928" t="s">
        <v>428</v>
      </c>
      <c r="H2928" t="s">
        <v>5613</v>
      </c>
      <c r="I2928">
        <v>1</v>
      </c>
      <c r="J2928" t="s">
        <v>87</v>
      </c>
      <c r="K2928">
        <v>0</v>
      </c>
      <c r="L2928">
        <v>0</v>
      </c>
    </row>
    <row r="2929" spans="1:12">
      <c r="A2929" s="93">
        <v>219143</v>
      </c>
      <c r="B2929" t="s">
        <v>3436</v>
      </c>
      <c r="C2929" t="s">
        <v>5606</v>
      </c>
      <c r="D2929" s="92" t="s">
        <v>428</v>
      </c>
      <c r="E2929" s="92" t="s">
        <v>428</v>
      </c>
      <c r="F2929" t="s">
        <v>428</v>
      </c>
      <c r="G2929" t="s">
        <v>428</v>
      </c>
      <c r="H2929" t="s">
        <v>5615</v>
      </c>
      <c r="I2929">
        <v>0</v>
      </c>
      <c r="J2929" t="s">
        <v>87</v>
      </c>
      <c r="K2929">
        <v>0</v>
      </c>
      <c r="L2929">
        <v>0</v>
      </c>
    </row>
    <row r="2930" spans="1:12">
      <c r="A2930" s="93">
        <v>219170</v>
      </c>
      <c r="B2930" t="s">
        <v>3437</v>
      </c>
      <c r="C2930" t="s">
        <v>5606</v>
      </c>
      <c r="D2930" s="92" t="s">
        <v>428</v>
      </c>
      <c r="E2930" s="92" t="s">
        <v>428</v>
      </c>
      <c r="F2930" t="s">
        <v>428</v>
      </c>
      <c r="G2930" t="s">
        <v>428</v>
      </c>
      <c r="H2930" t="s">
        <v>5615</v>
      </c>
      <c r="I2930">
        <v>0</v>
      </c>
      <c r="J2930" t="s">
        <v>87</v>
      </c>
      <c r="K2930">
        <v>0</v>
      </c>
      <c r="L2930">
        <v>0</v>
      </c>
    </row>
    <row r="2931" spans="1:12">
      <c r="A2931" s="93">
        <v>219189</v>
      </c>
      <c r="B2931" t="s">
        <v>3438</v>
      </c>
      <c r="C2931" t="s">
        <v>5606</v>
      </c>
      <c r="D2931" s="92">
        <v>0.72</v>
      </c>
      <c r="E2931" s="92">
        <v>0.46</v>
      </c>
      <c r="F2931" t="s">
        <v>428</v>
      </c>
      <c r="G2931" t="s">
        <v>428</v>
      </c>
      <c r="H2931" t="s">
        <v>5615</v>
      </c>
      <c r="I2931">
        <v>0</v>
      </c>
      <c r="J2931" t="s">
        <v>87</v>
      </c>
      <c r="K2931">
        <v>0</v>
      </c>
      <c r="L2931">
        <v>0</v>
      </c>
    </row>
    <row r="2932" spans="1:12">
      <c r="A2932" s="93">
        <v>219198</v>
      </c>
      <c r="B2932" t="s">
        <v>3439</v>
      </c>
      <c r="C2932" t="s">
        <v>5602</v>
      </c>
      <c r="D2932" s="92">
        <v>0.49</v>
      </c>
      <c r="E2932" s="92">
        <v>0.41</v>
      </c>
      <c r="F2932">
        <v>18</v>
      </c>
      <c r="G2932">
        <v>21</v>
      </c>
      <c r="H2932" t="s">
        <v>5617</v>
      </c>
      <c r="I2932">
        <v>0</v>
      </c>
      <c r="J2932" t="s">
        <v>87</v>
      </c>
      <c r="K2932">
        <v>0</v>
      </c>
      <c r="L2932">
        <v>0</v>
      </c>
    </row>
    <row r="2933" spans="1:12">
      <c r="A2933" s="93">
        <v>219204</v>
      </c>
      <c r="B2933" t="s">
        <v>3440</v>
      </c>
      <c r="C2933" t="s">
        <v>5604</v>
      </c>
      <c r="D2933" s="92">
        <v>0.12</v>
      </c>
      <c r="E2933" s="92" t="s">
        <v>428</v>
      </c>
      <c r="F2933" t="s">
        <v>428</v>
      </c>
      <c r="G2933" t="s">
        <v>428</v>
      </c>
      <c r="H2933" t="s">
        <v>5617</v>
      </c>
      <c r="I2933">
        <v>0</v>
      </c>
      <c r="J2933" t="s">
        <v>87</v>
      </c>
      <c r="K2933">
        <v>0</v>
      </c>
      <c r="L2933">
        <v>0</v>
      </c>
    </row>
    <row r="2934" spans="1:12">
      <c r="A2934" s="93">
        <v>219213</v>
      </c>
      <c r="B2934" t="s">
        <v>3441</v>
      </c>
      <c r="C2934" t="s">
        <v>5604</v>
      </c>
      <c r="D2934" s="92">
        <v>0.04</v>
      </c>
      <c r="E2934" s="92" t="s">
        <v>428</v>
      </c>
      <c r="F2934" t="s">
        <v>428</v>
      </c>
      <c r="G2934" t="s">
        <v>428</v>
      </c>
      <c r="H2934" t="s">
        <v>5616</v>
      </c>
      <c r="I2934">
        <v>0</v>
      </c>
      <c r="J2934" t="s">
        <v>87</v>
      </c>
      <c r="K2934">
        <v>0</v>
      </c>
      <c r="L2934">
        <v>0</v>
      </c>
    </row>
    <row r="2935" spans="1:12">
      <c r="A2935" s="93">
        <v>219240</v>
      </c>
      <c r="B2935" t="s">
        <v>3442</v>
      </c>
      <c r="C2935" t="s">
        <v>5607</v>
      </c>
      <c r="D2935" s="92" t="s">
        <v>428</v>
      </c>
      <c r="E2935" s="92" t="s">
        <v>428</v>
      </c>
      <c r="F2935" t="s">
        <v>428</v>
      </c>
      <c r="G2935" t="s">
        <v>428</v>
      </c>
      <c r="H2935" t="s">
        <v>5615</v>
      </c>
      <c r="I2935">
        <v>0</v>
      </c>
      <c r="J2935" t="s">
        <v>87</v>
      </c>
      <c r="K2935">
        <v>0</v>
      </c>
      <c r="L2935">
        <v>0</v>
      </c>
    </row>
    <row r="2936" spans="1:12">
      <c r="A2936" s="93">
        <v>219259</v>
      </c>
      <c r="B2936" t="s">
        <v>3443</v>
      </c>
      <c r="C2936" t="s">
        <v>5602</v>
      </c>
      <c r="D2936" s="92">
        <v>0.48</v>
      </c>
      <c r="E2936" s="92">
        <v>0.28</v>
      </c>
      <c r="F2936">
        <v>17</v>
      </c>
      <c r="G2936">
        <v>20.5</v>
      </c>
      <c r="H2936" t="s">
        <v>5615</v>
      </c>
      <c r="I2936">
        <v>0</v>
      </c>
      <c r="J2936" t="s">
        <v>87</v>
      </c>
      <c r="K2936">
        <v>0</v>
      </c>
      <c r="L2936">
        <v>0</v>
      </c>
    </row>
    <row r="2937" spans="1:12">
      <c r="A2937" s="93">
        <v>219277</v>
      </c>
      <c r="B2937" t="s">
        <v>3444</v>
      </c>
      <c r="C2937" t="s">
        <v>5604</v>
      </c>
      <c r="D2937" s="92">
        <v>0.07000000000000001</v>
      </c>
      <c r="E2937" s="92">
        <v>0</v>
      </c>
      <c r="F2937" t="s">
        <v>428</v>
      </c>
      <c r="G2937" t="s">
        <v>428</v>
      </c>
      <c r="H2937" t="s">
        <v>5615</v>
      </c>
      <c r="I2937">
        <v>0</v>
      </c>
      <c r="J2937" t="s">
        <v>87</v>
      </c>
      <c r="K2937">
        <v>0</v>
      </c>
      <c r="L2937">
        <v>0</v>
      </c>
    </row>
    <row r="2938" spans="1:12">
      <c r="A2938" s="93">
        <v>219295</v>
      </c>
      <c r="B2938" t="s">
        <v>3445</v>
      </c>
      <c r="C2938" t="s">
        <v>5604</v>
      </c>
      <c r="D2938" s="92">
        <v>0.41</v>
      </c>
      <c r="E2938" s="92">
        <v>0.12</v>
      </c>
      <c r="F2938">
        <v>18</v>
      </c>
      <c r="G2938">
        <v>20</v>
      </c>
      <c r="H2938" t="s">
        <v>5617</v>
      </c>
      <c r="I2938">
        <v>0</v>
      </c>
      <c r="J2938" t="s">
        <v>87</v>
      </c>
      <c r="K2938">
        <v>0</v>
      </c>
      <c r="L2938">
        <v>0</v>
      </c>
    </row>
    <row r="2939" spans="1:12">
      <c r="A2939" s="93">
        <v>219338</v>
      </c>
      <c r="B2939" t="s">
        <v>3446</v>
      </c>
      <c r="C2939" t="s">
        <v>5606</v>
      </c>
      <c r="D2939" s="92" t="s">
        <v>428</v>
      </c>
      <c r="E2939" s="92" t="s">
        <v>428</v>
      </c>
      <c r="F2939" t="s">
        <v>428</v>
      </c>
      <c r="G2939" t="s">
        <v>428</v>
      </c>
      <c r="H2939" t="s">
        <v>5615</v>
      </c>
      <c r="I2939">
        <v>0</v>
      </c>
      <c r="J2939" t="s">
        <v>87</v>
      </c>
      <c r="K2939">
        <v>0</v>
      </c>
      <c r="L2939">
        <v>0</v>
      </c>
    </row>
    <row r="2940" spans="1:12">
      <c r="A2940" s="93">
        <v>219347</v>
      </c>
      <c r="B2940" t="s">
        <v>3447</v>
      </c>
      <c r="C2940" t="s">
        <v>5603</v>
      </c>
      <c r="D2940" s="92">
        <v>0.5</v>
      </c>
      <c r="E2940" s="92">
        <v>0.48</v>
      </c>
      <c r="F2940">
        <v>24</v>
      </c>
      <c r="G2940">
        <v>26.5</v>
      </c>
      <c r="H2940" t="s">
        <v>5615</v>
      </c>
      <c r="I2940">
        <v>0</v>
      </c>
      <c r="J2940" t="s">
        <v>87</v>
      </c>
      <c r="K2940">
        <v>0</v>
      </c>
      <c r="L2940">
        <v>0</v>
      </c>
    </row>
    <row r="2941" spans="1:12">
      <c r="A2941" s="93">
        <v>219356</v>
      </c>
      <c r="B2941" t="s">
        <v>3448</v>
      </c>
      <c r="C2941" t="s">
        <v>5602</v>
      </c>
      <c r="D2941" s="92">
        <v>0.55</v>
      </c>
      <c r="E2941" s="92">
        <v>0.32</v>
      </c>
      <c r="F2941">
        <v>20</v>
      </c>
      <c r="G2941">
        <v>23</v>
      </c>
      <c r="H2941" t="s">
        <v>5615</v>
      </c>
      <c r="I2941">
        <v>0</v>
      </c>
      <c r="J2941" t="s">
        <v>87</v>
      </c>
      <c r="K2941">
        <v>0</v>
      </c>
      <c r="L2941">
        <v>0</v>
      </c>
    </row>
    <row r="2942" spans="1:12">
      <c r="A2942" s="93">
        <v>219374</v>
      </c>
      <c r="B2942" t="s">
        <v>3449</v>
      </c>
      <c r="C2942" t="s">
        <v>5604</v>
      </c>
      <c r="D2942" s="92">
        <v>0.14</v>
      </c>
      <c r="E2942" s="92" t="s">
        <v>428</v>
      </c>
      <c r="F2942" t="s">
        <v>428</v>
      </c>
      <c r="G2942" t="s">
        <v>428</v>
      </c>
      <c r="H2942" t="s">
        <v>5616</v>
      </c>
      <c r="I2942">
        <v>0</v>
      </c>
      <c r="J2942" t="s">
        <v>87</v>
      </c>
      <c r="K2942">
        <v>0</v>
      </c>
      <c r="L2942">
        <v>0</v>
      </c>
    </row>
    <row r="2943" spans="1:12">
      <c r="A2943" s="93">
        <v>219383</v>
      </c>
      <c r="B2943" t="s">
        <v>3450</v>
      </c>
      <c r="C2943" t="s">
        <v>5602</v>
      </c>
      <c r="D2943" s="92">
        <v>0.53</v>
      </c>
      <c r="E2943" s="92">
        <v>0.15</v>
      </c>
      <c r="F2943">
        <v>20</v>
      </c>
      <c r="G2943">
        <v>22.5</v>
      </c>
      <c r="H2943" t="s">
        <v>5617</v>
      </c>
      <c r="I2943">
        <v>0</v>
      </c>
      <c r="J2943" t="s">
        <v>87</v>
      </c>
      <c r="K2943">
        <v>0</v>
      </c>
      <c r="L2943">
        <v>0</v>
      </c>
    </row>
    <row r="2944" spans="1:12">
      <c r="A2944" s="93">
        <v>219392</v>
      </c>
      <c r="B2944" t="s">
        <v>3451</v>
      </c>
      <c r="C2944" t="s">
        <v>5606</v>
      </c>
      <c r="D2944" s="92" t="s">
        <v>428</v>
      </c>
      <c r="E2944" s="92" t="s">
        <v>428</v>
      </c>
      <c r="F2944" t="s">
        <v>428</v>
      </c>
      <c r="G2944" t="s">
        <v>428</v>
      </c>
      <c r="H2944" t="s">
        <v>5615</v>
      </c>
      <c r="I2944">
        <v>0</v>
      </c>
      <c r="J2944" t="s">
        <v>87</v>
      </c>
      <c r="K2944">
        <v>0</v>
      </c>
      <c r="L2944">
        <v>0</v>
      </c>
    </row>
    <row r="2945" spans="1:12">
      <c r="A2945" s="93">
        <v>219408</v>
      </c>
      <c r="B2945" t="s">
        <v>3452</v>
      </c>
      <c r="C2945" t="s">
        <v>5606</v>
      </c>
      <c r="D2945" s="92">
        <v>0.15</v>
      </c>
      <c r="E2945" s="92">
        <v>0.5</v>
      </c>
      <c r="F2945" t="s">
        <v>428</v>
      </c>
      <c r="G2945" t="s">
        <v>428</v>
      </c>
      <c r="H2945" t="s">
        <v>5615</v>
      </c>
      <c r="I2945">
        <v>0</v>
      </c>
      <c r="J2945" t="s">
        <v>87</v>
      </c>
      <c r="K2945">
        <v>0</v>
      </c>
      <c r="L2945">
        <v>0</v>
      </c>
    </row>
    <row r="2946" spans="1:12">
      <c r="A2946" s="93">
        <v>219426</v>
      </c>
      <c r="B2946" t="s">
        <v>3453</v>
      </c>
      <c r="C2946" t="s">
        <v>5606</v>
      </c>
      <c r="D2946" s="92">
        <v>0.48</v>
      </c>
      <c r="E2946" s="92">
        <v>0.49</v>
      </c>
      <c r="F2946" t="s">
        <v>428</v>
      </c>
      <c r="G2946" t="s">
        <v>428</v>
      </c>
      <c r="H2946" t="s">
        <v>5615</v>
      </c>
      <c r="I2946">
        <v>0</v>
      </c>
      <c r="J2946" t="s">
        <v>87</v>
      </c>
      <c r="K2946">
        <v>0</v>
      </c>
      <c r="L2946">
        <v>0</v>
      </c>
    </row>
    <row r="2947" spans="1:12">
      <c r="A2947" s="93">
        <v>219453</v>
      </c>
      <c r="B2947" t="s">
        <v>3454</v>
      </c>
      <c r="C2947" t="s">
        <v>5606</v>
      </c>
      <c r="D2947" s="92" t="s">
        <v>428</v>
      </c>
      <c r="E2947" s="92" t="s">
        <v>428</v>
      </c>
      <c r="F2947" t="s">
        <v>428</v>
      </c>
      <c r="G2947" t="s">
        <v>428</v>
      </c>
      <c r="H2947" t="s">
        <v>5624</v>
      </c>
      <c r="I2947">
        <v>1</v>
      </c>
      <c r="J2947" t="s">
        <v>87</v>
      </c>
      <c r="K2947">
        <v>0</v>
      </c>
      <c r="L2947">
        <v>0</v>
      </c>
    </row>
    <row r="2948" spans="1:12">
      <c r="A2948" s="93">
        <v>219471</v>
      </c>
      <c r="B2948" t="s">
        <v>3455</v>
      </c>
      <c r="C2948" t="s">
        <v>5602</v>
      </c>
      <c r="D2948" s="92">
        <v>0.54</v>
      </c>
      <c r="E2948" s="92">
        <v>0.42</v>
      </c>
      <c r="F2948">
        <v>20</v>
      </c>
      <c r="G2948">
        <v>22.5</v>
      </c>
      <c r="H2948" t="s">
        <v>5615</v>
      </c>
      <c r="I2948">
        <v>0</v>
      </c>
      <c r="J2948" t="s">
        <v>87</v>
      </c>
      <c r="K2948">
        <v>0</v>
      </c>
      <c r="L2948">
        <v>0</v>
      </c>
    </row>
    <row r="2949" spans="1:12">
      <c r="A2949" s="93">
        <v>219480</v>
      </c>
      <c r="B2949" t="s">
        <v>3456</v>
      </c>
      <c r="C2949" t="s">
        <v>5606</v>
      </c>
      <c r="D2949" s="92" t="s">
        <v>428</v>
      </c>
      <c r="E2949" s="92" t="s">
        <v>428</v>
      </c>
      <c r="F2949" t="s">
        <v>428</v>
      </c>
      <c r="G2949" t="s">
        <v>428</v>
      </c>
      <c r="H2949" t="s">
        <v>5615</v>
      </c>
      <c r="I2949">
        <v>0</v>
      </c>
      <c r="J2949" t="s">
        <v>87</v>
      </c>
      <c r="K2949">
        <v>0</v>
      </c>
      <c r="L2949">
        <v>0</v>
      </c>
    </row>
    <row r="2950" spans="1:12">
      <c r="A2950" s="93">
        <v>219505</v>
      </c>
      <c r="B2950" t="s">
        <v>3457</v>
      </c>
      <c r="C2950" t="s">
        <v>5604</v>
      </c>
      <c r="D2950" s="92">
        <v>0.32</v>
      </c>
      <c r="E2950" s="92">
        <v>0.32</v>
      </c>
      <c r="F2950" t="s">
        <v>428</v>
      </c>
      <c r="G2950" t="s">
        <v>428</v>
      </c>
      <c r="H2950" t="s">
        <v>5617</v>
      </c>
      <c r="I2950">
        <v>0</v>
      </c>
      <c r="J2950" t="s">
        <v>87</v>
      </c>
      <c r="K2950">
        <v>0</v>
      </c>
      <c r="L2950">
        <v>0</v>
      </c>
    </row>
    <row r="2951" spans="1:12">
      <c r="A2951" s="93">
        <v>219578</v>
      </c>
      <c r="B2951" t="s">
        <v>2016</v>
      </c>
      <c r="C2951" t="s">
        <v>5602</v>
      </c>
      <c r="D2951" s="92">
        <v>0.38</v>
      </c>
      <c r="E2951" s="92">
        <v>0</v>
      </c>
      <c r="F2951">
        <v>21</v>
      </c>
      <c r="G2951">
        <v>24.5</v>
      </c>
      <c r="H2951" t="s">
        <v>5613</v>
      </c>
      <c r="I2951">
        <v>1</v>
      </c>
      <c r="J2951" t="s">
        <v>87</v>
      </c>
      <c r="K2951">
        <v>0</v>
      </c>
      <c r="L2951">
        <v>0</v>
      </c>
    </row>
    <row r="2952" spans="1:12">
      <c r="A2952" s="93">
        <v>219596</v>
      </c>
      <c r="B2952" t="s">
        <v>3458</v>
      </c>
      <c r="C2952" t="s">
        <v>5606</v>
      </c>
      <c r="D2952" s="92" t="s">
        <v>428</v>
      </c>
      <c r="E2952" s="92" t="s">
        <v>428</v>
      </c>
      <c r="F2952" t="s">
        <v>428</v>
      </c>
      <c r="G2952" t="s">
        <v>428</v>
      </c>
      <c r="H2952" t="s">
        <v>5615</v>
      </c>
      <c r="I2952">
        <v>0</v>
      </c>
      <c r="J2952" t="s">
        <v>87</v>
      </c>
      <c r="K2952">
        <v>0</v>
      </c>
      <c r="L2952">
        <v>0</v>
      </c>
    </row>
    <row r="2953" spans="1:12">
      <c r="A2953" s="93">
        <v>219602</v>
      </c>
      <c r="B2953" t="s">
        <v>3459</v>
      </c>
      <c r="C2953" t="s">
        <v>5602</v>
      </c>
      <c r="D2953" s="92">
        <v>0.37</v>
      </c>
      <c r="E2953" s="92">
        <v>0.3</v>
      </c>
      <c r="F2953">
        <v>19</v>
      </c>
      <c r="G2953">
        <v>21.5</v>
      </c>
      <c r="H2953" t="s">
        <v>5615</v>
      </c>
      <c r="I2953">
        <v>0</v>
      </c>
      <c r="J2953" t="s">
        <v>87</v>
      </c>
      <c r="K2953">
        <v>0</v>
      </c>
      <c r="L2953">
        <v>0</v>
      </c>
    </row>
    <row r="2954" spans="1:12">
      <c r="A2954" s="93">
        <v>219639</v>
      </c>
      <c r="B2954" t="s">
        <v>3460</v>
      </c>
      <c r="C2954" t="s">
        <v>5602</v>
      </c>
      <c r="D2954" s="92">
        <v>0.58</v>
      </c>
      <c r="E2954" s="92">
        <v>0.5</v>
      </c>
      <c r="F2954">
        <v>19</v>
      </c>
      <c r="G2954">
        <v>23</v>
      </c>
      <c r="H2954" t="s">
        <v>5624</v>
      </c>
      <c r="I2954">
        <v>1</v>
      </c>
      <c r="J2954" t="s">
        <v>87</v>
      </c>
      <c r="K2954">
        <v>0</v>
      </c>
      <c r="L2954">
        <v>0</v>
      </c>
    </row>
    <row r="2955" spans="1:12">
      <c r="A2955" s="93">
        <v>219709</v>
      </c>
      <c r="B2955" t="s">
        <v>3461</v>
      </c>
      <c r="C2955" t="s">
        <v>5603</v>
      </c>
      <c r="D2955" s="92">
        <v>0.6899999999999999</v>
      </c>
      <c r="E2955" s="92">
        <v>0.62</v>
      </c>
      <c r="F2955">
        <v>24</v>
      </c>
      <c r="G2955">
        <v>26.5</v>
      </c>
      <c r="H2955" t="s">
        <v>5617</v>
      </c>
      <c r="I2955">
        <v>0</v>
      </c>
      <c r="J2955" t="s">
        <v>87</v>
      </c>
      <c r="K2955">
        <v>0</v>
      </c>
      <c r="L2955">
        <v>0</v>
      </c>
    </row>
    <row r="2956" spans="1:12">
      <c r="A2956" s="93">
        <v>219718</v>
      </c>
      <c r="B2956" t="s">
        <v>2097</v>
      </c>
      <c r="C2956" t="s">
        <v>5602</v>
      </c>
      <c r="D2956" s="92">
        <v>0.35</v>
      </c>
      <c r="E2956" s="92">
        <v>0.22</v>
      </c>
      <c r="F2956">
        <v>17</v>
      </c>
      <c r="G2956">
        <v>19.5</v>
      </c>
      <c r="H2956" t="s">
        <v>5616</v>
      </c>
      <c r="I2956">
        <v>0</v>
      </c>
      <c r="J2956" t="s">
        <v>87</v>
      </c>
      <c r="K2956">
        <v>0</v>
      </c>
      <c r="L2956">
        <v>0</v>
      </c>
    </row>
    <row r="2957" spans="1:12">
      <c r="A2957" s="93">
        <v>219790</v>
      </c>
      <c r="B2957" t="s">
        <v>3462</v>
      </c>
      <c r="C2957" t="s">
        <v>5602</v>
      </c>
      <c r="D2957" s="92">
        <v>0.5600000000000001</v>
      </c>
      <c r="E2957" s="92">
        <v>0.44</v>
      </c>
      <c r="F2957">
        <v>21</v>
      </c>
      <c r="G2957">
        <v>23.5</v>
      </c>
      <c r="H2957" t="s">
        <v>5616</v>
      </c>
      <c r="I2957">
        <v>0</v>
      </c>
      <c r="J2957" t="s">
        <v>87</v>
      </c>
      <c r="K2957">
        <v>0</v>
      </c>
      <c r="L2957">
        <v>0</v>
      </c>
    </row>
    <row r="2958" spans="1:12">
      <c r="A2958" s="93">
        <v>219806</v>
      </c>
      <c r="B2958" t="s">
        <v>3463</v>
      </c>
      <c r="C2958" t="s">
        <v>5602</v>
      </c>
      <c r="D2958" s="92">
        <v>0.48</v>
      </c>
      <c r="E2958" s="92">
        <v>0.24</v>
      </c>
      <c r="F2958">
        <v>20</v>
      </c>
      <c r="G2958">
        <v>23</v>
      </c>
      <c r="H2958" t="s">
        <v>5616</v>
      </c>
      <c r="I2958">
        <v>0</v>
      </c>
      <c r="J2958" t="s">
        <v>87</v>
      </c>
      <c r="K2958">
        <v>0</v>
      </c>
      <c r="L2958">
        <v>0</v>
      </c>
    </row>
    <row r="2959" spans="1:12">
      <c r="A2959" s="93">
        <v>219824</v>
      </c>
      <c r="B2959" t="s">
        <v>3464</v>
      </c>
      <c r="C2959" t="s">
        <v>5606</v>
      </c>
      <c r="D2959" s="92">
        <v>0.24</v>
      </c>
      <c r="E2959" s="92">
        <v>0.15</v>
      </c>
      <c r="F2959" t="s">
        <v>428</v>
      </c>
      <c r="G2959" t="s">
        <v>428</v>
      </c>
      <c r="H2959" t="s">
        <v>5615</v>
      </c>
      <c r="I2959">
        <v>0</v>
      </c>
      <c r="J2959" t="s">
        <v>87</v>
      </c>
      <c r="K2959">
        <v>0</v>
      </c>
      <c r="L2959">
        <v>0</v>
      </c>
    </row>
    <row r="2960" spans="1:12">
      <c r="A2960" s="93">
        <v>219833</v>
      </c>
      <c r="B2960" t="s">
        <v>3465</v>
      </c>
      <c r="C2960" t="s">
        <v>5603</v>
      </c>
      <c r="D2960" s="92">
        <v>0.53</v>
      </c>
      <c r="E2960" s="92">
        <v>0.42</v>
      </c>
      <c r="F2960">
        <v>22</v>
      </c>
      <c r="G2960">
        <v>24.5</v>
      </c>
      <c r="H2960" t="s">
        <v>5617</v>
      </c>
      <c r="I2960">
        <v>0</v>
      </c>
      <c r="J2960" t="s">
        <v>87</v>
      </c>
      <c r="K2960">
        <v>0</v>
      </c>
      <c r="L2960">
        <v>0</v>
      </c>
    </row>
    <row r="2961" spans="1:12">
      <c r="A2961" s="93">
        <v>219842</v>
      </c>
      <c r="B2961" t="s">
        <v>3466</v>
      </c>
      <c r="C2961" t="s">
        <v>5607</v>
      </c>
      <c r="D2961" s="92" t="s">
        <v>428</v>
      </c>
      <c r="E2961" s="92" t="s">
        <v>428</v>
      </c>
      <c r="F2961" t="s">
        <v>428</v>
      </c>
      <c r="G2961" t="s">
        <v>428</v>
      </c>
      <c r="H2961" t="s">
        <v>5615</v>
      </c>
      <c r="I2961">
        <v>0</v>
      </c>
      <c r="J2961" t="s">
        <v>87</v>
      </c>
      <c r="K2961">
        <v>0</v>
      </c>
      <c r="L2961">
        <v>0</v>
      </c>
    </row>
    <row r="2962" spans="1:12">
      <c r="A2962" s="93">
        <v>219879</v>
      </c>
      <c r="B2962" t="s">
        <v>3467</v>
      </c>
      <c r="C2962" t="s">
        <v>5606</v>
      </c>
      <c r="D2962" s="92">
        <v>0.21</v>
      </c>
      <c r="E2962" s="92">
        <v>0.16</v>
      </c>
      <c r="F2962" t="s">
        <v>428</v>
      </c>
      <c r="G2962" t="s">
        <v>428</v>
      </c>
      <c r="H2962" t="s">
        <v>5615</v>
      </c>
      <c r="I2962">
        <v>0</v>
      </c>
      <c r="J2962" t="s">
        <v>87</v>
      </c>
      <c r="K2962">
        <v>0</v>
      </c>
      <c r="L2962">
        <v>0</v>
      </c>
    </row>
    <row r="2963" spans="1:12">
      <c r="A2963" s="93">
        <v>219888</v>
      </c>
      <c r="B2963" t="s">
        <v>3468</v>
      </c>
      <c r="C2963" t="s">
        <v>5606</v>
      </c>
      <c r="D2963" s="92">
        <v>0.28</v>
      </c>
      <c r="E2963" s="92">
        <v>0.17</v>
      </c>
      <c r="F2963" t="s">
        <v>428</v>
      </c>
      <c r="G2963" t="s">
        <v>428</v>
      </c>
      <c r="H2963" t="s">
        <v>5615</v>
      </c>
      <c r="I2963">
        <v>0</v>
      </c>
      <c r="J2963" t="s">
        <v>87</v>
      </c>
      <c r="K2963">
        <v>0</v>
      </c>
      <c r="L2963">
        <v>0</v>
      </c>
    </row>
    <row r="2964" spans="1:12">
      <c r="A2964" s="93">
        <v>219903</v>
      </c>
      <c r="B2964" t="s">
        <v>3469</v>
      </c>
      <c r="C2964" t="s">
        <v>5606</v>
      </c>
      <c r="D2964" s="92" t="s">
        <v>428</v>
      </c>
      <c r="E2964" s="92" t="s">
        <v>428</v>
      </c>
      <c r="F2964" t="s">
        <v>428</v>
      </c>
      <c r="G2964" t="s">
        <v>428</v>
      </c>
      <c r="H2964" t="s">
        <v>5617</v>
      </c>
      <c r="I2964">
        <v>0</v>
      </c>
      <c r="J2964" t="s">
        <v>87</v>
      </c>
      <c r="K2964">
        <v>0</v>
      </c>
      <c r="L2964">
        <v>0</v>
      </c>
    </row>
    <row r="2965" spans="1:12">
      <c r="A2965" s="93">
        <v>219921</v>
      </c>
      <c r="B2965" t="s">
        <v>3470</v>
      </c>
      <c r="C2965" t="s">
        <v>5606</v>
      </c>
      <c r="D2965" s="92" t="s">
        <v>428</v>
      </c>
      <c r="E2965" s="92" t="s">
        <v>428</v>
      </c>
      <c r="F2965" t="s">
        <v>428</v>
      </c>
      <c r="G2965" t="s">
        <v>428</v>
      </c>
      <c r="H2965" t="s">
        <v>5615</v>
      </c>
      <c r="I2965">
        <v>0</v>
      </c>
      <c r="J2965" t="s">
        <v>87</v>
      </c>
      <c r="K2965">
        <v>0</v>
      </c>
      <c r="L2965">
        <v>0</v>
      </c>
    </row>
    <row r="2966" spans="1:12">
      <c r="A2966" s="93">
        <v>219949</v>
      </c>
      <c r="B2966" t="s">
        <v>3471</v>
      </c>
      <c r="C2966" t="s">
        <v>5602</v>
      </c>
      <c r="D2966" s="92">
        <v>0.45</v>
      </c>
      <c r="E2966" s="92">
        <v>0.39</v>
      </c>
      <c r="F2966">
        <v>19</v>
      </c>
      <c r="G2966">
        <v>21</v>
      </c>
      <c r="H2966" t="s">
        <v>5617</v>
      </c>
      <c r="I2966">
        <v>0</v>
      </c>
      <c r="J2966" t="s">
        <v>87</v>
      </c>
      <c r="K2966">
        <v>0</v>
      </c>
      <c r="L2966">
        <v>0</v>
      </c>
    </row>
    <row r="2967" spans="1:12">
      <c r="A2967" s="93">
        <v>219976</v>
      </c>
      <c r="B2967" t="s">
        <v>3472</v>
      </c>
      <c r="C2967" t="s">
        <v>5603</v>
      </c>
      <c r="D2967" s="92">
        <v>0.58</v>
      </c>
      <c r="E2967" s="92">
        <v>0.42</v>
      </c>
      <c r="F2967">
        <v>22</v>
      </c>
      <c r="G2967">
        <v>25</v>
      </c>
      <c r="H2967" t="s">
        <v>5617</v>
      </c>
      <c r="I2967">
        <v>0</v>
      </c>
      <c r="J2967" t="s">
        <v>87</v>
      </c>
      <c r="K2967">
        <v>0</v>
      </c>
      <c r="L2967">
        <v>0</v>
      </c>
    </row>
    <row r="2968" spans="1:12">
      <c r="A2968" s="93">
        <v>219994</v>
      </c>
      <c r="B2968" t="s">
        <v>3473</v>
      </c>
      <c r="C2968" t="s">
        <v>5606</v>
      </c>
      <c r="D2968" s="92" t="s">
        <v>428</v>
      </c>
      <c r="E2968" s="92" t="s">
        <v>428</v>
      </c>
      <c r="F2968" t="s">
        <v>428</v>
      </c>
      <c r="G2968" t="s">
        <v>428</v>
      </c>
      <c r="H2968" t="s">
        <v>5615</v>
      </c>
      <c r="I2968">
        <v>0</v>
      </c>
      <c r="J2968" t="s">
        <v>87</v>
      </c>
      <c r="K2968">
        <v>0</v>
      </c>
      <c r="L2968">
        <v>0</v>
      </c>
    </row>
    <row r="2969" spans="1:12">
      <c r="A2969" s="93">
        <v>220002</v>
      </c>
      <c r="B2969" t="s">
        <v>3474</v>
      </c>
      <c r="C2969" t="s">
        <v>5604</v>
      </c>
      <c r="D2969" s="92">
        <v>0.2</v>
      </c>
      <c r="E2969" s="92">
        <v>0.2</v>
      </c>
      <c r="F2969" t="s">
        <v>428</v>
      </c>
      <c r="G2969" t="s">
        <v>428</v>
      </c>
      <c r="H2969" t="s">
        <v>5617</v>
      </c>
      <c r="I2969">
        <v>0</v>
      </c>
      <c r="J2969" t="s">
        <v>87</v>
      </c>
      <c r="K2969">
        <v>0</v>
      </c>
      <c r="L2969">
        <v>0</v>
      </c>
    </row>
    <row r="2970" spans="1:12">
      <c r="A2970" s="93">
        <v>220057</v>
      </c>
      <c r="B2970" t="s">
        <v>3475</v>
      </c>
      <c r="C2970" t="s">
        <v>5606</v>
      </c>
      <c r="D2970" s="92">
        <v>0.28</v>
      </c>
      <c r="E2970" s="92">
        <v>0.21</v>
      </c>
      <c r="F2970" t="s">
        <v>428</v>
      </c>
      <c r="G2970" t="s">
        <v>428</v>
      </c>
      <c r="H2970" t="s">
        <v>5615</v>
      </c>
      <c r="I2970">
        <v>0</v>
      </c>
      <c r="J2970" t="s">
        <v>87</v>
      </c>
      <c r="K2970">
        <v>0</v>
      </c>
      <c r="L2970">
        <v>0</v>
      </c>
    </row>
    <row r="2971" spans="1:12">
      <c r="A2971" s="93">
        <v>220075</v>
      </c>
      <c r="B2971" t="s">
        <v>3476</v>
      </c>
      <c r="C2971" t="s">
        <v>5602</v>
      </c>
      <c r="D2971" s="92">
        <v>0.4</v>
      </c>
      <c r="E2971" s="92">
        <v>0.28</v>
      </c>
      <c r="F2971">
        <v>20</v>
      </c>
      <c r="G2971">
        <v>23</v>
      </c>
      <c r="H2971" t="s">
        <v>5615</v>
      </c>
      <c r="I2971">
        <v>0</v>
      </c>
      <c r="J2971" t="s">
        <v>87</v>
      </c>
      <c r="K2971">
        <v>0</v>
      </c>
      <c r="L2971">
        <v>0</v>
      </c>
    </row>
    <row r="2972" spans="1:12">
      <c r="A2972" s="93">
        <v>220118</v>
      </c>
      <c r="B2972" t="s">
        <v>3477</v>
      </c>
      <c r="C2972" t="s">
        <v>5606</v>
      </c>
      <c r="D2972" s="92" t="s">
        <v>428</v>
      </c>
      <c r="E2972" s="92" t="s">
        <v>428</v>
      </c>
      <c r="F2972" t="s">
        <v>428</v>
      </c>
      <c r="G2972" t="s">
        <v>428</v>
      </c>
      <c r="H2972" t="s">
        <v>5617</v>
      </c>
      <c r="I2972">
        <v>0</v>
      </c>
      <c r="J2972" t="s">
        <v>87</v>
      </c>
      <c r="K2972">
        <v>0</v>
      </c>
      <c r="L2972">
        <v>0</v>
      </c>
    </row>
    <row r="2973" spans="1:12">
      <c r="A2973" s="93">
        <v>220127</v>
      </c>
      <c r="B2973" t="s">
        <v>3478</v>
      </c>
      <c r="C2973" t="s">
        <v>5606</v>
      </c>
      <c r="D2973" s="92" t="s">
        <v>428</v>
      </c>
      <c r="E2973" s="92" t="s">
        <v>428</v>
      </c>
      <c r="F2973" t="s">
        <v>428</v>
      </c>
      <c r="G2973" t="s">
        <v>428</v>
      </c>
      <c r="H2973" t="s">
        <v>5615</v>
      </c>
      <c r="I2973">
        <v>0</v>
      </c>
      <c r="J2973" t="s">
        <v>87</v>
      </c>
      <c r="K2973">
        <v>0</v>
      </c>
      <c r="L2973">
        <v>0</v>
      </c>
    </row>
    <row r="2974" spans="1:12">
      <c r="A2974" s="93">
        <v>220181</v>
      </c>
      <c r="B2974" t="s">
        <v>3479</v>
      </c>
      <c r="C2974" t="s">
        <v>5608</v>
      </c>
      <c r="D2974" s="92">
        <v>0.32</v>
      </c>
      <c r="E2974" s="92">
        <v>0.46</v>
      </c>
      <c r="F2974">
        <v>17</v>
      </c>
      <c r="G2974">
        <v>19.5</v>
      </c>
      <c r="H2974" t="s">
        <v>5626</v>
      </c>
      <c r="I2974">
        <v>0</v>
      </c>
      <c r="J2974" t="s">
        <v>138</v>
      </c>
      <c r="K2974">
        <v>0</v>
      </c>
      <c r="L2974">
        <v>0</v>
      </c>
    </row>
    <row r="2975" spans="1:12">
      <c r="A2975" s="93">
        <v>220206</v>
      </c>
      <c r="B2975" t="s">
        <v>3480</v>
      </c>
      <c r="C2975" t="s">
        <v>5604</v>
      </c>
      <c r="D2975" s="92">
        <v>0.33</v>
      </c>
      <c r="E2975" s="92">
        <v>0.17</v>
      </c>
      <c r="F2975" t="s">
        <v>428</v>
      </c>
      <c r="G2975" t="s">
        <v>428</v>
      </c>
      <c r="H2975" t="s">
        <v>5617</v>
      </c>
      <c r="I2975">
        <v>0</v>
      </c>
      <c r="J2975" t="s">
        <v>87</v>
      </c>
      <c r="K2975">
        <v>0</v>
      </c>
      <c r="L2975">
        <v>0</v>
      </c>
    </row>
    <row r="2976" spans="1:12">
      <c r="A2976" s="93">
        <v>220215</v>
      </c>
      <c r="B2976" t="s">
        <v>3481</v>
      </c>
      <c r="C2976" t="s">
        <v>5602</v>
      </c>
      <c r="D2976" s="92">
        <v>0.55</v>
      </c>
      <c r="E2976" s="92">
        <v>0.34</v>
      </c>
      <c r="F2976">
        <v>21</v>
      </c>
      <c r="G2976">
        <v>24</v>
      </c>
      <c r="H2976" t="s">
        <v>5616</v>
      </c>
      <c r="I2976">
        <v>0</v>
      </c>
      <c r="J2976" t="s">
        <v>87</v>
      </c>
      <c r="K2976">
        <v>0</v>
      </c>
      <c r="L2976">
        <v>0</v>
      </c>
    </row>
    <row r="2977" spans="1:12">
      <c r="A2977" s="93">
        <v>220251</v>
      </c>
      <c r="B2977" t="s">
        <v>3482</v>
      </c>
      <c r="C2977" t="s">
        <v>5606</v>
      </c>
      <c r="D2977" s="92" t="s">
        <v>428</v>
      </c>
      <c r="E2977" s="92" t="s">
        <v>428</v>
      </c>
      <c r="F2977" t="s">
        <v>428</v>
      </c>
      <c r="G2977" t="s">
        <v>428</v>
      </c>
      <c r="H2977" t="s">
        <v>5615</v>
      </c>
      <c r="I2977">
        <v>0</v>
      </c>
      <c r="J2977" t="s">
        <v>87</v>
      </c>
      <c r="K2977">
        <v>0</v>
      </c>
      <c r="L2977">
        <v>0</v>
      </c>
    </row>
    <row r="2978" spans="1:12">
      <c r="A2978" s="93">
        <v>220279</v>
      </c>
      <c r="B2978" t="s">
        <v>3483</v>
      </c>
      <c r="C2978" t="s">
        <v>5606</v>
      </c>
      <c r="D2978" s="92" t="s">
        <v>428</v>
      </c>
      <c r="E2978" s="92" t="s">
        <v>428</v>
      </c>
      <c r="F2978" t="s">
        <v>428</v>
      </c>
      <c r="G2978" t="s">
        <v>428</v>
      </c>
      <c r="H2978" t="s">
        <v>5615</v>
      </c>
      <c r="I2978">
        <v>0</v>
      </c>
      <c r="J2978" t="s">
        <v>87</v>
      </c>
      <c r="K2978">
        <v>0</v>
      </c>
      <c r="L2978">
        <v>0</v>
      </c>
    </row>
    <row r="2979" spans="1:12">
      <c r="A2979" s="93">
        <v>220312</v>
      </c>
      <c r="B2979" t="s">
        <v>3484</v>
      </c>
      <c r="C2979" t="s">
        <v>5604</v>
      </c>
      <c r="D2979" s="92">
        <v>0.17</v>
      </c>
      <c r="E2979" s="92">
        <v>0.08</v>
      </c>
      <c r="F2979">
        <v>17</v>
      </c>
      <c r="G2979">
        <v>18.5</v>
      </c>
      <c r="H2979" t="s">
        <v>5616</v>
      </c>
      <c r="I2979">
        <v>0</v>
      </c>
      <c r="J2979" t="s">
        <v>87</v>
      </c>
      <c r="K2979">
        <v>0</v>
      </c>
      <c r="L2979">
        <v>0</v>
      </c>
    </row>
    <row r="2980" spans="1:12">
      <c r="A2980" s="93">
        <v>220321</v>
      </c>
      <c r="B2980" t="s">
        <v>3485</v>
      </c>
      <c r="C2980" t="s">
        <v>5606</v>
      </c>
      <c r="D2980" s="92" t="s">
        <v>428</v>
      </c>
      <c r="E2980" s="92" t="s">
        <v>428</v>
      </c>
      <c r="F2980" t="s">
        <v>428</v>
      </c>
      <c r="G2980" t="s">
        <v>428</v>
      </c>
      <c r="H2980" t="s">
        <v>5615</v>
      </c>
      <c r="I2980">
        <v>0</v>
      </c>
      <c r="J2980" t="s">
        <v>87</v>
      </c>
      <c r="K2980">
        <v>0</v>
      </c>
      <c r="L2980">
        <v>0</v>
      </c>
    </row>
    <row r="2981" spans="1:12">
      <c r="A2981" s="93">
        <v>220394</v>
      </c>
      <c r="B2981" t="s">
        <v>3486</v>
      </c>
      <c r="C2981" t="s">
        <v>5606</v>
      </c>
      <c r="D2981" s="92" t="s">
        <v>428</v>
      </c>
      <c r="E2981" s="92" t="s">
        <v>428</v>
      </c>
      <c r="F2981" t="s">
        <v>428</v>
      </c>
      <c r="G2981" t="s">
        <v>428</v>
      </c>
      <c r="H2981" t="s">
        <v>5615</v>
      </c>
      <c r="I2981">
        <v>0</v>
      </c>
      <c r="J2981" t="s">
        <v>87</v>
      </c>
      <c r="K2981">
        <v>0</v>
      </c>
      <c r="L2981">
        <v>0</v>
      </c>
    </row>
    <row r="2982" spans="1:12">
      <c r="A2982" s="93">
        <v>220400</v>
      </c>
      <c r="B2982" t="s">
        <v>3487</v>
      </c>
      <c r="C2982" t="s">
        <v>5606</v>
      </c>
      <c r="D2982" s="92">
        <v>0.16</v>
      </c>
      <c r="E2982" s="92">
        <v>0.12</v>
      </c>
      <c r="F2982" t="s">
        <v>428</v>
      </c>
      <c r="G2982" t="s">
        <v>428</v>
      </c>
      <c r="H2982" t="s">
        <v>5615</v>
      </c>
      <c r="I2982">
        <v>0</v>
      </c>
      <c r="J2982" t="s">
        <v>87</v>
      </c>
      <c r="K2982">
        <v>0</v>
      </c>
      <c r="L2982">
        <v>0</v>
      </c>
    </row>
    <row r="2983" spans="1:12">
      <c r="A2983" s="93">
        <v>220464</v>
      </c>
      <c r="B2983" t="s">
        <v>3488</v>
      </c>
      <c r="C2983" t="s">
        <v>5609</v>
      </c>
      <c r="D2983" s="92">
        <v>0.52</v>
      </c>
      <c r="E2983" s="92">
        <v>0.41</v>
      </c>
      <c r="F2983">
        <v>12</v>
      </c>
      <c r="G2983">
        <v>16.5</v>
      </c>
      <c r="H2983" t="s">
        <v>5624</v>
      </c>
      <c r="I2983">
        <v>1</v>
      </c>
      <c r="J2983" t="s">
        <v>87</v>
      </c>
      <c r="K2983">
        <v>0</v>
      </c>
      <c r="L2983">
        <v>0</v>
      </c>
    </row>
    <row r="2984" spans="1:12">
      <c r="A2984" s="93">
        <v>220473</v>
      </c>
      <c r="B2984" t="s">
        <v>3489</v>
      </c>
      <c r="C2984" t="s">
        <v>5602</v>
      </c>
      <c r="D2984" s="92">
        <v>0.58</v>
      </c>
      <c r="E2984" s="92">
        <v>0.5</v>
      </c>
      <c r="F2984">
        <v>18</v>
      </c>
      <c r="G2984">
        <v>21.5</v>
      </c>
      <c r="H2984" t="s">
        <v>5616</v>
      </c>
      <c r="I2984">
        <v>0</v>
      </c>
      <c r="J2984" t="s">
        <v>87</v>
      </c>
      <c r="K2984">
        <v>0</v>
      </c>
      <c r="L2984">
        <v>0</v>
      </c>
    </row>
    <row r="2985" spans="1:12">
      <c r="A2985" s="93">
        <v>220516</v>
      </c>
      <c r="B2985" t="s">
        <v>3490</v>
      </c>
      <c r="C2985" t="s">
        <v>5602</v>
      </c>
      <c r="D2985" s="92">
        <v>0.48</v>
      </c>
      <c r="E2985" s="92">
        <v>0.35</v>
      </c>
      <c r="F2985" t="s">
        <v>428</v>
      </c>
      <c r="G2985" t="s">
        <v>428</v>
      </c>
      <c r="H2985" t="s">
        <v>5617</v>
      </c>
      <c r="I2985">
        <v>0</v>
      </c>
      <c r="J2985" t="s">
        <v>87</v>
      </c>
      <c r="K2985">
        <v>0</v>
      </c>
      <c r="L2985">
        <v>0</v>
      </c>
    </row>
    <row r="2986" spans="1:12">
      <c r="A2986" s="93">
        <v>220552</v>
      </c>
      <c r="B2986" t="s">
        <v>3491</v>
      </c>
      <c r="C2986" t="s">
        <v>5604</v>
      </c>
      <c r="D2986" s="92">
        <v>0.28</v>
      </c>
      <c r="E2986" s="92">
        <v>0.12</v>
      </c>
      <c r="F2986" t="s">
        <v>428</v>
      </c>
      <c r="G2986" t="s">
        <v>428</v>
      </c>
      <c r="H2986" t="s">
        <v>5617</v>
      </c>
      <c r="I2986">
        <v>0</v>
      </c>
      <c r="J2986" t="s">
        <v>87</v>
      </c>
      <c r="K2986">
        <v>0</v>
      </c>
      <c r="L2986">
        <v>0</v>
      </c>
    </row>
    <row r="2987" spans="1:12">
      <c r="A2987" s="93">
        <v>220598</v>
      </c>
      <c r="B2987" t="s">
        <v>3492</v>
      </c>
      <c r="C2987" t="s">
        <v>5602</v>
      </c>
      <c r="D2987" s="92">
        <v>0.2</v>
      </c>
      <c r="E2987" s="92">
        <v>0.35</v>
      </c>
      <c r="F2987">
        <v>14</v>
      </c>
      <c r="G2987">
        <v>15</v>
      </c>
      <c r="H2987" t="s">
        <v>5616</v>
      </c>
      <c r="I2987">
        <v>0</v>
      </c>
      <c r="J2987" t="s">
        <v>138</v>
      </c>
      <c r="K2987">
        <v>0</v>
      </c>
      <c r="L2987">
        <v>0</v>
      </c>
    </row>
    <row r="2988" spans="1:12">
      <c r="A2988" s="93">
        <v>220604</v>
      </c>
      <c r="B2988" t="s">
        <v>3493</v>
      </c>
      <c r="C2988" t="s">
        <v>5602</v>
      </c>
      <c r="D2988" s="92">
        <v>0.14</v>
      </c>
      <c r="E2988" s="92">
        <v>0.28</v>
      </c>
      <c r="F2988">
        <v>14</v>
      </c>
      <c r="G2988">
        <v>15.5</v>
      </c>
      <c r="H2988" t="s">
        <v>5613</v>
      </c>
      <c r="I2988">
        <v>1</v>
      </c>
      <c r="J2988" t="s">
        <v>138</v>
      </c>
      <c r="K2988">
        <v>0</v>
      </c>
      <c r="L2988">
        <v>0</v>
      </c>
    </row>
    <row r="2989" spans="1:12">
      <c r="A2989" s="93">
        <v>220613</v>
      </c>
      <c r="B2989" t="s">
        <v>3494</v>
      </c>
      <c r="C2989" t="s">
        <v>5602</v>
      </c>
      <c r="D2989" s="92">
        <v>0.52</v>
      </c>
      <c r="E2989" s="92">
        <v>0.43</v>
      </c>
      <c r="F2989">
        <v>21</v>
      </c>
      <c r="G2989">
        <v>24.5</v>
      </c>
      <c r="H2989" t="s">
        <v>5616</v>
      </c>
      <c r="I2989">
        <v>0</v>
      </c>
      <c r="J2989" t="s">
        <v>87</v>
      </c>
      <c r="K2989">
        <v>0</v>
      </c>
      <c r="L2989">
        <v>0</v>
      </c>
    </row>
    <row r="2990" spans="1:12">
      <c r="A2990" s="93">
        <v>220631</v>
      </c>
      <c r="B2990" t="s">
        <v>3495</v>
      </c>
      <c r="C2990" t="s">
        <v>5602</v>
      </c>
      <c r="D2990" s="92">
        <v>0.49</v>
      </c>
      <c r="E2990" s="92">
        <v>0.46</v>
      </c>
      <c r="F2990">
        <v>19</v>
      </c>
      <c r="G2990">
        <v>21.5</v>
      </c>
      <c r="H2990" t="s">
        <v>5613</v>
      </c>
      <c r="I2990">
        <v>1</v>
      </c>
      <c r="J2990" t="s">
        <v>87</v>
      </c>
      <c r="K2990">
        <v>0</v>
      </c>
      <c r="L2990">
        <v>0</v>
      </c>
    </row>
    <row r="2991" spans="1:12">
      <c r="A2991" s="93">
        <v>220640</v>
      </c>
      <c r="B2991" t="s">
        <v>3496</v>
      </c>
      <c r="C2991" t="s">
        <v>5606</v>
      </c>
      <c r="D2991" s="92" t="s">
        <v>428</v>
      </c>
      <c r="E2991" s="92" t="s">
        <v>428</v>
      </c>
      <c r="F2991" t="s">
        <v>428</v>
      </c>
      <c r="G2991" t="s">
        <v>428</v>
      </c>
      <c r="H2991" t="s">
        <v>5615</v>
      </c>
      <c r="I2991">
        <v>0</v>
      </c>
      <c r="J2991" t="s">
        <v>87</v>
      </c>
      <c r="K2991">
        <v>0</v>
      </c>
      <c r="L2991">
        <v>0</v>
      </c>
    </row>
    <row r="2992" spans="1:12">
      <c r="A2992" s="93">
        <v>220701</v>
      </c>
      <c r="B2992" t="s">
        <v>3497</v>
      </c>
      <c r="C2992" t="s">
        <v>5607</v>
      </c>
      <c r="D2992" s="92">
        <v>0.4</v>
      </c>
      <c r="E2992" s="92">
        <v>0.45</v>
      </c>
      <c r="F2992" t="s">
        <v>428</v>
      </c>
      <c r="G2992" t="s">
        <v>428</v>
      </c>
      <c r="H2992" t="s">
        <v>5617</v>
      </c>
      <c r="I2992">
        <v>0</v>
      </c>
      <c r="J2992" t="s">
        <v>87</v>
      </c>
      <c r="K2992">
        <v>0</v>
      </c>
      <c r="L2992">
        <v>0</v>
      </c>
    </row>
    <row r="2993" spans="1:12">
      <c r="A2993" s="93">
        <v>220710</v>
      </c>
      <c r="B2993" t="s">
        <v>3498</v>
      </c>
      <c r="C2993" t="s">
        <v>5602</v>
      </c>
      <c r="D2993" s="92">
        <v>0.54</v>
      </c>
      <c r="E2993" s="92">
        <v>0.41</v>
      </c>
      <c r="F2993">
        <v>21</v>
      </c>
      <c r="G2993">
        <v>24</v>
      </c>
      <c r="H2993" t="s">
        <v>5616</v>
      </c>
      <c r="I2993">
        <v>0</v>
      </c>
      <c r="J2993" t="s">
        <v>87</v>
      </c>
      <c r="K2993">
        <v>0</v>
      </c>
      <c r="L2993">
        <v>0</v>
      </c>
    </row>
    <row r="2994" spans="1:12">
      <c r="A2994" s="93">
        <v>220756</v>
      </c>
      <c r="B2994" t="s">
        <v>3499</v>
      </c>
      <c r="C2994" t="s">
        <v>5606</v>
      </c>
      <c r="D2994" s="92" t="s">
        <v>428</v>
      </c>
      <c r="E2994" s="92" t="s">
        <v>428</v>
      </c>
      <c r="F2994" t="s">
        <v>428</v>
      </c>
      <c r="G2994" t="s">
        <v>428</v>
      </c>
      <c r="H2994" t="s">
        <v>5615</v>
      </c>
      <c r="I2994">
        <v>0</v>
      </c>
      <c r="J2994" t="s">
        <v>87</v>
      </c>
      <c r="K2994">
        <v>0</v>
      </c>
      <c r="L2994">
        <v>0</v>
      </c>
    </row>
    <row r="2995" spans="1:12">
      <c r="A2995" s="93">
        <v>220792</v>
      </c>
      <c r="B2995" t="s">
        <v>3500</v>
      </c>
      <c r="C2995" t="s">
        <v>5607</v>
      </c>
      <c r="D2995" s="92" t="s">
        <v>428</v>
      </c>
      <c r="E2995" s="92" t="s">
        <v>428</v>
      </c>
      <c r="F2995" t="s">
        <v>428</v>
      </c>
      <c r="G2995" t="s">
        <v>428</v>
      </c>
      <c r="H2995" t="s">
        <v>5615</v>
      </c>
      <c r="I2995">
        <v>0</v>
      </c>
      <c r="J2995" t="s">
        <v>87</v>
      </c>
      <c r="K2995">
        <v>0</v>
      </c>
      <c r="L2995">
        <v>0</v>
      </c>
    </row>
    <row r="2996" spans="1:12">
      <c r="A2996" s="93">
        <v>220808</v>
      </c>
      <c r="B2996" t="s">
        <v>3501</v>
      </c>
      <c r="C2996" t="s">
        <v>5602</v>
      </c>
      <c r="D2996" s="92">
        <v>0.53</v>
      </c>
      <c r="E2996" s="92">
        <v>0.38</v>
      </c>
      <c r="F2996">
        <v>18</v>
      </c>
      <c r="G2996">
        <v>20</v>
      </c>
      <c r="H2996" t="s">
        <v>5617</v>
      </c>
      <c r="I2996">
        <v>0</v>
      </c>
      <c r="J2996" t="s">
        <v>87</v>
      </c>
      <c r="K2996">
        <v>0</v>
      </c>
      <c r="L2996">
        <v>0</v>
      </c>
    </row>
    <row r="2997" spans="1:12">
      <c r="A2997" s="93">
        <v>220853</v>
      </c>
      <c r="B2997" t="s">
        <v>3502</v>
      </c>
      <c r="C2997" t="s">
        <v>5606</v>
      </c>
      <c r="D2997" s="92" t="s">
        <v>428</v>
      </c>
      <c r="E2997" s="92" t="s">
        <v>428</v>
      </c>
      <c r="F2997" t="s">
        <v>428</v>
      </c>
      <c r="G2997" t="s">
        <v>428</v>
      </c>
      <c r="H2997" t="s">
        <v>5615</v>
      </c>
      <c r="I2997">
        <v>0</v>
      </c>
      <c r="J2997" t="s">
        <v>87</v>
      </c>
      <c r="K2997">
        <v>0</v>
      </c>
      <c r="L2997">
        <v>0</v>
      </c>
    </row>
    <row r="2998" spans="1:12">
      <c r="A2998" s="93">
        <v>220862</v>
      </c>
      <c r="B2998" t="s">
        <v>3503</v>
      </c>
      <c r="C2998" t="s">
        <v>5602</v>
      </c>
      <c r="D2998" s="92">
        <v>0.42</v>
      </c>
      <c r="E2998" s="92">
        <v>0.31</v>
      </c>
      <c r="F2998">
        <v>18</v>
      </c>
      <c r="G2998">
        <v>21.5</v>
      </c>
      <c r="H2998" t="s">
        <v>5615</v>
      </c>
      <c r="I2998">
        <v>0</v>
      </c>
      <c r="J2998" t="s">
        <v>87</v>
      </c>
      <c r="K2998">
        <v>0</v>
      </c>
      <c r="L2998">
        <v>0</v>
      </c>
    </row>
    <row r="2999" spans="1:12">
      <c r="A2999" s="93">
        <v>220871</v>
      </c>
      <c r="B2999" t="s">
        <v>3504</v>
      </c>
      <c r="C2999" t="s">
        <v>5607</v>
      </c>
      <c r="D2999" s="92" t="s">
        <v>428</v>
      </c>
      <c r="E2999" s="92" t="s">
        <v>428</v>
      </c>
      <c r="F2999" t="s">
        <v>428</v>
      </c>
      <c r="G2999" t="s">
        <v>428</v>
      </c>
      <c r="H2999" t="s">
        <v>5615</v>
      </c>
      <c r="I2999">
        <v>0</v>
      </c>
      <c r="J2999" t="s">
        <v>87</v>
      </c>
      <c r="K2999">
        <v>0</v>
      </c>
      <c r="L2999">
        <v>0</v>
      </c>
    </row>
    <row r="3000" spans="1:12">
      <c r="A3000" s="93">
        <v>220978</v>
      </c>
      <c r="B3000" t="s">
        <v>3505</v>
      </c>
      <c r="C3000" t="s">
        <v>5602</v>
      </c>
      <c r="D3000" s="92">
        <v>0.43</v>
      </c>
      <c r="E3000" s="92">
        <v>0.42</v>
      </c>
      <c r="F3000">
        <v>19</v>
      </c>
      <c r="G3000">
        <v>22</v>
      </c>
      <c r="H3000" t="s">
        <v>5615</v>
      </c>
      <c r="I3000">
        <v>0</v>
      </c>
      <c r="J3000" t="s">
        <v>87</v>
      </c>
      <c r="K3000">
        <v>0</v>
      </c>
      <c r="L3000">
        <v>0</v>
      </c>
    </row>
    <row r="3001" spans="1:12">
      <c r="A3001" s="93">
        <v>220996</v>
      </c>
      <c r="B3001" t="s">
        <v>3506</v>
      </c>
      <c r="C3001" t="s">
        <v>5607</v>
      </c>
      <c r="D3001" s="92" t="s">
        <v>428</v>
      </c>
      <c r="E3001" s="92" t="s">
        <v>428</v>
      </c>
      <c r="F3001" t="s">
        <v>428</v>
      </c>
      <c r="G3001" t="s">
        <v>428</v>
      </c>
      <c r="H3001" t="s">
        <v>5615</v>
      </c>
      <c r="I3001">
        <v>0</v>
      </c>
      <c r="J3001" t="s">
        <v>87</v>
      </c>
      <c r="K3001">
        <v>0</v>
      </c>
      <c r="L3001">
        <v>0</v>
      </c>
    </row>
    <row r="3002" spans="1:12">
      <c r="A3002" s="93">
        <v>221050</v>
      </c>
      <c r="B3002" t="s">
        <v>3507</v>
      </c>
      <c r="C3002" t="s">
        <v>5606</v>
      </c>
      <c r="D3002" s="92" t="s">
        <v>428</v>
      </c>
      <c r="E3002" s="92" t="s">
        <v>428</v>
      </c>
      <c r="F3002" t="s">
        <v>428</v>
      </c>
      <c r="G3002" t="s">
        <v>428</v>
      </c>
      <c r="H3002" t="s">
        <v>5615</v>
      </c>
      <c r="I3002">
        <v>0</v>
      </c>
      <c r="J3002" t="s">
        <v>87</v>
      </c>
      <c r="K3002">
        <v>0</v>
      </c>
      <c r="L3002">
        <v>0</v>
      </c>
    </row>
    <row r="3003" spans="1:12">
      <c r="A3003" s="93">
        <v>221096</v>
      </c>
      <c r="B3003" t="s">
        <v>3508</v>
      </c>
      <c r="C3003" t="s">
        <v>5606</v>
      </c>
      <c r="D3003" s="92">
        <v>0.3</v>
      </c>
      <c r="E3003" s="92">
        <v>0.2</v>
      </c>
      <c r="F3003" t="s">
        <v>428</v>
      </c>
      <c r="G3003" t="s">
        <v>428</v>
      </c>
      <c r="H3003" t="s">
        <v>5615</v>
      </c>
      <c r="I3003">
        <v>0</v>
      </c>
      <c r="J3003" t="s">
        <v>87</v>
      </c>
      <c r="K3003">
        <v>0</v>
      </c>
      <c r="L3003">
        <v>0</v>
      </c>
    </row>
    <row r="3004" spans="1:12">
      <c r="A3004" s="93">
        <v>221102</v>
      </c>
      <c r="B3004" t="s">
        <v>3509</v>
      </c>
      <c r="C3004" t="s">
        <v>5606</v>
      </c>
      <c r="D3004" s="92" t="s">
        <v>428</v>
      </c>
      <c r="E3004" s="92" t="s">
        <v>428</v>
      </c>
      <c r="F3004" t="s">
        <v>428</v>
      </c>
      <c r="G3004" t="s">
        <v>428</v>
      </c>
      <c r="H3004" t="s">
        <v>5615</v>
      </c>
      <c r="I3004">
        <v>0</v>
      </c>
      <c r="J3004" t="s">
        <v>87</v>
      </c>
      <c r="K3004">
        <v>0</v>
      </c>
      <c r="L3004">
        <v>0</v>
      </c>
    </row>
    <row r="3005" spans="1:12">
      <c r="A3005" s="93">
        <v>221148</v>
      </c>
      <c r="B3005" t="s">
        <v>3510</v>
      </c>
      <c r="C3005" t="s">
        <v>5606</v>
      </c>
      <c r="D3005" s="92" t="s">
        <v>428</v>
      </c>
      <c r="E3005" s="92" t="s">
        <v>428</v>
      </c>
      <c r="F3005" t="s">
        <v>428</v>
      </c>
      <c r="G3005" t="s">
        <v>428</v>
      </c>
      <c r="H3005" t="s">
        <v>5617</v>
      </c>
      <c r="I3005">
        <v>0</v>
      </c>
      <c r="J3005" t="s">
        <v>87</v>
      </c>
      <c r="K3005">
        <v>0</v>
      </c>
      <c r="L3005">
        <v>0</v>
      </c>
    </row>
    <row r="3006" spans="1:12">
      <c r="A3006" s="93">
        <v>221184</v>
      </c>
      <c r="B3006" t="s">
        <v>3511</v>
      </c>
      <c r="C3006" t="s">
        <v>5606</v>
      </c>
      <c r="D3006" s="92">
        <v>0.22</v>
      </c>
      <c r="E3006" s="92">
        <v>0.13</v>
      </c>
      <c r="F3006" t="s">
        <v>428</v>
      </c>
      <c r="G3006" t="s">
        <v>428</v>
      </c>
      <c r="H3006" t="s">
        <v>5615</v>
      </c>
      <c r="I3006">
        <v>0</v>
      </c>
      <c r="J3006" t="s">
        <v>87</v>
      </c>
      <c r="K3006">
        <v>0</v>
      </c>
      <c r="L3006">
        <v>0</v>
      </c>
    </row>
    <row r="3007" spans="1:12">
      <c r="A3007" s="93">
        <v>221236</v>
      </c>
      <c r="B3007" t="s">
        <v>3512</v>
      </c>
      <c r="C3007" t="s">
        <v>5606</v>
      </c>
      <c r="D3007" s="92">
        <v>0.86</v>
      </c>
      <c r="E3007" s="92">
        <v>0.78</v>
      </c>
      <c r="F3007" t="s">
        <v>428</v>
      </c>
      <c r="G3007" t="s">
        <v>428</v>
      </c>
      <c r="H3007" t="s">
        <v>5615</v>
      </c>
      <c r="I3007">
        <v>0</v>
      </c>
      <c r="J3007" t="s">
        <v>87</v>
      </c>
      <c r="K3007">
        <v>0</v>
      </c>
      <c r="L3007">
        <v>0</v>
      </c>
    </row>
    <row r="3008" spans="1:12">
      <c r="A3008" s="93">
        <v>221254</v>
      </c>
      <c r="B3008" t="s">
        <v>3513</v>
      </c>
      <c r="C3008" t="s">
        <v>5608</v>
      </c>
      <c r="D3008" s="92">
        <v>0.61</v>
      </c>
      <c r="E3008" s="92">
        <v>0.38</v>
      </c>
      <c r="F3008">
        <v>18</v>
      </c>
      <c r="G3008">
        <v>20</v>
      </c>
      <c r="H3008" t="s">
        <v>5617</v>
      </c>
      <c r="I3008">
        <v>0</v>
      </c>
      <c r="J3008" t="s">
        <v>87</v>
      </c>
      <c r="K3008">
        <v>0</v>
      </c>
      <c r="L3008">
        <v>0</v>
      </c>
    </row>
    <row r="3009" spans="1:12">
      <c r="A3009" s="93">
        <v>221281</v>
      </c>
      <c r="B3009" t="s">
        <v>3514</v>
      </c>
      <c r="C3009" t="s">
        <v>5606</v>
      </c>
      <c r="D3009" s="92" t="s">
        <v>428</v>
      </c>
      <c r="E3009" s="92" t="s">
        <v>428</v>
      </c>
      <c r="F3009" t="s">
        <v>428</v>
      </c>
      <c r="G3009" t="s">
        <v>428</v>
      </c>
      <c r="H3009" t="s">
        <v>5615</v>
      </c>
      <c r="I3009">
        <v>0</v>
      </c>
      <c r="J3009" t="s">
        <v>87</v>
      </c>
      <c r="K3009">
        <v>0</v>
      </c>
      <c r="L3009">
        <v>0</v>
      </c>
    </row>
    <row r="3010" spans="1:12">
      <c r="A3010" s="93">
        <v>221333</v>
      </c>
      <c r="B3010" t="s">
        <v>3515</v>
      </c>
      <c r="C3010" t="s">
        <v>5606</v>
      </c>
      <c r="D3010" s="92" t="s">
        <v>428</v>
      </c>
      <c r="E3010" s="92" t="s">
        <v>428</v>
      </c>
      <c r="F3010" t="s">
        <v>428</v>
      </c>
      <c r="G3010" t="s">
        <v>428</v>
      </c>
      <c r="H3010" t="s">
        <v>5615</v>
      </c>
      <c r="I3010">
        <v>0</v>
      </c>
      <c r="J3010" t="s">
        <v>87</v>
      </c>
      <c r="K3010">
        <v>0</v>
      </c>
      <c r="L3010">
        <v>0</v>
      </c>
    </row>
    <row r="3011" spans="1:12">
      <c r="A3011" s="93">
        <v>221351</v>
      </c>
      <c r="B3011" t="s">
        <v>590</v>
      </c>
      <c r="C3011" t="s">
        <v>5605</v>
      </c>
      <c r="D3011" s="92">
        <v>0.8100000000000001</v>
      </c>
      <c r="E3011" s="92">
        <v>0.73</v>
      </c>
      <c r="F3011">
        <v>27</v>
      </c>
      <c r="G3011">
        <v>29</v>
      </c>
      <c r="H3011" t="s">
        <v>5623</v>
      </c>
      <c r="I3011">
        <v>1</v>
      </c>
      <c r="J3011" t="s">
        <v>87</v>
      </c>
      <c r="K3011">
        <v>0</v>
      </c>
      <c r="L3011">
        <v>0</v>
      </c>
    </row>
    <row r="3012" spans="1:12">
      <c r="A3012" s="93">
        <v>221388</v>
      </c>
      <c r="B3012" t="s">
        <v>3516</v>
      </c>
      <c r="C3012" t="s">
        <v>5606</v>
      </c>
      <c r="D3012" s="92" t="s">
        <v>428</v>
      </c>
      <c r="E3012" s="92" t="s">
        <v>428</v>
      </c>
      <c r="F3012" t="s">
        <v>428</v>
      </c>
      <c r="G3012" t="s">
        <v>428</v>
      </c>
      <c r="H3012" t="s">
        <v>5615</v>
      </c>
      <c r="I3012">
        <v>0</v>
      </c>
      <c r="J3012" t="s">
        <v>87</v>
      </c>
      <c r="K3012">
        <v>0</v>
      </c>
      <c r="L3012">
        <v>0</v>
      </c>
    </row>
    <row r="3013" spans="1:12">
      <c r="A3013" s="93">
        <v>221397</v>
      </c>
      <c r="B3013" t="s">
        <v>3517</v>
      </c>
      <c r="C3013" t="s">
        <v>5606</v>
      </c>
      <c r="D3013" s="92">
        <v>0.33</v>
      </c>
      <c r="E3013" s="92">
        <v>0.29</v>
      </c>
      <c r="F3013">
        <v>17</v>
      </c>
      <c r="G3013">
        <v>19.5</v>
      </c>
      <c r="H3013" t="s">
        <v>5615</v>
      </c>
      <c r="I3013">
        <v>0</v>
      </c>
      <c r="J3013" t="s">
        <v>87</v>
      </c>
      <c r="K3013">
        <v>0</v>
      </c>
      <c r="L3013">
        <v>0</v>
      </c>
    </row>
    <row r="3014" spans="1:12">
      <c r="A3014" s="93">
        <v>221430</v>
      </c>
      <c r="B3014" t="s">
        <v>3518</v>
      </c>
      <c r="C3014" t="s">
        <v>5606</v>
      </c>
      <c r="D3014" s="92">
        <v>0.76</v>
      </c>
      <c r="E3014" s="92">
        <v>0.67</v>
      </c>
      <c r="F3014" t="s">
        <v>428</v>
      </c>
      <c r="G3014" t="s">
        <v>428</v>
      </c>
      <c r="H3014" t="s">
        <v>5615</v>
      </c>
      <c r="I3014">
        <v>0</v>
      </c>
      <c r="J3014" t="s">
        <v>87</v>
      </c>
      <c r="K3014">
        <v>0</v>
      </c>
      <c r="L3014">
        <v>0</v>
      </c>
    </row>
    <row r="3015" spans="1:12">
      <c r="A3015" s="93">
        <v>221485</v>
      </c>
      <c r="B3015" t="s">
        <v>3519</v>
      </c>
      <c r="C3015" t="s">
        <v>5606</v>
      </c>
      <c r="D3015" s="92">
        <v>0.15</v>
      </c>
      <c r="E3015" s="92">
        <v>0.11</v>
      </c>
      <c r="F3015" t="s">
        <v>428</v>
      </c>
      <c r="G3015" t="s">
        <v>428</v>
      </c>
      <c r="H3015" t="s">
        <v>5615</v>
      </c>
      <c r="I3015">
        <v>0</v>
      </c>
      <c r="J3015" t="s">
        <v>87</v>
      </c>
      <c r="K3015">
        <v>0</v>
      </c>
      <c r="L3015">
        <v>0</v>
      </c>
    </row>
    <row r="3016" spans="1:12">
      <c r="A3016" s="93">
        <v>221494</v>
      </c>
      <c r="B3016" t="s">
        <v>3520</v>
      </c>
      <c r="C3016" t="s">
        <v>5606</v>
      </c>
      <c r="D3016" s="92" t="s">
        <v>428</v>
      </c>
      <c r="E3016" s="92" t="s">
        <v>428</v>
      </c>
      <c r="F3016" t="s">
        <v>428</v>
      </c>
      <c r="G3016" t="s">
        <v>428</v>
      </c>
      <c r="H3016" t="s">
        <v>5615</v>
      </c>
      <c r="I3016">
        <v>0</v>
      </c>
      <c r="J3016" t="s">
        <v>87</v>
      </c>
      <c r="K3016">
        <v>0</v>
      </c>
      <c r="L3016">
        <v>0</v>
      </c>
    </row>
    <row r="3017" spans="1:12">
      <c r="A3017" s="93">
        <v>221519</v>
      </c>
      <c r="B3017" t="s">
        <v>3521</v>
      </c>
      <c r="C3017" t="s">
        <v>5612</v>
      </c>
      <c r="D3017" s="92">
        <v>0.8</v>
      </c>
      <c r="E3017" s="92">
        <v>0.65</v>
      </c>
      <c r="F3017" t="s">
        <v>428</v>
      </c>
      <c r="G3017" t="s">
        <v>428</v>
      </c>
      <c r="H3017" t="s">
        <v>5623</v>
      </c>
      <c r="I3017">
        <v>1</v>
      </c>
      <c r="J3017" t="s">
        <v>87</v>
      </c>
      <c r="K3017">
        <v>0</v>
      </c>
      <c r="L3017">
        <v>0</v>
      </c>
    </row>
    <row r="3018" spans="1:12">
      <c r="A3018" s="93">
        <v>221582</v>
      </c>
      <c r="B3018" t="s">
        <v>3522</v>
      </c>
      <c r="C3018" t="s">
        <v>5606</v>
      </c>
      <c r="D3018" s="92" t="s">
        <v>428</v>
      </c>
      <c r="E3018" s="92" t="s">
        <v>428</v>
      </c>
      <c r="F3018" t="s">
        <v>428</v>
      </c>
      <c r="G3018" t="s">
        <v>428</v>
      </c>
      <c r="H3018" t="s">
        <v>5615</v>
      </c>
      <c r="I3018">
        <v>0</v>
      </c>
      <c r="J3018" t="s">
        <v>87</v>
      </c>
      <c r="K3018">
        <v>0</v>
      </c>
      <c r="L3018">
        <v>0</v>
      </c>
    </row>
    <row r="3019" spans="1:12">
      <c r="A3019" s="93">
        <v>221591</v>
      </c>
      <c r="B3019" t="s">
        <v>3523</v>
      </c>
      <c r="C3019" t="s">
        <v>5606</v>
      </c>
      <c r="D3019" s="92" t="s">
        <v>428</v>
      </c>
      <c r="E3019" s="92" t="s">
        <v>428</v>
      </c>
      <c r="F3019" t="s">
        <v>428</v>
      </c>
      <c r="G3019" t="s">
        <v>428</v>
      </c>
      <c r="H3019" t="s">
        <v>5615</v>
      </c>
      <c r="I3019">
        <v>0</v>
      </c>
      <c r="J3019" t="s">
        <v>87</v>
      </c>
      <c r="K3019">
        <v>0</v>
      </c>
      <c r="L3019">
        <v>0</v>
      </c>
    </row>
    <row r="3020" spans="1:12">
      <c r="A3020" s="93">
        <v>221607</v>
      </c>
      <c r="B3020" t="s">
        <v>3524</v>
      </c>
      <c r="C3020" t="s">
        <v>5606</v>
      </c>
      <c r="D3020" s="92" t="s">
        <v>428</v>
      </c>
      <c r="E3020" s="92" t="s">
        <v>428</v>
      </c>
      <c r="F3020" t="s">
        <v>428</v>
      </c>
      <c r="G3020" t="s">
        <v>428</v>
      </c>
      <c r="H3020" t="s">
        <v>5615</v>
      </c>
      <c r="I3020">
        <v>0</v>
      </c>
      <c r="J3020" t="s">
        <v>87</v>
      </c>
      <c r="K3020">
        <v>0</v>
      </c>
      <c r="L3020">
        <v>0</v>
      </c>
    </row>
    <row r="3021" spans="1:12">
      <c r="A3021" s="93">
        <v>221616</v>
      </c>
      <c r="B3021" t="s">
        <v>3525</v>
      </c>
      <c r="C3021" t="s">
        <v>5606</v>
      </c>
      <c r="D3021" s="92" t="s">
        <v>428</v>
      </c>
      <c r="E3021" s="92" t="s">
        <v>428</v>
      </c>
      <c r="F3021" t="s">
        <v>428</v>
      </c>
      <c r="G3021" t="s">
        <v>428</v>
      </c>
      <c r="H3021" t="s">
        <v>5615</v>
      </c>
      <c r="I3021">
        <v>0</v>
      </c>
      <c r="J3021" t="s">
        <v>87</v>
      </c>
      <c r="K3021">
        <v>0</v>
      </c>
      <c r="L3021">
        <v>0</v>
      </c>
    </row>
    <row r="3022" spans="1:12">
      <c r="A3022" s="93">
        <v>221625</v>
      </c>
      <c r="B3022" t="s">
        <v>3526</v>
      </c>
      <c r="C3022" t="s">
        <v>5606</v>
      </c>
      <c r="D3022" s="92" t="s">
        <v>428</v>
      </c>
      <c r="E3022" s="92" t="s">
        <v>428</v>
      </c>
      <c r="F3022" t="s">
        <v>428</v>
      </c>
      <c r="G3022" t="s">
        <v>428</v>
      </c>
      <c r="H3022" t="s">
        <v>5615</v>
      </c>
      <c r="I3022">
        <v>0</v>
      </c>
      <c r="J3022" t="s">
        <v>87</v>
      </c>
      <c r="K3022">
        <v>0</v>
      </c>
      <c r="L3022">
        <v>0</v>
      </c>
    </row>
    <row r="3023" spans="1:12">
      <c r="A3023" s="93">
        <v>221634</v>
      </c>
      <c r="B3023" t="s">
        <v>3527</v>
      </c>
      <c r="C3023" t="s">
        <v>5606</v>
      </c>
      <c r="D3023" s="92" t="s">
        <v>428</v>
      </c>
      <c r="E3023" s="92" t="s">
        <v>428</v>
      </c>
      <c r="F3023" t="s">
        <v>428</v>
      </c>
      <c r="G3023" t="s">
        <v>428</v>
      </c>
      <c r="H3023" t="s">
        <v>5615</v>
      </c>
      <c r="I3023">
        <v>0</v>
      </c>
      <c r="J3023" t="s">
        <v>87</v>
      </c>
      <c r="K3023">
        <v>0</v>
      </c>
      <c r="L3023">
        <v>0</v>
      </c>
    </row>
    <row r="3024" spans="1:12">
      <c r="A3024" s="93">
        <v>221643</v>
      </c>
      <c r="B3024" t="s">
        <v>3528</v>
      </c>
      <c r="C3024" t="s">
        <v>5606</v>
      </c>
      <c r="D3024" s="92">
        <v>0.22</v>
      </c>
      <c r="E3024" s="92">
        <v>0.14</v>
      </c>
      <c r="F3024" t="s">
        <v>428</v>
      </c>
      <c r="G3024" t="s">
        <v>428</v>
      </c>
      <c r="H3024" t="s">
        <v>5615</v>
      </c>
      <c r="I3024">
        <v>0</v>
      </c>
      <c r="J3024" t="s">
        <v>87</v>
      </c>
      <c r="K3024">
        <v>0</v>
      </c>
      <c r="L3024">
        <v>0</v>
      </c>
    </row>
    <row r="3025" spans="1:12">
      <c r="A3025" s="93">
        <v>221661</v>
      </c>
      <c r="B3025" t="s">
        <v>3529</v>
      </c>
      <c r="C3025" t="s">
        <v>5602</v>
      </c>
      <c r="D3025" s="92">
        <v>0.46</v>
      </c>
      <c r="E3025" s="92">
        <v>0.43</v>
      </c>
      <c r="F3025" t="s">
        <v>428</v>
      </c>
      <c r="G3025" t="s">
        <v>428</v>
      </c>
      <c r="H3025" t="s">
        <v>5617</v>
      </c>
      <c r="I3025">
        <v>0</v>
      </c>
      <c r="J3025" t="s">
        <v>87</v>
      </c>
      <c r="K3025">
        <v>0</v>
      </c>
      <c r="L3025">
        <v>0</v>
      </c>
    </row>
    <row r="3026" spans="1:12">
      <c r="A3026" s="93">
        <v>221670</v>
      </c>
      <c r="B3026" t="s">
        <v>3530</v>
      </c>
      <c r="C3026" t="s">
        <v>5607</v>
      </c>
      <c r="D3026" s="92" t="s">
        <v>428</v>
      </c>
      <c r="E3026" s="92" t="s">
        <v>428</v>
      </c>
      <c r="F3026" t="s">
        <v>428</v>
      </c>
      <c r="G3026" t="s">
        <v>428</v>
      </c>
      <c r="H3026" t="s">
        <v>5615</v>
      </c>
      <c r="I3026">
        <v>0</v>
      </c>
      <c r="J3026" t="s">
        <v>87</v>
      </c>
      <c r="K3026">
        <v>0</v>
      </c>
      <c r="L3026">
        <v>0</v>
      </c>
    </row>
    <row r="3027" spans="1:12">
      <c r="A3027" s="93">
        <v>221731</v>
      </c>
      <c r="B3027" t="s">
        <v>3531</v>
      </c>
      <c r="C3027" t="s">
        <v>5602</v>
      </c>
      <c r="D3027" s="92">
        <v>0.45</v>
      </c>
      <c r="E3027" s="92">
        <v>0.33</v>
      </c>
      <c r="F3027">
        <v>19</v>
      </c>
      <c r="G3027">
        <v>22</v>
      </c>
      <c r="H3027" t="s">
        <v>5624</v>
      </c>
      <c r="I3027">
        <v>1</v>
      </c>
      <c r="J3027" t="s">
        <v>87</v>
      </c>
      <c r="K3027">
        <v>0</v>
      </c>
      <c r="L3027">
        <v>0</v>
      </c>
    </row>
    <row r="3028" spans="1:12">
      <c r="A3028" s="93">
        <v>221740</v>
      </c>
      <c r="B3028" t="s">
        <v>3532</v>
      </c>
      <c r="C3028" t="s">
        <v>5602</v>
      </c>
      <c r="D3028" s="92">
        <v>0.44</v>
      </c>
      <c r="E3028" s="92">
        <v>0.37</v>
      </c>
      <c r="F3028">
        <v>21</v>
      </c>
      <c r="G3028">
        <v>23.5</v>
      </c>
      <c r="H3028" t="s">
        <v>5615</v>
      </c>
      <c r="I3028">
        <v>0</v>
      </c>
      <c r="J3028" t="s">
        <v>87</v>
      </c>
      <c r="K3028">
        <v>0</v>
      </c>
      <c r="L3028">
        <v>0</v>
      </c>
    </row>
    <row r="3029" spans="1:12">
      <c r="A3029" s="93">
        <v>221759</v>
      </c>
      <c r="B3029" t="s">
        <v>3533</v>
      </c>
      <c r="C3029" t="s">
        <v>5603</v>
      </c>
      <c r="D3029" s="92">
        <v>0.6899999999999999</v>
      </c>
      <c r="E3029" s="92">
        <v>0.61</v>
      </c>
      <c r="F3029">
        <v>24</v>
      </c>
      <c r="G3029">
        <v>27</v>
      </c>
      <c r="H3029" t="s">
        <v>5615</v>
      </c>
      <c r="I3029">
        <v>0</v>
      </c>
      <c r="J3029" t="s">
        <v>87</v>
      </c>
      <c r="K3029">
        <v>0</v>
      </c>
      <c r="L3029">
        <v>0</v>
      </c>
    </row>
    <row r="3030" spans="1:12">
      <c r="A3030" s="93">
        <v>221768</v>
      </c>
      <c r="B3030" t="s">
        <v>3534</v>
      </c>
      <c r="C3030" t="s">
        <v>5602</v>
      </c>
      <c r="D3030" s="92">
        <v>0.5</v>
      </c>
      <c r="E3030" s="92">
        <v>0.43</v>
      </c>
      <c r="F3030">
        <v>20</v>
      </c>
      <c r="G3030">
        <v>22.5</v>
      </c>
      <c r="H3030" t="s">
        <v>5615</v>
      </c>
      <c r="I3030">
        <v>0</v>
      </c>
      <c r="J3030" t="s">
        <v>87</v>
      </c>
      <c r="K3030">
        <v>0</v>
      </c>
      <c r="L3030">
        <v>0</v>
      </c>
    </row>
    <row r="3031" spans="1:12">
      <c r="A3031" s="93">
        <v>221795</v>
      </c>
      <c r="B3031" t="s">
        <v>3535</v>
      </c>
      <c r="C3031" t="s">
        <v>5604</v>
      </c>
      <c r="D3031" s="92">
        <v>0.58</v>
      </c>
      <c r="E3031" s="92">
        <v>0.43</v>
      </c>
      <c r="F3031" t="s">
        <v>428</v>
      </c>
      <c r="G3031" t="s">
        <v>428</v>
      </c>
      <c r="H3031" t="s">
        <v>5617</v>
      </c>
      <c r="I3031">
        <v>0</v>
      </c>
      <c r="J3031" t="s">
        <v>87</v>
      </c>
      <c r="K3031">
        <v>0</v>
      </c>
      <c r="L3031">
        <v>0</v>
      </c>
    </row>
    <row r="3032" spans="1:12">
      <c r="A3032" s="93">
        <v>221838</v>
      </c>
      <c r="B3032" t="s">
        <v>3536</v>
      </c>
      <c r="C3032" t="s">
        <v>5602</v>
      </c>
      <c r="D3032" s="92">
        <v>0.41</v>
      </c>
      <c r="E3032" s="92">
        <v>0.5600000000000001</v>
      </c>
      <c r="F3032" t="s">
        <v>428</v>
      </c>
      <c r="G3032" t="s">
        <v>428</v>
      </c>
      <c r="H3032" t="s">
        <v>5617</v>
      </c>
      <c r="I3032">
        <v>0</v>
      </c>
      <c r="J3032" t="s">
        <v>138</v>
      </c>
      <c r="K3032">
        <v>0</v>
      </c>
      <c r="L3032">
        <v>0</v>
      </c>
    </row>
    <row r="3033" spans="1:12">
      <c r="A3033" s="93">
        <v>221847</v>
      </c>
      <c r="B3033" t="s">
        <v>3537</v>
      </c>
      <c r="C3033" t="s">
        <v>5602</v>
      </c>
      <c r="D3033" s="92">
        <v>0.51</v>
      </c>
      <c r="E3033" s="92">
        <v>0.45</v>
      </c>
      <c r="F3033">
        <v>21</v>
      </c>
      <c r="G3033">
        <v>24</v>
      </c>
      <c r="H3033" t="s">
        <v>5615</v>
      </c>
      <c r="I3033">
        <v>0</v>
      </c>
      <c r="J3033" t="s">
        <v>87</v>
      </c>
      <c r="K3033">
        <v>0</v>
      </c>
      <c r="L3033">
        <v>0</v>
      </c>
    </row>
    <row r="3034" spans="1:12">
      <c r="A3034" s="93">
        <v>221892</v>
      </c>
      <c r="B3034" t="s">
        <v>3538</v>
      </c>
      <c r="C3034" t="s">
        <v>5602</v>
      </c>
      <c r="D3034" s="92">
        <v>0.5</v>
      </c>
      <c r="E3034" s="92">
        <v>0.21</v>
      </c>
      <c r="F3034">
        <v>19</v>
      </c>
      <c r="G3034">
        <v>22</v>
      </c>
      <c r="H3034" t="s">
        <v>5616</v>
      </c>
      <c r="I3034">
        <v>0</v>
      </c>
      <c r="J3034" t="s">
        <v>87</v>
      </c>
      <c r="K3034">
        <v>0</v>
      </c>
      <c r="L3034">
        <v>0</v>
      </c>
    </row>
    <row r="3035" spans="1:12">
      <c r="A3035" s="93">
        <v>221908</v>
      </c>
      <c r="B3035" t="s">
        <v>3539</v>
      </c>
      <c r="C3035" t="s">
        <v>5606</v>
      </c>
      <c r="D3035" s="92">
        <v>0.23</v>
      </c>
      <c r="E3035" s="92">
        <v>0.16</v>
      </c>
      <c r="F3035" t="s">
        <v>428</v>
      </c>
      <c r="G3035" t="s">
        <v>428</v>
      </c>
      <c r="H3035" t="s">
        <v>5615</v>
      </c>
      <c r="I3035">
        <v>0</v>
      </c>
      <c r="J3035" t="s">
        <v>87</v>
      </c>
      <c r="K3035">
        <v>0</v>
      </c>
      <c r="L3035">
        <v>0</v>
      </c>
    </row>
    <row r="3036" spans="1:12">
      <c r="A3036" s="93">
        <v>221953</v>
      </c>
      <c r="B3036" t="s">
        <v>3540</v>
      </c>
      <c r="C3036" t="s">
        <v>5602</v>
      </c>
      <c r="D3036" s="92">
        <v>0.38</v>
      </c>
      <c r="E3036" s="92">
        <v>0.26</v>
      </c>
      <c r="F3036">
        <v>18</v>
      </c>
      <c r="G3036">
        <v>20.5</v>
      </c>
      <c r="H3036" t="s">
        <v>5616</v>
      </c>
      <c r="I3036">
        <v>0</v>
      </c>
      <c r="J3036" t="s">
        <v>87</v>
      </c>
      <c r="K3036">
        <v>0</v>
      </c>
      <c r="L3036">
        <v>0</v>
      </c>
    </row>
    <row r="3037" spans="1:12">
      <c r="A3037" s="93">
        <v>221971</v>
      </c>
      <c r="B3037" t="s">
        <v>3541</v>
      </c>
      <c r="C3037" t="s">
        <v>5603</v>
      </c>
      <c r="D3037" s="92">
        <v>0.66</v>
      </c>
      <c r="E3037" s="92">
        <v>0.37</v>
      </c>
      <c r="F3037">
        <v>23</v>
      </c>
      <c r="G3037">
        <v>26.5</v>
      </c>
      <c r="H3037" t="s">
        <v>5617</v>
      </c>
      <c r="I3037">
        <v>0</v>
      </c>
      <c r="J3037" t="s">
        <v>87</v>
      </c>
      <c r="K3037">
        <v>0</v>
      </c>
      <c r="L3037">
        <v>0</v>
      </c>
    </row>
    <row r="3038" spans="1:12">
      <c r="A3038" s="93">
        <v>221999</v>
      </c>
      <c r="B3038" t="s">
        <v>478</v>
      </c>
      <c r="C3038" t="s">
        <v>5611</v>
      </c>
      <c r="D3038" s="92">
        <v>0.92</v>
      </c>
      <c r="E3038" s="92">
        <v>0.9</v>
      </c>
      <c r="F3038">
        <v>32</v>
      </c>
      <c r="G3038">
        <v>33.5</v>
      </c>
      <c r="H3038" t="s">
        <v>5619</v>
      </c>
      <c r="I3038">
        <v>1</v>
      </c>
      <c r="J3038" t="s">
        <v>87</v>
      </c>
      <c r="K3038">
        <v>0</v>
      </c>
      <c r="L3038">
        <v>0</v>
      </c>
    </row>
    <row r="3039" spans="1:12">
      <c r="A3039" s="93">
        <v>222053</v>
      </c>
      <c r="B3039" t="s">
        <v>3542</v>
      </c>
      <c r="C3039" t="s">
        <v>5606</v>
      </c>
      <c r="D3039" s="92">
        <v>0.28</v>
      </c>
      <c r="E3039" s="92">
        <v>0.21</v>
      </c>
      <c r="F3039" t="s">
        <v>428</v>
      </c>
      <c r="G3039" t="s">
        <v>428</v>
      </c>
      <c r="H3039" t="s">
        <v>5615</v>
      </c>
      <c r="I3039">
        <v>0</v>
      </c>
      <c r="J3039" t="s">
        <v>87</v>
      </c>
      <c r="K3039">
        <v>0</v>
      </c>
      <c r="L3039">
        <v>0</v>
      </c>
    </row>
    <row r="3040" spans="1:12">
      <c r="A3040" s="93">
        <v>222062</v>
      </c>
      <c r="B3040" t="s">
        <v>3543</v>
      </c>
      <c r="C3040" t="s">
        <v>5606</v>
      </c>
      <c r="D3040" s="92">
        <v>0.3</v>
      </c>
      <c r="E3040" s="92">
        <v>0.17</v>
      </c>
      <c r="F3040" t="s">
        <v>428</v>
      </c>
      <c r="G3040" t="s">
        <v>428</v>
      </c>
      <c r="H3040" t="s">
        <v>5615</v>
      </c>
      <c r="I3040">
        <v>0</v>
      </c>
      <c r="J3040" t="s">
        <v>87</v>
      </c>
      <c r="K3040">
        <v>0</v>
      </c>
      <c r="L3040">
        <v>0</v>
      </c>
    </row>
    <row r="3041" spans="1:12">
      <c r="A3041" s="93">
        <v>222105</v>
      </c>
      <c r="B3041" t="s">
        <v>3544</v>
      </c>
      <c r="C3041" t="s">
        <v>5606</v>
      </c>
      <c r="D3041" s="92" t="s">
        <v>428</v>
      </c>
      <c r="E3041" s="92" t="s">
        <v>428</v>
      </c>
      <c r="F3041" t="s">
        <v>428</v>
      </c>
      <c r="G3041" t="s">
        <v>428</v>
      </c>
      <c r="H3041" t="s">
        <v>5613</v>
      </c>
      <c r="I3041">
        <v>1</v>
      </c>
      <c r="J3041" t="s">
        <v>87</v>
      </c>
      <c r="K3041">
        <v>0</v>
      </c>
      <c r="L3041">
        <v>0</v>
      </c>
    </row>
    <row r="3042" spans="1:12">
      <c r="A3042" s="93">
        <v>222178</v>
      </c>
      <c r="B3042" t="s">
        <v>3545</v>
      </c>
      <c r="C3042" t="s">
        <v>5602</v>
      </c>
      <c r="D3042" s="92">
        <v>0.62</v>
      </c>
      <c r="E3042" s="92">
        <v>0.43</v>
      </c>
      <c r="F3042">
        <v>21</v>
      </c>
      <c r="G3042">
        <v>24</v>
      </c>
      <c r="H3042" t="s">
        <v>5617</v>
      </c>
      <c r="I3042">
        <v>0</v>
      </c>
      <c r="J3042" t="s">
        <v>87</v>
      </c>
      <c r="K3042">
        <v>0</v>
      </c>
      <c r="L3042">
        <v>0</v>
      </c>
    </row>
    <row r="3043" spans="1:12">
      <c r="A3043" s="93">
        <v>222567</v>
      </c>
      <c r="B3043" t="s">
        <v>3546</v>
      </c>
      <c r="C3043" t="s">
        <v>5606</v>
      </c>
      <c r="D3043" s="92">
        <v>0.33</v>
      </c>
      <c r="E3043" s="92">
        <v>0.33</v>
      </c>
      <c r="F3043" t="s">
        <v>428</v>
      </c>
      <c r="G3043" t="s">
        <v>428</v>
      </c>
      <c r="H3043" t="s">
        <v>5615</v>
      </c>
      <c r="I3043">
        <v>0</v>
      </c>
      <c r="J3043" t="s">
        <v>87</v>
      </c>
      <c r="K3043">
        <v>0</v>
      </c>
      <c r="L3043">
        <v>0</v>
      </c>
    </row>
    <row r="3044" spans="1:12">
      <c r="A3044" s="93">
        <v>222576</v>
      </c>
      <c r="B3044" t="s">
        <v>3547</v>
      </c>
      <c r="C3044" t="s">
        <v>5606</v>
      </c>
      <c r="D3044" s="92">
        <v>0.25</v>
      </c>
      <c r="E3044" s="92">
        <v>0.23</v>
      </c>
      <c r="F3044" t="s">
        <v>428</v>
      </c>
      <c r="G3044" t="s">
        <v>428</v>
      </c>
      <c r="H3044" t="s">
        <v>5615</v>
      </c>
      <c r="I3044">
        <v>0</v>
      </c>
      <c r="J3044" t="s">
        <v>87</v>
      </c>
      <c r="K3044">
        <v>0</v>
      </c>
      <c r="L3044">
        <v>0</v>
      </c>
    </row>
    <row r="3045" spans="1:12">
      <c r="A3045" s="93">
        <v>222628</v>
      </c>
      <c r="B3045" t="s">
        <v>3548</v>
      </c>
      <c r="C3045" t="s">
        <v>5607</v>
      </c>
      <c r="D3045" s="92" t="s">
        <v>428</v>
      </c>
      <c r="E3045" s="92" t="s">
        <v>428</v>
      </c>
      <c r="F3045" t="s">
        <v>428</v>
      </c>
      <c r="G3045" t="s">
        <v>428</v>
      </c>
      <c r="H3045" t="s">
        <v>5615</v>
      </c>
      <c r="I3045">
        <v>0</v>
      </c>
      <c r="J3045" t="s">
        <v>87</v>
      </c>
      <c r="K3045">
        <v>0</v>
      </c>
      <c r="L3045">
        <v>0</v>
      </c>
    </row>
    <row r="3046" spans="1:12">
      <c r="A3046" s="93">
        <v>222822</v>
      </c>
      <c r="B3046" t="s">
        <v>3549</v>
      </c>
      <c r="C3046" t="s">
        <v>5606</v>
      </c>
      <c r="D3046" s="92">
        <v>0.21</v>
      </c>
      <c r="E3046" s="92">
        <v>0.19</v>
      </c>
      <c r="F3046" t="s">
        <v>428</v>
      </c>
      <c r="G3046" t="s">
        <v>428</v>
      </c>
      <c r="H3046" t="s">
        <v>5615</v>
      </c>
      <c r="I3046">
        <v>0</v>
      </c>
      <c r="J3046" t="s">
        <v>87</v>
      </c>
      <c r="K3046">
        <v>0</v>
      </c>
      <c r="L3046">
        <v>0</v>
      </c>
    </row>
    <row r="3047" spans="1:12">
      <c r="A3047" s="93">
        <v>222831</v>
      </c>
      <c r="B3047" t="s">
        <v>3550</v>
      </c>
      <c r="C3047" t="s">
        <v>5604</v>
      </c>
      <c r="D3047" s="92">
        <v>0.36</v>
      </c>
      <c r="E3047" s="92">
        <v>0.29</v>
      </c>
      <c r="F3047">
        <v>18</v>
      </c>
      <c r="G3047">
        <v>21</v>
      </c>
      <c r="H3047" t="s">
        <v>5617</v>
      </c>
      <c r="I3047">
        <v>0</v>
      </c>
      <c r="J3047" t="s">
        <v>87</v>
      </c>
      <c r="K3047">
        <v>0</v>
      </c>
      <c r="L3047">
        <v>0</v>
      </c>
    </row>
    <row r="3048" spans="1:12">
      <c r="A3048" s="93">
        <v>222877</v>
      </c>
      <c r="B3048" t="s">
        <v>3551</v>
      </c>
      <c r="C3048" t="s">
        <v>5604</v>
      </c>
      <c r="D3048" s="92">
        <v>0.29</v>
      </c>
      <c r="E3048" s="92">
        <v>0.23</v>
      </c>
      <c r="F3048" t="s">
        <v>428</v>
      </c>
      <c r="G3048" t="s">
        <v>428</v>
      </c>
      <c r="H3048" t="s">
        <v>5616</v>
      </c>
      <c r="I3048">
        <v>0</v>
      </c>
      <c r="J3048" t="s">
        <v>87</v>
      </c>
      <c r="K3048">
        <v>0</v>
      </c>
      <c r="L3048">
        <v>0</v>
      </c>
    </row>
    <row r="3049" spans="1:12">
      <c r="A3049" s="93">
        <v>222886</v>
      </c>
      <c r="B3049" t="s">
        <v>3552</v>
      </c>
      <c r="C3049" t="s">
        <v>5606</v>
      </c>
      <c r="D3049" s="92" t="s">
        <v>428</v>
      </c>
      <c r="E3049" s="92" t="s">
        <v>428</v>
      </c>
      <c r="F3049" t="s">
        <v>428</v>
      </c>
      <c r="G3049" t="s">
        <v>428</v>
      </c>
      <c r="H3049" t="s">
        <v>5617</v>
      </c>
      <c r="I3049">
        <v>0</v>
      </c>
      <c r="J3049" t="s">
        <v>87</v>
      </c>
      <c r="K3049">
        <v>0</v>
      </c>
      <c r="L3049">
        <v>0</v>
      </c>
    </row>
    <row r="3050" spans="1:12">
      <c r="A3050" s="93">
        <v>222938</v>
      </c>
      <c r="B3050" t="s">
        <v>3553</v>
      </c>
      <c r="C3050" t="s">
        <v>5604</v>
      </c>
      <c r="D3050" s="92">
        <v>0.3</v>
      </c>
      <c r="E3050" s="92">
        <v>0.39</v>
      </c>
      <c r="F3050" t="s">
        <v>428</v>
      </c>
      <c r="G3050" t="s">
        <v>428</v>
      </c>
      <c r="H3050" t="s">
        <v>5617</v>
      </c>
      <c r="I3050">
        <v>0</v>
      </c>
      <c r="J3050" t="s">
        <v>87</v>
      </c>
      <c r="K3050">
        <v>0</v>
      </c>
      <c r="L3050">
        <v>0</v>
      </c>
    </row>
    <row r="3051" spans="1:12">
      <c r="A3051" s="93">
        <v>222983</v>
      </c>
      <c r="B3051" t="s">
        <v>3554</v>
      </c>
      <c r="C3051" t="s">
        <v>5603</v>
      </c>
      <c r="D3051" s="92">
        <v>0.74</v>
      </c>
      <c r="E3051" s="92">
        <v>0.66</v>
      </c>
      <c r="F3051">
        <v>23</v>
      </c>
      <c r="G3051">
        <v>26</v>
      </c>
      <c r="H3051" t="s">
        <v>5617</v>
      </c>
      <c r="I3051">
        <v>0</v>
      </c>
      <c r="J3051" t="s">
        <v>87</v>
      </c>
      <c r="K3051">
        <v>0</v>
      </c>
      <c r="L3051">
        <v>0</v>
      </c>
    </row>
    <row r="3052" spans="1:12">
      <c r="A3052" s="93">
        <v>222992</v>
      </c>
      <c r="B3052" t="s">
        <v>3555</v>
      </c>
      <c r="C3052" t="s">
        <v>5606</v>
      </c>
      <c r="D3052" s="92">
        <v>0.29</v>
      </c>
      <c r="E3052" s="92">
        <v>0.26</v>
      </c>
      <c r="F3052" t="s">
        <v>428</v>
      </c>
      <c r="G3052" t="s">
        <v>428</v>
      </c>
      <c r="H3052" t="s">
        <v>5615</v>
      </c>
      <c r="I3052">
        <v>0</v>
      </c>
      <c r="J3052" t="s">
        <v>87</v>
      </c>
      <c r="K3052">
        <v>0</v>
      </c>
      <c r="L3052">
        <v>0</v>
      </c>
    </row>
    <row r="3053" spans="1:12">
      <c r="A3053" s="93">
        <v>223001</v>
      </c>
      <c r="B3053" t="s">
        <v>3556</v>
      </c>
      <c r="C3053" t="s">
        <v>5607</v>
      </c>
      <c r="D3053" s="92" t="s">
        <v>428</v>
      </c>
      <c r="E3053" s="92" t="s">
        <v>428</v>
      </c>
      <c r="F3053" t="s">
        <v>428</v>
      </c>
      <c r="G3053" t="s">
        <v>428</v>
      </c>
      <c r="H3053" t="s">
        <v>5615</v>
      </c>
      <c r="I3053">
        <v>0</v>
      </c>
      <c r="J3053" t="s">
        <v>87</v>
      </c>
      <c r="K3053">
        <v>0</v>
      </c>
      <c r="L3053">
        <v>0</v>
      </c>
    </row>
    <row r="3054" spans="1:12">
      <c r="A3054" s="93">
        <v>223083</v>
      </c>
      <c r="B3054" t="s">
        <v>3557</v>
      </c>
      <c r="C3054" t="s">
        <v>5607</v>
      </c>
      <c r="D3054" s="92" t="s">
        <v>428</v>
      </c>
      <c r="E3054" s="92" t="s">
        <v>428</v>
      </c>
      <c r="F3054" t="s">
        <v>428</v>
      </c>
      <c r="G3054" t="s">
        <v>428</v>
      </c>
      <c r="H3054" t="s">
        <v>5615</v>
      </c>
      <c r="I3054">
        <v>0</v>
      </c>
      <c r="J3054" t="s">
        <v>87</v>
      </c>
      <c r="K3054">
        <v>0</v>
      </c>
      <c r="L3054">
        <v>0</v>
      </c>
    </row>
    <row r="3055" spans="1:12">
      <c r="A3055" s="93">
        <v>223117</v>
      </c>
      <c r="B3055" t="s">
        <v>3558</v>
      </c>
      <c r="C3055" t="s">
        <v>5607</v>
      </c>
      <c r="D3055" s="92">
        <v>1</v>
      </c>
      <c r="E3055" s="92" t="s">
        <v>428</v>
      </c>
      <c r="F3055" t="s">
        <v>428</v>
      </c>
      <c r="G3055" t="s">
        <v>428</v>
      </c>
      <c r="H3055" t="s">
        <v>5615</v>
      </c>
      <c r="I3055">
        <v>0</v>
      </c>
      <c r="J3055" t="s">
        <v>87</v>
      </c>
      <c r="K3055">
        <v>0</v>
      </c>
      <c r="L3055">
        <v>0</v>
      </c>
    </row>
    <row r="3056" spans="1:12">
      <c r="A3056" s="93">
        <v>223223</v>
      </c>
      <c r="B3056" t="s">
        <v>3559</v>
      </c>
      <c r="C3056" t="s">
        <v>5607</v>
      </c>
      <c r="D3056" s="92" t="s">
        <v>428</v>
      </c>
      <c r="E3056" s="92" t="s">
        <v>428</v>
      </c>
      <c r="F3056" t="s">
        <v>428</v>
      </c>
      <c r="G3056" t="s">
        <v>428</v>
      </c>
      <c r="H3056" t="s">
        <v>5615</v>
      </c>
      <c r="I3056">
        <v>0</v>
      </c>
      <c r="J3056" t="s">
        <v>87</v>
      </c>
      <c r="K3056">
        <v>0</v>
      </c>
      <c r="L3056">
        <v>0</v>
      </c>
    </row>
    <row r="3057" spans="1:12">
      <c r="A3057" s="93">
        <v>223232</v>
      </c>
      <c r="B3057" t="s">
        <v>3560</v>
      </c>
      <c r="C3057" t="s">
        <v>5605</v>
      </c>
      <c r="D3057" s="92">
        <v>0.74</v>
      </c>
      <c r="E3057" s="92">
        <v>0.66</v>
      </c>
      <c r="F3057">
        <v>26</v>
      </c>
      <c r="G3057">
        <v>28</v>
      </c>
      <c r="H3057" t="s">
        <v>5618</v>
      </c>
      <c r="I3057">
        <v>0</v>
      </c>
      <c r="J3057" t="s">
        <v>87</v>
      </c>
      <c r="K3057">
        <v>0</v>
      </c>
      <c r="L3057">
        <v>0</v>
      </c>
    </row>
    <row r="3058" spans="1:12">
      <c r="A3058" s="93">
        <v>223320</v>
      </c>
      <c r="B3058" t="s">
        <v>3561</v>
      </c>
      <c r="C3058" t="s">
        <v>5606</v>
      </c>
      <c r="D3058" s="92" t="s">
        <v>428</v>
      </c>
      <c r="E3058" s="92" t="s">
        <v>428</v>
      </c>
      <c r="F3058" t="s">
        <v>428</v>
      </c>
      <c r="G3058" t="s">
        <v>428</v>
      </c>
      <c r="H3058" t="s">
        <v>5615</v>
      </c>
      <c r="I3058">
        <v>0</v>
      </c>
      <c r="J3058" t="s">
        <v>87</v>
      </c>
      <c r="K3058">
        <v>0</v>
      </c>
      <c r="L3058">
        <v>0</v>
      </c>
    </row>
    <row r="3059" spans="1:12">
      <c r="A3059" s="93">
        <v>223427</v>
      </c>
      <c r="B3059" t="s">
        <v>3562</v>
      </c>
      <c r="C3059" t="s">
        <v>5606</v>
      </c>
      <c r="D3059" s="92">
        <v>0.33</v>
      </c>
      <c r="E3059" s="92">
        <v>0.3</v>
      </c>
      <c r="F3059" t="s">
        <v>428</v>
      </c>
      <c r="G3059" t="s">
        <v>428</v>
      </c>
      <c r="H3059" t="s">
        <v>5615</v>
      </c>
      <c r="I3059">
        <v>0</v>
      </c>
      <c r="J3059" t="s">
        <v>87</v>
      </c>
      <c r="K3059">
        <v>0</v>
      </c>
      <c r="L3059">
        <v>0</v>
      </c>
    </row>
    <row r="3060" spans="1:12">
      <c r="A3060" s="93">
        <v>223463</v>
      </c>
      <c r="B3060" t="s">
        <v>3563</v>
      </c>
      <c r="C3060" t="s">
        <v>5604</v>
      </c>
      <c r="D3060" s="92" t="s">
        <v>428</v>
      </c>
      <c r="E3060" s="92" t="s">
        <v>428</v>
      </c>
      <c r="F3060" t="s">
        <v>428</v>
      </c>
      <c r="G3060" t="s">
        <v>428</v>
      </c>
      <c r="H3060" t="s">
        <v>5617</v>
      </c>
      <c r="I3060">
        <v>0</v>
      </c>
      <c r="J3060" t="s">
        <v>87</v>
      </c>
      <c r="K3060">
        <v>0</v>
      </c>
      <c r="L3060">
        <v>0</v>
      </c>
    </row>
    <row r="3061" spans="1:12">
      <c r="A3061" s="93">
        <v>223472</v>
      </c>
      <c r="B3061" t="s">
        <v>3564</v>
      </c>
      <c r="C3061" t="s">
        <v>5609</v>
      </c>
      <c r="D3061" s="92" t="s">
        <v>428</v>
      </c>
      <c r="E3061" s="92" t="s">
        <v>428</v>
      </c>
      <c r="F3061" t="s">
        <v>428</v>
      </c>
      <c r="G3061" t="s">
        <v>428</v>
      </c>
      <c r="H3061" t="s">
        <v>5616</v>
      </c>
      <c r="I3061">
        <v>0</v>
      </c>
      <c r="J3061" t="s">
        <v>87</v>
      </c>
      <c r="K3061">
        <v>0</v>
      </c>
      <c r="L3061">
        <v>0</v>
      </c>
    </row>
    <row r="3062" spans="1:12">
      <c r="A3062" s="93">
        <v>223506</v>
      </c>
      <c r="B3062" t="s">
        <v>3565</v>
      </c>
      <c r="C3062" t="s">
        <v>5604</v>
      </c>
      <c r="D3062" s="92">
        <v>0.25</v>
      </c>
      <c r="E3062" s="92">
        <v>0.5</v>
      </c>
      <c r="F3062" t="s">
        <v>428</v>
      </c>
      <c r="G3062" t="s">
        <v>428</v>
      </c>
      <c r="H3062" t="s">
        <v>5615</v>
      </c>
      <c r="I3062">
        <v>0</v>
      </c>
      <c r="J3062" t="s">
        <v>87</v>
      </c>
      <c r="K3062">
        <v>0</v>
      </c>
      <c r="L3062">
        <v>0</v>
      </c>
    </row>
    <row r="3063" spans="1:12">
      <c r="A3063" s="93">
        <v>223524</v>
      </c>
      <c r="B3063" t="s">
        <v>3566</v>
      </c>
      <c r="C3063" t="s">
        <v>5606</v>
      </c>
      <c r="D3063" s="92">
        <v>0.26</v>
      </c>
      <c r="E3063" s="92">
        <v>0.25</v>
      </c>
      <c r="F3063" t="s">
        <v>428</v>
      </c>
      <c r="G3063" t="s">
        <v>428</v>
      </c>
      <c r="H3063" t="s">
        <v>5615</v>
      </c>
      <c r="I3063">
        <v>0</v>
      </c>
      <c r="J3063" t="s">
        <v>87</v>
      </c>
      <c r="K3063">
        <v>0</v>
      </c>
      <c r="L3063">
        <v>0</v>
      </c>
    </row>
    <row r="3064" spans="1:12">
      <c r="A3064" s="93">
        <v>223773</v>
      </c>
      <c r="B3064" t="s">
        <v>3567</v>
      </c>
      <c r="C3064" t="s">
        <v>5606</v>
      </c>
      <c r="D3064" s="92">
        <v>0.23</v>
      </c>
      <c r="E3064" s="92">
        <v>0.22</v>
      </c>
      <c r="F3064" t="s">
        <v>428</v>
      </c>
      <c r="G3064" t="s">
        <v>428</v>
      </c>
      <c r="H3064" t="s">
        <v>5615</v>
      </c>
      <c r="I3064">
        <v>0</v>
      </c>
      <c r="J3064" t="s">
        <v>87</v>
      </c>
      <c r="K3064">
        <v>0</v>
      </c>
      <c r="L3064">
        <v>0</v>
      </c>
    </row>
    <row r="3065" spans="1:12">
      <c r="A3065" s="93">
        <v>223816</v>
      </c>
      <c r="B3065" t="s">
        <v>3568</v>
      </c>
      <c r="C3065" t="s">
        <v>5606</v>
      </c>
      <c r="D3065" s="92">
        <v>0.25</v>
      </c>
      <c r="E3065" s="92">
        <v>0.23</v>
      </c>
      <c r="F3065" t="s">
        <v>428</v>
      </c>
      <c r="G3065" t="s">
        <v>428</v>
      </c>
      <c r="H3065" t="s">
        <v>5615</v>
      </c>
      <c r="I3065">
        <v>0</v>
      </c>
      <c r="J3065" t="s">
        <v>87</v>
      </c>
      <c r="K3065">
        <v>0</v>
      </c>
      <c r="L3065">
        <v>0</v>
      </c>
    </row>
    <row r="3066" spans="1:12">
      <c r="A3066" s="93">
        <v>223898</v>
      </c>
      <c r="B3066" t="s">
        <v>3569</v>
      </c>
      <c r="C3066" t="s">
        <v>5606</v>
      </c>
      <c r="D3066" s="92" t="s">
        <v>428</v>
      </c>
      <c r="E3066" s="92" t="s">
        <v>428</v>
      </c>
      <c r="F3066" t="s">
        <v>428</v>
      </c>
      <c r="G3066" t="s">
        <v>428</v>
      </c>
      <c r="H3066" t="s">
        <v>5615</v>
      </c>
      <c r="I3066">
        <v>0</v>
      </c>
      <c r="J3066" t="s">
        <v>87</v>
      </c>
      <c r="K3066">
        <v>0</v>
      </c>
      <c r="L3066">
        <v>0</v>
      </c>
    </row>
    <row r="3067" spans="1:12">
      <c r="A3067" s="93">
        <v>223922</v>
      </c>
      <c r="B3067" t="s">
        <v>3570</v>
      </c>
      <c r="C3067" t="s">
        <v>5606</v>
      </c>
      <c r="D3067" s="92">
        <v>0.41</v>
      </c>
      <c r="E3067" s="92">
        <v>0.3</v>
      </c>
      <c r="F3067" t="s">
        <v>428</v>
      </c>
      <c r="G3067" t="s">
        <v>428</v>
      </c>
      <c r="H3067" t="s">
        <v>5615</v>
      </c>
      <c r="I3067">
        <v>0</v>
      </c>
      <c r="J3067" t="s">
        <v>87</v>
      </c>
      <c r="K3067">
        <v>0</v>
      </c>
      <c r="L3067">
        <v>0</v>
      </c>
    </row>
    <row r="3068" spans="1:12">
      <c r="A3068" s="93">
        <v>224004</v>
      </c>
      <c r="B3068" t="s">
        <v>3571</v>
      </c>
      <c r="C3068" t="s">
        <v>5602</v>
      </c>
      <c r="D3068" s="92">
        <v>0.37</v>
      </c>
      <c r="E3068" s="92">
        <v>0.28</v>
      </c>
      <c r="F3068">
        <v>18</v>
      </c>
      <c r="G3068">
        <v>21</v>
      </c>
      <c r="H3068" t="s">
        <v>5617</v>
      </c>
      <c r="I3068">
        <v>0</v>
      </c>
      <c r="J3068" t="s">
        <v>87</v>
      </c>
      <c r="K3068">
        <v>0</v>
      </c>
      <c r="L3068">
        <v>0</v>
      </c>
    </row>
    <row r="3069" spans="1:12">
      <c r="A3069" s="93">
        <v>224110</v>
      </c>
      <c r="B3069" t="s">
        <v>3572</v>
      </c>
      <c r="C3069" t="s">
        <v>5606</v>
      </c>
      <c r="D3069" s="92">
        <v>0.17</v>
      </c>
      <c r="E3069" s="92">
        <v>0.12</v>
      </c>
      <c r="F3069" t="s">
        <v>428</v>
      </c>
      <c r="G3069" t="s">
        <v>428</v>
      </c>
      <c r="H3069" t="s">
        <v>5615</v>
      </c>
      <c r="I3069">
        <v>0</v>
      </c>
      <c r="J3069" t="s">
        <v>87</v>
      </c>
      <c r="K3069">
        <v>0</v>
      </c>
      <c r="L3069">
        <v>0</v>
      </c>
    </row>
    <row r="3070" spans="1:12">
      <c r="A3070" s="93">
        <v>224147</v>
      </c>
      <c r="B3070" t="s">
        <v>3573</v>
      </c>
      <c r="C3070" t="s">
        <v>5608</v>
      </c>
      <c r="D3070" s="92">
        <v>0.35</v>
      </c>
      <c r="E3070" s="92">
        <v>0.32</v>
      </c>
      <c r="F3070">
        <v>17</v>
      </c>
      <c r="G3070">
        <v>20</v>
      </c>
      <c r="H3070" t="s">
        <v>5615</v>
      </c>
      <c r="I3070">
        <v>0</v>
      </c>
      <c r="J3070" t="s">
        <v>87</v>
      </c>
      <c r="K3070">
        <v>0</v>
      </c>
      <c r="L3070">
        <v>0</v>
      </c>
    </row>
    <row r="3071" spans="1:12">
      <c r="A3071" s="93">
        <v>224226</v>
      </c>
      <c r="B3071" t="s">
        <v>3574</v>
      </c>
      <c r="C3071" t="s">
        <v>5602</v>
      </c>
      <c r="D3071" s="92">
        <v>0.57</v>
      </c>
      <c r="E3071" s="92">
        <v>0.46</v>
      </c>
      <c r="F3071">
        <v>19</v>
      </c>
      <c r="G3071">
        <v>22</v>
      </c>
      <c r="H3071" t="s">
        <v>5617</v>
      </c>
      <c r="I3071">
        <v>0</v>
      </c>
      <c r="J3071" t="s">
        <v>87</v>
      </c>
      <c r="K3071">
        <v>0</v>
      </c>
      <c r="L3071">
        <v>0</v>
      </c>
    </row>
    <row r="3072" spans="1:12">
      <c r="A3072" s="93">
        <v>224244</v>
      </c>
      <c r="B3072" t="s">
        <v>3575</v>
      </c>
      <c r="C3072" t="s">
        <v>5608</v>
      </c>
      <c r="D3072" s="92">
        <v>0.33</v>
      </c>
      <c r="E3072" s="92">
        <v>0.23</v>
      </c>
      <c r="F3072">
        <v>15</v>
      </c>
      <c r="G3072">
        <v>18.5</v>
      </c>
      <c r="H3072" t="s">
        <v>5617</v>
      </c>
      <c r="I3072">
        <v>0</v>
      </c>
      <c r="J3072" t="s">
        <v>87</v>
      </c>
      <c r="K3072">
        <v>0</v>
      </c>
      <c r="L3072">
        <v>0</v>
      </c>
    </row>
    <row r="3073" spans="1:12">
      <c r="A3073" s="93">
        <v>224271</v>
      </c>
      <c r="B3073" t="s">
        <v>3576</v>
      </c>
      <c r="C3073" t="s">
        <v>5606</v>
      </c>
      <c r="D3073" s="92" t="s">
        <v>428</v>
      </c>
      <c r="E3073" s="92" t="s">
        <v>428</v>
      </c>
      <c r="F3073" t="s">
        <v>428</v>
      </c>
      <c r="G3073" t="s">
        <v>428</v>
      </c>
      <c r="H3073" t="s">
        <v>5616</v>
      </c>
      <c r="I3073">
        <v>0</v>
      </c>
      <c r="J3073" t="s">
        <v>87</v>
      </c>
      <c r="K3073">
        <v>0</v>
      </c>
      <c r="L3073">
        <v>0</v>
      </c>
    </row>
    <row r="3074" spans="1:12">
      <c r="A3074" s="93">
        <v>224305</v>
      </c>
      <c r="B3074" t="s">
        <v>3577</v>
      </c>
      <c r="C3074" t="s">
        <v>5607</v>
      </c>
      <c r="D3074" s="92" t="s">
        <v>428</v>
      </c>
      <c r="E3074" s="92" t="s">
        <v>428</v>
      </c>
      <c r="F3074" t="s">
        <v>428</v>
      </c>
      <c r="G3074" t="s">
        <v>428</v>
      </c>
      <c r="H3074" t="s">
        <v>5615</v>
      </c>
      <c r="I3074">
        <v>0</v>
      </c>
      <c r="J3074" t="s">
        <v>87</v>
      </c>
      <c r="K3074">
        <v>0</v>
      </c>
      <c r="L3074">
        <v>0</v>
      </c>
    </row>
    <row r="3075" spans="1:12">
      <c r="A3075" s="93">
        <v>224323</v>
      </c>
      <c r="B3075" t="s">
        <v>3578</v>
      </c>
      <c r="C3075" t="s">
        <v>5603</v>
      </c>
      <c r="D3075" s="92">
        <v>0.6899999999999999</v>
      </c>
      <c r="E3075" s="92">
        <v>0.54</v>
      </c>
      <c r="F3075">
        <v>23</v>
      </c>
      <c r="G3075">
        <v>26.5</v>
      </c>
      <c r="H3075" t="s">
        <v>5617</v>
      </c>
      <c r="I3075">
        <v>0</v>
      </c>
      <c r="J3075" t="s">
        <v>87</v>
      </c>
      <c r="K3075">
        <v>0</v>
      </c>
      <c r="L3075">
        <v>0</v>
      </c>
    </row>
    <row r="3076" spans="1:12">
      <c r="A3076" s="93">
        <v>224350</v>
      </c>
      <c r="B3076" t="s">
        <v>3579</v>
      </c>
      <c r="C3076" t="s">
        <v>5606</v>
      </c>
      <c r="D3076" s="92">
        <v>0.17</v>
      </c>
      <c r="E3076" s="92">
        <v>0.15</v>
      </c>
      <c r="F3076" t="s">
        <v>428</v>
      </c>
      <c r="G3076" t="s">
        <v>428</v>
      </c>
      <c r="H3076" t="s">
        <v>5615</v>
      </c>
      <c r="I3076">
        <v>0</v>
      </c>
      <c r="J3076" t="s">
        <v>87</v>
      </c>
      <c r="K3076">
        <v>0</v>
      </c>
      <c r="L3076">
        <v>0</v>
      </c>
    </row>
    <row r="3077" spans="1:12">
      <c r="A3077" s="93">
        <v>224527</v>
      </c>
      <c r="B3077" t="s">
        <v>3580</v>
      </c>
      <c r="C3077" t="s">
        <v>5602</v>
      </c>
      <c r="D3077" s="92">
        <v>0.41</v>
      </c>
      <c r="E3077" s="92">
        <v>0.29</v>
      </c>
      <c r="F3077">
        <v>18</v>
      </c>
      <c r="G3077">
        <v>20</v>
      </c>
      <c r="H3077" t="s">
        <v>5617</v>
      </c>
      <c r="I3077">
        <v>0</v>
      </c>
      <c r="J3077" t="s">
        <v>87</v>
      </c>
      <c r="K3077">
        <v>0</v>
      </c>
      <c r="L3077">
        <v>0</v>
      </c>
    </row>
    <row r="3078" spans="1:12">
      <c r="A3078" s="93">
        <v>224545</v>
      </c>
      <c r="B3078" t="s">
        <v>3581</v>
      </c>
      <c r="C3078" t="s">
        <v>5602</v>
      </c>
      <c r="D3078" s="92">
        <v>0.26</v>
      </c>
      <c r="E3078" s="92">
        <v>0.21</v>
      </c>
      <c r="F3078">
        <v>20</v>
      </c>
      <c r="G3078">
        <v>21</v>
      </c>
      <c r="H3078" t="s">
        <v>5615</v>
      </c>
      <c r="I3078">
        <v>0</v>
      </c>
      <c r="J3078" t="s">
        <v>87</v>
      </c>
      <c r="K3078">
        <v>0</v>
      </c>
      <c r="L3078">
        <v>0</v>
      </c>
    </row>
    <row r="3079" spans="1:12">
      <c r="A3079" s="93">
        <v>224554</v>
      </c>
      <c r="B3079" t="s">
        <v>3582</v>
      </c>
      <c r="C3079" t="s">
        <v>5602</v>
      </c>
      <c r="D3079" s="92">
        <v>0.46</v>
      </c>
      <c r="E3079" s="92">
        <v>0.41</v>
      </c>
      <c r="F3079">
        <v>18</v>
      </c>
      <c r="G3079">
        <v>20.5</v>
      </c>
      <c r="H3079" t="s">
        <v>5615</v>
      </c>
      <c r="I3079">
        <v>0</v>
      </c>
      <c r="J3079" t="s">
        <v>87</v>
      </c>
      <c r="K3079">
        <v>0</v>
      </c>
      <c r="L3079">
        <v>0</v>
      </c>
    </row>
    <row r="3080" spans="1:12">
      <c r="A3080" s="93">
        <v>224572</v>
      </c>
      <c r="B3080" t="s">
        <v>3583</v>
      </c>
      <c r="C3080" t="s">
        <v>5606</v>
      </c>
      <c r="D3080" s="92">
        <v>0.24</v>
      </c>
      <c r="E3080" s="92">
        <v>0.24</v>
      </c>
      <c r="F3080" t="s">
        <v>428</v>
      </c>
      <c r="G3080" t="s">
        <v>428</v>
      </c>
      <c r="H3080" t="s">
        <v>5615</v>
      </c>
      <c r="I3080">
        <v>0</v>
      </c>
      <c r="J3080" t="s">
        <v>87</v>
      </c>
      <c r="K3080">
        <v>0</v>
      </c>
      <c r="L3080">
        <v>0</v>
      </c>
    </row>
    <row r="3081" spans="1:12">
      <c r="A3081" s="93">
        <v>224615</v>
      </c>
      <c r="B3081" t="s">
        <v>3584</v>
      </c>
      <c r="C3081" t="s">
        <v>5606</v>
      </c>
      <c r="D3081" s="92">
        <v>0.17</v>
      </c>
      <c r="E3081" s="92">
        <v>0.15</v>
      </c>
      <c r="F3081" t="s">
        <v>428</v>
      </c>
      <c r="G3081" t="s">
        <v>428</v>
      </c>
      <c r="H3081" t="s">
        <v>5615</v>
      </c>
      <c r="I3081">
        <v>0</v>
      </c>
      <c r="J3081" t="s">
        <v>87</v>
      </c>
      <c r="K3081">
        <v>0</v>
      </c>
      <c r="L3081">
        <v>0</v>
      </c>
    </row>
    <row r="3082" spans="1:12">
      <c r="A3082" s="93">
        <v>224642</v>
      </c>
      <c r="B3082" t="s">
        <v>3585</v>
      </c>
      <c r="C3082" t="s">
        <v>5606</v>
      </c>
      <c r="D3082" s="92">
        <v>0.24</v>
      </c>
      <c r="E3082" s="92">
        <v>0.23</v>
      </c>
      <c r="F3082" t="s">
        <v>428</v>
      </c>
      <c r="G3082" t="s">
        <v>428</v>
      </c>
      <c r="H3082" t="s">
        <v>5615</v>
      </c>
      <c r="I3082">
        <v>0</v>
      </c>
      <c r="J3082" t="s">
        <v>87</v>
      </c>
      <c r="K3082">
        <v>0</v>
      </c>
      <c r="L3082">
        <v>0</v>
      </c>
    </row>
    <row r="3083" spans="1:12">
      <c r="A3083" s="93">
        <v>224660</v>
      </c>
      <c r="B3083" t="s">
        <v>3586</v>
      </c>
      <c r="C3083" t="s">
        <v>5606</v>
      </c>
      <c r="D3083" s="92" t="s">
        <v>428</v>
      </c>
      <c r="E3083" s="92" t="s">
        <v>428</v>
      </c>
      <c r="F3083" t="s">
        <v>428</v>
      </c>
      <c r="G3083" t="s">
        <v>428</v>
      </c>
      <c r="H3083" t="s">
        <v>5617</v>
      </c>
      <c r="I3083">
        <v>0</v>
      </c>
      <c r="J3083" t="s">
        <v>87</v>
      </c>
      <c r="K3083">
        <v>0</v>
      </c>
      <c r="L3083">
        <v>0</v>
      </c>
    </row>
    <row r="3084" spans="1:12">
      <c r="A3084" s="93">
        <v>224679</v>
      </c>
      <c r="B3084" t="s">
        <v>3586</v>
      </c>
      <c r="C3084" t="s">
        <v>5606</v>
      </c>
      <c r="D3084" s="92" t="s">
        <v>428</v>
      </c>
      <c r="E3084" s="92" t="s">
        <v>428</v>
      </c>
      <c r="F3084" t="s">
        <v>428</v>
      </c>
      <c r="G3084" t="s">
        <v>428</v>
      </c>
      <c r="H3084" t="s">
        <v>5617</v>
      </c>
      <c r="I3084">
        <v>0</v>
      </c>
      <c r="J3084" t="s">
        <v>87</v>
      </c>
      <c r="K3084">
        <v>0</v>
      </c>
      <c r="L3084">
        <v>0</v>
      </c>
    </row>
    <row r="3085" spans="1:12">
      <c r="A3085" s="93">
        <v>224712</v>
      </c>
      <c r="B3085" t="s">
        <v>3587</v>
      </c>
      <c r="C3085" t="s">
        <v>5607</v>
      </c>
      <c r="D3085" s="92" t="s">
        <v>428</v>
      </c>
      <c r="E3085" s="92" t="s">
        <v>428</v>
      </c>
      <c r="F3085" t="s">
        <v>428</v>
      </c>
      <c r="G3085" t="s">
        <v>428</v>
      </c>
      <c r="H3085" t="s">
        <v>5615</v>
      </c>
      <c r="I3085">
        <v>0</v>
      </c>
      <c r="J3085" t="s">
        <v>87</v>
      </c>
      <c r="K3085">
        <v>0</v>
      </c>
      <c r="L3085">
        <v>0</v>
      </c>
    </row>
    <row r="3086" spans="1:12">
      <c r="A3086" s="93">
        <v>224776</v>
      </c>
      <c r="B3086" t="s">
        <v>3588</v>
      </c>
      <c r="C3086" t="s">
        <v>5604</v>
      </c>
      <c r="D3086" s="92">
        <v>0.28</v>
      </c>
      <c r="E3086" s="92">
        <v>0.28</v>
      </c>
      <c r="F3086" t="s">
        <v>428</v>
      </c>
      <c r="G3086" t="s">
        <v>428</v>
      </c>
      <c r="H3086" t="s">
        <v>5617</v>
      </c>
      <c r="I3086">
        <v>0</v>
      </c>
      <c r="J3086" t="s">
        <v>87</v>
      </c>
      <c r="K3086">
        <v>0</v>
      </c>
      <c r="L3086">
        <v>0</v>
      </c>
    </row>
    <row r="3087" spans="1:12">
      <c r="A3087" s="93">
        <v>224891</v>
      </c>
      <c r="B3087" t="s">
        <v>3589</v>
      </c>
      <c r="C3087" t="s">
        <v>5606</v>
      </c>
      <c r="D3087" s="92">
        <v>0.41</v>
      </c>
      <c r="E3087" s="92">
        <v>0.34</v>
      </c>
      <c r="F3087" t="s">
        <v>428</v>
      </c>
      <c r="G3087" t="s">
        <v>428</v>
      </c>
      <c r="H3087" t="s">
        <v>5615</v>
      </c>
      <c r="I3087">
        <v>0</v>
      </c>
      <c r="J3087" t="s">
        <v>87</v>
      </c>
      <c r="K3087">
        <v>0</v>
      </c>
      <c r="L3087">
        <v>0</v>
      </c>
    </row>
    <row r="3088" spans="1:12">
      <c r="A3088" s="93">
        <v>224961</v>
      </c>
      <c r="B3088" t="s">
        <v>3590</v>
      </c>
      <c r="C3088" t="s">
        <v>5606</v>
      </c>
      <c r="D3088" s="92">
        <v>0.36</v>
      </c>
      <c r="E3088" s="92">
        <v>0.37</v>
      </c>
      <c r="F3088" t="s">
        <v>428</v>
      </c>
      <c r="G3088" t="s">
        <v>428</v>
      </c>
      <c r="H3088" t="s">
        <v>5615</v>
      </c>
      <c r="I3088">
        <v>0</v>
      </c>
      <c r="J3088" t="s">
        <v>87</v>
      </c>
      <c r="K3088">
        <v>0</v>
      </c>
      <c r="L3088">
        <v>0</v>
      </c>
    </row>
    <row r="3089" spans="1:12">
      <c r="A3089" s="93">
        <v>225070</v>
      </c>
      <c r="B3089" t="s">
        <v>3591</v>
      </c>
      <c r="C3089" t="s">
        <v>5606</v>
      </c>
      <c r="D3089" s="92">
        <v>0.25</v>
      </c>
      <c r="E3089" s="92">
        <v>0.19</v>
      </c>
      <c r="F3089" t="s">
        <v>428</v>
      </c>
      <c r="G3089" t="s">
        <v>428</v>
      </c>
      <c r="H3089" t="s">
        <v>5615</v>
      </c>
      <c r="I3089">
        <v>0</v>
      </c>
      <c r="J3089" t="s">
        <v>87</v>
      </c>
      <c r="K3089">
        <v>0</v>
      </c>
      <c r="L3089">
        <v>0</v>
      </c>
    </row>
    <row r="3090" spans="1:12">
      <c r="A3090" s="93">
        <v>225201</v>
      </c>
      <c r="B3090" t="s">
        <v>3592</v>
      </c>
      <c r="C3090" t="s">
        <v>5607</v>
      </c>
      <c r="D3090" s="92">
        <v>0.28</v>
      </c>
      <c r="E3090" s="92">
        <v>0.37</v>
      </c>
      <c r="F3090" t="s">
        <v>428</v>
      </c>
      <c r="G3090" t="s">
        <v>428</v>
      </c>
      <c r="H3090" t="s">
        <v>5617</v>
      </c>
      <c r="I3090">
        <v>0</v>
      </c>
      <c r="J3090" t="s">
        <v>87</v>
      </c>
      <c r="K3090">
        <v>0</v>
      </c>
      <c r="L3090">
        <v>0</v>
      </c>
    </row>
    <row r="3091" spans="1:12">
      <c r="A3091" s="93">
        <v>225247</v>
      </c>
      <c r="B3091" t="s">
        <v>3593</v>
      </c>
      <c r="C3091" t="s">
        <v>5602</v>
      </c>
      <c r="D3091" s="92">
        <v>0.52</v>
      </c>
      <c r="E3091" s="92">
        <v>0.44</v>
      </c>
      <c r="F3091">
        <v>19</v>
      </c>
      <c r="G3091">
        <v>21.5</v>
      </c>
      <c r="H3091" t="s">
        <v>5617</v>
      </c>
      <c r="I3091">
        <v>0</v>
      </c>
      <c r="J3091" t="s">
        <v>87</v>
      </c>
      <c r="K3091">
        <v>0</v>
      </c>
      <c r="L3091">
        <v>0</v>
      </c>
    </row>
    <row r="3092" spans="1:12">
      <c r="A3092" s="93">
        <v>225308</v>
      </c>
      <c r="B3092" t="s">
        <v>3594</v>
      </c>
      <c r="C3092" t="s">
        <v>5606</v>
      </c>
      <c r="D3092" s="92">
        <v>0.27</v>
      </c>
      <c r="E3092" s="92">
        <v>0.28</v>
      </c>
      <c r="F3092" t="s">
        <v>428</v>
      </c>
      <c r="G3092" t="s">
        <v>428</v>
      </c>
      <c r="H3092" t="s">
        <v>5615</v>
      </c>
      <c r="I3092">
        <v>0</v>
      </c>
      <c r="J3092" t="s">
        <v>87</v>
      </c>
      <c r="K3092">
        <v>0</v>
      </c>
      <c r="L3092">
        <v>0</v>
      </c>
    </row>
    <row r="3093" spans="1:12">
      <c r="A3093" s="93">
        <v>225371</v>
      </c>
      <c r="B3093" t="s">
        <v>3595</v>
      </c>
      <c r="C3093" t="s">
        <v>5606</v>
      </c>
      <c r="D3093" s="92">
        <v>0.31</v>
      </c>
      <c r="E3093" s="92">
        <v>0.29</v>
      </c>
      <c r="F3093" t="s">
        <v>428</v>
      </c>
      <c r="G3093" t="s">
        <v>428</v>
      </c>
      <c r="H3093" t="s">
        <v>5615</v>
      </c>
      <c r="I3093">
        <v>0</v>
      </c>
      <c r="J3093" t="s">
        <v>87</v>
      </c>
      <c r="K3093">
        <v>0</v>
      </c>
      <c r="L3093">
        <v>0</v>
      </c>
    </row>
    <row r="3094" spans="1:12">
      <c r="A3094" s="93">
        <v>225399</v>
      </c>
      <c r="B3094" t="s">
        <v>3596</v>
      </c>
      <c r="C3094" t="s">
        <v>5602</v>
      </c>
      <c r="D3094" s="92">
        <v>0.41</v>
      </c>
      <c r="E3094" s="92">
        <v>0.32</v>
      </c>
      <c r="F3094">
        <v>21</v>
      </c>
      <c r="G3094">
        <v>23.5</v>
      </c>
      <c r="H3094" t="s">
        <v>5617</v>
      </c>
      <c r="I3094">
        <v>0</v>
      </c>
      <c r="J3094" t="s">
        <v>87</v>
      </c>
      <c r="K3094">
        <v>0</v>
      </c>
      <c r="L3094">
        <v>0</v>
      </c>
    </row>
    <row r="3095" spans="1:12">
      <c r="A3095" s="93">
        <v>225414</v>
      </c>
      <c r="B3095" t="s">
        <v>3597</v>
      </c>
      <c r="C3095" t="s">
        <v>5602</v>
      </c>
      <c r="D3095" s="92" t="s">
        <v>428</v>
      </c>
      <c r="E3095" s="92" t="s">
        <v>428</v>
      </c>
      <c r="F3095">
        <v>20</v>
      </c>
      <c r="G3095">
        <v>21.5</v>
      </c>
      <c r="H3095" t="s">
        <v>5615</v>
      </c>
      <c r="I3095">
        <v>0</v>
      </c>
      <c r="J3095" t="s">
        <v>87</v>
      </c>
      <c r="K3095">
        <v>0</v>
      </c>
      <c r="L3095">
        <v>0</v>
      </c>
    </row>
    <row r="3096" spans="1:12">
      <c r="A3096" s="93">
        <v>225423</v>
      </c>
      <c r="B3096" t="s">
        <v>3598</v>
      </c>
      <c r="C3096" t="s">
        <v>5606</v>
      </c>
      <c r="D3096" s="92">
        <v>0.26</v>
      </c>
      <c r="E3096" s="92">
        <v>0.23</v>
      </c>
      <c r="F3096" t="s">
        <v>428</v>
      </c>
      <c r="G3096" t="s">
        <v>428</v>
      </c>
      <c r="H3096" t="s">
        <v>5615</v>
      </c>
      <c r="I3096">
        <v>0</v>
      </c>
      <c r="J3096" t="s">
        <v>87</v>
      </c>
      <c r="K3096">
        <v>0</v>
      </c>
      <c r="L3096">
        <v>0</v>
      </c>
    </row>
    <row r="3097" spans="1:12">
      <c r="A3097" s="93">
        <v>225432</v>
      </c>
      <c r="B3097" t="s">
        <v>3599</v>
      </c>
      <c r="C3097" t="s">
        <v>5602</v>
      </c>
      <c r="D3097" s="92">
        <v>0.16</v>
      </c>
      <c r="E3097" s="92">
        <v>0.16</v>
      </c>
      <c r="F3097">
        <v>17</v>
      </c>
      <c r="G3097">
        <v>19</v>
      </c>
      <c r="H3097" t="s">
        <v>5615</v>
      </c>
      <c r="I3097">
        <v>0</v>
      </c>
      <c r="J3097" t="s">
        <v>87</v>
      </c>
      <c r="K3097">
        <v>0</v>
      </c>
      <c r="L3097">
        <v>0</v>
      </c>
    </row>
    <row r="3098" spans="1:12">
      <c r="A3098" s="93">
        <v>225502</v>
      </c>
      <c r="B3098" t="s">
        <v>3600</v>
      </c>
      <c r="C3098" t="s">
        <v>5607</v>
      </c>
      <c r="D3098" s="92">
        <v>0.18</v>
      </c>
      <c r="E3098" s="92">
        <v>0.15</v>
      </c>
      <c r="F3098" t="s">
        <v>428</v>
      </c>
      <c r="G3098" t="s">
        <v>428</v>
      </c>
      <c r="H3098" t="s">
        <v>5615</v>
      </c>
      <c r="I3098">
        <v>0</v>
      </c>
      <c r="J3098" t="s">
        <v>87</v>
      </c>
      <c r="K3098">
        <v>0</v>
      </c>
      <c r="L3098">
        <v>0</v>
      </c>
    </row>
    <row r="3099" spans="1:12">
      <c r="A3099" s="93">
        <v>225511</v>
      </c>
      <c r="B3099" t="s">
        <v>3601</v>
      </c>
      <c r="C3099" t="s">
        <v>5603</v>
      </c>
      <c r="D3099" s="92">
        <v>0.51</v>
      </c>
      <c r="E3099" s="92">
        <v>0.45</v>
      </c>
      <c r="F3099">
        <v>23</v>
      </c>
      <c r="G3099">
        <v>25.5</v>
      </c>
      <c r="H3099" t="s">
        <v>5615</v>
      </c>
      <c r="I3099">
        <v>0</v>
      </c>
      <c r="J3099" t="s">
        <v>87</v>
      </c>
      <c r="K3099">
        <v>0</v>
      </c>
      <c r="L3099">
        <v>0</v>
      </c>
    </row>
    <row r="3100" spans="1:12">
      <c r="A3100" s="93">
        <v>225520</v>
      </c>
      <c r="B3100" t="s">
        <v>3602</v>
      </c>
      <c r="C3100" t="s">
        <v>5606</v>
      </c>
      <c r="D3100" s="92">
        <v>0.3</v>
      </c>
      <c r="E3100" s="92">
        <v>0.28</v>
      </c>
      <c r="F3100" t="s">
        <v>428</v>
      </c>
      <c r="G3100" t="s">
        <v>428</v>
      </c>
      <c r="H3100" t="s">
        <v>5615</v>
      </c>
      <c r="I3100">
        <v>0</v>
      </c>
      <c r="J3100" t="s">
        <v>87</v>
      </c>
      <c r="K3100">
        <v>0</v>
      </c>
      <c r="L3100">
        <v>0</v>
      </c>
    </row>
    <row r="3101" spans="1:12">
      <c r="A3101" s="93">
        <v>225548</v>
      </c>
      <c r="B3101" t="s">
        <v>3603</v>
      </c>
      <c r="C3101" t="s">
        <v>5602</v>
      </c>
      <c r="D3101" s="92">
        <v>0.43</v>
      </c>
      <c r="E3101" s="92">
        <v>0.3</v>
      </c>
      <c r="F3101">
        <v>18</v>
      </c>
      <c r="G3101">
        <v>20</v>
      </c>
      <c r="H3101" t="s">
        <v>5617</v>
      </c>
      <c r="I3101">
        <v>0</v>
      </c>
      <c r="J3101" t="s">
        <v>87</v>
      </c>
      <c r="K3101">
        <v>0</v>
      </c>
      <c r="L3101">
        <v>0</v>
      </c>
    </row>
    <row r="3102" spans="1:12">
      <c r="A3102" s="93">
        <v>225575</v>
      </c>
      <c r="B3102" t="s">
        <v>3604</v>
      </c>
      <c r="C3102" t="s">
        <v>5608</v>
      </c>
      <c r="D3102" s="92">
        <v>0.22</v>
      </c>
      <c r="E3102" s="92">
        <v>0.36</v>
      </c>
      <c r="F3102">
        <v>13</v>
      </c>
      <c r="G3102">
        <v>15.5</v>
      </c>
      <c r="H3102" t="s">
        <v>5617</v>
      </c>
      <c r="I3102">
        <v>0</v>
      </c>
      <c r="J3102" t="s">
        <v>138</v>
      </c>
      <c r="K3102">
        <v>0</v>
      </c>
      <c r="L3102">
        <v>0</v>
      </c>
    </row>
    <row r="3103" spans="1:12">
      <c r="A3103" s="93">
        <v>225627</v>
      </c>
      <c r="B3103" t="s">
        <v>3605</v>
      </c>
      <c r="C3103" t="s">
        <v>5608</v>
      </c>
      <c r="D3103" s="92">
        <v>0.51</v>
      </c>
      <c r="E3103" s="92">
        <v>0.49</v>
      </c>
      <c r="F3103">
        <v>17</v>
      </c>
      <c r="G3103">
        <v>18.5</v>
      </c>
      <c r="H3103" t="s">
        <v>5617</v>
      </c>
      <c r="I3103">
        <v>0</v>
      </c>
      <c r="J3103" t="s">
        <v>87</v>
      </c>
      <c r="K3103">
        <v>0</v>
      </c>
      <c r="L3103">
        <v>0</v>
      </c>
    </row>
    <row r="3104" spans="1:12">
      <c r="A3104" s="93">
        <v>225779</v>
      </c>
      <c r="B3104" t="s">
        <v>3606</v>
      </c>
      <c r="C3104" t="s">
        <v>5606</v>
      </c>
      <c r="D3104" s="92" t="s">
        <v>428</v>
      </c>
      <c r="E3104" s="92" t="s">
        <v>428</v>
      </c>
      <c r="F3104" t="s">
        <v>428</v>
      </c>
      <c r="G3104" t="s">
        <v>428</v>
      </c>
      <c r="H3104" t="s">
        <v>5617</v>
      </c>
      <c r="I3104">
        <v>0</v>
      </c>
      <c r="J3104" t="s">
        <v>87</v>
      </c>
      <c r="K3104">
        <v>0</v>
      </c>
      <c r="L3104">
        <v>0</v>
      </c>
    </row>
    <row r="3105" spans="1:12">
      <c r="A3105" s="93">
        <v>225788</v>
      </c>
      <c r="B3105" t="s">
        <v>3606</v>
      </c>
      <c r="C3105" t="s">
        <v>5606</v>
      </c>
      <c r="D3105" s="92" t="s">
        <v>428</v>
      </c>
      <c r="E3105" s="92" t="s">
        <v>428</v>
      </c>
      <c r="F3105" t="s">
        <v>428</v>
      </c>
      <c r="G3105" t="s">
        <v>428</v>
      </c>
      <c r="H3105" t="s">
        <v>5617</v>
      </c>
      <c r="I3105">
        <v>0</v>
      </c>
      <c r="J3105" t="s">
        <v>87</v>
      </c>
      <c r="K3105">
        <v>0</v>
      </c>
      <c r="L3105">
        <v>0</v>
      </c>
    </row>
    <row r="3106" spans="1:12">
      <c r="A3106" s="93">
        <v>225849</v>
      </c>
      <c r="B3106" t="s">
        <v>3607</v>
      </c>
      <c r="C3106" t="s">
        <v>5607</v>
      </c>
      <c r="D3106" s="92" t="s">
        <v>428</v>
      </c>
      <c r="E3106" s="92" t="s">
        <v>428</v>
      </c>
      <c r="F3106" t="s">
        <v>428</v>
      </c>
      <c r="G3106" t="s">
        <v>428</v>
      </c>
      <c r="H3106" t="s">
        <v>5617</v>
      </c>
      <c r="I3106">
        <v>0</v>
      </c>
      <c r="J3106" t="s">
        <v>87</v>
      </c>
      <c r="K3106">
        <v>0</v>
      </c>
      <c r="L3106">
        <v>0</v>
      </c>
    </row>
    <row r="3107" spans="1:12">
      <c r="A3107" s="93">
        <v>225858</v>
      </c>
      <c r="B3107" t="s">
        <v>3608</v>
      </c>
      <c r="C3107" t="s">
        <v>5607</v>
      </c>
      <c r="D3107" s="92" t="s">
        <v>428</v>
      </c>
      <c r="E3107" s="92" t="s">
        <v>428</v>
      </c>
      <c r="F3107" t="s">
        <v>428</v>
      </c>
      <c r="G3107" t="s">
        <v>428</v>
      </c>
      <c r="H3107" t="s">
        <v>5617</v>
      </c>
      <c r="I3107">
        <v>0</v>
      </c>
      <c r="J3107" t="s">
        <v>87</v>
      </c>
      <c r="K3107">
        <v>0</v>
      </c>
      <c r="L3107">
        <v>0</v>
      </c>
    </row>
    <row r="3108" spans="1:12">
      <c r="A3108" s="93">
        <v>225876</v>
      </c>
      <c r="B3108" t="s">
        <v>3609</v>
      </c>
      <c r="C3108" t="s">
        <v>5606</v>
      </c>
      <c r="D3108" s="92" t="s">
        <v>428</v>
      </c>
      <c r="E3108" s="92" t="s">
        <v>428</v>
      </c>
      <c r="F3108" t="s">
        <v>428</v>
      </c>
      <c r="G3108" t="s">
        <v>428</v>
      </c>
      <c r="H3108" t="s">
        <v>5624</v>
      </c>
      <c r="I3108">
        <v>1</v>
      </c>
      <c r="J3108" t="s">
        <v>87</v>
      </c>
      <c r="K3108">
        <v>0</v>
      </c>
      <c r="L3108">
        <v>0</v>
      </c>
    </row>
    <row r="3109" spans="1:12">
      <c r="A3109" s="93">
        <v>225885</v>
      </c>
      <c r="B3109" t="s">
        <v>3610</v>
      </c>
      <c r="C3109" t="s">
        <v>5604</v>
      </c>
      <c r="D3109" s="92">
        <v>0.16</v>
      </c>
      <c r="E3109" s="92">
        <v>0.32</v>
      </c>
      <c r="F3109" t="s">
        <v>428</v>
      </c>
      <c r="G3109" t="s">
        <v>428</v>
      </c>
      <c r="H3109" t="s">
        <v>5617</v>
      </c>
      <c r="I3109">
        <v>0</v>
      </c>
      <c r="J3109" t="s">
        <v>138</v>
      </c>
      <c r="K3109">
        <v>0</v>
      </c>
      <c r="L3109">
        <v>0</v>
      </c>
    </row>
    <row r="3110" spans="1:12">
      <c r="A3110" s="93">
        <v>225991</v>
      </c>
      <c r="B3110" t="s">
        <v>3611</v>
      </c>
      <c r="C3110" t="s">
        <v>5609</v>
      </c>
      <c r="D3110" s="92" t="s">
        <v>428</v>
      </c>
      <c r="E3110" s="92" t="s">
        <v>428</v>
      </c>
      <c r="F3110" t="s">
        <v>428</v>
      </c>
      <c r="G3110" t="s">
        <v>428</v>
      </c>
      <c r="H3110" t="s">
        <v>5617</v>
      </c>
      <c r="I3110">
        <v>0</v>
      </c>
      <c r="J3110" t="s">
        <v>87</v>
      </c>
      <c r="K3110">
        <v>0</v>
      </c>
      <c r="L3110">
        <v>0</v>
      </c>
    </row>
    <row r="3111" spans="1:12">
      <c r="A3111" s="93">
        <v>226019</v>
      </c>
      <c r="B3111" t="s">
        <v>3612</v>
      </c>
      <c r="C3111" t="s">
        <v>5606</v>
      </c>
      <c r="D3111" s="92">
        <v>0.35</v>
      </c>
      <c r="E3111" s="92">
        <v>0.31</v>
      </c>
      <c r="F3111" t="s">
        <v>428</v>
      </c>
      <c r="G3111" t="s">
        <v>428</v>
      </c>
      <c r="H3111" t="s">
        <v>5615</v>
      </c>
      <c r="I3111">
        <v>0</v>
      </c>
      <c r="J3111" t="s">
        <v>87</v>
      </c>
      <c r="K3111">
        <v>0</v>
      </c>
      <c r="L3111">
        <v>0</v>
      </c>
    </row>
    <row r="3112" spans="1:12">
      <c r="A3112" s="93">
        <v>226091</v>
      </c>
      <c r="B3112" t="s">
        <v>3613</v>
      </c>
      <c r="C3112" t="s">
        <v>5608</v>
      </c>
      <c r="D3112" s="92">
        <v>0.33</v>
      </c>
      <c r="E3112" s="92">
        <v>0.26</v>
      </c>
      <c r="F3112">
        <v>18</v>
      </c>
      <c r="G3112">
        <v>20.5</v>
      </c>
      <c r="H3112" t="s">
        <v>5615</v>
      </c>
      <c r="I3112">
        <v>0</v>
      </c>
      <c r="J3112" t="s">
        <v>87</v>
      </c>
      <c r="K3112">
        <v>0</v>
      </c>
      <c r="L3112">
        <v>0</v>
      </c>
    </row>
    <row r="3113" spans="1:12">
      <c r="A3113" s="93">
        <v>226107</v>
      </c>
      <c r="B3113" t="s">
        <v>3614</v>
      </c>
      <c r="C3113" t="s">
        <v>5606</v>
      </c>
      <c r="D3113" s="92">
        <v>0.24</v>
      </c>
      <c r="E3113" s="92">
        <v>0.17</v>
      </c>
      <c r="F3113" t="s">
        <v>428</v>
      </c>
      <c r="G3113" t="s">
        <v>428</v>
      </c>
      <c r="H3113" t="s">
        <v>5615</v>
      </c>
      <c r="I3113">
        <v>0</v>
      </c>
      <c r="J3113" t="s">
        <v>87</v>
      </c>
      <c r="K3113">
        <v>0</v>
      </c>
      <c r="L3113">
        <v>0</v>
      </c>
    </row>
    <row r="3114" spans="1:12">
      <c r="A3114" s="93">
        <v>226116</v>
      </c>
      <c r="B3114" t="s">
        <v>3615</v>
      </c>
      <c r="C3114" t="s">
        <v>5606</v>
      </c>
      <c r="D3114" s="92">
        <v>0.34</v>
      </c>
      <c r="E3114" s="92">
        <v>0.32</v>
      </c>
      <c r="F3114" t="s">
        <v>428</v>
      </c>
      <c r="G3114" t="s">
        <v>428</v>
      </c>
      <c r="H3114" t="s">
        <v>5615</v>
      </c>
      <c r="I3114">
        <v>0</v>
      </c>
      <c r="J3114" t="s">
        <v>87</v>
      </c>
      <c r="K3114">
        <v>0</v>
      </c>
      <c r="L3114">
        <v>0</v>
      </c>
    </row>
    <row r="3115" spans="1:12">
      <c r="A3115" s="93">
        <v>226134</v>
      </c>
      <c r="B3115" t="s">
        <v>3616</v>
      </c>
      <c r="C3115" t="s">
        <v>5606</v>
      </c>
      <c r="D3115" s="92">
        <v>0.24</v>
      </c>
      <c r="E3115" s="92">
        <v>0.23</v>
      </c>
      <c r="F3115" t="s">
        <v>428</v>
      </c>
      <c r="G3115" t="s">
        <v>428</v>
      </c>
      <c r="H3115" t="s">
        <v>5615</v>
      </c>
      <c r="I3115">
        <v>0</v>
      </c>
      <c r="J3115" t="s">
        <v>87</v>
      </c>
      <c r="K3115">
        <v>0</v>
      </c>
      <c r="L3115">
        <v>0</v>
      </c>
    </row>
    <row r="3116" spans="1:12">
      <c r="A3116" s="93">
        <v>226152</v>
      </c>
      <c r="B3116" t="s">
        <v>3617</v>
      </c>
      <c r="C3116" t="s">
        <v>5608</v>
      </c>
      <c r="D3116" s="92">
        <v>0.42</v>
      </c>
      <c r="E3116" s="92">
        <v>0.42</v>
      </c>
      <c r="F3116">
        <v>16</v>
      </c>
      <c r="G3116">
        <v>18.5</v>
      </c>
      <c r="H3116" t="s">
        <v>5615</v>
      </c>
      <c r="I3116">
        <v>0</v>
      </c>
      <c r="J3116" t="s">
        <v>87</v>
      </c>
      <c r="K3116">
        <v>0</v>
      </c>
      <c r="L3116">
        <v>0</v>
      </c>
    </row>
    <row r="3117" spans="1:12">
      <c r="A3117" s="93">
        <v>226204</v>
      </c>
      <c r="B3117" t="s">
        <v>3618</v>
      </c>
      <c r="C3117" t="s">
        <v>5606</v>
      </c>
      <c r="D3117" s="92">
        <v>0.38</v>
      </c>
      <c r="E3117" s="92">
        <v>0.37</v>
      </c>
      <c r="F3117" t="s">
        <v>428</v>
      </c>
      <c r="G3117" t="s">
        <v>428</v>
      </c>
      <c r="H3117" t="s">
        <v>5615</v>
      </c>
      <c r="I3117">
        <v>0</v>
      </c>
      <c r="J3117" t="s">
        <v>87</v>
      </c>
      <c r="K3117">
        <v>0</v>
      </c>
      <c r="L3117">
        <v>0</v>
      </c>
    </row>
    <row r="3118" spans="1:12">
      <c r="A3118" s="93">
        <v>226231</v>
      </c>
      <c r="B3118" t="s">
        <v>3619</v>
      </c>
      <c r="C3118" t="s">
        <v>5603</v>
      </c>
      <c r="D3118" s="92">
        <v>0.53</v>
      </c>
      <c r="E3118" s="92">
        <v>0.34</v>
      </c>
      <c r="F3118">
        <v>22</v>
      </c>
      <c r="G3118">
        <v>25</v>
      </c>
      <c r="H3118" t="s">
        <v>5617</v>
      </c>
      <c r="I3118">
        <v>0</v>
      </c>
      <c r="J3118" t="s">
        <v>87</v>
      </c>
      <c r="K3118">
        <v>0</v>
      </c>
      <c r="L3118">
        <v>0</v>
      </c>
    </row>
    <row r="3119" spans="1:12">
      <c r="A3119" s="93">
        <v>226277</v>
      </c>
      <c r="B3119" t="s">
        <v>3620</v>
      </c>
      <c r="C3119" t="s">
        <v>5606</v>
      </c>
      <c r="D3119" s="92" t="s">
        <v>428</v>
      </c>
      <c r="E3119" s="92" t="s">
        <v>428</v>
      </c>
      <c r="F3119" t="s">
        <v>428</v>
      </c>
      <c r="G3119" t="s">
        <v>428</v>
      </c>
      <c r="H3119" t="s">
        <v>5617</v>
      </c>
      <c r="I3119">
        <v>0</v>
      </c>
      <c r="J3119" t="s">
        <v>87</v>
      </c>
      <c r="K3119">
        <v>0</v>
      </c>
      <c r="L3119">
        <v>0</v>
      </c>
    </row>
    <row r="3120" spans="1:12">
      <c r="A3120" s="93">
        <v>226383</v>
      </c>
      <c r="B3120" t="s">
        <v>3621</v>
      </c>
      <c r="C3120" t="s">
        <v>5602</v>
      </c>
      <c r="D3120" s="92">
        <v>0.41</v>
      </c>
      <c r="E3120" s="92">
        <v>0.21</v>
      </c>
      <c r="F3120">
        <v>19</v>
      </c>
      <c r="G3120">
        <v>22</v>
      </c>
      <c r="H3120" t="s">
        <v>5617</v>
      </c>
      <c r="I3120">
        <v>0</v>
      </c>
      <c r="J3120" t="s">
        <v>87</v>
      </c>
      <c r="K3120">
        <v>0</v>
      </c>
      <c r="L3120">
        <v>0</v>
      </c>
    </row>
    <row r="3121" spans="1:12">
      <c r="A3121" s="93">
        <v>226408</v>
      </c>
      <c r="B3121" t="s">
        <v>3622</v>
      </c>
      <c r="C3121" t="s">
        <v>5606</v>
      </c>
      <c r="D3121" s="92">
        <v>0.27</v>
      </c>
      <c r="E3121" s="92">
        <v>0.23</v>
      </c>
      <c r="F3121" t="s">
        <v>428</v>
      </c>
      <c r="G3121" t="s">
        <v>428</v>
      </c>
      <c r="H3121" t="s">
        <v>5615</v>
      </c>
      <c r="I3121">
        <v>0</v>
      </c>
      <c r="J3121" t="s">
        <v>87</v>
      </c>
      <c r="K3121">
        <v>0</v>
      </c>
      <c r="L3121">
        <v>0</v>
      </c>
    </row>
    <row r="3122" spans="1:12">
      <c r="A3122" s="93">
        <v>226471</v>
      </c>
      <c r="B3122" t="s">
        <v>3623</v>
      </c>
      <c r="C3122" t="s">
        <v>5602</v>
      </c>
      <c r="D3122" s="92">
        <v>0.46</v>
      </c>
      <c r="E3122" s="92">
        <v>0.35</v>
      </c>
      <c r="F3122">
        <v>21</v>
      </c>
      <c r="G3122">
        <v>23.5</v>
      </c>
      <c r="H3122" t="s">
        <v>5617</v>
      </c>
      <c r="I3122">
        <v>0</v>
      </c>
      <c r="J3122" t="s">
        <v>87</v>
      </c>
      <c r="K3122">
        <v>0</v>
      </c>
      <c r="L3122">
        <v>0</v>
      </c>
    </row>
    <row r="3123" spans="1:12">
      <c r="A3123" s="93">
        <v>226578</v>
      </c>
      <c r="B3123" t="s">
        <v>3624</v>
      </c>
      <c r="C3123" t="s">
        <v>5606</v>
      </c>
      <c r="D3123" s="92">
        <v>0.4</v>
      </c>
      <c r="E3123" s="92">
        <v>0.34</v>
      </c>
      <c r="F3123" t="s">
        <v>428</v>
      </c>
      <c r="G3123" t="s">
        <v>428</v>
      </c>
      <c r="H3123" t="s">
        <v>5615</v>
      </c>
      <c r="I3123">
        <v>0</v>
      </c>
      <c r="J3123" t="s">
        <v>87</v>
      </c>
      <c r="K3123">
        <v>0</v>
      </c>
      <c r="L3123">
        <v>0</v>
      </c>
    </row>
    <row r="3124" spans="1:12">
      <c r="A3124" s="93">
        <v>226587</v>
      </c>
      <c r="B3124" t="s">
        <v>3625</v>
      </c>
      <c r="C3124" t="s">
        <v>5608</v>
      </c>
      <c r="D3124" s="92">
        <v>0.36</v>
      </c>
      <c r="E3124" s="92">
        <v>0.28</v>
      </c>
      <c r="F3124">
        <v>18</v>
      </c>
      <c r="G3124">
        <v>20</v>
      </c>
      <c r="H3124" t="s">
        <v>5617</v>
      </c>
      <c r="I3124">
        <v>0</v>
      </c>
      <c r="J3124" t="s">
        <v>87</v>
      </c>
      <c r="K3124">
        <v>0</v>
      </c>
      <c r="L3124">
        <v>0</v>
      </c>
    </row>
    <row r="3125" spans="1:12">
      <c r="A3125" s="93">
        <v>226675</v>
      </c>
      <c r="B3125" t="s">
        <v>3626</v>
      </c>
      <c r="C3125" t="s">
        <v>5606</v>
      </c>
      <c r="D3125" s="92" t="s">
        <v>428</v>
      </c>
      <c r="E3125" s="92" t="s">
        <v>428</v>
      </c>
      <c r="F3125" t="s">
        <v>428</v>
      </c>
      <c r="G3125" t="s">
        <v>428</v>
      </c>
      <c r="H3125" t="s">
        <v>5615</v>
      </c>
      <c r="I3125">
        <v>0</v>
      </c>
      <c r="J3125" t="s">
        <v>87</v>
      </c>
      <c r="K3125">
        <v>0</v>
      </c>
      <c r="L3125">
        <v>0</v>
      </c>
    </row>
    <row r="3126" spans="1:12">
      <c r="A3126" s="93">
        <v>226806</v>
      </c>
      <c r="B3126" t="s">
        <v>3627</v>
      </c>
      <c r="C3126" t="s">
        <v>5604</v>
      </c>
      <c r="D3126" s="92" t="s">
        <v>428</v>
      </c>
      <c r="E3126" s="92" t="s">
        <v>428</v>
      </c>
      <c r="F3126" t="s">
        <v>428</v>
      </c>
      <c r="G3126" t="s">
        <v>428</v>
      </c>
      <c r="H3126" t="s">
        <v>5615</v>
      </c>
      <c r="I3126">
        <v>0</v>
      </c>
      <c r="J3126" t="s">
        <v>87</v>
      </c>
      <c r="K3126">
        <v>0</v>
      </c>
      <c r="L3126">
        <v>0</v>
      </c>
    </row>
    <row r="3127" spans="1:12">
      <c r="A3127" s="93">
        <v>226833</v>
      </c>
      <c r="B3127" t="s">
        <v>3628</v>
      </c>
      <c r="C3127" t="s">
        <v>5602</v>
      </c>
      <c r="D3127" s="92">
        <v>0.43</v>
      </c>
      <c r="E3127" s="92">
        <v>0.33</v>
      </c>
      <c r="F3127">
        <v>18</v>
      </c>
      <c r="G3127">
        <v>20.5</v>
      </c>
      <c r="H3127" t="s">
        <v>5615</v>
      </c>
      <c r="I3127">
        <v>0</v>
      </c>
      <c r="J3127" t="s">
        <v>87</v>
      </c>
      <c r="K3127">
        <v>0</v>
      </c>
      <c r="L3127">
        <v>0</v>
      </c>
    </row>
    <row r="3128" spans="1:12">
      <c r="A3128" s="93">
        <v>226879</v>
      </c>
      <c r="B3128" t="s">
        <v>3629</v>
      </c>
      <c r="C3128" t="s">
        <v>5604</v>
      </c>
      <c r="D3128" s="92" t="s">
        <v>428</v>
      </c>
      <c r="E3128" s="92" t="s">
        <v>428</v>
      </c>
      <c r="F3128" t="s">
        <v>428</v>
      </c>
      <c r="G3128" t="s">
        <v>428</v>
      </c>
      <c r="H3128" t="s">
        <v>5617</v>
      </c>
      <c r="I3128">
        <v>0</v>
      </c>
      <c r="J3128" t="s">
        <v>87</v>
      </c>
      <c r="K3128">
        <v>0</v>
      </c>
      <c r="L3128">
        <v>0</v>
      </c>
    </row>
    <row r="3129" spans="1:12">
      <c r="A3129" s="93">
        <v>226930</v>
      </c>
      <c r="B3129" t="s">
        <v>3630</v>
      </c>
      <c r="C3129" t="s">
        <v>5606</v>
      </c>
      <c r="D3129" s="92">
        <v>0.21</v>
      </c>
      <c r="E3129" s="92">
        <v>0.21</v>
      </c>
      <c r="F3129" t="s">
        <v>428</v>
      </c>
      <c r="G3129" t="s">
        <v>428</v>
      </c>
      <c r="H3129" t="s">
        <v>5615</v>
      </c>
      <c r="I3129">
        <v>0</v>
      </c>
      <c r="J3129" t="s">
        <v>87</v>
      </c>
      <c r="K3129">
        <v>0</v>
      </c>
      <c r="L3129">
        <v>0</v>
      </c>
    </row>
    <row r="3130" spans="1:12">
      <c r="A3130" s="93">
        <v>227146</v>
      </c>
      <c r="B3130" t="s">
        <v>3631</v>
      </c>
      <c r="C3130" t="s">
        <v>5606</v>
      </c>
      <c r="D3130" s="92">
        <v>0.31</v>
      </c>
      <c r="E3130" s="92">
        <v>0.29</v>
      </c>
      <c r="F3130" t="s">
        <v>428</v>
      </c>
      <c r="G3130" t="s">
        <v>428</v>
      </c>
      <c r="H3130" t="s">
        <v>5615</v>
      </c>
      <c r="I3130">
        <v>0</v>
      </c>
      <c r="J3130" t="s">
        <v>87</v>
      </c>
      <c r="K3130">
        <v>0</v>
      </c>
      <c r="L3130">
        <v>0</v>
      </c>
    </row>
    <row r="3131" spans="1:12">
      <c r="A3131" s="93">
        <v>227182</v>
      </c>
      <c r="B3131" t="s">
        <v>3632</v>
      </c>
      <c r="C3131" t="s">
        <v>5606</v>
      </c>
      <c r="D3131" s="92">
        <v>0.21</v>
      </c>
      <c r="E3131" s="92">
        <v>0.19</v>
      </c>
      <c r="F3131" t="s">
        <v>428</v>
      </c>
      <c r="G3131" t="s">
        <v>428</v>
      </c>
      <c r="H3131" t="s">
        <v>5615</v>
      </c>
      <c r="I3131">
        <v>0</v>
      </c>
      <c r="J3131" t="s">
        <v>87</v>
      </c>
      <c r="K3131">
        <v>0</v>
      </c>
      <c r="L3131">
        <v>0</v>
      </c>
    </row>
    <row r="3132" spans="1:12">
      <c r="A3132" s="93">
        <v>227191</v>
      </c>
      <c r="B3132" t="s">
        <v>3633</v>
      </c>
      <c r="C3132" t="s">
        <v>5606</v>
      </c>
      <c r="D3132" s="92">
        <v>0.25</v>
      </c>
      <c r="E3132" s="92">
        <v>0.21</v>
      </c>
      <c r="F3132" t="s">
        <v>428</v>
      </c>
      <c r="G3132" t="s">
        <v>428</v>
      </c>
      <c r="H3132" t="s">
        <v>5615</v>
      </c>
      <c r="I3132">
        <v>0</v>
      </c>
      <c r="J3132" t="s">
        <v>87</v>
      </c>
      <c r="K3132">
        <v>0</v>
      </c>
      <c r="L3132">
        <v>0</v>
      </c>
    </row>
    <row r="3133" spans="1:12">
      <c r="A3133" s="93">
        <v>227216</v>
      </c>
      <c r="B3133" t="s">
        <v>3634</v>
      </c>
      <c r="C3133" t="s">
        <v>5602</v>
      </c>
      <c r="D3133" s="92">
        <v>0.52</v>
      </c>
      <c r="E3133" s="92">
        <v>0.49</v>
      </c>
      <c r="F3133">
        <v>21</v>
      </c>
      <c r="G3133">
        <v>23.5</v>
      </c>
      <c r="H3133" t="s">
        <v>5617</v>
      </c>
      <c r="I3133">
        <v>0</v>
      </c>
      <c r="J3133" t="s">
        <v>87</v>
      </c>
      <c r="K3133">
        <v>0</v>
      </c>
      <c r="L3133">
        <v>0</v>
      </c>
    </row>
    <row r="3134" spans="1:12">
      <c r="A3134" s="93">
        <v>227225</v>
      </c>
      <c r="B3134" t="s">
        <v>3635</v>
      </c>
      <c r="C3134" t="s">
        <v>5606</v>
      </c>
      <c r="D3134" s="92">
        <v>0.27</v>
      </c>
      <c r="E3134" s="92">
        <v>0.25</v>
      </c>
      <c r="F3134" t="s">
        <v>428</v>
      </c>
      <c r="G3134" t="s">
        <v>428</v>
      </c>
      <c r="H3134" t="s">
        <v>5615</v>
      </c>
      <c r="I3134">
        <v>0</v>
      </c>
      <c r="J3134" t="s">
        <v>87</v>
      </c>
      <c r="K3134">
        <v>0</v>
      </c>
      <c r="L3134">
        <v>0</v>
      </c>
    </row>
    <row r="3135" spans="1:12">
      <c r="A3135" s="93">
        <v>227289</v>
      </c>
      <c r="B3135" t="s">
        <v>3636</v>
      </c>
      <c r="C3135" t="s">
        <v>5607</v>
      </c>
      <c r="D3135" s="92" t="s">
        <v>428</v>
      </c>
      <c r="E3135" s="92" t="s">
        <v>428</v>
      </c>
      <c r="F3135" t="s">
        <v>428</v>
      </c>
      <c r="G3135" t="s">
        <v>428</v>
      </c>
      <c r="H3135" t="s">
        <v>5615</v>
      </c>
      <c r="I3135">
        <v>0</v>
      </c>
      <c r="J3135" t="s">
        <v>87</v>
      </c>
      <c r="K3135">
        <v>0</v>
      </c>
      <c r="L3135">
        <v>0</v>
      </c>
    </row>
    <row r="3136" spans="1:12">
      <c r="A3136" s="93">
        <v>227304</v>
      </c>
      <c r="B3136" t="s">
        <v>3637</v>
      </c>
      <c r="C3136" t="s">
        <v>5606</v>
      </c>
      <c r="D3136" s="92">
        <v>0.35</v>
      </c>
      <c r="E3136" s="92">
        <v>0.31</v>
      </c>
      <c r="F3136" t="s">
        <v>428</v>
      </c>
      <c r="G3136" t="s">
        <v>428</v>
      </c>
      <c r="H3136" t="s">
        <v>5615</v>
      </c>
      <c r="I3136">
        <v>0</v>
      </c>
      <c r="J3136" t="s">
        <v>87</v>
      </c>
      <c r="K3136">
        <v>0</v>
      </c>
      <c r="L3136">
        <v>0</v>
      </c>
    </row>
    <row r="3137" spans="1:12">
      <c r="A3137" s="93">
        <v>227331</v>
      </c>
      <c r="B3137" t="s">
        <v>3638</v>
      </c>
      <c r="C3137" t="s">
        <v>5608</v>
      </c>
      <c r="D3137" s="92">
        <v>0.38</v>
      </c>
      <c r="E3137" s="92">
        <v>0.41</v>
      </c>
      <c r="F3137">
        <v>18</v>
      </c>
      <c r="G3137">
        <v>20</v>
      </c>
      <c r="H3137" t="s">
        <v>5617</v>
      </c>
      <c r="I3137">
        <v>0</v>
      </c>
      <c r="J3137" t="s">
        <v>87</v>
      </c>
      <c r="K3137">
        <v>0</v>
      </c>
      <c r="L3137">
        <v>0</v>
      </c>
    </row>
    <row r="3138" spans="1:12">
      <c r="A3138" s="93">
        <v>227368</v>
      </c>
      <c r="B3138" t="s">
        <v>3639</v>
      </c>
      <c r="C3138" t="s">
        <v>5604</v>
      </c>
      <c r="D3138" s="92">
        <v>0.41</v>
      </c>
      <c r="E3138" s="92">
        <v>0.41</v>
      </c>
      <c r="F3138">
        <v>18</v>
      </c>
      <c r="G3138">
        <v>20</v>
      </c>
      <c r="H3138" t="s">
        <v>5615</v>
      </c>
      <c r="I3138">
        <v>0</v>
      </c>
      <c r="J3138" t="s">
        <v>87</v>
      </c>
      <c r="K3138">
        <v>0</v>
      </c>
      <c r="L3138">
        <v>0</v>
      </c>
    </row>
    <row r="3139" spans="1:12">
      <c r="A3139" s="93">
        <v>227377</v>
      </c>
      <c r="B3139" t="s">
        <v>3640</v>
      </c>
      <c r="C3139" t="s">
        <v>5606</v>
      </c>
      <c r="D3139" s="92" t="s">
        <v>428</v>
      </c>
      <c r="E3139" s="92" t="s">
        <v>428</v>
      </c>
      <c r="F3139" t="s">
        <v>428</v>
      </c>
      <c r="G3139" t="s">
        <v>428</v>
      </c>
      <c r="H3139" t="s">
        <v>5615</v>
      </c>
      <c r="I3139">
        <v>0</v>
      </c>
      <c r="J3139" t="s">
        <v>87</v>
      </c>
      <c r="K3139">
        <v>0</v>
      </c>
      <c r="L3139">
        <v>0</v>
      </c>
    </row>
    <row r="3140" spans="1:12">
      <c r="A3140" s="93">
        <v>227386</v>
      </c>
      <c r="B3140" t="s">
        <v>3641</v>
      </c>
      <c r="C3140" t="s">
        <v>5606</v>
      </c>
      <c r="D3140" s="92">
        <v>0.29</v>
      </c>
      <c r="E3140" s="92">
        <v>0.24</v>
      </c>
      <c r="F3140" t="s">
        <v>428</v>
      </c>
      <c r="G3140" t="s">
        <v>428</v>
      </c>
      <c r="H3140" t="s">
        <v>5615</v>
      </c>
      <c r="I3140">
        <v>0</v>
      </c>
      <c r="J3140" t="s">
        <v>87</v>
      </c>
      <c r="K3140">
        <v>0</v>
      </c>
      <c r="L3140">
        <v>0</v>
      </c>
    </row>
    <row r="3141" spans="1:12">
      <c r="A3141" s="93">
        <v>227401</v>
      </c>
      <c r="B3141" t="s">
        <v>3642</v>
      </c>
      <c r="C3141" t="s">
        <v>5606</v>
      </c>
      <c r="D3141" s="92">
        <v>0.37</v>
      </c>
      <c r="E3141" s="92">
        <v>0.34</v>
      </c>
      <c r="F3141" t="s">
        <v>428</v>
      </c>
      <c r="G3141" t="s">
        <v>428</v>
      </c>
      <c r="H3141" t="s">
        <v>5615</v>
      </c>
      <c r="I3141">
        <v>0</v>
      </c>
      <c r="J3141" t="s">
        <v>87</v>
      </c>
      <c r="K3141">
        <v>0</v>
      </c>
      <c r="L3141">
        <v>0</v>
      </c>
    </row>
    <row r="3142" spans="1:12">
      <c r="A3142" s="93">
        <v>227429</v>
      </c>
      <c r="B3142" t="s">
        <v>3643</v>
      </c>
      <c r="C3142" t="s">
        <v>5608</v>
      </c>
      <c r="D3142" s="92">
        <v>0.08</v>
      </c>
      <c r="E3142" s="92">
        <v>0.23</v>
      </c>
      <c r="F3142">
        <v>12</v>
      </c>
      <c r="G3142">
        <v>18.5</v>
      </c>
      <c r="H3142" t="s">
        <v>5613</v>
      </c>
      <c r="I3142">
        <v>1</v>
      </c>
      <c r="J3142" t="s">
        <v>138</v>
      </c>
      <c r="K3142">
        <v>0</v>
      </c>
      <c r="L3142">
        <v>0</v>
      </c>
    </row>
    <row r="3143" spans="1:12">
      <c r="A3143" s="93">
        <v>227526</v>
      </c>
      <c r="B3143" t="s">
        <v>3644</v>
      </c>
      <c r="C3143" t="s">
        <v>5608</v>
      </c>
      <c r="D3143" s="92">
        <v>0.31</v>
      </c>
      <c r="E3143" s="92">
        <v>0.46</v>
      </c>
      <c r="F3143">
        <v>15</v>
      </c>
      <c r="G3143">
        <v>17</v>
      </c>
      <c r="H3143" t="s">
        <v>5616</v>
      </c>
      <c r="I3143">
        <v>0</v>
      </c>
      <c r="J3143" t="s">
        <v>138</v>
      </c>
      <c r="K3143">
        <v>0</v>
      </c>
      <c r="L3143">
        <v>0</v>
      </c>
    </row>
    <row r="3144" spans="1:12">
      <c r="A3144" s="93">
        <v>227687</v>
      </c>
      <c r="B3144" t="s">
        <v>3645</v>
      </c>
      <c r="C3144" t="s">
        <v>5606</v>
      </c>
      <c r="D3144" s="92">
        <v>0.34</v>
      </c>
      <c r="E3144" s="92">
        <v>0.35</v>
      </c>
      <c r="F3144" t="s">
        <v>428</v>
      </c>
      <c r="G3144" t="s">
        <v>428</v>
      </c>
      <c r="H3144" t="s">
        <v>5615</v>
      </c>
      <c r="I3144">
        <v>0</v>
      </c>
      <c r="J3144" t="s">
        <v>87</v>
      </c>
      <c r="K3144">
        <v>0</v>
      </c>
      <c r="L3144">
        <v>0</v>
      </c>
    </row>
    <row r="3145" spans="1:12">
      <c r="A3145" s="93">
        <v>227748</v>
      </c>
      <c r="B3145" t="s">
        <v>3646</v>
      </c>
      <c r="C3145" t="s">
        <v>5606</v>
      </c>
      <c r="D3145" s="92" t="s">
        <v>428</v>
      </c>
      <c r="E3145" s="92" t="s">
        <v>428</v>
      </c>
      <c r="F3145" t="s">
        <v>428</v>
      </c>
      <c r="G3145" t="s">
        <v>428</v>
      </c>
      <c r="H3145" t="s">
        <v>5617</v>
      </c>
      <c r="I3145">
        <v>0</v>
      </c>
      <c r="J3145" t="s">
        <v>87</v>
      </c>
      <c r="K3145">
        <v>0</v>
      </c>
      <c r="L3145">
        <v>0</v>
      </c>
    </row>
    <row r="3146" spans="1:12">
      <c r="A3146" s="93">
        <v>227757</v>
      </c>
      <c r="B3146" t="s">
        <v>3647</v>
      </c>
      <c r="C3146" t="s">
        <v>5611</v>
      </c>
      <c r="D3146" s="92">
        <v>0.93</v>
      </c>
      <c r="E3146" s="92">
        <v>0.89</v>
      </c>
      <c r="F3146">
        <v>32</v>
      </c>
      <c r="G3146">
        <v>33.5</v>
      </c>
      <c r="H3146" t="s">
        <v>5619</v>
      </c>
      <c r="I3146">
        <v>1</v>
      </c>
      <c r="J3146" t="s">
        <v>87</v>
      </c>
      <c r="K3146">
        <v>0</v>
      </c>
      <c r="L3146">
        <v>0</v>
      </c>
    </row>
    <row r="3147" spans="1:12">
      <c r="A3147" s="93">
        <v>227766</v>
      </c>
      <c r="B3147" t="s">
        <v>3648</v>
      </c>
      <c r="C3147" t="s">
        <v>5606</v>
      </c>
      <c r="D3147" s="92">
        <v>0.28</v>
      </c>
      <c r="E3147" s="92">
        <v>0.26</v>
      </c>
      <c r="F3147" t="s">
        <v>428</v>
      </c>
      <c r="G3147" t="s">
        <v>428</v>
      </c>
      <c r="H3147" t="s">
        <v>5615</v>
      </c>
      <c r="I3147">
        <v>0</v>
      </c>
      <c r="J3147" t="s">
        <v>87</v>
      </c>
      <c r="K3147">
        <v>0</v>
      </c>
      <c r="L3147">
        <v>0</v>
      </c>
    </row>
    <row r="3148" spans="1:12">
      <c r="A3148" s="93">
        <v>227836</v>
      </c>
      <c r="B3148" t="s">
        <v>3649</v>
      </c>
      <c r="C3148" t="s">
        <v>5606</v>
      </c>
      <c r="D3148" s="92" t="s">
        <v>428</v>
      </c>
      <c r="E3148" s="92" t="s">
        <v>428</v>
      </c>
      <c r="F3148" t="s">
        <v>428</v>
      </c>
      <c r="G3148" t="s">
        <v>428</v>
      </c>
      <c r="H3148" t="s">
        <v>5617</v>
      </c>
      <c r="I3148">
        <v>0</v>
      </c>
      <c r="J3148" t="s">
        <v>87</v>
      </c>
      <c r="K3148">
        <v>0</v>
      </c>
      <c r="L3148">
        <v>0</v>
      </c>
    </row>
    <row r="3149" spans="1:12">
      <c r="A3149" s="93">
        <v>227845</v>
      </c>
      <c r="B3149" t="s">
        <v>3650</v>
      </c>
      <c r="C3149" t="s">
        <v>5603</v>
      </c>
      <c r="D3149" s="92">
        <v>0.64</v>
      </c>
      <c r="E3149" s="92">
        <v>0.64</v>
      </c>
      <c r="F3149">
        <v>22</v>
      </c>
      <c r="G3149">
        <v>24.5</v>
      </c>
      <c r="H3149" t="s">
        <v>5617</v>
      </c>
      <c r="I3149">
        <v>0</v>
      </c>
      <c r="J3149" t="s">
        <v>87</v>
      </c>
      <c r="K3149">
        <v>0</v>
      </c>
      <c r="L3149">
        <v>0</v>
      </c>
    </row>
    <row r="3150" spans="1:12">
      <c r="A3150" s="93">
        <v>227854</v>
      </c>
      <c r="B3150" t="s">
        <v>3651</v>
      </c>
      <c r="C3150" t="s">
        <v>5606</v>
      </c>
      <c r="D3150" s="92">
        <v>0.44</v>
      </c>
      <c r="E3150" s="92">
        <v>0.59</v>
      </c>
      <c r="F3150" t="s">
        <v>428</v>
      </c>
      <c r="G3150" t="s">
        <v>428</v>
      </c>
      <c r="H3150" t="s">
        <v>5615</v>
      </c>
      <c r="I3150">
        <v>0</v>
      </c>
      <c r="J3150" t="s">
        <v>138</v>
      </c>
      <c r="K3150">
        <v>0</v>
      </c>
      <c r="L3150">
        <v>0</v>
      </c>
    </row>
    <row r="3151" spans="1:12">
      <c r="A3151" s="93">
        <v>227863</v>
      </c>
      <c r="B3151" t="s">
        <v>2153</v>
      </c>
      <c r="C3151" t="s">
        <v>5603</v>
      </c>
      <c r="D3151" s="92">
        <v>0.5600000000000001</v>
      </c>
      <c r="E3151" s="92">
        <v>0.52</v>
      </c>
      <c r="F3151">
        <v>21</v>
      </c>
      <c r="G3151">
        <v>23.5</v>
      </c>
      <c r="H3151" t="s">
        <v>5617</v>
      </c>
      <c r="I3151">
        <v>0</v>
      </c>
      <c r="J3151" t="s">
        <v>87</v>
      </c>
      <c r="K3151">
        <v>0</v>
      </c>
      <c r="L3151">
        <v>0</v>
      </c>
    </row>
    <row r="3152" spans="1:12">
      <c r="A3152" s="93">
        <v>227881</v>
      </c>
      <c r="B3152" t="s">
        <v>3652</v>
      </c>
      <c r="C3152" t="s">
        <v>5602</v>
      </c>
      <c r="D3152" s="92">
        <v>0.51</v>
      </c>
      <c r="E3152" s="92">
        <v>0.49</v>
      </c>
      <c r="F3152">
        <v>19</v>
      </c>
      <c r="G3152">
        <v>21.5</v>
      </c>
      <c r="H3152" t="s">
        <v>5615</v>
      </c>
      <c r="I3152">
        <v>0</v>
      </c>
      <c r="J3152" t="s">
        <v>87</v>
      </c>
      <c r="K3152">
        <v>0</v>
      </c>
      <c r="L3152">
        <v>0</v>
      </c>
    </row>
    <row r="3153" spans="1:12">
      <c r="A3153" s="93">
        <v>227924</v>
      </c>
      <c r="B3153" t="s">
        <v>3653</v>
      </c>
      <c r="C3153" t="s">
        <v>5606</v>
      </c>
      <c r="D3153" s="92">
        <v>0.45</v>
      </c>
      <c r="E3153" s="92">
        <v>0.43</v>
      </c>
      <c r="F3153" t="s">
        <v>428</v>
      </c>
      <c r="G3153" t="s">
        <v>428</v>
      </c>
      <c r="H3153" t="s">
        <v>5615</v>
      </c>
      <c r="I3153">
        <v>0</v>
      </c>
      <c r="J3153" t="s">
        <v>87</v>
      </c>
      <c r="K3153">
        <v>0</v>
      </c>
      <c r="L3153">
        <v>0</v>
      </c>
    </row>
    <row r="3154" spans="1:12">
      <c r="A3154" s="93">
        <v>227979</v>
      </c>
      <c r="B3154" t="s">
        <v>3654</v>
      </c>
      <c r="C3154" t="s">
        <v>5606</v>
      </c>
      <c r="D3154" s="92">
        <v>0.28</v>
      </c>
      <c r="E3154" s="92">
        <v>0.25</v>
      </c>
      <c r="F3154" t="s">
        <v>428</v>
      </c>
      <c r="G3154" t="s">
        <v>428</v>
      </c>
      <c r="H3154" t="s">
        <v>5615</v>
      </c>
      <c r="I3154">
        <v>0</v>
      </c>
      <c r="J3154" t="s">
        <v>87</v>
      </c>
      <c r="K3154">
        <v>0</v>
      </c>
      <c r="L3154">
        <v>0</v>
      </c>
    </row>
    <row r="3155" spans="1:12">
      <c r="A3155" s="93">
        <v>228042</v>
      </c>
      <c r="B3155" t="s">
        <v>3655</v>
      </c>
      <c r="C3155" t="s">
        <v>5608</v>
      </c>
      <c r="D3155" s="92">
        <v>0.42</v>
      </c>
      <c r="E3155" s="92">
        <v>0.47</v>
      </c>
      <c r="F3155">
        <v>19</v>
      </c>
      <c r="G3155">
        <v>21.5</v>
      </c>
      <c r="H3155" t="s">
        <v>5616</v>
      </c>
      <c r="I3155">
        <v>0</v>
      </c>
      <c r="J3155" t="s">
        <v>87</v>
      </c>
      <c r="K3155">
        <v>0</v>
      </c>
      <c r="L3155">
        <v>0</v>
      </c>
    </row>
    <row r="3156" spans="1:12">
      <c r="A3156" s="93">
        <v>228149</v>
      </c>
      <c r="B3156" t="s">
        <v>3656</v>
      </c>
      <c r="C3156" t="s">
        <v>5602</v>
      </c>
      <c r="D3156" s="92">
        <v>0.58</v>
      </c>
      <c r="E3156" s="92">
        <v>0.5600000000000001</v>
      </c>
      <c r="F3156">
        <v>19</v>
      </c>
      <c r="G3156">
        <v>22</v>
      </c>
      <c r="H3156" t="s">
        <v>5616</v>
      </c>
      <c r="I3156">
        <v>0</v>
      </c>
      <c r="J3156" t="s">
        <v>87</v>
      </c>
      <c r="K3156">
        <v>0</v>
      </c>
      <c r="L3156">
        <v>0</v>
      </c>
    </row>
    <row r="3157" spans="1:12">
      <c r="A3157" s="93">
        <v>228158</v>
      </c>
      <c r="B3157" t="s">
        <v>3657</v>
      </c>
      <c r="C3157" t="s">
        <v>5606</v>
      </c>
      <c r="D3157" s="92">
        <v>0.24</v>
      </c>
      <c r="E3157" s="92">
        <v>0.21</v>
      </c>
      <c r="F3157" t="s">
        <v>428</v>
      </c>
      <c r="G3157" t="s">
        <v>428</v>
      </c>
      <c r="H3157" t="s">
        <v>5615</v>
      </c>
      <c r="I3157">
        <v>0</v>
      </c>
      <c r="J3157" t="s">
        <v>87</v>
      </c>
      <c r="K3157">
        <v>0</v>
      </c>
      <c r="L3157">
        <v>0</v>
      </c>
    </row>
    <row r="3158" spans="1:12">
      <c r="A3158" s="93">
        <v>228194</v>
      </c>
      <c r="B3158" t="s">
        <v>3658</v>
      </c>
      <c r="C3158" t="s">
        <v>5607</v>
      </c>
      <c r="D3158" s="92" t="s">
        <v>428</v>
      </c>
      <c r="E3158" s="92" t="s">
        <v>428</v>
      </c>
      <c r="F3158" t="s">
        <v>428</v>
      </c>
      <c r="G3158" t="s">
        <v>428</v>
      </c>
      <c r="H3158" t="s">
        <v>5615</v>
      </c>
      <c r="I3158">
        <v>0</v>
      </c>
      <c r="J3158" t="s">
        <v>87</v>
      </c>
      <c r="K3158">
        <v>0</v>
      </c>
      <c r="L3158">
        <v>0</v>
      </c>
    </row>
    <row r="3159" spans="1:12">
      <c r="A3159" s="93">
        <v>228246</v>
      </c>
      <c r="B3159" t="s">
        <v>3659</v>
      </c>
      <c r="C3159" t="s">
        <v>5612</v>
      </c>
      <c r="D3159" s="92">
        <v>0.79</v>
      </c>
      <c r="E3159" s="92">
        <v>0.8</v>
      </c>
      <c r="F3159">
        <v>28</v>
      </c>
      <c r="G3159">
        <v>30</v>
      </c>
      <c r="H3159" t="s">
        <v>5618</v>
      </c>
      <c r="I3159">
        <v>0</v>
      </c>
      <c r="J3159" t="s">
        <v>87</v>
      </c>
      <c r="K3159">
        <v>0</v>
      </c>
      <c r="L3159">
        <v>0</v>
      </c>
    </row>
    <row r="3160" spans="1:12">
      <c r="A3160" s="93">
        <v>228316</v>
      </c>
      <c r="B3160" t="s">
        <v>3660</v>
      </c>
      <c r="C3160" t="s">
        <v>5606</v>
      </c>
      <c r="D3160" s="92">
        <v>0.32</v>
      </c>
      <c r="E3160" s="92">
        <v>0.31</v>
      </c>
      <c r="F3160" t="s">
        <v>428</v>
      </c>
      <c r="G3160" t="s">
        <v>428</v>
      </c>
      <c r="H3160" t="s">
        <v>5615</v>
      </c>
      <c r="I3160">
        <v>0</v>
      </c>
      <c r="J3160" t="s">
        <v>87</v>
      </c>
      <c r="K3160">
        <v>0</v>
      </c>
      <c r="L3160">
        <v>0</v>
      </c>
    </row>
    <row r="3161" spans="1:12">
      <c r="A3161" s="93">
        <v>228325</v>
      </c>
      <c r="B3161" t="s">
        <v>3661</v>
      </c>
      <c r="C3161" t="s">
        <v>5602</v>
      </c>
      <c r="D3161" s="92">
        <v>0.43</v>
      </c>
      <c r="E3161" s="92">
        <v>0.34</v>
      </c>
      <c r="F3161">
        <v>19</v>
      </c>
      <c r="G3161">
        <v>22</v>
      </c>
      <c r="H3161" t="s">
        <v>5617</v>
      </c>
      <c r="I3161">
        <v>0</v>
      </c>
      <c r="J3161" t="s">
        <v>87</v>
      </c>
      <c r="K3161">
        <v>0</v>
      </c>
      <c r="L3161">
        <v>0</v>
      </c>
    </row>
    <row r="3162" spans="1:12">
      <c r="A3162" s="93">
        <v>228343</v>
      </c>
      <c r="B3162" t="s">
        <v>3662</v>
      </c>
      <c r="C3162" t="s">
        <v>5603</v>
      </c>
      <c r="D3162" s="92">
        <v>0.73</v>
      </c>
      <c r="E3162" s="92">
        <v>0.6899999999999999</v>
      </c>
      <c r="F3162">
        <v>23</v>
      </c>
      <c r="G3162">
        <v>25.5</v>
      </c>
      <c r="H3162" t="s">
        <v>5617</v>
      </c>
      <c r="I3162">
        <v>0</v>
      </c>
      <c r="J3162" t="s">
        <v>87</v>
      </c>
      <c r="K3162">
        <v>0</v>
      </c>
      <c r="L3162">
        <v>0</v>
      </c>
    </row>
    <row r="3163" spans="1:12">
      <c r="A3163" s="93">
        <v>228431</v>
      </c>
      <c r="B3163" t="s">
        <v>3663</v>
      </c>
      <c r="C3163" t="s">
        <v>5608</v>
      </c>
      <c r="D3163" s="92">
        <v>0.44</v>
      </c>
      <c r="E3163" s="92">
        <v>0.37</v>
      </c>
      <c r="F3163">
        <v>19</v>
      </c>
      <c r="G3163">
        <v>21.5</v>
      </c>
      <c r="H3163" t="s">
        <v>5615</v>
      </c>
      <c r="I3163">
        <v>0</v>
      </c>
      <c r="J3163" t="s">
        <v>87</v>
      </c>
      <c r="K3163">
        <v>0</v>
      </c>
      <c r="L3163">
        <v>0</v>
      </c>
    </row>
    <row r="3164" spans="1:12">
      <c r="A3164" s="93">
        <v>228459</v>
      </c>
      <c r="B3164" t="s">
        <v>3664</v>
      </c>
      <c r="C3164" t="s">
        <v>5602</v>
      </c>
      <c r="D3164" s="92">
        <v>0.54</v>
      </c>
      <c r="E3164" s="92">
        <v>0.5</v>
      </c>
      <c r="F3164">
        <v>20</v>
      </c>
      <c r="G3164">
        <v>22.5</v>
      </c>
      <c r="H3164" t="s">
        <v>5615</v>
      </c>
      <c r="I3164">
        <v>0</v>
      </c>
      <c r="J3164" t="s">
        <v>87</v>
      </c>
      <c r="K3164">
        <v>0</v>
      </c>
      <c r="L3164">
        <v>0</v>
      </c>
    </row>
    <row r="3165" spans="1:12">
      <c r="A3165" s="93">
        <v>228468</v>
      </c>
      <c r="B3165" t="s">
        <v>3665</v>
      </c>
      <c r="C3165" t="s">
        <v>5608</v>
      </c>
      <c r="D3165" s="92">
        <v>0.44</v>
      </c>
      <c r="E3165" s="92">
        <v>0.46</v>
      </c>
      <c r="F3165">
        <v>17</v>
      </c>
      <c r="G3165">
        <v>20</v>
      </c>
      <c r="H3165" t="s">
        <v>5617</v>
      </c>
      <c r="I3165">
        <v>0</v>
      </c>
      <c r="J3165" t="s">
        <v>87</v>
      </c>
      <c r="K3165">
        <v>0</v>
      </c>
      <c r="L3165">
        <v>0</v>
      </c>
    </row>
    <row r="3166" spans="1:12">
      <c r="A3166" s="93">
        <v>228486</v>
      </c>
      <c r="B3166" t="s">
        <v>3666</v>
      </c>
      <c r="C3166" t="s">
        <v>5604</v>
      </c>
      <c r="D3166" s="92">
        <v>0.1</v>
      </c>
      <c r="E3166" s="92">
        <v>0.12</v>
      </c>
      <c r="F3166" t="s">
        <v>428</v>
      </c>
      <c r="G3166" t="s">
        <v>428</v>
      </c>
      <c r="H3166" t="s">
        <v>5613</v>
      </c>
      <c r="I3166">
        <v>1</v>
      </c>
      <c r="J3166" t="s">
        <v>138</v>
      </c>
      <c r="K3166">
        <v>0</v>
      </c>
      <c r="L3166">
        <v>0</v>
      </c>
    </row>
    <row r="3167" spans="1:12">
      <c r="A3167" s="93">
        <v>228501</v>
      </c>
      <c r="B3167" t="s">
        <v>3667</v>
      </c>
      <c r="C3167" t="s">
        <v>5608</v>
      </c>
      <c r="D3167" s="92">
        <v>0.2</v>
      </c>
      <c r="E3167" s="92">
        <v>0.2</v>
      </c>
      <c r="F3167">
        <v>16</v>
      </c>
      <c r="G3167">
        <v>18</v>
      </c>
      <c r="H3167" t="s">
        <v>5615</v>
      </c>
      <c r="I3167">
        <v>0</v>
      </c>
      <c r="J3167" t="s">
        <v>87</v>
      </c>
      <c r="K3167">
        <v>0</v>
      </c>
      <c r="L3167">
        <v>0</v>
      </c>
    </row>
    <row r="3168" spans="1:12">
      <c r="A3168" s="93">
        <v>228529</v>
      </c>
      <c r="B3168" t="s">
        <v>3668</v>
      </c>
      <c r="C3168" t="s">
        <v>5608</v>
      </c>
      <c r="D3168" s="92">
        <v>0.43</v>
      </c>
      <c r="E3168" s="92">
        <v>0.37</v>
      </c>
      <c r="F3168">
        <v>18</v>
      </c>
      <c r="G3168">
        <v>20.5</v>
      </c>
      <c r="H3168" t="s">
        <v>5615</v>
      </c>
      <c r="I3168">
        <v>0</v>
      </c>
      <c r="J3168" t="s">
        <v>87</v>
      </c>
      <c r="K3168">
        <v>0</v>
      </c>
      <c r="L3168">
        <v>0</v>
      </c>
    </row>
    <row r="3169" spans="1:12">
      <c r="A3169" s="93">
        <v>228547</v>
      </c>
      <c r="B3169" t="s">
        <v>3669</v>
      </c>
      <c r="C3169" t="s">
        <v>5606</v>
      </c>
      <c r="D3169" s="92">
        <v>0.26</v>
      </c>
      <c r="E3169" s="92">
        <v>0.22</v>
      </c>
      <c r="F3169" t="s">
        <v>428</v>
      </c>
      <c r="G3169" t="s">
        <v>428</v>
      </c>
      <c r="H3169" t="s">
        <v>5615</v>
      </c>
      <c r="I3169">
        <v>0</v>
      </c>
      <c r="J3169" t="s">
        <v>87</v>
      </c>
      <c r="K3169">
        <v>0</v>
      </c>
      <c r="L3169">
        <v>0</v>
      </c>
    </row>
    <row r="3170" spans="1:12">
      <c r="A3170" s="93">
        <v>228608</v>
      </c>
      <c r="B3170" t="s">
        <v>3670</v>
      </c>
      <c r="C3170" t="s">
        <v>5606</v>
      </c>
      <c r="D3170" s="92">
        <v>0.19</v>
      </c>
      <c r="E3170" s="92">
        <v>0.17</v>
      </c>
      <c r="F3170" t="s">
        <v>428</v>
      </c>
      <c r="G3170" t="s">
        <v>428</v>
      </c>
      <c r="H3170" t="s">
        <v>5615</v>
      </c>
      <c r="I3170">
        <v>0</v>
      </c>
      <c r="J3170" t="s">
        <v>87</v>
      </c>
      <c r="K3170">
        <v>0</v>
      </c>
      <c r="L3170">
        <v>0</v>
      </c>
    </row>
    <row r="3171" spans="1:12">
      <c r="A3171" s="93">
        <v>228635</v>
      </c>
      <c r="B3171" t="s">
        <v>3671</v>
      </c>
      <c r="C3171" t="s">
        <v>5607</v>
      </c>
      <c r="D3171" s="92" t="s">
        <v>428</v>
      </c>
      <c r="E3171" s="92" t="s">
        <v>428</v>
      </c>
      <c r="F3171" t="s">
        <v>428</v>
      </c>
      <c r="G3171" t="s">
        <v>428</v>
      </c>
      <c r="H3171" t="s">
        <v>5615</v>
      </c>
      <c r="I3171">
        <v>0</v>
      </c>
      <c r="J3171" t="s">
        <v>87</v>
      </c>
      <c r="K3171">
        <v>0</v>
      </c>
      <c r="L3171">
        <v>0</v>
      </c>
    </row>
    <row r="3172" spans="1:12">
      <c r="A3172" s="93">
        <v>228644</v>
      </c>
      <c r="B3172" t="s">
        <v>3672</v>
      </c>
      <c r="C3172" t="s">
        <v>5607</v>
      </c>
      <c r="D3172" s="92" t="s">
        <v>428</v>
      </c>
      <c r="E3172" s="92" t="s">
        <v>428</v>
      </c>
      <c r="F3172" t="s">
        <v>428</v>
      </c>
      <c r="G3172" t="s">
        <v>428</v>
      </c>
      <c r="H3172" t="s">
        <v>5615</v>
      </c>
      <c r="I3172">
        <v>0</v>
      </c>
      <c r="J3172" t="s">
        <v>87</v>
      </c>
      <c r="K3172">
        <v>0</v>
      </c>
      <c r="L3172">
        <v>0</v>
      </c>
    </row>
    <row r="3173" spans="1:12">
      <c r="A3173" s="93">
        <v>228653</v>
      </c>
      <c r="B3173" t="s">
        <v>3673</v>
      </c>
      <c r="C3173" t="s">
        <v>5607</v>
      </c>
      <c r="D3173" s="92" t="s">
        <v>428</v>
      </c>
      <c r="E3173" s="92" t="s">
        <v>428</v>
      </c>
      <c r="F3173" t="s">
        <v>428</v>
      </c>
      <c r="G3173" t="s">
        <v>428</v>
      </c>
      <c r="H3173" t="s">
        <v>5615</v>
      </c>
      <c r="I3173">
        <v>0</v>
      </c>
      <c r="J3173" t="s">
        <v>87</v>
      </c>
      <c r="K3173">
        <v>0</v>
      </c>
      <c r="L3173">
        <v>0</v>
      </c>
    </row>
    <row r="3174" spans="1:12">
      <c r="A3174" s="93">
        <v>228699</v>
      </c>
      <c r="B3174" t="s">
        <v>3674</v>
      </c>
      <c r="C3174" t="s">
        <v>5606</v>
      </c>
      <c r="D3174" s="92">
        <v>0.28</v>
      </c>
      <c r="E3174" s="92">
        <v>0.22</v>
      </c>
      <c r="F3174" t="s">
        <v>428</v>
      </c>
      <c r="G3174" t="s">
        <v>428</v>
      </c>
      <c r="H3174" t="s">
        <v>5615</v>
      </c>
      <c r="I3174">
        <v>0</v>
      </c>
      <c r="J3174" t="s">
        <v>87</v>
      </c>
      <c r="K3174">
        <v>0</v>
      </c>
      <c r="L3174">
        <v>0</v>
      </c>
    </row>
    <row r="3175" spans="1:12">
      <c r="A3175" s="93">
        <v>228705</v>
      </c>
      <c r="B3175" t="s">
        <v>3675</v>
      </c>
      <c r="C3175" t="s">
        <v>5608</v>
      </c>
      <c r="D3175" s="92">
        <v>0.29</v>
      </c>
      <c r="E3175" s="92">
        <v>0.28</v>
      </c>
      <c r="F3175">
        <v>17</v>
      </c>
      <c r="G3175">
        <v>20</v>
      </c>
      <c r="H3175" t="s">
        <v>5615</v>
      </c>
      <c r="I3175">
        <v>0</v>
      </c>
      <c r="J3175" t="s">
        <v>87</v>
      </c>
      <c r="K3175">
        <v>0</v>
      </c>
      <c r="L3175">
        <v>0</v>
      </c>
    </row>
    <row r="3176" spans="1:12">
      <c r="A3176" s="93">
        <v>228723</v>
      </c>
      <c r="B3176" t="s">
        <v>3676</v>
      </c>
      <c r="C3176" t="s">
        <v>5603</v>
      </c>
      <c r="D3176" s="92">
        <v>0.8</v>
      </c>
      <c r="E3176" s="92">
        <v>0.73</v>
      </c>
      <c r="F3176">
        <v>24</v>
      </c>
      <c r="G3176">
        <v>27</v>
      </c>
      <c r="H3176" t="s">
        <v>5615</v>
      </c>
      <c r="I3176">
        <v>0</v>
      </c>
      <c r="J3176" t="s">
        <v>87</v>
      </c>
      <c r="K3176">
        <v>0</v>
      </c>
      <c r="L3176">
        <v>0</v>
      </c>
    </row>
    <row r="3177" spans="1:12">
      <c r="A3177" s="93">
        <v>228769</v>
      </c>
      <c r="B3177" t="s">
        <v>3677</v>
      </c>
      <c r="C3177" t="s">
        <v>5608</v>
      </c>
      <c r="D3177" s="92">
        <v>0.48</v>
      </c>
      <c r="E3177" s="92">
        <v>0.42</v>
      </c>
      <c r="F3177">
        <v>20</v>
      </c>
      <c r="G3177">
        <v>23</v>
      </c>
      <c r="H3177" t="s">
        <v>5615</v>
      </c>
      <c r="I3177">
        <v>0</v>
      </c>
      <c r="J3177" t="s">
        <v>87</v>
      </c>
      <c r="K3177">
        <v>0</v>
      </c>
      <c r="L3177">
        <v>0</v>
      </c>
    </row>
    <row r="3178" spans="1:12">
      <c r="A3178" s="93">
        <v>228778</v>
      </c>
      <c r="B3178" t="s">
        <v>3678</v>
      </c>
      <c r="C3178" t="s">
        <v>5605</v>
      </c>
      <c r="D3178" s="92">
        <v>0.8100000000000001</v>
      </c>
      <c r="E3178" s="92">
        <v>0.72</v>
      </c>
      <c r="F3178">
        <v>26</v>
      </c>
      <c r="G3178">
        <v>29</v>
      </c>
      <c r="H3178" t="s">
        <v>5615</v>
      </c>
      <c r="I3178">
        <v>0</v>
      </c>
      <c r="J3178" t="s">
        <v>87</v>
      </c>
      <c r="K3178">
        <v>0</v>
      </c>
      <c r="L3178">
        <v>0</v>
      </c>
    </row>
    <row r="3179" spans="1:12">
      <c r="A3179" s="93">
        <v>228787</v>
      </c>
      <c r="B3179" t="s">
        <v>3679</v>
      </c>
      <c r="C3179" t="s">
        <v>5603</v>
      </c>
      <c r="D3179" s="92">
        <v>0.67</v>
      </c>
      <c r="E3179" s="92">
        <v>0.5600000000000001</v>
      </c>
      <c r="F3179">
        <v>25</v>
      </c>
      <c r="G3179">
        <v>28</v>
      </c>
      <c r="H3179" t="s">
        <v>5615</v>
      </c>
      <c r="I3179">
        <v>0</v>
      </c>
      <c r="J3179" t="s">
        <v>87</v>
      </c>
      <c r="K3179">
        <v>0</v>
      </c>
      <c r="L3179">
        <v>0</v>
      </c>
    </row>
    <row r="3180" spans="1:12">
      <c r="A3180" s="93">
        <v>228796</v>
      </c>
      <c r="B3180" t="s">
        <v>3680</v>
      </c>
      <c r="C3180" t="s">
        <v>5604</v>
      </c>
      <c r="D3180" s="92">
        <v>0.39</v>
      </c>
      <c r="E3180" s="92">
        <v>0.37</v>
      </c>
      <c r="F3180">
        <v>17</v>
      </c>
      <c r="G3180">
        <v>19.5</v>
      </c>
      <c r="H3180" t="s">
        <v>5615</v>
      </c>
      <c r="I3180">
        <v>0</v>
      </c>
      <c r="J3180" t="s">
        <v>87</v>
      </c>
      <c r="K3180">
        <v>0</v>
      </c>
      <c r="L3180">
        <v>0</v>
      </c>
    </row>
    <row r="3181" spans="1:12">
      <c r="A3181" s="93">
        <v>228802</v>
      </c>
      <c r="B3181" t="s">
        <v>3681</v>
      </c>
      <c r="C3181" t="s">
        <v>5602</v>
      </c>
      <c r="D3181" s="92">
        <v>0.42</v>
      </c>
      <c r="E3181" s="92">
        <v>0.39</v>
      </c>
      <c r="F3181">
        <v>20</v>
      </c>
      <c r="G3181">
        <v>22.5</v>
      </c>
      <c r="H3181" t="s">
        <v>5615</v>
      </c>
      <c r="I3181">
        <v>0</v>
      </c>
      <c r="J3181" t="s">
        <v>87</v>
      </c>
      <c r="K3181">
        <v>0</v>
      </c>
      <c r="L3181">
        <v>0</v>
      </c>
    </row>
    <row r="3182" spans="1:12">
      <c r="A3182" s="93">
        <v>228866</v>
      </c>
      <c r="B3182" t="s">
        <v>3682</v>
      </c>
      <c r="C3182" t="s">
        <v>5607</v>
      </c>
      <c r="D3182" s="92" t="s">
        <v>428</v>
      </c>
      <c r="E3182" s="92" t="s">
        <v>428</v>
      </c>
      <c r="F3182" t="s">
        <v>428</v>
      </c>
      <c r="G3182" t="s">
        <v>428</v>
      </c>
      <c r="H3182" t="s">
        <v>5615</v>
      </c>
      <c r="I3182">
        <v>0</v>
      </c>
      <c r="J3182" t="s">
        <v>87</v>
      </c>
      <c r="K3182">
        <v>0</v>
      </c>
      <c r="L3182">
        <v>0</v>
      </c>
    </row>
    <row r="3183" spans="1:12">
      <c r="A3183" s="93">
        <v>228875</v>
      </c>
      <c r="B3183" t="s">
        <v>3683</v>
      </c>
      <c r="C3183" t="s">
        <v>5605</v>
      </c>
      <c r="D3183" s="92">
        <v>0.77</v>
      </c>
      <c r="E3183" s="92">
        <v>0.71</v>
      </c>
      <c r="F3183">
        <v>25</v>
      </c>
      <c r="G3183">
        <v>27.5</v>
      </c>
      <c r="H3183" t="s">
        <v>5618</v>
      </c>
      <c r="I3183">
        <v>0</v>
      </c>
      <c r="J3183" t="s">
        <v>87</v>
      </c>
      <c r="K3183">
        <v>0</v>
      </c>
      <c r="L3183">
        <v>0</v>
      </c>
    </row>
    <row r="3184" spans="1:12">
      <c r="A3184" s="93">
        <v>228884</v>
      </c>
      <c r="B3184" t="s">
        <v>3684</v>
      </c>
      <c r="C3184" t="s">
        <v>5604</v>
      </c>
      <c r="D3184" s="92">
        <v>0.18</v>
      </c>
      <c r="E3184" s="92">
        <v>0.33</v>
      </c>
      <c r="F3184" t="s">
        <v>428</v>
      </c>
      <c r="G3184" t="s">
        <v>428</v>
      </c>
      <c r="H3184" t="s">
        <v>5617</v>
      </c>
      <c r="I3184">
        <v>0</v>
      </c>
      <c r="J3184" t="s">
        <v>138</v>
      </c>
      <c r="K3184">
        <v>0</v>
      </c>
      <c r="L3184">
        <v>0</v>
      </c>
    </row>
    <row r="3185" spans="1:12">
      <c r="A3185" s="93">
        <v>228909</v>
      </c>
      <c r="B3185" t="s">
        <v>3685</v>
      </c>
      <c r="C3185" t="s">
        <v>5607</v>
      </c>
      <c r="D3185" s="92" t="s">
        <v>428</v>
      </c>
      <c r="E3185" s="92" t="s">
        <v>428</v>
      </c>
      <c r="F3185" t="s">
        <v>428</v>
      </c>
      <c r="G3185" t="s">
        <v>428</v>
      </c>
      <c r="H3185" t="s">
        <v>5615</v>
      </c>
      <c r="I3185">
        <v>0</v>
      </c>
      <c r="J3185" t="s">
        <v>87</v>
      </c>
      <c r="K3185">
        <v>0</v>
      </c>
      <c r="L3185">
        <v>0</v>
      </c>
    </row>
    <row r="3186" spans="1:12">
      <c r="A3186" s="93">
        <v>228981</v>
      </c>
      <c r="B3186" t="s">
        <v>3686</v>
      </c>
      <c r="C3186" t="s">
        <v>5602</v>
      </c>
      <c r="D3186" s="92">
        <v>0.48</v>
      </c>
      <c r="E3186" s="92">
        <v>0.38</v>
      </c>
      <c r="F3186">
        <v>18</v>
      </c>
      <c r="G3186">
        <v>20.5</v>
      </c>
      <c r="H3186" t="s">
        <v>5617</v>
      </c>
      <c r="I3186">
        <v>0</v>
      </c>
      <c r="J3186" t="s">
        <v>87</v>
      </c>
      <c r="K3186">
        <v>0</v>
      </c>
      <c r="L3186">
        <v>0</v>
      </c>
    </row>
    <row r="3187" spans="1:12">
      <c r="A3187" s="93">
        <v>229018</v>
      </c>
      <c r="B3187" t="s">
        <v>3687</v>
      </c>
      <c r="C3187" t="s">
        <v>5608</v>
      </c>
      <c r="D3187" s="92">
        <v>0.36</v>
      </c>
      <c r="E3187" s="92">
        <v>0.35</v>
      </c>
      <c r="F3187">
        <v>18</v>
      </c>
      <c r="G3187">
        <v>20</v>
      </c>
      <c r="H3187" t="s">
        <v>5615</v>
      </c>
      <c r="I3187">
        <v>0</v>
      </c>
      <c r="J3187" t="s">
        <v>87</v>
      </c>
      <c r="K3187">
        <v>0</v>
      </c>
      <c r="L3187">
        <v>0</v>
      </c>
    </row>
    <row r="3188" spans="1:12">
      <c r="A3188" s="93">
        <v>229027</v>
      </c>
      <c r="B3188" t="s">
        <v>3688</v>
      </c>
      <c r="C3188" t="s">
        <v>5602</v>
      </c>
      <c r="D3188" s="92">
        <v>0.35</v>
      </c>
      <c r="E3188" s="92">
        <v>0.36</v>
      </c>
      <c r="F3188">
        <v>20</v>
      </c>
      <c r="G3188">
        <v>22.5</v>
      </c>
      <c r="H3188" t="s">
        <v>5615</v>
      </c>
      <c r="I3188">
        <v>0</v>
      </c>
      <c r="J3188" t="s">
        <v>87</v>
      </c>
      <c r="K3188">
        <v>0</v>
      </c>
      <c r="L3188">
        <v>0</v>
      </c>
    </row>
    <row r="3189" spans="1:12">
      <c r="A3189" s="93">
        <v>229036</v>
      </c>
      <c r="B3189" t="s">
        <v>3689</v>
      </c>
      <c r="C3189" t="s">
        <v>5606</v>
      </c>
      <c r="D3189" s="92" t="s">
        <v>428</v>
      </c>
      <c r="E3189" s="92" t="s">
        <v>428</v>
      </c>
      <c r="F3189" t="s">
        <v>428</v>
      </c>
      <c r="G3189" t="s">
        <v>428</v>
      </c>
      <c r="H3189" t="s">
        <v>5617</v>
      </c>
      <c r="I3189">
        <v>0</v>
      </c>
      <c r="J3189" t="s">
        <v>87</v>
      </c>
      <c r="K3189">
        <v>0</v>
      </c>
      <c r="L3189">
        <v>0</v>
      </c>
    </row>
    <row r="3190" spans="1:12">
      <c r="A3190" s="93">
        <v>229063</v>
      </c>
      <c r="B3190" t="s">
        <v>3690</v>
      </c>
      <c r="C3190" t="s">
        <v>5608</v>
      </c>
      <c r="D3190" s="92">
        <v>0.17</v>
      </c>
      <c r="E3190" s="92">
        <v>0.32</v>
      </c>
      <c r="F3190">
        <v>15</v>
      </c>
      <c r="G3190">
        <v>17</v>
      </c>
      <c r="H3190" t="s">
        <v>5617</v>
      </c>
      <c r="I3190">
        <v>0</v>
      </c>
      <c r="J3190" t="s">
        <v>138</v>
      </c>
      <c r="K3190">
        <v>0</v>
      </c>
      <c r="L3190">
        <v>0</v>
      </c>
    </row>
    <row r="3191" spans="1:12">
      <c r="A3191" s="93">
        <v>229115</v>
      </c>
      <c r="B3191" t="s">
        <v>3691</v>
      </c>
      <c r="C3191" t="s">
        <v>5602</v>
      </c>
      <c r="D3191" s="92">
        <v>0.6</v>
      </c>
      <c r="E3191" s="92">
        <v>0.52</v>
      </c>
      <c r="F3191">
        <v>22</v>
      </c>
      <c r="G3191">
        <v>24.5</v>
      </c>
      <c r="H3191" t="s">
        <v>5617</v>
      </c>
      <c r="I3191">
        <v>0</v>
      </c>
      <c r="J3191" t="s">
        <v>87</v>
      </c>
      <c r="K3191">
        <v>0</v>
      </c>
      <c r="L3191">
        <v>0</v>
      </c>
    </row>
    <row r="3192" spans="1:12">
      <c r="A3192" s="93">
        <v>229160</v>
      </c>
      <c r="B3192" t="s">
        <v>3692</v>
      </c>
      <c r="C3192" t="s">
        <v>5602</v>
      </c>
      <c r="D3192" s="92">
        <v>0.35</v>
      </c>
      <c r="E3192" s="92">
        <v>0.33</v>
      </c>
      <c r="F3192">
        <v>19</v>
      </c>
      <c r="G3192">
        <v>21</v>
      </c>
      <c r="H3192" t="s">
        <v>5617</v>
      </c>
      <c r="I3192">
        <v>0</v>
      </c>
      <c r="J3192" t="s">
        <v>87</v>
      </c>
      <c r="K3192">
        <v>0</v>
      </c>
      <c r="L3192">
        <v>0</v>
      </c>
    </row>
    <row r="3193" spans="1:12">
      <c r="A3193" s="93">
        <v>229179</v>
      </c>
      <c r="B3193" t="s">
        <v>3693</v>
      </c>
      <c r="C3193" t="s">
        <v>5608</v>
      </c>
      <c r="D3193" s="92">
        <v>0.41</v>
      </c>
      <c r="E3193" s="92">
        <v>0.36</v>
      </c>
      <c r="F3193">
        <v>17</v>
      </c>
      <c r="G3193">
        <v>20</v>
      </c>
      <c r="H3193" t="s">
        <v>5615</v>
      </c>
      <c r="I3193">
        <v>0</v>
      </c>
      <c r="J3193" t="s">
        <v>87</v>
      </c>
      <c r="K3193">
        <v>0</v>
      </c>
      <c r="L3193">
        <v>0</v>
      </c>
    </row>
    <row r="3194" spans="1:12">
      <c r="A3194" s="93">
        <v>229267</v>
      </c>
      <c r="B3194" t="s">
        <v>3694</v>
      </c>
      <c r="C3194" t="s">
        <v>5605</v>
      </c>
      <c r="D3194" s="92">
        <v>0.8100000000000001</v>
      </c>
      <c r="E3194" s="92">
        <v>0.75</v>
      </c>
      <c r="F3194">
        <v>27</v>
      </c>
      <c r="G3194">
        <v>29</v>
      </c>
      <c r="H3194" t="s">
        <v>5627</v>
      </c>
      <c r="I3194">
        <v>0</v>
      </c>
      <c r="J3194" t="s">
        <v>87</v>
      </c>
      <c r="K3194">
        <v>0</v>
      </c>
      <c r="L3194">
        <v>0</v>
      </c>
    </row>
    <row r="3195" spans="1:12">
      <c r="A3195" s="93">
        <v>229300</v>
      </c>
      <c r="B3195" t="s">
        <v>3695</v>
      </c>
      <c r="C3195" t="s">
        <v>5607</v>
      </c>
      <c r="D3195" s="92" t="s">
        <v>428</v>
      </c>
      <c r="E3195" s="92" t="s">
        <v>428</v>
      </c>
      <c r="F3195" t="s">
        <v>428</v>
      </c>
      <c r="G3195" t="s">
        <v>428</v>
      </c>
      <c r="H3195" t="s">
        <v>5615</v>
      </c>
      <c r="I3195">
        <v>0</v>
      </c>
      <c r="J3195" t="s">
        <v>87</v>
      </c>
      <c r="K3195">
        <v>0</v>
      </c>
      <c r="L3195">
        <v>0</v>
      </c>
    </row>
    <row r="3196" spans="1:12">
      <c r="A3196" s="93">
        <v>229337</v>
      </c>
      <c r="B3196" t="s">
        <v>3696</v>
      </c>
      <c r="C3196" t="s">
        <v>5607</v>
      </c>
      <c r="D3196" s="92" t="s">
        <v>428</v>
      </c>
      <c r="E3196" s="92" t="s">
        <v>428</v>
      </c>
      <c r="F3196" t="s">
        <v>428</v>
      </c>
      <c r="G3196" t="s">
        <v>428</v>
      </c>
      <c r="H3196" t="s">
        <v>5615</v>
      </c>
      <c r="I3196">
        <v>0</v>
      </c>
      <c r="J3196" t="s">
        <v>87</v>
      </c>
      <c r="K3196">
        <v>0</v>
      </c>
      <c r="L3196">
        <v>0</v>
      </c>
    </row>
    <row r="3197" spans="1:12">
      <c r="A3197" s="93">
        <v>229355</v>
      </c>
      <c r="B3197" t="s">
        <v>3697</v>
      </c>
      <c r="C3197" t="s">
        <v>5604</v>
      </c>
      <c r="D3197" s="92">
        <v>0.19</v>
      </c>
      <c r="E3197" s="92">
        <v>0.15</v>
      </c>
      <c r="F3197" t="s">
        <v>428</v>
      </c>
      <c r="G3197" t="s">
        <v>428</v>
      </c>
      <c r="H3197" t="s">
        <v>5615</v>
      </c>
      <c r="I3197">
        <v>0</v>
      </c>
      <c r="J3197" t="s">
        <v>87</v>
      </c>
      <c r="K3197">
        <v>0</v>
      </c>
      <c r="L3197">
        <v>0</v>
      </c>
    </row>
    <row r="3198" spans="1:12">
      <c r="A3198" s="93">
        <v>229416</v>
      </c>
      <c r="B3198" t="s">
        <v>3698</v>
      </c>
      <c r="C3198" t="s">
        <v>5606</v>
      </c>
      <c r="D3198" s="92">
        <v>0.6</v>
      </c>
      <c r="E3198" s="92">
        <v>0.58</v>
      </c>
      <c r="F3198" t="s">
        <v>428</v>
      </c>
      <c r="G3198" t="s">
        <v>428</v>
      </c>
      <c r="H3198" t="s">
        <v>5617</v>
      </c>
      <c r="I3198">
        <v>0</v>
      </c>
      <c r="J3198" t="s">
        <v>87</v>
      </c>
      <c r="K3198">
        <v>0</v>
      </c>
      <c r="L3198">
        <v>0</v>
      </c>
    </row>
    <row r="3199" spans="1:12">
      <c r="A3199" s="93">
        <v>229504</v>
      </c>
      <c r="B3199" t="s">
        <v>3699</v>
      </c>
      <c r="C3199" t="s">
        <v>5606</v>
      </c>
      <c r="D3199" s="92">
        <v>0.36</v>
      </c>
      <c r="E3199" s="92">
        <v>0.32</v>
      </c>
      <c r="F3199" t="s">
        <v>428</v>
      </c>
      <c r="G3199" t="s">
        <v>428</v>
      </c>
      <c r="H3199" t="s">
        <v>5615</v>
      </c>
      <c r="I3199">
        <v>0</v>
      </c>
      <c r="J3199" t="s">
        <v>87</v>
      </c>
      <c r="K3199">
        <v>0</v>
      </c>
      <c r="L3199">
        <v>0</v>
      </c>
    </row>
    <row r="3200" spans="1:12">
      <c r="A3200" s="93">
        <v>229540</v>
      </c>
      <c r="B3200" t="s">
        <v>3700</v>
      </c>
      <c r="C3200" t="s">
        <v>5606</v>
      </c>
      <c r="D3200" s="92">
        <v>0.26</v>
      </c>
      <c r="E3200" s="92">
        <v>0.19</v>
      </c>
      <c r="F3200" t="s">
        <v>428</v>
      </c>
      <c r="G3200" t="s">
        <v>428</v>
      </c>
      <c r="H3200" t="s">
        <v>5615</v>
      </c>
      <c r="I3200">
        <v>0</v>
      </c>
      <c r="J3200" t="s">
        <v>87</v>
      </c>
      <c r="K3200">
        <v>0</v>
      </c>
      <c r="L3200">
        <v>0</v>
      </c>
    </row>
    <row r="3201" spans="1:12">
      <c r="A3201" s="93">
        <v>229780</v>
      </c>
      <c r="B3201" t="s">
        <v>3701</v>
      </c>
      <c r="C3201" t="s">
        <v>5608</v>
      </c>
      <c r="D3201" s="92">
        <v>0.29</v>
      </c>
      <c r="E3201" s="92">
        <v>0.2</v>
      </c>
      <c r="F3201">
        <v>16</v>
      </c>
      <c r="G3201">
        <v>19</v>
      </c>
      <c r="H3201" t="s">
        <v>5616</v>
      </c>
      <c r="I3201">
        <v>0</v>
      </c>
      <c r="J3201" t="s">
        <v>87</v>
      </c>
      <c r="K3201">
        <v>0</v>
      </c>
      <c r="L3201">
        <v>0</v>
      </c>
    </row>
    <row r="3202" spans="1:12">
      <c r="A3202" s="93">
        <v>229799</v>
      </c>
      <c r="B3202" t="s">
        <v>3702</v>
      </c>
      <c r="C3202" t="s">
        <v>5606</v>
      </c>
      <c r="D3202" s="92">
        <v>0.28</v>
      </c>
      <c r="E3202" s="92">
        <v>0.24</v>
      </c>
      <c r="F3202" t="s">
        <v>428</v>
      </c>
      <c r="G3202" t="s">
        <v>428</v>
      </c>
      <c r="H3202" t="s">
        <v>5615</v>
      </c>
      <c r="I3202">
        <v>0</v>
      </c>
      <c r="J3202" t="s">
        <v>87</v>
      </c>
      <c r="K3202">
        <v>0</v>
      </c>
      <c r="L3202">
        <v>0</v>
      </c>
    </row>
    <row r="3203" spans="1:12">
      <c r="A3203" s="93">
        <v>229814</v>
      </c>
      <c r="B3203" t="s">
        <v>3703</v>
      </c>
      <c r="C3203" t="s">
        <v>5602</v>
      </c>
      <c r="D3203" s="92">
        <v>0.44</v>
      </c>
      <c r="E3203" s="92">
        <v>0.31</v>
      </c>
      <c r="F3203">
        <v>18</v>
      </c>
      <c r="G3203">
        <v>21</v>
      </c>
      <c r="H3203" t="s">
        <v>5615</v>
      </c>
      <c r="I3203">
        <v>0</v>
      </c>
      <c r="J3203" t="s">
        <v>87</v>
      </c>
      <c r="K3203">
        <v>0</v>
      </c>
      <c r="L3203">
        <v>0</v>
      </c>
    </row>
    <row r="3204" spans="1:12">
      <c r="A3204" s="93">
        <v>229832</v>
      </c>
      <c r="B3204" t="s">
        <v>3704</v>
      </c>
      <c r="C3204" t="s">
        <v>5606</v>
      </c>
      <c r="D3204" s="92">
        <v>0.51</v>
      </c>
      <c r="E3204" s="92">
        <v>0.51</v>
      </c>
      <c r="F3204" t="s">
        <v>428</v>
      </c>
      <c r="G3204" t="s">
        <v>428</v>
      </c>
      <c r="H3204" t="s">
        <v>5615</v>
      </c>
      <c r="I3204">
        <v>0</v>
      </c>
      <c r="J3204" t="s">
        <v>87</v>
      </c>
      <c r="K3204">
        <v>0</v>
      </c>
      <c r="L3204">
        <v>0</v>
      </c>
    </row>
    <row r="3205" spans="1:12">
      <c r="A3205" s="93">
        <v>229841</v>
      </c>
      <c r="B3205" t="s">
        <v>3705</v>
      </c>
      <c r="C3205" t="s">
        <v>5606</v>
      </c>
      <c r="D3205" s="92">
        <v>0.38</v>
      </c>
      <c r="E3205" s="92">
        <v>0.32</v>
      </c>
      <c r="F3205" t="s">
        <v>428</v>
      </c>
      <c r="G3205" t="s">
        <v>428</v>
      </c>
      <c r="H3205" t="s">
        <v>5615</v>
      </c>
      <c r="I3205">
        <v>0</v>
      </c>
      <c r="J3205" t="s">
        <v>87</v>
      </c>
      <c r="K3205">
        <v>0</v>
      </c>
      <c r="L3205">
        <v>0</v>
      </c>
    </row>
    <row r="3206" spans="1:12">
      <c r="A3206" s="93">
        <v>229887</v>
      </c>
      <c r="B3206" t="s">
        <v>3706</v>
      </c>
      <c r="C3206" t="s">
        <v>5602</v>
      </c>
      <c r="D3206" s="92">
        <v>0.18</v>
      </c>
      <c r="E3206" s="92">
        <v>0.33</v>
      </c>
      <c r="F3206" t="s">
        <v>428</v>
      </c>
      <c r="G3206" t="s">
        <v>428</v>
      </c>
      <c r="H3206" t="s">
        <v>5616</v>
      </c>
      <c r="I3206">
        <v>0</v>
      </c>
      <c r="J3206" t="s">
        <v>138</v>
      </c>
      <c r="K3206">
        <v>0</v>
      </c>
      <c r="L3206">
        <v>0</v>
      </c>
    </row>
    <row r="3207" spans="1:12">
      <c r="A3207" s="93">
        <v>230010</v>
      </c>
      <c r="B3207" t="s">
        <v>3707</v>
      </c>
      <c r="C3207" t="s">
        <v>5606</v>
      </c>
      <c r="D3207" s="92" t="s">
        <v>428</v>
      </c>
      <c r="E3207" s="92" t="s">
        <v>428</v>
      </c>
      <c r="F3207" t="s">
        <v>428</v>
      </c>
      <c r="G3207" t="s">
        <v>428</v>
      </c>
      <c r="H3207" t="s">
        <v>5615</v>
      </c>
      <c r="I3207">
        <v>0</v>
      </c>
      <c r="J3207" t="s">
        <v>87</v>
      </c>
      <c r="K3207">
        <v>0</v>
      </c>
      <c r="L3207">
        <v>0</v>
      </c>
    </row>
    <row r="3208" spans="1:12">
      <c r="A3208" s="93">
        <v>230038</v>
      </c>
      <c r="B3208" t="s">
        <v>3708</v>
      </c>
      <c r="C3208" t="s">
        <v>5605</v>
      </c>
      <c r="D3208" s="92">
        <v>0.83</v>
      </c>
      <c r="E3208" s="92">
        <v>0.71</v>
      </c>
      <c r="F3208">
        <v>27</v>
      </c>
      <c r="G3208">
        <v>29</v>
      </c>
      <c r="H3208" t="s">
        <v>5614</v>
      </c>
      <c r="I3208">
        <v>1</v>
      </c>
      <c r="J3208" t="s">
        <v>87</v>
      </c>
      <c r="K3208">
        <v>0</v>
      </c>
      <c r="L3208">
        <v>0</v>
      </c>
    </row>
    <row r="3209" spans="1:12">
      <c r="A3209" s="93">
        <v>230047</v>
      </c>
      <c r="B3209" t="s">
        <v>3709</v>
      </c>
      <c r="C3209" t="s">
        <v>5602</v>
      </c>
      <c r="D3209" s="92">
        <v>0.46</v>
      </c>
      <c r="E3209" s="92">
        <v>0.4</v>
      </c>
      <c r="F3209">
        <v>22</v>
      </c>
      <c r="G3209">
        <v>24</v>
      </c>
      <c r="H3209" t="s">
        <v>5613</v>
      </c>
      <c r="I3209">
        <v>1</v>
      </c>
      <c r="J3209" t="s">
        <v>87</v>
      </c>
      <c r="K3209">
        <v>0</v>
      </c>
      <c r="L3209">
        <v>0</v>
      </c>
    </row>
    <row r="3210" spans="1:12">
      <c r="A3210" s="93">
        <v>230056</v>
      </c>
      <c r="B3210" t="s">
        <v>3710</v>
      </c>
      <c r="C3210" t="s">
        <v>5604</v>
      </c>
      <c r="D3210" s="92">
        <v>0.5</v>
      </c>
      <c r="E3210" s="92" t="s">
        <v>428</v>
      </c>
      <c r="F3210" t="s">
        <v>428</v>
      </c>
      <c r="G3210" t="s">
        <v>428</v>
      </c>
      <c r="H3210" t="s">
        <v>5617</v>
      </c>
      <c r="I3210">
        <v>0</v>
      </c>
      <c r="J3210" t="s">
        <v>87</v>
      </c>
      <c r="K3210">
        <v>0</v>
      </c>
      <c r="L3210">
        <v>0</v>
      </c>
    </row>
    <row r="3211" spans="1:12">
      <c r="A3211" s="93">
        <v>230162</v>
      </c>
      <c r="B3211" t="s">
        <v>3711</v>
      </c>
      <c r="C3211" t="s">
        <v>5606</v>
      </c>
      <c r="D3211" s="92" t="s">
        <v>428</v>
      </c>
      <c r="E3211" s="92" t="s">
        <v>428</v>
      </c>
      <c r="F3211" t="s">
        <v>428</v>
      </c>
      <c r="G3211" t="s">
        <v>428</v>
      </c>
      <c r="H3211" t="s">
        <v>5615</v>
      </c>
      <c r="I3211">
        <v>0</v>
      </c>
      <c r="J3211" t="s">
        <v>87</v>
      </c>
      <c r="K3211">
        <v>0</v>
      </c>
      <c r="L3211">
        <v>0</v>
      </c>
    </row>
    <row r="3212" spans="1:12">
      <c r="A3212" s="93">
        <v>230171</v>
      </c>
      <c r="B3212" t="s">
        <v>3712</v>
      </c>
      <c r="C3212" t="s">
        <v>5604</v>
      </c>
      <c r="D3212" s="92">
        <v>0.2</v>
      </c>
      <c r="E3212" s="92">
        <v>0.14</v>
      </c>
      <c r="F3212" t="s">
        <v>428</v>
      </c>
      <c r="G3212" t="s">
        <v>428</v>
      </c>
      <c r="H3212" t="s">
        <v>5615</v>
      </c>
      <c r="I3212">
        <v>0</v>
      </c>
      <c r="J3212" t="s">
        <v>87</v>
      </c>
      <c r="K3212">
        <v>0</v>
      </c>
      <c r="L3212">
        <v>0</v>
      </c>
    </row>
    <row r="3213" spans="1:12">
      <c r="A3213" s="93">
        <v>230199</v>
      </c>
      <c r="B3213" t="s">
        <v>3713</v>
      </c>
      <c r="C3213" t="s">
        <v>5606</v>
      </c>
      <c r="D3213" s="92" t="s">
        <v>428</v>
      </c>
      <c r="E3213" s="92" t="s">
        <v>428</v>
      </c>
      <c r="F3213" t="s">
        <v>428</v>
      </c>
      <c r="G3213" t="s">
        <v>428</v>
      </c>
      <c r="H3213" t="s">
        <v>5624</v>
      </c>
      <c r="I3213">
        <v>1</v>
      </c>
      <c r="J3213" t="s">
        <v>87</v>
      </c>
      <c r="K3213">
        <v>0</v>
      </c>
      <c r="L3213">
        <v>0</v>
      </c>
    </row>
    <row r="3214" spans="1:12">
      <c r="A3214" s="93">
        <v>230205</v>
      </c>
      <c r="B3214" t="s">
        <v>3714</v>
      </c>
      <c r="C3214" t="s">
        <v>5606</v>
      </c>
      <c r="D3214" s="92" t="s">
        <v>428</v>
      </c>
      <c r="E3214" s="92" t="s">
        <v>428</v>
      </c>
      <c r="F3214" t="s">
        <v>428</v>
      </c>
      <c r="G3214" t="s">
        <v>428</v>
      </c>
      <c r="H3214" t="s">
        <v>5624</v>
      </c>
      <c r="I3214">
        <v>1</v>
      </c>
      <c r="J3214" t="s">
        <v>87</v>
      </c>
      <c r="K3214">
        <v>0</v>
      </c>
      <c r="L3214">
        <v>0</v>
      </c>
    </row>
    <row r="3215" spans="1:12">
      <c r="A3215" s="93">
        <v>230366</v>
      </c>
      <c r="B3215" t="s">
        <v>3715</v>
      </c>
      <c r="C3215" t="s">
        <v>5604</v>
      </c>
      <c r="D3215" s="92">
        <v>1</v>
      </c>
      <c r="E3215" s="92" t="s">
        <v>428</v>
      </c>
      <c r="F3215" t="s">
        <v>428</v>
      </c>
      <c r="G3215" t="s">
        <v>428</v>
      </c>
      <c r="H3215" t="s">
        <v>5617</v>
      </c>
      <c r="I3215">
        <v>0</v>
      </c>
      <c r="J3215" t="s">
        <v>87</v>
      </c>
      <c r="K3215">
        <v>0</v>
      </c>
      <c r="L3215">
        <v>0</v>
      </c>
    </row>
    <row r="3216" spans="1:12">
      <c r="A3216" s="93">
        <v>230384</v>
      </c>
      <c r="B3216" t="s">
        <v>3716</v>
      </c>
      <c r="C3216" t="s">
        <v>5607</v>
      </c>
      <c r="D3216" s="92">
        <v>1</v>
      </c>
      <c r="E3216" s="92" t="s">
        <v>428</v>
      </c>
      <c r="F3216" t="s">
        <v>428</v>
      </c>
      <c r="G3216" t="s">
        <v>428</v>
      </c>
      <c r="H3216" t="s">
        <v>5617</v>
      </c>
      <c r="I3216">
        <v>0</v>
      </c>
      <c r="J3216" t="s">
        <v>87</v>
      </c>
      <c r="K3216">
        <v>0</v>
      </c>
      <c r="L3216">
        <v>0</v>
      </c>
    </row>
    <row r="3217" spans="1:12">
      <c r="A3217" s="93">
        <v>230418</v>
      </c>
      <c r="B3217" t="s">
        <v>3717</v>
      </c>
      <c r="C3217" t="s">
        <v>5606</v>
      </c>
      <c r="D3217" s="92" t="s">
        <v>428</v>
      </c>
      <c r="E3217" s="92" t="s">
        <v>428</v>
      </c>
      <c r="F3217" t="s">
        <v>428</v>
      </c>
      <c r="G3217" t="s">
        <v>428</v>
      </c>
      <c r="H3217" t="s">
        <v>5624</v>
      </c>
      <c r="I3217">
        <v>1</v>
      </c>
      <c r="J3217" t="s">
        <v>87</v>
      </c>
      <c r="K3217">
        <v>0</v>
      </c>
      <c r="L3217">
        <v>0</v>
      </c>
    </row>
    <row r="3218" spans="1:12">
      <c r="A3218" s="93">
        <v>230597</v>
      </c>
      <c r="B3218" t="s">
        <v>3718</v>
      </c>
      <c r="C3218" t="s">
        <v>5604</v>
      </c>
      <c r="D3218" s="92" t="s">
        <v>428</v>
      </c>
      <c r="E3218" s="92" t="s">
        <v>428</v>
      </c>
      <c r="F3218" t="s">
        <v>428</v>
      </c>
      <c r="G3218" t="s">
        <v>428</v>
      </c>
      <c r="H3218" t="s">
        <v>5615</v>
      </c>
      <c r="I3218">
        <v>0</v>
      </c>
      <c r="J3218" t="s">
        <v>87</v>
      </c>
      <c r="K3218">
        <v>0</v>
      </c>
      <c r="L3218">
        <v>0</v>
      </c>
    </row>
    <row r="3219" spans="1:12">
      <c r="A3219" s="93">
        <v>230603</v>
      </c>
      <c r="B3219" t="s">
        <v>3719</v>
      </c>
      <c r="C3219" t="s">
        <v>5602</v>
      </c>
      <c r="D3219" s="92">
        <v>0.39</v>
      </c>
      <c r="E3219" s="92">
        <v>0.33</v>
      </c>
      <c r="F3219">
        <v>20</v>
      </c>
      <c r="G3219">
        <v>23</v>
      </c>
      <c r="H3219" t="s">
        <v>5615</v>
      </c>
      <c r="I3219">
        <v>0</v>
      </c>
      <c r="J3219" t="s">
        <v>87</v>
      </c>
      <c r="K3219">
        <v>0</v>
      </c>
      <c r="L3219">
        <v>0</v>
      </c>
    </row>
    <row r="3220" spans="1:12">
      <c r="A3220" s="93">
        <v>230621</v>
      </c>
      <c r="B3220" t="s">
        <v>3720</v>
      </c>
      <c r="C3220" t="s">
        <v>5604</v>
      </c>
      <c r="D3220" s="92">
        <v>0.24</v>
      </c>
      <c r="E3220" s="92">
        <v>0.32</v>
      </c>
      <c r="F3220" t="s">
        <v>428</v>
      </c>
      <c r="G3220" t="s">
        <v>428</v>
      </c>
      <c r="H3220" t="s">
        <v>5617</v>
      </c>
      <c r="I3220">
        <v>0</v>
      </c>
      <c r="J3220" t="s">
        <v>87</v>
      </c>
      <c r="K3220">
        <v>0</v>
      </c>
      <c r="L3220">
        <v>0</v>
      </c>
    </row>
    <row r="3221" spans="1:12">
      <c r="A3221" s="93">
        <v>230630</v>
      </c>
      <c r="B3221" t="s">
        <v>3720</v>
      </c>
      <c r="C3221" t="s">
        <v>5604</v>
      </c>
      <c r="D3221" s="92">
        <v>0.21</v>
      </c>
      <c r="E3221" s="92">
        <v>0.05</v>
      </c>
      <c r="F3221" t="s">
        <v>428</v>
      </c>
      <c r="G3221" t="s">
        <v>428</v>
      </c>
      <c r="H3221" t="s">
        <v>5617</v>
      </c>
      <c r="I3221">
        <v>0</v>
      </c>
      <c r="J3221" t="s">
        <v>87</v>
      </c>
      <c r="K3221">
        <v>0</v>
      </c>
      <c r="L3221">
        <v>0</v>
      </c>
    </row>
    <row r="3222" spans="1:12">
      <c r="A3222" s="93">
        <v>230728</v>
      </c>
      <c r="B3222" t="s">
        <v>3721</v>
      </c>
      <c r="C3222" t="s">
        <v>5602</v>
      </c>
      <c r="D3222" s="92">
        <v>0.46</v>
      </c>
      <c r="E3222" s="92">
        <v>0.37</v>
      </c>
      <c r="F3222">
        <v>20</v>
      </c>
      <c r="G3222">
        <v>23.5</v>
      </c>
      <c r="H3222" t="s">
        <v>5615</v>
      </c>
      <c r="I3222">
        <v>0</v>
      </c>
      <c r="J3222" t="s">
        <v>87</v>
      </c>
      <c r="K3222">
        <v>0</v>
      </c>
      <c r="L3222">
        <v>0</v>
      </c>
    </row>
    <row r="3223" spans="1:12">
      <c r="A3223" s="93">
        <v>230737</v>
      </c>
      <c r="B3223" t="s">
        <v>3722</v>
      </c>
      <c r="C3223" t="s">
        <v>5604</v>
      </c>
      <c r="D3223" s="92">
        <v>0.25</v>
      </c>
      <c r="E3223" s="92">
        <v>0.19</v>
      </c>
      <c r="F3223" t="s">
        <v>428</v>
      </c>
      <c r="G3223" t="s">
        <v>428</v>
      </c>
      <c r="H3223" t="s">
        <v>5615</v>
      </c>
      <c r="I3223">
        <v>0</v>
      </c>
      <c r="J3223" t="s">
        <v>87</v>
      </c>
      <c r="K3223">
        <v>0</v>
      </c>
      <c r="L3223">
        <v>0</v>
      </c>
    </row>
    <row r="3224" spans="1:12">
      <c r="A3224" s="93">
        <v>230746</v>
      </c>
      <c r="B3224" t="s">
        <v>3723</v>
      </c>
      <c r="C3224" t="s">
        <v>5606</v>
      </c>
      <c r="D3224" s="92">
        <v>0.29</v>
      </c>
      <c r="E3224" s="92">
        <v>0.22</v>
      </c>
      <c r="F3224" t="s">
        <v>428</v>
      </c>
      <c r="G3224" t="s">
        <v>428</v>
      </c>
      <c r="H3224" t="s">
        <v>5615</v>
      </c>
      <c r="I3224">
        <v>0</v>
      </c>
      <c r="J3224" t="s">
        <v>87</v>
      </c>
      <c r="K3224">
        <v>0</v>
      </c>
      <c r="L3224">
        <v>0</v>
      </c>
    </row>
    <row r="3225" spans="1:12">
      <c r="A3225" s="93">
        <v>230764</v>
      </c>
      <c r="B3225" t="s">
        <v>3724</v>
      </c>
      <c r="C3225" t="s">
        <v>5603</v>
      </c>
      <c r="D3225" s="92">
        <v>0.65</v>
      </c>
      <c r="E3225" s="92">
        <v>0.64</v>
      </c>
      <c r="F3225">
        <v>21</v>
      </c>
      <c r="G3225">
        <v>24</v>
      </c>
      <c r="H3225" t="s">
        <v>5615</v>
      </c>
      <c r="I3225">
        <v>0</v>
      </c>
      <c r="J3225" t="s">
        <v>87</v>
      </c>
      <c r="K3225">
        <v>0</v>
      </c>
      <c r="L3225">
        <v>0</v>
      </c>
    </row>
    <row r="3226" spans="1:12">
      <c r="A3226" s="93">
        <v>230782</v>
      </c>
      <c r="B3226" t="s">
        <v>3725</v>
      </c>
      <c r="C3226" t="s">
        <v>5602</v>
      </c>
      <c r="D3226" s="92">
        <v>0.35</v>
      </c>
      <c r="E3226" s="92">
        <v>0.25</v>
      </c>
      <c r="F3226" t="s">
        <v>428</v>
      </c>
      <c r="G3226" t="s">
        <v>428</v>
      </c>
      <c r="H3226" t="s">
        <v>5615</v>
      </c>
      <c r="I3226">
        <v>0</v>
      </c>
      <c r="J3226" t="s">
        <v>87</v>
      </c>
      <c r="K3226">
        <v>0</v>
      </c>
      <c r="L3226">
        <v>0</v>
      </c>
    </row>
    <row r="3227" spans="1:12">
      <c r="A3227" s="93">
        <v>230807</v>
      </c>
      <c r="B3227" t="s">
        <v>2287</v>
      </c>
      <c r="C3227" t="s">
        <v>5602</v>
      </c>
      <c r="D3227" s="92">
        <v>0.61</v>
      </c>
      <c r="E3227" s="92">
        <v>0.6</v>
      </c>
      <c r="F3227">
        <v>22</v>
      </c>
      <c r="G3227">
        <v>24.5</v>
      </c>
      <c r="H3227" t="s">
        <v>5617</v>
      </c>
      <c r="I3227">
        <v>0</v>
      </c>
      <c r="J3227" t="s">
        <v>87</v>
      </c>
      <c r="K3227">
        <v>0</v>
      </c>
      <c r="L3227">
        <v>0</v>
      </c>
    </row>
    <row r="3228" spans="1:12">
      <c r="A3228" s="93">
        <v>230816</v>
      </c>
      <c r="B3228" t="s">
        <v>3726</v>
      </c>
      <c r="C3228" t="s">
        <v>5612</v>
      </c>
      <c r="D3228" s="92">
        <v>0.68</v>
      </c>
      <c r="E3228" s="92">
        <v>0.52</v>
      </c>
      <c r="F3228" t="s">
        <v>428</v>
      </c>
      <c r="G3228" t="s">
        <v>428</v>
      </c>
      <c r="H3228" t="s">
        <v>5618</v>
      </c>
      <c r="I3228">
        <v>0</v>
      </c>
      <c r="J3228" t="s">
        <v>87</v>
      </c>
      <c r="K3228">
        <v>0</v>
      </c>
      <c r="L3228">
        <v>0</v>
      </c>
    </row>
    <row r="3229" spans="1:12">
      <c r="A3229" s="93">
        <v>230834</v>
      </c>
      <c r="B3229" t="s">
        <v>3727</v>
      </c>
      <c r="C3229" t="s">
        <v>5602</v>
      </c>
      <c r="D3229" s="92">
        <v>0.48</v>
      </c>
      <c r="E3229" s="92">
        <v>0.5600000000000001</v>
      </c>
      <c r="F3229">
        <v>15</v>
      </c>
      <c r="G3229">
        <v>18</v>
      </c>
      <c r="H3229" t="s">
        <v>5615</v>
      </c>
      <c r="I3229">
        <v>0</v>
      </c>
      <c r="J3229" t="s">
        <v>87</v>
      </c>
      <c r="K3229">
        <v>0</v>
      </c>
      <c r="L3229">
        <v>0</v>
      </c>
    </row>
    <row r="3230" spans="1:12">
      <c r="A3230" s="93">
        <v>230852</v>
      </c>
      <c r="B3230" t="s">
        <v>3728</v>
      </c>
      <c r="C3230" t="s">
        <v>5602</v>
      </c>
      <c r="D3230" s="92">
        <v>0.59</v>
      </c>
      <c r="E3230" s="92">
        <v>0.53</v>
      </c>
      <c r="F3230">
        <v>22</v>
      </c>
      <c r="G3230">
        <v>25</v>
      </c>
      <c r="H3230" t="s">
        <v>5617</v>
      </c>
      <c r="I3230">
        <v>0</v>
      </c>
      <c r="J3230" t="s">
        <v>87</v>
      </c>
      <c r="K3230">
        <v>0</v>
      </c>
      <c r="L3230">
        <v>0</v>
      </c>
    </row>
    <row r="3231" spans="1:12">
      <c r="A3231" s="93">
        <v>230861</v>
      </c>
      <c r="B3231" t="s">
        <v>3729</v>
      </c>
      <c r="C3231" t="s">
        <v>5606</v>
      </c>
      <c r="D3231" s="92" t="s">
        <v>428</v>
      </c>
      <c r="E3231" s="92" t="s">
        <v>428</v>
      </c>
      <c r="F3231" t="s">
        <v>428</v>
      </c>
      <c r="G3231" t="s">
        <v>428</v>
      </c>
      <c r="H3231" t="s">
        <v>5615</v>
      </c>
      <c r="I3231">
        <v>0</v>
      </c>
      <c r="J3231" t="s">
        <v>87</v>
      </c>
      <c r="K3231">
        <v>0</v>
      </c>
      <c r="L3231">
        <v>0</v>
      </c>
    </row>
    <row r="3232" spans="1:12">
      <c r="A3232" s="93">
        <v>230889</v>
      </c>
      <c r="B3232" t="s">
        <v>3730</v>
      </c>
      <c r="C3232" t="s">
        <v>5603</v>
      </c>
      <c r="D3232" s="92">
        <v>0.42</v>
      </c>
      <c r="E3232" s="92">
        <v>1</v>
      </c>
      <c r="F3232" t="s">
        <v>428</v>
      </c>
      <c r="G3232" t="s">
        <v>428</v>
      </c>
      <c r="H3232" t="s">
        <v>5617</v>
      </c>
      <c r="I3232">
        <v>0</v>
      </c>
      <c r="J3232" t="s">
        <v>87</v>
      </c>
      <c r="K3232">
        <v>0</v>
      </c>
      <c r="L3232">
        <v>0</v>
      </c>
    </row>
    <row r="3233" spans="1:12">
      <c r="A3233" s="93">
        <v>230898</v>
      </c>
      <c r="B3233" t="s">
        <v>3731</v>
      </c>
      <c r="C3233" t="s">
        <v>5608</v>
      </c>
      <c r="D3233" s="92">
        <v>0.45</v>
      </c>
      <c r="E3233" s="92">
        <v>0.36</v>
      </c>
      <c r="F3233" t="s">
        <v>428</v>
      </c>
      <c r="G3233" t="s">
        <v>428</v>
      </c>
      <c r="H3233" t="s">
        <v>5616</v>
      </c>
      <c r="I3233">
        <v>0</v>
      </c>
      <c r="J3233" t="s">
        <v>87</v>
      </c>
      <c r="K3233">
        <v>0</v>
      </c>
      <c r="L3233">
        <v>0</v>
      </c>
    </row>
    <row r="3234" spans="1:12">
      <c r="A3234" s="93">
        <v>230913</v>
      </c>
      <c r="B3234" t="s">
        <v>3732</v>
      </c>
      <c r="C3234" t="s">
        <v>5602</v>
      </c>
      <c r="D3234" s="92">
        <v>0.34</v>
      </c>
      <c r="E3234" s="92">
        <v>0.3</v>
      </c>
      <c r="F3234">
        <v>14</v>
      </c>
      <c r="G3234">
        <v>17.5</v>
      </c>
      <c r="H3234" t="s">
        <v>5615</v>
      </c>
      <c r="I3234">
        <v>0</v>
      </c>
      <c r="J3234" t="s">
        <v>87</v>
      </c>
      <c r="K3234">
        <v>0</v>
      </c>
      <c r="L3234">
        <v>0</v>
      </c>
    </row>
    <row r="3235" spans="1:12">
      <c r="A3235" s="93">
        <v>230931</v>
      </c>
      <c r="B3235" t="s">
        <v>3733</v>
      </c>
      <c r="C3235" t="s">
        <v>5602</v>
      </c>
      <c r="D3235" s="92">
        <v>0.37</v>
      </c>
      <c r="E3235" s="92">
        <v>0.22</v>
      </c>
      <c r="F3235">
        <v>15</v>
      </c>
      <c r="G3235">
        <v>18</v>
      </c>
      <c r="H3235" t="s">
        <v>5615</v>
      </c>
      <c r="I3235">
        <v>0</v>
      </c>
      <c r="J3235" t="s">
        <v>87</v>
      </c>
      <c r="K3235">
        <v>0</v>
      </c>
      <c r="L3235">
        <v>0</v>
      </c>
    </row>
    <row r="3236" spans="1:12">
      <c r="A3236" s="93">
        <v>230940</v>
      </c>
      <c r="B3236" t="s">
        <v>3734</v>
      </c>
      <c r="C3236" t="s">
        <v>5603</v>
      </c>
      <c r="D3236" s="92">
        <v>0.61</v>
      </c>
      <c r="E3236" s="92">
        <v>0.45</v>
      </c>
      <c r="F3236" t="s">
        <v>428</v>
      </c>
      <c r="G3236" t="s">
        <v>428</v>
      </c>
      <c r="H3236" t="s">
        <v>5617</v>
      </c>
      <c r="I3236">
        <v>0</v>
      </c>
      <c r="J3236" t="s">
        <v>87</v>
      </c>
      <c r="K3236">
        <v>0</v>
      </c>
      <c r="L3236">
        <v>0</v>
      </c>
    </row>
    <row r="3237" spans="1:12">
      <c r="A3237" s="93">
        <v>230959</v>
      </c>
      <c r="B3237" t="s">
        <v>3735</v>
      </c>
      <c r="C3237" t="s">
        <v>5611</v>
      </c>
      <c r="D3237" s="92">
        <v>0.93</v>
      </c>
      <c r="E3237" s="92">
        <v>0.86</v>
      </c>
      <c r="F3237">
        <v>30</v>
      </c>
      <c r="G3237">
        <v>31.5</v>
      </c>
      <c r="H3237" t="s">
        <v>5619</v>
      </c>
      <c r="I3237">
        <v>1</v>
      </c>
      <c r="J3237" t="s">
        <v>87</v>
      </c>
      <c r="K3237">
        <v>0</v>
      </c>
      <c r="L3237">
        <v>0</v>
      </c>
    </row>
    <row r="3238" spans="1:12">
      <c r="A3238" s="93">
        <v>230977</v>
      </c>
      <c r="B3238" t="s">
        <v>3736</v>
      </c>
      <c r="C3238" t="s">
        <v>5604</v>
      </c>
      <c r="D3238" s="92">
        <v>0.57</v>
      </c>
      <c r="E3238" s="92">
        <v>0.33</v>
      </c>
      <c r="F3238" t="s">
        <v>428</v>
      </c>
      <c r="G3238" t="s">
        <v>428</v>
      </c>
      <c r="H3238" t="s">
        <v>5617</v>
      </c>
      <c r="I3238">
        <v>0</v>
      </c>
      <c r="J3238" t="s">
        <v>87</v>
      </c>
      <c r="K3238">
        <v>0</v>
      </c>
      <c r="L3238">
        <v>0</v>
      </c>
    </row>
    <row r="3239" spans="1:12">
      <c r="A3239" s="93">
        <v>230995</v>
      </c>
      <c r="B3239" t="s">
        <v>3737</v>
      </c>
      <c r="C3239" t="s">
        <v>5602</v>
      </c>
      <c r="D3239" s="92">
        <v>0.57</v>
      </c>
      <c r="E3239" s="92">
        <v>0.38</v>
      </c>
      <c r="F3239" t="s">
        <v>428</v>
      </c>
      <c r="G3239" t="s">
        <v>428</v>
      </c>
      <c r="H3239" t="s">
        <v>5617</v>
      </c>
      <c r="I3239">
        <v>0</v>
      </c>
      <c r="J3239" t="s">
        <v>87</v>
      </c>
      <c r="K3239">
        <v>0</v>
      </c>
      <c r="L3239">
        <v>0</v>
      </c>
    </row>
    <row r="3240" spans="1:12">
      <c r="A3240" s="93">
        <v>231059</v>
      </c>
      <c r="B3240" t="s">
        <v>3738</v>
      </c>
      <c r="C3240" t="s">
        <v>5603</v>
      </c>
      <c r="D3240" s="92">
        <v>0.78</v>
      </c>
      <c r="E3240" s="92">
        <v>0.61</v>
      </c>
      <c r="F3240" t="s">
        <v>428</v>
      </c>
      <c r="G3240" t="s">
        <v>428</v>
      </c>
      <c r="H3240" t="s">
        <v>5617</v>
      </c>
      <c r="I3240">
        <v>0</v>
      </c>
      <c r="J3240" t="s">
        <v>87</v>
      </c>
      <c r="K3240">
        <v>0</v>
      </c>
      <c r="L3240">
        <v>0</v>
      </c>
    </row>
    <row r="3241" spans="1:12">
      <c r="A3241" s="93">
        <v>231068</v>
      </c>
      <c r="B3241" t="s">
        <v>3739</v>
      </c>
      <c r="C3241" t="s">
        <v>5607</v>
      </c>
      <c r="D3241" s="92" t="s">
        <v>428</v>
      </c>
      <c r="E3241" s="92" t="s">
        <v>428</v>
      </c>
      <c r="F3241" t="s">
        <v>428</v>
      </c>
      <c r="G3241" t="s">
        <v>428</v>
      </c>
      <c r="H3241" t="s">
        <v>5615</v>
      </c>
      <c r="I3241">
        <v>0</v>
      </c>
      <c r="J3241" t="s">
        <v>87</v>
      </c>
      <c r="K3241">
        <v>0</v>
      </c>
      <c r="L3241">
        <v>0</v>
      </c>
    </row>
    <row r="3242" spans="1:12">
      <c r="A3242" s="93">
        <v>231077</v>
      </c>
      <c r="B3242" t="s">
        <v>3740</v>
      </c>
      <c r="C3242" t="s">
        <v>5608</v>
      </c>
      <c r="D3242" s="92">
        <v>0.26</v>
      </c>
      <c r="E3242" s="92">
        <v>0.25</v>
      </c>
      <c r="F3242" t="s">
        <v>428</v>
      </c>
      <c r="G3242" t="s">
        <v>428</v>
      </c>
      <c r="H3242" t="s">
        <v>5616</v>
      </c>
      <c r="I3242">
        <v>0</v>
      </c>
      <c r="J3242" t="s">
        <v>87</v>
      </c>
      <c r="K3242">
        <v>0</v>
      </c>
      <c r="L3242">
        <v>0</v>
      </c>
    </row>
    <row r="3243" spans="1:12">
      <c r="A3243" s="93">
        <v>231086</v>
      </c>
      <c r="B3243" t="s">
        <v>3741</v>
      </c>
      <c r="C3243" t="s">
        <v>5608</v>
      </c>
      <c r="D3243" s="92">
        <v>0.26</v>
      </c>
      <c r="E3243" s="92">
        <v>0.19</v>
      </c>
      <c r="F3243">
        <v>13</v>
      </c>
      <c r="G3243">
        <v>16</v>
      </c>
      <c r="H3243" t="s">
        <v>5617</v>
      </c>
      <c r="I3243">
        <v>0</v>
      </c>
      <c r="J3243" t="s">
        <v>87</v>
      </c>
      <c r="K3243">
        <v>0</v>
      </c>
      <c r="L3243">
        <v>0</v>
      </c>
    </row>
    <row r="3244" spans="1:12">
      <c r="A3244" s="93">
        <v>231095</v>
      </c>
      <c r="B3244" t="s">
        <v>1714</v>
      </c>
      <c r="C3244" t="s">
        <v>5603</v>
      </c>
      <c r="D3244" s="92">
        <v>0.5</v>
      </c>
      <c r="E3244" s="92" t="s">
        <v>428</v>
      </c>
      <c r="F3244" t="s">
        <v>428</v>
      </c>
      <c r="G3244" t="s">
        <v>428</v>
      </c>
      <c r="H3244" t="s">
        <v>5617</v>
      </c>
      <c r="I3244">
        <v>0</v>
      </c>
      <c r="J3244" t="s">
        <v>87</v>
      </c>
      <c r="K3244">
        <v>0</v>
      </c>
      <c r="L3244">
        <v>0</v>
      </c>
    </row>
    <row r="3245" spans="1:12">
      <c r="A3245" s="93">
        <v>231147</v>
      </c>
      <c r="B3245" t="s">
        <v>3742</v>
      </c>
      <c r="C3245" t="s">
        <v>5607</v>
      </c>
      <c r="D3245" s="92" t="s">
        <v>428</v>
      </c>
      <c r="E3245" s="92" t="s">
        <v>428</v>
      </c>
      <c r="F3245" t="s">
        <v>428</v>
      </c>
      <c r="G3245" t="s">
        <v>428</v>
      </c>
      <c r="H3245" t="s">
        <v>5615</v>
      </c>
      <c r="I3245">
        <v>0</v>
      </c>
      <c r="J3245" t="s">
        <v>87</v>
      </c>
      <c r="K3245">
        <v>0</v>
      </c>
      <c r="L3245">
        <v>0</v>
      </c>
    </row>
    <row r="3246" spans="1:12">
      <c r="A3246" s="93">
        <v>231165</v>
      </c>
      <c r="B3246" t="s">
        <v>3743</v>
      </c>
      <c r="C3246" t="s">
        <v>5602</v>
      </c>
      <c r="D3246" s="92">
        <v>0.45</v>
      </c>
      <c r="E3246" s="92">
        <v>0.33</v>
      </c>
      <c r="F3246" t="s">
        <v>428</v>
      </c>
      <c r="G3246" t="s">
        <v>428</v>
      </c>
      <c r="H3246" t="s">
        <v>5615</v>
      </c>
      <c r="I3246">
        <v>0</v>
      </c>
      <c r="J3246" t="s">
        <v>87</v>
      </c>
      <c r="K3246">
        <v>0</v>
      </c>
      <c r="L3246">
        <v>0</v>
      </c>
    </row>
    <row r="3247" spans="1:12">
      <c r="A3247" s="93">
        <v>231174</v>
      </c>
      <c r="B3247" t="s">
        <v>3744</v>
      </c>
      <c r="C3247" t="s">
        <v>5605</v>
      </c>
      <c r="D3247" s="92">
        <v>0.74</v>
      </c>
      <c r="E3247" s="92">
        <v>0.72</v>
      </c>
      <c r="F3247">
        <v>25</v>
      </c>
      <c r="G3247">
        <v>27.5</v>
      </c>
      <c r="H3247" t="s">
        <v>5625</v>
      </c>
      <c r="I3247">
        <v>0</v>
      </c>
      <c r="J3247" t="s">
        <v>87</v>
      </c>
      <c r="K3247">
        <v>0</v>
      </c>
      <c r="L3247">
        <v>0</v>
      </c>
    </row>
    <row r="3248" spans="1:12">
      <c r="A3248" s="93">
        <v>231411</v>
      </c>
      <c r="B3248" t="s">
        <v>3745</v>
      </c>
      <c r="C3248" t="s">
        <v>5609</v>
      </c>
      <c r="D3248" s="92" t="s">
        <v>428</v>
      </c>
      <c r="E3248" s="92" t="s">
        <v>428</v>
      </c>
      <c r="F3248" t="s">
        <v>428</v>
      </c>
      <c r="G3248" t="s">
        <v>428</v>
      </c>
      <c r="H3248" t="s">
        <v>5617</v>
      </c>
      <c r="I3248">
        <v>0</v>
      </c>
      <c r="J3248" t="s">
        <v>87</v>
      </c>
      <c r="K3248">
        <v>0</v>
      </c>
      <c r="L3248">
        <v>0</v>
      </c>
    </row>
    <row r="3249" spans="1:12">
      <c r="A3249" s="93">
        <v>231420</v>
      </c>
      <c r="B3249" t="s">
        <v>3746</v>
      </c>
      <c r="C3249" t="s">
        <v>5608</v>
      </c>
      <c r="D3249" s="92">
        <v>0.37</v>
      </c>
      <c r="E3249" s="92">
        <v>0.22</v>
      </c>
      <c r="F3249">
        <v>16</v>
      </c>
      <c r="G3249">
        <v>18.5</v>
      </c>
      <c r="H3249" t="s">
        <v>5617</v>
      </c>
      <c r="I3249">
        <v>0</v>
      </c>
      <c r="J3249" t="s">
        <v>87</v>
      </c>
      <c r="K3249">
        <v>0</v>
      </c>
      <c r="L3249">
        <v>0</v>
      </c>
    </row>
    <row r="3250" spans="1:12">
      <c r="A3250" s="93">
        <v>231536</v>
      </c>
      <c r="B3250" t="s">
        <v>2741</v>
      </c>
      <c r="C3250" t="s">
        <v>5606</v>
      </c>
      <c r="D3250" s="92">
        <v>0.37</v>
      </c>
      <c r="E3250" s="92">
        <v>0.29</v>
      </c>
      <c r="F3250" t="s">
        <v>428</v>
      </c>
      <c r="G3250" t="s">
        <v>428</v>
      </c>
      <c r="H3250" t="s">
        <v>5615</v>
      </c>
      <c r="I3250">
        <v>0</v>
      </c>
      <c r="J3250" t="s">
        <v>87</v>
      </c>
      <c r="K3250">
        <v>0</v>
      </c>
      <c r="L3250">
        <v>0</v>
      </c>
    </row>
    <row r="3251" spans="1:12">
      <c r="A3251" s="93">
        <v>231554</v>
      </c>
      <c r="B3251" t="s">
        <v>3747</v>
      </c>
      <c r="C3251" t="s">
        <v>5602</v>
      </c>
      <c r="D3251" s="92">
        <v>0.39</v>
      </c>
      <c r="E3251" s="92">
        <v>0.26</v>
      </c>
      <c r="F3251">
        <v>17</v>
      </c>
      <c r="G3251">
        <v>19</v>
      </c>
      <c r="H3251" t="s">
        <v>5617</v>
      </c>
      <c r="I3251">
        <v>0</v>
      </c>
      <c r="J3251" t="s">
        <v>87</v>
      </c>
      <c r="K3251">
        <v>0</v>
      </c>
      <c r="L3251">
        <v>0</v>
      </c>
    </row>
    <row r="3252" spans="1:12">
      <c r="A3252" s="93">
        <v>231581</v>
      </c>
      <c r="B3252" t="s">
        <v>3748</v>
      </c>
      <c r="C3252" t="s">
        <v>5602</v>
      </c>
      <c r="D3252" s="92">
        <v>0.6</v>
      </c>
      <c r="E3252" s="92">
        <v>0.49</v>
      </c>
      <c r="F3252">
        <v>20</v>
      </c>
      <c r="G3252">
        <v>23</v>
      </c>
      <c r="H3252" t="s">
        <v>5617</v>
      </c>
      <c r="I3252">
        <v>0</v>
      </c>
      <c r="J3252" t="s">
        <v>87</v>
      </c>
      <c r="K3252">
        <v>0</v>
      </c>
      <c r="L3252">
        <v>0</v>
      </c>
    </row>
    <row r="3253" spans="1:12">
      <c r="A3253" s="93">
        <v>231624</v>
      </c>
      <c r="B3253" t="s">
        <v>3749</v>
      </c>
      <c r="C3253" t="s">
        <v>5612</v>
      </c>
      <c r="D3253" s="92">
        <v>0.91</v>
      </c>
      <c r="E3253" s="92">
        <v>0.89</v>
      </c>
      <c r="F3253">
        <v>28</v>
      </c>
      <c r="G3253">
        <v>30.5</v>
      </c>
      <c r="H3253" t="s">
        <v>5620</v>
      </c>
      <c r="I3253">
        <v>0</v>
      </c>
      <c r="J3253" t="s">
        <v>87</v>
      </c>
      <c r="K3253">
        <v>0</v>
      </c>
      <c r="L3253">
        <v>0</v>
      </c>
    </row>
    <row r="3254" spans="1:12">
      <c r="A3254" s="93">
        <v>231651</v>
      </c>
      <c r="B3254" t="s">
        <v>3750</v>
      </c>
      <c r="C3254" t="s">
        <v>5608</v>
      </c>
      <c r="D3254" s="92">
        <v>0.39</v>
      </c>
      <c r="E3254" s="92">
        <v>0.29</v>
      </c>
      <c r="F3254">
        <v>17</v>
      </c>
      <c r="G3254">
        <v>20</v>
      </c>
      <c r="H3254" t="s">
        <v>5617</v>
      </c>
      <c r="I3254">
        <v>0</v>
      </c>
      <c r="J3254" t="s">
        <v>87</v>
      </c>
      <c r="K3254">
        <v>0</v>
      </c>
      <c r="L3254">
        <v>0</v>
      </c>
    </row>
    <row r="3255" spans="1:12">
      <c r="A3255" s="93">
        <v>231697</v>
      </c>
      <c r="B3255" t="s">
        <v>3751</v>
      </c>
      <c r="C3255" t="s">
        <v>5606</v>
      </c>
      <c r="D3255" s="92">
        <v>0.35</v>
      </c>
      <c r="E3255" s="92">
        <v>0.24</v>
      </c>
      <c r="F3255" t="s">
        <v>428</v>
      </c>
      <c r="G3255" t="s">
        <v>428</v>
      </c>
      <c r="H3255" t="s">
        <v>5615</v>
      </c>
      <c r="I3255">
        <v>0</v>
      </c>
      <c r="J3255" t="s">
        <v>87</v>
      </c>
      <c r="K3255">
        <v>0</v>
      </c>
      <c r="L3255">
        <v>0</v>
      </c>
    </row>
    <row r="3256" spans="1:12">
      <c r="A3256" s="93">
        <v>231712</v>
      </c>
      <c r="B3256" t="s">
        <v>3752</v>
      </c>
      <c r="C3256" t="s">
        <v>5603</v>
      </c>
      <c r="D3256" s="92">
        <v>0.75</v>
      </c>
      <c r="E3256" s="92">
        <v>0.68</v>
      </c>
      <c r="F3256">
        <v>23</v>
      </c>
      <c r="G3256">
        <v>25.5</v>
      </c>
      <c r="H3256" t="s">
        <v>5615</v>
      </c>
      <c r="I3256">
        <v>0</v>
      </c>
      <c r="J3256" t="s">
        <v>87</v>
      </c>
      <c r="K3256">
        <v>0</v>
      </c>
      <c r="L3256">
        <v>0</v>
      </c>
    </row>
    <row r="3257" spans="1:12">
      <c r="A3257" s="93">
        <v>231785</v>
      </c>
      <c r="B3257" t="s">
        <v>3753</v>
      </c>
      <c r="C3257" t="s">
        <v>5604</v>
      </c>
      <c r="D3257" s="92" t="s">
        <v>428</v>
      </c>
      <c r="E3257" s="92" t="s">
        <v>428</v>
      </c>
      <c r="F3257" t="s">
        <v>428</v>
      </c>
      <c r="G3257" t="s">
        <v>428</v>
      </c>
      <c r="H3257" t="s">
        <v>5617</v>
      </c>
      <c r="I3257">
        <v>0</v>
      </c>
      <c r="J3257" t="s">
        <v>87</v>
      </c>
      <c r="K3257">
        <v>0</v>
      </c>
      <c r="L3257">
        <v>0</v>
      </c>
    </row>
    <row r="3258" spans="1:12">
      <c r="A3258" s="93">
        <v>231828</v>
      </c>
      <c r="B3258" t="s">
        <v>3754</v>
      </c>
      <c r="C3258" t="s">
        <v>5604</v>
      </c>
      <c r="D3258" s="92" t="s">
        <v>428</v>
      </c>
      <c r="E3258" s="92" t="s">
        <v>428</v>
      </c>
      <c r="F3258" t="s">
        <v>428</v>
      </c>
      <c r="G3258" t="s">
        <v>428</v>
      </c>
      <c r="H3258" t="s">
        <v>5617</v>
      </c>
      <c r="I3258">
        <v>0</v>
      </c>
      <c r="J3258" t="s">
        <v>87</v>
      </c>
      <c r="K3258">
        <v>0</v>
      </c>
      <c r="L3258">
        <v>0</v>
      </c>
    </row>
    <row r="3259" spans="1:12">
      <c r="A3259" s="93">
        <v>231837</v>
      </c>
      <c r="B3259" t="s">
        <v>3755</v>
      </c>
      <c r="C3259" t="s">
        <v>5607</v>
      </c>
      <c r="D3259" s="92">
        <v>0.43</v>
      </c>
      <c r="E3259" s="92">
        <v>0.19</v>
      </c>
      <c r="F3259" t="s">
        <v>428</v>
      </c>
      <c r="G3259" t="s">
        <v>428</v>
      </c>
      <c r="H3259" t="s">
        <v>5617</v>
      </c>
      <c r="I3259">
        <v>0</v>
      </c>
      <c r="J3259" t="s">
        <v>87</v>
      </c>
      <c r="K3259">
        <v>0</v>
      </c>
      <c r="L3259">
        <v>0</v>
      </c>
    </row>
    <row r="3260" spans="1:12">
      <c r="A3260" s="93">
        <v>231873</v>
      </c>
      <c r="B3260" t="s">
        <v>3756</v>
      </c>
      <c r="C3260" t="s">
        <v>5606</v>
      </c>
      <c r="D3260" s="92">
        <v>0.33</v>
      </c>
      <c r="E3260" s="92">
        <v>0.15</v>
      </c>
      <c r="F3260" t="s">
        <v>428</v>
      </c>
      <c r="G3260" t="s">
        <v>428</v>
      </c>
      <c r="H3260" t="s">
        <v>5615</v>
      </c>
      <c r="I3260">
        <v>0</v>
      </c>
      <c r="J3260" t="s">
        <v>87</v>
      </c>
      <c r="K3260">
        <v>0</v>
      </c>
      <c r="L3260">
        <v>0</v>
      </c>
    </row>
    <row r="3261" spans="1:12">
      <c r="A3261" s="93">
        <v>231882</v>
      </c>
      <c r="B3261" t="s">
        <v>3757</v>
      </c>
      <c r="C3261" t="s">
        <v>5606</v>
      </c>
      <c r="D3261" s="92">
        <v>0.33</v>
      </c>
      <c r="E3261" s="92">
        <v>0.22</v>
      </c>
      <c r="F3261" t="s">
        <v>428</v>
      </c>
      <c r="G3261" t="s">
        <v>428</v>
      </c>
      <c r="H3261" t="s">
        <v>5615</v>
      </c>
      <c r="I3261">
        <v>0</v>
      </c>
      <c r="J3261" t="s">
        <v>87</v>
      </c>
      <c r="K3261">
        <v>0</v>
      </c>
      <c r="L3261">
        <v>0</v>
      </c>
    </row>
    <row r="3262" spans="1:12">
      <c r="A3262" s="93">
        <v>231970</v>
      </c>
      <c r="B3262" t="s">
        <v>3758</v>
      </c>
      <c r="C3262" t="s">
        <v>5607</v>
      </c>
      <c r="D3262" s="92" t="s">
        <v>428</v>
      </c>
      <c r="E3262" s="92" t="s">
        <v>428</v>
      </c>
      <c r="F3262" t="s">
        <v>428</v>
      </c>
      <c r="G3262" t="s">
        <v>428</v>
      </c>
      <c r="H3262" t="s">
        <v>5615</v>
      </c>
      <c r="I3262">
        <v>0</v>
      </c>
      <c r="J3262" t="s">
        <v>87</v>
      </c>
      <c r="K3262">
        <v>0</v>
      </c>
      <c r="L3262">
        <v>0</v>
      </c>
    </row>
    <row r="3263" spans="1:12">
      <c r="A3263" s="93">
        <v>232016</v>
      </c>
      <c r="B3263" t="s">
        <v>3759</v>
      </c>
      <c r="C3263" t="s">
        <v>5604</v>
      </c>
      <c r="D3263" s="92">
        <v>0.55</v>
      </c>
      <c r="E3263" s="92">
        <v>0.34</v>
      </c>
      <c r="F3263" t="s">
        <v>428</v>
      </c>
      <c r="G3263" t="s">
        <v>428</v>
      </c>
      <c r="H3263" t="s">
        <v>5617</v>
      </c>
      <c r="I3263">
        <v>0</v>
      </c>
      <c r="J3263" t="s">
        <v>87</v>
      </c>
      <c r="K3263">
        <v>0</v>
      </c>
      <c r="L3263">
        <v>0</v>
      </c>
    </row>
    <row r="3264" spans="1:12">
      <c r="A3264" s="93">
        <v>232025</v>
      </c>
      <c r="B3264" t="s">
        <v>3760</v>
      </c>
      <c r="C3264" t="s">
        <v>5602</v>
      </c>
      <c r="D3264" s="92">
        <v>0.51</v>
      </c>
      <c r="E3264" s="92">
        <v>0.41</v>
      </c>
      <c r="F3264">
        <v>19</v>
      </c>
      <c r="G3264">
        <v>22</v>
      </c>
      <c r="H3264" t="s">
        <v>5616</v>
      </c>
      <c r="I3264">
        <v>0</v>
      </c>
      <c r="J3264" t="s">
        <v>87</v>
      </c>
      <c r="K3264">
        <v>0</v>
      </c>
      <c r="L3264">
        <v>0</v>
      </c>
    </row>
    <row r="3265" spans="1:12">
      <c r="A3265" s="93">
        <v>232043</v>
      </c>
      <c r="B3265" t="s">
        <v>3761</v>
      </c>
      <c r="C3265" t="s">
        <v>5602</v>
      </c>
      <c r="D3265" s="92">
        <v>0.62</v>
      </c>
      <c r="E3265" s="92">
        <v>0.35</v>
      </c>
      <c r="F3265">
        <v>20</v>
      </c>
      <c r="G3265">
        <v>24</v>
      </c>
      <c r="H3265" t="s">
        <v>5617</v>
      </c>
      <c r="I3265">
        <v>0</v>
      </c>
      <c r="J3265" t="s">
        <v>87</v>
      </c>
      <c r="K3265">
        <v>0</v>
      </c>
      <c r="L3265">
        <v>0</v>
      </c>
    </row>
    <row r="3266" spans="1:12">
      <c r="A3266" s="93">
        <v>232052</v>
      </c>
      <c r="B3266" t="s">
        <v>3762</v>
      </c>
      <c r="C3266" t="s">
        <v>5606</v>
      </c>
      <c r="D3266" s="92">
        <v>0.25</v>
      </c>
      <c r="E3266" s="92">
        <v>0.21</v>
      </c>
      <c r="F3266" t="s">
        <v>428</v>
      </c>
      <c r="G3266" t="s">
        <v>428</v>
      </c>
      <c r="H3266" t="s">
        <v>5615</v>
      </c>
      <c r="I3266">
        <v>0</v>
      </c>
      <c r="J3266" t="s">
        <v>87</v>
      </c>
      <c r="K3266">
        <v>0</v>
      </c>
      <c r="L3266">
        <v>0</v>
      </c>
    </row>
    <row r="3267" spans="1:12">
      <c r="A3267" s="93">
        <v>232089</v>
      </c>
      <c r="B3267" t="s">
        <v>3763</v>
      </c>
      <c r="C3267" t="s">
        <v>5602</v>
      </c>
      <c r="D3267" s="92">
        <v>0.29</v>
      </c>
      <c r="E3267" s="92">
        <v>0.23</v>
      </c>
      <c r="F3267">
        <v>13</v>
      </c>
      <c r="G3267">
        <v>15.5</v>
      </c>
      <c r="H3267" t="s">
        <v>5617</v>
      </c>
      <c r="I3267">
        <v>0</v>
      </c>
      <c r="J3267" t="s">
        <v>87</v>
      </c>
      <c r="K3267">
        <v>0</v>
      </c>
      <c r="L3267">
        <v>0</v>
      </c>
    </row>
    <row r="3268" spans="1:12">
      <c r="A3268" s="93">
        <v>232186</v>
      </c>
      <c r="B3268" t="s">
        <v>3764</v>
      </c>
      <c r="C3268" t="s">
        <v>5603</v>
      </c>
      <c r="D3268" s="92">
        <v>0.7</v>
      </c>
      <c r="E3268" s="92">
        <v>0.71</v>
      </c>
      <c r="F3268">
        <v>21</v>
      </c>
      <c r="G3268">
        <v>23.5</v>
      </c>
      <c r="H3268" t="s">
        <v>5615</v>
      </c>
      <c r="I3268">
        <v>0</v>
      </c>
      <c r="J3268" t="s">
        <v>87</v>
      </c>
      <c r="K3268">
        <v>0</v>
      </c>
      <c r="L3268">
        <v>0</v>
      </c>
    </row>
    <row r="3269" spans="1:12">
      <c r="A3269" s="93">
        <v>232195</v>
      </c>
      <c r="B3269" t="s">
        <v>3765</v>
      </c>
      <c r="C3269" t="s">
        <v>5606</v>
      </c>
      <c r="D3269" s="92">
        <v>0.34</v>
      </c>
      <c r="E3269" s="92">
        <v>0.28</v>
      </c>
      <c r="F3269" t="s">
        <v>428</v>
      </c>
      <c r="G3269" t="s">
        <v>428</v>
      </c>
      <c r="H3269" t="s">
        <v>5615</v>
      </c>
      <c r="I3269">
        <v>0</v>
      </c>
      <c r="J3269" t="s">
        <v>87</v>
      </c>
      <c r="K3269">
        <v>0</v>
      </c>
      <c r="L3269">
        <v>0</v>
      </c>
    </row>
    <row r="3270" spans="1:12">
      <c r="A3270" s="93">
        <v>232256</v>
      </c>
      <c r="B3270" t="s">
        <v>3766</v>
      </c>
      <c r="C3270" t="s">
        <v>5602</v>
      </c>
      <c r="D3270" s="92">
        <v>0.65</v>
      </c>
      <c r="E3270" s="92">
        <v>0.58</v>
      </c>
      <c r="F3270">
        <v>21</v>
      </c>
      <c r="G3270">
        <v>24.5</v>
      </c>
      <c r="H3270" t="s">
        <v>5617</v>
      </c>
      <c r="I3270">
        <v>0</v>
      </c>
      <c r="J3270" t="s">
        <v>87</v>
      </c>
      <c r="K3270">
        <v>0</v>
      </c>
      <c r="L3270">
        <v>0</v>
      </c>
    </row>
    <row r="3271" spans="1:12">
      <c r="A3271" s="93">
        <v>232265</v>
      </c>
      <c r="B3271" t="s">
        <v>3767</v>
      </c>
      <c r="C3271" t="s">
        <v>5608</v>
      </c>
      <c r="D3271" s="92">
        <v>0.55</v>
      </c>
      <c r="E3271" s="92">
        <v>0.7</v>
      </c>
      <c r="F3271">
        <v>19</v>
      </c>
      <c r="G3271">
        <v>21.5</v>
      </c>
      <c r="H3271" t="s">
        <v>5617</v>
      </c>
      <c r="I3271">
        <v>0</v>
      </c>
      <c r="J3271" t="s">
        <v>138</v>
      </c>
      <c r="K3271">
        <v>0</v>
      </c>
      <c r="L3271">
        <v>0</v>
      </c>
    </row>
    <row r="3272" spans="1:12">
      <c r="A3272" s="93">
        <v>232308</v>
      </c>
      <c r="B3272" t="s">
        <v>3768</v>
      </c>
      <c r="C3272" t="s">
        <v>5603</v>
      </c>
      <c r="D3272" s="92">
        <v>0.58</v>
      </c>
      <c r="E3272" s="92">
        <v>0.53</v>
      </c>
      <c r="F3272">
        <v>23</v>
      </c>
      <c r="G3272">
        <v>26</v>
      </c>
      <c r="H3272" t="s">
        <v>5617</v>
      </c>
      <c r="I3272">
        <v>0</v>
      </c>
      <c r="J3272" t="s">
        <v>87</v>
      </c>
      <c r="K3272">
        <v>0</v>
      </c>
      <c r="L3272">
        <v>0</v>
      </c>
    </row>
    <row r="3273" spans="1:12">
      <c r="A3273" s="93">
        <v>232414</v>
      </c>
      <c r="B3273" t="s">
        <v>3769</v>
      </c>
      <c r="C3273" t="s">
        <v>5606</v>
      </c>
      <c r="D3273" s="92">
        <v>0.23</v>
      </c>
      <c r="E3273" s="92">
        <v>0.15</v>
      </c>
      <c r="F3273" t="s">
        <v>428</v>
      </c>
      <c r="G3273" t="s">
        <v>428</v>
      </c>
      <c r="H3273" t="s">
        <v>5615</v>
      </c>
      <c r="I3273">
        <v>0</v>
      </c>
      <c r="J3273" t="s">
        <v>87</v>
      </c>
      <c r="K3273">
        <v>0</v>
      </c>
      <c r="L3273">
        <v>0</v>
      </c>
    </row>
    <row r="3274" spans="1:12">
      <c r="A3274" s="93">
        <v>232423</v>
      </c>
      <c r="B3274" t="s">
        <v>3770</v>
      </c>
      <c r="C3274" t="s">
        <v>5603</v>
      </c>
      <c r="D3274" s="92">
        <v>0.82</v>
      </c>
      <c r="E3274" s="92">
        <v>0.77</v>
      </c>
      <c r="F3274">
        <v>22</v>
      </c>
      <c r="G3274">
        <v>24.5</v>
      </c>
      <c r="H3274" t="s">
        <v>5615</v>
      </c>
      <c r="I3274">
        <v>0</v>
      </c>
      <c r="J3274" t="s">
        <v>87</v>
      </c>
      <c r="K3274">
        <v>0</v>
      </c>
      <c r="L3274">
        <v>0</v>
      </c>
    </row>
    <row r="3275" spans="1:12">
      <c r="A3275" s="93">
        <v>232450</v>
      </c>
      <c r="B3275" t="s">
        <v>3771</v>
      </c>
      <c r="C3275" t="s">
        <v>5606</v>
      </c>
      <c r="D3275" s="92">
        <v>0.28</v>
      </c>
      <c r="E3275" s="92">
        <v>0.21</v>
      </c>
      <c r="F3275" t="s">
        <v>428</v>
      </c>
      <c r="G3275" t="s">
        <v>428</v>
      </c>
      <c r="H3275" t="s">
        <v>5615</v>
      </c>
      <c r="I3275">
        <v>0</v>
      </c>
      <c r="J3275" t="s">
        <v>87</v>
      </c>
      <c r="K3275">
        <v>0</v>
      </c>
      <c r="L3275">
        <v>0</v>
      </c>
    </row>
    <row r="3276" spans="1:12">
      <c r="A3276" s="93">
        <v>232502</v>
      </c>
      <c r="B3276" t="s">
        <v>3772</v>
      </c>
      <c r="C3276" t="s">
        <v>5606</v>
      </c>
      <c r="D3276" s="92" t="s">
        <v>428</v>
      </c>
      <c r="E3276" s="92" t="s">
        <v>428</v>
      </c>
      <c r="F3276" t="s">
        <v>428</v>
      </c>
      <c r="G3276" t="s">
        <v>428</v>
      </c>
      <c r="H3276" t="s">
        <v>5617</v>
      </c>
      <c r="I3276">
        <v>0</v>
      </c>
      <c r="J3276" t="s">
        <v>87</v>
      </c>
      <c r="K3276">
        <v>0</v>
      </c>
      <c r="L3276">
        <v>0</v>
      </c>
    </row>
    <row r="3277" spans="1:12">
      <c r="A3277" s="93">
        <v>232557</v>
      </c>
      <c r="B3277" t="s">
        <v>3773</v>
      </c>
      <c r="C3277" t="s">
        <v>5602</v>
      </c>
      <c r="D3277" s="92">
        <v>0.54</v>
      </c>
      <c r="E3277" s="92">
        <v>0.3</v>
      </c>
      <c r="F3277">
        <v>21</v>
      </c>
      <c r="G3277">
        <v>24.5</v>
      </c>
      <c r="H3277" t="s">
        <v>5617</v>
      </c>
      <c r="I3277">
        <v>0</v>
      </c>
      <c r="J3277" t="s">
        <v>87</v>
      </c>
      <c r="K3277">
        <v>0</v>
      </c>
      <c r="L3277">
        <v>0</v>
      </c>
    </row>
    <row r="3278" spans="1:12">
      <c r="A3278" s="93">
        <v>232566</v>
      </c>
      <c r="B3278" t="s">
        <v>3774</v>
      </c>
      <c r="C3278" t="s">
        <v>5602</v>
      </c>
      <c r="D3278" s="92">
        <v>0.66</v>
      </c>
      <c r="E3278" s="92">
        <v>0.57</v>
      </c>
      <c r="F3278">
        <v>18</v>
      </c>
      <c r="G3278">
        <v>20.5</v>
      </c>
      <c r="H3278" t="s">
        <v>5615</v>
      </c>
      <c r="I3278">
        <v>0</v>
      </c>
      <c r="J3278" t="s">
        <v>87</v>
      </c>
      <c r="K3278">
        <v>0</v>
      </c>
      <c r="L3278">
        <v>0</v>
      </c>
    </row>
    <row r="3279" spans="1:12">
      <c r="A3279" s="93">
        <v>232575</v>
      </c>
      <c r="B3279" t="s">
        <v>3775</v>
      </c>
      <c r="C3279" t="s">
        <v>5606</v>
      </c>
      <c r="D3279" s="92">
        <v>0.42</v>
      </c>
      <c r="E3279" s="92">
        <v>0.33</v>
      </c>
      <c r="F3279" t="s">
        <v>428</v>
      </c>
      <c r="G3279" t="s">
        <v>428</v>
      </c>
      <c r="H3279" t="s">
        <v>5615</v>
      </c>
      <c r="I3279">
        <v>0</v>
      </c>
      <c r="J3279" t="s">
        <v>87</v>
      </c>
      <c r="K3279">
        <v>0</v>
      </c>
      <c r="L3279">
        <v>0</v>
      </c>
    </row>
    <row r="3280" spans="1:12">
      <c r="A3280" s="93">
        <v>232609</v>
      </c>
      <c r="B3280" t="s">
        <v>3776</v>
      </c>
      <c r="C3280" t="s">
        <v>5602</v>
      </c>
      <c r="D3280" s="92">
        <v>0.5600000000000001</v>
      </c>
      <c r="E3280" s="92">
        <v>0.52</v>
      </c>
      <c r="F3280">
        <v>19</v>
      </c>
      <c r="G3280">
        <v>22</v>
      </c>
      <c r="H3280" t="s">
        <v>5617</v>
      </c>
      <c r="I3280">
        <v>0</v>
      </c>
      <c r="J3280" t="s">
        <v>87</v>
      </c>
      <c r="K3280">
        <v>0</v>
      </c>
      <c r="L3280">
        <v>0</v>
      </c>
    </row>
    <row r="3281" spans="1:12">
      <c r="A3281" s="93">
        <v>232618</v>
      </c>
      <c r="B3281" t="s">
        <v>3777</v>
      </c>
      <c r="C3281" t="s">
        <v>5604</v>
      </c>
      <c r="D3281" s="92" t="s">
        <v>428</v>
      </c>
      <c r="E3281" s="92" t="s">
        <v>428</v>
      </c>
      <c r="F3281" t="s">
        <v>428</v>
      </c>
      <c r="G3281" t="s">
        <v>428</v>
      </c>
      <c r="H3281" t="s">
        <v>5615</v>
      </c>
      <c r="I3281">
        <v>0</v>
      </c>
      <c r="J3281" t="s">
        <v>87</v>
      </c>
      <c r="K3281">
        <v>0</v>
      </c>
      <c r="L3281">
        <v>0</v>
      </c>
    </row>
    <row r="3282" spans="1:12">
      <c r="A3282" s="93">
        <v>232672</v>
      </c>
      <c r="B3282" t="s">
        <v>3778</v>
      </c>
      <c r="C3282" t="s">
        <v>5602</v>
      </c>
      <c r="D3282" s="92">
        <v>0.42</v>
      </c>
      <c r="E3282" s="92">
        <v>0.38</v>
      </c>
      <c r="F3282">
        <v>18</v>
      </c>
      <c r="G3282">
        <v>21.5</v>
      </c>
      <c r="H3282" t="s">
        <v>5616</v>
      </c>
      <c r="I3282">
        <v>0</v>
      </c>
      <c r="J3282" t="s">
        <v>87</v>
      </c>
      <c r="K3282">
        <v>0</v>
      </c>
      <c r="L3282">
        <v>0</v>
      </c>
    </row>
    <row r="3283" spans="1:12">
      <c r="A3283" s="93">
        <v>232681</v>
      </c>
      <c r="B3283" t="s">
        <v>3779</v>
      </c>
      <c r="C3283" t="s">
        <v>5603</v>
      </c>
      <c r="D3283" s="92">
        <v>0.72</v>
      </c>
      <c r="E3283" s="92">
        <v>0.67</v>
      </c>
      <c r="F3283">
        <v>22</v>
      </c>
      <c r="G3283">
        <v>24.5</v>
      </c>
      <c r="H3283" t="s">
        <v>5615</v>
      </c>
      <c r="I3283">
        <v>0</v>
      </c>
      <c r="J3283" t="s">
        <v>87</v>
      </c>
      <c r="K3283">
        <v>0</v>
      </c>
      <c r="L3283">
        <v>0</v>
      </c>
    </row>
    <row r="3284" spans="1:12">
      <c r="A3284" s="93">
        <v>232706</v>
      </c>
      <c r="B3284" t="s">
        <v>3780</v>
      </c>
      <c r="C3284" t="s">
        <v>5608</v>
      </c>
      <c r="D3284" s="92">
        <v>0.51</v>
      </c>
      <c r="E3284" s="92">
        <v>0.48</v>
      </c>
      <c r="F3284">
        <v>15</v>
      </c>
      <c r="G3284">
        <v>18</v>
      </c>
      <c r="H3284" t="s">
        <v>5617</v>
      </c>
      <c r="I3284">
        <v>0</v>
      </c>
      <c r="J3284" t="s">
        <v>87</v>
      </c>
      <c r="K3284">
        <v>0</v>
      </c>
      <c r="L3284">
        <v>0</v>
      </c>
    </row>
    <row r="3285" spans="1:12">
      <c r="A3285" s="93">
        <v>232724</v>
      </c>
      <c r="B3285" t="s">
        <v>3781</v>
      </c>
      <c r="C3285" t="s">
        <v>5606</v>
      </c>
      <c r="D3285" s="92" t="s">
        <v>428</v>
      </c>
      <c r="E3285" s="92" t="s">
        <v>428</v>
      </c>
      <c r="F3285" t="s">
        <v>428</v>
      </c>
      <c r="G3285" t="s">
        <v>428</v>
      </c>
      <c r="H3285" t="s">
        <v>5615</v>
      </c>
      <c r="I3285">
        <v>0</v>
      </c>
      <c r="J3285" t="s">
        <v>87</v>
      </c>
      <c r="K3285">
        <v>0</v>
      </c>
      <c r="L3285">
        <v>0</v>
      </c>
    </row>
    <row r="3286" spans="1:12">
      <c r="A3286" s="93">
        <v>232788</v>
      </c>
      <c r="B3286" t="s">
        <v>3782</v>
      </c>
      <c r="C3286" t="s">
        <v>5606</v>
      </c>
      <c r="D3286" s="92">
        <v>0.39</v>
      </c>
      <c r="E3286" s="92">
        <v>0.23</v>
      </c>
      <c r="F3286" t="s">
        <v>428</v>
      </c>
      <c r="G3286" t="s">
        <v>428</v>
      </c>
      <c r="H3286" t="s">
        <v>5615</v>
      </c>
      <c r="I3286">
        <v>0</v>
      </c>
      <c r="J3286" t="s">
        <v>87</v>
      </c>
      <c r="K3286">
        <v>0</v>
      </c>
      <c r="L3286">
        <v>0</v>
      </c>
    </row>
    <row r="3287" spans="1:12">
      <c r="A3287" s="93">
        <v>232797</v>
      </c>
      <c r="B3287" t="s">
        <v>3783</v>
      </c>
      <c r="C3287" t="s">
        <v>5604</v>
      </c>
      <c r="D3287" s="92" t="s">
        <v>428</v>
      </c>
      <c r="E3287" s="92" t="s">
        <v>428</v>
      </c>
      <c r="F3287" t="s">
        <v>428</v>
      </c>
      <c r="G3287" t="s">
        <v>428</v>
      </c>
      <c r="H3287" t="s">
        <v>5617</v>
      </c>
      <c r="I3287">
        <v>0</v>
      </c>
      <c r="J3287" t="s">
        <v>87</v>
      </c>
      <c r="K3287">
        <v>0</v>
      </c>
      <c r="L3287">
        <v>0</v>
      </c>
    </row>
    <row r="3288" spans="1:12">
      <c r="A3288" s="93">
        <v>232867</v>
      </c>
      <c r="B3288" t="s">
        <v>3784</v>
      </c>
      <c r="C3288" t="s">
        <v>5606</v>
      </c>
      <c r="D3288" s="92">
        <v>0.29</v>
      </c>
      <c r="E3288" s="92">
        <v>0.19</v>
      </c>
      <c r="F3288" t="s">
        <v>428</v>
      </c>
      <c r="G3288" t="s">
        <v>428</v>
      </c>
      <c r="H3288" t="s">
        <v>5615</v>
      </c>
      <c r="I3288">
        <v>0</v>
      </c>
      <c r="J3288" t="s">
        <v>87</v>
      </c>
      <c r="K3288">
        <v>0</v>
      </c>
      <c r="L3288">
        <v>0</v>
      </c>
    </row>
    <row r="3289" spans="1:12">
      <c r="A3289" s="93">
        <v>232885</v>
      </c>
      <c r="B3289" t="s">
        <v>3785</v>
      </c>
      <c r="C3289" t="s">
        <v>5607</v>
      </c>
      <c r="D3289" s="92" t="s">
        <v>428</v>
      </c>
      <c r="E3289" s="92" t="s">
        <v>428</v>
      </c>
      <c r="F3289" t="s">
        <v>428</v>
      </c>
      <c r="G3289" t="s">
        <v>428</v>
      </c>
      <c r="H3289" t="s">
        <v>5615</v>
      </c>
      <c r="I3289">
        <v>0</v>
      </c>
      <c r="J3289" t="s">
        <v>87</v>
      </c>
      <c r="K3289">
        <v>0</v>
      </c>
      <c r="L3289">
        <v>0</v>
      </c>
    </row>
    <row r="3290" spans="1:12">
      <c r="A3290" s="93">
        <v>232937</v>
      </c>
      <c r="B3290" t="s">
        <v>3786</v>
      </c>
      <c r="C3290" t="s">
        <v>5608</v>
      </c>
      <c r="D3290" s="92">
        <v>0.37</v>
      </c>
      <c r="E3290" s="92">
        <v>0.52</v>
      </c>
      <c r="F3290">
        <v>16</v>
      </c>
      <c r="G3290">
        <v>18</v>
      </c>
      <c r="H3290" t="s">
        <v>5617</v>
      </c>
      <c r="I3290">
        <v>0</v>
      </c>
      <c r="J3290" t="s">
        <v>138</v>
      </c>
      <c r="K3290">
        <v>0</v>
      </c>
      <c r="L3290">
        <v>0</v>
      </c>
    </row>
    <row r="3291" spans="1:12">
      <c r="A3291" s="93">
        <v>232946</v>
      </c>
      <c r="B3291" t="s">
        <v>3787</v>
      </c>
      <c r="C3291" t="s">
        <v>5606</v>
      </c>
      <c r="D3291" s="92">
        <v>0.32</v>
      </c>
      <c r="E3291" s="92">
        <v>0.26</v>
      </c>
      <c r="F3291" t="s">
        <v>428</v>
      </c>
      <c r="G3291" t="s">
        <v>428</v>
      </c>
      <c r="H3291" t="s">
        <v>5615</v>
      </c>
      <c r="I3291">
        <v>0</v>
      </c>
      <c r="J3291" t="s">
        <v>87</v>
      </c>
      <c r="K3291">
        <v>0</v>
      </c>
      <c r="L3291">
        <v>0</v>
      </c>
    </row>
    <row r="3292" spans="1:12">
      <c r="A3292" s="93">
        <v>232982</v>
      </c>
      <c r="B3292" t="s">
        <v>3788</v>
      </c>
      <c r="C3292" t="s">
        <v>5602</v>
      </c>
      <c r="D3292" s="92">
        <v>0.51</v>
      </c>
      <c r="E3292" s="92">
        <v>0.51</v>
      </c>
      <c r="F3292">
        <v>18</v>
      </c>
      <c r="G3292">
        <v>21.5</v>
      </c>
      <c r="H3292" t="s">
        <v>5615</v>
      </c>
      <c r="I3292">
        <v>0</v>
      </c>
      <c r="J3292" t="s">
        <v>87</v>
      </c>
      <c r="K3292">
        <v>0</v>
      </c>
      <c r="L3292">
        <v>0</v>
      </c>
    </row>
    <row r="3293" spans="1:12">
      <c r="A3293" s="93">
        <v>233019</v>
      </c>
      <c r="B3293" t="s">
        <v>3789</v>
      </c>
      <c r="C3293" t="s">
        <v>5606</v>
      </c>
      <c r="D3293" s="92">
        <v>0.41</v>
      </c>
      <c r="E3293" s="92">
        <v>0.32</v>
      </c>
      <c r="F3293" t="s">
        <v>428</v>
      </c>
      <c r="G3293" t="s">
        <v>428</v>
      </c>
      <c r="H3293" t="s">
        <v>5620</v>
      </c>
      <c r="I3293">
        <v>0</v>
      </c>
      <c r="J3293" t="s">
        <v>87</v>
      </c>
      <c r="K3293">
        <v>0</v>
      </c>
      <c r="L3293">
        <v>0</v>
      </c>
    </row>
    <row r="3294" spans="1:12">
      <c r="A3294" s="93">
        <v>233037</v>
      </c>
      <c r="B3294" t="s">
        <v>3790</v>
      </c>
      <c r="C3294" t="s">
        <v>5606</v>
      </c>
      <c r="D3294" s="92">
        <v>0.27</v>
      </c>
      <c r="E3294" s="92">
        <v>0.23</v>
      </c>
      <c r="F3294" t="s">
        <v>428</v>
      </c>
      <c r="G3294" t="s">
        <v>428</v>
      </c>
      <c r="H3294" t="s">
        <v>5615</v>
      </c>
      <c r="I3294">
        <v>0</v>
      </c>
      <c r="J3294" t="s">
        <v>87</v>
      </c>
      <c r="K3294">
        <v>0</v>
      </c>
      <c r="L3294">
        <v>0</v>
      </c>
    </row>
    <row r="3295" spans="1:12">
      <c r="A3295" s="93">
        <v>233082</v>
      </c>
      <c r="B3295" t="s">
        <v>3791</v>
      </c>
      <c r="C3295" t="s">
        <v>5606</v>
      </c>
      <c r="D3295" s="92" t="s">
        <v>428</v>
      </c>
      <c r="E3295" s="92" t="s">
        <v>428</v>
      </c>
      <c r="F3295" t="s">
        <v>428</v>
      </c>
      <c r="G3295" t="s">
        <v>428</v>
      </c>
      <c r="H3295" t="s">
        <v>5615</v>
      </c>
      <c r="I3295">
        <v>0</v>
      </c>
      <c r="J3295" t="s">
        <v>87</v>
      </c>
      <c r="K3295">
        <v>0</v>
      </c>
      <c r="L3295">
        <v>0</v>
      </c>
    </row>
    <row r="3296" spans="1:12">
      <c r="A3296" s="93">
        <v>233091</v>
      </c>
      <c r="B3296" t="s">
        <v>3792</v>
      </c>
      <c r="C3296" t="s">
        <v>5606</v>
      </c>
      <c r="D3296" s="92" t="s">
        <v>428</v>
      </c>
      <c r="E3296" s="92" t="s">
        <v>428</v>
      </c>
      <c r="F3296" t="s">
        <v>428</v>
      </c>
      <c r="G3296" t="s">
        <v>428</v>
      </c>
      <c r="H3296" t="s">
        <v>5617</v>
      </c>
      <c r="I3296">
        <v>0</v>
      </c>
      <c r="J3296" t="s">
        <v>87</v>
      </c>
      <c r="K3296">
        <v>0</v>
      </c>
      <c r="L3296">
        <v>0</v>
      </c>
    </row>
    <row r="3297" spans="1:12">
      <c r="A3297" s="93">
        <v>233116</v>
      </c>
      <c r="B3297" t="s">
        <v>3793</v>
      </c>
      <c r="C3297" t="s">
        <v>5606</v>
      </c>
      <c r="D3297" s="92">
        <v>0.32</v>
      </c>
      <c r="E3297" s="92">
        <v>0.19</v>
      </c>
      <c r="F3297" t="s">
        <v>428</v>
      </c>
      <c r="G3297" t="s">
        <v>428</v>
      </c>
      <c r="H3297" t="s">
        <v>5615</v>
      </c>
      <c r="I3297">
        <v>0</v>
      </c>
      <c r="J3297" t="s">
        <v>87</v>
      </c>
      <c r="K3297">
        <v>0</v>
      </c>
      <c r="L3297">
        <v>0</v>
      </c>
    </row>
    <row r="3298" spans="1:12">
      <c r="A3298" s="93">
        <v>233277</v>
      </c>
      <c r="B3298" t="s">
        <v>3794</v>
      </c>
      <c r="C3298" t="s">
        <v>5608</v>
      </c>
      <c r="D3298" s="92">
        <v>0.58</v>
      </c>
      <c r="E3298" s="92">
        <v>0.51</v>
      </c>
      <c r="F3298" t="s">
        <v>428</v>
      </c>
      <c r="G3298" t="s">
        <v>428</v>
      </c>
      <c r="H3298" t="s">
        <v>5615</v>
      </c>
      <c r="I3298">
        <v>0</v>
      </c>
      <c r="J3298" t="s">
        <v>87</v>
      </c>
      <c r="K3298">
        <v>0</v>
      </c>
      <c r="L3298">
        <v>0</v>
      </c>
    </row>
    <row r="3299" spans="1:12">
      <c r="A3299" s="93">
        <v>233295</v>
      </c>
      <c r="B3299" t="s">
        <v>3795</v>
      </c>
      <c r="C3299" t="s">
        <v>5602</v>
      </c>
      <c r="D3299" s="92">
        <v>0.59</v>
      </c>
      <c r="E3299" s="92">
        <v>0.54</v>
      </c>
      <c r="F3299">
        <v>22</v>
      </c>
      <c r="G3299">
        <v>24</v>
      </c>
      <c r="H3299" t="s">
        <v>5617</v>
      </c>
      <c r="I3299">
        <v>0</v>
      </c>
      <c r="J3299" t="s">
        <v>87</v>
      </c>
      <c r="K3299">
        <v>0</v>
      </c>
      <c r="L3299">
        <v>0</v>
      </c>
    </row>
    <row r="3300" spans="1:12">
      <c r="A3300" s="93">
        <v>233301</v>
      </c>
      <c r="B3300" t="s">
        <v>3796</v>
      </c>
      <c r="C3300" t="s">
        <v>5603</v>
      </c>
      <c r="D3300" s="92">
        <v>0.57</v>
      </c>
      <c r="E3300" s="92">
        <v>0.45</v>
      </c>
      <c r="F3300">
        <v>20</v>
      </c>
      <c r="G3300">
        <v>23</v>
      </c>
      <c r="H3300" t="s">
        <v>5617</v>
      </c>
      <c r="I3300">
        <v>0</v>
      </c>
      <c r="J3300" t="s">
        <v>87</v>
      </c>
      <c r="K3300">
        <v>0</v>
      </c>
      <c r="L3300">
        <v>0</v>
      </c>
    </row>
    <row r="3301" spans="1:12">
      <c r="A3301" s="93">
        <v>233310</v>
      </c>
      <c r="B3301" t="s">
        <v>3797</v>
      </c>
      <c r="C3301" t="s">
        <v>5606</v>
      </c>
      <c r="D3301" s="92">
        <v>0.34</v>
      </c>
      <c r="E3301" s="92">
        <v>0.24</v>
      </c>
      <c r="F3301" t="s">
        <v>428</v>
      </c>
      <c r="G3301" t="s">
        <v>428</v>
      </c>
      <c r="H3301" t="s">
        <v>5615</v>
      </c>
      <c r="I3301">
        <v>0</v>
      </c>
      <c r="J3301" t="s">
        <v>87</v>
      </c>
      <c r="K3301">
        <v>0</v>
      </c>
      <c r="L3301">
        <v>0</v>
      </c>
    </row>
    <row r="3302" spans="1:12">
      <c r="A3302" s="93">
        <v>233329</v>
      </c>
      <c r="B3302" t="s">
        <v>3798</v>
      </c>
      <c r="C3302" t="s">
        <v>5606</v>
      </c>
      <c r="D3302" s="92" t="s">
        <v>428</v>
      </c>
      <c r="E3302" s="92" t="s">
        <v>428</v>
      </c>
      <c r="F3302" t="s">
        <v>428</v>
      </c>
      <c r="G3302" t="s">
        <v>428</v>
      </c>
      <c r="H3302" t="s">
        <v>5617</v>
      </c>
      <c r="I3302">
        <v>0</v>
      </c>
      <c r="J3302" t="s">
        <v>87</v>
      </c>
      <c r="K3302">
        <v>0</v>
      </c>
      <c r="L3302">
        <v>0</v>
      </c>
    </row>
    <row r="3303" spans="1:12">
      <c r="A3303" s="93">
        <v>233338</v>
      </c>
      <c r="B3303" t="s">
        <v>3799</v>
      </c>
      <c r="C3303" t="s">
        <v>5609</v>
      </c>
      <c r="D3303" s="92">
        <v>0.5</v>
      </c>
      <c r="E3303" s="92">
        <v>0.41</v>
      </c>
      <c r="F3303" t="s">
        <v>428</v>
      </c>
      <c r="G3303" t="s">
        <v>428</v>
      </c>
      <c r="H3303" t="s">
        <v>5615</v>
      </c>
      <c r="I3303">
        <v>0</v>
      </c>
      <c r="J3303" t="s">
        <v>87</v>
      </c>
      <c r="K3303">
        <v>0</v>
      </c>
      <c r="L3303">
        <v>0</v>
      </c>
    </row>
    <row r="3304" spans="1:12">
      <c r="A3304" s="93">
        <v>233356</v>
      </c>
      <c r="B3304" t="s">
        <v>3800</v>
      </c>
      <c r="C3304" t="s">
        <v>5607</v>
      </c>
      <c r="D3304" s="92">
        <v>1</v>
      </c>
      <c r="E3304" s="92" t="s">
        <v>428</v>
      </c>
      <c r="F3304" t="s">
        <v>428</v>
      </c>
      <c r="G3304" t="s">
        <v>428</v>
      </c>
      <c r="H3304" t="s">
        <v>5615</v>
      </c>
      <c r="I3304">
        <v>0</v>
      </c>
      <c r="J3304" t="s">
        <v>87</v>
      </c>
      <c r="K3304">
        <v>0</v>
      </c>
      <c r="L3304">
        <v>0</v>
      </c>
    </row>
    <row r="3305" spans="1:12">
      <c r="A3305" s="93">
        <v>233374</v>
      </c>
      <c r="B3305" t="s">
        <v>3801</v>
      </c>
      <c r="C3305" t="s">
        <v>5612</v>
      </c>
      <c r="D3305" s="92">
        <v>0.88</v>
      </c>
      <c r="E3305" s="92">
        <v>0.84</v>
      </c>
      <c r="F3305">
        <v>29</v>
      </c>
      <c r="G3305">
        <v>30.5</v>
      </c>
      <c r="H3305" t="s">
        <v>5619</v>
      </c>
      <c r="I3305">
        <v>1</v>
      </c>
      <c r="J3305" t="s">
        <v>87</v>
      </c>
      <c r="K3305">
        <v>0</v>
      </c>
      <c r="L3305">
        <v>0</v>
      </c>
    </row>
    <row r="3306" spans="1:12">
      <c r="A3306" s="93">
        <v>233408</v>
      </c>
      <c r="B3306" t="s">
        <v>3802</v>
      </c>
      <c r="C3306" t="s">
        <v>5609</v>
      </c>
      <c r="D3306" s="92" t="s">
        <v>428</v>
      </c>
      <c r="E3306" s="92" t="s">
        <v>428</v>
      </c>
      <c r="F3306" t="s">
        <v>428</v>
      </c>
      <c r="G3306" t="s">
        <v>428</v>
      </c>
      <c r="H3306" t="s">
        <v>5616</v>
      </c>
      <c r="I3306">
        <v>0</v>
      </c>
      <c r="J3306" t="s">
        <v>87</v>
      </c>
      <c r="K3306">
        <v>0</v>
      </c>
      <c r="L3306">
        <v>0</v>
      </c>
    </row>
    <row r="3307" spans="1:12">
      <c r="A3307" s="93">
        <v>233426</v>
      </c>
      <c r="B3307" t="s">
        <v>3803</v>
      </c>
      <c r="C3307" t="s">
        <v>5603</v>
      </c>
      <c r="D3307" s="92">
        <v>0.64</v>
      </c>
      <c r="E3307" s="92">
        <v>0.5600000000000001</v>
      </c>
      <c r="F3307">
        <v>21</v>
      </c>
      <c r="G3307">
        <v>24</v>
      </c>
      <c r="H3307" t="s">
        <v>5617</v>
      </c>
      <c r="I3307">
        <v>0</v>
      </c>
      <c r="J3307" t="s">
        <v>87</v>
      </c>
      <c r="K3307">
        <v>0</v>
      </c>
      <c r="L3307">
        <v>0</v>
      </c>
    </row>
    <row r="3308" spans="1:12">
      <c r="A3308" s="93">
        <v>233480</v>
      </c>
      <c r="B3308" t="s">
        <v>3804</v>
      </c>
      <c r="C3308" t="s">
        <v>5606</v>
      </c>
      <c r="D3308" s="92" t="s">
        <v>428</v>
      </c>
      <c r="E3308" s="92" t="s">
        <v>428</v>
      </c>
      <c r="F3308" t="s">
        <v>428</v>
      </c>
      <c r="G3308" t="s">
        <v>428</v>
      </c>
      <c r="H3308" t="s">
        <v>5615</v>
      </c>
      <c r="I3308">
        <v>0</v>
      </c>
      <c r="J3308" t="s">
        <v>87</v>
      </c>
      <c r="K3308">
        <v>0</v>
      </c>
      <c r="L3308">
        <v>0</v>
      </c>
    </row>
    <row r="3309" spans="1:12">
      <c r="A3309" s="93">
        <v>233541</v>
      </c>
      <c r="B3309" t="s">
        <v>3805</v>
      </c>
      <c r="C3309" t="s">
        <v>5602</v>
      </c>
      <c r="D3309" s="92">
        <v>0.55</v>
      </c>
      <c r="E3309" s="92">
        <v>0.43</v>
      </c>
      <c r="F3309">
        <v>19</v>
      </c>
      <c r="G3309">
        <v>22</v>
      </c>
      <c r="H3309" t="s">
        <v>5617</v>
      </c>
      <c r="I3309">
        <v>0</v>
      </c>
      <c r="J3309" t="s">
        <v>87</v>
      </c>
      <c r="K3309">
        <v>0</v>
      </c>
      <c r="L3309">
        <v>0</v>
      </c>
    </row>
    <row r="3310" spans="1:12">
      <c r="A3310" s="93">
        <v>233611</v>
      </c>
      <c r="B3310" t="s">
        <v>3806</v>
      </c>
      <c r="C3310" t="s">
        <v>5602</v>
      </c>
      <c r="D3310" s="92">
        <v>0.32</v>
      </c>
      <c r="E3310" s="92">
        <v>0.26</v>
      </c>
      <c r="F3310">
        <v>16</v>
      </c>
      <c r="G3310">
        <v>21</v>
      </c>
      <c r="H3310" t="s">
        <v>5617</v>
      </c>
      <c r="I3310">
        <v>0</v>
      </c>
      <c r="J3310" t="s">
        <v>87</v>
      </c>
      <c r="K3310">
        <v>0</v>
      </c>
      <c r="L3310">
        <v>0</v>
      </c>
    </row>
    <row r="3311" spans="1:12">
      <c r="A3311" s="93">
        <v>233639</v>
      </c>
      <c r="B3311" t="s">
        <v>3807</v>
      </c>
      <c r="C3311" t="s">
        <v>5606</v>
      </c>
      <c r="D3311" s="92">
        <v>0.4</v>
      </c>
      <c r="E3311" s="92">
        <v>0.34</v>
      </c>
      <c r="F3311" t="s">
        <v>428</v>
      </c>
      <c r="G3311" t="s">
        <v>428</v>
      </c>
      <c r="H3311" t="s">
        <v>5615</v>
      </c>
      <c r="I3311">
        <v>0</v>
      </c>
      <c r="J3311" t="s">
        <v>87</v>
      </c>
      <c r="K3311">
        <v>0</v>
      </c>
      <c r="L3311">
        <v>0</v>
      </c>
    </row>
    <row r="3312" spans="1:12">
      <c r="A3312" s="93">
        <v>233648</v>
      </c>
      <c r="B3312" t="s">
        <v>3808</v>
      </c>
      <c r="C3312" t="s">
        <v>5606</v>
      </c>
      <c r="D3312" s="92">
        <v>0.38</v>
      </c>
      <c r="E3312" s="92">
        <v>0.31</v>
      </c>
      <c r="F3312" t="s">
        <v>428</v>
      </c>
      <c r="G3312" t="s">
        <v>428</v>
      </c>
      <c r="H3312" t="s">
        <v>5615</v>
      </c>
      <c r="I3312">
        <v>0</v>
      </c>
      <c r="J3312" t="s">
        <v>87</v>
      </c>
      <c r="K3312">
        <v>0</v>
      </c>
      <c r="L3312">
        <v>0</v>
      </c>
    </row>
    <row r="3313" spans="1:12">
      <c r="A3313" s="93">
        <v>233684</v>
      </c>
      <c r="B3313" t="s">
        <v>3809</v>
      </c>
      <c r="C3313" t="s">
        <v>5604</v>
      </c>
      <c r="D3313" s="92">
        <v>0.17</v>
      </c>
      <c r="E3313" s="92">
        <v>0.03</v>
      </c>
      <c r="F3313" t="s">
        <v>428</v>
      </c>
      <c r="G3313" t="s">
        <v>428</v>
      </c>
      <c r="H3313" t="s">
        <v>5617</v>
      </c>
      <c r="I3313">
        <v>0</v>
      </c>
      <c r="J3313" t="s">
        <v>87</v>
      </c>
      <c r="K3313">
        <v>0</v>
      </c>
      <c r="L3313">
        <v>0</v>
      </c>
    </row>
    <row r="3314" spans="1:12">
      <c r="A3314" s="93">
        <v>233718</v>
      </c>
      <c r="B3314" t="s">
        <v>3810</v>
      </c>
      <c r="C3314" t="s">
        <v>5610</v>
      </c>
      <c r="D3314" s="92">
        <v>0.63</v>
      </c>
      <c r="E3314" s="92">
        <v>0.52</v>
      </c>
      <c r="F3314">
        <v>18</v>
      </c>
      <c r="G3314">
        <v>22.5</v>
      </c>
      <c r="H3314" t="s">
        <v>5617</v>
      </c>
      <c r="I3314">
        <v>0</v>
      </c>
      <c r="J3314" t="s">
        <v>87</v>
      </c>
      <c r="K3314">
        <v>0</v>
      </c>
      <c r="L3314">
        <v>0</v>
      </c>
    </row>
    <row r="3315" spans="1:12">
      <c r="A3315" s="93">
        <v>233754</v>
      </c>
      <c r="B3315" t="s">
        <v>3811</v>
      </c>
      <c r="C3315" t="s">
        <v>5606</v>
      </c>
      <c r="D3315" s="92">
        <v>0.28</v>
      </c>
      <c r="E3315" s="92">
        <v>0.22</v>
      </c>
      <c r="F3315" t="s">
        <v>428</v>
      </c>
      <c r="G3315" t="s">
        <v>428</v>
      </c>
      <c r="H3315" t="s">
        <v>5615</v>
      </c>
      <c r="I3315">
        <v>0</v>
      </c>
      <c r="J3315" t="s">
        <v>87</v>
      </c>
      <c r="K3315">
        <v>0</v>
      </c>
      <c r="L3315">
        <v>0</v>
      </c>
    </row>
    <row r="3316" spans="1:12">
      <c r="A3316" s="93">
        <v>233772</v>
      </c>
      <c r="B3316" t="s">
        <v>3812</v>
      </c>
      <c r="C3316" t="s">
        <v>5606</v>
      </c>
      <c r="D3316" s="92">
        <v>0.26</v>
      </c>
      <c r="E3316" s="92">
        <v>0.21</v>
      </c>
      <c r="F3316" t="s">
        <v>428</v>
      </c>
      <c r="G3316" t="s">
        <v>428</v>
      </c>
      <c r="H3316" t="s">
        <v>5615</v>
      </c>
      <c r="I3316">
        <v>0</v>
      </c>
      <c r="J3316" t="s">
        <v>87</v>
      </c>
      <c r="K3316">
        <v>0</v>
      </c>
      <c r="L3316">
        <v>0</v>
      </c>
    </row>
    <row r="3317" spans="1:12">
      <c r="A3317" s="93">
        <v>233842</v>
      </c>
      <c r="B3317" t="s">
        <v>3813</v>
      </c>
      <c r="C3317" t="s">
        <v>5607</v>
      </c>
      <c r="D3317" s="92" t="s">
        <v>428</v>
      </c>
      <c r="E3317" s="92" t="s">
        <v>428</v>
      </c>
      <c r="F3317" t="s">
        <v>428</v>
      </c>
      <c r="G3317" t="s">
        <v>428</v>
      </c>
      <c r="H3317" t="s">
        <v>5615</v>
      </c>
      <c r="I3317">
        <v>0</v>
      </c>
      <c r="J3317" t="s">
        <v>87</v>
      </c>
      <c r="K3317">
        <v>0</v>
      </c>
      <c r="L3317">
        <v>0</v>
      </c>
    </row>
    <row r="3318" spans="1:12">
      <c r="A3318" s="93">
        <v>233897</v>
      </c>
      <c r="B3318" t="s">
        <v>3814</v>
      </c>
      <c r="C3318" t="s">
        <v>5608</v>
      </c>
      <c r="D3318" s="92">
        <v>0.42</v>
      </c>
      <c r="E3318" s="92">
        <v>0.31</v>
      </c>
      <c r="F3318">
        <v>18</v>
      </c>
      <c r="G3318">
        <v>20.5</v>
      </c>
      <c r="H3318" t="s">
        <v>5615</v>
      </c>
      <c r="I3318">
        <v>0</v>
      </c>
      <c r="J3318" t="s">
        <v>87</v>
      </c>
      <c r="K3318">
        <v>0</v>
      </c>
      <c r="L3318">
        <v>0</v>
      </c>
    </row>
    <row r="3319" spans="1:12">
      <c r="A3319" s="93">
        <v>233903</v>
      </c>
      <c r="B3319" t="s">
        <v>3815</v>
      </c>
      <c r="C3319" t="s">
        <v>5606</v>
      </c>
      <c r="D3319" s="92">
        <v>0.34</v>
      </c>
      <c r="E3319" s="92">
        <v>0.19</v>
      </c>
      <c r="F3319" t="s">
        <v>428</v>
      </c>
      <c r="G3319" t="s">
        <v>428</v>
      </c>
      <c r="H3319" t="s">
        <v>5615</v>
      </c>
      <c r="I3319">
        <v>0</v>
      </c>
      <c r="J3319" t="s">
        <v>87</v>
      </c>
      <c r="K3319">
        <v>0</v>
      </c>
      <c r="L3319">
        <v>0</v>
      </c>
    </row>
    <row r="3320" spans="1:12">
      <c r="A3320" s="93">
        <v>233921</v>
      </c>
      <c r="B3320" t="s">
        <v>3816</v>
      </c>
      <c r="C3320" t="s">
        <v>5605</v>
      </c>
      <c r="D3320" s="92">
        <v>0.84</v>
      </c>
      <c r="E3320" s="92">
        <v>0.77</v>
      </c>
      <c r="F3320">
        <v>22</v>
      </c>
      <c r="G3320">
        <v>25</v>
      </c>
      <c r="H3320" t="s">
        <v>5615</v>
      </c>
      <c r="I3320">
        <v>0</v>
      </c>
      <c r="J3320" t="s">
        <v>87</v>
      </c>
      <c r="K3320">
        <v>0</v>
      </c>
      <c r="L3320">
        <v>0</v>
      </c>
    </row>
    <row r="3321" spans="1:12">
      <c r="A3321" s="93">
        <v>233949</v>
      </c>
      <c r="B3321" t="s">
        <v>3817</v>
      </c>
      <c r="C3321" t="s">
        <v>5606</v>
      </c>
      <c r="D3321" s="92">
        <v>0.32</v>
      </c>
      <c r="E3321" s="92">
        <v>0.16</v>
      </c>
      <c r="F3321" t="s">
        <v>428</v>
      </c>
      <c r="G3321" t="s">
        <v>428</v>
      </c>
      <c r="H3321" t="s">
        <v>5615</v>
      </c>
      <c r="I3321">
        <v>0</v>
      </c>
      <c r="J3321" t="s">
        <v>87</v>
      </c>
      <c r="K3321">
        <v>0</v>
      </c>
      <c r="L3321">
        <v>0</v>
      </c>
    </row>
    <row r="3322" spans="1:12">
      <c r="A3322" s="93">
        <v>234030</v>
      </c>
      <c r="B3322" t="s">
        <v>3818</v>
      </c>
      <c r="C3322" t="s">
        <v>5602</v>
      </c>
      <c r="D3322" s="92">
        <v>0.62</v>
      </c>
      <c r="E3322" s="92">
        <v>0.6</v>
      </c>
      <c r="F3322">
        <v>21</v>
      </c>
      <c r="G3322">
        <v>24</v>
      </c>
      <c r="H3322" t="s">
        <v>5615</v>
      </c>
      <c r="I3322">
        <v>0</v>
      </c>
      <c r="J3322" t="s">
        <v>87</v>
      </c>
      <c r="K3322">
        <v>0</v>
      </c>
      <c r="L3322">
        <v>0</v>
      </c>
    </row>
    <row r="3323" spans="1:12">
      <c r="A3323" s="93">
        <v>234076</v>
      </c>
      <c r="B3323" t="s">
        <v>3819</v>
      </c>
      <c r="C3323" t="s">
        <v>5612</v>
      </c>
      <c r="D3323" s="92">
        <v>0.9399999999999999</v>
      </c>
      <c r="E3323" s="92">
        <v>0.92</v>
      </c>
      <c r="F3323">
        <v>29</v>
      </c>
      <c r="G3323">
        <v>31</v>
      </c>
      <c r="H3323" t="s">
        <v>5619</v>
      </c>
      <c r="I3323">
        <v>1</v>
      </c>
      <c r="J3323" t="s">
        <v>87</v>
      </c>
      <c r="K3323">
        <v>0</v>
      </c>
      <c r="L3323">
        <v>0</v>
      </c>
    </row>
    <row r="3324" spans="1:12">
      <c r="A3324" s="93">
        <v>234085</v>
      </c>
      <c r="B3324" t="s">
        <v>3820</v>
      </c>
      <c r="C3324" t="s">
        <v>5602</v>
      </c>
      <c r="D3324" s="92">
        <v>0.74</v>
      </c>
      <c r="E3324" s="92">
        <v>0.66</v>
      </c>
      <c r="F3324">
        <v>23</v>
      </c>
      <c r="G3324">
        <v>25.5</v>
      </c>
      <c r="H3324" t="s">
        <v>5615</v>
      </c>
      <c r="I3324">
        <v>0</v>
      </c>
      <c r="J3324" t="s">
        <v>87</v>
      </c>
      <c r="K3324">
        <v>0</v>
      </c>
      <c r="L3324">
        <v>0</v>
      </c>
    </row>
    <row r="3325" spans="1:12">
      <c r="A3325" s="93">
        <v>234137</v>
      </c>
      <c r="B3325" t="s">
        <v>3821</v>
      </c>
      <c r="C3325" t="s">
        <v>5604</v>
      </c>
      <c r="D3325" s="92">
        <v>0.32</v>
      </c>
      <c r="E3325" s="92">
        <v>0.32</v>
      </c>
      <c r="F3325" t="s">
        <v>428</v>
      </c>
      <c r="G3325" t="s">
        <v>428</v>
      </c>
      <c r="H3325" t="s">
        <v>5617</v>
      </c>
      <c r="I3325">
        <v>0</v>
      </c>
      <c r="J3325" t="s">
        <v>138</v>
      </c>
      <c r="K3325">
        <v>0</v>
      </c>
      <c r="L3325">
        <v>0</v>
      </c>
    </row>
    <row r="3326" spans="1:12">
      <c r="A3326" s="93">
        <v>234155</v>
      </c>
      <c r="B3326" t="s">
        <v>3822</v>
      </c>
      <c r="C3326" t="s">
        <v>5602</v>
      </c>
      <c r="D3326" s="92">
        <v>0.44</v>
      </c>
      <c r="E3326" s="92">
        <v>0.6</v>
      </c>
      <c r="F3326">
        <v>15</v>
      </c>
      <c r="G3326">
        <v>17</v>
      </c>
      <c r="H3326" t="s">
        <v>5617</v>
      </c>
      <c r="I3326">
        <v>0</v>
      </c>
      <c r="J3326" t="s">
        <v>138</v>
      </c>
      <c r="K3326">
        <v>0</v>
      </c>
      <c r="L3326">
        <v>0</v>
      </c>
    </row>
    <row r="3327" spans="1:12">
      <c r="A3327" s="93">
        <v>234164</v>
      </c>
      <c r="B3327" t="s">
        <v>3823</v>
      </c>
      <c r="C3327" t="s">
        <v>5602</v>
      </c>
      <c r="D3327" s="92">
        <v>0.33</v>
      </c>
      <c r="E3327" s="92">
        <v>0.48</v>
      </c>
      <c r="F3327" t="s">
        <v>428</v>
      </c>
      <c r="G3327" t="s">
        <v>428</v>
      </c>
      <c r="H3327" t="s">
        <v>5617</v>
      </c>
      <c r="I3327">
        <v>0</v>
      </c>
      <c r="J3327" t="s">
        <v>138</v>
      </c>
      <c r="K3327">
        <v>0</v>
      </c>
      <c r="L3327">
        <v>0</v>
      </c>
    </row>
    <row r="3328" spans="1:12">
      <c r="A3328" s="93">
        <v>234173</v>
      </c>
      <c r="B3328" t="s">
        <v>3824</v>
      </c>
      <c r="C3328" t="s">
        <v>5608</v>
      </c>
      <c r="D3328" s="92">
        <v>0.46</v>
      </c>
      <c r="E3328" s="92">
        <v>0.41</v>
      </c>
      <c r="F3328">
        <v>17</v>
      </c>
      <c r="G3328">
        <v>20.5</v>
      </c>
      <c r="H3328" t="s">
        <v>5617</v>
      </c>
      <c r="I3328">
        <v>0</v>
      </c>
      <c r="J3328" t="s">
        <v>87</v>
      </c>
      <c r="K3328">
        <v>0</v>
      </c>
      <c r="L3328">
        <v>0</v>
      </c>
    </row>
    <row r="3329" spans="1:12">
      <c r="A3329" s="93">
        <v>234207</v>
      </c>
      <c r="B3329" t="s">
        <v>3825</v>
      </c>
      <c r="C3329" t="s">
        <v>5611</v>
      </c>
      <c r="D3329" s="92">
        <v>0.92</v>
      </c>
      <c r="E3329" s="92">
        <v>1</v>
      </c>
      <c r="F3329">
        <v>30</v>
      </c>
      <c r="G3329">
        <v>31.5</v>
      </c>
      <c r="H3329" t="s">
        <v>5619</v>
      </c>
      <c r="I3329">
        <v>1</v>
      </c>
      <c r="J3329" t="s">
        <v>87</v>
      </c>
      <c r="K3329">
        <v>0</v>
      </c>
      <c r="L3329">
        <v>0</v>
      </c>
    </row>
    <row r="3330" spans="1:12">
      <c r="A3330" s="93">
        <v>234377</v>
      </c>
      <c r="B3330" t="s">
        <v>3826</v>
      </c>
      <c r="C3330" t="s">
        <v>5606</v>
      </c>
      <c r="D3330" s="92">
        <v>0.39</v>
      </c>
      <c r="E3330" s="92">
        <v>0.28</v>
      </c>
      <c r="F3330" t="s">
        <v>428</v>
      </c>
      <c r="G3330" t="s">
        <v>428</v>
      </c>
      <c r="H3330" t="s">
        <v>5615</v>
      </c>
      <c r="I3330">
        <v>0</v>
      </c>
      <c r="J3330" t="s">
        <v>87</v>
      </c>
      <c r="K3330">
        <v>0</v>
      </c>
      <c r="L3330">
        <v>0</v>
      </c>
    </row>
    <row r="3331" spans="1:12">
      <c r="A3331" s="93">
        <v>234492</v>
      </c>
      <c r="B3331" t="s">
        <v>3827</v>
      </c>
      <c r="C3331" t="s">
        <v>5604</v>
      </c>
      <c r="D3331" s="92">
        <v>0.24</v>
      </c>
      <c r="E3331" s="92">
        <v>0.18</v>
      </c>
      <c r="F3331" t="s">
        <v>428</v>
      </c>
      <c r="G3331" t="s">
        <v>428</v>
      </c>
      <c r="H3331" t="s">
        <v>5617</v>
      </c>
      <c r="I3331">
        <v>0</v>
      </c>
      <c r="J3331" t="s">
        <v>87</v>
      </c>
      <c r="K3331">
        <v>0</v>
      </c>
      <c r="L3331">
        <v>0</v>
      </c>
    </row>
    <row r="3332" spans="1:12">
      <c r="A3332" s="93">
        <v>234669</v>
      </c>
      <c r="B3332" t="s">
        <v>3828</v>
      </c>
      <c r="C3332" t="s">
        <v>5604</v>
      </c>
      <c r="D3332" s="92" t="s">
        <v>428</v>
      </c>
      <c r="E3332" s="92" t="s">
        <v>428</v>
      </c>
      <c r="F3332" t="s">
        <v>428</v>
      </c>
      <c r="G3332" t="s">
        <v>428</v>
      </c>
      <c r="H3332" t="s">
        <v>5615</v>
      </c>
      <c r="I3332">
        <v>0</v>
      </c>
      <c r="J3332" t="s">
        <v>87</v>
      </c>
      <c r="K3332">
        <v>0</v>
      </c>
      <c r="L3332">
        <v>0</v>
      </c>
    </row>
    <row r="3333" spans="1:12">
      <c r="A3333" s="93">
        <v>234696</v>
      </c>
      <c r="B3333" t="s">
        <v>3829</v>
      </c>
      <c r="C3333" t="s">
        <v>5604</v>
      </c>
      <c r="D3333" s="92">
        <v>0.46</v>
      </c>
      <c r="E3333" s="92">
        <v>0.33</v>
      </c>
      <c r="F3333" t="s">
        <v>428</v>
      </c>
      <c r="G3333" t="s">
        <v>428</v>
      </c>
      <c r="H3333" t="s">
        <v>5615</v>
      </c>
      <c r="I3333">
        <v>0</v>
      </c>
      <c r="J3333" t="s">
        <v>87</v>
      </c>
      <c r="K3333">
        <v>0</v>
      </c>
      <c r="L3333">
        <v>0</v>
      </c>
    </row>
    <row r="3334" spans="1:12">
      <c r="A3334" s="93">
        <v>234711</v>
      </c>
      <c r="B3334" t="s">
        <v>3830</v>
      </c>
      <c r="C3334" t="s">
        <v>5606</v>
      </c>
      <c r="D3334" s="92">
        <v>0.43</v>
      </c>
      <c r="E3334" s="92">
        <v>0.33</v>
      </c>
      <c r="F3334" t="s">
        <v>428</v>
      </c>
      <c r="G3334" t="s">
        <v>428</v>
      </c>
      <c r="H3334" t="s">
        <v>5615</v>
      </c>
      <c r="I3334">
        <v>0</v>
      </c>
      <c r="J3334" t="s">
        <v>87</v>
      </c>
      <c r="K3334">
        <v>0</v>
      </c>
      <c r="L3334">
        <v>0</v>
      </c>
    </row>
    <row r="3335" spans="1:12">
      <c r="A3335" s="93">
        <v>234827</v>
      </c>
      <c r="B3335" t="s">
        <v>3831</v>
      </c>
      <c r="C3335" t="s">
        <v>5602</v>
      </c>
      <c r="D3335" s="92">
        <v>0.52</v>
      </c>
      <c r="E3335" s="92">
        <v>0.52</v>
      </c>
      <c r="F3335">
        <v>18</v>
      </c>
      <c r="G3335">
        <v>21</v>
      </c>
      <c r="H3335" t="s">
        <v>5615</v>
      </c>
      <c r="I3335">
        <v>0</v>
      </c>
      <c r="J3335" t="s">
        <v>87</v>
      </c>
      <c r="K3335">
        <v>0</v>
      </c>
      <c r="L3335">
        <v>0</v>
      </c>
    </row>
    <row r="3336" spans="1:12">
      <c r="A3336" s="93">
        <v>234845</v>
      </c>
      <c r="B3336" t="s">
        <v>3832</v>
      </c>
      <c r="C3336" t="s">
        <v>5604</v>
      </c>
      <c r="D3336" s="92" t="s">
        <v>428</v>
      </c>
      <c r="E3336" s="92" t="s">
        <v>428</v>
      </c>
      <c r="F3336" t="s">
        <v>428</v>
      </c>
      <c r="G3336" t="s">
        <v>428</v>
      </c>
      <c r="H3336" t="s">
        <v>5615</v>
      </c>
      <c r="I3336">
        <v>0</v>
      </c>
      <c r="J3336" t="s">
        <v>87</v>
      </c>
      <c r="K3336">
        <v>0</v>
      </c>
      <c r="L3336">
        <v>0</v>
      </c>
    </row>
    <row r="3337" spans="1:12">
      <c r="A3337" s="93">
        <v>234915</v>
      </c>
      <c r="B3337" t="s">
        <v>3833</v>
      </c>
      <c r="C3337" t="s">
        <v>5604</v>
      </c>
      <c r="D3337" s="92">
        <v>0.33</v>
      </c>
      <c r="E3337" s="92">
        <v>0.4</v>
      </c>
      <c r="F3337" t="s">
        <v>428</v>
      </c>
      <c r="G3337" t="s">
        <v>428</v>
      </c>
      <c r="H3337" t="s">
        <v>5617</v>
      </c>
      <c r="I3337">
        <v>0</v>
      </c>
      <c r="J3337" t="s">
        <v>87</v>
      </c>
      <c r="K3337">
        <v>0</v>
      </c>
      <c r="L3337">
        <v>0</v>
      </c>
    </row>
    <row r="3338" spans="1:12">
      <c r="A3338" s="93">
        <v>234933</v>
      </c>
      <c r="B3338" t="s">
        <v>3834</v>
      </c>
      <c r="C3338" t="s">
        <v>5604</v>
      </c>
      <c r="D3338" s="92">
        <v>0.25</v>
      </c>
      <c r="E3338" s="92">
        <v>0.2</v>
      </c>
      <c r="F3338" t="s">
        <v>428</v>
      </c>
      <c r="G3338" t="s">
        <v>428</v>
      </c>
      <c r="H3338" t="s">
        <v>5615</v>
      </c>
      <c r="I3338">
        <v>0</v>
      </c>
      <c r="J3338" t="s">
        <v>87</v>
      </c>
      <c r="K3338">
        <v>0</v>
      </c>
      <c r="L3338">
        <v>0</v>
      </c>
    </row>
    <row r="3339" spans="1:12">
      <c r="A3339" s="93">
        <v>234951</v>
      </c>
      <c r="B3339" t="s">
        <v>3835</v>
      </c>
      <c r="C3339" t="s">
        <v>5604</v>
      </c>
      <c r="D3339" s="92" t="s">
        <v>428</v>
      </c>
      <c r="E3339" s="92" t="s">
        <v>428</v>
      </c>
      <c r="F3339" t="s">
        <v>428</v>
      </c>
      <c r="G3339" t="s">
        <v>428</v>
      </c>
      <c r="H3339" t="s">
        <v>5615</v>
      </c>
      <c r="I3339">
        <v>0</v>
      </c>
      <c r="J3339" t="s">
        <v>87</v>
      </c>
      <c r="K3339">
        <v>0</v>
      </c>
      <c r="L3339">
        <v>0</v>
      </c>
    </row>
    <row r="3340" spans="1:12">
      <c r="A3340" s="93">
        <v>234979</v>
      </c>
      <c r="B3340" t="s">
        <v>3836</v>
      </c>
      <c r="C3340" t="s">
        <v>5604</v>
      </c>
      <c r="D3340" s="92" t="s">
        <v>428</v>
      </c>
      <c r="E3340" s="92" t="s">
        <v>428</v>
      </c>
      <c r="F3340" t="s">
        <v>428</v>
      </c>
      <c r="G3340" t="s">
        <v>428</v>
      </c>
      <c r="H3340" t="s">
        <v>5615</v>
      </c>
      <c r="I3340">
        <v>0</v>
      </c>
      <c r="J3340" t="s">
        <v>87</v>
      </c>
      <c r="K3340">
        <v>0</v>
      </c>
      <c r="L3340">
        <v>0</v>
      </c>
    </row>
    <row r="3341" spans="1:12">
      <c r="A3341" s="93">
        <v>235024</v>
      </c>
      <c r="B3341" t="s">
        <v>3837</v>
      </c>
      <c r="C3341" t="s">
        <v>5610</v>
      </c>
      <c r="D3341" s="92">
        <v>0.51</v>
      </c>
      <c r="E3341" s="92">
        <v>0.54</v>
      </c>
      <c r="F3341" t="s">
        <v>428</v>
      </c>
      <c r="G3341" t="s">
        <v>428</v>
      </c>
      <c r="H3341" t="s">
        <v>5617</v>
      </c>
      <c r="I3341">
        <v>0</v>
      </c>
      <c r="J3341" t="s">
        <v>87</v>
      </c>
      <c r="K3341">
        <v>0</v>
      </c>
      <c r="L3341">
        <v>0</v>
      </c>
    </row>
    <row r="3342" spans="1:12">
      <c r="A3342" s="93">
        <v>235097</v>
      </c>
      <c r="B3342" t="s">
        <v>3838</v>
      </c>
      <c r="C3342" t="s">
        <v>5608</v>
      </c>
      <c r="D3342" s="92">
        <v>0.47</v>
      </c>
      <c r="E3342" s="92">
        <v>0.4</v>
      </c>
      <c r="F3342">
        <v>17</v>
      </c>
      <c r="G3342">
        <v>20</v>
      </c>
      <c r="H3342" t="s">
        <v>5615</v>
      </c>
      <c r="I3342">
        <v>0</v>
      </c>
      <c r="J3342" t="s">
        <v>87</v>
      </c>
      <c r="K3342">
        <v>0</v>
      </c>
      <c r="L3342">
        <v>0</v>
      </c>
    </row>
    <row r="3343" spans="1:12">
      <c r="A3343" s="93">
        <v>235103</v>
      </c>
      <c r="B3343" t="s">
        <v>3839</v>
      </c>
      <c r="C3343" t="s">
        <v>5604</v>
      </c>
      <c r="D3343" s="92">
        <v>0.27</v>
      </c>
      <c r="E3343" s="92">
        <v>0.2</v>
      </c>
      <c r="F3343" t="s">
        <v>428</v>
      </c>
      <c r="G3343" t="s">
        <v>428</v>
      </c>
      <c r="H3343" t="s">
        <v>5615</v>
      </c>
      <c r="I3343">
        <v>0</v>
      </c>
      <c r="J3343" t="s">
        <v>87</v>
      </c>
      <c r="K3343">
        <v>0</v>
      </c>
      <c r="L3343">
        <v>0</v>
      </c>
    </row>
    <row r="3344" spans="1:12">
      <c r="A3344" s="93">
        <v>235149</v>
      </c>
      <c r="B3344" t="s">
        <v>3840</v>
      </c>
      <c r="C3344" t="s">
        <v>5606</v>
      </c>
      <c r="D3344" s="92">
        <v>0.41</v>
      </c>
      <c r="E3344" s="92">
        <v>0.33</v>
      </c>
      <c r="F3344" t="s">
        <v>428</v>
      </c>
      <c r="G3344" t="s">
        <v>428</v>
      </c>
      <c r="H3344" t="s">
        <v>5615</v>
      </c>
      <c r="I3344">
        <v>0</v>
      </c>
      <c r="J3344" t="s">
        <v>87</v>
      </c>
      <c r="K3344">
        <v>0</v>
      </c>
      <c r="L3344">
        <v>0</v>
      </c>
    </row>
    <row r="3345" spans="1:12">
      <c r="A3345" s="93">
        <v>235167</v>
      </c>
      <c r="B3345" t="s">
        <v>3841</v>
      </c>
      <c r="C3345" t="s">
        <v>5602</v>
      </c>
      <c r="D3345" s="92">
        <v>0.55</v>
      </c>
      <c r="E3345" s="92">
        <v>0.47</v>
      </c>
      <c r="F3345">
        <v>20</v>
      </c>
      <c r="G3345">
        <v>23</v>
      </c>
      <c r="H3345" t="s">
        <v>5615</v>
      </c>
      <c r="I3345">
        <v>0</v>
      </c>
      <c r="J3345" t="s">
        <v>87</v>
      </c>
      <c r="K3345">
        <v>0</v>
      </c>
      <c r="L3345">
        <v>0</v>
      </c>
    </row>
    <row r="3346" spans="1:12">
      <c r="A3346" s="93">
        <v>235237</v>
      </c>
      <c r="B3346" t="s">
        <v>3842</v>
      </c>
      <c r="C3346" t="s">
        <v>5604</v>
      </c>
      <c r="D3346" s="92">
        <v>0.26</v>
      </c>
      <c r="E3346" s="92">
        <v>0.18</v>
      </c>
      <c r="F3346" t="s">
        <v>428</v>
      </c>
      <c r="G3346" t="s">
        <v>428</v>
      </c>
      <c r="H3346" t="s">
        <v>5615</v>
      </c>
      <c r="I3346">
        <v>0</v>
      </c>
      <c r="J3346" t="s">
        <v>87</v>
      </c>
      <c r="K3346">
        <v>0</v>
      </c>
      <c r="L3346">
        <v>0</v>
      </c>
    </row>
    <row r="3347" spans="1:12">
      <c r="A3347" s="93">
        <v>235316</v>
      </c>
      <c r="B3347" t="s">
        <v>3843</v>
      </c>
      <c r="C3347" t="s">
        <v>5605</v>
      </c>
      <c r="D3347" s="92">
        <v>0.84</v>
      </c>
      <c r="E3347" s="92">
        <v>0.8100000000000001</v>
      </c>
      <c r="F3347">
        <v>25</v>
      </c>
      <c r="G3347">
        <v>27.5</v>
      </c>
      <c r="H3347" t="s">
        <v>5617</v>
      </c>
      <c r="I3347">
        <v>0</v>
      </c>
      <c r="J3347" t="s">
        <v>87</v>
      </c>
      <c r="K3347">
        <v>0</v>
      </c>
      <c r="L3347">
        <v>0</v>
      </c>
    </row>
    <row r="3348" spans="1:12">
      <c r="A3348" s="93">
        <v>235334</v>
      </c>
      <c r="B3348" t="s">
        <v>3844</v>
      </c>
      <c r="C3348" t="s">
        <v>5604</v>
      </c>
      <c r="D3348" s="92">
        <v>0.33</v>
      </c>
      <c r="E3348" s="92">
        <v>0.17</v>
      </c>
      <c r="F3348" t="s">
        <v>428</v>
      </c>
      <c r="G3348" t="s">
        <v>428</v>
      </c>
      <c r="H3348" t="s">
        <v>5615</v>
      </c>
      <c r="I3348">
        <v>0</v>
      </c>
      <c r="J3348" t="s">
        <v>87</v>
      </c>
      <c r="K3348">
        <v>0</v>
      </c>
      <c r="L3348">
        <v>0</v>
      </c>
    </row>
    <row r="3349" spans="1:12">
      <c r="A3349" s="93">
        <v>235343</v>
      </c>
      <c r="B3349" t="s">
        <v>3845</v>
      </c>
      <c r="C3349" t="s">
        <v>5604</v>
      </c>
      <c r="D3349" s="92" t="s">
        <v>428</v>
      </c>
      <c r="E3349" s="92" t="s">
        <v>428</v>
      </c>
      <c r="F3349" t="s">
        <v>428</v>
      </c>
      <c r="G3349" t="s">
        <v>428</v>
      </c>
      <c r="H3349" t="s">
        <v>5615</v>
      </c>
      <c r="I3349">
        <v>0</v>
      </c>
      <c r="J3349" t="s">
        <v>87</v>
      </c>
      <c r="K3349">
        <v>0</v>
      </c>
      <c r="L3349">
        <v>0</v>
      </c>
    </row>
    <row r="3350" spans="1:12">
      <c r="A3350" s="93">
        <v>235422</v>
      </c>
      <c r="B3350" t="s">
        <v>3846</v>
      </c>
      <c r="C3350" t="s">
        <v>5604</v>
      </c>
      <c r="D3350" s="92">
        <v>0.16</v>
      </c>
      <c r="E3350" s="92">
        <v>0.18</v>
      </c>
      <c r="F3350" t="s">
        <v>428</v>
      </c>
      <c r="G3350" t="s">
        <v>428</v>
      </c>
      <c r="H3350" t="s">
        <v>5616</v>
      </c>
      <c r="I3350">
        <v>0</v>
      </c>
      <c r="J3350" t="s">
        <v>87</v>
      </c>
      <c r="K3350">
        <v>0</v>
      </c>
      <c r="L3350">
        <v>0</v>
      </c>
    </row>
    <row r="3351" spans="1:12">
      <c r="A3351" s="93">
        <v>235431</v>
      </c>
      <c r="B3351" t="s">
        <v>3847</v>
      </c>
      <c r="C3351" t="s">
        <v>5604</v>
      </c>
      <c r="D3351" s="92" t="s">
        <v>428</v>
      </c>
      <c r="E3351" s="92" t="s">
        <v>428</v>
      </c>
      <c r="F3351" t="s">
        <v>428</v>
      </c>
      <c r="G3351" t="s">
        <v>428</v>
      </c>
      <c r="H3351" t="s">
        <v>5615</v>
      </c>
      <c r="I3351">
        <v>0</v>
      </c>
      <c r="J3351" t="s">
        <v>87</v>
      </c>
      <c r="K3351">
        <v>0</v>
      </c>
      <c r="L3351">
        <v>0</v>
      </c>
    </row>
    <row r="3352" spans="1:12">
      <c r="A3352" s="93">
        <v>235510</v>
      </c>
      <c r="B3352" t="s">
        <v>3848</v>
      </c>
      <c r="C3352" t="s">
        <v>5607</v>
      </c>
      <c r="D3352" s="92" t="s">
        <v>428</v>
      </c>
      <c r="E3352" s="92" t="s">
        <v>428</v>
      </c>
      <c r="F3352" t="s">
        <v>428</v>
      </c>
      <c r="G3352" t="s">
        <v>428</v>
      </c>
      <c r="H3352" t="s">
        <v>5617</v>
      </c>
      <c r="I3352">
        <v>0</v>
      </c>
      <c r="J3352" t="s">
        <v>87</v>
      </c>
      <c r="K3352">
        <v>0</v>
      </c>
      <c r="L3352">
        <v>0</v>
      </c>
    </row>
    <row r="3353" spans="1:12">
      <c r="A3353" s="93">
        <v>235529</v>
      </c>
      <c r="B3353" t="s">
        <v>3849</v>
      </c>
      <c r="C3353" t="s">
        <v>5607</v>
      </c>
      <c r="D3353" s="92" t="s">
        <v>428</v>
      </c>
      <c r="E3353" s="92" t="s">
        <v>428</v>
      </c>
      <c r="F3353" t="s">
        <v>428</v>
      </c>
      <c r="G3353" t="s">
        <v>428</v>
      </c>
      <c r="H3353" t="s">
        <v>5617</v>
      </c>
      <c r="I3353">
        <v>0</v>
      </c>
      <c r="J3353" t="s">
        <v>87</v>
      </c>
      <c r="K3353">
        <v>0</v>
      </c>
      <c r="L3353">
        <v>0</v>
      </c>
    </row>
    <row r="3354" spans="1:12">
      <c r="A3354" s="93">
        <v>235547</v>
      </c>
      <c r="B3354" t="s">
        <v>3850</v>
      </c>
      <c r="C3354" t="s">
        <v>5607</v>
      </c>
      <c r="D3354" s="92" t="s">
        <v>428</v>
      </c>
      <c r="E3354" s="92" t="s">
        <v>428</v>
      </c>
      <c r="F3354" t="s">
        <v>428</v>
      </c>
      <c r="G3354" t="s">
        <v>428</v>
      </c>
      <c r="H3354" t="s">
        <v>5615</v>
      </c>
      <c r="I3354">
        <v>0</v>
      </c>
      <c r="J3354" t="s">
        <v>87</v>
      </c>
      <c r="K3354">
        <v>0</v>
      </c>
      <c r="L3354">
        <v>0</v>
      </c>
    </row>
    <row r="3355" spans="1:12">
      <c r="A3355" s="93">
        <v>235671</v>
      </c>
      <c r="B3355" t="s">
        <v>3851</v>
      </c>
      <c r="C3355" t="s">
        <v>5606</v>
      </c>
      <c r="D3355" s="92">
        <v>0.53</v>
      </c>
      <c r="E3355" s="92">
        <v>0.45</v>
      </c>
      <c r="F3355" t="s">
        <v>428</v>
      </c>
      <c r="G3355" t="s">
        <v>428</v>
      </c>
      <c r="H3355" t="s">
        <v>5615</v>
      </c>
      <c r="I3355">
        <v>0</v>
      </c>
      <c r="J3355" t="s">
        <v>87</v>
      </c>
      <c r="K3355">
        <v>0</v>
      </c>
      <c r="L3355">
        <v>0</v>
      </c>
    </row>
    <row r="3356" spans="1:12">
      <c r="A3356" s="93">
        <v>235699</v>
      </c>
      <c r="B3356" t="s">
        <v>3852</v>
      </c>
      <c r="C3356" t="s">
        <v>5604</v>
      </c>
      <c r="D3356" s="92" t="s">
        <v>428</v>
      </c>
      <c r="E3356" s="92" t="s">
        <v>428</v>
      </c>
      <c r="F3356" t="s">
        <v>428</v>
      </c>
      <c r="G3356" t="s">
        <v>428</v>
      </c>
      <c r="H3356" t="s">
        <v>5615</v>
      </c>
      <c r="I3356">
        <v>0</v>
      </c>
      <c r="J3356" t="s">
        <v>87</v>
      </c>
      <c r="K3356">
        <v>0</v>
      </c>
      <c r="L3356">
        <v>0</v>
      </c>
    </row>
    <row r="3357" spans="1:12">
      <c r="A3357" s="93">
        <v>235750</v>
      </c>
      <c r="B3357" t="s">
        <v>3853</v>
      </c>
      <c r="C3357" t="s">
        <v>5606</v>
      </c>
      <c r="D3357" s="92">
        <v>0.37</v>
      </c>
      <c r="E3357" s="92">
        <v>0.27</v>
      </c>
      <c r="F3357" t="s">
        <v>428</v>
      </c>
      <c r="G3357" t="s">
        <v>428</v>
      </c>
      <c r="H3357" t="s">
        <v>5615</v>
      </c>
      <c r="I3357">
        <v>0</v>
      </c>
      <c r="J3357" t="s">
        <v>87</v>
      </c>
      <c r="K3357">
        <v>0</v>
      </c>
      <c r="L3357">
        <v>0</v>
      </c>
    </row>
    <row r="3358" spans="1:12">
      <c r="A3358" s="93">
        <v>235954</v>
      </c>
      <c r="B3358" t="s">
        <v>3854</v>
      </c>
      <c r="C3358" t="s">
        <v>5606</v>
      </c>
      <c r="D3358" s="92" t="s">
        <v>428</v>
      </c>
      <c r="E3358" s="92" t="s">
        <v>428</v>
      </c>
      <c r="F3358" t="s">
        <v>428</v>
      </c>
      <c r="G3358" t="s">
        <v>428</v>
      </c>
      <c r="H3358" t="s">
        <v>5614</v>
      </c>
      <c r="I3358">
        <v>1</v>
      </c>
      <c r="J3358" t="s">
        <v>87</v>
      </c>
      <c r="K3358">
        <v>0</v>
      </c>
      <c r="L3358">
        <v>0</v>
      </c>
    </row>
    <row r="3359" spans="1:12">
      <c r="A3359" s="93">
        <v>236018</v>
      </c>
      <c r="B3359" t="s">
        <v>3855</v>
      </c>
      <c r="C3359" t="s">
        <v>5606</v>
      </c>
      <c r="D3359" s="92" t="s">
        <v>428</v>
      </c>
      <c r="E3359" s="92" t="s">
        <v>428</v>
      </c>
      <c r="F3359" t="s">
        <v>428</v>
      </c>
      <c r="G3359" t="s">
        <v>428</v>
      </c>
      <c r="H3359" t="s">
        <v>5624</v>
      </c>
      <c r="I3359">
        <v>1</v>
      </c>
      <c r="J3359" t="s">
        <v>87</v>
      </c>
      <c r="K3359">
        <v>0</v>
      </c>
      <c r="L3359">
        <v>0</v>
      </c>
    </row>
    <row r="3360" spans="1:12">
      <c r="A3360" s="93">
        <v>236072</v>
      </c>
      <c r="B3360" t="s">
        <v>3856</v>
      </c>
      <c r="C3360" t="s">
        <v>5604</v>
      </c>
      <c r="D3360" s="92" t="s">
        <v>428</v>
      </c>
      <c r="E3360" s="92" t="s">
        <v>428</v>
      </c>
      <c r="F3360" t="s">
        <v>428</v>
      </c>
      <c r="G3360" t="s">
        <v>428</v>
      </c>
      <c r="H3360" t="s">
        <v>5615</v>
      </c>
      <c r="I3360">
        <v>0</v>
      </c>
      <c r="J3360" t="s">
        <v>87</v>
      </c>
      <c r="K3360">
        <v>0</v>
      </c>
      <c r="L3360">
        <v>0</v>
      </c>
    </row>
    <row r="3361" spans="1:12">
      <c r="A3361" s="93">
        <v>236133</v>
      </c>
      <c r="B3361" t="s">
        <v>3857</v>
      </c>
      <c r="C3361" t="s">
        <v>5603</v>
      </c>
      <c r="D3361" s="92">
        <v>0.52</v>
      </c>
      <c r="E3361" s="92">
        <v>0.41</v>
      </c>
      <c r="F3361">
        <v>20</v>
      </c>
      <c r="G3361">
        <v>23</v>
      </c>
      <c r="H3361" t="s">
        <v>5617</v>
      </c>
      <c r="I3361">
        <v>0</v>
      </c>
      <c r="J3361" t="s">
        <v>87</v>
      </c>
      <c r="K3361">
        <v>0</v>
      </c>
      <c r="L3361">
        <v>0</v>
      </c>
    </row>
    <row r="3362" spans="1:12">
      <c r="A3362" s="93">
        <v>236188</v>
      </c>
      <c r="B3362" t="s">
        <v>3858</v>
      </c>
      <c r="C3362" t="s">
        <v>5604</v>
      </c>
      <c r="D3362" s="92" t="s">
        <v>428</v>
      </c>
      <c r="E3362" s="92" t="s">
        <v>428</v>
      </c>
      <c r="F3362" t="s">
        <v>428</v>
      </c>
      <c r="G3362" t="s">
        <v>428</v>
      </c>
      <c r="H3362" t="s">
        <v>5615</v>
      </c>
      <c r="I3362">
        <v>0</v>
      </c>
      <c r="J3362" t="s">
        <v>87</v>
      </c>
      <c r="K3362">
        <v>0</v>
      </c>
      <c r="L3362">
        <v>0</v>
      </c>
    </row>
    <row r="3363" spans="1:12">
      <c r="A3363" s="93">
        <v>236212</v>
      </c>
      <c r="B3363" t="s">
        <v>3859</v>
      </c>
      <c r="C3363" t="s">
        <v>5606</v>
      </c>
      <c r="D3363" s="92" t="s">
        <v>428</v>
      </c>
      <c r="E3363" s="92" t="s">
        <v>428</v>
      </c>
      <c r="F3363" t="s">
        <v>428</v>
      </c>
      <c r="G3363" t="s">
        <v>428</v>
      </c>
      <c r="H3363" t="s">
        <v>5617</v>
      </c>
      <c r="I3363">
        <v>0</v>
      </c>
      <c r="J3363" t="s">
        <v>87</v>
      </c>
      <c r="K3363">
        <v>0</v>
      </c>
      <c r="L3363">
        <v>0</v>
      </c>
    </row>
    <row r="3364" spans="1:12">
      <c r="A3364" s="93">
        <v>236230</v>
      </c>
      <c r="B3364" t="s">
        <v>3860</v>
      </c>
      <c r="C3364" t="s">
        <v>5603</v>
      </c>
      <c r="D3364" s="92">
        <v>0.6899999999999999</v>
      </c>
      <c r="E3364" s="92">
        <v>0.51</v>
      </c>
      <c r="F3364">
        <v>22</v>
      </c>
      <c r="G3364">
        <v>25</v>
      </c>
      <c r="H3364" t="s">
        <v>5617</v>
      </c>
      <c r="I3364">
        <v>0</v>
      </c>
      <c r="J3364" t="s">
        <v>87</v>
      </c>
      <c r="K3364">
        <v>0</v>
      </c>
      <c r="L3364">
        <v>0</v>
      </c>
    </row>
    <row r="3365" spans="1:12">
      <c r="A3365" s="93">
        <v>236258</v>
      </c>
      <c r="B3365" t="s">
        <v>3861</v>
      </c>
      <c r="C3365" t="s">
        <v>5604</v>
      </c>
      <c r="D3365" s="92" t="s">
        <v>428</v>
      </c>
      <c r="E3365" s="92" t="s">
        <v>428</v>
      </c>
      <c r="F3365" t="s">
        <v>428</v>
      </c>
      <c r="G3365" t="s">
        <v>428</v>
      </c>
      <c r="H3365" t="s">
        <v>5615</v>
      </c>
      <c r="I3365">
        <v>0</v>
      </c>
      <c r="J3365" t="s">
        <v>87</v>
      </c>
      <c r="K3365">
        <v>0</v>
      </c>
      <c r="L3365">
        <v>0</v>
      </c>
    </row>
    <row r="3366" spans="1:12">
      <c r="A3366" s="93">
        <v>236328</v>
      </c>
      <c r="B3366" t="s">
        <v>3862</v>
      </c>
      <c r="C3366" t="s">
        <v>5603</v>
      </c>
      <c r="D3366" s="92">
        <v>0.78</v>
      </c>
      <c r="E3366" s="92">
        <v>0.62</v>
      </c>
      <c r="F3366" t="s">
        <v>428</v>
      </c>
      <c r="G3366" t="s">
        <v>428</v>
      </c>
      <c r="H3366" t="s">
        <v>5617</v>
      </c>
      <c r="I3366">
        <v>0</v>
      </c>
      <c r="J3366" t="s">
        <v>87</v>
      </c>
      <c r="K3366">
        <v>0</v>
      </c>
      <c r="L3366">
        <v>0</v>
      </c>
    </row>
    <row r="3367" spans="1:12">
      <c r="A3367" s="93">
        <v>236382</v>
      </c>
      <c r="B3367" t="s">
        <v>3863</v>
      </c>
      <c r="C3367" t="s">
        <v>5604</v>
      </c>
      <c r="D3367" s="92">
        <v>0.63</v>
      </c>
      <c r="E3367" s="92">
        <v>0.57</v>
      </c>
      <c r="F3367" t="s">
        <v>428</v>
      </c>
      <c r="G3367" t="s">
        <v>428</v>
      </c>
      <c r="H3367" t="s">
        <v>5615</v>
      </c>
      <c r="I3367">
        <v>0</v>
      </c>
      <c r="J3367" t="s">
        <v>87</v>
      </c>
      <c r="K3367">
        <v>0</v>
      </c>
      <c r="L3367">
        <v>0</v>
      </c>
    </row>
    <row r="3368" spans="1:12">
      <c r="A3368" s="93">
        <v>236452</v>
      </c>
      <c r="B3368" t="s">
        <v>3864</v>
      </c>
      <c r="C3368" t="s">
        <v>5602</v>
      </c>
      <c r="D3368" s="92">
        <v>0.51</v>
      </c>
      <c r="E3368" s="92">
        <v>0.41</v>
      </c>
      <c r="F3368">
        <v>20</v>
      </c>
      <c r="G3368">
        <v>22.5</v>
      </c>
      <c r="H3368" t="s">
        <v>5617</v>
      </c>
      <c r="I3368">
        <v>0</v>
      </c>
      <c r="J3368" t="s">
        <v>87</v>
      </c>
      <c r="K3368">
        <v>0</v>
      </c>
      <c r="L3368">
        <v>0</v>
      </c>
    </row>
    <row r="3369" spans="1:12">
      <c r="A3369" s="93">
        <v>236504</v>
      </c>
      <c r="B3369" t="s">
        <v>3865</v>
      </c>
      <c r="C3369" t="s">
        <v>5604</v>
      </c>
      <c r="D3369" s="92" t="s">
        <v>428</v>
      </c>
      <c r="E3369" s="92" t="s">
        <v>428</v>
      </c>
      <c r="F3369" t="s">
        <v>428</v>
      </c>
      <c r="G3369" t="s">
        <v>428</v>
      </c>
      <c r="H3369" t="s">
        <v>5615</v>
      </c>
      <c r="I3369">
        <v>0</v>
      </c>
      <c r="J3369" t="s">
        <v>87</v>
      </c>
      <c r="K3369">
        <v>0</v>
      </c>
      <c r="L3369">
        <v>0</v>
      </c>
    </row>
    <row r="3370" spans="1:12">
      <c r="A3370" s="93">
        <v>236513</v>
      </c>
      <c r="B3370" t="s">
        <v>3866</v>
      </c>
      <c r="C3370" t="s">
        <v>5604</v>
      </c>
      <c r="D3370" s="92" t="s">
        <v>428</v>
      </c>
      <c r="E3370" s="92" t="s">
        <v>428</v>
      </c>
      <c r="F3370" t="s">
        <v>428</v>
      </c>
      <c r="G3370" t="s">
        <v>428</v>
      </c>
      <c r="H3370" t="s">
        <v>5615</v>
      </c>
      <c r="I3370">
        <v>0</v>
      </c>
      <c r="J3370" t="s">
        <v>87</v>
      </c>
      <c r="K3370">
        <v>0</v>
      </c>
      <c r="L3370">
        <v>0</v>
      </c>
    </row>
    <row r="3371" spans="1:12">
      <c r="A3371" s="93">
        <v>236577</v>
      </c>
      <c r="B3371" t="s">
        <v>3867</v>
      </c>
      <c r="C3371" t="s">
        <v>5602</v>
      </c>
      <c r="D3371" s="92">
        <v>0.72</v>
      </c>
      <c r="E3371" s="92">
        <v>0.64</v>
      </c>
      <c r="F3371">
        <v>21</v>
      </c>
      <c r="G3371">
        <v>24</v>
      </c>
      <c r="H3371" t="s">
        <v>5617</v>
      </c>
      <c r="I3371">
        <v>0</v>
      </c>
      <c r="J3371" t="s">
        <v>87</v>
      </c>
      <c r="K3371">
        <v>0</v>
      </c>
      <c r="L3371">
        <v>0</v>
      </c>
    </row>
    <row r="3372" spans="1:12">
      <c r="A3372" s="93">
        <v>236595</v>
      </c>
      <c r="B3372" t="s">
        <v>507</v>
      </c>
      <c r="C3372" t="s">
        <v>5603</v>
      </c>
      <c r="D3372" s="92">
        <v>0.75</v>
      </c>
      <c r="E3372" s="92">
        <v>0.74</v>
      </c>
      <c r="F3372">
        <v>25</v>
      </c>
      <c r="G3372">
        <v>27.5</v>
      </c>
      <c r="H3372" t="s">
        <v>5617</v>
      </c>
      <c r="I3372">
        <v>0</v>
      </c>
      <c r="J3372" t="s">
        <v>87</v>
      </c>
      <c r="K3372">
        <v>0</v>
      </c>
      <c r="L3372">
        <v>0</v>
      </c>
    </row>
    <row r="3373" spans="1:12">
      <c r="A3373" s="93">
        <v>236610</v>
      </c>
      <c r="B3373" t="s">
        <v>3868</v>
      </c>
      <c r="C3373" t="s">
        <v>5606</v>
      </c>
      <c r="D3373" s="92">
        <v>0.45</v>
      </c>
      <c r="E3373" s="92">
        <v>0.26</v>
      </c>
      <c r="F3373" t="s">
        <v>428</v>
      </c>
      <c r="G3373" t="s">
        <v>428</v>
      </c>
      <c r="H3373" t="s">
        <v>5615</v>
      </c>
      <c r="I3373">
        <v>0</v>
      </c>
      <c r="J3373" t="s">
        <v>87</v>
      </c>
      <c r="K3373">
        <v>0</v>
      </c>
      <c r="L3373">
        <v>0</v>
      </c>
    </row>
    <row r="3374" spans="1:12">
      <c r="A3374" s="93">
        <v>236638</v>
      </c>
      <c r="B3374" t="s">
        <v>3869</v>
      </c>
      <c r="C3374" t="s">
        <v>5604</v>
      </c>
      <c r="D3374" s="92" t="s">
        <v>428</v>
      </c>
      <c r="E3374" s="92" t="s">
        <v>428</v>
      </c>
      <c r="F3374" t="s">
        <v>428</v>
      </c>
      <c r="G3374" t="s">
        <v>428</v>
      </c>
      <c r="H3374" t="s">
        <v>5615</v>
      </c>
      <c r="I3374">
        <v>0</v>
      </c>
      <c r="J3374" t="s">
        <v>87</v>
      </c>
      <c r="K3374">
        <v>0</v>
      </c>
      <c r="L3374">
        <v>0</v>
      </c>
    </row>
    <row r="3375" spans="1:12">
      <c r="A3375" s="93">
        <v>236656</v>
      </c>
      <c r="B3375" t="s">
        <v>3870</v>
      </c>
      <c r="C3375" t="s">
        <v>5606</v>
      </c>
      <c r="D3375" s="92">
        <v>0.4</v>
      </c>
      <c r="E3375" s="92">
        <v>0.39</v>
      </c>
      <c r="F3375" t="s">
        <v>428</v>
      </c>
      <c r="G3375" t="s">
        <v>428</v>
      </c>
      <c r="H3375" t="s">
        <v>5615</v>
      </c>
      <c r="I3375">
        <v>0</v>
      </c>
      <c r="J3375" t="s">
        <v>87</v>
      </c>
      <c r="K3375">
        <v>0</v>
      </c>
      <c r="L3375">
        <v>0</v>
      </c>
    </row>
    <row r="3376" spans="1:12">
      <c r="A3376" s="93">
        <v>236692</v>
      </c>
      <c r="B3376" t="s">
        <v>3871</v>
      </c>
      <c r="C3376" t="s">
        <v>5604</v>
      </c>
      <c r="D3376" s="92">
        <v>0.25</v>
      </c>
      <c r="E3376" s="92">
        <v>0.21</v>
      </c>
      <c r="F3376" t="s">
        <v>428</v>
      </c>
      <c r="G3376" t="s">
        <v>428</v>
      </c>
      <c r="H3376" t="s">
        <v>5615</v>
      </c>
      <c r="I3376">
        <v>0</v>
      </c>
      <c r="J3376" t="s">
        <v>87</v>
      </c>
      <c r="K3376">
        <v>0</v>
      </c>
      <c r="L3376">
        <v>0</v>
      </c>
    </row>
    <row r="3377" spans="1:12">
      <c r="A3377" s="93">
        <v>236708</v>
      </c>
      <c r="B3377" t="s">
        <v>3872</v>
      </c>
      <c r="C3377" t="s">
        <v>5604</v>
      </c>
      <c r="D3377" s="92">
        <v>0.22</v>
      </c>
      <c r="E3377" s="92">
        <v>0.19</v>
      </c>
      <c r="F3377" t="s">
        <v>428</v>
      </c>
      <c r="G3377" t="s">
        <v>428</v>
      </c>
      <c r="H3377" t="s">
        <v>5615</v>
      </c>
      <c r="I3377">
        <v>0</v>
      </c>
      <c r="J3377" t="s">
        <v>87</v>
      </c>
      <c r="K3377">
        <v>0</v>
      </c>
      <c r="L3377">
        <v>0</v>
      </c>
    </row>
    <row r="3378" spans="1:12">
      <c r="A3378" s="93">
        <v>236753</v>
      </c>
      <c r="B3378" t="s">
        <v>3873</v>
      </c>
      <c r="C3378" t="s">
        <v>5604</v>
      </c>
      <c r="D3378" s="92">
        <v>0.25</v>
      </c>
      <c r="E3378" s="92">
        <v>0.24</v>
      </c>
      <c r="F3378" t="s">
        <v>428</v>
      </c>
      <c r="G3378" t="s">
        <v>428</v>
      </c>
      <c r="H3378" t="s">
        <v>5615</v>
      </c>
      <c r="I3378">
        <v>0</v>
      </c>
      <c r="J3378" t="s">
        <v>87</v>
      </c>
      <c r="K3378">
        <v>0</v>
      </c>
      <c r="L3378">
        <v>0</v>
      </c>
    </row>
    <row r="3379" spans="1:12">
      <c r="A3379" s="93">
        <v>236887</v>
      </c>
      <c r="B3379" t="s">
        <v>3874</v>
      </c>
      <c r="C3379" t="s">
        <v>5606</v>
      </c>
      <c r="D3379" s="92">
        <v>0.44</v>
      </c>
      <c r="E3379" s="92">
        <v>0.38</v>
      </c>
      <c r="F3379" t="s">
        <v>428</v>
      </c>
      <c r="G3379" t="s">
        <v>428</v>
      </c>
      <c r="H3379" t="s">
        <v>5615</v>
      </c>
      <c r="I3379">
        <v>0</v>
      </c>
      <c r="J3379" t="s">
        <v>87</v>
      </c>
      <c r="K3379">
        <v>0</v>
      </c>
      <c r="L3379">
        <v>0</v>
      </c>
    </row>
    <row r="3380" spans="1:12">
      <c r="A3380" s="93">
        <v>236896</v>
      </c>
      <c r="B3380" t="s">
        <v>3875</v>
      </c>
      <c r="C3380" t="s">
        <v>5604</v>
      </c>
      <c r="D3380" s="92">
        <v>0.52</v>
      </c>
      <c r="E3380" s="92">
        <v>0.42</v>
      </c>
      <c r="F3380">
        <v>20</v>
      </c>
      <c r="G3380">
        <v>23.5</v>
      </c>
      <c r="H3380" t="s">
        <v>5617</v>
      </c>
      <c r="I3380">
        <v>0</v>
      </c>
      <c r="J3380" t="s">
        <v>87</v>
      </c>
      <c r="K3380">
        <v>0</v>
      </c>
      <c r="L3380">
        <v>0</v>
      </c>
    </row>
    <row r="3381" spans="1:12">
      <c r="A3381" s="93">
        <v>236939</v>
      </c>
      <c r="B3381" t="s">
        <v>3876</v>
      </c>
      <c r="C3381" t="s">
        <v>5602</v>
      </c>
      <c r="D3381" s="92">
        <v>0.67</v>
      </c>
      <c r="E3381" s="92">
        <v>0.63</v>
      </c>
      <c r="F3381">
        <v>20</v>
      </c>
      <c r="G3381">
        <v>23</v>
      </c>
      <c r="H3381" t="s">
        <v>5615</v>
      </c>
      <c r="I3381">
        <v>0</v>
      </c>
      <c r="J3381" t="s">
        <v>87</v>
      </c>
      <c r="K3381">
        <v>0</v>
      </c>
      <c r="L3381">
        <v>0</v>
      </c>
    </row>
    <row r="3382" spans="1:12">
      <c r="A3382" s="93">
        <v>236948</v>
      </c>
      <c r="B3382" t="s">
        <v>3877</v>
      </c>
      <c r="C3382" t="s">
        <v>5603</v>
      </c>
      <c r="D3382" s="92">
        <v>0.84</v>
      </c>
      <c r="E3382" s="92">
        <v>0.78</v>
      </c>
      <c r="F3382">
        <v>26</v>
      </c>
      <c r="G3382">
        <v>29</v>
      </c>
      <c r="H3382" t="s">
        <v>5615</v>
      </c>
      <c r="I3382">
        <v>0</v>
      </c>
      <c r="J3382" t="s">
        <v>87</v>
      </c>
      <c r="K3382">
        <v>0</v>
      </c>
      <c r="L3382">
        <v>0</v>
      </c>
    </row>
    <row r="3383" spans="1:12">
      <c r="A3383" s="93">
        <v>236975</v>
      </c>
      <c r="B3383" t="s">
        <v>3878</v>
      </c>
      <c r="C3383" t="s">
        <v>5604</v>
      </c>
      <c r="D3383" s="92">
        <v>0.31</v>
      </c>
      <c r="E3383" s="92">
        <v>0.34</v>
      </c>
      <c r="F3383" t="s">
        <v>428</v>
      </c>
      <c r="G3383" t="s">
        <v>428</v>
      </c>
      <c r="H3383" t="s">
        <v>5615</v>
      </c>
      <c r="I3383">
        <v>0</v>
      </c>
      <c r="J3383" t="s">
        <v>87</v>
      </c>
      <c r="K3383">
        <v>0</v>
      </c>
      <c r="L3383">
        <v>0</v>
      </c>
    </row>
    <row r="3384" spans="1:12">
      <c r="A3384" s="93">
        <v>237011</v>
      </c>
      <c r="B3384" t="s">
        <v>3879</v>
      </c>
      <c r="C3384" t="s">
        <v>5602</v>
      </c>
      <c r="D3384" s="92">
        <v>0.6899999999999999</v>
      </c>
      <c r="E3384" s="92">
        <v>0.67</v>
      </c>
      <c r="F3384">
        <v>23</v>
      </c>
      <c r="G3384">
        <v>25.5</v>
      </c>
      <c r="H3384" t="s">
        <v>5615</v>
      </c>
      <c r="I3384">
        <v>0</v>
      </c>
      <c r="J3384" t="s">
        <v>87</v>
      </c>
      <c r="K3384">
        <v>0</v>
      </c>
      <c r="L3384">
        <v>0</v>
      </c>
    </row>
    <row r="3385" spans="1:12">
      <c r="A3385" s="93">
        <v>237039</v>
      </c>
      <c r="B3385" t="s">
        <v>3880</v>
      </c>
      <c r="C3385" t="s">
        <v>5604</v>
      </c>
      <c r="D3385" s="92">
        <v>0.33</v>
      </c>
      <c r="E3385" s="92">
        <v>0.27</v>
      </c>
      <c r="F3385" t="s">
        <v>428</v>
      </c>
      <c r="G3385" t="s">
        <v>428</v>
      </c>
      <c r="H3385" t="s">
        <v>5615</v>
      </c>
      <c r="I3385">
        <v>0</v>
      </c>
      <c r="J3385" t="s">
        <v>87</v>
      </c>
      <c r="K3385">
        <v>0</v>
      </c>
      <c r="L3385">
        <v>0</v>
      </c>
    </row>
    <row r="3386" spans="1:12">
      <c r="A3386" s="93">
        <v>237057</v>
      </c>
      <c r="B3386" t="s">
        <v>3881</v>
      </c>
      <c r="C3386" t="s">
        <v>5612</v>
      </c>
      <c r="D3386" s="92">
        <v>0.87</v>
      </c>
      <c r="E3386" s="92">
        <v>0.82</v>
      </c>
      <c r="F3386">
        <v>28</v>
      </c>
      <c r="G3386">
        <v>30</v>
      </c>
      <c r="H3386" t="s">
        <v>5618</v>
      </c>
      <c r="I3386">
        <v>0</v>
      </c>
      <c r="J3386" t="s">
        <v>87</v>
      </c>
      <c r="K3386">
        <v>0</v>
      </c>
      <c r="L3386">
        <v>0</v>
      </c>
    </row>
    <row r="3387" spans="1:12">
      <c r="A3387" s="93">
        <v>237066</v>
      </c>
      <c r="B3387" t="s">
        <v>3882</v>
      </c>
      <c r="C3387" t="s">
        <v>5603</v>
      </c>
      <c r="D3387" s="92">
        <v>0.74</v>
      </c>
      <c r="E3387" s="92">
        <v>0.65</v>
      </c>
      <c r="F3387">
        <v>22</v>
      </c>
      <c r="G3387">
        <v>25.5</v>
      </c>
      <c r="H3387" t="s">
        <v>5617</v>
      </c>
      <c r="I3387">
        <v>0</v>
      </c>
      <c r="J3387" t="s">
        <v>87</v>
      </c>
      <c r="K3387">
        <v>0</v>
      </c>
      <c r="L3387">
        <v>0</v>
      </c>
    </row>
    <row r="3388" spans="1:12">
      <c r="A3388" s="93">
        <v>237109</v>
      </c>
      <c r="B3388" t="s">
        <v>3883</v>
      </c>
      <c r="C3388" t="s">
        <v>5604</v>
      </c>
      <c r="D3388" s="92" t="s">
        <v>428</v>
      </c>
      <c r="E3388" s="92" t="s">
        <v>428</v>
      </c>
      <c r="F3388" t="s">
        <v>428</v>
      </c>
      <c r="G3388" t="s">
        <v>428</v>
      </c>
      <c r="H3388" t="s">
        <v>5615</v>
      </c>
      <c r="I3388">
        <v>0</v>
      </c>
      <c r="J3388" t="s">
        <v>87</v>
      </c>
      <c r="K3388">
        <v>0</v>
      </c>
      <c r="L3388">
        <v>0</v>
      </c>
    </row>
    <row r="3389" spans="1:12">
      <c r="A3389" s="93">
        <v>237118</v>
      </c>
      <c r="B3389" t="s">
        <v>3884</v>
      </c>
      <c r="C3389" t="s">
        <v>5602</v>
      </c>
      <c r="D3389" s="92">
        <v>0.43</v>
      </c>
      <c r="E3389" s="92">
        <v>0.27</v>
      </c>
      <c r="F3389">
        <v>18</v>
      </c>
      <c r="G3389">
        <v>20.5</v>
      </c>
      <c r="H3389" t="s">
        <v>5616</v>
      </c>
      <c r="I3389">
        <v>0</v>
      </c>
      <c r="J3389" t="s">
        <v>87</v>
      </c>
      <c r="K3389">
        <v>0</v>
      </c>
      <c r="L3389">
        <v>0</v>
      </c>
    </row>
    <row r="3390" spans="1:12">
      <c r="A3390" s="93">
        <v>237136</v>
      </c>
      <c r="B3390" t="s">
        <v>3885</v>
      </c>
      <c r="C3390" t="s">
        <v>5608</v>
      </c>
      <c r="D3390" s="92">
        <v>0.46</v>
      </c>
      <c r="E3390" s="92">
        <v>0.5</v>
      </c>
      <c r="F3390">
        <v>17</v>
      </c>
      <c r="G3390">
        <v>18.5</v>
      </c>
      <c r="H3390" t="s">
        <v>5616</v>
      </c>
      <c r="I3390">
        <v>0</v>
      </c>
      <c r="J3390" t="s">
        <v>87</v>
      </c>
      <c r="K3390">
        <v>0</v>
      </c>
      <c r="L3390">
        <v>0</v>
      </c>
    </row>
    <row r="3391" spans="1:12">
      <c r="A3391" s="93">
        <v>237181</v>
      </c>
      <c r="B3391" t="s">
        <v>1665</v>
      </c>
      <c r="C3391" t="s">
        <v>5604</v>
      </c>
      <c r="D3391" s="92">
        <v>0.43</v>
      </c>
      <c r="E3391" s="92">
        <v>0.2</v>
      </c>
      <c r="F3391">
        <v>17</v>
      </c>
      <c r="G3391">
        <v>20</v>
      </c>
      <c r="H3391" t="s">
        <v>5617</v>
      </c>
      <c r="I3391">
        <v>0</v>
      </c>
      <c r="J3391" t="s">
        <v>87</v>
      </c>
      <c r="K3391">
        <v>0</v>
      </c>
      <c r="L3391">
        <v>0</v>
      </c>
    </row>
    <row r="3392" spans="1:12">
      <c r="A3392" s="93">
        <v>237215</v>
      </c>
      <c r="B3392" t="s">
        <v>3886</v>
      </c>
      <c r="C3392" t="s">
        <v>5608</v>
      </c>
      <c r="D3392" s="92">
        <v>0.22</v>
      </c>
      <c r="E3392" s="92">
        <v>0.14</v>
      </c>
      <c r="F3392">
        <v>17</v>
      </c>
      <c r="G3392">
        <v>19.5</v>
      </c>
      <c r="H3392" t="s">
        <v>5615</v>
      </c>
      <c r="I3392">
        <v>0</v>
      </c>
      <c r="J3392" t="s">
        <v>138</v>
      </c>
      <c r="K3392">
        <v>0</v>
      </c>
      <c r="L3392">
        <v>0</v>
      </c>
    </row>
    <row r="3393" spans="1:12">
      <c r="A3393" s="93">
        <v>237303</v>
      </c>
      <c r="B3393" t="s">
        <v>3887</v>
      </c>
      <c r="C3393" t="s">
        <v>5606</v>
      </c>
      <c r="D3393" s="92" t="s">
        <v>428</v>
      </c>
      <c r="E3393" s="92" t="s">
        <v>428</v>
      </c>
      <c r="F3393" t="s">
        <v>428</v>
      </c>
      <c r="G3393" t="s">
        <v>428</v>
      </c>
      <c r="H3393" t="s">
        <v>5624</v>
      </c>
      <c r="I3393">
        <v>1</v>
      </c>
      <c r="J3393" t="s">
        <v>87</v>
      </c>
      <c r="K3393">
        <v>0</v>
      </c>
      <c r="L3393">
        <v>0</v>
      </c>
    </row>
    <row r="3394" spans="1:12">
      <c r="A3394" s="93">
        <v>237312</v>
      </c>
      <c r="B3394" t="s">
        <v>3888</v>
      </c>
      <c r="C3394" t="s">
        <v>5602</v>
      </c>
      <c r="D3394" s="92">
        <v>0.41</v>
      </c>
      <c r="E3394" s="92">
        <v>0.29</v>
      </c>
      <c r="F3394">
        <v>18</v>
      </c>
      <c r="G3394">
        <v>21</v>
      </c>
      <c r="H3394" t="s">
        <v>5617</v>
      </c>
      <c r="I3394">
        <v>0</v>
      </c>
      <c r="J3394" t="s">
        <v>87</v>
      </c>
      <c r="K3394">
        <v>0</v>
      </c>
      <c r="L3394">
        <v>0</v>
      </c>
    </row>
    <row r="3395" spans="1:12">
      <c r="A3395" s="93">
        <v>237321</v>
      </c>
      <c r="B3395" t="s">
        <v>3889</v>
      </c>
      <c r="C3395" t="s">
        <v>5606</v>
      </c>
      <c r="D3395" s="92" t="s">
        <v>428</v>
      </c>
      <c r="E3395" s="92" t="s">
        <v>428</v>
      </c>
      <c r="F3395" t="s">
        <v>428</v>
      </c>
      <c r="G3395" t="s">
        <v>428</v>
      </c>
      <c r="H3395" t="s">
        <v>5613</v>
      </c>
      <c r="I3395">
        <v>1</v>
      </c>
      <c r="J3395" t="s">
        <v>87</v>
      </c>
      <c r="K3395">
        <v>0</v>
      </c>
      <c r="L3395">
        <v>0</v>
      </c>
    </row>
    <row r="3396" spans="1:12">
      <c r="A3396" s="93">
        <v>237330</v>
      </c>
      <c r="B3396" t="s">
        <v>3890</v>
      </c>
      <c r="C3396" t="s">
        <v>5602</v>
      </c>
      <c r="D3396" s="92">
        <v>0.35</v>
      </c>
      <c r="E3396" s="92">
        <v>0.18</v>
      </c>
      <c r="F3396">
        <v>18</v>
      </c>
      <c r="G3396">
        <v>20.5</v>
      </c>
      <c r="H3396" t="s">
        <v>5615</v>
      </c>
      <c r="I3396">
        <v>0</v>
      </c>
      <c r="J3396" t="s">
        <v>87</v>
      </c>
      <c r="K3396">
        <v>0</v>
      </c>
      <c r="L3396">
        <v>0</v>
      </c>
    </row>
    <row r="3397" spans="1:12">
      <c r="A3397" s="93">
        <v>237358</v>
      </c>
      <c r="B3397" t="s">
        <v>3891</v>
      </c>
      <c r="C3397" t="s">
        <v>5608</v>
      </c>
      <c r="D3397" s="92">
        <v>0.43</v>
      </c>
      <c r="E3397" s="92">
        <v>0.21</v>
      </c>
      <c r="F3397">
        <v>17</v>
      </c>
      <c r="G3397">
        <v>20</v>
      </c>
      <c r="H3397" t="s">
        <v>5617</v>
      </c>
      <c r="I3397">
        <v>0</v>
      </c>
      <c r="J3397" t="s">
        <v>87</v>
      </c>
      <c r="K3397">
        <v>0</v>
      </c>
      <c r="L3397">
        <v>0</v>
      </c>
    </row>
    <row r="3398" spans="1:12">
      <c r="A3398" s="93">
        <v>237367</v>
      </c>
      <c r="B3398" t="s">
        <v>3892</v>
      </c>
      <c r="C3398" t="s">
        <v>5602</v>
      </c>
      <c r="D3398" s="92">
        <v>0.3</v>
      </c>
      <c r="E3398" s="92">
        <v>0.23</v>
      </c>
      <c r="F3398">
        <v>18</v>
      </c>
      <c r="G3398">
        <v>20.5</v>
      </c>
      <c r="H3398" t="s">
        <v>5615</v>
      </c>
      <c r="I3398">
        <v>0</v>
      </c>
      <c r="J3398" t="s">
        <v>87</v>
      </c>
      <c r="K3398">
        <v>0</v>
      </c>
      <c r="L3398">
        <v>0</v>
      </c>
    </row>
    <row r="3399" spans="1:12">
      <c r="A3399" s="93">
        <v>237385</v>
      </c>
      <c r="B3399" t="s">
        <v>3893</v>
      </c>
      <c r="C3399" t="s">
        <v>5604</v>
      </c>
      <c r="D3399" s="92">
        <v>0.32</v>
      </c>
      <c r="E3399" s="92">
        <v>0.17</v>
      </c>
      <c r="F3399">
        <v>16</v>
      </c>
      <c r="G3399">
        <v>19</v>
      </c>
      <c r="H3399" t="s">
        <v>5615</v>
      </c>
      <c r="I3399">
        <v>0</v>
      </c>
      <c r="J3399" t="s">
        <v>87</v>
      </c>
      <c r="K3399">
        <v>0</v>
      </c>
      <c r="L3399">
        <v>0</v>
      </c>
    </row>
    <row r="3400" spans="1:12">
      <c r="A3400" s="93">
        <v>237437</v>
      </c>
      <c r="B3400" t="s">
        <v>3894</v>
      </c>
      <c r="C3400" t="s">
        <v>5606</v>
      </c>
      <c r="D3400" s="92">
        <v>0.3</v>
      </c>
      <c r="E3400" s="92">
        <v>0.36</v>
      </c>
      <c r="F3400" t="s">
        <v>428</v>
      </c>
      <c r="G3400" t="s">
        <v>428</v>
      </c>
      <c r="H3400" t="s">
        <v>5613</v>
      </c>
      <c r="I3400">
        <v>1</v>
      </c>
      <c r="J3400" t="s">
        <v>87</v>
      </c>
      <c r="K3400">
        <v>0</v>
      </c>
      <c r="L3400">
        <v>0</v>
      </c>
    </row>
    <row r="3401" spans="1:12">
      <c r="A3401" s="93">
        <v>237525</v>
      </c>
      <c r="B3401" t="s">
        <v>3895</v>
      </c>
      <c r="C3401" t="s">
        <v>5602</v>
      </c>
      <c r="D3401" s="92">
        <v>0.45</v>
      </c>
      <c r="E3401" s="92">
        <v>0.32</v>
      </c>
      <c r="F3401">
        <v>19</v>
      </c>
      <c r="G3401">
        <v>21.5</v>
      </c>
      <c r="H3401" t="s">
        <v>5615</v>
      </c>
      <c r="I3401">
        <v>0</v>
      </c>
      <c r="J3401" t="s">
        <v>87</v>
      </c>
      <c r="K3401">
        <v>0</v>
      </c>
      <c r="L3401">
        <v>0</v>
      </c>
    </row>
    <row r="3402" spans="1:12">
      <c r="A3402" s="93">
        <v>237543</v>
      </c>
      <c r="B3402" t="s">
        <v>3896</v>
      </c>
      <c r="C3402" t="s">
        <v>5606</v>
      </c>
      <c r="D3402" s="92" t="s">
        <v>428</v>
      </c>
      <c r="E3402" s="92" t="s">
        <v>428</v>
      </c>
      <c r="F3402" t="s">
        <v>428</v>
      </c>
      <c r="G3402" t="s">
        <v>428</v>
      </c>
      <c r="H3402" t="s">
        <v>5615</v>
      </c>
      <c r="I3402">
        <v>0</v>
      </c>
      <c r="J3402" t="s">
        <v>87</v>
      </c>
      <c r="K3402">
        <v>0</v>
      </c>
      <c r="L3402">
        <v>0</v>
      </c>
    </row>
    <row r="3403" spans="1:12">
      <c r="A3403" s="93">
        <v>237552</v>
      </c>
      <c r="B3403" t="s">
        <v>3897</v>
      </c>
      <c r="C3403" t="s">
        <v>5606</v>
      </c>
      <c r="D3403" s="92" t="s">
        <v>428</v>
      </c>
      <c r="E3403" s="92" t="s">
        <v>428</v>
      </c>
      <c r="F3403" t="s">
        <v>428</v>
      </c>
      <c r="G3403" t="s">
        <v>428</v>
      </c>
      <c r="H3403" t="s">
        <v>5617</v>
      </c>
      <c r="I3403">
        <v>0</v>
      </c>
      <c r="J3403" t="s">
        <v>87</v>
      </c>
      <c r="K3403">
        <v>0</v>
      </c>
      <c r="L3403">
        <v>0</v>
      </c>
    </row>
    <row r="3404" spans="1:12">
      <c r="A3404" s="93">
        <v>237570</v>
      </c>
      <c r="B3404" t="s">
        <v>3898</v>
      </c>
      <c r="C3404" t="s">
        <v>5606</v>
      </c>
      <c r="D3404" s="92" t="s">
        <v>428</v>
      </c>
      <c r="E3404" s="92" t="s">
        <v>428</v>
      </c>
      <c r="F3404" t="s">
        <v>428</v>
      </c>
      <c r="G3404" t="s">
        <v>428</v>
      </c>
      <c r="H3404" t="s">
        <v>5613</v>
      </c>
      <c r="I3404">
        <v>1</v>
      </c>
      <c r="J3404" t="s">
        <v>87</v>
      </c>
      <c r="K3404">
        <v>0</v>
      </c>
      <c r="L3404">
        <v>0</v>
      </c>
    </row>
    <row r="3405" spans="1:12">
      <c r="A3405" s="93">
        <v>237598</v>
      </c>
      <c r="B3405" t="s">
        <v>3899</v>
      </c>
      <c r="C3405" t="s">
        <v>5606</v>
      </c>
      <c r="D3405" s="92" t="s">
        <v>428</v>
      </c>
      <c r="E3405" s="92" t="s">
        <v>428</v>
      </c>
      <c r="F3405" t="s">
        <v>428</v>
      </c>
      <c r="G3405" t="s">
        <v>428</v>
      </c>
      <c r="H3405" t="s">
        <v>5617</v>
      </c>
      <c r="I3405">
        <v>0</v>
      </c>
      <c r="J3405" t="s">
        <v>87</v>
      </c>
      <c r="K3405">
        <v>0</v>
      </c>
      <c r="L3405">
        <v>0</v>
      </c>
    </row>
    <row r="3406" spans="1:12">
      <c r="A3406" s="93">
        <v>237640</v>
      </c>
      <c r="B3406" t="s">
        <v>3900</v>
      </c>
      <c r="C3406" t="s">
        <v>5602</v>
      </c>
      <c r="D3406" s="92">
        <v>0.38</v>
      </c>
      <c r="E3406" s="92">
        <v>0.33</v>
      </c>
      <c r="F3406">
        <v>18</v>
      </c>
      <c r="G3406">
        <v>20.5</v>
      </c>
      <c r="H3406" t="s">
        <v>5617</v>
      </c>
      <c r="I3406">
        <v>0</v>
      </c>
      <c r="J3406" t="s">
        <v>87</v>
      </c>
      <c r="K3406">
        <v>0</v>
      </c>
      <c r="L3406">
        <v>0</v>
      </c>
    </row>
    <row r="3407" spans="1:12">
      <c r="A3407" s="93">
        <v>237686</v>
      </c>
      <c r="B3407" t="s">
        <v>3901</v>
      </c>
      <c r="C3407" t="s">
        <v>5604</v>
      </c>
      <c r="D3407" s="92">
        <v>0.33</v>
      </c>
      <c r="E3407" s="92" t="s">
        <v>428</v>
      </c>
      <c r="F3407" t="s">
        <v>428</v>
      </c>
      <c r="G3407" t="s">
        <v>428</v>
      </c>
      <c r="H3407" t="s">
        <v>5615</v>
      </c>
      <c r="I3407">
        <v>0</v>
      </c>
      <c r="J3407" t="s">
        <v>87</v>
      </c>
      <c r="K3407">
        <v>0</v>
      </c>
      <c r="L3407">
        <v>0</v>
      </c>
    </row>
    <row r="3408" spans="1:12">
      <c r="A3408" s="93">
        <v>237701</v>
      </c>
      <c r="B3408" t="s">
        <v>3902</v>
      </c>
      <c r="C3408" t="s">
        <v>5604</v>
      </c>
      <c r="D3408" s="92" t="s">
        <v>428</v>
      </c>
      <c r="E3408" s="92" t="s">
        <v>428</v>
      </c>
      <c r="F3408" t="s">
        <v>428</v>
      </c>
      <c r="G3408" t="s">
        <v>428</v>
      </c>
      <c r="H3408" t="s">
        <v>5615</v>
      </c>
      <c r="I3408">
        <v>0</v>
      </c>
      <c r="J3408" t="s">
        <v>87</v>
      </c>
      <c r="K3408">
        <v>0</v>
      </c>
      <c r="L3408">
        <v>0</v>
      </c>
    </row>
    <row r="3409" spans="1:12">
      <c r="A3409" s="93">
        <v>237783</v>
      </c>
      <c r="B3409" t="s">
        <v>3903</v>
      </c>
      <c r="C3409" t="s">
        <v>5608</v>
      </c>
      <c r="D3409" s="92">
        <v>0.12</v>
      </c>
      <c r="E3409" s="92">
        <v>0.06</v>
      </c>
      <c r="F3409" t="s">
        <v>428</v>
      </c>
      <c r="G3409" t="s">
        <v>428</v>
      </c>
      <c r="H3409" t="s">
        <v>5617</v>
      </c>
      <c r="I3409">
        <v>0</v>
      </c>
      <c r="J3409" t="s">
        <v>87</v>
      </c>
      <c r="K3409">
        <v>0</v>
      </c>
      <c r="L3409">
        <v>0</v>
      </c>
    </row>
    <row r="3410" spans="1:12">
      <c r="A3410" s="93">
        <v>237792</v>
      </c>
      <c r="B3410" t="s">
        <v>3904</v>
      </c>
      <c r="C3410" t="s">
        <v>5602</v>
      </c>
      <c r="D3410" s="92">
        <v>0.45</v>
      </c>
      <c r="E3410" s="92">
        <v>0.35</v>
      </c>
      <c r="F3410">
        <v>19</v>
      </c>
      <c r="G3410">
        <v>21.5</v>
      </c>
      <c r="H3410" t="s">
        <v>5615</v>
      </c>
      <c r="I3410">
        <v>0</v>
      </c>
      <c r="J3410" t="s">
        <v>87</v>
      </c>
      <c r="K3410">
        <v>0</v>
      </c>
      <c r="L3410">
        <v>0</v>
      </c>
    </row>
    <row r="3411" spans="1:12">
      <c r="A3411" s="93">
        <v>237817</v>
      </c>
      <c r="B3411" t="s">
        <v>3905</v>
      </c>
      <c r="C3411" t="s">
        <v>5606</v>
      </c>
      <c r="D3411" s="92">
        <v>0.19</v>
      </c>
      <c r="E3411" s="92">
        <v>0.1</v>
      </c>
      <c r="F3411" t="s">
        <v>428</v>
      </c>
      <c r="G3411" t="s">
        <v>428</v>
      </c>
      <c r="H3411" t="s">
        <v>5615</v>
      </c>
      <c r="I3411">
        <v>0</v>
      </c>
      <c r="J3411" t="s">
        <v>87</v>
      </c>
      <c r="K3411">
        <v>0</v>
      </c>
      <c r="L3411">
        <v>0</v>
      </c>
    </row>
    <row r="3412" spans="1:12">
      <c r="A3412" s="93">
        <v>237880</v>
      </c>
      <c r="B3412" t="s">
        <v>3906</v>
      </c>
      <c r="C3412" t="s">
        <v>5607</v>
      </c>
      <c r="D3412" s="92" t="s">
        <v>428</v>
      </c>
      <c r="E3412" s="92" t="s">
        <v>428</v>
      </c>
      <c r="F3412" t="s">
        <v>428</v>
      </c>
      <c r="G3412" t="s">
        <v>428</v>
      </c>
      <c r="H3412" t="s">
        <v>5615</v>
      </c>
      <c r="I3412">
        <v>0</v>
      </c>
      <c r="J3412" t="s">
        <v>87</v>
      </c>
      <c r="K3412">
        <v>0</v>
      </c>
      <c r="L3412">
        <v>0</v>
      </c>
    </row>
    <row r="3413" spans="1:12">
      <c r="A3413" s="93">
        <v>237899</v>
      </c>
      <c r="B3413" t="s">
        <v>3907</v>
      </c>
      <c r="C3413" t="s">
        <v>5604</v>
      </c>
      <c r="D3413" s="92">
        <v>0.27</v>
      </c>
      <c r="E3413" s="92">
        <v>0.21</v>
      </c>
      <c r="F3413">
        <v>17</v>
      </c>
      <c r="G3413">
        <v>19.5</v>
      </c>
      <c r="H3413" t="s">
        <v>5615</v>
      </c>
      <c r="I3413">
        <v>0</v>
      </c>
      <c r="J3413" t="s">
        <v>138</v>
      </c>
      <c r="K3413">
        <v>0</v>
      </c>
      <c r="L3413">
        <v>0</v>
      </c>
    </row>
    <row r="3414" spans="1:12">
      <c r="A3414" s="93">
        <v>237905</v>
      </c>
      <c r="B3414" t="s">
        <v>3908</v>
      </c>
      <c r="C3414" t="s">
        <v>5607</v>
      </c>
      <c r="D3414" s="92" t="s">
        <v>428</v>
      </c>
      <c r="E3414" s="92" t="s">
        <v>428</v>
      </c>
      <c r="F3414" t="s">
        <v>428</v>
      </c>
      <c r="G3414" t="s">
        <v>428</v>
      </c>
      <c r="H3414" t="s">
        <v>5615</v>
      </c>
      <c r="I3414">
        <v>0</v>
      </c>
      <c r="J3414" t="s">
        <v>87</v>
      </c>
      <c r="K3414">
        <v>0</v>
      </c>
      <c r="L3414">
        <v>0</v>
      </c>
    </row>
    <row r="3415" spans="1:12">
      <c r="A3415" s="93">
        <v>237932</v>
      </c>
      <c r="B3415" t="s">
        <v>3909</v>
      </c>
      <c r="C3415" t="s">
        <v>5602</v>
      </c>
      <c r="D3415" s="92">
        <v>0.44</v>
      </c>
      <c r="E3415" s="92">
        <v>0.27</v>
      </c>
      <c r="F3415">
        <v>18</v>
      </c>
      <c r="G3415">
        <v>20.5</v>
      </c>
      <c r="H3415" t="s">
        <v>5615</v>
      </c>
      <c r="I3415">
        <v>0</v>
      </c>
      <c r="J3415" t="s">
        <v>87</v>
      </c>
      <c r="K3415">
        <v>0</v>
      </c>
      <c r="L3415">
        <v>0</v>
      </c>
    </row>
    <row r="3416" spans="1:12">
      <c r="A3416" s="93">
        <v>237950</v>
      </c>
      <c r="B3416" t="s">
        <v>3910</v>
      </c>
      <c r="C3416" t="s">
        <v>5604</v>
      </c>
      <c r="D3416" s="92">
        <v>0.2</v>
      </c>
      <c r="E3416" s="92">
        <v>0.06</v>
      </c>
      <c r="F3416">
        <v>19</v>
      </c>
      <c r="G3416">
        <v>21.5</v>
      </c>
      <c r="H3416" t="s">
        <v>5615</v>
      </c>
      <c r="I3416">
        <v>0</v>
      </c>
      <c r="J3416" t="s">
        <v>87</v>
      </c>
      <c r="K3416">
        <v>0</v>
      </c>
      <c r="L3416">
        <v>0</v>
      </c>
    </row>
    <row r="3417" spans="1:12">
      <c r="A3417" s="93">
        <v>237969</v>
      </c>
      <c r="B3417" t="s">
        <v>3911</v>
      </c>
      <c r="C3417" t="s">
        <v>5602</v>
      </c>
      <c r="D3417" s="92">
        <v>0.53</v>
      </c>
      <c r="E3417" s="92">
        <v>0.33</v>
      </c>
      <c r="F3417">
        <v>20</v>
      </c>
      <c r="G3417">
        <v>22.5</v>
      </c>
      <c r="H3417" t="s">
        <v>5616</v>
      </c>
      <c r="I3417">
        <v>0</v>
      </c>
      <c r="J3417" t="s">
        <v>87</v>
      </c>
      <c r="K3417">
        <v>0</v>
      </c>
      <c r="L3417">
        <v>0</v>
      </c>
    </row>
    <row r="3418" spans="1:12">
      <c r="A3418" s="93">
        <v>237978</v>
      </c>
      <c r="B3418" t="s">
        <v>3912</v>
      </c>
      <c r="C3418" t="s">
        <v>5606</v>
      </c>
      <c r="D3418" s="92" t="s">
        <v>428</v>
      </c>
      <c r="E3418" s="92" t="s">
        <v>428</v>
      </c>
      <c r="F3418" t="s">
        <v>428</v>
      </c>
      <c r="G3418" t="s">
        <v>428</v>
      </c>
      <c r="H3418" t="s">
        <v>5617</v>
      </c>
      <c r="I3418">
        <v>0</v>
      </c>
      <c r="J3418" t="s">
        <v>87</v>
      </c>
      <c r="K3418">
        <v>0</v>
      </c>
      <c r="L3418">
        <v>0</v>
      </c>
    </row>
    <row r="3419" spans="1:12">
      <c r="A3419" s="93">
        <v>237987</v>
      </c>
      <c r="B3419" t="s">
        <v>3913</v>
      </c>
      <c r="C3419" t="s">
        <v>5606</v>
      </c>
      <c r="D3419" s="92" t="s">
        <v>428</v>
      </c>
      <c r="E3419" s="92" t="s">
        <v>428</v>
      </c>
      <c r="F3419" t="s">
        <v>428</v>
      </c>
      <c r="G3419" t="s">
        <v>428</v>
      </c>
      <c r="H3419" t="s">
        <v>5616</v>
      </c>
      <c r="I3419">
        <v>0</v>
      </c>
      <c r="J3419" t="s">
        <v>87</v>
      </c>
      <c r="K3419">
        <v>0</v>
      </c>
      <c r="L3419">
        <v>0</v>
      </c>
    </row>
    <row r="3420" spans="1:12">
      <c r="A3420" s="93">
        <v>237996</v>
      </c>
      <c r="B3420" t="s">
        <v>3914</v>
      </c>
      <c r="C3420" t="s">
        <v>5606</v>
      </c>
      <c r="D3420" s="92" t="s">
        <v>428</v>
      </c>
      <c r="E3420" s="92" t="s">
        <v>428</v>
      </c>
      <c r="F3420" t="s">
        <v>428</v>
      </c>
      <c r="G3420" t="s">
        <v>428</v>
      </c>
      <c r="H3420" t="s">
        <v>5617</v>
      </c>
      <c r="I3420">
        <v>0</v>
      </c>
      <c r="J3420" t="s">
        <v>87</v>
      </c>
      <c r="K3420">
        <v>0</v>
      </c>
      <c r="L3420">
        <v>0</v>
      </c>
    </row>
    <row r="3421" spans="1:12">
      <c r="A3421" s="93">
        <v>238005</v>
      </c>
      <c r="B3421" t="s">
        <v>3915</v>
      </c>
      <c r="C3421" t="s">
        <v>5606</v>
      </c>
      <c r="D3421" s="92" t="s">
        <v>428</v>
      </c>
      <c r="E3421" s="92" t="s">
        <v>428</v>
      </c>
      <c r="F3421" t="s">
        <v>428</v>
      </c>
      <c r="G3421" t="s">
        <v>428</v>
      </c>
      <c r="H3421" t="s">
        <v>5616</v>
      </c>
      <c r="I3421">
        <v>0</v>
      </c>
      <c r="J3421" t="s">
        <v>87</v>
      </c>
      <c r="K3421">
        <v>0</v>
      </c>
      <c r="L3421">
        <v>0</v>
      </c>
    </row>
    <row r="3422" spans="1:12">
      <c r="A3422" s="93">
        <v>238014</v>
      </c>
      <c r="B3422" t="s">
        <v>3916</v>
      </c>
      <c r="C3422" t="s">
        <v>5606</v>
      </c>
      <c r="D3422" s="92">
        <v>0.18</v>
      </c>
      <c r="E3422" s="92">
        <v>0.08</v>
      </c>
      <c r="F3422" t="s">
        <v>428</v>
      </c>
      <c r="G3422" t="s">
        <v>428</v>
      </c>
      <c r="H3422" t="s">
        <v>5615</v>
      </c>
      <c r="I3422">
        <v>0</v>
      </c>
      <c r="J3422" t="s">
        <v>87</v>
      </c>
      <c r="K3422">
        <v>0</v>
      </c>
      <c r="L3422">
        <v>0</v>
      </c>
    </row>
    <row r="3423" spans="1:12">
      <c r="A3423" s="93">
        <v>238032</v>
      </c>
      <c r="B3423" t="s">
        <v>3917</v>
      </c>
      <c r="C3423" t="s">
        <v>5602</v>
      </c>
      <c r="D3423" s="92">
        <v>0.57</v>
      </c>
      <c r="E3423" s="92">
        <v>0.45</v>
      </c>
      <c r="F3423">
        <v>21</v>
      </c>
      <c r="G3423">
        <v>23.5</v>
      </c>
      <c r="H3423" t="s">
        <v>5617</v>
      </c>
      <c r="I3423">
        <v>0</v>
      </c>
      <c r="J3423" t="s">
        <v>87</v>
      </c>
      <c r="K3423">
        <v>0</v>
      </c>
      <c r="L3423">
        <v>0</v>
      </c>
    </row>
    <row r="3424" spans="1:12">
      <c r="A3424" s="93">
        <v>238078</v>
      </c>
      <c r="B3424" t="s">
        <v>3918</v>
      </c>
      <c r="C3424" t="s">
        <v>5608</v>
      </c>
      <c r="D3424" s="92">
        <v>0.58</v>
      </c>
      <c r="E3424" s="92">
        <v>0.35</v>
      </c>
      <c r="F3424">
        <v>18</v>
      </c>
      <c r="G3424">
        <v>20.5</v>
      </c>
      <c r="H3424" t="s">
        <v>5616</v>
      </c>
      <c r="I3424">
        <v>0</v>
      </c>
      <c r="J3424" t="s">
        <v>87</v>
      </c>
      <c r="K3424">
        <v>0</v>
      </c>
      <c r="L3424">
        <v>0</v>
      </c>
    </row>
    <row r="3425" spans="1:12">
      <c r="A3425" s="93">
        <v>238166</v>
      </c>
      <c r="B3425" t="s">
        <v>3919</v>
      </c>
      <c r="C3425" t="s">
        <v>5606</v>
      </c>
      <c r="D3425" s="92" t="s">
        <v>428</v>
      </c>
      <c r="E3425" s="92" t="s">
        <v>428</v>
      </c>
      <c r="F3425" t="s">
        <v>428</v>
      </c>
      <c r="G3425" t="s">
        <v>428</v>
      </c>
      <c r="H3425" t="s">
        <v>5616</v>
      </c>
      <c r="I3425">
        <v>0</v>
      </c>
      <c r="J3425" t="s">
        <v>87</v>
      </c>
      <c r="K3425">
        <v>0</v>
      </c>
      <c r="L3425">
        <v>0</v>
      </c>
    </row>
    <row r="3426" spans="1:12">
      <c r="A3426" s="93">
        <v>238175</v>
      </c>
      <c r="B3426" t="s">
        <v>3920</v>
      </c>
      <c r="C3426" t="s">
        <v>5606</v>
      </c>
      <c r="D3426" s="92" t="s">
        <v>428</v>
      </c>
      <c r="E3426" s="92" t="s">
        <v>428</v>
      </c>
      <c r="F3426" t="s">
        <v>428</v>
      </c>
      <c r="G3426" t="s">
        <v>428</v>
      </c>
      <c r="H3426" t="s">
        <v>5613</v>
      </c>
      <c r="I3426">
        <v>1</v>
      </c>
      <c r="J3426" t="s">
        <v>87</v>
      </c>
      <c r="K3426">
        <v>0</v>
      </c>
      <c r="L3426">
        <v>0</v>
      </c>
    </row>
    <row r="3427" spans="1:12">
      <c r="A3427" s="93">
        <v>238193</v>
      </c>
      <c r="B3427" t="s">
        <v>3921</v>
      </c>
      <c r="C3427" t="s">
        <v>5608</v>
      </c>
      <c r="D3427" s="92">
        <v>0.4</v>
      </c>
      <c r="E3427" s="92">
        <v>0.32</v>
      </c>
      <c r="F3427" t="s">
        <v>428</v>
      </c>
      <c r="G3427" t="s">
        <v>428</v>
      </c>
      <c r="H3427" t="s">
        <v>5617</v>
      </c>
      <c r="I3427">
        <v>0</v>
      </c>
      <c r="J3427" t="s">
        <v>87</v>
      </c>
      <c r="K3427">
        <v>0</v>
      </c>
      <c r="L3427">
        <v>0</v>
      </c>
    </row>
    <row r="3428" spans="1:12">
      <c r="A3428" s="93">
        <v>238263</v>
      </c>
      <c r="B3428" t="s">
        <v>3922</v>
      </c>
      <c r="C3428" t="s">
        <v>5604</v>
      </c>
      <c r="D3428" s="92" t="s">
        <v>428</v>
      </c>
      <c r="E3428" s="92" t="s">
        <v>428</v>
      </c>
      <c r="F3428" t="s">
        <v>428</v>
      </c>
      <c r="G3428" t="s">
        <v>428</v>
      </c>
      <c r="H3428" t="s">
        <v>5615</v>
      </c>
      <c r="I3428">
        <v>0</v>
      </c>
      <c r="J3428" t="s">
        <v>87</v>
      </c>
      <c r="K3428">
        <v>0</v>
      </c>
      <c r="L3428">
        <v>0</v>
      </c>
    </row>
    <row r="3429" spans="1:12">
      <c r="A3429" s="93">
        <v>238324</v>
      </c>
      <c r="B3429" t="s">
        <v>3923</v>
      </c>
      <c r="C3429" t="s">
        <v>5604</v>
      </c>
      <c r="D3429" s="92">
        <v>0.59</v>
      </c>
      <c r="E3429" s="92">
        <v>0</v>
      </c>
      <c r="F3429">
        <v>22</v>
      </c>
      <c r="G3429">
        <v>24</v>
      </c>
      <c r="H3429" t="s">
        <v>5615</v>
      </c>
      <c r="I3429">
        <v>0</v>
      </c>
      <c r="J3429" t="s">
        <v>87</v>
      </c>
      <c r="K3429">
        <v>0</v>
      </c>
      <c r="L3429">
        <v>0</v>
      </c>
    </row>
    <row r="3430" spans="1:12">
      <c r="A3430" s="93">
        <v>238333</v>
      </c>
      <c r="B3430" t="s">
        <v>486</v>
      </c>
      <c r="C3430" t="s">
        <v>5605</v>
      </c>
      <c r="D3430" s="92">
        <v>0.78</v>
      </c>
      <c r="E3430" s="92">
        <v>0.76</v>
      </c>
      <c r="F3430">
        <v>24</v>
      </c>
      <c r="G3430">
        <v>27</v>
      </c>
      <c r="H3430" t="s">
        <v>5616</v>
      </c>
      <c r="I3430">
        <v>0</v>
      </c>
      <c r="J3430" t="s">
        <v>87</v>
      </c>
      <c r="K3430">
        <v>0</v>
      </c>
      <c r="L3430">
        <v>0</v>
      </c>
    </row>
    <row r="3431" spans="1:12">
      <c r="A3431" s="93">
        <v>238397</v>
      </c>
      <c r="B3431" t="s">
        <v>3924</v>
      </c>
      <c r="C3431" t="s">
        <v>5606</v>
      </c>
      <c r="D3431" s="92" t="s">
        <v>428</v>
      </c>
      <c r="E3431" s="92" t="s">
        <v>428</v>
      </c>
      <c r="F3431" t="s">
        <v>428</v>
      </c>
      <c r="G3431" t="s">
        <v>428</v>
      </c>
      <c r="H3431" t="s">
        <v>5615</v>
      </c>
      <c r="I3431">
        <v>0</v>
      </c>
      <c r="J3431" t="s">
        <v>87</v>
      </c>
      <c r="K3431">
        <v>0</v>
      </c>
      <c r="L3431">
        <v>0</v>
      </c>
    </row>
    <row r="3432" spans="1:12">
      <c r="A3432" s="93">
        <v>238430</v>
      </c>
      <c r="B3432" t="s">
        <v>3925</v>
      </c>
      <c r="C3432" t="s">
        <v>5602</v>
      </c>
      <c r="D3432" s="92">
        <v>0.48</v>
      </c>
      <c r="E3432" s="92">
        <v>0.25</v>
      </c>
      <c r="F3432">
        <v>18</v>
      </c>
      <c r="G3432">
        <v>20</v>
      </c>
      <c r="H3432" t="s">
        <v>5616</v>
      </c>
      <c r="I3432">
        <v>0</v>
      </c>
      <c r="J3432" t="s">
        <v>87</v>
      </c>
      <c r="K3432">
        <v>0</v>
      </c>
      <c r="L3432">
        <v>0</v>
      </c>
    </row>
    <row r="3433" spans="1:12">
      <c r="A3433" s="93">
        <v>238458</v>
      </c>
      <c r="B3433" t="s">
        <v>3926</v>
      </c>
      <c r="C3433" t="s">
        <v>5602</v>
      </c>
      <c r="D3433" s="92">
        <v>0.61</v>
      </c>
      <c r="E3433" s="92">
        <v>0.41</v>
      </c>
      <c r="F3433">
        <v>21</v>
      </c>
      <c r="G3433">
        <v>23.5</v>
      </c>
      <c r="H3433" t="s">
        <v>5617</v>
      </c>
      <c r="I3433">
        <v>0</v>
      </c>
      <c r="J3433" t="s">
        <v>87</v>
      </c>
      <c r="K3433">
        <v>0</v>
      </c>
      <c r="L3433">
        <v>0</v>
      </c>
    </row>
    <row r="3434" spans="1:12">
      <c r="A3434" s="93">
        <v>238476</v>
      </c>
      <c r="B3434" t="s">
        <v>601</v>
      </c>
      <c r="C3434" t="s">
        <v>5602</v>
      </c>
      <c r="D3434" s="92">
        <v>0.61</v>
      </c>
      <c r="E3434" s="92">
        <v>0.47</v>
      </c>
      <c r="F3434">
        <v>21</v>
      </c>
      <c r="G3434">
        <v>24</v>
      </c>
      <c r="H3434" t="s">
        <v>5617</v>
      </c>
      <c r="I3434">
        <v>0</v>
      </c>
      <c r="J3434" t="s">
        <v>87</v>
      </c>
      <c r="K3434">
        <v>0</v>
      </c>
      <c r="L3434">
        <v>1</v>
      </c>
    </row>
    <row r="3435" spans="1:12">
      <c r="A3435" s="93">
        <v>238573</v>
      </c>
      <c r="B3435" t="s">
        <v>3927</v>
      </c>
      <c r="C3435" t="s">
        <v>5607</v>
      </c>
      <c r="D3435" s="92" t="s">
        <v>428</v>
      </c>
      <c r="E3435" s="92" t="s">
        <v>428</v>
      </c>
      <c r="F3435" t="s">
        <v>428</v>
      </c>
      <c r="G3435" t="s">
        <v>428</v>
      </c>
      <c r="H3435" t="s">
        <v>5615</v>
      </c>
      <c r="I3435">
        <v>0</v>
      </c>
      <c r="J3435" t="s">
        <v>87</v>
      </c>
      <c r="K3435">
        <v>0</v>
      </c>
      <c r="L3435">
        <v>0</v>
      </c>
    </row>
    <row r="3436" spans="1:12">
      <c r="A3436" s="93">
        <v>238616</v>
      </c>
      <c r="B3436" t="s">
        <v>3928</v>
      </c>
      <c r="C3436" t="s">
        <v>5602</v>
      </c>
      <c r="D3436" s="92">
        <v>0.58</v>
      </c>
      <c r="E3436" s="92">
        <v>0.29</v>
      </c>
      <c r="F3436">
        <v>21</v>
      </c>
      <c r="G3436">
        <v>24</v>
      </c>
      <c r="H3436" t="s">
        <v>5617</v>
      </c>
      <c r="I3436">
        <v>0</v>
      </c>
      <c r="J3436" t="s">
        <v>87</v>
      </c>
      <c r="K3436">
        <v>0</v>
      </c>
      <c r="L3436">
        <v>0</v>
      </c>
    </row>
    <row r="3437" spans="1:12">
      <c r="A3437" s="93">
        <v>238661</v>
      </c>
      <c r="B3437" t="s">
        <v>3929</v>
      </c>
      <c r="C3437" t="s">
        <v>5602</v>
      </c>
      <c r="D3437" s="92">
        <v>0.62</v>
      </c>
      <c r="E3437" s="92">
        <v>0.52</v>
      </c>
      <c r="F3437">
        <v>21</v>
      </c>
      <c r="G3437">
        <v>23</v>
      </c>
      <c r="H3437" t="s">
        <v>5617</v>
      </c>
      <c r="I3437">
        <v>0</v>
      </c>
      <c r="J3437" t="s">
        <v>87</v>
      </c>
      <c r="K3437">
        <v>0</v>
      </c>
      <c r="L3437">
        <v>0</v>
      </c>
    </row>
    <row r="3438" spans="1:12">
      <c r="A3438" s="93">
        <v>238722</v>
      </c>
      <c r="B3438" t="s">
        <v>3930</v>
      </c>
      <c r="C3438" t="s">
        <v>5606</v>
      </c>
      <c r="D3438" s="92" t="s">
        <v>428</v>
      </c>
      <c r="E3438" s="92" t="s">
        <v>428</v>
      </c>
      <c r="F3438" t="s">
        <v>428</v>
      </c>
      <c r="G3438" t="s">
        <v>428</v>
      </c>
      <c r="H3438" t="s">
        <v>5615</v>
      </c>
      <c r="I3438">
        <v>0</v>
      </c>
      <c r="J3438" t="s">
        <v>87</v>
      </c>
      <c r="K3438">
        <v>0</v>
      </c>
      <c r="L3438">
        <v>0</v>
      </c>
    </row>
    <row r="3439" spans="1:12">
      <c r="A3439" s="93">
        <v>238759</v>
      </c>
      <c r="B3439" t="s">
        <v>3931</v>
      </c>
      <c r="C3439" t="s">
        <v>5606</v>
      </c>
      <c r="D3439" s="92" t="s">
        <v>428</v>
      </c>
      <c r="E3439" s="92" t="s">
        <v>428</v>
      </c>
      <c r="F3439" t="s">
        <v>428</v>
      </c>
      <c r="G3439" t="s">
        <v>428</v>
      </c>
      <c r="H3439" t="s">
        <v>5615</v>
      </c>
      <c r="I3439">
        <v>0</v>
      </c>
      <c r="J3439" t="s">
        <v>87</v>
      </c>
      <c r="K3439">
        <v>0</v>
      </c>
      <c r="L3439">
        <v>1</v>
      </c>
    </row>
    <row r="3440" spans="1:12">
      <c r="A3440" s="93">
        <v>238786</v>
      </c>
      <c r="B3440" t="s">
        <v>3932</v>
      </c>
      <c r="C3440" t="s">
        <v>5606</v>
      </c>
      <c r="D3440" s="92" t="s">
        <v>428</v>
      </c>
      <c r="E3440" s="92" t="s">
        <v>428</v>
      </c>
      <c r="F3440" t="s">
        <v>428</v>
      </c>
      <c r="G3440" t="s">
        <v>428</v>
      </c>
      <c r="H3440" t="s">
        <v>5613</v>
      </c>
      <c r="I3440">
        <v>1</v>
      </c>
      <c r="J3440" t="s">
        <v>87</v>
      </c>
      <c r="K3440">
        <v>0</v>
      </c>
      <c r="L3440">
        <v>0</v>
      </c>
    </row>
    <row r="3441" spans="1:12">
      <c r="A3441" s="93">
        <v>238810</v>
      </c>
      <c r="B3441" t="s">
        <v>3933</v>
      </c>
      <c r="C3441" t="s">
        <v>5606</v>
      </c>
      <c r="D3441" s="92" t="s">
        <v>428</v>
      </c>
      <c r="E3441" s="92" t="s">
        <v>428</v>
      </c>
      <c r="F3441" t="s">
        <v>428</v>
      </c>
      <c r="G3441" t="s">
        <v>428</v>
      </c>
      <c r="H3441" t="s">
        <v>5616</v>
      </c>
      <c r="I3441">
        <v>0</v>
      </c>
      <c r="J3441" t="s">
        <v>87</v>
      </c>
      <c r="K3441">
        <v>0</v>
      </c>
      <c r="L3441">
        <v>0</v>
      </c>
    </row>
    <row r="3442" spans="1:12">
      <c r="A3442" s="93">
        <v>238892</v>
      </c>
      <c r="B3442" t="s">
        <v>3934</v>
      </c>
      <c r="C3442" t="s">
        <v>5607</v>
      </c>
      <c r="D3442" s="92">
        <v>0.67</v>
      </c>
      <c r="E3442" s="92" t="s">
        <v>428</v>
      </c>
      <c r="F3442" t="s">
        <v>428</v>
      </c>
      <c r="G3442" t="s">
        <v>428</v>
      </c>
      <c r="H3442" t="s">
        <v>5617</v>
      </c>
      <c r="I3442">
        <v>0</v>
      </c>
      <c r="J3442" t="s">
        <v>87</v>
      </c>
      <c r="K3442">
        <v>0</v>
      </c>
      <c r="L3442">
        <v>0</v>
      </c>
    </row>
    <row r="3443" spans="1:12">
      <c r="A3443" s="93">
        <v>238980</v>
      </c>
      <c r="B3443" t="s">
        <v>3935</v>
      </c>
      <c r="C3443" t="s">
        <v>5602</v>
      </c>
      <c r="D3443" s="92">
        <v>0.53</v>
      </c>
      <c r="E3443" s="92">
        <v>0.42</v>
      </c>
      <c r="F3443">
        <v>16</v>
      </c>
      <c r="G3443">
        <v>19</v>
      </c>
      <c r="H3443" t="s">
        <v>5617</v>
      </c>
      <c r="I3443">
        <v>0</v>
      </c>
      <c r="J3443" t="s">
        <v>87</v>
      </c>
      <c r="K3443">
        <v>0</v>
      </c>
      <c r="L3443">
        <v>0</v>
      </c>
    </row>
    <row r="3444" spans="1:12">
      <c r="A3444" s="93">
        <v>239008</v>
      </c>
      <c r="B3444" t="s">
        <v>3936</v>
      </c>
      <c r="C3444" t="s">
        <v>5606</v>
      </c>
      <c r="D3444" s="92" t="s">
        <v>428</v>
      </c>
      <c r="E3444" s="92" t="s">
        <v>428</v>
      </c>
      <c r="F3444" t="s">
        <v>428</v>
      </c>
      <c r="G3444" t="s">
        <v>428</v>
      </c>
      <c r="H3444" t="s">
        <v>5615</v>
      </c>
      <c r="I3444">
        <v>0</v>
      </c>
      <c r="J3444" t="s">
        <v>87</v>
      </c>
      <c r="K3444">
        <v>0</v>
      </c>
      <c r="L3444">
        <v>0</v>
      </c>
    </row>
    <row r="3445" spans="1:12">
      <c r="A3445" s="93">
        <v>239017</v>
      </c>
      <c r="B3445" t="s">
        <v>3937</v>
      </c>
      <c r="C3445" t="s">
        <v>5605</v>
      </c>
      <c r="D3445" s="92">
        <v>0.78</v>
      </c>
      <c r="E3445" s="92">
        <v>0.7</v>
      </c>
      <c r="F3445">
        <v>26</v>
      </c>
      <c r="G3445">
        <v>28.5</v>
      </c>
      <c r="H3445" t="s">
        <v>5622</v>
      </c>
      <c r="I3445">
        <v>0</v>
      </c>
      <c r="J3445" t="s">
        <v>87</v>
      </c>
      <c r="K3445">
        <v>0</v>
      </c>
      <c r="L3445">
        <v>0</v>
      </c>
    </row>
    <row r="3446" spans="1:12">
      <c r="A3446" s="93">
        <v>239071</v>
      </c>
      <c r="B3446" t="s">
        <v>3938</v>
      </c>
      <c r="C3446" t="s">
        <v>5607</v>
      </c>
      <c r="D3446" s="92">
        <v>0.46</v>
      </c>
      <c r="E3446" s="92">
        <v>0.14</v>
      </c>
      <c r="F3446" t="s">
        <v>428</v>
      </c>
      <c r="G3446" t="s">
        <v>428</v>
      </c>
      <c r="H3446" t="s">
        <v>5617</v>
      </c>
      <c r="I3446">
        <v>0</v>
      </c>
      <c r="J3446" t="s">
        <v>87</v>
      </c>
      <c r="K3446">
        <v>0</v>
      </c>
      <c r="L3446">
        <v>0</v>
      </c>
    </row>
    <row r="3447" spans="1:12">
      <c r="A3447" s="93">
        <v>239080</v>
      </c>
      <c r="B3447" t="s">
        <v>551</v>
      </c>
      <c r="C3447" t="s">
        <v>5608</v>
      </c>
      <c r="D3447" s="92">
        <v>0.47</v>
      </c>
      <c r="E3447" s="92">
        <v>0.2</v>
      </c>
      <c r="F3447">
        <v>17</v>
      </c>
      <c r="G3447">
        <v>20</v>
      </c>
      <c r="H3447" t="s">
        <v>5617</v>
      </c>
      <c r="I3447">
        <v>0</v>
      </c>
      <c r="J3447" t="s">
        <v>87</v>
      </c>
      <c r="K3447">
        <v>0</v>
      </c>
      <c r="L3447">
        <v>0</v>
      </c>
    </row>
    <row r="3448" spans="1:12">
      <c r="A3448" s="93">
        <v>239105</v>
      </c>
      <c r="B3448" t="s">
        <v>3939</v>
      </c>
      <c r="C3448" t="s">
        <v>5603</v>
      </c>
      <c r="D3448" s="92">
        <v>0.8100000000000001</v>
      </c>
      <c r="E3448" s="92">
        <v>0.68</v>
      </c>
      <c r="F3448">
        <v>24</v>
      </c>
      <c r="G3448">
        <v>26.5</v>
      </c>
      <c r="H3448" t="s">
        <v>5626</v>
      </c>
      <c r="I3448">
        <v>0</v>
      </c>
      <c r="J3448" t="s">
        <v>87</v>
      </c>
      <c r="K3448">
        <v>0</v>
      </c>
      <c r="L3448">
        <v>0</v>
      </c>
    </row>
    <row r="3449" spans="1:12">
      <c r="A3449" s="93">
        <v>239169</v>
      </c>
      <c r="B3449" t="s">
        <v>3940</v>
      </c>
      <c r="C3449" t="s">
        <v>5607</v>
      </c>
      <c r="D3449" s="92" t="s">
        <v>428</v>
      </c>
      <c r="E3449" s="92" t="s">
        <v>428</v>
      </c>
      <c r="F3449" t="s">
        <v>428</v>
      </c>
      <c r="G3449" t="s">
        <v>428</v>
      </c>
      <c r="H3449" t="s">
        <v>5615</v>
      </c>
      <c r="I3449">
        <v>0</v>
      </c>
      <c r="J3449" t="s">
        <v>87</v>
      </c>
      <c r="K3449">
        <v>0</v>
      </c>
      <c r="L3449">
        <v>0</v>
      </c>
    </row>
    <row r="3450" spans="1:12">
      <c r="A3450" s="93">
        <v>239220</v>
      </c>
      <c r="B3450" t="s">
        <v>3941</v>
      </c>
      <c r="C3450" t="s">
        <v>5606</v>
      </c>
      <c r="D3450" s="92" t="s">
        <v>428</v>
      </c>
      <c r="E3450" s="92" t="s">
        <v>428</v>
      </c>
      <c r="F3450" t="s">
        <v>428</v>
      </c>
      <c r="G3450" t="s">
        <v>428</v>
      </c>
      <c r="H3450" t="s">
        <v>5615</v>
      </c>
      <c r="I3450">
        <v>0</v>
      </c>
      <c r="J3450" t="s">
        <v>87</v>
      </c>
      <c r="K3450">
        <v>0</v>
      </c>
      <c r="L3450">
        <v>0</v>
      </c>
    </row>
    <row r="3451" spans="1:12">
      <c r="A3451" s="93">
        <v>239248</v>
      </c>
      <c r="B3451" t="s">
        <v>3942</v>
      </c>
      <c r="C3451" t="s">
        <v>5606</v>
      </c>
      <c r="D3451" s="92">
        <v>0.23</v>
      </c>
      <c r="E3451" s="92">
        <v>0.18</v>
      </c>
      <c r="F3451" t="s">
        <v>428</v>
      </c>
      <c r="G3451" t="s">
        <v>428</v>
      </c>
      <c r="H3451" t="s">
        <v>5615</v>
      </c>
      <c r="I3451">
        <v>0</v>
      </c>
      <c r="J3451" t="s">
        <v>87</v>
      </c>
      <c r="K3451">
        <v>0</v>
      </c>
      <c r="L3451">
        <v>0</v>
      </c>
    </row>
    <row r="3452" spans="1:12">
      <c r="A3452" s="93">
        <v>239309</v>
      </c>
      <c r="B3452" t="s">
        <v>3943</v>
      </c>
      <c r="C3452" t="s">
        <v>5610</v>
      </c>
      <c r="D3452" s="92">
        <v>0.5600000000000001</v>
      </c>
      <c r="E3452" s="92">
        <v>0.41</v>
      </c>
      <c r="F3452" t="s">
        <v>428</v>
      </c>
      <c r="G3452" t="s">
        <v>428</v>
      </c>
      <c r="H3452" t="s">
        <v>5617</v>
      </c>
      <c r="I3452">
        <v>0</v>
      </c>
      <c r="J3452" t="s">
        <v>87</v>
      </c>
      <c r="K3452">
        <v>0</v>
      </c>
      <c r="L3452">
        <v>0</v>
      </c>
    </row>
    <row r="3453" spans="1:12">
      <c r="A3453" s="93">
        <v>239318</v>
      </c>
      <c r="B3453" t="s">
        <v>3944</v>
      </c>
      <c r="C3453" t="s">
        <v>5605</v>
      </c>
      <c r="D3453" s="92">
        <v>0.61</v>
      </c>
      <c r="E3453" s="92">
        <v>0.4</v>
      </c>
      <c r="F3453">
        <v>25</v>
      </c>
      <c r="G3453">
        <v>27.5</v>
      </c>
      <c r="H3453" t="s">
        <v>5617</v>
      </c>
      <c r="I3453">
        <v>0</v>
      </c>
      <c r="J3453" t="s">
        <v>87</v>
      </c>
      <c r="K3453">
        <v>0</v>
      </c>
      <c r="L3453">
        <v>0</v>
      </c>
    </row>
    <row r="3454" spans="1:12">
      <c r="A3454" s="93">
        <v>239372</v>
      </c>
      <c r="B3454" t="s">
        <v>3945</v>
      </c>
      <c r="C3454" t="s">
        <v>5606</v>
      </c>
      <c r="D3454" s="92" t="s">
        <v>428</v>
      </c>
      <c r="E3454" s="92" t="s">
        <v>428</v>
      </c>
      <c r="F3454" t="s">
        <v>428</v>
      </c>
      <c r="G3454" t="s">
        <v>428</v>
      </c>
      <c r="H3454" t="s">
        <v>5615</v>
      </c>
      <c r="I3454">
        <v>0</v>
      </c>
      <c r="J3454" t="s">
        <v>87</v>
      </c>
      <c r="K3454">
        <v>0</v>
      </c>
      <c r="L3454">
        <v>0</v>
      </c>
    </row>
    <row r="3455" spans="1:12">
      <c r="A3455" s="93">
        <v>239390</v>
      </c>
      <c r="B3455" t="s">
        <v>3946</v>
      </c>
      <c r="C3455" t="s">
        <v>5608</v>
      </c>
      <c r="D3455" s="92">
        <v>0.46</v>
      </c>
      <c r="E3455" s="92">
        <v>0.41</v>
      </c>
      <c r="F3455">
        <v>18</v>
      </c>
      <c r="G3455">
        <v>20.5</v>
      </c>
      <c r="H3455" t="s">
        <v>5616</v>
      </c>
      <c r="I3455">
        <v>0</v>
      </c>
      <c r="J3455" t="s">
        <v>87</v>
      </c>
      <c r="K3455">
        <v>0</v>
      </c>
      <c r="L3455">
        <v>0</v>
      </c>
    </row>
    <row r="3456" spans="1:12">
      <c r="A3456" s="93">
        <v>239424</v>
      </c>
      <c r="B3456" t="s">
        <v>3947</v>
      </c>
      <c r="C3456" t="s">
        <v>5607</v>
      </c>
      <c r="D3456" s="92" t="s">
        <v>428</v>
      </c>
      <c r="E3456" s="92" t="s">
        <v>428</v>
      </c>
      <c r="F3456" t="s">
        <v>428</v>
      </c>
      <c r="G3456" t="s">
        <v>428</v>
      </c>
      <c r="H3456" t="s">
        <v>5615</v>
      </c>
      <c r="I3456">
        <v>0</v>
      </c>
      <c r="J3456" t="s">
        <v>87</v>
      </c>
      <c r="K3456">
        <v>0</v>
      </c>
      <c r="L3456">
        <v>0</v>
      </c>
    </row>
    <row r="3457" spans="1:12">
      <c r="A3457" s="93">
        <v>239442</v>
      </c>
      <c r="B3457" t="s">
        <v>3948</v>
      </c>
      <c r="C3457" t="s">
        <v>5606</v>
      </c>
      <c r="D3457" s="92">
        <v>0.43</v>
      </c>
      <c r="E3457" s="92">
        <v>0.5</v>
      </c>
      <c r="F3457" t="s">
        <v>428</v>
      </c>
      <c r="G3457" t="s">
        <v>428</v>
      </c>
      <c r="H3457" t="s">
        <v>5615</v>
      </c>
      <c r="I3457">
        <v>0</v>
      </c>
      <c r="J3457" t="s">
        <v>87</v>
      </c>
      <c r="K3457">
        <v>0</v>
      </c>
      <c r="L3457">
        <v>0</v>
      </c>
    </row>
    <row r="3458" spans="1:12">
      <c r="A3458" s="93">
        <v>239460</v>
      </c>
      <c r="B3458" t="s">
        <v>3949</v>
      </c>
      <c r="C3458" t="s">
        <v>5606</v>
      </c>
      <c r="D3458" s="92">
        <v>0.37</v>
      </c>
      <c r="E3458" s="92">
        <v>0.27</v>
      </c>
      <c r="F3458" t="s">
        <v>428</v>
      </c>
      <c r="G3458" t="s">
        <v>428</v>
      </c>
      <c r="H3458" t="s">
        <v>5615</v>
      </c>
      <c r="I3458">
        <v>0</v>
      </c>
      <c r="J3458" t="s">
        <v>87</v>
      </c>
      <c r="K3458">
        <v>0</v>
      </c>
      <c r="L3458">
        <v>0</v>
      </c>
    </row>
    <row r="3459" spans="1:12">
      <c r="A3459" s="93">
        <v>239488</v>
      </c>
      <c r="B3459" t="s">
        <v>3950</v>
      </c>
      <c r="C3459" t="s">
        <v>5606</v>
      </c>
      <c r="D3459" s="92" t="s">
        <v>428</v>
      </c>
      <c r="E3459" s="92" t="s">
        <v>428</v>
      </c>
      <c r="F3459" t="s">
        <v>428</v>
      </c>
      <c r="G3459" t="s">
        <v>428</v>
      </c>
      <c r="H3459" t="s">
        <v>5615</v>
      </c>
      <c r="I3459">
        <v>0</v>
      </c>
      <c r="J3459" t="s">
        <v>87</v>
      </c>
      <c r="K3459">
        <v>0</v>
      </c>
      <c r="L3459">
        <v>0</v>
      </c>
    </row>
    <row r="3460" spans="1:12">
      <c r="A3460" s="93">
        <v>239512</v>
      </c>
      <c r="B3460" t="s">
        <v>3951</v>
      </c>
      <c r="C3460" t="s">
        <v>5602</v>
      </c>
      <c r="D3460" s="92">
        <v>0.51</v>
      </c>
      <c r="E3460" s="92">
        <v>0.47</v>
      </c>
      <c r="F3460" t="s">
        <v>428</v>
      </c>
      <c r="G3460" t="s">
        <v>428</v>
      </c>
      <c r="H3460" t="s">
        <v>5616</v>
      </c>
      <c r="I3460">
        <v>0</v>
      </c>
      <c r="J3460" t="s">
        <v>87</v>
      </c>
      <c r="K3460">
        <v>0</v>
      </c>
      <c r="L3460">
        <v>0</v>
      </c>
    </row>
    <row r="3461" spans="1:12">
      <c r="A3461" s="93">
        <v>239628</v>
      </c>
      <c r="B3461" t="s">
        <v>519</v>
      </c>
      <c r="C3461" t="s">
        <v>5602</v>
      </c>
      <c r="D3461" s="92">
        <v>0.68</v>
      </c>
      <c r="E3461" s="92">
        <v>0.58</v>
      </c>
      <c r="F3461">
        <v>21</v>
      </c>
      <c r="G3461">
        <v>23.5</v>
      </c>
      <c r="H3461" t="s">
        <v>5616</v>
      </c>
      <c r="I3461">
        <v>0</v>
      </c>
      <c r="J3461" t="s">
        <v>87</v>
      </c>
      <c r="K3461">
        <v>0</v>
      </c>
      <c r="L3461">
        <v>0</v>
      </c>
    </row>
    <row r="3462" spans="1:12">
      <c r="A3462" s="93">
        <v>239637</v>
      </c>
      <c r="B3462" t="s">
        <v>3952</v>
      </c>
      <c r="C3462" t="s">
        <v>5607</v>
      </c>
      <c r="D3462" s="92" t="s">
        <v>428</v>
      </c>
      <c r="E3462" s="92" t="s">
        <v>428</v>
      </c>
      <c r="F3462" t="s">
        <v>428</v>
      </c>
      <c r="G3462" t="s">
        <v>428</v>
      </c>
      <c r="H3462" t="s">
        <v>5615</v>
      </c>
      <c r="I3462">
        <v>0</v>
      </c>
      <c r="J3462" t="s">
        <v>87</v>
      </c>
      <c r="K3462">
        <v>0</v>
      </c>
      <c r="L3462">
        <v>0</v>
      </c>
    </row>
    <row r="3463" spans="1:12">
      <c r="A3463" s="93">
        <v>239716</v>
      </c>
      <c r="B3463" t="s">
        <v>3953</v>
      </c>
      <c r="C3463" t="s">
        <v>5603</v>
      </c>
      <c r="D3463" s="92">
        <v>0.72</v>
      </c>
      <c r="E3463" s="92">
        <v>0.5</v>
      </c>
      <c r="F3463">
        <v>22</v>
      </c>
      <c r="G3463">
        <v>24.5</v>
      </c>
      <c r="H3463" t="s">
        <v>5616</v>
      </c>
      <c r="I3463">
        <v>0</v>
      </c>
      <c r="J3463" t="s">
        <v>87</v>
      </c>
      <c r="K3463">
        <v>0</v>
      </c>
      <c r="L3463">
        <v>0</v>
      </c>
    </row>
    <row r="3464" spans="1:12">
      <c r="A3464" s="93">
        <v>239743</v>
      </c>
      <c r="B3464" t="s">
        <v>3954</v>
      </c>
      <c r="C3464" t="s">
        <v>5608</v>
      </c>
      <c r="D3464" s="92">
        <v>0.41</v>
      </c>
      <c r="E3464" s="92">
        <v>0.31</v>
      </c>
      <c r="F3464" t="s">
        <v>428</v>
      </c>
      <c r="G3464" t="s">
        <v>428</v>
      </c>
      <c r="H3464" t="s">
        <v>5617</v>
      </c>
      <c r="I3464">
        <v>0</v>
      </c>
      <c r="J3464" t="s">
        <v>87</v>
      </c>
      <c r="K3464">
        <v>0</v>
      </c>
      <c r="L3464">
        <v>0</v>
      </c>
    </row>
    <row r="3465" spans="1:12">
      <c r="A3465" s="93">
        <v>239910</v>
      </c>
      <c r="B3465" t="s">
        <v>3955</v>
      </c>
      <c r="C3465" t="s">
        <v>5606</v>
      </c>
      <c r="D3465" s="92" t="s">
        <v>428</v>
      </c>
      <c r="E3465" s="92" t="s">
        <v>428</v>
      </c>
      <c r="F3465" t="s">
        <v>428</v>
      </c>
      <c r="G3465" t="s">
        <v>428</v>
      </c>
      <c r="H3465" t="s">
        <v>5615</v>
      </c>
      <c r="I3465">
        <v>0</v>
      </c>
      <c r="J3465" t="s">
        <v>87</v>
      </c>
      <c r="K3465">
        <v>0</v>
      </c>
      <c r="L3465">
        <v>0</v>
      </c>
    </row>
    <row r="3466" spans="1:12">
      <c r="A3466" s="93">
        <v>239929</v>
      </c>
      <c r="B3466" t="s">
        <v>3956</v>
      </c>
      <c r="C3466" t="s">
        <v>5604</v>
      </c>
      <c r="D3466" s="92" t="s">
        <v>428</v>
      </c>
      <c r="E3466" s="92" t="s">
        <v>428</v>
      </c>
      <c r="F3466" t="s">
        <v>428</v>
      </c>
      <c r="G3466" t="s">
        <v>428</v>
      </c>
      <c r="H3466" t="s">
        <v>5617</v>
      </c>
      <c r="I3466">
        <v>0</v>
      </c>
      <c r="J3466" t="s">
        <v>87</v>
      </c>
      <c r="K3466">
        <v>0</v>
      </c>
      <c r="L3466">
        <v>0</v>
      </c>
    </row>
    <row r="3467" spans="1:12">
      <c r="A3467" s="93">
        <v>240055</v>
      </c>
      <c r="B3467" t="s">
        <v>3957</v>
      </c>
      <c r="C3467" t="s">
        <v>5608</v>
      </c>
      <c r="D3467" s="92">
        <v>0.23</v>
      </c>
      <c r="E3467" s="92">
        <v>0.15</v>
      </c>
      <c r="F3467">
        <v>18</v>
      </c>
      <c r="G3467">
        <v>20.5</v>
      </c>
      <c r="H3467" t="s">
        <v>5615</v>
      </c>
      <c r="I3467">
        <v>0</v>
      </c>
      <c r="J3467" t="s">
        <v>87</v>
      </c>
      <c r="K3467">
        <v>0</v>
      </c>
      <c r="L3467">
        <v>0</v>
      </c>
    </row>
    <row r="3468" spans="1:12">
      <c r="A3468" s="93">
        <v>240107</v>
      </c>
      <c r="B3468" t="s">
        <v>3958</v>
      </c>
      <c r="C3468" t="s">
        <v>5602</v>
      </c>
      <c r="D3468" s="92">
        <v>0.49</v>
      </c>
      <c r="E3468" s="92">
        <v>0.34</v>
      </c>
      <c r="F3468">
        <v>20</v>
      </c>
      <c r="G3468">
        <v>23</v>
      </c>
      <c r="H3468" t="s">
        <v>5616</v>
      </c>
      <c r="I3468">
        <v>0</v>
      </c>
      <c r="J3468" t="s">
        <v>87</v>
      </c>
      <c r="K3468">
        <v>0</v>
      </c>
      <c r="L3468">
        <v>0</v>
      </c>
    </row>
    <row r="3469" spans="1:12">
      <c r="A3469" s="93">
        <v>240116</v>
      </c>
      <c r="B3469" t="s">
        <v>3959</v>
      </c>
      <c r="C3469" t="s">
        <v>5606</v>
      </c>
      <c r="D3469" s="92">
        <v>0.42</v>
      </c>
      <c r="E3469" s="92">
        <v>0.22</v>
      </c>
      <c r="F3469" t="s">
        <v>428</v>
      </c>
      <c r="G3469" t="s">
        <v>428</v>
      </c>
      <c r="H3469" t="s">
        <v>5615</v>
      </c>
      <c r="I3469">
        <v>0</v>
      </c>
      <c r="J3469" t="s">
        <v>87</v>
      </c>
      <c r="K3469">
        <v>0</v>
      </c>
      <c r="L3469">
        <v>0</v>
      </c>
    </row>
    <row r="3470" spans="1:12">
      <c r="A3470" s="93">
        <v>240125</v>
      </c>
      <c r="B3470" t="s">
        <v>3960</v>
      </c>
      <c r="C3470" t="s">
        <v>5606</v>
      </c>
      <c r="D3470" s="92">
        <v>0.4</v>
      </c>
      <c r="E3470" s="92">
        <v>0.27</v>
      </c>
      <c r="F3470" t="s">
        <v>428</v>
      </c>
      <c r="G3470" t="s">
        <v>428</v>
      </c>
      <c r="H3470" t="s">
        <v>5615</v>
      </c>
      <c r="I3470">
        <v>0</v>
      </c>
      <c r="J3470" t="s">
        <v>87</v>
      </c>
      <c r="K3470">
        <v>0</v>
      </c>
      <c r="L3470">
        <v>0</v>
      </c>
    </row>
    <row r="3471" spans="1:12">
      <c r="A3471" s="93">
        <v>240170</v>
      </c>
      <c r="B3471" t="s">
        <v>3586</v>
      </c>
      <c r="C3471" t="s">
        <v>5606</v>
      </c>
      <c r="D3471" s="92">
        <v>0.43</v>
      </c>
      <c r="E3471" s="92">
        <v>0.23</v>
      </c>
      <c r="F3471" t="s">
        <v>428</v>
      </c>
      <c r="G3471" t="s">
        <v>428</v>
      </c>
      <c r="H3471" t="s">
        <v>5615</v>
      </c>
      <c r="I3471">
        <v>0</v>
      </c>
      <c r="J3471" t="s">
        <v>87</v>
      </c>
      <c r="K3471">
        <v>0</v>
      </c>
      <c r="L3471">
        <v>0</v>
      </c>
    </row>
    <row r="3472" spans="1:12">
      <c r="A3472" s="93">
        <v>240189</v>
      </c>
      <c r="B3472" t="s">
        <v>3961</v>
      </c>
      <c r="C3472" t="s">
        <v>5602</v>
      </c>
      <c r="D3472" s="92">
        <v>0.57</v>
      </c>
      <c r="E3472" s="92">
        <v>0.36</v>
      </c>
      <c r="F3472">
        <v>20</v>
      </c>
      <c r="G3472">
        <v>22.5</v>
      </c>
      <c r="H3472" t="s">
        <v>5615</v>
      </c>
      <c r="I3472">
        <v>0</v>
      </c>
      <c r="J3472" t="s">
        <v>87</v>
      </c>
      <c r="K3472">
        <v>0</v>
      </c>
      <c r="L3472">
        <v>0</v>
      </c>
    </row>
    <row r="3473" spans="1:12">
      <c r="A3473" s="93">
        <v>240198</v>
      </c>
      <c r="B3473" t="s">
        <v>3962</v>
      </c>
      <c r="C3473" t="s">
        <v>5606</v>
      </c>
      <c r="D3473" s="92" t="s">
        <v>428</v>
      </c>
      <c r="E3473" s="92" t="s">
        <v>428</v>
      </c>
      <c r="F3473" t="s">
        <v>428</v>
      </c>
      <c r="G3473" t="s">
        <v>428</v>
      </c>
      <c r="H3473" t="s">
        <v>5615</v>
      </c>
      <c r="I3473">
        <v>0</v>
      </c>
      <c r="J3473" t="s">
        <v>87</v>
      </c>
      <c r="K3473">
        <v>0</v>
      </c>
      <c r="L3473">
        <v>0</v>
      </c>
    </row>
    <row r="3474" spans="1:12">
      <c r="A3474" s="93">
        <v>240213</v>
      </c>
      <c r="B3474" t="s">
        <v>3963</v>
      </c>
      <c r="C3474" t="s">
        <v>5607</v>
      </c>
      <c r="D3474" s="92" t="s">
        <v>428</v>
      </c>
      <c r="E3474" s="92" t="s">
        <v>428</v>
      </c>
      <c r="F3474" t="s">
        <v>428</v>
      </c>
      <c r="G3474" t="s">
        <v>428</v>
      </c>
      <c r="H3474" t="s">
        <v>5615</v>
      </c>
      <c r="I3474">
        <v>0</v>
      </c>
      <c r="J3474" t="s">
        <v>87</v>
      </c>
      <c r="K3474">
        <v>0</v>
      </c>
      <c r="L3474">
        <v>0</v>
      </c>
    </row>
    <row r="3475" spans="1:12">
      <c r="A3475" s="93">
        <v>240268</v>
      </c>
      <c r="B3475" t="s">
        <v>3964</v>
      </c>
      <c r="C3475" t="s">
        <v>5603</v>
      </c>
      <c r="D3475" s="92">
        <v>0.67</v>
      </c>
      <c r="E3475" s="92">
        <v>0.55</v>
      </c>
      <c r="F3475">
        <v>22</v>
      </c>
      <c r="G3475">
        <v>24</v>
      </c>
      <c r="H3475" t="s">
        <v>5615</v>
      </c>
      <c r="I3475">
        <v>0</v>
      </c>
      <c r="J3475" t="s">
        <v>87</v>
      </c>
      <c r="K3475">
        <v>0</v>
      </c>
      <c r="L3475">
        <v>0</v>
      </c>
    </row>
    <row r="3476" spans="1:12">
      <c r="A3476" s="93">
        <v>240277</v>
      </c>
      <c r="B3476" t="s">
        <v>3965</v>
      </c>
      <c r="C3476" t="s">
        <v>5602</v>
      </c>
      <c r="D3476" s="92">
        <v>0.48</v>
      </c>
      <c r="E3476" s="92">
        <v>0.38</v>
      </c>
      <c r="F3476">
        <v>20</v>
      </c>
      <c r="G3476">
        <v>22.5</v>
      </c>
      <c r="H3476" t="s">
        <v>5615</v>
      </c>
      <c r="I3476">
        <v>0</v>
      </c>
      <c r="J3476" t="s">
        <v>87</v>
      </c>
      <c r="K3476">
        <v>0</v>
      </c>
      <c r="L3476">
        <v>0</v>
      </c>
    </row>
    <row r="3477" spans="1:12">
      <c r="A3477" s="93">
        <v>240329</v>
      </c>
      <c r="B3477" t="s">
        <v>3966</v>
      </c>
      <c r="C3477" t="s">
        <v>5602</v>
      </c>
      <c r="D3477" s="92">
        <v>0.68</v>
      </c>
      <c r="E3477" s="92">
        <v>0.55</v>
      </c>
      <c r="F3477">
        <v>23</v>
      </c>
      <c r="G3477">
        <v>25</v>
      </c>
      <c r="H3477" t="s">
        <v>5624</v>
      </c>
      <c r="I3477">
        <v>1</v>
      </c>
      <c r="J3477" t="s">
        <v>87</v>
      </c>
      <c r="K3477">
        <v>0</v>
      </c>
      <c r="L3477">
        <v>0</v>
      </c>
    </row>
    <row r="3478" spans="1:12">
      <c r="A3478" s="93">
        <v>240338</v>
      </c>
      <c r="B3478" t="s">
        <v>3967</v>
      </c>
      <c r="C3478" t="s">
        <v>5603</v>
      </c>
      <c r="D3478" s="92">
        <v>0.62</v>
      </c>
      <c r="E3478" s="92">
        <v>0.32</v>
      </c>
      <c r="F3478">
        <v>21</v>
      </c>
      <c r="G3478">
        <v>24</v>
      </c>
      <c r="H3478" t="s">
        <v>5617</v>
      </c>
      <c r="I3478">
        <v>0</v>
      </c>
      <c r="J3478" t="s">
        <v>87</v>
      </c>
      <c r="K3478">
        <v>0</v>
      </c>
      <c r="L3478">
        <v>0</v>
      </c>
    </row>
    <row r="3479" spans="1:12">
      <c r="A3479" s="93">
        <v>240365</v>
      </c>
      <c r="B3479" t="s">
        <v>3968</v>
      </c>
      <c r="C3479" t="s">
        <v>5602</v>
      </c>
      <c r="D3479" s="92">
        <v>0.53</v>
      </c>
      <c r="E3479" s="92">
        <v>0.27</v>
      </c>
      <c r="F3479">
        <v>20</v>
      </c>
      <c r="G3479">
        <v>22</v>
      </c>
      <c r="H3479" t="s">
        <v>5615</v>
      </c>
      <c r="I3479">
        <v>0</v>
      </c>
      <c r="J3479" t="s">
        <v>87</v>
      </c>
      <c r="K3479">
        <v>0</v>
      </c>
      <c r="L3479">
        <v>0</v>
      </c>
    </row>
    <row r="3480" spans="1:12">
      <c r="A3480" s="93">
        <v>240374</v>
      </c>
      <c r="B3480" t="s">
        <v>3969</v>
      </c>
      <c r="C3480" t="s">
        <v>5602</v>
      </c>
      <c r="D3480" s="92">
        <v>0.3</v>
      </c>
      <c r="E3480" s="92">
        <v>0.23</v>
      </c>
      <c r="F3480">
        <v>18</v>
      </c>
      <c r="G3480">
        <v>20.5</v>
      </c>
      <c r="H3480" t="s">
        <v>5616</v>
      </c>
      <c r="I3480">
        <v>0</v>
      </c>
      <c r="J3480" t="s">
        <v>87</v>
      </c>
      <c r="K3480">
        <v>0</v>
      </c>
      <c r="L3480">
        <v>1</v>
      </c>
    </row>
    <row r="3481" spans="1:12">
      <c r="A3481" s="93">
        <v>240392</v>
      </c>
      <c r="B3481" t="s">
        <v>3970</v>
      </c>
      <c r="C3481" t="s">
        <v>5607</v>
      </c>
      <c r="D3481" s="92">
        <v>0.33</v>
      </c>
      <c r="E3481" s="92">
        <v>0.16</v>
      </c>
      <c r="F3481" t="s">
        <v>428</v>
      </c>
      <c r="G3481" t="s">
        <v>428</v>
      </c>
      <c r="H3481" t="s">
        <v>5617</v>
      </c>
      <c r="I3481">
        <v>0</v>
      </c>
      <c r="J3481" t="s">
        <v>87</v>
      </c>
      <c r="K3481">
        <v>0</v>
      </c>
      <c r="L3481">
        <v>0</v>
      </c>
    </row>
    <row r="3482" spans="1:12">
      <c r="A3482" s="93">
        <v>240417</v>
      </c>
      <c r="B3482" t="s">
        <v>3971</v>
      </c>
      <c r="C3482" t="s">
        <v>5602</v>
      </c>
      <c r="D3482" s="92">
        <v>0.55</v>
      </c>
      <c r="E3482" s="92">
        <v>0.39</v>
      </c>
      <c r="F3482">
        <v>19</v>
      </c>
      <c r="G3482">
        <v>22</v>
      </c>
      <c r="H3482" t="s">
        <v>5615</v>
      </c>
      <c r="I3482">
        <v>0</v>
      </c>
      <c r="J3482" t="s">
        <v>87</v>
      </c>
      <c r="K3482">
        <v>0</v>
      </c>
      <c r="L3482">
        <v>0</v>
      </c>
    </row>
    <row r="3483" spans="1:12">
      <c r="A3483" s="93">
        <v>240426</v>
      </c>
      <c r="B3483" t="s">
        <v>3972</v>
      </c>
      <c r="C3483" t="s">
        <v>5602</v>
      </c>
      <c r="D3483" s="92">
        <v>0.42</v>
      </c>
      <c r="E3483" s="92">
        <v>0.43</v>
      </c>
      <c r="F3483">
        <v>19</v>
      </c>
      <c r="G3483">
        <v>21.5</v>
      </c>
      <c r="H3483" t="s">
        <v>5615</v>
      </c>
      <c r="I3483">
        <v>0</v>
      </c>
      <c r="J3483" t="s">
        <v>87</v>
      </c>
      <c r="K3483">
        <v>0</v>
      </c>
      <c r="L3483">
        <v>0</v>
      </c>
    </row>
    <row r="3484" spans="1:12">
      <c r="A3484" s="93">
        <v>240444</v>
      </c>
      <c r="B3484" t="s">
        <v>3973</v>
      </c>
      <c r="C3484" t="s">
        <v>5612</v>
      </c>
      <c r="D3484" s="92">
        <v>0.85</v>
      </c>
      <c r="E3484" s="92">
        <v>0.77</v>
      </c>
      <c r="F3484">
        <v>27</v>
      </c>
      <c r="G3484">
        <v>29</v>
      </c>
      <c r="H3484" t="s">
        <v>5613</v>
      </c>
      <c r="I3484">
        <v>1</v>
      </c>
      <c r="J3484" t="s">
        <v>87</v>
      </c>
      <c r="K3484">
        <v>0</v>
      </c>
      <c r="L3484">
        <v>0</v>
      </c>
    </row>
    <row r="3485" spans="1:12">
      <c r="A3485" s="93">
        <v>240453</v>
      </c>
      <c r="B3485" t="s">
        <v>3974</v>
      </c>
      <c r="C3485" t="s">
        <v>5602</v>
      </c>
      <c r="D3485" s="92">
        <v>0.4</v>
      </c>
      <c r="E3485" s="92">
        <v>0.26</v>
      </c>
      <c r="F3485">
        <v>20</v>
      </c>
      <c r="G3485">
        <v>22.5</v>
      </c>
      <c r="H3485" t="s">
        <v>5616</v>
      </c>
      <c r="I3485">
        <v>0</v>
      </c>
      <c r="J3485" t="s">
        <v>87</v>
      </c>
      <c r="K3485">
        <v>0</v>
      </c>
      <c r="L3485">
        <v>0</v>
      </c>
    </row>
    <row r="3486" spans="1:12">
      <c r="A3486" s="93">
        <v>240462</v>
      </c>
      <c r="B3486" t="s">
        <v>3975</v>
      </c>
      <c r="C3486" t="s">
        <v>5603</v>
      </c>
      <c r="D3486" s="92">
        <v>0.53</v>
      </c>
      <c r="E3486" s="92">
        <v>0.25</v>
      </c>
      <c r="F3486">
        <v>21</v>
      </c>
      <c r="G3486">
        <v>23.5</v>
      </c>
      <c r="H3486" t="s">
        <v>5615</v>
      </c>
      <c r="I3486">
        <v>0</v>
      </c>
      <c r="J3486" t="s">
        <v>87</v>
      </c>
      <c r="K3486">
        <v>0</v>
      </c>
      <c r="L3486">
        <v>0</v>
      </c>
    </row>
    <row r="3487" spans="1:12">
      <c r="A3487" s="93">
        <v>240471</v>
      </c>
      <c r="B3487" t="s">
        <v>3976</v>
      </c>
      <c r="C3487" t="s">
        <v>5602</v>
      </c>
      <c r="D3487" s="92">
        <v>0.55</v>
      </c>
      <c r="E3487" s="92">
        <v>0.34</v>
      </c>
      <c r="F3487">
        <v>20</v>
      </c>
      <c r="G3487">
        <v>22.5</v>
      </c>
      <c r="H3487" t="s">
        <v>5615</v>
      </c>
      <c r="I3487">
        <v>0</v>
      </c>
      <c r="J3487" t="s">
        <v>87</v>
      </c>
      <c r="K3487">
        <v>0</v>
      </c>
      <c r="L3487">
        <v>0</v>
      </c>
    </row>
    <row r="3488" spans="1:12">
      <c r="A3488" s="93">
        <v>240480</v>
      </c>
      <c r="B3488" t="s">
        <v>3977</v>
      </c>
      <c r="C3488" t="s">
        <v>5602</v>
      </c>
      <c r="D3488" s="92">
        <v>0.62</v>
      </c>
      <c r="E3488" s="92">
        <v>0.48</v>
      </c>
      <c r="F3488">
        <v>20</v>
      </c>
      <c r="G3488">
        <v>22.5</v>
      </c>
      <c r="H3488" t="s">
        <v>5615</v>
      </c>
      <c r="I3488">
        <v>0</v>
      </c>
      <c r="J3488" t="s">
        <v>87</v>
      </c>
      <c r="K3488">
        <v>0</v>
      </c>
      <c r="L3488">
        <v>0</v>
      </c>
    </row>
    <row r="3489" spans="1:12">
      <c r="A3489" s="93">
        <v>240505</v>
      </c>
      <c r="B3489" t="s">
        <v>3978</v>
      </c>
      <c r="C3489" t="s">
        <v>5606</v>
      </c>
      <c r="D3489" s="92">
        <v>0.4</v>
      </c>
      <c r="E3489" s="92">
        <v>0.28</v>
      </c>
      <c r="F3489" t="s">
        <v>428</v>
      </c>
      <c r="G3489" t="s">
        <v>428</v>
      </c>
      <c r="H3489" t="s">
        <v>5615</v>
      </c>
      <c r="I3489">
        <v>0</v>
      </c>
      <c r="J3489" t="s">
        <v>87</v>
      </c>
      <c r="K3489">
        <v>0</v>
      </c>
      <c r="L3489">
        <v>0</v>
      </c>
    </row>
    <row r="3490" spans="1:12">
      <c r="A3490" s="93">
        <v>240514</v>
      </c>
      <c r="B3490" t="s">
        <v>3979</v>
      </c>
      <c r="C3490" t="s">
        <v>5606</v>
      </c>
      <c r="D3490" s="92">
        <v>0.36</v>
      </c>
      <c r="E3490" s="92">
        <v>0.37</v>
      </c>
      <c r="F3490" t="s">
        <v>428</v>
      </c>
      <c r="G3490" t="s">
        <v>428</v>
      </c>
      <c r="H3490" t="s">
        <v>5615</v>
      </c>
      <c r="I3490">
        <v>0</v>
      </c>
      <c r="J3490" t="s">
        <v>87</v>
      </c>
      <c r="K3490">
        <v>0</v>
      </c>
      <c r="L3490">
        <v>0</v>
      </c>
    </row>
    <row r="3491" spans="1:12">
      <c r="A3491" s="93">
        <v>240596</v>
      </c>
      <c r="B3491" t="s">
        <v>3980</v>
      </c>
      <c r="C3491" t="s">
        <v>5606</v>
      </c>
      <c r="D3491" s="92">
        <v>0.47</v>
      </c>
      <c r="E3491" s="92">
        <v>0.44</v>
      </c>
      <c r="F3491" t="s">
        <v>428</v>
      </c>
      <c r="G3491" t="s">
        <v>428</v>
      </c>
      <c r="H3491" t="s">
        <v>5615</v>
      </c>
      <c r="I3491">
        <v>0</v>
      </c>
      <c r="J3491" t="s">
        <v>87</v>
      </c>
      <c r="K3491">
        <v>0</v>
      </c>
      <c r="L3491">
        <v>0</v>
      </c>
    </row>
    <row r="3492" spans="1:12">
      <c r="A3492" s="93">
        <v>240620</v>
      </c>
      <c r="B3492" t="s">
        <v>3981</v>
      </c>
      <c r="C3492" t="s">
        <v>5606</v>
      </c>
      <c r="D3492" s="92">
        <v>0.34</v>
      </c>
      <c r="E3492" s="92">
        <v>0.24</v>
      </c>
      <c r="F3492" t="s">
        <v>428</v>
      </c>
      <c r="G3492" t="s">
        <v>428</v>
      </c>
      <c r="H3492" t="s">
        <v>5615</v>
      </c>
      <c r="I3492">
        <v>0</v>
      </c>
      <c r="J3492" t="s">
        <v>87</v>
      </c>
      <c r="K3492">
        <v>0</v>
      </c>
      <c r="L3492">
        <v>0</v>
      </c>
    </row>
    <row r="3493" spans="1:12">
      <c r="A3493" s="93">
        <v>240657</v>
      </c>
      <c r="B3493" t="s">
        <v>3982</v>
      </c>
      <c r="C3493" t="s">
        <v>5606</v>
      </c>
      <c r="D3493" s="92">
        <v>0.44</v>
      </c>
      <c r="E3493" s="92">
        <v>0.38</v>
      </c>
      <c r="F3493" t="s">
        <v>428</v>
      </c>
      <c r="G3493" t="s">
        <v>428</v>
      </c>
      <c r="H3493" t="s">
        <v>5615</v>
      </c>
      <c r="I3493">
        <v>0</v>
      </c>
      <c r="J3493" t="s">
        <v>87</v>
      </c>
      <c r="K3493">
        <v>0</v>
      </c>
      <c r="L3493">
        <v>0</v>
      </c>
    </row>
    <row r="3494" spans="1:12">
      <c r="A3494" s="93">
        <v>240666</v>
      </c>
      <c r="B3494" t="s">
        <v>3983</v>
      </c>
      <c r="C3494" t="s">
        <v>5606</v>
      </c>
      <c r="D3494" s="92">
        <v>0.42</v>
      </c>
      <c r="E3494" s="92">
        <v>0.41</v>
      </c>
      <c r="F3494" t="s">
        <v>428</v>
      </c>
      <c r="G3494" t="s">
        <v>428</v>
      </c>
      <c r="H3494" t="s">
        <v>5615</v>
      </c>
      <c r="I3494">
        <v>0</v>
      </c>
      <c r="J3494" t="s">
        <v>87</v>
      </c>
      <c r="K3494">
        <v>0</v>
      </c>
      <c r="L3494">
        <v>0</v>
      </c>
    </row>
    <row r="3495" spans="1:12">
      <c r="A3495" s="93">
        <v>240693</v>
      </c>
      <c r="B3495" t="s">
        <v>3984</v>
      </c>
      <c r="C3495" t="s">
        <v>5606</v>
      </c>
      <c r="D3495" s="92">
        <v>0.47</v>
      </c>
      <c r="E3495" s="92">
        <v>0.4</v>
      </c>
      <c r="F3495" t="s">
        <v>428</v>
      </c>
      <c r="G3495" t="s">
        <v>428</v>
      </c>
      <c r="H3495" t="s">
        <v>5615</v>
      </c>
      <c r="I3495">
        <v>0</v>
      </c>
      <c r="J3495" t="s">
        <v>87</v>
      </c>
      <c r="K3495">
        <v>0</v>
      </c>
      <c r="L3495">
        <v>0</v>
      </c>
    </row>
    <row r="3496" spans="1:12">
      <c r="A3496" s="93">
        <v>240718</v>
      </c>
      <c r="B3496" t="s">
        <v>3985</v>
      </c>
      <c r="C3496" t="s">
        <v>5606</v>
      </c>
      <c r="D3496" s="92" t="s">
        <v>428</v>
      </c>
      <c r="E3496" s="92" t="s">
        <v>428</v>
      </c>
      <c r="F3496" t="s">
        <v>428</v>
      </c>
      <c r="G3496" t="s">
        <v>428</v>
      </c>
      <c r="H3496" t="s">
        <v>5617</v>
      </c>
      <c r="I3496">
        <v>0</v>
      </c>
      <c r="J3496" t="s">
        <v>87</v>
      </c>
      <c r="K3496">
        <v>0</v>
      </c>
      <c r="L3496">
        <v>0</v>
      </c>
    </row>
    <row r="3497" spans="1:12">
      <c r="A3497" s="93">
        <v>240727</v>
      </c>
      <c r="B3497" t="s">
        <v>3986</v>
      </c>
      <c r="C3497" t="s">
        <v>5602</v>
      </c>
      <c r="D3497" s="92">
        <v>0.55</v>
      </c>
      <c r="E3497" s="92">
        <v>0.41</v>
      </c>
      <c r="F3497">
        <v>21</v>
      </c>
      <c r="G3497">
        <v>24</v>
      </c>
      <c r="H3497" t="s">
        <v>5615</v>
      </c>
      <c r="I3497">
        <v>0</v>
      </c>
      <c r="J3497" t="s">
        <v>87</v>
      </c>
      <c r="K3497">
        <v>0</v>
      </c>
      <c r="L3497">
        <v>0</v>
      </c>
    </row>
    <row r="3498" spans="1:12">
      <c r="A3498" s="93">
        <v>240736</v>
      </c>
      <c r="B3498" t="s">
        <v>3987</v>
      </c>
      <c r="C3498" t="s">
        <v>5604</v>
      </c>
      <c r="D3498" s="92" t="s">
        <v>428</v>
      </c>
      <c r="E3498" s="92" t="s">
        <v>428</v>
      </c>
      <c r="F3498" t="s">
        <v>428</v>
      </c>
      <c r="G3498" t="s">
        <v>428</v>
      </c>
      <c r="H3498" t="s">
        <v>5615</v>
      </c>
      <c r="I3498">
        <v>0</v>
      </c>
      <c r="J3498" t="s">
        <v>87</v>
      </c>
      <c r="K3498">
        <v>0</v>
      </c>
      <c r="L3498">
        <v>0</v>
      </c>
    </row>
    <row r="3499" spans="1:12">
      <c r="A3499" s="93">
        <v>240745</v>
      </c>
      <c r="B3499" t="s">
        <v>3988</v>
      </c>
      <c r="C3499" t="s">
        <v>5606</v>
      </c>
      <c r="D3499" s="92" t="s">
        <v>428</v>
      </c>
      <c r="E3499" s="92" t="s">
        <v>428</v>
      </c>
      <c r="F3499" t="s">
        <v>428</v>
      </c>
      <c r="G3499" t="s">
        <v>428</v>
      </c>
      <c r="H3499" t="s">
        <v>5615</v>
      </c>
      <c r="I3499">
        <v>0</v>
      </c>
      <c r="J3499" t="s">
        <v>87</v>
      </c>
      <c r="K3499">
        <v>0</v>
      </c>
      <c r="L3499">
        <v>0</v>
      </c>
    </row>
    <row r="3500" spans="1:12">
      <c r="A3500" s="93">
        <v>240754</v>
      </c>
      <c r="B3500" t="s">
        <v>3989</v>
      </c>
      <c r="C3500" t="s">
        <v>5604</v>
      </c>
      <c r="D3500" s="92">
        <v>0.29</v>
      </c>
      <c r="E3500" s="92">
        <v>0.14</v>
      </c>
      <c r="F3500" t="s">
        <v>428</v>
      </c>
      <c r="G3500" t="s">
        <v>428</v>
      </c>
      <c r="H3500" t="s">
        <v>5615</v>
      </c>
      <c r="I3500">
        <v>0</v>
      </c>
      <c r="J3500" t="s">
        <v>87</v>
      </c>
      <c r="K3500">
        <v>0</v>
      </c>
      <c r="L3500">
        <v>0</v>
      </c>
    </row>
    <row r="3501" spans="1:12">
      <c r="A3501" s="93">
        <v>240790</v>
      </c>
      <c r="B3501" t="s">
        <v>3990</v>
      </c>
      <c r="C3501" t="s">
        <v>5604</v>
      </c>
      <c r="D3501" s="92">
        <v>0.13</v>
      </c>
      <c r="E3501" s="92" t="s">
        <v>428</v>
      </c>
      <c r="F3501" t="s">
        <v>428</v>
      </c>
      <c r="G3501" t="s">
        <v>428</v>
      </c>
      <c r="H3501" t="s">
        <v>5615</v>
      </c>
      <c r="I3501">
        <v>0</v>
      </c>
      <c r="J3501" t="s">
        <v>87</v>
      </c>
      <c r="K3501">
        <v>0</v>
      </c>
      <c r="L3501">
        <v>0</v>
      </c>
    </row>
    <row r="3502" spans="1:12">
      <c r="A3502" s="93">
        <v>240985</v>
      </c>
      <c r="B3502" t="s">
        <v>3991</v>
      </c>
      <c r="C3502" t="s">
        <v>5606</v>
      </c>
      <c r="D3502" s="92" t="s">
        <v>428</v>
      </c>
      <c r="E3502" s="92" t="s">
        <v>428</v>
      </c>
      <c r="F3502" t="s">
        <v>428</v>
      </c>
      <c r="G3502" t="s">
        <v>428</v>
      </c>
      <c r="H3502" t="s">
        <v>5616</v>
      </c>
      <c r="I3502">
        <v>0</v>
      </c>
      <c r="J3502" t="s">
        <v>87</v>
      </c>
      <c r="K3502">
        <v>0</v>
      </c>
      <c r="L3502">
        <v>0</v>
      </c>
    </row>
    <row r="3503" spans="1:12">
      <c r="A3503" s="93">
        <v>241100</v>
      </c>
      <c r="B3503" t="s">
        <v>3992</v>
      </c>
      <c r="C3503" t="s">
        <v>5610</v>
      </c>
      <c r="D3503" s="92">
        <v>0.27</v>
      </c>
      <c r="E3503" s="92">
        <v>0.27</v>
      </c>
      <c r="F3503" t="s">
        <v>428</v>
      </c>
      <c r="G3503" t="s">
        <v>428</v>
      </c>
      <c r="H3503" t="s">
        <v>5616</v>
      </c>
      <c r="I3503">
        <v>0</v>
      </c>
      <c r="J3503" t="s">
        <v>87</v>
      </c>
      <c r="K3503">
        <v>0</v>
      </c>
      <c r="L3503">
        <v>0</v>
      </c>
    </row>
    <row r="3504" spans="1:12">
      <c r="A3504" s="93">
        <v>241128</v>
      </c>
      <c r="B3504" t="s">
        <v>3992</v>
      </c>
      <c r="C3504" t="s">
        <v>5604</v>
      </c>
      <c r="D3504" s="92">
        <v>0.3</v>
      </c>
      <c r="E3504" s="92">
        <v>0.3</v>
      </c>
      <c r="F3504" t="s">
        <v>428</v>
      </c>
      <c r="G3504" t="s">
        <v>428</v>
      </c>
      <c r="H3504" t="s">
        <v>5616</v>
      </c>
      <c r="I3504">
        <v>0</v>
      </c>
      <c r="J3504" t="s">
        <v>87</v>
      </c>
      <c r="K3504">
        <v>0</v>
      </c>
      <c r="L3504">
        <v>0</v>
      </c>
    </row>
    <row r="3505" spans="1:12">
      <c r="A3505" s="93">
        <v>241182</v>
      </c>
      <c r="B3505" t="s">
        <v>3993</v>
      </c>
      <c r="C3505" t="s">
        <v>5606</v>
      </c>
      <c r="D3505" s="92" t="s">
        <v>428</v>
      </c>
      <c r="E3505" s="92" t="s">
        <v>428</v>
      </c>
      <c r="F3505" t="s">
        <v>428</v>
      </c>
      <c r="G3505" t="s">
        <v>428</v>
      </c>
      <c r="H3505" t="s">
        <v>5624</v>
      </c>
      <c r="I3505">
        <v>1</v>
      </c>
      <c r="J3505" t="s">
        <v>87</v>
      </c>
      <c r="K3505">
        <v>0</v>
      </c>
      <c r="L3505">
        <v>0</v>
      </c>
    </row>
    <row r="3506" spans="1:12">
      <c r="A3506" s="93">
        <v>241191</v>
      </c>
      <c r="B3506" t="s">
        <v>3994</v>
      </c>
      <c r="C3506" t="s">
        <v>5610</v>
      </c>
      <c r="D3506" s="92">
        <v>0.34</v>
      </c>
      <c r="E3506" s="92">
        <v>0.34</v>
      </c>
      <c r="F3506" t="s">
        <v>428</v>
      </c>
      <c r="G3506" t="s">
        <v>428</v>
      </c>
      <c r="H3506" t="s">
        <v>5613</v>
      </c>
      <c r="I3506">
        <v>1</v>
      </c>
      <c r="J3506" t="s">
        <v>87</v>
      </c>
      <c r="K3506">
        <v>0</v>
      </c>
      <c r="L3506">
        <v>0</v>
      </c>
    </row>
    <row r="3507" spans="1:12">
      <c r="A3507" s="93">
        <v>241216</v>
      </c>
      <c r="B3507" t="s">
        <v>3995</v>
      </c>
      <c r="C3507" t="s">
        <v>5604</v>
      </c>
      <c r="D3507" s="92">
        <v>0.34</v>
      </c>
      <c r="E3507" s="92">
        <v>0.34</v>
      </c>
      <c r="F3507" t="s">
        <v>428</v>
      </c>
      <c r="G3507" t="s">
        <v>428</v>
      </c>
      <c r="H3507" t="s">
        <v>5614</v>
      </c>
      <c r="I3507">
        <v>1</v>
      </c>
      <c r="J3507" t="s">
        <v>87</v>
      </c>
      <c r="K3507">
        <v>0</v>
      </c>
      <c r="L3507">
        <v>0</v>
      </c>
    </row>
    <row r="3508" spans="1:12">
      <c r="A3508" s="93">
        <v>241225</v>
      </c>
      <c r="B3508" t="s">
        <v>3996</v>
      </c>
      <c r="C3508" t="s">
        <v>5610</v>
      </c>
      <c r="D3508" s="92">
        <v>0.13</v>
      </c>
      <c r="E3508" s="92">
        <v>0.13</v>
      </c>
      <c r="F3508" t="s">
        <v>428</v>
      </c>
      <c r="G3508" t="s">
        <v>428</v>
      </c>
      <c r="H3508" t="s">
        <v>5624</v>
      </c>
      <c r="I3508">
        <v>1</v>
      </c>
      <c r="J3508" t="s">
        <v>87</v>
      </c>
      <c r="K3508">
        <v>0</v>
      </c>
      <c r="L3508">
        <v>0</v>
      </c>
    </row>
    <row r="3509" spans="1:12">
      <c r="A3509" s="93">
        <v>241304</v>
      </c>
      <c r="B3509" t="s">
        <v>3997</v>
      </c>
      <c r="C3509" t="s">
        <v>5604</v>
      </c>
      <c r="D3509" s="92">
        <v>0.25</v>
      </c>
      <c r="E3509" s="92">
        <v>0.25</v>
      </c>
      <c r="F3509" t="s">
        <v>428</v>
      </c>
      <c r="G3509" t="s">
        <v>428</v>
      </c>
      <c r="H3509" t="s">
        <v>5614</v>
      </c>
      <c r="I3509">
        <v>1</v>
      </c>
      <c r="J3509" t="s">
        <v>87</v>
      </c>
      <c r="K3509">
        <v>0</v>
      </c>
      <c r="L3509">
        <v>0</v>
      </c>
    </row>
    <row r="3510" spans="1:12">
      <c r="A3510" s="93">
        <v>241331</v>
      </c>
      <c r="B3510" t="s">
        <v>3998</v>
      </c>
      <c r="C3510" t="s">
        <v>5607</v>
      </c>
      <c r="D3510" s="92" t="s">
        <v>428</v>
      </c>
      <c r="E3510" s="92" t="s">
        <v>428</v>
      </c>
      <c r="F3510" t="s">
        <v>428</v>
      </c>
      <c r="G3510" t="s">
        <v>428</v>
      </c>
      <c r="H3510" t="s">
        <v>5616</v>
      </c>
      <c r="I3510">
        <v>0</v>
      </c>
      <c r="J3510" t="s">
        <v>87</v>
      </c>
      <c r="K3510">
        <v>0</v>
      </c>
      <c r="L3510">
        <v>0</v>
      </c>
    </row>
    <row r="3511" spans="1:12">
      <c r="A3511" s="93">
        <v>241377</v>
      </c>
      <c r="B3511" t="s">
        <v>3999</v>
      </c>
      <c r="C3511" t="s">
        <v>5610</v>
      </c>
      <c r="D3511" s="92">
        <v>0.26</v>
      </c>
      <c r="E3511" s="92">
        <v>0.26</v>
      </c>
      <c r="F3511" t="s">
        <v>428</v>
      </c>
      <c r="G3511" t="s">
        <v>428</v>
      </c>
      <c r="H3511" t="s">
        <v>5614</v>
      </c>
      <c r="I3511">
        <v>1</v>
      </c>
      <c r="J3511" t="s">
        <v>87</v>
      </c>
      <c r="K3511">
        <v>0</v>
      </c>
      <c r="L3511">
        <v>0</v>
      </c>
    </row>
    <row r="3512" spans="1:12">
      <c r="A3512" s="93">
        <v>241386</v>
      </c>
      <c r="B3512" t="s">
        <v>4000</v>
      </c>
      <c r="C3512" t="s">
        <v>5604</v>
      </c>
      <c r="D3512" s="92">
        <v>0.17</v>
      </c>
      <c r="E3512" s="92">
        <v>0.17</v>
      </c>
      <c r="F3512" t="s">
        <v>428</v>
      </c>
      <c r="G3512" t="s">
        <v>428</v>
      </c>
      <c r="H3512" t="s">
        <v>5614</v>
      </c>
      <c r="I3512">
        <v>1</v>
      </c>
      <c r="J3512" t="s">
        <v>87</v>
      </c>
      <c r="K3512">
        <v>0</v>
      </c>
      <c r="L3512">
        <v>0</v>
      </c>
    </row>
    <row r="3513" spans="1:12">
      <c r="A3513" s="93">
        <v>241395</v>
      </c>
      <c r="B3513" t="s">
        <v>4001</v>
      </c>
      <c r="C3513" t="s">
        <v>5607</v>
      </c>
      <c r="D3513" s="92">
        <v>0.29</v>
      </c>
      <c r="E3513" s="92">
        <v>0.29</v>
      </c>
      <c r="F3513" t="s">
        <v>428</v>
      </c>
      <c r="G3513" t="s">
        <v>428</v>
      </c>
      <c r="H3513" t="s">
        <v>5624</v>
      </c>
      <c r="I3513">
        <v>1</v>
      </c>
      <c r="J3513" t="s">
        <v>87</v>
      </c>
      <c r="K3513">
        <v>0</v>
      </c>
      <c r="L3513">
        <v>0</v>
      </c>
    </row>
    <row r="3514" spans="1:12">
      <c r="A3514" s="93">
        <v>241410</v>
      </c>
      <c r="B3514" t="s">
        <v>4002</v>
      </c>
      <c r="C3514" t="s">
        <v>5610</v>
      </c>
      <c r="D3514" s="92">
        <v>0.4</v>
      </c>
      <c r="E3514" s="92">
        <v>0.4</v>
      </c>
      <c r="F3514" t="s">
        <v>428</v>
      </c>
      <c r="G3514" t="s">
        <v>428</v>
      </c>
      <c r="H3514" t="s">
        <v>5624</v>
      </c>
      <c r="I3514">
        <v>1</v>
      </c>
      <c r="J3514" t="s">
        <v>87</v>
      </c>
      <c r="K3514">
        <v>0</v>
      </c>
      <c r="L3514">
        <v>0</v>
      </c>
    </row>
    <row r="3515" spans="1:12">
      <c r="A3515" s="93">
        <v>241517</v>
      </c>
      <c r="B3515" t="s">
        <v>4003</v>
      </c>
      <c r="C3515" t="s">
        <v>5604</v>
      </c>
      <c r="D3515" s="92" t="s">
        <v>428</v>
      </c>
      <c r="E3515" s="92" t="s">
        <v>428</v>
      </c>
      <c r="F3515" t="s">
        <v>428</v>
      </c>
      <c r="G3515" t="s">
        <v>428</v>
      </c>
      <c r="H3515" t="s">
        <v>5624</v>
      </c>
      <c r="I3515">
        <v>1</v>
      </c>
      <c r="J3515" t="s">
        <v>87</v>
      </c>
      <c r="K3515">
        <v>0</v>
      </c>
      <c r="L3515">
        <v>0</v>
      </c>
    </row>
    <row r="3516" spans="1:12">
      <c r="A3516" s="93">
        <v>241614</v>
      </c>
      <c r="B3516" t="s">
        <v>4004</v>
      </c>
      <c r="C3516" t="s">
        <v>5604</v>
      </c>
      <c r="D3516" s="92">
        <v>0.2</v>
      </c>
      <c r="E3516" s="92">
        <v>0.2</v>
      </c>
      <c r="F3516" t="s">
        <v>428</v>
      </c>
      <c r="G3516" t="s">
        <v>428</v>
      </c>
      <c r="H3516" t="s">
        <v>5613</v>
      </c>
      <c r="I3516">
        <v>1</v>
      </c>
      <c r="J3516" t="s">
        <v>87</v>
      </c>
      <c r="K3516">
        <v>0</v>
      </c>
      <c r="L3516">
        <v>0</v>
      </c>
    </row>
    <row r="3517" spans="1:12">
      <c r="A3517" s="93">
        <v>241720</v>
      </c>
      <c r="B3517" t="s">
        <v>4005</v>
      </c>
      <c r="C3517" t="s">
        <v>5607</v>
      </c>
      <c r="D3517" s="92">
        <v>0.49</v>
      </c>
      <c r="E3517" s="92">
        <v>0.49</v>
      </c>
      <c r="F3517" t="s">
        <v>428</v>
      </c>
      <c r="G3517" t="s">
        <v>428</v>
      </c>
      <c r="H3517" t="s">
        <v>5615</v>
      </c>
      <c r="I3517">
        <v>0</v>
      </c>
      <c r="J3517" t="s">
        <v>87</v>
      </c>
      <c r="K3517">
        <v>0</v>
      </c>
      <c r="L3517">
        <v>0</v>
      </c>
    </row>
    <row r="3518" spans="1:12">
      <c r="A3518" s="93">
        <v>241739</v>
      </c>
      <c r="B3518" t="s">
        <v>4006</v>
      </c>
      <c r="C3518" t="s">
        <v>5610</v>
      </c>
      <c r="D3518" s="92">
        <v>0.3</v>
      </c>
      <c r="E3518" s="92">
        <v>0.3</v>
      </c>
      <c r="F3518" t="s">
        <v>428</v>
      </c>
      <c r="G3518" t="s">
        <v>428</v>
      </c>
      <c r="H3518" t="s">
        <v>5624</v>
      </c>
      <c r="I3518">
        <v>1</v>
      </c>
      <c r="J3518" t="s">
        <v>87</v>
      </c>
      <c r="K3518">
        <v>0</v>
      </c>
      <c r="L3518">
        <v>0</v>
      </c>
    </row>
    <row r="3519" spans="1:12">
      <c r="A3519" s="93">
        <v>241766</v>
      </c>
      <c r="B3519" t="s">
        <v>4007</v>
      </c>
      <c r="C3519" t="s">
        <v>5610</v>
      </c>
      <c r="D3519" s="92">
        <v>0.49</v>
      </c>
      <c r="E3519" s="92">
        <v>0.49</v>
      </c>
      <c r="F3519" t="s">
        <v>428</v>
      </c>
      <c r="G3519" t="s">
        <v>428</v>
      </c>
      <c r="H3519" t="s">
        <v>5615</v>
      </c>
      <c r="I3519">
        <v>0</v>
      </c>
      <c r="J3519" t="s">
        <v>87</v>
      </c>
      <c r="K3519">
        <v>0</v>
      </c>
      <c r="L3519">
        <v>0</v>
      </c>
    </row>
    <row r="3520" spans="1:12">
      <c r="A3520" s="93">
        <v>241793</v>
      </c>
      <c r="B3520" t="s">
        <v>4008</v>
      </c>
      <c r="C3520" t="s">
        <v>5607</v>
      </c>
      <c r="D3520" s="92" t="s">
        <v>428</v>
      </c>
      <c r="E3520" s="92" t="s">
        <v>428</v>
      </c>
      <c r="F3520" t="s">
        <v>428</v>
      </c>
      <c r="G3520" t="s">
        <v>428</v>
      </c>
      <c r="H3520" t="s">
        <v>5615</v>
      </c>
      <c r="I3520">
        <v>0</v>
      </c>
      <c r="J3520" t="s">
        <v>87</v>
      </c>
      <c r="K3520">
        <v>0</v>
      </c>
      <c r="L3520">
        <v>0</v>
      </c>
    </row>
    <row r="3521" spans="1:12">
      <c r="A3521" s="93">
        <v>241836</v>
      </c>
      <c r="B3521" t="s">
        <v>4009</v>
      </c>
      <c r="C3521" t="s">
        <v>5604</v>
      </c>
      <c r="D3521" s="92">
        <v>0.38</v>
      </c>
      <c r="E3521" s="92">
        <v>0.38</v>
      </c>
      <c r="F3521" t="s">
        <v>428</v>
      </c>
      <c r="G3521" t="s">
        <v>428</v>
      </c>
      <c r="H3521" t="s">
        <v>5624</v>
      </c>
      <c r="I3521">
        <v>1</v>
      </c>
      <c r="J3521" t="s">
        <v>87</v>
      </c>
      <c r="K3521">
        <v>0</v>
      </c>
      <c r="L3521">
        <v>0</v>
      </c>
    </row>
    <row r="3522" spans="1:12">
      <c r="A3522" s="93">
        <v>241951</v>
      </c>
      <c r="B3522" t="s">
        <v>4010</v>
      </c>
      <c r="C3522" t="s">
        <v>5610</v>
      </c>
      <c r="D3522" s="92">
        <v>0.35</v>
      </c>
      <c r="E3522" s="92">
        <v>0.35</v>
      </c>
      <c r="F3522" t="s">
        <v>428</v>
      </c>
      <c r="G3522" t="s">
        <v>428</v>
      </c>
      <c r="H3522" t="s">
        <v>5615</v>
      </c>
      <c r="I3522">
        <v>0</v>
      </c>
      <c r="J3522" t="s">
        <v>87</v>
      </c>
      <c r="K3522">
        <v>0</v>
      </c>
      <c r="L3522">
        <v>0</v>
      </c>
    </row>
    <row r="3523" spans="1:12">
      <c r="A3523" s="93">
        <v>242042</v>
      </c>
      <c r="B3523" t="s">
        <v>4011</v>
      </c>
      <c r="C3523" t="s">
        <v>5609</v>
      </c>
      <c r="D3523" s="92" t="s">
        <v>428</v>
      </c>
      <c r="E3523" s="92" t="s">
        <v>428</v>
      </c>
      <c r="F3523" t="s">
        <v>428</v>
      </c>
      <c r="G3523" t="s">
        <v>428</v>
      </c>
      <c r="H3523" t="s">
        <v>5615</v>
      </c>
      <c r="I3523">
        <v>0</v>
      </c>
      <c r="J3523" t="s">
        <v>87</v>
      </c>
      <c r="K3523">
        <v>0</v>
      </c>
      <c r="L3523">
        <v>0</v>
      </c>
    </row>
    <row r="3524" spans="1:12">
      <c r="A3524" s="93">
        <v>242112</v>
      </c>
      <c r="B3524" t="s">
        <v>4012</v>
      </c>
      <c r="C3524" t="s">
        <v>5604</v>
      </c>
      <c r="D3524" s="92">
        <v>0.41</v>
      </c>
      <c r="E3524" s="92">
        <v>0.41</v>
      </c>
      <c r="F3524" t="s">
        <v>428</v>
      </c>
      <c r="G3524" t="s">
        <v>428</v>
      </c>
      <c r="H3524" t="s">
        <v>5624</v>
      </c>
      <c r="I3524">
        <v>1</v>
      </c>
      <c r="J3524" t="s">
        <v>87</v>
      </c>
      <c r="K3524">
        <v>0</v>
      </c>
      <c r="L3524">
        <v>0</v>
      </c>
    </row>
    <row r="3525" spans="1:12">
      <c r="A3525" s="93">
        <v>242121</v>
      </c>
      <c r="B3525" t="s">
        <v>4013</v>
      </c>
      <c r="C3525" t="s">
        <v>5604</v>
      </c>
      <c r="D3525" s="92">
        <v>0.3</v>
      </c>
      <c r="E3525" s="92">
        <v>0.3</v>
      </c>
      <c r="F3525" t="s">
        <v>428</v>
      </c>
      <c r="G3525" t="s">
        <v>428</v>
      </c>
      <c r="H3525" t="s">
        <v>5614</v>
      </c>
      <c r="I3525">
        <v>1</v>
      </c>
      <c r="J3525" t="s">
        <v>87</v>
      </c>
      <c r="K3525">
        <v>0</v>
      </c>
      <c r="L3525">
        <v>0</v>
      </c>
    </row>
    <row r="3526" spans="1:12">
      <c r="A3526" s="93">
        <v>242130</v>
      </c>
      <c r="B3526" t="s">
        <v>4014</v>
      </c>
      <c r="C3526" t="s">
        <v>5606</v>
      </c>
      <c r="D3526" s="92" t="s">
        <v>428</v>
      </c>
      <c r="E3526" s="92" t="s">
        <v>428</v>
      </c>
      <c r="F3526" t="s">
        <v>428</v>
      </c>
      <c r="G3526" t="s">
        <v>428</v>
      </c>
      <c r="H3526" t="s">
        <v>5613</v>
      </c>
      <c r="I3526">
        <v>1</v>
      </c>
      <c r="J3526" t="s">
        <v>87</v>
      </c>
      <c r="K3526">
        <v>0</v>
      </c>
      <c r="L3526">
        <v>0</v>
      </c>
    </row>
    <row r="3527" spans="1:12">
      <c r="A3527" s="93">
        <v>242149</v>
      </c>
      <c r="B3527" t="s">
        <v>4015</v>
      </c>
      <c r="C3527" t="s">
        <v>5606</v>
      </c>
      <c r="D3527" s="92" t="s">
        <v>428</v>
      </c>
      <c r="E3527" s="92" t="s">
        <v>428</v>
      </c>
      <c r="F3527" t="s">
        <v>428</v>
      </c>
      <c r="G3527" t="s">
        <v>428</v>
      </c>
      <c r="H3527" t="s">
        <v>5624</v>
      </c>
      <c r="I3527">
        <v>1</v>
      </c>
      <c r="J3527" t="s">
        <v>87</v>
      </c>
      <c r="K3527">
        <v>0</v>
      </c>
      <c r="L3527">
        <v>0</v>
      </c>
    </row>
    <row r="3528" spans="1:12">
      <c r="A3528" s="93">
        <v>242422</v>
      </c>
      <c r="B3528" t="s">
        <v>4016</v>
      </c>
      <c r="C3528" t="s">
        <v>5606</v>
      </c>
      <c r="D3528" s="92">
        <v>0.5600000000000001</v>
      </c>
      <c r="E3528" s="92">
        <v>0.5600000000000001</v>
      </c>
      <c r="F3528" t="s">
        <v>428</v>
      </c>
      <c r="G3528" t="s">
        <v>428</v>
      </c>
      <c r="H3528" t="s">
        <v>5624</v>
      </c>
      <c r="I3528">
        <v>1</v>
      </c>
      <c r="J3528" t="s">
        <v>87</v>
      </c>
      <c r="K3528">
        <v>0</v>
      </c>
      <c r="L3528">
        <v>0</v>
      </c>
    </row>
    <row r="3529" spans="1:12">
      <c r="A3529" s="93">
        <v>242556</v>
      </c>
      <c r="B3529" t="s">
        <v>4017</v>
      </c>
      <c r="C3529" t="s">
        <v>5609</v>
      </c>
      <c r="D3529" s="92" t="s">
        <v>428</v>
      </c>
      <c r="E3529" s="92" t="s">
        <v>428</v>
      </c>
      <c r="F3529" t="s">
        <v>428</v>
      </c>
      <c r="G3529" t="s">
        <v>428</v>
      </c>
      <c r="H3529" t="s">
        <v>5615</v>
      </c>
      <c r="I3529">
        <v>0</v>
      </c>
      <c r="J3529" t="s">
        <v>87</v>
      </c>
      <c r="K3529">
        <v>0</v>
      </c>
      <c r="L3529">
        <v>0</v>
      </c>
    </row>
    <row r="3530" spans="1:12">
      <c r="A3530" s="93">
        <v>242565</v>
      </c>
      <c r="B3530" t="s">
        <v>4018</v>
      </c>
      <c r="C3530" t="s">
        <v>5606</v>
      </c>
      <c r="D3530" s="92" t="s">
        <v>428</v>
      </c>
      <c r="E3530" s="92" t="s">
        <v>428</v>
      </c>
      <c r="F3530" t="s">
        <v>428</v>
      </c>
      <c r="G3530" t="s">
        <v>428</v>
      </c>
      <c r="H3530" t="s">
        <v>5615</v>
      </c>
      <c r="I3530">
        <v>0</v>
      </c>
      <c r="J3530" t="s">
        <v>87</v>
      </c>
      <c r="K3530">
        <v>0</v>
      </c>
      <c r="L3530">
        <v>0</v>
      </c>
    </row>
    <row r="3531" spans="1:12">
      <c r="A3531" s="93">
        <v>242583</v>
      </c>
      <c r="B3531" t="s">
        <v>4019</v>
      </c>
      <c r="C3531" t="s">
        <v>5606</v>
      </c>
      <c r="D3531" s="92" t="s">
        <v>428</v>
      </c>
      <c r="E3531" s="92" t="s">
        <v>428</v>
      </c>
      <c r="F3531" t="s">
        <v>428</v>
      </c>
      <c r="G3531" t="s">
        <v>428</v>
      </c>
      <c r="H3531" t="s">
        <v>5615</v>
      </c>
      <c r="I3531">
        <v>0</v>
      </c>
      <c r="J3531" t="s">
        <v>87</v>
      </c>
      <c r="K3531">
        <v>0</v>
      </c>
      <c r="L3531">
        <v>0</v>
      </c>
    </row>
    <row r="3532" spans="1:12">
      <c r="A3532" s="93">
        <v>242617</v>
      </c>
      <c r="B3532" t="s">
        <v>4020</v>
      </c>
      <c r="C3532" t="s">
        <v>5610</v>
      </c>
      <c r="D3532" s="92">
        <v>0.35</v>
      </c>
      <c r="E3532" s="92">
        <v>0.35</v>
      </c>
      <c r="F3532" t="s">
        <v>428</v>
      </c>
      <c r="G3532" t="s">
        <v>428</v>
      </c>
      <c r="H3532" t="s">
        <v>5624</v>
      </c>
      <c r="I3532">
        <v>1</v>
      </c>
      <c r="J3532" t="s">
        <v>87</v>
      </c>
      <c r="K3532">
        <v>0</v>
      </c>
      <c r="L3532">
        <v>0</v>
      </c>
    </row>
    <row r="3533" spans="1:12">
      <c r="A3533" s="93">
        <v>242626</v>
      </c>
      <c r="B3533" t="s">
        <v>4021</v>
      </c>
      <c r="C3533" t="s">
        <v>5610</v>
      </c>
      <c r="D3533" s="92">
        <v>0.27</v>
      </c>
      <c r="E3533" s="92">
        <v>0.27</v>
      </c>
      <c r="F3533" t="s">
        <v>428</v>
      </c>
      <c r="G3533" t="s">
        <v>428</v>
      </c>
      <c r="H3533" t="s">
        <v>5624</v>
      </c>
      <c r="I3533">
        <v>1</v>
      </c>
      <c r="J3533" t="s">
        <v>87</v>
      </c>
      <c r="K3533">
        <v>0</v>
      </c>
      <c r="L3533">
        <v>0</v>
      </c>
    </row>
    <row r="3534" spans="1:12">
      <c r="A3534" s="93">
        <v>242635</v>
      </c>
      <c r="B3534" t="s">
        <v>4022</v>
      </c>
      <c r="C3534" t="s">
        <v>5610</v>
      </c>
      <c r="D3534" s="92">
        <v>0.31</v>
      </c>
      <c r="E3534" s="92">
        <v>0.31</v>
      </c>
      <c r="F3534" t="s">
        <v>428</v>
      </c>
      <c r="G3534" t="s">
        <v>428</v>
      </c>
      <c r="H3534" t="s">
        <v>5624</v>
      </c>
      <c r="I3534">
        <v>1</v>
      </c>
      <c r="J3534" t="s">
        <v>87</v>
      </c>
      <c r="K3534">
        <v>0</v>
      </c>
      <c r="L3534">
        <v>0</v>
      </c>
    </row>
    <row r="3535" spans="1:12">
      <c r="A3535" s="93">
        <v>242644</v>
      </c>
      <c r="B3535" t="s">
        <v>4023</v>
      </c>
      <c r="C3535" t="s">
        <v>5610</v>
      </c>
      <c r="D3535" s="92">
        <v>0.42</v>
      </c>
      <c r="E3535" s="92">
        <v>0.42</v>
      </c>
      <c r="F3535" t="s">
        <v>428</v>
      </c>
      <c r="G3535" t="s">
        <v>428</v>
      </c>
      <c r="H3535" t="s">
        <v>5624</v>
      </c>
      <c r="I3535">
        <v>1</v>
      </c>
      <c r="J3535" t="s">
        <v>87</v>
      </c>
      <c r="K3535">
        <v>0</v>
      </c>
      <c r="L3535">
        <v>0</v>
      </c>
    </row>
    <row r="3536" spans="1:12">
      <c r="A3536" s="93">
        <v>242653</v>
      </c>
      <c r="B3536" t="s">
        <v>4024</v>
      </c>
      <c r="C3536" t="s">
        <v>5610</v>
      </c>
      <c r="D3536" s="92">
        <v>0.33</v>
      </c>
      <c r="E3536" s="92">
        <v>0.33</v>
      </c>
      <c r="F3536" t="s">
        <v>428</v>
      </c>
      <c r="G3536" t="s">
        <v>428</v>
      </c>
      <c r="H3536" t="s">
        <v>5613</v>
      </c>
      <c r="I3536">
        <v>1</v>
      </c>
      <c r="J3536" t="s">
        <v>87</v>
      </c>
      <c r="K3536">
        <v>0</v>
      </c>
      <c r="L3536">
        <v>0</v>
      </c>
    </row>
    <row r="3537" spans="1:12">
      <c r="A3537" s="93">
        <v>242662</v>
      </c>
      <c r="B3537" t="s">
        <v>4025</v>
      </c>
      <c r="C3537" t="s">
        <v>5610</v>
      </c>
      <c r="D3537" s="92">
        <v>0.28</v>
      </c>
      <c r="E3537" s="92">
        <v>0.28</v>
      </c>
      <c r="F3537" t="s">
        <v>428</v>
      </c>
      <c r="G3537" t="s">
        <v>428</v>
      </c>
      <c r="H3537" t="s">
        <v>5624</v>
      </c>
      <c r="I3537">
        <v>1</v>
      </c>
      <c r="J3537" t="s">
        <v>87</v>
      </c>
      <c r="K3537">
        <v>0</v>
      </c>
      <c r="L3537">
        <v>0</v>
      </c>
    </row>
    <row r="3538" spans="1:12">
      <c r="A3538" s="93">
        <v>242680</v>
      </c>
      <c r="B3538" t="s">
        <v>4026</v>
      </c>
      <c r="C3538" t="s">
        <v>5610</v>
      </c>
      <c r="D3538" s="92">
        <v>0.26</v>
      </c>
      <c r="E3538" s="92">
        <v>0.26</v>
      </c>
      <c r="F3538" t="s">
        <v>428</v>
      </c>
      <c r="G3538" t="s">
        <v>428</v>
      </c>
      <c r="H3538" t="s">
        <v>5624</v>
      </c>
      <c r="I3538">
        <v>1</v>
      </c>
      <c r="J3538" t="s">
        <v>87</v>
      </c>
      <c r="K3538">
        <v>0</v>
      </c>
      <c r="L3538">
        <v>0</v>
      </c>
    </row>
    <row r="3539" spans="1:12">
      <c r="A3539" s="93">
        <v>242699</v>
      </c>
      <c r="B3539" t="s">
        <v>4027</v>
      </c>
      <c r="C3539" t="s">
        <v>5607</v>
      </c>
      <c r="D3539" s="92">
        <v>0.3</v>
      </c>
      <c r="E3539" s="92">
        <v>0.3</v>
      </c>
      <c r="F3539" t="s">
        <v>428</v>
      </c>
      <c r="G3539" t="s">
        <v>428</v>
      </c>
      <c r="H3539" t="s">
        <v>5624</v>
      </c>
      <c r="I3539">
        <v>1</v>
      </c>
      <c r="J3539" t="s">
        <v>87</v>
      </c>
      <c r="K3539">
        <v>0</v>
      </c>
      <c r="L3539">
        <v>0</v>
      </c>
    </row>
    <row r="3540" spans="1:12">
      <c r="A3540" s="93">
        <v>242705</v>
      </c>
      <c r="B3540" t="s">
        <v>4028</v>
      </c>
      <c r="C3540" t="s">
        <v>5610</v>
      </c>
      <c r="D3540" s="92">
        <v>0.28</v>
      </c>
      <c r="E3540" s="92">
        <v>0.28</v>
      </c>
      <c r="F3540" t="s">
        <v>428</v>
      </c>
      <c r="G3540" t="s">
        <v>428</v>
      </c>
      <c r="H3540" t="s">
        <v>5614</v>
      </c>
      <c r="I3540">
        <v>1</v>
      </c>
      <c r="J3540" t="s">
        <v>87</v>
      </c>
      <c r="K3540">
        <v>0</v>
      </c>
      <c r="L3540">
        <v>0</v>
      </c>
    </row>
    <row r="3541" spans="1:12">
      <c r="A3541" s="93">
        <v>242723</v>
      </c>
      <c r="B3541" t="s">
        <v>4029</v>
      </c>
      <c r="C3541" t="s">
        <v>5607</v>
      </c>
      <c r="D3541" s="92" t="s">
        <v>428</v>
      </c>
      <c r="E3541" s="92" t="s">
        <v>428</v>
      </c>
      <c r="F3541" t="s">
        <v>428</v>
      </c>
      <c r="G3541" t="s">
        <v>428</v>
      </c>
      <c r="H3541" t="s">
        <v>5615</v>
      </c>
      <c r="I3541">
        <v>0</v>
      </c>
      <c r="J3541" t="s">
        <v>87</v>
      </c>
      <c r="K3541">
        <v>0</v>
      </c>
      <c r="L3541">
        <v>0</v>
      </c>
    </row>
    <row r="3542" spans="1:12">
      <c r="A3542" s="93">
        <v>242820</v>
      </c>
      <c r="B3542" t="s">
        <v>4030</v>
      </c>
      <c r="C3542" t="s">
        <v>5606</v>
      </c>
      <c r="D3542" s="92" t="s">
        <v>428</v>
      </c>
      <c r="E3542" s="92" t="s">
        <v>428</v>
      </c>
      <c r="F3542" t="s">
        <v>428</v>
      </c>
      <c r="G3542" t="s">
        <v>428</v>
      </c>
      <c r="H3542" t="s">
        <v>5616</v>
      </c>
      <c r="I3542">
        <v>0</v>
      </c>
      <c r="J3542" t="s">
        <v>87</v>
      </c>
      <c r="K3542">
        <v>0</v>
      </c>
      <c r="L3542">
        <v>0</v>
      </c>
    </row>
    <row r="3543" spans="1:12">
      <c r="A3543" s="93">
        <v>242972</v>
      </c>
      <c r="B3543" t="s">
        <v>4031</v>
      </c>
      <c r="C3543" t="s">
        <v>5607</v>
      </c>
      <c r="D3543" s="92">
        <v>0.17</v>
      </c>
      <c r="E3543" s="92">
        <v>0.17</v>
      </c>
      <c r="F3543" t="s">
        <v>428</v>
      </c>
      <c r="G3543" t="s">
        <v>428</v>
      </c>
      <c r="H3543" t="s">
        <v>5613</v>
      </c>
      <c r="I3543">
        <v>1</v>
      </c>
      <c r="J3543" t="s">
        <v>87</v>
      </c>
      <c r="K3543">
        <v>0</v>
      </c>
      <c r="L3543">
        <v>0</v>
      </c>
    </row>
    <row r="3544" spans="1:12">
      <c r="A3544" s="93">
        <v>242981</v>
      </c>
      <c r="B3544" t="s">
        <v>4032</v>
      </c>
      <c r="C3544" t="s">
        <v>5607</v>
      </c>
      <c r="D3544" s="92">
        <v>0.22</v>
      </c>
      <c r="E3544" s="92">
        <v>0.22</v>
      </c>
      <c r="F3544" t="s">
        <v>428</v>
      </c>
      <c r="G3544" t="s">
        <v>428</v>
      </c>
      <c r="H3544" t="s">
        <v>5613</v>
      </c>
      <c r="I3544">
        <v>1</v>
      </c>
      <c r="J3544" t="s">
        <v>87</v>
      </c>
      <c r="K3544">
        <v>0</v>
      </c>
      <c r="L3544">
        <v>0</v>
      </c>
    </row>
    <row r="3545" spans="1:12">
      <c r="A3545" s="93">
        <v>243072</v>
      </c>
      <c r="B3545" t="s">
        <v>4033</v>
      </c>
      <c r="C3545" t="s">
        <v>5606</v>
      </c>
      <c r="D3545" s="92" t="s">
        <v>428</v>
      </c>
      <c r="E3545" s="92" t="s">
        <v>428</v>
      </c>
      <c r="F3545" t="s">
        <v>428</v>
      </c>
      <c r="G3545" t="s">
        <v>428</v>
      </c>
      <c r="H3545" t="s">
        <v>5624</v>
      </c>
      <c r="I3545">
        <v>1</v>
      </c>
      <c r="J3545" t="s">
        <v>87</v>
      </c>
      <c r="K3545">
        <v>0</v>
      </c>
      <c r="L3545">
        <v>0</v>
      </c>
    </row>
    <row r="3546" spans="1:12">
      <c r="A3546" s="93">
        <v>243081</v>
      </c>
      <c r="B3546" t="s">
        <v>4034</v>
      </c>
      <c r="C3546" t="s">
        <v>5607</v>
      </c>
      <c r="D3546" s="92" t="s">
        <v>428</v>
      </c>
      <c r="E3546" s="92" t="s">
        <v>428</v>
      </c>
      <c r="F3546" t="s">
        <v>428</v>
      </c>
      <c r="G3546" t="s">
        <v>428</v>
      </c>
      <c r="H3546" t="s">
        <v>5615</v>
      </c>
      <c r="I3546">
        <v>0</v>
      </c>
      <c r="J3546" t="s">
        <v>87</v>
      </c>
      <c r="K3546">
        <v>0</v>
      </c>
      <c r="L3546">
        <v>0</v>
      </c>
    </row>
    <row r="3547" spans="1:12">
      <c r="A3547" s="93">
        <v>243106</v>
      </c>
      <c r="B3547" t="s">
        <v>4035</v>
      </c>
      <c r="C3547" t="s">
        <v>5604</v>
      </c>
      <c r="D3547" s="92">
        <v>0.38</v>
      </c>
      <c r="E3547" s="92">
        <v>0.38</v>
      </c>
      <c r="F3547">
        <v>17</v>
      </c>
      <c r="G3547">
        <v>20.5</v>
      </c>
      <c r="H3547" t="s">
        <v>5615</v>
      </c>
      <c r="I3547">
        <v>0</v>
      </c>
      <c r="J3547" t="s">
        <v>87</v>
      </c>
      <c r="K3547">
        <v>0</v>
      </c>
      <c r="L3547">
        <v>0</v>
      </c>
    </row>
    <row r="3548" spans="1:12">
      <c r="A3548" s="93">
        <v>243115</v>
      </c>
      <c r="B3548" t="s">
        <v>4036</v>
      </c>
      <c r="C3548" t="s">
        <v>5610</v>
      </c>
      <c r="D3548" s="92">
        <v>0.41</v>
      </c>
      <c r="E3548" s="92">
        <v>0.41</v>
      </c>
      <c r="F3548" t="s">
        <v>428</v>
      </c>
      <c r="G3548" t="s">
        <v>428</v>
      </c>
      <c r="H3548" t="s">
        <v>5615</v>
      </c>
      <c r="I3548">
        <v>0</v>
      </c>
      <c r="J3548" t="s">
        <v>87</v>
      </c>
      <c r="K3548">
        <v>0</v>
      </c>
      <c r="L3548">
        <v>0</v>
      </c>
    </row>
    <row r="3549" spans="1:12">
      <c r="A3549" s="93">
        <v>243133</v>
      </c>
      <c r="B3549" t="s">
        <v>4037</v>
      </c>
      <c r="C3549" t="s">
        <v>5610</v>
      </c>
      <c r="D3549" s="92">
        <v>0.36</v>
      </c>
      <c r="E3549" s="92">
        <v>0.36</v>
      </c>
      <c r="F3549" t="s">
        <v>428</v>
      </c>
      <c r="G3549" t="s">
        <v>428</v>
      </c>
      <c r="H3549" t="s">
        <v>5615</v>
      </c>
      <c r="I3549">
        <v>0</v>
      </c>
      <c r="J3549" t="s">
        <v>87</v>
      </c>
      <c r="K3549">
        <v>0</v>
      </c>
      <c r="L3549">
        <v>0</v>
      </c>
    </row>
    <row r="3550" spans="1:12">
      <c r="A3550" s="93">
        <v>243142</v>
      </c>
      <c r="B3550" t="s">
        <v>4038</v>
      </c>
      <c r="C3550" t="s">
        <v>5608</v>
      </c>
      <c r="D3550" s="92">
        <v>0.47</v>
      </c>
      <c r="E3550" s="92">
        <v>0.47</v>
      </c>
      <c r="F3550">
        <v>17</v>
      </c>
      <c r="G3550">
        <v>20</v>
      </c>
      <c r="H3550" t="s">
        <v>5615</v>
      </c>
      <c r="I3550">
        <v>0</v>
      </c>
      <c r="J3550" t="s">
        <v>87</v>
      </c>
      <c r="K3550">
        <v>0</v>
      </c>
      <c r="L3550">
        <v>0</v>
      </c>
    </row>
    <row r="3551" spans="1:12">
      <c r="A3551" s="93">
        <v>243151</v>
      </c>
      <c r="B3551" t="s">
        <v>4039</v>
      </c>
      <c r="C3551" t="s">
        <v>5610</v>
      </c>
      <c r="D3551" s="92">
        <v>0.47</v>
      </c>
      <c r="E3551" s="92">
        <v>0.47</v>
      </c>
      <c r="F3551">
        <v>18</v>
      </c>
      <c r="G3551">
        <v>22</v>
      </c>
      <c r="H3551" t="s">
        <v>5615</v>
      </c>
      <c r="I3551">
        <v>0</v>
      </c>
      <c r="J3551" t="s">
        <v>87</v>
      </c>
      <c r="K3551">
        <v>0</v>
      </c>
      <c r="L3551">
        <v>0</v>
      </c>
    </row>
    <row r="3552" spans="1:12">
      <c r="A3552" s="93">
        <v>243179</v>
      </c>
      <c r="B3552" t="s">
        <v>4040</v>
      </c>
      <c r="C3552" t="s">
        <v>5610</v>
      </c>
      <c r="D3552" s="92">
        <v>0.44</v>
      </c>
      <c r="E3552" s="92">
        <v>0.46</v>
      </c>
      <c r="F3552" t="s">
        <v>428</v>
      </c>
      <c r="G3552" t="s">
        <v>428</v>
      </c>
      <c r="H3552" t="s">
        <v>5615</v>
      </c>
      <c r="I3552">
        <v>0</v>
      </c>
      <c r="J3552" t="s">
        <v>87</v>
      </c>
      <c r="K3552">
        <v>0</v>
      </c>
      <c r="L3552">
        <v>0</v>
      </c>
    </row>
    <row r="3553" spans="1:12">
      <c r="A3553" s="93">
        <v>243188</v>
      </c>
      <c r="B3553" t="s">
        <v>4041</v>
      </c>
      <c r="C3553" t="s">
        <v>5607</v>
      </c>
      <c r="D3553" s="92">
        <v>0.19</v>
      </c>
      <c r="E3553" s="92">
        <v>0.21</v>
      </c>
      <c r="F3553" t="s">
        <v>428</v>
      </c>
      <c r="G3553" t="s">
        <v>428</v>
      </c>
      <c r="H3553" t="s">
        <v>5615</v>
      </c>
      <c r="I3553">
        <v>0</v>
      </c>
      <c r="J3553" t="s">
        <v>87</v>
      </c>
      <c r="K3553">
        <v>0</v>
      </c>
      <c r="L3553">
        <v>0</v>
      </c>
    </row>
    <row r="3554" spans="1:12">
      <c r="A3554" s="93">
        <v>243197</v>
      </c>
      <c r="B3554" t="s">
        <v>4042</v>
      </c>
      <c r="C3554" t="s">
        <v>5610</v>
      </c>
      <c r="D3554" s="92">
        <v>0.45</v>
      </c>
      <c r="E3554" s="92">
        <v>0.45</v>
      </c>
      <c r="F3554" t="s">
        <v>428</v>
      </c>
      <c r="G3554" t="s">
        <v>428</v>
      </c>
      <c r="H3554" t="s">
        <v>5615</v>
      </c>
      <c r="I3554">
        <v>0</v>
      </c>
      <c r="J3554" t="s">
        <v>87</v>
      </c>
      <c r="K3554">
        <v>0</v>
      </c>
      <c r="L3554">
        <v>0</v>
      </c>
    </row>
    <row r="3555" spans="1:12">
      <c r="A3555" s="93">
        <v>243203</v>
      </c>
      <c r="B3555" t="s">
        <v>4043</v>
      </c>
      <c r="C3555" t="s">
        <v>5607</v>
      </c>
      <c r="D3555" s="92" t="s">
        <v>428</v>
      </c>
      <c r="E3555" s="92" t="s">
        <v>428</v>
      </c>
      <c r="F3555" t="s">
        <v>428</v>
      </c>
      <c r="G3555" t="s">
        <v>428</v>
      </c>
      <c r="H3555" t="s">
        <v>5615</v>
      </c>
      <c r="I3555">
        <v>0</v>
      </c>
      <c r="J3555" t="s">
        <v>87</v>
      </c>
      <c r="K3555">
        <v>0</v>
      </c>
      <c r="L3555">
        <v>0</v>
      </c>
    </row>
    <row r="3556" spans="1:12">
      <c r="A3556" s="93">
        <v>243212</v>
      </c>
      <c r="B3556" t="s">
        <v>4044</v>
      </c>
      <c r="C3556" t="s">
        <v>5607</v>
      </c>
      <c r="D3556" s="92">
        <v>0.43</v>
      </c>
      <c r="E3556" s="92">
        <v>0.43</v>
      </c>
      <c r="F3556" t="s">
        <v>428</v>
      </c>
      <c r="G3556" t="s">
        <v>428</v>
      </c>
      <c r="H3556" t="s">
        <v>5615</v>
      </c>
      <c r="I3556">
        <v>0</v>
      </c>
      <c r="J3556" t="s">
        <v>87</v>
      </c>
      <c r="K3556">
        <v>0</v>
      </c>
      <c r="L3556">
        <v>0</v>
      </c>
    </row>
    <row r="3557" spans="1:12">
      <c r="A3557" s="93">
        <v>243221</v>
      </c>
      <c r="B3557" t="s">
        <v>4045</v>
      </c>
      <c r="C3557" t="s">
        <v>5610</v>
      </c>
      <c r="D3557" s="92">
        <v>0.53</v>
      </c>
      <c r="E3557" s="92">
        <v>0.53</v>
      </c>
      <c r="F3557" t="s">
        <v>428</v>
      </c>
      <c r="G3557" t="s">
        <v>428</v>
      </c>
      <c r="H3557" t="s">
        <v>5615</v>
      </c>
      <c r="I3557">
        <v>0</v>
      </c>
      <c r="J3557" t="s">
        <v>87</v>
      </c>
      <c r="K3557">
        <v>0</v>
      </c>
      <c r="L3557">
        <v>0</v>
      </c>
    </row>
    <row r="3558" spans="1:12">
      <c r="A3558" s="93">
        <v>243346</v>
      </c>
      <c r="B3558" t="s">
        <v>4046</v>
      </c>
      <c r="C3558" t="s">
        <v>5604</v>
      </c>
      <c r="D3558" s="92">
        <v>0.28</v>
      </c>
      <c r="E3558" s="92">
        <v>0.28</v>
      </c>
      <c r="F3558" t="s">
        <v>428</v>
      </c>
      <c r="G3558" t="s">
        <v>428</v>
      </c>
      <c r="H3558" t="s">
        <v>5613</v>
      </c>
      <c r="I3558">
        <v>1</v>
      </c>
      <c r="J3558" t="s">
        <v>87</v>
      </c>
      <c r="K3558">
        <v>0</v>
      </c>
      <c r="L3558">
        <v>0</v>
      </c>
    </row>
    <row r="3559" spans="1:12">
      <c r="A3559" s="93">
        <v>243443</v>
      </c>
      <c r="B3559" t="s">
        <v>4047</v>
      </c>
      <c r="C3559" t="s">
        <v>5610</v>
      </c>
      <c r="D3559" s="92">
        <v>0.33</v>
      </c>
      <c r="E3559" s="92">
        <v>0.33</v>
      </c>
      <c r="F3559" t="s">
        <v>428</v>
      </c>
      <c r="G3559" t="s">
        <v>428</v>
      </c>
      <c r="H3559" t="s">
        <v>5624</v>
      </c>
      <c r="I3559">
        <v>1</v>
      </c>
      <c r="J3559" t="s">
        <v>87</v>
      </c>
      <c r="K3559">
        <v>0</v>
      </c>
      <c r="L3559">
        <v>0</v>
      </c>
    </row>
    <row r="3560" spans="1:12">
      <c r="A3560" s="93">
        <v>243498</v>
      </c>
      <c r="B3560" t="s">
        <v>4048</v>
      </c>
      <c r="C3560" t="s">
        <v>5607</v>
      </c>
      <c r="D3560" s="92" t="s">
        <v>428</v>
      </c>
      <c r="E3560" s="92" t="s">
        <v>428</v>
      </c>
      <c r="F3560" t="s">
        <v>428</v>
      </c>
      <c r="G3560" t="s">
        <v>428</v>
      </c>
      <c r="H3560" t="s">
        <v>5615</v>
      </c>
      <c r="I3560">
        <v>0</v>
      </c>
      <c r="J3560" t="s">
        <v>87</v>
      </c>
      <c r="K3560">
        <v>0</v>
      </c>
      <c r="L3560">
        <v>0</v>
      </c>
    </row>
    <row r="3561" spans="1:12">
      <c r="A3561" s="93">
        <v>243568</v>
      </c>
      <c r="B3561" t="s">
        <v>4049</v>
      </c>
      <c r="C3561" t="s">
        <v>5607</v>
      </c>
      <c r="D3561" s="92">
        <v>0.25</v>
      </c>
      <c r="E3561" s="92">
        <v>0.25</v>
      </c>
      <c r="F3561" t="s">
        <v>428</v>
      </c>
      <c r="G3561" t="s">
        <v>428</v>
      </c>
      <c r="H3561" t="s">
        <v>5617</v>
      </c>
      <c r="I3561">
        <v>0</v>
      </c>
      <c r="J3561" t="s">
        <v>87</v>
      </c>
      <c r="K3561">
        <v>0</v>
      </c>
      <c r="L3561">
        <v>0</v>
      </c>
    </row>
    <row r="3562" spans="1:12">
      <c r="A3562" s="93">
        <v>243577</v>
      </c>
      <c r="B3562" t="s">
        <v>4050</v>
      </c>
      <c r="C3562" t="s">
        <v>5610</v>
      </c>
      <c r="D3562" s="92">
        <v>0.21</v>
      </c>
      <c r="E3562" s="92">
        <v>0.21</v>
      </c>
      <c r="F3562" t="s">
        <v>428</v>
      </c>
      <c r="G3562" t="s">
        <v>428</v>
      </c>
      <c r="H3562" t="s">
        <v>5616</v>
      </c>
      <c r="I3562">
        <v>0</v>
      </c>
      <c r="J3562" t="s">
        <v>87</v>
      </c>
      <c r="K3562">
        <v>0</v>
      </c>
      <c r="L3562">
        <v>0</v>
      </c>
    </row>
    <row r="3563" spans="1:12">
      <c r="A3563" s="93">
        <v>243586</v>
      </c>
      <c r="B3563" t="s">
        <v>4051</v>
      </c>
      <c r="C3563" t="s">
        <v>5607</v>
      </c>
      <c r="D3563" s="92">
        <v>0.25</v>
      </c>
      <c r="E3563" s="92">
        <v>0.25</v>
      </c>
      <c r="F3563" t="s">
        <v>428</v>
      </c>
      <c r="G3563" t="s">
        <v>428</v>
      </c>
      <c r="H3563" t="s">
        <v>5624</v>
      </c>
      <c r="I3563">
        <v>1</v>
      </c>
      <c r="J3563" t="s">
        <v>87</v>
      </c>
      <c r="K3563">
        <v>0</v>
      </c>
      <c r="L3563">
        <v>0</v>
      </c>
    </row>
    <row r="3564" spans="1:12">
      <c r="A3564" s="93">
        <v>243601</v>
      </c>
      <c r="B3564" t="s">
        <v>4052</v>
      </c>
      <c r="C3564" t="s">
        <v>5610</v>
      </c>
      <c r="D3564" s="92">
        <v>0.26</v>
      </c>
      <c r="E3564" s="92">
        <v>0.26</v>
      </c>
      <c r="F3564" t="s">
        <v>428</v>
      </c>
      <c r="G3564" t="s">
        <v>428</v>
      </c>
      <c r="H3564" t="s">
        <v>5613</v>
      </c>
      <c r="I3564">
        <v>1</v>
      </c>
      <c r="J3564" t="s">
        <v>87</v>
      </c>
      <c r="K3564">
        <v>0</v>
      </c>
      <c r="L3564">
        <v>0</v>
      </c>
    </row>
    <row r="3565" spans="1:12">
      <c r="A3565" s="93">
        <v>243638</v>
      </c>
      <c r="B3565" t="s">
        <v>4053</v>
      </c>
      <c r="C3565" t="s">
        <v>5609</v>
      </c>
      <c r="D3565" s="92" t="s">
        <v>428</v>
      </c>
      <c r="E3565" s="92" t="s">
        <v>428</v>
      </c>
      <c r="F3565" t="s">
        <v>428</v>
      </c>
      <c r="G3565" t="s">
        <v>428</v>
      </c>
      <c r="H3565" t="s">
        <v>5615</v>
      </c>
      <c r="I3565">
        <v>0</v>
      </c>
      <c r="J3565" t="s">
        <v>87</v>
      </c>
      <c r="K3565">
        <v>0</v>
      </c>
      <c r="L3565">
        <v>0</v>
      </c>
    </row>
    <row r="3566" spans="1:12">
      <c r="A3566" s="93">
        <v>243647</v>
      </c>
      <c r="B3566" t="s">
        <v>4054</v>
      </c>
      <c r="C3566" t="s">
        <v>5606</v>
      </c>
      <c r="D3566" s="92">
        <v>0.16</v>
      </c>
      <c r="E3566" s="92">
        <v>0</v>
      </c>
      <c r="F3566" t="s">
        <v>428</v>
      </c>
      <c r="G3566" t="s">
        <v>428</v>
      </c>
      <c r="H3566" t="s">
        <v>5615</v>
      </c>
      <c r="I3566">
        <v>0</v>
      </c>
      <c r="J3566" t="s">
        <v>87</v>
      </c>
      <c r="K3566">
        <v>0</v>
      </c>
      <c r="L3566">
        <v>0</v>
      </c>
    </row>
    <row r="3567" spans="1:12">
      <c r="A3567" s="93">
        <v>243665</v>
      </c>
      <c r="B3567" t="s">
        <v>4055</v>
      </c>
      <c r="C3567" t="s">
        <v>5604</v>
      </c>
      <c r="D3567" s="92">
        <v>0.23</v>
      </c>
      <c r="E3567" s="92">
        <v>0.37</v>
      </c>
      <c r="F3567">
        <v>12</v>
      </c>
      <c r="G3567">
        <v>14</v>
      </c>
      <c r="H3567" t="s">
        <v>5615</v>
      </c>
      <c r="I3567">
        <v>0</v>
      </c>
      <c r="J3567" t="s">
        <v>138</v>
      </c>
      <c r="K3567">
        <v>0</v>
      </c>
      <c r="L3567">
        <v>0</v>
      </c>
    </row>
    <row r="3568" spans="1:12">
      <c r="A3568" s="93">
        <v>243744</v>
      </c>
      <c r="B3568" t="s">
        <v>504</v>
      </c>
      <c r="C3568" t="s">
        <v>5611</v>
      </c>
      <c r="D3568" s="92">
        <v>0.9399999999999999</v>
      </c>
      <c r="E3568" s="92">
        <v>0.93</v>
      </c>
      <c r="F3568">
        <v>31</v>
      </c>
      <c r="G3568">
        <v>33</v>
      </c>
      <c r="H3568" t="s">
        <v>5619</v>
      </c>
      <c r="I3568">
        <v>1</v>
      </c>
      <c r="J3568" t="s">
        <v>87</v>
      </c>
      <c r="K3568">
        <v>0</v>
      </c>
      <c r="L3568">
        <v>0</v>
      </c>
    </row>
    <row r="3569" spans="1:12">
      <c r="A3569" s="93">
        <v>243780</v>
      </c>
      <c r="B3569" t="s">
        <v>4056</v>
      </c>
      <c r="C3569" t="s">
        <v>5612</v>
      </c>
      <c r="D3569" s="92">
        <v>0.77</v>
      </c>
      <c r="E3569" s="92">
        <v>0.7</v>
      </c>
      <c r="F3569">
        <v>25</v>
      </c>
      <c r="G3569">
        <v>28</v>
      </c>
      <c r="H3569" t="s">
        <v>5617</v>
      </c>
      <c r="I3569">
        <v>0</v>
      </c>
      <c r="J3569" t="s">
        <v>87</v>
      </c>
      <c r="K3569">
        <v>0</v>
      </c>
      <c r="L3569">
        <v>0</v>
      </c>
    </row>
    <row r="3570" spans="1:12">
      <c r="A3570" s="93">
        <v>243823</v>
      </c>
      <c r="B3570" t="s">
        <v>4057</v>
      </c>
      <c r="C3570" t="s">
        <v>5604</v>
      </c>
      <c r="D3570" s="92" t="s">
        <v>428</v>
      </c>
      <c r="E3570" s="92" t="s">
        <v>428</v>
      </c>
      <c r="F3570" t="s">
        <v>428</v>
      </c>
      <c r="G3570" t="s">
        <v>428</v>
      </c>
      <c r="H3570" t="s">
        <v>5617</v>
      </c>
      <c r="I3570">
        <v>0</v>
      </c>
      <c r="J3570" t="s">
        <v>87</v>
      </c>
      <c r="K3570">
        <v>0</v>
      </c>
      <c r="L3570">
        <v>0</v>
      </c>
    </row>
    <row r="3571" spans="1:12">
      <c r="A3571" s="93">
        <v>243832</v>
      </c>
      <c r="B3571" t="s">
        <v>4058</v>
      </c>
      <c r="C3571" t="s">
        <v>5607</v>
      </c>
      <c r="D3571" s="92">
        <v>0.34</v>
      </c>
      <c r="E3571" s="92">
        <v>0.34</v>
      </c>
      <c r="F3571" t="s">
        <v>428</v>
      </c>
      <c r="G3571" t="s">
        <v>428</v>
      </c>
      <c r="H3571" t="s">
        <v>5624</v>
      </c>
      <c r="I3571">
        <v>1</v>
      </c>
      <c r="J3571" t="s">
        <v>87</v>
      </c>
      <c r="K3571">
        <v>0</v>
      </c>
      <c r="L3571">
        <v>0</v>
      </c>
    </row>
    <row r="3572" spans="1:12">
      <c r="A3572" s="93">
        <v>243841</v>
      </c>
      <c r="B3572" t="s">
        <v>4059</v>
      </c>
      <c r="C3572" t="s">
        <v>5606</v>
      </c>
      <c r="D3572" s="92" t="s">
        <v>428</v>
      </c>
      <c r="E3572" s="92" t="s">
        <v>428</v>
      </c>
      <c r="F3572" t="s">
        <v>428</v>
      </c>
      <c r="G3572" t="s">
        <v>428</v>
      </c>
      <c r="H3572" t="s">
        <v>5613</v>
      </c>
      <c r="I3572">
        <v>1</v>
      </c>
      <c r="J3572" t="s">
        <v>87</v>
      </c>
      <c r="K3572">
        <v>0</v>
      </c>
      <c r="L3572">
        <v>0</v>
      </c>
    </row>
    <row r="3573" spans="1:12">
      <c r="A3573" s="93">
        <v>244011</v>
      </c>
      <c r="B3573" t="s">
        <v>4060</v>
      </c>
      <c r="C3573" t="s">
        <v>5607</v>
      </c>
      <c r="D3573" s="92" t="s">
        <v>428</v>
      </c>
      <c r="E3573" s="92" t="s">
        <v>428</v>
      </c>
      <c r="F3573" t="s">
        <v>428</v>
      </c>
      <c r="G3573" t="s">
        <v>428</v>
      </c>
      <c r="H3573" t="s">
        <v>5617</v>
      </c>
      <c r="I3573">
        <v>0</v>
      </c>
      <c r="J3573" t="s">
        <v>87</v>
      </c>
      <c r="K3573">
        <v>0</v>
      </c>
      <c r="L3573">
        <v>0</v>
      </c>
    </row>
    <row r="3574" spans="1:12">
      <c r="A3574" s="93">
        <v>244154</v>
      </c>
      <c r="B3574" t="s">
        <v>4061</v>
      </c>
      <c r="C3574" t="s">
        <v>5607</v>
      </c>
      <c r="D3574" s="92">
        <v>0.5</v>
      </c>
      <c r="E3574" s="92">
        <v>0</v>
      </c>
      <c r="F3574" t="s">
        <v>428</v>
      </c>
      <c r="G3574" t="s">
        <v>428</v>
      </c>
      <c r="H3574" t="s">
        <v>5617</v>
      </c>
      <c r="I3574">
        <v>0</v>
      </c>
      <c r="J3574" t="s">
        <v>87</v>
      </c>
      <c r="K3574">
        <v>0</v>
      </c>
      <c r="L3574">
        <v>0</v>
      </c>
    </row>
    <row r="3575" spans="1:12">
      <c r="A3575" s="93">
        <v>244233</v>
      </c>
      <c r="B3575" t="s">
        <v>4062</v>
      </c>
      <c r="C3575" t="s">
        <v>5604</v>
      </c>
      <c r="D3575" s="92" t="s">
        <v>428</v>
      </c>
      <c r="E3575" s="92" t="s">
        <v>428</v>
      </c>
      <c r="F3575" t="s">
        <v>428</v>
      </c>
      <c r="G3575" t="s">
        <v>428</v>
      </c>
      <c r="H3575" t="s">
        <v>5617</v>
      </c>
      <c r="I3575">
        <v>0</v>
      </c>
      <c r="J3575" t="s">
        <v>87</v>
      </c>
      <c r="K3575">
        <v>0</v>
      </c>
      <c r="L3575">
        <v>0</v>
      </c>
    </row>
    <row r="3576" spans="1:12">
      <c r="A3576" s="93">
        <v>244279</v>
      </c>
      <c r="B3576" t="s">
        <v>4063</v>
      </c>
      <c r="C3576" t="s">
        <v>5606</v>
      </c>
      <c r="D3576" s="92">
        <v>0.71</v>
      </c>
      <c r="E3576" s="92">
        <v>0.67</v>
      </c>
      <c r="F3576" t="s">
        <v>428</v>
      </c>
      <c r="G3576" t="s">
        <v>428</v>
      </c>
      <c r="H3576" t="s">
        <v>5616</v>
      </c>
      <c r="I3576">
        <v>0</v>
      </c>
      <c r="J3576" t="s">
        <v>87</v>
      </c>
      <c r="K3576">
        <v>0</v>
      </c>
      <c r="L3576">
        <v>0</v>
      </c>
    </row>
    <row r="3577" spans="1:12">
      <c r="A3577" s="93">
        <v>244437</v>
      </c>
      <c r="B3577" t="s">
        <v>4064</v>
      </c>
      <c r="C3577" t="s">
        <v>5609</v>
      </c>
      <c r="D3577" s="92">
        <v>0.24</v>
      </c>
      <c r="E3577" s="92">
        <v>0.21</v>
      </c>
      <c r="F3577" t="s">
        <v>428</v>
      </c>
      <c r="G3577" t="s">
        <v>428</v>
      </c>
      <c r="H3577" t="s">
        <v>5615</v>
      </c>
      <c r="I3577">
        <v>0</v>
      </c>
      <c r="J3577" t="s">
        <v>87</v>
      </c>
      <c r="K3577">
        <v>0</v>
      </c>
      <c r="L3577">
        <v>0</v>
      </c>
    </row>
    <row r="3578" spans="1:12">
      <c r="A3578" s="93">
        <v>244446</v>
      </c>
      <c r="B3578" t="s">
        <v>4065</v>
      </c>
      <c r="C3578" t="s">
        <v>5606</v>
      </c>
      <c r="D3578" s="92" t="s">
        <v>428</v>
      </c>
      <c r="E3578" s="92" t="s">
        <v>428</v>
      </c>
      <c r="F3578" t="s">
        <v>428</v>
      </c>
      <c r="G3578" t="s">
        <v>428</v>
      </c>
      <c r="H3578" t="s">
        <v>5615</v>
      </c>
      <c r="I3578">
        <v>0</v>
      </c>
      <c r="J3578" t="s">
        <v>87</v>
      </c>
      <c r="K3578">
        <v>0</v>
      </c>
      <c r="L3578">
        <v>0</v>
      </c>
    </row>
    <row r="3579" spans="1:12">
      <c r="A3579" s="93">
        <v>245069</v>
      </c>
      <c r="B3579" t="s">
        <v>4066</v>
      </c>
      <c r="C3579" t="s">
        <v>5606</v>
      </c>
      <c r="D3579" s="92" t="s">
        <v>428</v>
      </c>
      <c r="E3579" s="92" t="s">
        <v>428</v>
      </c>
      <c r="F3579" t="s">
        <v>428</v>
      </c>
      <c r="G3579" t="s">
        <v>428</v>
      </c>
      <c r="H3579" t="s">
        <v>5616</v>
      </c>
      <c r="I3579">
        <v>0</v>
      </c>
      <c r="J3579" t="s">
        <v>87</v>
      </c>
      <c r="K3579">
        <v>0</v>
      </c>
      <c r="L3579">
        <v>0</v>
      </c>
    </row>
    <row r="3580" spans="1:12">
      <c r="A3580" s="93">
        <v>245342</v>
      </c>
      <c r="B3580" t="s">
        <v>4067</v>
      </c>
      <c r="C3580" t="s">
        <v>5606</v>
      </c>
      <c r="D3580" s="92" t="s">
        <v>428</v>
      </c>
      <c r="E3580" s="92" t="s">
        <v>428</v>
      </c>
      <c r="F3580" t="s">
        <v>428</v>
      </c>
      <c r="G3580" t="s">
        <v>428</v>
      </c>
      <c r="H3580" t="s">
        <v>5617</v>
      </c>
      <c r="I3580">
        <v>0</v>
      </c>
      <c r="J3580" t="s">
        <v>87</v>
      </c>
      <c r="K3580">
        <v>0</v>
      </c>
      <c r="L3580">
        <v>0</v>
      </c>
    </row>
    <row r="3581" spans="1:12">
      <c r="A3581" s="93">
        <v>245421</v>
      </c>
      <c r="B3581" t="s">
        <v>4068</v>
      </c>
      <c r="C3581" t="s">
        <v>5606</v>
      </c>
      <c r="D3581" s="92" t="s">
        <v>428</v>
      </c>
      <c r="E3581" s="92" t="s">
        <v>428</v>
      </c>
      <c r="F3581" t="s">
        <v>428</v>
      </c>
      <c r="G3581" t="s">
        <v>428</v>
      </c>
      <c r="H3581" t="s">
        <v>5616</v>
      </c>
      <c r="I3581">
        <v>0</v>
      </c>
      <c r="J3581" t="s">
        <v>87</v>
      </c>
      <c r="K3581">
        <v>0</v>
      </c>
      <c r="L3581">
        <v>0</v>
      </c>
    </row>
    <row r="3582" spans="1:12">
      <c r="A3582" s="93">
        <v>245430</v>
      </c>
      <c r="B3582" t="s">
        <v>4069</v>
      </c>
      <c r="C3582" t="s">
        <v>5606</v>
      </c>
      <c r="D3582" s="92" t="s">
        <v>428</v>
      </c>
      <c r="E3582" s="92" t="s">
        <v>428</v>
      </c>
      <c r="F3582" t="s">
        <v>428</v>
      </c>
      <c r="G3582" t="s">
        <v>428</v>
      </c>
      <c r="H3582" t="s">
        <v>5616</v>
      </c>
      <c r="I3582">
        <v>0</v>
      </c>
      <c r="J3582" t="s">
        <v>87</v>
      </c>
      <c r="K3582">
        <v>0</v>
      </c>
      <c r="L3582">
        <v>0</v>
      </c>
    </row>
    <row r="3583" spans="1:12">
      <c r="A3583" s="93">
        <v>245625</v>
      </c>
      <c r="B3583" t="s">
        <v>4070</v>
      </c>
      <c r="C3583" t="s">
        <v>5606</v>
      </c>
      <c r="D3583" s="92">
        <v>0.38</v>
      </c>
      <c r="E3583" s="92">
        <v>0.32</v>
      </c>
      <c r="F3583" t="s">
        <v>428</v>
      </c>
      <c r="G3583" t="s">
        <v>428</v>
      </c>
      <c r="H3583" t="s">
        <v>5615</v>
      </c>
      <c r="I3583">
        <v>0</v>
      </c>
      <c r="J3583" t="s">
        <v>87</v>
      </c>
      <c r="K3583">
        <v>0</v>
      </c>
      <c r="L3583">
        <v>0</v>
      </c>
    </row>
    <row r="3584" spans="1:12">
      <c r="A3584" s="93">
        <v>245652</v>
      </c>
      <c r="B3584" t="s">
        <v>1895</v>
      </c>
      <c r="C3584" t="s">
        <v>5605</v>
      </c>
      <c r="D3584" s="92">
        <v>0.48</v>
      </c>
      <c r="E3584" s="92">
        <v>0.43</v>
      </c>
      <c r="F3584" t="s">
        <v>428</v>
      </c>
      <c r="G3584" t="s">
        <v>428</v>
      </c>
      <c r="H3584" t="s">
        <v>5616</v>
      </c>
      <c r="I3584">
        <v>0</v>
      </c>
      <c r="J3584" t="s">
        <v>87</v>
      </c>
      <c r="K3584">
        <v>0</v>
      </c>
      <c r="L3584">
        <v>0</v>
      </c>
    </row>
    <row r="3585" spans="1:12">
      <c r="A3585" s="93">
        <v>245731</v>
      </c>
      <c r="B3585" t="s">
        <v>4071</v>
      </c>
      <c r="C3585" t="s">
        <v>5607</v>
      </c>
      <c r="D3585" s="92" t="s">
        <v>428</v>
      </c>
      <c r="E3585" s="92" t="s">
        <v>428</v>
      </c>
      <c r="F3585" t="s">
        <v>428</v>
      </c>
      <c r="G3585" t="s">
        <v>428</v>
      </c>
      <c r="H3585" t="s">
        <v>5615</v>
      </c>
      <c r="I3585">
        <v>0</v>
      </c>
      <c r="J3585" t="s">
        <v>87</v>
      </c>
      <c r="K3585">
        <v>0</v>
      </c>
      <c r="L3585">
        <v>0</v>
      </c>
    </row>
    <row r="3586" spans="1:12">
      <c r="A3586" s="93">
        <v>245777</v>
      </c>
      <c r="B3586" t="s">
        <v>4072</v>
      </c>
      <c r="C3586" t="s">
        <v>5607</v>
      </c>
      <c r="D3586" s="92">
        <v>0.5</v>
      </c>
      <c r="E3586" s="92" t="s">
        <v>428</v>
      </c>
      <c r="F3586" t="s">
        <v>428</v>
      </c>
      <c r="G3586" t="s">
        <v>428</v>
      </c>
      <c r="H3586" t="s">
        <v>5615</v>
      </c>
      <c r="I3586">
        <v>0</v>
      </c>
      <c r="J3586" t="s">
        <v>87</v>
      </c>
      <c r="K3586">
        <v>0</v>
      </c>
      <c r="L3586">
        <v>0</v>
      </c>
    </row>
    <row r="3587" spans="1:12">
      <c r="A3587" s="93">
        <v>245838</v>
      </c>
      <c r="B3587" t="s">
        <v>4073</v>
      </c>
      <c r="C3587" t="s">
        <v>5607</v>
      </c>
      <c r="D3587" s="92" t="s">
        <v>428</v>
      </c>
      <c r="E3587" s="92" t="s">
        <v>428</v>
      </c>
      <c r="F3587" t="s">
        <v>428</v>
      </c>
      <c r="G3587" t="s">
        <v>428</v>
      </c>
      <c r="H3587" t="s">
        <v>5615</v>
      </c>
      <c r="I3587">
        <v>0</v>
      </c>
      <c r="J3587" t="s">
        <v>87</v>
      </c>
      <c r="K3587">
        <v>0</v>
      </c>
      <c r="L3587">
        <v>0</v>
      </c>
    </row>
    <row r="3588" spans="1:12">
      <c r="A3588" s="93">
        <v>245847</v>
      </c>
      <c r="B3588" t="s">
        <v>4074</v>
      </c>
      <c r="C3588" t="s">
        <v>5607</v>
      </c>
      <c r="D3588" s="92" t="s">
        <v>428</v>
      </c>
      <c r="E3588" s="92" t="s">
        <v>428</v>
      </c>
      <c r="F3588" t="s">
        <v>428</v>
      </c>
      <c r="G3588" t="s">
        <v>428</v>
      </c>
      <c r="H3588" t="s">
        <v>5615</v>
      </c>
      <c r="I3588">
        <v>0</v>
      </c>
      <c r="J3588" t="s">
        <v>87</v>
      </c>
      <c r="K3588">
        <v>0</v>
      </c>
      <c r="L3588">
        <v>0</v>
      </c>
    </row>
    <row r="3589" spans="1:12">
      <c r="A3589" s="93">
        <v>245865</v>
      </c>
      <c r="B3589" t="s">
        <v>4075</v>
      </c>
      <c r="C3589" t="s">
        <v>5607</v>
      </c>
      <c r="D3589" s="92" t="s">
        <v>428</v>
      </c>
      <c r="E3589" s="92" t="s">
        <v>428</v>
      </c>
      <c r="F3589" t="s">
        <v>428</v>
      </c>
      <c r="G3589" t="s">
        <v>428</v>
      </c>
      <c r="H3589" t="s">
        <v>5615</v>
      </c>
      <c r="I3589">
        <v>0</v>
      </c>
      <c r="J3589" t="s">
        <v>87</v>
      </c>
      <c r="K3589">
        <v>0</v>
      </c>
      <c r="L3589">
        <v>0</v>
      </c>
    </row>
    <row r="3590" spans="1:12">
      <c r="A3590" s="93">
        <v>245883</v>
      </c>
      <c r="B3590" t="s">
        <v>4076</v>
      </c>
      <c r="C3590" t="s">
        <v>5607</v>
      </c>
      <c r="D3590" s="92">
        <v>0.12</v>
      </c>
      <c r="E3590" s="92">
        <v>0</v>
      </c>
      <c r="F3590" t="s">
        <v>428</v>
      </c>
      <c r="G3590" t="s">
        <v>428</v>
      </c>
      <c r="H3590" t="s">
        <v>5617</v>
      </c>
      <c r="I3590">
        <v>0</v>
      </c>
      <c r="J3590" t="s">
        <v>87</v>
      </c>
      <c r="K3590">
        <v>0</v>
      </c>
      <c r="L3590">
        <v>0</v>
      </c>
    </row>
    <row r="3591" spans="1:12">
      <c r="A3591" s="93">
        <v>245892</v>
      </c>
      <c r="B3591" t="s">
        <v>4077</v>
      </c>
      <c r="C3591" t="s">
        <v>5607</v>
      </c>
      <c r="D3591" s="92" t="s">
        <v>428</v>
      </c>
      <c r="E3591" s="92" t="s">
        <v>428</v>
      </c>
      <c r="F3591" t="s">
        <v>428</v>
      </c>
      <c r="G3591" t="s">
        <v>428</v>
      </c>
      <c r="H3591" t="s">
        <v>5615</v>
      </c>
      <c r="I3591">
        <v>0</v>
      </c>
      <c r="J3591" t="s">
        <v>87</v>
      </c>
      <c r="K3591">
        <v>0</v>
      </c>
      <c r="L3591">
        <v>0</v>
      </c>
    </row>
    <row r="3592" spans="1:12">
      <c r="A3592" s="93">
        <v>245953</v>
      </c>
      <c r="B3592" t="s">
        <v>4078</v>
      </c>
      <c r="C3592" t="s">
        <v>5604</v>
      </c>
      <c r="D3592" s="92">
        <v>0.42</v>
      </c>
      <c r="E3592" s="92">
        <v>0.42</v>
      </c>
      <c r="F3592" t="s">
        <v>428</v>
      </c>
      <c r="G3592" t="s">
        <v>428</v>
      </c>
      <c r="H3592" t="s">
        <v>5617</v>
      </c>
      <c r="I3592">
        <v>0</v>
      </c>
      <c r="J3592" t="s">
        <v>87</v>
      </c>
      <c r="K3592">
        <v>0</v>
      </c>
      <c r="L3592">
        <v>0</v>
      </c>
    </row>
    <row r="3593" spans="1:12">
      <c r="A3593" s="93">
        <v>245962</v>
      </c>
      <c r="B3593" t="s">
        <v>4079</v>
      </c>
      <c r="C3593" t="s">
        <v>5606</v>
      </c>
      <c r="D3593" s="92" t="s">
        <v>428</v>
      </c>
      <c r="E3593" s="92" t="s">
        <v>428</v>
      </c>
      <c r="F3593" t="s">
        <v>428</v>
      </c>
      <c r="G3593" t="s">
        <v>428</v>
      </c>
      <c r="H3593" t="s">
        <v>5617</v>
      </c>
      <c r="I3593">
        <v>0</v>
      </c>
      <c r="J3593" t="s">
        <v>87</v>
      </c>
      <c r="K3593">
        <v>0</v>
      </c>
      <c r="L3593">
        <v>0</v>
      </c>
    </row>
    <row r="3594" spans="1:12">
      <c r="A3594" s="93">
        <v>246202</v>
      </c>
      <c r="B3594" t="s">
        <v>4080</v>
      </c>
      <c r="C3594" t="s">
        <v>5606</v>
      </c>
      <c r="D3594" s="92" t="s">
        <v>428</v>
      </c>
      <c r="E3594" s="92" t="s">
        <v>428</v>
      </c>
      <c r="F3594" t="s">
        <v>428</v>
      </c>
      <c r="G3594" t="s">
        <v>428</v>
      </c>
      <c r="H3594" t="s">
        <v>5617</v>
      </c>
      <c r="I3594">
        <v>0</v>
      </c>
      <c r="J3594" t="s">
        <v>87</v>
      </c>
      <c r="K3594">
        <v>0</v>
      </c>
      <c r="L3594">
        <v>0</v>
      </c>
    </row>
    <row r="3595" spans="1:12">
      <c r="A3595" s="93">
        <v>246266</v>
      </c>
      <c r="B3595" t="s">
        <v>4081</v>
      </c>
      <c r="C3595" t="s">
        <v>5606</v>
      </c>
      <c r="D3595" s="92" t="s">
        <v>428</v>
      </c>
      <c r="E3595" s="92" t="s">
        <v>428</v>
      </c>
      <c r="F3595" t="s">
        <v>428</v>
      </c>
      <c r="G3595" t="s">
        <v>428</v>
      </c>
      <c r="H3595" t="s">
        <v>5617</v>
      </c>
      <c r="I3595">
        <v>0</v>
      </c>
      <c r="J3595" t="s">
        <v>87</v>
      </c>
      <c r="K3595">
        <v>0</v>
      </c>
      <c r="L3595">
        <v>0</v>
      </c>
    </row>
    <row r="3596" spans="1:12">
      <c r="A3596" s="93">
        <v>246345</v>
      </c>
      <c r="B3596" t="s">
        <v>4082</v>
      </c>
      <c r="C3596" t="s">
        <v>5607</v>
      </c>
      <c r="D3596" s="92" t="s">
        <v>428</v>
      </c>
      <c r="E3596" s="92" t="s">
        <v>428</v>
      </c>
      <c r="F3596" t="s">
        <v>428</v>
      </c>
      <c r="G3596" t="s">
        <v>428</v>
      </c>
      <c r="H3596" t="s">
        <v>5615</v>
      </c>
      <c r="I3596">
        <v>0</v>
      </c>
      <c r="J3596" t="s">
        <v>87</v>
      </c>
      <c r="K3596">
        <v>0</v>
      </c>
      <c r="L3596">
        <v>0</v>
      </c>
    </row>
    <row r="3597" spans="1:12">
      <c r="A3597" s="93">
        <v>246354</v>
      </c>
      <c r="B3597" t="s">
        <v>4083</v>
      </c>
      <c r="C3597" t="s">
        <v>5606</v>
      </c>
      <c r="D3597" s="92">
        <v>0.4</v>
      </c>
      <c r="E3597" s="92">
        <v>0.4</v>
      </c>
      <c r="F3597" t="s">
        <v>428</v>
      </c>
      <c r="G3597" t="s">
        <v>428</v>
      </c>
      <c r="H3597" t="s">
        <v>5615</v>
      </c>
      <c r="I3597">
        <v>0</v>
      </c>
      <c r="J3597" t="s">
        <v>87</v>
      </c>
      <c r="K3597">
        <v>0</v>
      </c>
      <c r="L3597">
        <v>0</v>
      </c>
    </row>
    <row r="3598" spans="1:12">
      <c r="A3598" s="93">
        <v>246789</v>
      </c>
      <c r="B3598" t="s">
        <v>4084</v>
      </c>
      <c r="C3598" t="s">
        <v>5607</v>
      </c>
      <c r="D3598" s="92" t="s">
        <v>428</v>
      </c>
      <c r="E3598" s="92" t="s">
        <v>428</v>
      </c>
      <c r="F3598" t="s">
        <v>428</v>
      </c>
      <c r="G3598" t="s">
        <v>428</v>
      </c>
      <c r="H3598" t="s">
        <v>5617</v>
      </c>
      <c r="I3598">
        <v>0</v>
      </c>
      <c r="J3598" t="s">
        <v>87</v>
      </c>
      <c r="K3598">
        <v>0</v>
      </c>
      <c r="L3598">
        <v>0</v>
      </c>
    </row>
    <row r="3599" spans="1:12">
      <c r="A3599" s="93">
        <v>246813</v>
      </c>
      <c r="B3599" t="s">
        <v>4085</v>
      </c>
      <c r="C3599" t="s">
        <v>5606</v>
      </c>
      <c r="D3599" s="92" t="s">
        <v>428</v>
      </c>
      <c r="E3599" s="92" t="s">
        <v>428</v>
      </c>
      <c r="F3599" t="s">
        <v>428</v>
      </c>
      <c r="G3599" t="s">
        <v>428</v>
      </c>
      <c r="H3599" t="s">
        <v>5615</v>
      </c>
      <c r="I3599">
        <v>0</v>
      </c>
      <c r="J3599" t="s">
        <v>87</v>
      </c>
      <c r="K3599">
        <v>0</v>
      </c>
      <c r="L3599">
        <v>0</v>
      </c>
    </row>
    <row r="3600" spans="1:12">
      <c r="A3600" s="93">
        <v>246974</v>
      </c>
      <c r="B3600" t="s">
        <v>4086</v>
      </c>
      <c r="C3600" t="s">
        <v>5609</v>
      </c>
      <c r="D3600" s="92">
        <v>0.7</v>
      </c>
      <c r="E3600" s="92">
        <v>0.67</v>
      </c>
      <c r="F3600" t="s">
        <v>428</v>
      </c>
      <c r="G3600" t="s">
        <v>428</v>
      </c>
      <c r="H3600" t="s">
        <v>5617</v>
      </c>
      <c r="I3600">
        <v>0</v>
      </c>
      <c r="J3600" t="s">
        <v>87</v>
      </c>
      <c r="K3600">
        <v>0</v>
      </c>
      <c r="L3600">
        <v>0</v>
      </c>
    </row>
    <row r="3601" spans="1:12">
      <c r="A3601" s="93">
        <v>247010</v>
      </c>
      <c r="B3601" t="s">
        <v>4087</v>
      </c>
      <c r="C3601" t="s">
        <v>5606</v>
      </c>
      <c r="D3601" s="92" t="s">
        <v>428</v>
      </c>
      <c r="E3601" s="92" t="s">
        <v>428</v>
      </c>
      <c r="F3601" t="s">
        <v>428</v>
      </c>
      <c r="G3601" t="s">
        <v>428</v>
      </c>
      <c r="H3601" t="s">
        <v>5617</v>
      </c>
      <c r="I3601">
        <v>0</v>
      </c>
      <c r="J3601" t="s">
        <v>87</v>
      </c>
      <c r="K3601">
        <v>0</v>
      </c>
      <c r="L3601">
        <v>0</v>
      </c>
    </row>
    <row r="3602" spans="1:12">
      <c r="A3602" s="93">
        <v>247047</v>
      </c>
      <c r="B3602" t="s">
        <v>4088</v>
      </c>
      <c r="C3602" t="s">
        <v>5606</v>
      </c>
      <c r="D3602" s="92" t="s">
        <v>428</v>
      </c>
      <c r="E3602" s="92" t="s">
        <v>428</v>
      </c>
      <c r="F3602" t="s">
        <v>428</v>
      </c>
      <c r="G3602" t="s">
        <v>428</v>
      </c>
      <c r="H3602" t="s">
        <v>5616</v>
      </c>
      <c r="I3602">
        <v>0</v>
      </c>
      <c r="J3602" t="s">
        <v>87</v>
      </c>
      <c r="K3602">
        <v>0</v>
      </c>
      <c r="L3602">
        <v>0</v>
      </c>
    </row>
    <row r="3603" spans="1:12">
      <c r="A3603" s="93">
        <v>247065</v>
      </c>
      <c r="B3603" t="s">
        <v>4089</v>
      </c>
      <c r="C3603" t="s">
        <v>5604</v>
      </c>
      <c r="D3603" s="92">
        <v>0.02</v>
      </c>
      <c r="E3603" s="92">
        <v>0</v>
      </c>
      <c r="F3603" t="s">
        <v>428</v>
      </c>
      <c r="G3603" t="s">
        <v>428</v>
      </c>
      <c r="H3603" t="s">
        <v>5617</v>
      </c>
      <c r="I3603">
        <v>0</v>
      </c>
      <c r="J3603" t="s">
        <v>87</v>
      </c>
      <c r="K3603">
        <v>0</v>
      </c>
      <c r="L3603">
        <v>0</v>
      </c>
    </row>
    <row r="3604" spans="1:12">
      <c r="A3604" s="93">
        <v>247162</v>
      </c>
      <c r="B3604" t="s">
        <v>4090</v>
      </c>
      <c r="C3604" t="s">
        <v>5604</v>
      </c>
      <c r="D3604" s="92" t="s">
        <v>428</v>
      </c>
      <c r="E3604" s="92" t="s">
        <v>428</v>
      </c>
      <c r="F3604" t="s">
        <v>428</v>
      </c>
      <c r="G3604" t="s">
        <v>428</v>
      </c>
      <c r="H3604" t="s">
        <v>5615</v>
      </c>
      <c r="I3604">
        <v>0</v>
      </c>
      <c r="J3604" t="s">
        <v>87</v>
      </c>
      <c r="K3604">
        <v>0</v>
      </c>
      <c r="L3604">
        <v>0</v>
      </c>
    </row>
    <row r="3605" spans="1:12">
      <c r="A3605" s="93">
        <v>247603</v>
      </c>
      <c r="B3605" t="s">
        <v>4091</v>
      </c>
      <c r="C3605" t="s">
        <v>5606</v>
      </c>
      <c r="D3605" s="92">
        <v>0.36</v>
      </c>
      <c r="E3605" s="92">
        <v>0.26</v>
      </c>
      <c r="F3605" t="s">
        <v>428</v>
      </c>
      <c r="G3605" t="s">
        <v>428</v>
      </c>
      <c r="H3605" t="s">
        <v>5615</v>
      </c>
      <c r="I3605">
        <v>0</v>
      </c>
      <c r="J3605" t="s">
        <v>87</v>
      </c>
      <c r="K3605">
        <v>0</v>
      </c>
      <c r="L3605">
        <v>0</v>
      </c>
    </row>
    <row r="3606" spans="1:12">
      <c r="A3606" s="93">
        <v>247649</v>
      </c>
      <c r="B3606" t="s">
        <v>4092</v>
      </c>
      <c r="C3606" t="s">
        <v>5607</v>
      </c>
      <c r="D3606" s="92" t="s">
        <v>428</v>
      </c>
      <c r="E3606" s="92" t="s">
        <v>428</v>
      </c>
      <c r="F3606" t="s">
        <v>428</v>
      </c>
      <c r="G3606" t="s">
        <v>428</v>
      </c>
      <c r="H3606" t="s">
        <v>5617</v>
      </c>
      <c r="I3606">
        <v>0</v>
      </c>
      <c r="J3606" t="s">
        <v>87</v>
      </c>
      <c r="K3606">
        <v>0</v>
      </c>
      <c r="L3606">
        <v>0</v>
      </c>
    </row>
    <row r="3607" spans="1:12">
      <c r="A3607" s="93">
        <v>247700</v>
      </c>
      <c r="B3607" t="s">
        <v>4093</v>
      </c>
      <c r="C3607" t="s">
        <v>5604</v>
      </c>
      <c r="D3607" s="92">
        <v>0.14</v>
      </c>
      <c r="E3607" s="92">
        <v>0</v>
      </c>
      <c r="F3607" t="s">
        <v>428</v>
      </c>
      <c r="G3607" t="s">
        <v>428</v>
      </c>
      <c r="H3607" t="s">
        <v>5617</v>
      </c>
      <c r="I3607">
        <v>0</v>
      </c>
      <c r="J3607" t="s">
        <v>87</v>
      </c>
      <c r="K3607">
        <v>0</v>
      </c>
      <c r="L3607">
        <v>0</v>
      </c>
    </row>
    <row r="3608" spans="1:12">
      <c r="A3608" s="93">
        <v>247773</v>
      </c>
      <c r="B3608" t="s">
        <v>4094</v>
      </c>
      <c r="C3608" t="s">
        <v>5607</v>
      </c>
      <c r="D3608" s="92">
        <v>0.14</v>
      </c>
      <c r="E3608" s="92" t="s">
        <v>428</v>
      </c>
      <c r="F3608" t="s">
        <v>428</v>
      </c>
      <c r="G3608" t="s">
        <v>428</v>
      </c>
      <c r="H3608" t="s">
        <v>5624</v>
      </c>
      <c r="I3608">
        <v>1</v>
      </c>
      <c r="J3608" t="s">
        <v>87</v>
      </c>
      <c r="K3608">
        <v>0</v>
      </c>
      <c r="L3608">
        <v>0</v>
      </c>
    </row>
    <row r="3609" spans="1:12">
      <c r="A3609" s="93">
        <v>247825</v>
      </c>
      <c r="B3609" t="s">
        <v>4095</v>
      </c>
      <c r="C3609" t="s">
        <v>5607</v>
      </c>
      <c r="D3609" s="92" t="s">
        <v>428</v>
      </c>
      <c r="E3609" s="92" t="s">
        <v>428</v>
      </c>
      <c r="F3609" t="s">
        <v>428</v>
      </c>
      <c r="G3609" t="s">
        <v>428</v>
      </c>
      <c r="H3609" t="s">
        <v>5615</v>
      </c>
      <c r="I3609">
        <v>0</v>
      </c>
      <c r="J3609" t="s">
        <v>87</v>
      </c>
      <c r="K3609">
        <v>0</v>
      </c>
      <c r="L3609">
        <v>0</v>
      </c>
    </row>
    <row r="3610" spans="1:12">
      <c r="A3610" s="93">
        <v>247834</v>
      </c>
      <c r="B3610" t="s">
        <v>4096</v>
      </c>
      <c r="C3610" t="s">
        <v>5606</v>
      </c>
      <c r="D3610" s="92">
        <v>0.31</v>
      </c>
      <c r="E3610" s="92">
        <v>0.29</v>
      </c>
      <c r="F3610" t="s">
        <v>428</v>
      </c>
      <c r="G3610" t="s">
        <v>428</v>
      </c>
      <c r="H3610" t="s">
        <v>5615</v>
      </c>
      <c r="I3610">
        <v>0</v>
      </c>
      <c r="J3610" t="s">
        <v>87</v>
      </c>
      <c r="K3610">
        <v>0</v>
      </c>
      <c r="L3610">
        <v>0</v>
      </c>
    </row>
    <row r="3611" spans="1:12">
      <c r="A3611" s="93">
        <v>247940</v>
      </c>
      <c r="B3611" t="s">
        <v>4097</v>
      </c>
      <c r="C3611" t="s">
        <v>5606</v>
      </c>
      <c r="D3611" s="92">
        <v>0.35</v>
      </c>
      <c r="E3611" s="92">
        <v>0.25</v>
      </c>
      <c r="F3611" t="s">
        <v>428</v>
      </c>
      <c r="G3611" t="s">
        <v>428</v>
      </c>
      <c r="H3611" t="s">
        <v>5615</v>
      </c>
      <c r="I3611">
        <v>0</v>
      </c>
      <c r="J3611" t="s">
        <v>87</v>
      </c>
      <c r="K3611">
        <v>0</v>
      </c>
      <c r="L3611">
        <v>0</v>
      </c>
    </row>
    <row r="3612" spans="1:12">
      <c r="A3612" s="93">
        <v>248192</v>
      </c>
      <c r="B3612" t="s">
        <v>4098</v>
      </c>
      <c r="C3612" t="s">
        <v>5606</v>
      </c>
      <c r="D3612" s="92" t="s">
        <v>428</v>
      </c>
      <c r="E3612" s="92" t="s">
        <v>428</v>
      </c>
      <c r="F3612" t="s">
        <v>428</v>
      </c>
      <c r="G3612" t="s">
        <v>428</v>
      </c>
      <c r="H3612" t="s">
        <v>5614</v>
      </c>
      <c r="I3612">
        <v>1</v>
      </c>
      <c r="J3612" t="s">
        <v>87</v>
      </c>
      <c r="K3612">
        <v>0</v>
      </c>
      <c r="L3612">
        <v>0</v>
      </c>
    </row>
    <row r="3613" spans="1:12">
      <c r="A3613" s="93">
        <v>248305</v>
      </c>
      <c r="B3613" t="s">
        <v>4099</v>
      </c>
      <c r="C3613" t="s">
        <v>5606</v>
      </c>
      <c r="D3613" s="92" t="s">
        <v>428</v>
      </c>
      <c r="E3613" s="92" t="s">
        <v>428</v>
      </c>
      <c r="F3613" t="s">
        <v>428</v>
      </c>
      <c r="G3613" t="s">
        <v>428</v>
      </c>
      <c r="H3613" t="s">
        <v>5616</v>
      </c>
      <c r="I3613">
        <v>0</v>
      </c>
      <c r="J3613" t="s">
        <v>87</v>
      </c>
      <c r="K3613">
        <v>0</v>
      </c>
      <c r="L3613">
        <v>0</v>
      </c>
    </row>
    <row r="3614" spans="1:12">
      <c r="A3614" s="93">
        <v>248606</v>
      </c>
      <c r="B3614" t="s">
        <v>4100</v>
      </c>
      <c r="C3614" t="s">
        <v>5609</v>
      </c>
      <c r="D3614" s="92" t="s">
        <v>428</v>
      </c>
      <c r="E3614" s="92" t="s">
        <v>428</v>
      </c>
      <c r="F3614" t="s">
        <v>428</v>
      </c>
      <c r="G3614" t="s">
        <v>428</v>
      </c>
      <c r="H3614" t="s">
        <v>5615</v>
      </c>
      <c r="I3614">
        <v>0</v>
      </c>
      <c r="J3614" t="s">
        <v>87</v>
      </c>
      <c r="K3614">
        <v>0</v>
      </c>
      <c r="L3614">
        <v>0</v>
      </c>
    </row>
    <row r="3615" spans="1:12">
      <c r="A3615" s="93">
        <v>248846</v>
      </c>
      <c r="B3615" t="s">
        <v>4101</v>
      </c>
      <c r="C3615" t="s">
        <v>5609</v>
      </c>
      <c r="D3615" s="92" t="s">
        <v>428</v>
      </c>
      <c r="E3615" s="92" t="s">
        <v>428</v>
      </c>
      <c r="F3615" t="s">
        <v>428</v>
      </c>
      <c r="G3615" t="s">
        <v>428</v>
      </c>
      <c r="H3615" t="s">
        <v>5617</v>
      </c>
      <c r="I3615">
        <v>0</v>
      </c>
      <c r="J3615" t="s">
        <v>87</v>
      </c>
      <c r="K3615">
        <v>0</v>
      </c>
      <c r="L3615">
        <v>0</v>
      </c>
    </row>
    <row r="3616" spans="1:12">
      <c r="A3616" s="93">
        <v>248882</v>
      </c>
      <c r="B3616" t="s">
        <v>4102</v>
      </c>
      <c r="C3616" t="s">
        <v>5604</v>
      </c>
      <c r="D3616" s="92" t="s">
        <v>428</v>
      </c>
      <c r="E3616" s="92" t="s">
        <v>428</v>
      </c>
      <c r="F3616" t="s">
        <v>428</v>
      </c>
      <c r="G3616" t="s">
        <v>428</v>
      </c>
      <c r="H3616" t="s">
        <v>5617</v>
      </c>
      <c r="I3616">
        <v>0</v>
      </c>
      <c r="J3616" t="s">
        <v>87</v>
      </c>
      <c r="K3616">
        <v>0</v>
      </c>
      <c r="L3616">
        <v>0</v>
      </c>
    </row>
    <row r="3617" spans="1:12">
      <c r="A3617" s="93">
        <v>248925</v>
      </c>
      <c r="B3617" t="s">
        <v>4103</v>
      </c>
      <c r="C3617" t="s">
        <v>5606</v>
      </c>
      <c r="D3617" s="92" t="s">
        <v>428</v>
      </c>
      <c r="E3617" s="92" t="s">
        <v>428</v>
      </c>
      <c r="F3617" t="s">
        <v>428</v>
      </c>
      <c r="G3617" t="s">
        <v>428</v>
      </c>
      <c r="H3617" t="s">
        <v>5615</v>
      </c>
      <c r="I3617">
        <v>0</v>
      </c>
      <c r="J3617" t="s">
        <v>87</v>
      </c>
      <c r="K3617">
        <v>0</v>
      </c>
      <c r="L3617">
        <v>0</v>
      </c>
    </row>
    <row r="3618" spans="1:12">
      <c r="A3618" s="93">
        <v>248934</v>
      </c>
      <c r="B3618" t="s">
        <v>4104</v>
      </c>
      <c r="C3618" t="s">
        <v>5607</v>
      </c>
      <c r="D3618" s="92">
        <v>0.3</v>
      </c>
      <c r="E3618" s="92">
        <v>0.23</v>
      </c>
      <c r="F3618" t="s">
        <v>428</v>
      </c>
      <c r="G3618" t="s">
        <v>428</v>
      </c>
      <c r="H3618" t="s">
        <v>5617</v>
      </c>
      <c r="I3618">
        <v>0</v>
      </c>
      <c r="J3618" t="s">
        <v>87</v>
      </c>
      <c r="K3618">
        <v>0</v>
      </c>
      <c r="L3618">
        <v>0</v>
      </c>
    </row>
    <row r="3619" spans="1:12">
      <c r="A3619" s="93">
        <v>249609</v>
      </c>
      <c r="B3619" t="s">
        <v>4105</v>
      </c>
      <c r="C3619" t="s">
        <v>5606</v>
      </c>
      <c r="D3619" s="92" t="s">
        <v>428</v>
      </c>
      <c r="E3619" s="92" t="s">
        <v>428</v>
      </c>
      <c r="F3619" t="s">
        <v>428</v>
      </c>
      <c r="G3619" t="s">
        <v>428</v>
      </c>
      <c r="H3619" t="s">
        <v>5617</v>
      </c>
      <c r="I3619">
        <v>0</v>
      </c>
      <c r="J3619" t="s">
        <v>87</v>
      </c>
      <c r="K3619">
        <v>0</v>
      </c>
      <c r="L3619">
        <v>0</v>
      </c>
    </row>
    <row r="3620" spans="1:12">
      <c r="A3620" s="93">
        <v>250027</v>
      </c>
      <c r="B3620" t="s">
        <v>4106</v>
      </c>
      <c r="C3620" t="s">
        <v>5606</v>
      </c>
      <c r="D3620" s="92" t="s">
        <v>428</v>
      </c>
      <c r="E3620" s="92" t="s">
        <v>428</v>
      </c>
      <c r="F3620" t="s">
        <v>428</v>
      </c>
      <c r="G3620" t="s">
        <v>428</v>
      </c>
      <c r="H3620" t="s">
        <v>5624</v>
      </c>
      <c r="I3620">
        <v>1</v>
      </c>
      <c r="J3620" t="s">
        <v>87</v>
      </c>
      <c r="K3620">
        <v>0</v>
      </c>
      <c r="L3620">
        <v>0</v>
      </c>
    </row>
    <row r="3621" spans="1:12">
      <c r="A3621" s="93">
        <v>250285</v>
      </c>
      <c r="B3621" t="s">
        <v>4107</v>
      </c>
      <c r="C3621" t="s">
        <v>5606</v>
      </c>
      <c r="D3621" s="92" t="s">
        <v>428</v>
      </c>
      <c r="E3621" s="92" t="s">
        <v>428</v>
      </c>
      <c r="F3621" t="s">
        <v>428</v>
      </c>
      <c r="G3621" t="s">
        <v>428</v>
      </c>
      <c r="H3621" t="s">
        <v>5617</v>
      </c>
      <c r="I3621">
        <v>0</v>
      </c>
      <c r="J3621" t="s">
        <v>87</v>
      </c>
      <c r="K3621">
        <v>0</v>
      </c>
      <c r="L3621">
        <v>0</v>
      </c>
    </row>
    <row r="3622" spans="1:12">
      <c r="A3622" s="93">
        <v>250601</v>
      </c>
      <c r="B3622" t="s">
        <v>4108</v>
      </c>
      <c r="C3622" t="s">
        <v>5609</v>
      </c>
      <c r="D3622" s="92">
        <v>0.57</v>
      </c>
      <c r="E3622" s="92">
        <v>0.57</v>
      </c>
      <c r="F3622" t="s">
        <v>428</v>
      </c>
      <c r="G3622" t="s">
        <v>428</v>
      </c>
      <c r="H3622" t="s">
        <v>5617</v>
      </c>
      <c r="I3622">
        <v>0</v>
      </c>
      <c r="J3622" t="s">
        <v>87</v>
      </c>
      <c r="K3622">
        <v>0</v>
      </c>
      <c r="L3622">
        <v>0</v>
      </c>
    </row>
    <row r="3623" spans="1:12">
      <c r="A3623" s="93">
        <v>250902</v>
      </c>
      <c r="B3623" t="s">
        <v>4109</v>
      </c>
      <c r="C3623" t="s">
        <v>5606</v>
      </c>
      <c r="D3623" s="92">
        <v>0.74</v>
      </c>
      <c r="E3623" s="92">
        <v>0.76</v>
      </c>
      <c r="F3623" t="s">
        <v>428</v>
      </c>
      <c r="G3623" t="s">
        <v>428</v>
      </c>
      <c r="H3623" t="s">
        <v>5616</v>
      </c>
      <c r="I3623">
        <v>0</v>
      </c>
      <c r="J3623" t="s">
        <v>87</v>
      </c>
      <c r="K3623">
        <v>0</v>
      </c>
      <c r="L3623">
        <v>0</v>
      </c>
    </row>
    <row r="3624" spans="1:12">
      <c r="A3624" s="93">
        <v>251075</v>
      </c>
      <c r="B3624" t="s">
        <v>4110</v>
      </c>
      <c r="C3624" t="s">
        <v>5606</v>
      </c>
      <c r="D3624" s="92" t="s">
        <v>428</v>
      </c>
      <c r="E3624" s="92" t="s">
        <v>428</v>
      </c>
      <c r="F3624" t="s">
        <v>428</v>
      </c>
      <c r="G3624" t="s">
        <v>428</v>
      </c>
      <c r="H3624" t="s">
        <v>5617</v>
      </c>
      <c r="I3624">
        <v>0</v>
      </c>
      <c r="J3624" t="s">
        <v>87</v>
      </c>
      <c r="K3624">
        <v>0</v>
      </c>
      <c r="L3624">
        <v>0</v>
      </c>
    </row>
    <row r="3625" spans="1:12">
      <c r="A3625" s="93">
        <v>251251</v>
      </c>
      <c r="B3625" t="s">
        <v>4111</v>
      </c>
      <c r="C3625" t="s">
        <v>5607</v>
      </c>
      <c r="D3625" s="92" t="s">
        <v>428</v>
      </c>
      <c r="E3625" s="92" t="s">
        <v>428</v>
      </c>
      <c r="F3625" t="s">
        <v>428</v>
      </c>
      <c r="G3625" t="s">
        <v>428</v>
      </c>
      <c r="H3625" t="s">
        <v>5617</v>
      </c>
      <c r="I3625">
        <v>0</v>
      </c>
      <c r="J3625" t="s">
        <v>87</v>
      </c>
      <c r="K3625">
        <v>0</v>
      </c>
      <c r="L3625">
        <v>0</v>
      </c>
    </row>
    <row r="3626" spans="1:12">
      <c r="A3626" s="93">
        <v>251260</v>
      </c>
      <c r="B3626" t="s">
        <v>4112</v>
      </c>
      <c r="C3626" t="s">
        <v>5606</v>
      </c>
      <c r="D3626" s="92">
        <v>0.3</v>
      </c>
      <c r="E3626" s="92">
        <v>0.21</v>
      </c>
      <c r="F3626" t="s">
        <v>428</v>
      </c>
      <c r="G3626" t="s">
        <v>428</v>
      </c>
      <c r="H3626" t="s">
        <v>5615</v>
      </c>
      <c r="I3626">
        <v>0</v>
      </c>
      <c r="J3626" t="s">
        <v>87</v>
      </c>
      <c r="K3626">
        <v>0</v>
      </c>
      <c r="L3626">
        <v>0</v>
      </c>
    </row>
    <row r="3627" spans="1:12">
      <c r="A3627" s="93">
        <v>251312</v>
      </c>
      <c r="B3627" t="s">
        <v>4113</v>
      </c>
      <c r="C3627" t="s">
        <v>5604</v>
      </c>
      <c r="D3627" s="92">
        <v>0.1</v>
      </c>
      <c r="E3627" s="92">
        <v>0.09</v>
      </c>
      <c r="F3627" t="s">
        <v>428</v>
      </c>
      <c r="G3627" t="s">
        <v>428</v>
      </c>
      <c r="H3627" t="s">
        <v>5617</v>
      </c>
      <c r="I3627">
        <v>0</v>
      </c>
      <c r="J3627" t="s">
        <v>87</v>
      </c>
      <c r="K3627">
        <v>0</v>
      </c>
      <c r="L3627">
        <v>0</v>
      </c>
    </row>
    <row r="3628" spans="1:12">
      <c r="A3628" s="93">
        <v>260293</v>
      </c>
      <c r="B3628" t="s">
        <v>4114</v>
      </c>
      <c r="C3628" t="s">
        <v>5607</v>
      </c>
      <c r="D3628" s="92">
        <v>0.31</v>
      </c>
      <c r="E3628" s="92">
        <v>0.34</v>
      </c>
      <c r="F3628" t="s">
        <v>428</v>
      </c>
      <c r="G3628" t="s">
        <v>428</v>
      </c>
      <c r="H3628" t="s">
        <v>5617</v>
      </c>
      <c r="I3628">
        <v>0</v>
      </c>
      <c r="J3628" t="s">
        <v>87</v>
      </c>
      <c r="K3628">
        <v>0</v>
      </c>
      <c r="L3628">
        <v>0</v>
      </c>
    </row>
    <row r="3629" spans="1:12">
      <c r="A3629" s="93">
        <v>260354</v>
      </c>
      <c r="B3629" t="s">
        <v>4115</v>
      </c>
      <c r="C3629" t="s">
        <v>5606</v>
      </c>
      <c r="D3629" s="92" t="s">
        <v>428</v>
      </c>
      <c r="E3629" s="92" t="s">
        <v>428</v>
      </c>
      <c r="F3629" t="s">
        <v>428</v>
      </c>
      <c r="G3629" t="s">
        <v>428</v>
      </c>
      <c r="H3629" t="s">
        <v>5613</v>
      </c>
      <c r="I3629">
        <v>1</v>
      </c>
      <c r="J3629" t="s">
        <v>87</v>
      </c>
      <c r="K3629">
        <v>0</v>
      </c>
      <c r="L3629">
        <v>0</v>
      </c>
    </row>
    <row r="3630" spans="1:12">
      <c r="A3630" s="93">
        <v>260372</v>
      </c>
      <c r="B3630" t="s">
        <v>4116</v>
      </c>
      <c r="C3630" t="s">
        <v>5606</v>
      </c>
      <c r="D3630" s="92" t="s">
        <v>428</v>
      </c>
      <c r="E3630" s="92" t="s">
        <v>428</v>
      </c>
      <c r="F3630" t="s">
        <v>428</v>
      </c>
      <c r="G3630" t="s">
        <v>428</v>
      </c>
      <c r="H3630" t="s">
        <v>5615</v>
      </c>
      <c r="I3630">
        <v>0</v>
      </c>
      <c r="J3630" t="s">
        <v>87</v>
      </c>
      <c r="K3630">
        <v>0</v>
      </c>
      <c r="L3630">
        <v>0</v>
      </c>
    </row>
    <row r="3631" spans="1:12">
      <c r="A3631" s="93">
        <v>260691</v>
      </c>
      <c r="B3631" t="s">
        <v>4117</v>
      </c>
      <c r="C3631" t="s">
        <v>5606</v>
      </c>
      <c r="D3631" s="92">
        <v>0.77</v>
      </c>
      <c r="E3631" s="92">
        <v>0.72</v>
      </c>
      <c r="F3631" t="s">
        <v>428</v>
      </c>
      <c r="G3631" t="s">
        <v>428</v>
      </c>
      <c r="H3631" t="s">
        <v>5617</v>
      </c>
      <c r="I3631">
        <v>0</v>
      </c>
      <c r="J3631" t="s">
        <v>87</v>
      </c>
      <c r="K3631">
        <v>0</v>
      </c>
      <c r="L3631">
        <v>0</v>
      </c>
    </row>
    <row r="3632" spans="1:12">
      <c r="A3632" s="93">
        <v>260789</v>
      </c>
      <c r="B3632" t="s">
        <v>4118</v>
      </c>
      <c r="C3632" t="s">
        <v>5604</v>
      </c>
      <c r="D3632" s="92" t="s">
        <v>428</v>
      </c>
      <c r="E3632" s="92" t="s">
        <v>428</v>
      </c>
      <c r="F3632" t="s">
        <v>428</v>
      </c>
      <c r="G3632" t="s">
        <v>428</v>
      </c>
      <c r="H3632" t="s">
        <v>5617</v>
      </c>
      <c r="I3632">
        <v>0</v>
      </c>
      <c r="J3632" t="s">
        <v>87</v>
      </c>
      <c r="K3632">
        <v>0</v>
      </c>
      <c r="L3632">
        <v>0</v>
      </c>
    </row>
    <row r="3633" spans="1:12">
      <c r="A3633" s="93">
        <v>260813</v>
      </c>
      <c r="B3633" t="s">
        <v>4119</v>
      </c>
      <c r="C3633" t="s">
        <v>5607</v>
      </c>
      <c r="D3633" s="92">
        <v>0.67</v>
      </c>
      <c r="E3633" s="92">
        <v>0</v>
      </c>
      <c r="F3633" t="s">
        <v>428</v>
      </c>
      <c r="G3633" t="s">
        <v>428</v>
      </c>
      <c r="H3633" t="s">
        <v>5617</v>
      </c>
      <c r="I3633">
        <v>0</v>
      </c>
      <c r="J3633" t="s">
        <v>87</v>
      </c>
      <c r="K3633">
        <v>0</v>
      </c>
      <c r="L3633">
        <v>0</v>
      </c>
    </row>
    <row r="3634" spans="1:12">
      <c r="A3634" s="93">
        <v>260901</v>
      </c>
      <c r="B3634" t="s">
        <v>4120</v>
      </c>
      <c r="C3634" t="s">
        <v>5604</v>
      </c>
      <c r="D3634" s="92">
        <v>0.11</v>
      </c>
      <c r="E3634" s="92">
        <v>0</v>
      </c>
      <c r="F3634" t="s">
        <v>428</v>
      </c>
      <c r="G3634" t="s">
        <v>428</v>
      </c>
      <c r="H3634" t="s">
        <v>5617</v>
      </c>
      <c r="I3634">
        <v>0</v>
      </c>
      <c r="J3634" t="s">
        <v>87</v>
      </c>
      <c r="K3634">
        <v>0</v>
      </c>
      <c r="L3634">
        <v>0</v>
      </c>
    </row>
    <row r="3635" spans="1:12">
      <c r="A3635" s="93">
        <v>260910</v>
      </c>
      <c r="B3635" t="s">
        <v>4121</v>
      </c>
      <c r="C3635" t="s">
        <v>5604</v>
      </c>
      <c r="D3635" s="92" t="s">
        <v>428</v>
      </c>
      <c r="E3635" s="92" t="s">
        <v>428</v>
      </c>
      <c r="F3635" t="s">
        <v>428</v>
      </c>
      <c r="G3635" t="s">
        <v>428</v>
      </c>
      <c r="H3635" t="s">
        <v>5617</v>
      </c>
      <c r="I3635">
        <v>0</v>
      </c>
      <c r="J3635" t="s">
        <v>87</v>
      </c>
      <c r="K3635">
        <v>0</v>
      </c>
      <c r="L3635">
        <v>0</v>
      </c>
    </row>
    <row r="3636" spans="1:12">
      <c r="A3636" s="93">
        <v>260929</v>
      </c>
      <c r="B3636" t="s">
        <v>4122</v>
      </c>
      <c r="C3636" t="s">
        <v>5606</v>
      </c>
      <c r="D3636" s="92" t="s">
        <v>428</v>
      </c>
      <c r="E3636" s="92" t="s">
        <v>428</v>
      </c>
      <c r="F3636" t="s">
        <v>428</v>
      </c>
      <c r="G3636" t="s">
        <v>428</v>
      </c>
      <c r="H3636" t="s">
        <v>5617</v>
      </c>
      <c r="I3636">
        <v>0</v>
      </c>
      <c r="J3636" t="s">
        <v>87</v>
      </c>
      <c r="K3636">
        <v>0</v>
      </c>
      <c r="L3636">
        <v>0</v>
      </c>
    </row>
    <row r="3637" spans="1:12">
      <c r="A3637" s="93">
        <v>260947</v>
      </c>
      <c r="B3637" t="s">
        <v>4123</v>
      </c>
      <c r="C3637" t="s">
        <v>5604</v>
      </c>
      <c r="D3637" s="92">
        <v>0.33</v>
      </c>
      <c r="E3637" s="92">
        <v>1</v>
      </c>
      <c r="F3637" t="s">
        <v>428</v>
      </c>
      <c r="G3637" t="s">
        <v>428</v>
      </c>
      <c r="H3637" t="s">
        <v>5616</v>
      </c>
      <c r="I3637">
        <v>0</v>
      </c>
      <c r="J3637" t="s">
        <v>87</v>
      </c>
      <c r="K3637">
        <v>0</v>
      </c>
      <c r="L3637">
        <v>1</v>
      </c>
    </row>
    <row r="3638" spans="1:12">
      <c r="A3638" s="93">
        <v>260992</v>
      </c>
      <c r="B3638" t="s">
        <v>4124</v>
      </c>
      <c r="C3638" t="s">
        <v>5609</v>
      </c>
      <c r="D3638" s="92" t="s">
        <v>428</v>
      </c>
      <c r="E3638" s="92" t="s">
        <v>428</v>
      </c>
      <c r="F3638" t="s">
        <v>428</v>
      </c>
      <c r="G3638" t="s">
        <v>428</v>
      </c>
      <c r="H3638" t="s">
        <v>5615</v>
      </c>
      <c r="I3638">
        <v>0</v>
      </c>
      <c r="J3638" t="s">
        <v>87</v>
      </c>
      <c r="K3638">
        <v>0</v>
      </c>
      <c r="L3638">
        <v>1</v>
      </c>
    </row>
    <row r="3639" spans="1:12">
      <c r="A3639" s="93">
        <v>261472</v>
      </c>
      <c r="B3639" t="s">
        <v>4125</v>
      </c>
      <c r="C3639" t="s">
        <v>5607</v>
      </c>
      <c r="D3639" s="92" t="s">
        <v>428</v>
      </c>
      <c r="E3639" s="92" t="s">
        <v>428</v>
      </c>
      <c r="F3639" t="s">
        <v>428</v>
      </c>
      <c r="G3639" t="s">
        <v>428</v>
      </c>
      <c r="H3639" t="s">
        <v>5617</v>
      </c>
      <c r="I3639">
        <v>0</v>
      </c>
      <c r="J3639" t="s">
        <v>87</v>
      </c>
      <c r="K3639">
        <v>0</v>
      </c>
      <c r="L3639">
        <v>0</v>
      </c>
    </row>
    <row r="3640" spans="1:12">
      <c r="A3640" s="93">
        <v>261861</v>
      </c>
      <c r="B3640" t="s">
        <v>4126</v>
      </c>
      <c r="C3640" t="s">
        <v>5606</v>
      </c>
      <c r="D3640" s="92" t="s">
        <v>428</v>
      </c>
      <c r="E3640" s="92" t="s">
        <v>428</v>
      </c>
      <c r="F3640" t="s">
        <v>428</v>
      </c>
      <c r="G3640" t="s">
        <v>428</v>
      </c>
      <c r="H3640" t="s">
        <v>5616</v>
      </c>
      <c r="I3640">
        <v>0</v>
      </c>
      <c r="J3640" t="s">
        <v>87</v>
      </c>
      <c r="K3640">
        <v>0</v>
      </c>
      <c r="L3640">
        <v>0</v>
      </c>
    </row>
    <row r="3641" spans="1:12">
      <c r="A3641" s="93">
        <v>262022</v>
      </c>
      <c r="B3641" t="s">
        <v>4127</v>
      </c>
      <c r="C3641" t="s">
        <v>5607</v>
      </c>
      <c r="D3641" s="92" t="s">
        <v>428</v>
      </c>
      <c r="E3641" s="92" t="s">
        <v>428</v>
      </c>
      <c r="F3641" t="s">
        <v>428</v>
      </c>
      <c r="G3641" t="s">
        <v>428</v>
      </c>
      <c r="H3641" t="s">
        <v>5615</v>
      </c>
      <c r="I3641">
        <v>0</v>
      </c>
      <c r="J3641" t="s">
        <v>87</v>
      </c>
      <c r="K3641">
        <v>0</v>
      </c>
      <c r="L3641">
        <v>0</v>
      </c>
    </row>
    <row r="3642" spans="1:12">
      <c r="A3642" s="93">
        <v>262031</v>
      </c>
      <c r="B3642" t="s">
        <v>4128</v>
      </c>
      <c r="C3642" t="s">
        <v>5606</v>
      </c>
      <c r="D3642" s="92">
        <v>0.33</v>
      </c>
      <c r="E3642" s="92">
        <v>0.38</v>
      </c>
      <c r="F3642" t="s">
        <v>428</v>
      </c>
      <c r="G3642" t="s">
        <v>428</v>
      </c>
      <c r="H3642" t="s">
        <v>5615</v>
      </c>
      <c r="I3642">
        <v>0</v>
      </c>
      <c r="J3642" t="s">
        <v>87</v>
      </c>
      <c r="K3642">
        <v>0</v>
      </c>
      <c r="L3642">
        <v>0</v>
      </c>
    </row>
    <row r="3643" spans="1:12">
      <c r="A3643" s="93">
        <v>262086</v>
      </c>
      <c r="B3643" t="s">
        <v>4129</v>
      </c>
      <c r="C3643" t="s">
        <v>5607</v>
      </c>
      <c r="D3643" s="92" t="s">
        <v>428</v>
      </c>
      <c r="E3643" s="92" t="s">
        <v>428</v>
      </c>
      <c r="F3643" t="s">
        <v>428</v>
      </c>
      <c r="G3643" t="s">
        <v>428</v>
      </c>
      <c r="H3643" t="s">
        <v>5615</v>
      </c>
      <c r="I3643">
        <v>0</v>
      </c>
      <c r="J3643" t="s">
        <v>87</v>
      </c>
      <c r="K3643">
        <v>0</v>
      </c>
      <c r="L3643">
        <v>0</v>
      </c>
    </row>
    <row r="3644" spans="1:12">
      <c r="A3644" s="93">
        <v>262129</v>
      </c>
      <c r="B3644" t="s">
        <v>4130</v>
      </c>
      <c r="C3644" t="s">
        <v>5612</v>
      </c>
      <c r="D3644" s="92">
        <v>0.68</v>
      </c>
      <c r="E3644" s="92">
        <v>0.63</v>
      </c>
      <c r="F3644">
        <v>26</v>
      </c>
      <c r="G3644">
        <v>28.5</v>
      </c>
      <c r="H3644" t="s">
        <v>5615</v>
      </c>
      <c r="I3644">
        <v>0</v>
      </c>
      <c r="J3644" t="s">
        <v>87</v>
      </c>
      <c r="K3644">
        <v>0</v>
      </c>
      <c r="L3644">
        <v>0</v>
      </c>
    </row>
    <row r="3645" spans="1:12">
      <c r="A3645" s="93">
        <v>262165</v>
      </c>
      <c r="B3645" t="s">
        <v>4131</v>
      </c>
      <c r="C3645" t="s">
        <v>5607</v>
      </c>
      <c r="D3645" s="92">
        <v>0.5</v>
      </c>
      <c r="E3645" s="92" t="s">
        <v>428</v>
      </c>
      <c r="F3645" t="s">
        <v>428</v>
      </c>
      <c r="G3645" t="s">
        <v>428</v>
      </c>
      <c r="H3645" t="s">
        <v>5615</v>
      </c>
      <c r="I3645">
        <v>0</v>
      </c>
      <c r="J3645" t="s">
        <v>87</v>
      </c>
      <c r="K3645">
        <v>0</v>
      </c>
      <c r="L3645">
        <v>0</v>
      </c>
    </row>
    <row r="3646" spans="1:12">
      <c r="A3646" s="93">
        <v>262332</v>
      </c>
      <c r="B3646" t="s">
        <v>4132</v>
      </c>
      <c r="C3646" t="s">
        <v>5607</v>
      </c>
      <c r="D3646" s="92">
        <v>0.5</v>
      </c>
      <c r="E3646" s="92" t="s">
        <v>428</v>
      </c>
      <c r="F3646" t="s">
        <v>428</v>
      </c>
      <c r="G3646" t="s">
        <v>428</v>
      </c>
      <c r="H3646" t="s">
        <v>5616</v>
      </c>
      <c r="I3646">
        <v>0</v>
      </c>
      <c r="J3646" t="s">
        <v>87</v>
      </c>
      <c r="K3646">
        <v>0</v>
      </c>
      <c r="L3646">
        <v>0</v>
      </c>
    </row>
    <row r="3647" spans="1:12">
      <c r="A3647" s="93">
        <v>363147</v>
      </c>
      <c r="B3647" t="s">
        <v>4133</v>
      </c>
      <c r="C3647" t="s">
        <v>5606</v>
      </c>
      <c r="D3647" s="92" t="s">
        <v>428</v>
      </c>
      <c r="E3647" s="92" t="s">
        <v>428</v>
      </c>
      <c r="F3647" t="s">
        <v>428</v>
      </c>
      <c r="G3647" t="s">
        <v>428</v>
      </c>
      <c r="H3647" t="s">
        <v>5616</v>
      </c>
      <c r="I3647">
        <v>0</v>
      </c>
      <c r="J3647" t="s">
        <v>87</v>
      </c>
      <c r="K3647">
        <v>0</v>
      </c>
      <c r="L3647">
        <v>0</v>
      </c>
    </row>
    <row r="3648" spans="1:12">
      <c r="A3648" s="93">
        <v>363165</v>
      </c>
      <c r="B3648" t="s">
        <v>4134</v>
      </c>
      <c r="C3648" t="s">
        <v>5606</v>
      </c>
      <c r="D3648" s="92" t="s">
        <v>428</v>
      </c>
      <c r="E3648" s="92" t="s">
        <v>428</v>
      </c>
      <c r="F3648" t="s">
        <v>428</v>
      </c>
      <c r="G3648" t="s">
        <v>428</v>
      </c>
      <c r="H3648" t="s">
        <v>5615</v>
      </c>
      <c r="I3648">
        <v>0</v>
      </c>
      <c r="J3648" t="s">
        <v>87</v>
      </c>
      <c r="K3648">
        <v>0</v>
      </c>
      <c r="L3648">
        <v>0</v>
      </c>
    </row>
    <row r="3649" spans="1:12">
      <c r="A3649" s="93">
        <v>363439</v>
      </c>
      <c r="B3649" t="s">
        <v>4135</v>
      </c>
      <c r="C3649" t="s">
        <v>5604</v>
      </c>
      <c r="D3649" s="92">
        <v>0.25</v>
      </c>
      <c r="E3649" s="92" t="s">
        <v>428</v>
      </c>
      <c r="F3649" t="s">
        <v>428</v>
      </c>
      <c r="G3649" t="s">
        <v>428</v>
      </c>
      <c r="H3649" t="s">
        <v>5617</v>
      </c>
      <c r="I3649">
        <v>0</v>
      </c>
      <c r="J3649" t="s">
        <v>87</v>
      </c>
      <c r="K3649">
        <v>0</v>
      </c>
      <c r="L3649">
        <v>0</v>
      </c>
    </row>
    <row r="3650" spans="1:12">
      <c r="A3650" s="93">
        <v>363590</v>
      </c>
      <c r="B3650" t="s">
        <v>4136</v>
      </c>
      <c r="C3650" t="s">
        <v>5606</v>
      </c>
      <c r="D3650" s="92" t="s">
        <v>428</v>
      </c>
      <c r="E3650" s="92" t="s">
        <v>428</v>
      </c>
      <c r="F3650" t="s">
        <v>428</v>
      </c>
      <c r="G3650" t="s">
        <v>428</v>
      </c>
      <c r="H3650" t="s">
        <v>5617</v>
      </c>
      <c r="I3650">
        <v>0</v>
      </c>
      <c r="J3650" t="s">
        <v>87</v>
      </c>
      <c r="K3650">
        <v>0</v>
      </c>
      <c r="L3650">
        <v>0</v>
      </c>
    </row>
    <row r="3651" spans="1:12">
      <c r="A3651" s="93">
        <v>363633</v>
      </c>
      <c r="B3651" t="s">
        <v>4137</v>
      </c>
      <c r="C3651" t="s">
        <v>5606</v>
      </c>
      <c r="D3651" s="92" t="s">
        <v>428</v>
      </c>
      <c r="E3651" s="92" t="s">
        <v>428</v>
      </c>
      <c r="F3651" t="s">
        <v>428</v>
      </c>
      <c r="G3651" t="s">
        <v>428</v>
      </c>
      <c r="H3651" t="s">
        <v>5615</v>
      </c>
      <c r="I3651">
        <v>0</v>
      </c>
      <c r="J3651" t="s">
        <v>87</v>
      </c>
      <c r="K3651">
        <v>0</v>
      </c>
      <c r="L3651">
        <v>0</v>
      </c>
    </row>
    <row r="3652" spans="1:12">
      <c r="A3652" s="93">
        <v>363712</v>
      </c>
      <c r="B3652" t="s">
        <v>4138</v>
      </c>
      <c r="C3652" t="s">
        <v>5604</v>
      </c>
      <c r="D3652" s="92">
        <v>0.08</v>
      </c>
      <c r="E3652" s="92" t="s">
        <v>428</v>
      </c>
      <c r="F3652" t="s">
        <v>428</v>
      </c>
      <c r="G3652" t="s">
        <v>428</v>
      </c>
      <c r="H3652" t="s">
        <v>5616</v>
      </c>
      <c r="I3652">
        <v>0</v>
      </c>
      <c r="J3652" t="s">
        <v>87</v>
      </c>
      <c r="K3652">
        <v>0</v>
      </c>
      <c r="L3652">
        <v>0</v>
      </c>
    </row>
    <row r="3653" spans="1:12">
      <c r="A3653" s="93">
        <v>363721</v>
      </c>
      <c r="B3653" t="s">
        <v>4139</v>
      </c>
      <c r="C3653" t="s">
        <v>5607</v>
      </c>
      <c r="D3653" s="92" t="s">
        <v>428</v>
      </c>
      <c r="E3653" s="92" t="s">
        <v>428</v>
      </c>
      <c r="F3653" t="s">
        <v>428</v>
      </c>
      <c r="G3653" t="s">
        <v>428</v>
      </c>
      <c r="H3653" t="s">
        <v>5615</v>
      </c>
      <c r="I3653">
        <v>0</v>
      </c>
      <c r="J3653" t="s">
        <v>87</v>
      </c>
      <c r="K3653">
        <v>0</v>
      </c>
      <c r="L3653">
        <v>0</v>
      </c>
    </row>
    <row r="3654" spans="1:12">
      <c r="A3654" s="93">
        <v>363882</v>
      </c>
      <c r="B3654" t="s">
        <v>4140</v>
      </c>
      <c r="C3654" t="s">
        <v>5606</v>
      </c>
      <c r="D3654" s="92" t="s">
        <v>428</v>
      </c>
      <c r="E3654" s="92" t="s">
        <v>428</v>
      </c>
      <c r="F3654" t="s">
        <v>428</v>
      </c>
      <c r="G3654" t="s">
        <v>428</v>
      </c>
      <c r="H3654" t="s">
        <v>5613</v>
      </c>
      <c r="I3654">
        <v>1</v>
      </c>
      <c r="J3654" t="s">
        <v>87</v>
      </c>
      <c r="K3654">
        <v>0</v>
      </c>
      <c r="L3654">
        <v>0</v>
      </c>
    </row>
    <row r="3655" spans="1:12">
      <c r="A3655" s="93">
        <v>363907</v>
      </c>
      <c r="B3655" t="s">
        <v>4141</v>
      </c>
      <c r="C3655" t="s">
        <v>5604</v>
      </c>
      <c r="D3655" s="92">
        <v>0.31</v>
      </c>
      <c r="E3655" s="92">
        <v>0.31</v>
      </c>
      <c r="F3655" t="s">
        <v>428</v>
      </c>
      <c r="G3655" t="s">
        <v>428</v>
      </c>
      <c r="H3655" t="s">
        <v>5614</v>
      </c>
      <c r="I3655">
        <v>1</v>
      </c>
      <c r="J3655" t="s">
        <v>87</v>
      </c>
      <c r="K3655">
        <v>0</v>
      </c>
      <c r="L3655">
        <v>0</v>
      </c>
    </row>
    <row r="3656" spans="1:12">
      <c r="A3656" s="93">
        <v>363916</v>
      </c>
      <c r="B3656" t="s">
        <v>4142</v>
      </c>
      <c r="C3656" t="s">
        <v>5604</v>
      </c>
      <c r="D3656" s="92">
        <v>0.32</v>
      </c>
      <c r="E3656" s="92">
        <v>0.32</v>
      </c>
      <c r="F3656" t="s">
        <v>428</v>
      </c>
      <c r="G3656" t="s">
        <v>428</v>
      </c>
      <c r="H3656" t="s">
        <v>5614</v>
      </c>
      <c r="I3656">
        <v>1</v>
      </c>
      <c r="J3656" t="s">
        <v>87</v>
      </c>
      <c r="K3656">
        <v>0</v>
      </c>
      <c r="L3656">
        <v>0</v>
      </c>
    </row>
    <row r="3657" spans="1:12">
      <c r="A3657" s="93">
        <v>363934</v>
      </c>
      <c r="B3657" t="s">
        <v>4143</v>
      </c>
      <c r="C3657" t="s">
        <v>5607</v>
      </c>
      <c r="D3657" s="92">
        <v>0.25</v>
      </c>
      <c r="E3657" s="92">
        <v>0.2</v>
      </c>
      <c r="F3657" t="s">
        <v>428</v>
      </c>
      <c r="G3657" t="s">
        <v>428</v>
      </c>
      <c r="H3657" t="s">
        <v>5617</v>
      </c>
      <c r="I3657">
        <v>0</v>
      </c>
      <c r="J3657" t="s">
        <v>87</v>
      </c>
      <c r="K3657">
        <v>0</v>
      </c>
      <c r="L3657">
        <v>0</v>
      </c>
    </row>
    <row r="3658" spans="1:12">
      <c r="A3658" s="93">
        <v>364016</v>
      </c>
      <c r="B3658" t="s">
        <v>4144</v>
      </c>
      <c r="C3658" t="s">
        <v>5606</v>
      </c>
      <c r="D3658" s="92">
        <v>0.41</v>
      </c>
      <c r="E3658" s="92">
        <v>0.36</v>
      </c>
      <c r="F3658" t="s">
        <v>428</v>
      </c>
      <c r="G3658" t="s">
        <v>428</v>
      </c>
      <c r="H3658" t="s">
        <v>5615</v>
      </c>
      <c r="I3658">
        <v>0</v>
      </c>
      <c r="J3658" t="s">
        <v>87</v>
      </c>
      <c r="K3658">
        <v>0</v>
      </c>
      <c r="L3658">
        <v>0</v>
      </c>
    </row>
    <row r="3659" spans="1:12">
      <c r="A3659" s="93">
        <v>364025</v>
      </c>
      <c r="B3659" t="s">
        <v>4145</v>
      </c>
      <c r="C3659" t="s">
        <v>5606</v>
      </c>
      <c r="D3659" s="92">
        <v>0.42</v>
      </c>
      <c r="E3659" s="92">
        <v>0.37</v>
      </c>
      <c r="F3659" t="s">
        <v>428</v>
      </c>
      <c r="G3659" t="s">
        <v>428</v>
      </c>
      <c r="H3659" t="s">
        <v>5615</v>
      </c>
      <c r="I3659">
        <v>0</v>
      </c>
      <c r="J3659" t="s">
        <v>87</v>
      </c>
      <c r="K3659">
        <v>0</v>
      </c>
      <c r="L3659">
        <v>0</v>
      </c>
    </row>
    <row r="3660" spans="1:12">
      <c r="A3660" s="93">
        <v>364168</v>
      </c>
      <c r="B3660" t="s">
        <v>4146</v>
      </c>
      <c r="C3660" t="s">
        <v>5606</v>
      </c>
      <c r="D3660" s="92" t="s">
        <v>428</v>
      </c>
      <c r="E3660" s="92" t="s">
        <v>428</v>
      </c>
      <c r="F3660" t="s">
        <v>428</v>
      </c>
      <c r="G3660" t="s">
        <v>428</v>
      </c>
      <c r="H3660" t="s">
        <v>5617</v>
      </c>
      <c r="I3660">
        <v>0</v>
      </c>
      <c r="J3660" t="s">
        <v>87</v>
      </c>
      <c r="K3660">
        <v>0</v>
      </c>
      <c r="L3660">
        <v>0</v>
      </c>
    </row>
    <row r="3661" spans="1:12">
      <c r="A3661" s="93">
        <v>364548</v>
      </c>
      <c r="B3661" t="s">
        <v>4147</v>
      </c>
      <c r="C3661" t="s">
        <v>5606</v>
      </c>
      <c r="D3661" s="92" t="s">
        <v>428</v>
      </c>
      <c r="E3661" s="92" t="s">
        <v>428</v>
      </c>
      <c r="F3661" t="s">
        <v>428</v>
      </c>
      <c r="G3661" t="s">
        <v>428</v>
      </c>
      <c r="H3661" t="s">
        <v>5615</v>
      </c>
      <c r="I3661">
        <v>0</v>
      </c>
      <c r="J3661" t="s">
        <v>87</v>
      </c>
      <c r="K3661">
        <v>0</v>
      </c>
      <c r="L3661">
        <v>0</v>
      </c>
    </row>
    <row r="3662" spans="1:12">
      <c r="A3662" s="93">
        <v>364575</v>
      </c>
      <c r="B3662" t="s">
        <v>4148</v>
      </c>
      <c r="C3662" t="s">
        <v>5606</v>
      </c>
      <c r="D3662" s="92" t="s">
        <v>428</v>
      </c>
      <c r="E3662" s="92" t="s">
        <v>428</v>
      </c>
      <c r="F3662" t="s">
        <v>428</v>
      </c>
      <c r="G3662" t="s">
        <v>428</v>
      </c>
      <c r="H3662" t="s">
        <v>5615</v>
      </c>
      <c r="I3662">
        <v>0</v>
      </c>
      <c r="J3662" t="s">
        <v>87</v>
      </c>
      <c r="K3662">
        <v>0</v>
      </c>
      <c r="L3662">
        <v>0</v>
      </c>
    </row>
    <row r="3663" spans="1:12">
      <c r="A3663" s="93">
        <v>364955</v>
      </c>
      <c r="B3663" t="s">
        <v>4149</v>
      </c>
      <c r="C3663" t="s">
        <v>5606</v>
      </c>
      <c r="D3663" s="92" t="s">
        <v>428</v>
      </c>
      <c r="E3663" s="92" t="s">
        <v>428</v>
      </c>
      <c r="F3663" t="s">
        <v>428</v>
      </c>
      <c r="G3663" t="s">
        <v>428</v>
      </c>
      <c r="H3663" t="s">
        <v>5617</v>
      </c>
      <c r="I3663">
        <v>0</v>
      </c>
      <c r="J3663" t="s">
        <v>87</v>
      </c>
      <c r="K3663">
        <v>0</v>
      </c>
      <c r="L3663">
        <v>0</v>
      </c>
    </row>
    <row r="3664" spans="1:12">
      <c r="A3664" s="93">
        <v>364973</v>
      </c>
      <c r="B3664" t="s">
        <v>4150</v>
      </c>
      <c r="C3664" t="s">
        <v>5606</v>
      </c>
      <c r="D3664" s="92" t="s">
        <v>428</v>
      </c>
      <c r="E3664" s="92" t="s">
        <v>428</v>
      </c>
      <c r="F3664" t="s">
        <v>428</v>
      </c>
      <c r="G3664" t="s">
        <v>428</v>
      </c>
      <c r="H3664" t="s">
        <v>5617</v>
      </c>
      <c r="I3664">
        <v>0</v>
      </c>
      <c r="J3664" t="s">
        <v>87</v>
      </c>
      <c r="K3664">
        <v>0</v>
      </c>
      <c r="L3664">
        <v>0</v>
      </c>
    </row>
    <row r="3665" spans="1:12">
      <c r="A3665" s="93">
        <v>365055</v>
      </c>
      <c r="B3665" t="s">
        <v>4151</v>
      </c>
      <c r="C3665" t="s">
        <v>5606</v>
      </c>
      <c r="D3665" s="92">
        <v>0.27</v>
      </c>
      <c r="E3665" s="92">
        <v>0.29</v>
      </c>
      <c r="F3665" t="s">
        <v>428</v>
      </c>
      <c r="G3665" t="s">
        <v>428</v>
      </c>
      <c r="H3665" t="s">
        <v>5617</v>
      </c>
      <c r="I3665">
        <v>0</v>
      </c>
      <c r="J3665" t="s">
        <v>87</v>
      </c>
      <c r="K3665">
        <v>0</v>
      </c>
      <c r="L3665">
        <v>0</v>
      </c>
    </row>
    <row r="3666" spans="1:12">
      <c r="A3666" s="93">
        <v>365204</v>
      </c>
      <c r="B3666" t="s">
        <v>4152</v>
      </c>
      <c r="C3666" t="s">
        <v>5606</v>
      </c>
      <c r="D3666" s="92" t="s">
        <v>428</v>
      </c>
      <c r="E3666" s="92" t="s">
        <v>428</v>
      </c>
      <c r="F3666" t="s">
        <v>428</v>
      </c>
      <c r="G3666" t="s">
        <v>428</v>
      </c>
      <c r="H3666" t="s">
        <v>5617</v>
      </c>
      <c r="I3666">
        <v>0</v>
      </c>
      <c r="J3666" t="s">
        <v>87</v>
      </c>
      <c r="K3666">
        <v>0</v>
      </c>
      <c r="L3666">
        <v>0</v>
      </c>
    </row>
    <row r="3667" spans="1:12">
      <c r="A3667" s="93">
        <v>365213</v>
      </c>
      <c r="B3667" t="s">
        <v>4153</v>
      </c>
      <c r="C3667" t="s">
        <v>5609</v>
      </c>
      <c r="D3667" s="92" t="s">
        <v>428</v>
      </c>
      <c r="E3667" s="92" t="s">
        <v>428</v>
      </c>
      <c r="F3667" t="s">
        <v>428</v>
      </c>
      <c r="G3667" t="s">
        <v>428</v>
      </c>
      <c r="H3667" t="s">
        <v>5615</v>
      </c>
      <c r="I3667">
        <v>0</v>
      </c>
      <c r="J3667" t="s">
        <v>87</v>
      </c>
      <c r="K3667">
        <v>0</v>
      </c>
      <c r="L3667">
        <v>0</v>
      </c>
    </row>
    <row r="3668" spans="1:12">
      <c r="A3668" s="93">
        <v>365426</v>
      </c>
      <c r="B3668" t="s">
        <v>4154</v>
      </c>
      <c r="C3668" t="s">
        <v>5607</v>
      </c>
      <c r="D3668" s="92" t="s">
        <v>428</v>
      </c>
      <c r="E3668" s="92" t="s">
        <v>428</v>
      </c>
      <c r="F3668" t="s">
        <v>428</v>
      </c>
      <c r="G3668" t="s">
        <v>428</v>
      </c>
      <c r="H3668" t="s">
        <v>5615</v>
      </c>
      <c r="I3668">
        <v>0</v>
      </c>
      <c r="J3668" t="s">
        <v>87</v>
      </c>
      <c r="K3668">
        <v>0</v>
      </c>
      <c r="L3668">
        <v>0</v>
      </c>
    </row>
    <row r="3669" spans="1:12">
      <c r="A3669" s="93">
        <v>365480</v>
      </c>
      <c r="B3669" t="s">
        <v>4155</v>
      </c>
      <c r="C3669" t="s">
        <v>5606</v>
      </c>
      <c r="D3669" s="92" t="s">
        <v>428</v>
      </c>
      <c r="E3669" s="92" t="s">
        <v>428</v>
      </c>
      <c r="F3669" t="s">
        <v>428</v>
      </c>
      <c r="G3669" t="s">
        <v>428</v>
      </c>
      <c r="H3669" t="s">
        <v>5615</v>
      </c>
      <c r="I3669">
        <v>0</v>
      </c>
      <c r="J3669" t="s">
        <v>87</v>
      </c>
      <c r="K3669">
        <v>0</v>
      </c>
      <c r="L3669">
        <v>0</v>
      </c>
    </row>
    <row r="3670" spans="1:12">
      <c r="A3670" s="93">
        <v>365693</v>
      </c>
      <c r="B3670" t="s">
        <v>4156</v>
      </c>
      <c r="C3670" t="s">
        <v>5606</v>
      </c>
      <c r="D3670" s="92" t="s">
        <v>428</v>
      </c>
      <c r="E3670" s="92" t="s">
        <v>428</v>
      </c>
      <c r="F3670" t="s">
        <v>428</v>
      </c>
      <c r="G3670" t="s">
        <v>428</v>
      </c>
      <c r="H3670" t="s">
        <v>5616</v>
      </c>
      <c r="I3670">
        <v>0</v>
      </c>
      <c r="J3670" t="s">
        <v>87</v>
      </c>
      <c r="K3670">
        <v>0</v>
      </c>
      <c r="L3670">
        <v>0</v>
      </c>
    </row>
    <row r="3671" spans="1:12">
      <c r="A3671" s="93">
        <v>366003</v>
      </c>
      <c r="B3671" t="s">
        <v>4157</v>
      </c>
      <c r="C3671" t="s">
        <v>5604</v>
      </c>
      <c r="D3671" s="92">
        <v>0.5</v>
      </c>
      <c r="E3671" s="92">
        <v>0.33</v>
      </c>
      <c r="F3671" t="s">
        <v>428</v>
      </c>
      <c r="G3671" t="s">
        <v>428</v>
      </c>
      <c r="H3671" t="s">
        <v>5616</v>
      </c>
      <c r="I3671">
        <v>0</v>
      </c>
      <c r="J3671" t="s">
        <v>87</v>
      </c>
      <c r="K3671">
        <v>0</v>
      </c>
      <c r="L3671">
        <v>0</v>
      </c>
    </row>
    <row r="3672" spans="1:12">
      <c r="A3672" s="93">
        <v>366191</v>
      </c>
      <c r="B3672" t="s">
        <v>4158</v>
      </c>
      <c r="C3672" t="s">
        <v>5606</v>
      </c>
      <c r="D3672" s="92">
        <v>0.57</v>
      </c>
      <c r="E3672" s="92">
        <v>0.41</v>
      </c>
      <c r="F3672" t="s">
        <v>428</v>
      </c>
      <c r="G3672" t="s">
        <v>428</v>
      </c>
      <c r="H3672" t="s">
        <v>5617</v>
      </c>
      <c r="I3672">
        <v>0</v>
      </c>
      <c r="J3672" t="s">
        <v>87</v>
      </c>
      <c r="K3672">
        <v>0</v>
      </c>
      <c r="L3672">
        <v>1</v>
      </c>
    </row>
    <row r="3673" spans="1:12">
      <c r="A3673" s="93">
        <v>366252</v>
      </c>
      <c r="B3673" t="s">
        <v>4159</v>
      </c>
      <c r="C3673" t="s">
        <v>5604</v>
      </c>
      <c r="D3673" s="92">
        <v>0.38</v>
      </c>
      <c r="E3673" s="92">
        <v>0.18</v>
      </c>
      <c r="F3673" t="s">
        <v>428</v>
      </c>
      <c r="G3673" t="s">
        <v>428</v>
      </c>
      <c r="H3673" t="s">
        <v>5615</v>
      </c>
      <c r="I3673">
        <v>0</v>
      </c>
      <c r="J3673" t="s">
        <v>87</v>
      </c>
      <c r="K3673">
        <v>0</v>
      </c>
      <c r="L3673">
        <v>0</v>
      </c>
    </row>
    <row r="3674" spans="1:12">
      <c r="A3674" s="93">
        <v>366261</v>
      </c>
      <c r="B3674" t="s">
        <v>4160</v>
      </c>
      <c r="C3674" t="s">
        <v>5606</v>
      </c>
      <c r="D3674" s="92" t="s">
        <v>428</v>
      </c>
      <c r="E3674" s="92" t="s">
        <v>428</v>
      </c>
      <c r="F3674" t="s">
        <v>428</v>
      </c>
      <c r="G3674" t="s">
        <v>428</v>
      </c>
      <c r="H3674" t="s">
        <v>5617</v>
      </c>
      <c r="I3674">
        <v>0</v>
      </c>
      <c r="J3674" t="s">
        <v>87</v>
      </c>
      <c r="K3674">
        <v>0</v>
      </c>
      <c r="L3674">
        <v>0</v>
      </c>
    </row>
    <row r="3675" spans="1:12">
      <c r="A3675" s="93">
        <v>366270</v>
      </c>
      <c r="B3675" t="s">
        <v>4161</v>
      </c>
      <c r="C3675" t="s">
        <v>5606</v>
      </c>
      <c r="D3675" s="92" t="s">
        <v>428</v>
      </c>
      <c r="E3675" s="92" t="s">
        <v>428</v>
      </c>
      <c r="F3675" t="s">
        <v>428</v>
      </c>
      <c r="G3675" t="s">
        <v>428</v>
      </c>
      <c r="H3675" t="s">
        <v>5617</v>
      </c>
      <c r="I3675">
        <v>0</v>
      </c>
      <c r="J3675" t="s">
        <v>87</v>
      </c>
      <c r="K3675">
        <v>0</v>
      </c>
      <c r="L3675">
        <v>0</v>
      </c>
    </row>
    <row r="3676" spans="1:12">
      <c r="A3676" s="93">
        <v>366289</v>
      </c>
      <c r="B3676" t="s">
        <v>4162</v>
      </c>
      <c r="C3676" t="s">
        <v>5606</v>
      </c>
      <c r="D3676" s="92" t="s">
        <v>428</v>
      </c>
      <c r="E3676" s="92" t="s">
        <v>428</v>
      </c>
      <c r="F3676" t="s">
        <v>428</v>
      </c>
      <c r="G3676" t="s">
        <v>428</v>
      </c>
      <c r="H3676" t="s">
        <v>5617</v>
      </c>
      <c r="I3676">
        <v>0</v>
      </c>
      <c r="J3676" t="s">
        <v>87</v>
      </c>
      <c r="K3676">
        <v>0</v>
      </c>
      <c r="L3676">
        <v>0</v>
      </c>
    </row>
    <row r="3677" spans="1:12">
      <c r="A3677" s="93">
        <v>366340</v>
      </c>
      <c r="B3677" t="s">
        <v>4163</v>
      </c>
      <c r="C3677" t="s">
        <v>5604</v>
      </c>
      <c r="D3677" s="92">
        <v>0.41</v>
      </c>
      <c r="E3677" s="92">
        <v>0</v>
      </c>
      <c r="F3677" t="s">
        <v>428</v>
      </c>
      <c r="G3677" t="s">
        <v>428</v>
      </c>
      <c r="H3677" t="s">
        <v>5615</v>
      </c>
      <c r="I3677">
        <v>0</v>
      </c>
      <c r="J3677" t="s">
        <v>87</v>
      </c>
      <c r="K3677">
        <v>0</v>
      </c>
      <c r="L3677">
        <v>0</v>
      </c>
    </row>
    <row r="3678" spans="1:12">
      <c r="A3678" s="93">
        <v>366368</v>
      </c>
      <c r="B3678" t="s">
        <v>4164</v>
      </c>
      <c r="C3678" t="s">
        <v>5607</v>
      </c>
      <c r="D3678" s="92" t="s">
        <v>428</v>
      </c>
      <c r="E3678" s="92" t="s">
        <v>428</v>
      </c>
      <c r="F3678" t="s">
        <v>428</v>
      </c>
      <c r="G3678" t="s">
        <v>428</v>
      </c>
      <c r="H3678" t="s">
        <v>5615</v>
      </c>
      <c r="I3678">
        <v>0</v>
      </c>
      <c r="J3678" t="s">
        <v>87</v>
      </c>
      <c r="K3678">
        <v>0</v>
      </c>
      <c r="L3678">
        <v>0</v>
      </c>
    </row>
    <row r="3679" spans="1:12">
      <c r="A3679" s="93">
        <v>366395</v>
      </c>
      <c r="B3679" t="s">
        <v>4165</v>
      </c>
      <c r="C3679" t="s">
        <v>5606</v>
      </c>
      <c r="D3679" s="92">
        <v>0.31</v>
      </c>
      <c r="E3679" s="92">
        <v>0.23</v>
      </c>
      <c r="F3679" t="s">
        <v>428</v>
      </c>
      <c r="G3679" t="s">
        <v>428</v>
      </c>
      <c r="H3679" t="s">
        <v>5615</v>
      </c>
      <c r="I3679">
        <v>0</v>
      </c>
      <c r="J3679" t="s">
        <v>87</v>
      </c>
      <c r="K3679">
        <v>0</v>
      </c>
      <c r="L3679">
        <v>0</v>
      </c>
    </row>
    <row r="3680" spans="1:12">
      <c r="A3680" s="93">
        <v>366401</v>
      </c>
      <c r="B3680" t="s">
        <v>4166</v>
      </c>
      <c r="C3680" t="s">
        <v>5606</v>
      </c>
      <c r="D3680" s="92">
        <v>0.43</v>
      </c>
      <c r="E3680" s="92">
        <v>0.36</v>
      </c>
      <c r="F3680" t="s">
        <v>428</v>
      </c>
      <c r="G3680" t="s">
        <v>428</v>
      </c>
      <c r="H3680" t="s">
        <v>5615</v>
      </c>
      <c r="I3680">
        <v>0</v>
      </c>
      <c r="J3680" t="s">
        <v>87</v>
      </c>
      <c r="K3680">
        <v>0</v>
      </c>
      <c r="L3680">
        <v>0</v>
      </c>
    </row>
    <row r="3681" spans="1:12">
      <c r="A3681" s="93">
        <v>366465</v>
      </c>
      <c r="B3681" t="s">
        <v>4167</v>
      </c>
      <c r="C3681" t="s">
        <v>5606</v>
      </c>
      <c r="D3681" s="92" t="s">
        <v>428</v>
      </c>
      <c r="E3681" s="92" t="s">
        <v>428</v>
      </c>
      <c r="F3681" t="s">
        <v>428</v>
      </c>
      <c r="G3681" t="s">
        <v>428</v>
      </c>
      <c r="H3681" t="s">
        <v>5615</v>
      </c>
      <c r="I3681">
        <v>0</v>
      </c>
      <c r="J3681" t="s">
        <v>87</v>
      </c>
      <c r="K3681">
        <v>0</v>
      </c>
      <c r="L3681">
        <v>0</v>
      </c>
    </row>
    <row r="3682" spans="1:12">
      <c r="A3682" s="93">
        <v>366535</v>
      </c>
      <c r="B3682" t="s">
        <v>4168</v>
      </c>
      <c r="C3682" t="s">
        <v>5604</v>
      </c>
      <c r="D3682" s="92">
        <v>0.55</v>
      </c>
      <c r="E3682" s="92">
        <v>0.52</v>
      </c>
      <c r="F3682" t="s">
        <v>428</v>
      </c>
      <c r="G3682" t="s">
        <v>428</v>
      </c>
      <c r="H3682" t="s">
        <v>5617</v>
      </c>
      <c r="I3682">
        <v>0</v>
      </c>
      <c r="J3682" t="s">
        <v>87</v>
      </c>
      <c r="K3682">
        <v>0</v>
      </c>
      <c r="L3682">
        <v>0</v>
      </c>
    </row>
    <row r="3683" spans="1:12">
      <c r="A3683" s="93">
        <v>366553</v>
      </c>
      <c r="B3683" t="s">
        <v>4169</v>
      </c>
      <c r="C3683" t="s">
        <v>5604</v>
      </c>
      <c r="D3683" s="92">
        <v>0.16</v>
      </c>
      <c r="E3683" s="92">
        <v>0.14</v>
      </c>
      <c r="F3683" t="s">
        <v>428</v>
      </c>
      <c r="G3683" t="s">
        <v>428</v>
      </c>
      <c r="H3683" t="s">
        <v>5617</v>
      </c>
      <c r="I3683">
        <v>0</v>
      </c>
      <c r="J3683" t="s">
        <v>87</v>
      </c>
      <c r="K3683">
        <v>0</v>
      </c>
      <c r="L3683">
        <v>0</v>
      </c>
    </row>
    <row r="3684" spans="1:12">
      <c r="A3684" s="93">
        <v>366571</v>
      </c>
      <c r="B3684" t="s">
        <v>4170</v>
      </c>
      <c r="C3684" t="s">
        <v>5606</v>
      </c>
      <c r="D3684" s="92" t="s">
        <v>428</v>
      </c>
      <c r="E3684" s="92" t="s">
        <v>428</v>
      </c>
      <c r="F3684" t="s">
        <v>428</v>
      </c>
      <c r="G3684" t="s">
        <v>428</v>
      </c>
      <c r="H3684" t="s">
        <v>5615</v>
      </c>
      <c r="I3684">
        <v>0</v>
      </c>
      <c r="J3684" t="s">
        <v>87</v>
      </c>
      <c r="K3684">
        <v>0</v>
      </c>
      <c r="L3684">
        <v>0</v>
      </c>
    </row>
    <row r="3685" spans="1:12">
      <c r="A3685" s="93">
        <v>366580</v>
      </c>
      <c r="B3685" t="s">
        <v>4171</v>
      </c>
      <c r="C3685" t="s">
        <v>5607</v>
      </c>
      <c r="D3685" s="92">
        <v>0.5</v>
      </c>
      <c r="E3685" s="92">
        <v>1</v>
      </c>
      <c r="F3685" t="s">
        <v>428</v>
      </c>
      <c r="G3685" t="s">
        <v>428</v>
      </c>
      <c r="H3685" t="s">
        <v>5617</v>
      </c>
      <c r="I3685">
        <v>0</v>
      </c>
      <c r="J3685" t="s">
        <v>87</v>
      </c>
      <c r="K3685">
        <v>0</v>
      </c>
      <c r="L3685">
        <v>0</v>
      </c>
    </row>
    <row r="3686" spans="1:12">
      <c r="A3686" s="93">
        <v>366605</v>
      </c>
      <c r="B3686" t="s">
        <v>4172</v>
      </c>
      <c r="C3686" t="s">
        <v>5607</v>
      </c>
      <c r="D3686" s="92" t="s">
        <v>428</v>
      </c>
      <c r="E3686" s="92" t="s">
        <v>428</v>
      </c>
      <c r="F3686" t="s">
        <v>428</v>
      </c>
      <c r="G3686" t="s">
        <v>428</v>
      </c>
      <c r="H3686" t="s">
        <v>5615</v>
      </c>
      <c r="I3686">
        <v>0</v>
      </c>
      <c r="J3686" t="s">
        <v>87</v>
      </c>
      <c r="K3686">
        <v>0</v>
      </c>
      <c r="L3686">
        <v>0</v>
      </c>
    </row>
    <row r="3687" spans="1:12">
      <c r="A3687" s="93">
        <v>366650</v>
      </c>
      <c r="B3687" t="s">
        <v>4173</v>
      </c>
      <c r="C3687" t="s">
        <v>5607</v>
      </c>
      <c r="D3687" s="92">
        <v>0.21</v>
      </c>
      <c r="E3687" s="92" t="s">
        <v>428</v>
      </c>
      <c r="F3687" t="s">
        <v>428</v>
      </c>
      <c r="G3687" t="s">
        <v>428</v>
      </c>
      <c r="H3687" t="s">
        <v>5617</v>
      </c>
      <c r="I3687">
        <v>0</v>
      </c>
      <c r="J3687" t="s">
        <v>87</v>
      </c>
      <c r="K3687">
        <v>0</v>
      </c>
      <c r="L3687">
        <v>0</v>
      </c>
    </row>
    <row r="3688" spans="1:12">
      <c r="A3688" s="93">
        <v>366678</v>
      </c>
      <c r="B3688" t="s">
        <v>4174</v>
      </c>
      <c r="C3688" t="s">
        <v>5607</v>
      </c>
      <c r="D3688" s="92" t="s">
        <v>428</v>
      </c>
      <c r="E3688" s="92" t="s">
        <v>428</v>
      </c>
      <c r="F3688" t="s">
        <v>428</v>
      </c>
      <c r="G3688" t="s">
        <v>428</v>
      </c>
      <c r="H3688" t="s">
        <v>5617</v>
      </c>
      <c r="I3688">
        <v>0</v>
      </c>
      <c r="J3688" t="s">
        <v>87</v>
      </c>
      <c r="K3688">
        <v>0</v>
      </c>
      <c r="L3688">
        <v>0</v>
      </c>
    </row>
    <row r="3689" spans="1:12">
      <c r="A3689" s="93">
        <v>366696</v>
      </c>
      <c r="B3689" t="s">
        <v>4175</v>
      </c>
      <c r="C3689" t="s">
        <v>5607</v>
      </c>
      <c r="D3689" s="92" t="s">
        <v>428</v>
      </c>
      <c r="E3689" s="92" t="s">
        <v>428</v>
      </c>
      <c r="F3689" t="s">
        <v>428</v>
      </c>
      <c r="G3689" t="s">
        <v>428</v>
      </c>
      <c r="H3689" t="s">
        <v>5617</v>
      </c>
      <c r="I3689">
        <v>0</v>
      </c>
      <c r="J3689" t="s">
        <v>87</v>
      </c>
      <c r="K3689">
        <v>0</v>
      </c>
      <c r="L3689">
        <v>0</v>
      </c>
    </row>
    <row r="3690" spans="1:12">
      <c r="A3690" s="93">
        <v>366711</v>
      </c>
      <c r="B3690" t="s">
        <v>4176</v>
      </c>
      <c r="C3690" t="s">
        <v>5608</v>
      </c>
      <c r="D3690" s="92">
        <v>0.52</v>
      </c>
      <c r="E3690" s="92">
        <v>0.47</v>
      </c>
      <c r="F3690">
        <v>18</v>
      </c>
      <c r="G3690">
        <v>20.5</v>
      </c>
      <c r="H3690" t="s">
        <v>5615</v>
      </c>
      <c r="I3690">
        <v>0</v>
      </c>
      <c r="J3690" t="s">
        <v>87</v>
      </c>
      <c r="K3690">
        <v>0</v>
      </c>
      <c r="L3690">
        <v>0</v>
      </c>
    </row>
    <row r="3691" spans="1:12">
      <c r="A3691" s="93">
        <v>366748</v>
      </c>
      <c r="B3691" t="s">
        <v>4177</v>
      </c>
      <c r="C3691" t="s">
        <v>5604</v>
      </c>
      <c r="D3691" s="92">
        <v>0.67</v>
      </c>
      <c r="E3691" s="92" t="s">
        <v>428</v>
      </c>
      <c r="F3691" t="s">
        <v>428</v>
      </c>
      <c r="G3691" t="s">
        <v>428</v>
      </c>
      <c r="H3691" t="s">
        <v>5617</v>
      </c>
      <c r="I3691">
        <v>0</v>
      </c>
      <c r="J3691" t="s">
        <v>87</v>
      </c>
      <c r="K3691">
        <v>0</v>
      </c>
      <c r="L3691">
        <v>0</v>
      </c>
    </row>
    <row r="3692" spans="1:12">
      <c r="A3692" s="93">
        <v>366793</v>
      </c>
      <c r="B3692" t="s">
        <v>4178</v>
      </c>
      <c r="C3692" t="s">
        <v>5607</v>
      </c>
      <c r="D3692" s="92" t="s">
        <v>428</v>
      </c>
      <c r="E3692" s="92" t="s">
        <v>428</v>
      </c>
      <c r="F3692" t="s">
        <v>428</v>
      </c>
      <c r="G3692" t="s">
        <v>428</v>
      </c>
      <c r="H3692" t="s">
        <v>5615</v>
      </c>
      <c r="I3692">
        <v>0</v>
      </c>
      <c r="J3692" t="s">
        <v>87</v>
      </c>
      <c r="K3692">
        <v>0</v>
      </c>
      <c r="L3692">
        <v>0</v>
      </c>
    </row>
    <row r="3693" spans="1:12">
      <c r="A3693" s="93">
        <v>366960</v>
      </c>
      <c r="B3693" t="s">
        <v>4179</v>
      </c>
      <c r="C3693" t="s">
        <v>5606</v>
      </c>
      <c r="D3693" s="92" t="s">
        <v>428</v>
      </c>
      <c r="E3693" s="92" t="s">
        <v>428</v>
      </c>
      <c r="F3693" t="s">
        <v>428</v>
      </c>
      <c r="G3693" t="s">
        <v>428</v>
      </c>
      <c r="H3693" t="s">
        <v>5617</v>
      </c>
      <c r="I3693">
        <v>0</v>
      </c>
      <c r="J3693" t="s">
        <v>87</v>
      </c>
      <c r="K3693">
        <v>0</v>
      </c>
      <c r="L3693">
        <v>0</v>
      </c>
    </row>
    <row r="3694" spans="1:12">
      <c r="A3694" s="93">
        <v>367024</v>
      </c>
      <c r="B3694" t="s">
        <v>4180</v>
      </c>
      <c r="C3694" t="s">
        <v>5604</v>
      </c>
      <c r="D3694" s="92">
        <v>0.5</v>
      </c>
      <c r="E3694" s="92" t="s">
        <v>428</v>
      </c>
      <c r="F3694" t="s">
        <v>428</v>
      </c>
      <c r="G3694" t="s">
        <v>428</v>
      </c>
      <c r="H3694" t="s">
        <v>5617</v>
      </c>
      <c r="I3694">
        <v>0</v>
      </c>
      <c r="J3694" t="s">
        <v>87</v>
      </c>
      <c r="K3694">
        <v>0</v>
      </c>
      <c r="L3694">
        <v>0</v>
      </c>
    </row>
    <row r="3695" spans="1:12">
      <c r="A3695" s="93">
        <v>367097</v>
      </c>
      <c r="B3695" t="s">
        <v>4181</v>
      </c>
      <c r="C3695" t="s">
        <v>5606</v>
      </c>
      <c r="D3695" s="92" t="s">
        <v>428</v>
      </c>
      <c r="E3695" s="92" t="s">
        <v>428</v>
      </c>
      <c r="F3695" t="s">
        <v>428</v>
      </c>
      <c r="G3695" t="s">
        <v>428</v>
      </c>
      <c r="H3695" t="s">
        <v>5616</v>
      </c>
      <c r="I3695">
        <v>0</v>
      </c>
      <c r="J3695" t="s">
        <v>87</v>
      </c>
      <c r="K3695">
        <v>0</v>
      </c>
      <c r="L3695">
        <v>0</v>
      </c>
    </row>
    <row r="3696" spans="1:12">
      <c r="A3696" s="93">
        <v>367103</v>
      </c>
      <c r="B3696" t="s">
        <v>4182</v>
      </c>
      <c r="C3696" t="s">
        <v>5606</v>
      </c>
      <c r="D3696" s="92" t="s">
        <v>428</v>
      </c>
      <c r="E3696" s="92" t="s">
        <v>428</v>
      </c>
      <c r="F3696" t="s">
        <v>428</v>
      </c>
      <c r="G3696" t="s">
        <v>428</v>
      </c>
      <c r="H3696" t="s">
        <v>5616</v>
      </c>
      <c r="I3696">
        <v>0</v>
      </c>
      <c r="J3696" t="s">
        <v>87</v>
      </c>
      <c r="K3696">
        <v>0</v>
      </c>
      <c r="L3696">
        <v>0</v>
      </c>
    </row>
    <row r="3697" spans="1:12">
      <c r="A3697" s="93">
        <v>367112</v>
      </c>
      <c r="B3697" t="s">
        <v>3245</v>
      </c>
      <c r="C3697" t="s">
        <v>5606</v>
      </c>
      <c r="D3697" s="92" t="s">
        <v>428</v>
      </c>
      <c r="E3697" s="92" t="s">
        <v>428</v>
      </c>
      <c r="F3697" t="s">
        <v>428</v>
      </c>
      <c r="G3697" t="s">
        <v>428</v>
      </c>
      <c r="H3697" t="s">
        <v>5617</v>
      </c>
      <c r="I3697">
        <v>0</v>
      </c>
      <c r="J3697" t="s">
        <v>87</v>
      </c>
      <c r="K3697">
        <v>0</v>
      </c>
      <c r="L3697">
        <v>0</v>
      </c>
    </row>
    <row r="3698" spans="1:12">
      <c r="A3698" s="93">
        <v>367194</v>
      </c>
      <c r="B3698" t="s">
        <v>4183</v>
      </c>
      <c r="C3698" t="s">
        <v>5607</v>
      </c>
      <c r="D3698" s="92">
        <v>0.39</v>
      </c>
      <c r="E3698" s="92">
        <v>0.25</v>
      </c>
      <c r="F3698" t="s">
        <v>428</v>
      </c>
      <c r="G3698" t="s">
        <v>428</v>
      </c>
      <c r="H3698" t="s">
        <v>5617</v>
      </c>
      <c r="I3698">
        <v>0</v>
      </c>
      <c r="J3698" t="s">
        <v>87</v>
      </c>
      <c r="K3698">
        <v>0</v>
      </c>
      <c r="L3698">
        <v>0</v>
      </c>
    </row>
    <row r="3699" spans="1:12">
      <c r="A3699" s="93">
        <v>367361</v>
      </c>
      <c r="B3699" t="s">
        <v>4184</v>
      </c>
      <c r="C3699" t="s">
        <v>5606</v>
      </c>
      <c r="D3699" s="92" t="s">
        <v>428</v>
      </c>
      <c r="E3699" s="92" t="s">
        <v>428</v>
      </c>
      <c r="F3699" t="s">
        <v>428</v>
      </c>
      <c r="G3699" t="s">
        <v>428</v>
      </c>
      <c r="H3699" t="s">
        <v>5613</v>
      </c>
      <c r="I3699">
        <v>1</v>
      </c>
      <c r="J3699" t="s">
        <v>87</v>
      </c>
      <c r="K3699">
        <v>0</v>
      </c>
      <c r="L3699">
        <v>0</v>
      </c>
    </row>
    <row r="3700" spans="1:12">
      <c r="A3700" s="93">
        <v>367459</v>
      </c>
      <c r="B3700" t="s">
        <v>4185</v>
      </c>
      <c r="C3700" t="s">
        <v>5606</v>
      </c>
      <c r="D3700" s="92">
        <v>0.28</v>
      </c>
      <c r="E3700" s="92">
        <v>0.26</v>
      </c>
      <c r="F3700" t="s">
        <v>428</v>
      </c>
      <c r="G3700" t="s">
        <v>428</v>
      </c>
      <c r="H3700" t="s">
        <v>5615</v>
      </c>
      <c r="I3700">
        <v>0</v>
      </c>
      <c r="J3700" t="s">
        <v>87</v>
      </c>
      <c r="K3700">
        <v>0</v>
      </c>
      <c r="L3700">
        <v>0</v>
      </c>
    </row>
    <row r="3701" spans="1:12">
      <c r="A3701" s="93">
        <v>367839</v>
      </c>
      <c r="B3701" t="s">
        <v>4186</v>
      </c>
      <c r="C3701" t="s">
        <v>5604</v>
      </c>
      <c r="D3701" s="92">
        <v>0.3</v>
      </c>
      <c r="E3701" s="92">
        <v>1</v>
      </c>
      <c r="F3701" t="s">
        <v>428</v>
      </c>
      <c r="G3701" t="s">
        <v>428</v>
      </c>
      <c r="H3701" t="s">
        <v>5615</v>
      </c>
      <c r="I3701">
        <v>0</v>
      </c>
      <c r="J3701" t="s">
        <v>87</v>
      </c>
      <c r="K3701">
        <v>0</v>
      </c>
      <c r="L3701">
        <v>0</v>
      </c>
    </row>
    <row r="3702" spans="1:12">
      <c r="A3702" s="93">
        <v>367875</v>
      </c>
      <c r="B3702" t="s">
        <v>4187</v>
      </c>
      <c r="C3702" t="s">
        <v>5606</v>
      </c>
      <c r="D3702" s="92" t="s">
        <v>428</v>
      </c>
      <c r="E3702" s="92" t="s">
        <v>428</v>
      </c>
      <c r="F3702" t="s">
        <v>428</v>
      </c>
      <c r="G3702" t="s">
        <v>428</v>
      </c>
      <c r="H3702" t="s">
        <v>5615</v>
      </c>
      <c r="I3702">
        <v>0</v>
      </c>
      <c r="J3702" t="s">
        <v>87</v>
      </c>
      <c r="K3702">
        <v>0</v>
      </c>
      <c r="L3702">
        <v>0</v>
      </c>
    </row>
    <row r="3703" spans="1:12">
      <c r="A3703" s="93">
        <v>367884</v>
      </c>
      <c r="B3703" t="s">
        <v>4188</v>
      </c>
      <c r="C3703" t="s">
        <v>5608</v>
      </c>
      <c r="D3703" s="92">
        <v>0.23</v>
      </c>
      <c r="E3703" s="92">
        <v>0.21</v>
      </c>
      <c r="F3703" t="s">
        <v>428</v>
      </c>
      <c r="G3703" t="s">
        <v>428</v>
      </c>
      <c r="H3703" t="s">
        <v>5617</v>
      </c>
      <c r="I3703">
        <v>0</v>
      </c>
      <c r="J3703" t="s">
        <v>87</v>
      </c>
      <c r="K3703">
        <v>0</v>
      </c>
      <c r="L3703">
        <v>0</v>
      </c>
    </row>
    <row r="3704" spans="1:12">
      <c r="A3704" s="93">
        <v>367936</v>
      </c>
      <c r="B3704" t="s">
        <v>4189</v>
      </c>
      <c r="C3704" t="s">
        <v>5604</v>
      </c>
      <c r="D3704" s="92">
        <v>0.12</v>
      </c>
      <c r="E3704" s="92">
        <v>0</v>
      </c>
      <c r="F3704" t="s">
        <v>428</v>
      </c>
      <c r="G3704" t="s">
        <v>428</v>
      </c>
      <c r="H3704" t="s">
        <v>5617</v>
      </c>
      <c r="I3704">
        <v>0</v>
      </c>
      <c r="J3704" t="s">
        <v>87</v>
      </c>
      <c r="K3704">
        <v>0</v>
      </c>
      <c r="L3704">
        <v>0</v>
      </c>
    </row>
    <row r="3705" spans="1:12">
      <c r="A3705" s="93">
        <v>367954</v>
      </c>
      <c r="B3705" t="s">
        <v>4190</v>
      </c>
      <c r="C3705" t="s">
        <v>5607</v>
      </c>
      <c r="D3705" s="92" t="s">
        <v>428</v>
      </c>
      <c r="E3705" s="92" t="s">
        <v>428</v>
      </c>
      <c r="F3705" t="s">
        <v>428</v>
      </c>
      <c r="G3705" t="s">
        <v>428</v>
      </c>
      <c r="H3705" t="s">
        <v>5615</v>
      </c>
      <c r="I3705">
        <v>0</v>
      </c>
      <c r="J3705" t="s">
        <v>87</v>
      </c>
      <c r="K3705">
        <v>0</v>
      </c>
      <c r="L3705">
        <v>0</v>
      </c>
    </row>
    <row r="3706" spans="1:12">
      <c r="A3706" s="93">
        <v>368364</v>
      </c>
      <c r="B3706" t="s">
        <v>4191</v>
      </c>
      <c r="C3706" t="s">
        <v>5606</v>
      </c>
      <c r="D3706" s="92" t="s">
        <v>428</v>
      </c>
      <c r="E3706" s="92" t="s">
        <v>428</v>
      </c>
      <c r="F3706" t="s">
        <v>428</v>
      </c>
      <c r="G3706" t="s">
        <v>428</v>
      </c>
      <c r="H3706" t="s">
        <v>5615</v>
      </c>
      <c r="I3706">
        <v>0</v>
      </c>
      <c r="J3706" t="s">
        <v>87</v>
      </c>
      <c r="K3706">
        <v>0</v>
      </c>
      <c r="L3706">
        <v>0</v>
      </c>
    </row>
    <row r="3707" spans="1:12">
      <c r="A3707" s="93">
        <v>368443</v>
      </c>
      <c r="B3707" t="s">
        <v>4192</v>
      </c>
      <c r="C3707" t="s">
        <v>5604</v>
      </c>
      <c r="D3707" s="92" t="s">
        <v>428</v>
      </c>
      <c r="E3707" s="92" t="s">
        <v>428</v>
      </c>
      <c r="F3707" t="s">
        <v>428</v>
      </c>
      <c r="G3707" t="s">
        <v>428</v>
      </c>
      <c r="H3707" t="s">
        <v>5617</v>
      </c>
      <c r="I3707">
        <v>0</v>
      </c>
      <c r="J3707" t="s">
        <v>87</v>
      </c>
      <c r="K3707">
        <v>0</v>
      </c>
      <c r="L3707">
        <v>0</v>
      </c>
    </row>
    <row r="3708" spans="1:12">
      <c r="A3708" s="93">
        <v>368452</v>
      </c>
      <c r="B3708" t="s">
        <v>4193</v>
      </c>
      <c r="C3708" t="s">
        <v>5607</v>
      </c>
      <c r="D3708" s="92">
        <v>0.42</v>
      </c>
      <c r="E3708" s="92">
        <v>0.45</v>
      </c>
      <c r="F3708" t="s">
        <v>428</v>
      </c>
      <c r="G3708" t="s">
        <v>428</v>
      </c>
      <c r="H3708" t="s">
        <v>5617</v>
      </c>
      <c r="I3708">
        <v>0</v>
      </c>
      <c r="J3708" t="s">
        <v>87</v>
      </c>
      <c r="K3708">
        <v>0</v>
      </c>
      <c r="L3708">
        <v>0</v>
      </c>
    </row>
    <row r="3709" spans="1:12">
      <c r="A3709" s="93">
        <v>368601</v>
      </c>
      <c r="B3709" t="s">
        <v>4194</v>
      </c>
      <c r="C3709" t="s">
        <v>5607</v>
      </c>
      <c r="D3709" s="92">
        <v>0.1</v>
      </c>
      <c r="E3709" s="92">
        <v>0.12</v>
      </c>
      <c r="F3709" t="s">
        <v>428</v>
      </c>
      <c r="G3709" t="s">
        <v>428</v>
      </c>
      <c r="H3709" t="s">
        <v>5617</v>
      </c>
      <c r="I3709">
        <v>0</v>
      </c>
      <c r="J3709" t="s">
        <v>87</v>
      </c>
      <c r="K3709">
        <v>0</v>
      </c>
      <c r="L3709">
        <v>0</v>
      </c>
    </row>
    <row r="3710" spans="1:12">
      <c r="A3710" s="93">
        <v>368629</v>
      </c>
      <c r="B3710" t="s">
        <v>4195</v>
      </c>
      <c r="C3710" t="s">
        <v>5606</v>
      </c>
      <c r="D3710" s="92">
        <v>0.73</v>
      </c>
      <c r="E3710" s="92">
        <v>0.62</v>
      </c>
      <c r="F3710" t="s">
        <v>428</v>
      </c>
      <c r="G3710" t="s">
        <v>428</v>
      </c>
      <c r="H3710" t="s">
        <v>5617</v>
      </c>
      <c r="I3710">
        <v>0</v>
      </c>
      <c r="J3710" t="s">
        <v>87</v>
      </c>
      <c r="K3710">
        <v>0</v>
      </c>
      <c r="L3710">
        <v>0</v>
      </c>
    </row>
    <row r="3711" spans="1:12">
      <c r="A3711" s="93">
        <v>368780</v>
      </c>
      <c r="B3711" t="s">
        <v>4196</v>
      </c>
      <c r="C3711" t="s">
        <v>5606</v>
      </c>
      <c r="D3711" s="92" t="s">
        <v>428</v>
      </c>
      <c r="E3711" s="92" t="s">
        <v>428</v>
      </c>
      <c r="F3711" t="s">
        <v>428</v>
      </c>
      <c r="G3711" t="s">
        <v>428</v>
      </c>
      <c r="H3711" t="s">
        <v>5617</v>
      </c>
      <c r="I3711">
        <v>0</v>
      </c>
      <c r="J3711" t="s">
        <v>87</v>
      </c>
      <c r="K3711">
        <v>0</v>
      </c>
      <c r="L3711">
        <v>0</v>
      </c>
    </row>
    <row r="3712" spans="1:12">
      <c r="A3712" s="93">
        <v>368911</v>
      </c>
      <c r="B3712" t="s">
        <v>4197</v>
      </c>
      <c r="C3712" t="s">
        <v>5606</v>
      </c>
      <c r="D3712" s="92" t="s">
        <v>428</v>
      </c>
      <c r="E3712" s="92" t="s">
        <v>428</v>
      </c>
      <c r="F3712" t="s">
        <v>428</v>
      </c>
      <c r="G3712" t="s">
        <v>428</v>
      </c>
      <c r="H3712" t="s">
        <v>5615</v>
      </c>
      <c r="I3712">
        <v>0</v>
      </c>
      <c r="J3712" t="s">
        <v>87</v>
      </c>
      <c r="K3712">
        <v>0</v>
      </c>
      <c r="L3712">
        <v>0</v>
      </c>
    </row>
    <row r="3713" spans="1:12">
      <c r="A3713" s="93">
        <v>369002</v>
      </c>
      <c r="B3713" t="s">
        <v>4198</v>
      </c>
      <c r="C3713" t="s">
        <v>5607</v>
      </c>
      <c r="D3713" s="92" t="s">
        <v>428</v>
      </c>
      <c r="E3713" s="92" t="s">
        <v>428</v>
      </c>
      <c r="F3713" t="s">
        <v>428</v>
      </c>
      <c r="G3713" t="s">
        <v>428</v>
      </c>
      <c r="H3713" t="s">
        <v>5615</v>
      </c>
      <c r="I3713">
        <v>0</v>
      </c>
      <c r="J3713" t="s">
        <v>87</v>
      </c>
      <c r="K3713">
        <v>0</v>
      </c>
      <c r="L3713">
        <v>0</v>
      </c>
    </row>
    <row r="3714" spans="1:12">
      <c r="A3714" s="93">
        <v>369084</v>
      </c>
      <c r="B3714" t="s">
        <v>4199</v>
      </c>
      <c r="C3714" t="s">
        <v>5607</v>
      </c>
      <c r="D3714" s="92">
        <v>1</v>
      </c>
      <c r="E3714" s="92" t="s">
        <v>428</v>
      </c>
      <c r="F3714" t="s">
        <v>428</v>
      </c>
      <c r="G3714" t="s">
        <v>428</v>
      </c>
      <c r="H3714" t="s">
        <v>5617</v>
      </c>
      <c r="I3714">
        <v>0</v>
      </c>
      <c r="J3714" t="s">
        <v>87</v>
      </c>
      <c r="K3714">
        <v>0</v>
      </c>
      <c r="L3714">
        <v>0</v>
      </c>
    </row>
    <row r="3715" spans="1:12">
      <c r="A3715" s="93">
        <v>369400</v>
      </c>
      <c r="B3715" t="s">
        <v>4200</v>
      </c>
      <c r="C3715" t="s">
        <v>5606</v>
      </c>
      <c r="D3715" s="92">
        <v>0.58</v>
      </c>
      <c r="E3715" s="92">
        <v>0.57</v>
      </c>
      <c r="F3715" t="s">
        <v>428</v>
      </c>
      <c r="G3715" t="s">
        <v>428</v>
      </c>
      <c r="H3715" t="s">
        <v>5617</v>
      </c>
      <c r="I3715">
        <v>0</v>
      </c>
      <c r="J3715" t="s">
        <v>87</v>
      </c>
      <c r="K3715">
        <v>0</v>
      </c>
      <c r="L3715">
        <v>0</v>
      </c>
    </row>
    <row r="3716" spans="1:12">
      <c r="A3716" s="93">
        <v>369419</v>
      </c>
      <c r="B3716" t="s">
        <v>4201</v>
      </c>
      <c r="C3716" t="s">
        <v>5606</v>
      </c>
      <c r="D3716" s="92" t="s">
        <v>428</v>
      </c>
      <c r="E3716" s="92" t="s">
        <v>428</v>
      </c>
      <c r="F3716" t="s">
        <v>428</v>
      </c>
      <c r="G3716" t="s">
        <v>428</v>
      </c>
      <c r="H3716" t="s">
        <v>5615</v>
      </c>
      <c r="I3716">
        <v>0</v>
      </c>
      <c r="J3716" t="s">
        <v>87</v>
      </c>
      <c r="K3716">
        <v>0</v>
      </c>
      <c r="L3716">
        <v>0</v>
      </c>
    </row>
    <row r="3717" spans="1:12">
      <c r="A3717" s="93">
        <v>369455</v>
      </c>
      <c r="B3717" t="s">
        <v>4202</v>
      </c>
      <c r="C3717" t="s">
        <v>5606</v>
      </c>
      <c r="D3717" s="92" t="s">
        <v>428</v>
      </c>
      <c r="E3717" s="92" t="s">
        <v>428</v>
      </c>
      <c r="F3717" t="s">
        <v>428</v>
      </c>
      <c r="G3717" t="s">
        <v>428</v>
      </c>
      <c r="H3717" t="s">
        <v>5615</v>
      </c>
      <c r="I3717">
        <v>0</v>
      </c>
      <c r="J3717" t="s">
        <v>87</v>
      </c>
      <c r="K3717">
        <v>0</v>
      </c>
      <c r="L3717">
        <v>1</v>
      </c>
    </row>
    <row r="3718" spans="1:12">
      <c r="A3718" s="93">
        <v>369516</v>
      </c>
      <c r="B3718" t="s">
        <v>787</v>
      </c>
      <c r="C3718" t="s">
        <v>5607</v>
      </c>
      <c r="D3718" s="92" t="s">
        <v>428</v>
      </c>
      <c r="E3718" s="92" t="s">
        <v>428</v>
      </c>
      <c r="F3718" t="s">
        <v>428</v>
      </c>
      <c r="G3718" t="s">
        <v>428</v>
      </c>
      <c r="H3718" t="s">
        <v>5617</v>
      </c>
      <c r="I3718">
        <v>0</v>
      </c>
      <c r="J3718" t="s">
        <v>87</v>
      </c>
      <c r="K3718">
        <v>0</v>
      </c>
      <c r="L3718">
        <v>0</v>
      </c>
    </row>
    <row r="3719" spans="1:12">
      <c r="A3719" s="93">
        <v>369659</v>
      </c>
      <c r="B3719" t="s">
        <v>4203</v>
      </c>
      <c r="C3719" t="s">
        <v>5607</v>
      </c>
      <c r="D3719" s="92" t="s">
        <v>428</v>
      </c>
      <c r="E3719" s="92" t="s">
        <v>428</v>
      </c>
      <c r="F3719" t="s">
        <v>428</v>
      </c>
      <c r="G3719" t="s">
        <v>428</v>
      </c>
      <c r="H3719" t="s">
        <v>5615</v>
      </c>
      <c r="I3719">
        <v>0</v>
      </c>
      <c r="J3719" t="s">
        <v>87</v>
      </c>
      <c r="K3719">
        <v>0</v>
      </c>
      <c r="L3719">
        <v>0</v>
      </c>
    </row>
    <row r="3720" spans="1:12">
      <c r="A3720" s="93">
        <v>369862</v>
      </c>
      <c r="B3720" t="s">
        <v>4204</v>
      </c>
      <c r="C3720" t="s">
        <v>5606</v>
      </c>
      <c r="D3720" s="92" t="s">
        <v>428</v>
      </c>
      <c r="E3720" s="92" t="s">
        <v>428</v>
      </c>
      <c r="F3720" t="s">
        <v>428</v>
      </c>
      <c r="G3720" t="s">
        <v>428</v>
      </c>
      <c r="H3720" t="s">
        <v>5617</v>
      </c>
      <c r="I3720">
        <v>0</v>
      </c>
      <c r="J3720" t="s">
        <v>87</v>
      </c>
      <c r="K3720">
        <v>0</v>
      </c>
      <c r="L3720">
        <v>0</v>
      </c>
    </row>
    <row r="3721" spans="1:12">
      <c r="A3721" s="93">
        <v>369905</v>
      </c>
      <c r="B3721" t="s">
        <v>4205</v>
      </c>
      <c r="C3721" t="s">
        <v>5604</v>
      </c>
      <c r="D3721" s="92" t="s">
        <v>428</v>
      </c>
      <c r="E3721" s="92" t="s">
        <v>428</v>
      </c>
      <c r="F3721" t="s">
        <v>428</v>
      </c>
      <c r="G3721" t="s">
        <v>428</v>
      </c>
      <c r="H3721" t="s">
        <v>5616</v>
      </c>
      <c r="I3721">
        <v>0</v>
      </c>
      <c r="J3721" t="s">
        <v>87</v>
      </c>
      <c r="K3721">
        <v>0</v>
      </c>
      <c r="L3721">
        <v>0</v>
      </c>
    </row>
    <row r="3722" spans="1:12">
      <c r="A3722" s="93">
        <v>371690</v>
      </c>
      <c r="B3722" t="s">
        <v>4206</v>
      </c>
      <c r="C3722" t="s">
        <v>5606</v>
      </c>
      <c r="D3722" s="92">
        <v>0.71</v>
      </c>
      <c r="E3722" s="92">
        <v>0.75</v>
      </c>
      <c r="F3722" t="s">
        <v>428</v>
      </c>
      <c r="G3722" t="s">
        <v>428</v>
      </c>
      <c r="H3722" t="s">
        <v>5615</v>
      </c>
      <c r="I3722">
        <v>0</v>
      </c>
      <c r="J3722" t="s">
        <v>87</v>
      </c>
      <c r="K3722">
        <v>0</v>
      </c>
      <c r="L3722">
        <v>0</v>
      </c>
    </row>
    <row r="3723" spans="1:12">
      <c r="A3723" s="93">
        <v>371928</v>
      </c>
      <c r="B3723" t="s">
        <v>4207</v>
      </c>
      <c r="C3723" t="s">
        <v>5606</v>
      </c>
      <c r="D3723" s="92" t="s">
        <v>428</v>
      </c>
      <c r="E3723" s="92" t="s">
        <v>428</v>
      </c>
      <c r="F3723" t="s">
        <v>428</v>
      </c>
      <c r="G3723" t="s">
        <v>428</v>
      </c>
      <c r="H3723" t="s">
        <v>5617</v>
      </c>
      <c r="I3723">
        <v>0</v>
      </c>
      <c r="J3723" t="s">
        <v>87</v>
      </c>
      <c r="K3723">
        <v>0</v>
      </c>
      <c r="L3723">
        <v>0</v>
      </c>
    </row>
    <row r="3724" spans="1:12">
      <c r="A3724" s="93">
        <v>371964</v>
      </c>
      <c r="B3724" t="s">
        <v>4208</v>
      </c>
      <c r="C3724" t="s">
        <v>5606</v>
      </c>
      <c r="D3724" s="92" t="s">
        <v>428</v>
      </c>
      <c r="E3724" s="92" t="s">
        <v>428</v>
      </c>
      <c r="F3724" t="s">
        <v>428</v>
      </c>
      <c r="G3724" t="s">
        <v>428</v>
      </c>
      <c r="H3724" t="s">
        <v>5617</v>
      </c>
      <c r="I3724">
        <v>0</v>
      </c>
      <c r="J3724" t="s">
        <v>87</v>
      </c>
      <c r="K3724">
        <v>0</v>
      </c>
      <c r="L3724">
        <v>0</v>
      </c>
    </row>
    <row r="3725" spans="1:12">
      <c r="A3725" s="93">
        <v>372073</v>
      </c>
      <c r="B3725" t="s">
        <v>4209</v>
      </c>
      <c r="C3725" t="s">
        <v>5604</v>
      </c>
      <c r="D3725" s="92">
        <v>0.41</v>
      </c>
      <c r="E3725" s="92">
        <v>0.33</v>
      </c>
      <c r="F3725" t="s">
        <v>428</v>
      </c>
      <c r="G3725" t="s">
        <v>428</v>
      </c>
      <c r="H3725" t="s">
        <v>5617</v>
      </c>
      <c r="I3725">
        <v>0</v>
      </c>
      <c r="J3725" t="s">
        <v>87</v>
      </c>
      <c r="K3725">
        <v>0</v>
      </c>
      <c r="L3725">
        <v>0</v>
      </c>
    </row>
    <row r="3726" spans="1:12">
      <c r="A3726" s="93">
        <v>372329</v>
      </c>
      <c r="B3726" t="s">
        <v>1105</v>
      </c>
      <c r="C3726" t="s">
        <v>5606</v>
      </c>
      <c r="D3726" s="92">
        <v>0.75</v>
      </c>
      <c r="E3726" s="92">
        <v>0.74</v>
      </c>
      <c r="F3726" t="s">
        <v>428</v>
      </c>
      <c r="G3726" t="s">
        <v>428</v>
      </c>
      <c r="H3726" t="s">
        <v>5617</v>
      </c>
      <c r="I3726">
        <v>0</v>
      </c>
      <c r="J3726" t="s">
        <v>87</v>
      </c>
      <c r="K3726">
        <v>0</v>
      </c>
      <c r="L3726">
        <v>0</v>
      </c>
    </row>
    <row r="3727" spans="1:12">
      <c r="A3727" s="93">
        <v>372356</v>
      </c>
      <c r="B3727" t="s">
        <v>4210</v>
      </c>
      <c r="C3727" t="s">
        <v>5606</v>
      </c>
      <c r="D3727" s="92" t="s">
        <v>428</v>
      </c>
      <c r="E3727" s="92" t="s">
        <v>428</v>
      </c>
      <c r="F3727" t="s">
        <v>428</v>
      </c>
      <c r="G3727" t="s">
        <v>428</v>
      </c>
      <c r="H3727" t="s">
        <v>5616</v>
      </c>
      <c r="I3727">
        <v>0</v>
      </c>
      <c r="J3727" t="s">
        <v>87</v>
      </c>
      <c r="K3727">
        <v>0</v>
      </c>
      <c r="L3727">
        <v>0</v>
      </c>
    </row>
    <row r="3728" spans="1:12">
      <c r="A3728" s="93">
        <v>372578</v>
      </c>
      <c r="B3728" t="s">
        <v>4211</v>
      </c>
      <c r="C3728" t="s">
        <v>5607</v>
      </c>
      <c r="D3728" s="92" t="s">
        <v>428</v>
      </c>
      <c r="E3728" s="92" t="s">
        <v>428</v>
      </c>
      <c r="F3728" t="s">
        <v>428</v>
      </c>
      <c r="G3728" t="s">
        <v>428</v>
      </c>
      <c r="H3728" t="s">
        <v>5617</v>
      </c>
      <c r="I3728">
        <v>0</v>
      </c>
      <c r="J3728" t="s">
        <v>87</v>
      </c>
      <c r="K3728">
        <v>0</v>
      </c>
      <c r="L3728">
        <v>0</v>
      </c>
    </row>
    <row r="3729" spans="1:12">
      <c r="A3729" s="93">
        <v>372921</v>
      </c>
      <c r="B3729" t="s">
        <v>4212</v>
      </c>
      <c r="C3729" t="s">
        <v>5606</v>
      </c>
      <c r="D3729" s="92" t="s">
        <v>428</v>
      </c>
      <c r="E3729" s="92" t="s">
        <v>428</v>
      </c>
      <c r="F3729" t="s">
        <v>428</v>
      </c>
      <c r="G3729" t="s">
        <v>428</v>
      </c>
      <c r="H3729" t="s">
        <v>5617</v>
      </c>
      <c r="I3729">
        <v>0</v>
      </c>
      <c r="J3729" t="s">
        <v>87</v>
      </c>
      <c r="K3729">
        <v>0</v>
      </c>
      <c r="L3729">
        <v>0</v>
      </c>
    </row>
    <row r="3730" spans="1:12">
      <c r="A3730" s="93">
        <v>372958</v>
      </c>
      <c r="B3730" t="s">
        <v>4213</v>
      </c>
      <c r="C3730" t="s">
        <v>5604</v>
      </c>
      <c r="D3730" s="92">
        <v>0.58</v>
      </c>
      <c r="E3730" s="92">
        <v>0.6</v>
      </c>
      <c r="F3730" t="s">
        <v>428</v>
      </c>
      <c r="G3730" t="s">
        <v>428</v>
      </c>
      <c r="H3730" t="s">
        <v>5617</v>
      </c>
      <c r="I3730">
        <v>0</v>
      </c>
      <c r="J3730" t="s">
        <v>87</v>
      </c>
      <c r="K3730">
        <v>0</v>
      </c>
      <c r="L3730">
        <v>0</v>
      </c>
    </row>
    <row r="3731" spans="1:12">
      <c r="A3731" s="93">
        <v>373058</v>
      </c>
      <c r="B3731" t="s">
        <v>4214</v>
      </c>
      <c r="C3731" t="s">
        <v>5606</v>
      </c>
      <c r="D3731" s="92" t="s">
        <v>428</v>
      </c>
      <c r="E3731" s="92" t="s">
        <v>428</v>
      </c>
      <c r="F3731" t="s">
        <v>428</v>
      </c>
      <c r="G3731" t="s">
        <v>428</v>
      </c>
      <c r="H3731" t="s">
        <v>5617</v>
      </c>
      <c r="I3731">
        <v>0</v>
      </c>
      <c r="J3731" t="s">
        <v>87</v>
      </c>
      <c r="K3731">
        <v>0</v>
      </c>
      <c r="L3731">
        <v>0</v>
      </c>
    </row>
    <row r="3732" spans="1:12">
      <c r="A3732" s="93">
        <v>373085</v>
      </c>
      <c r="B3732" t="s">
        <v>4215</v>
      </c>
      <c r="C3732" t="s">
        <v>5606</v>
      </c>
      <c r="D3732" s="92" t="s">
        <v>428</v>
      </c>
      <c r="E3732" s="92" t="s">
        <v>428</v>
      </c>
      <c r="F3732" t="s">
        <v>428</v>
      </c>
      <c r="G3732" t="s">
        <v>428</v>
      </c>
      <c r="H3732" t="s">
        <v>5617</v>
      </c>
      <c r="I3732">
        <v>0</v>
      </c>
      <c r="J3732" t="s">
        <v>87</v>
      </c>
      <c r="K3732">
        <v>0</v>
      </c>
      <c r="L3732">
        <v>0</v>
      </c>
    </row>
    <row r="3733" spans="1:12">
      <c r="A3733" s="93">
        <v>374024</v>
      </c>
      <c r="B3733" t="s">
        <v>4216</v>
      </c>
      <c r="C3733" t="s">
        <v>5607</v>
      </c>
      <c r="D3733" s="92" t="s">
        <v>428</v>
      </c>
      <c r="E3733" s="92" t="s">
        <v>428</v>
      </c>
      <c r="F3733" t="s">
        <v>428</v>
      </c>
      <c r="G3733" t="s">
        <v>428</v>
      </c>
      <c r="H3733" t="s">
        <v>5615</v>
      </c>
      <c r="I3733">
        <v>0</v>
      </c>
      <c r="J3733" t="s">
        <v>87</v>
      </c>
      <c r="K3733">
        <v>0</v>
      </c>
      <c r="L3733">
        <v>0</v>
      </c>
    </row>
    <row r="3734" spans="1:12">
      <c r="A3734" s="93">
        <v>374316</v>
      </c>
      <c r="B3734" t="s">
        <v>4217</v>
      </c>
      <c r="C3734" t="s">
        <v>5606</v>
      </c>
      <c r="D3734" s="92" t="s">
        <v>428</v>
      </c>
      <c r="E3734" s="92" t="s">
        <v>428</v>
      </c>
      <c r="F3734" t="s">
        <v>428</v>
      </c>
      <c r="G3734" t="s">
        <v>428</v>
      </c>
      <c r="H3734" t="s">
        <v>5617</v>
      </c>
      <c r="I3734">
        <v>0</v>
      </c>
      <c r="J3734" t="s">
        <v>87</v>
      </c>
      <c r="K3734">
        <v>0</v>
      </c>
      <c r="L3734">
        <v>0</v>
      </c>
    </row>
    <row r="3735" spans="1:12">
      <c r="A3735" s="93">
        <v>374875</v>
      </c>
      <c r="B3735" t="s">
        <v>4218</v>
      </c>
      <c r="C3735" t="s">
        <v>5606</v>
      </c>
      <c r="D3735" s="92" t="s">
        <v>428</v>
      </c>
      <c r="E3735" s="92" t="s">
        <v>428</v>
      </c>
      <c r="F3735" t="s">
        <v>428</v>
      </c>
      <c r="G3735" t="s">
        <v>428</v>
      </c>
      <c r="H3735" t="s">
        <v>5617</v>
      </c>
      <c r="I3735">
        <v>0</v>
      </c>
      <c r="J3735" t="s">
        <v>87</v>
      </c>
      <c r="K3735">
        <v>0</v>
      </c>
      <c r="L3735">
        <v>0</v>
      </c>
    </row>
    <row r="3736" spans="1:12">
      <c r="A3736" s="93">
        <v>374972</v>
      </c>
      <c r="B3736" t="s">
        <v>4219</v>
      </c>
      <c r="C3736" t="s">
        <v>5604</v>
      </c>
      <c r="D3736" s="92">
        <v>0.5</v>
      </c>
      <c r="E3736" s="92" t="s">
        <v>428</v>
      </c>
      <c r="F3736" t="s">
        <v>428</v>
      </c>
      <c r="G3736" t="s">
        <v>428</v>
      </c>
      <c r="H3736" t="s">
        <v>5616</v>
      </c>
      <c r="I3736">
        <v>0</v>
      </c>
      <c r="J3736" t="s">
        <v>87</v>
      </c>
      <c r="K3736">
        <v>0</v>
      </c>
      <c r="L3736">
        <v>0</v>
      </c>
    </row>
    <row r="3737" spans="1:12">
      <c r="A3737" s="93">
        <v>375230</v>
      </c>
      <c r="B3737" t="s">
        <v>4220</v>
      </c>
      <c r="C3737" t="s">
        <v>5604</v>
      </c>
      <c r="D3737" s="92">
        <v>0.62</v>
      </c>
      <c r="E3737" s="92" t="s">
        <v>428</v>
      </c>
      <c r="F3737" t="s">
        <v>428</v>
      </c>
      <c r="G3737" t="s">
        <v>428</v>
      </c>
      <c r="H3737" t="s">
        <v>5616</v>
      </c>
      <c r="I3737">
        <v>0</v>
      </c>
      <c r="J3737" t="s">
        <v>87</v>
      </c>
      <c r="K3737">
        <v>0</v>
      </c>
      <c r="L3737">
        <v>0</v>
      </c>
    </row>
    <row r="3738" spans="1:12">
      <c r="A3738" s="93">
        <v>375407</v>
      </c>
      <c r="B3738" t="s">
        <v>4221</v>
      </c>
      <c r="C3738" t="s">
        <v>5606</v>
      </c>
      <c r="D3738" s="92" t="s">
        <v>428</v>
      </c>
      <c r="E3738" s="92" t="s">
        <v>428</v>
      </c>
      <c r="F3738" t="s">
        <v>428</v>
      </c>
      <c r="G3738" t="s">
        <v>428</v>
      </c>
      <c r="H3738" t="s">
        <v>5615</v>
      </c>
      <c r="I3738">
        <v>0</v>
      </c>
      <c r="J3738" t="s">
        <v>87</v>
      </c>
      <c r="K3738">
        <v>0</v>
      </c>
      <c r="L3738">
        <v>0</v>
      </c>
    </row>
    <row r="3739" spans="1:12">
      <c r="A3739" s="93">
        <v>375416</v>
      </c>
      <c r="B3739" t="s">
        <v>4222</v>
      </c>
      <c r="C3739" t="s">
        <v>5606</v>
      </c>
      <c r="D3739" s="92" t="s">
        <v>428</v>
      </c>
      <c r="E3739" s="92" t="s">
        <v>428</v>
      </c>
      <c r="F3739" t="s">
        <v>428</v>
      </c>
      <c r="G3739" t="s">
        <v>428</v>
      </c>
      <c r="H3739" t="s">
        <v>5617</v>
      </c>
      <c r="I3739">
        <v>0</v>
      </c>
      <c r="J3739" t="s">
        <v>87</v>
      </c>
      <c r="K3739">
        <v>0</v>
      </c>
      <c r="L3739">
        <v>0</v>
      </c>
    </row>
    <row r="3740" spans="1:12">
      <c r="A3740" s="93">
        <v>375489</v>
      </c>
      <c r="B3740" t="s">
        <v>4223</v>
      </c>
      <c r="C3740" t="s">
        <v>5607</v>
      </c>
      <c r="D3740" s="92" t="s">
        <v>428</v>
      </c>
      <c r="E3740" s="92" t="s">
        <v>428</v>
      </c>
      <c r="F3740" t="s">
        <v>428</v>
      </c>
      <c r="G3740" t="s">
        <v>428</v>
      </c>
      <c r="H3740" t="s">
        <v>5617</v>
      </c>
      <c r="I3740">
        <v>0</v>
      </c>
      <c r="J3740" t="s">
        <v>87</v>
      </c>
      <c r="K3740">
        <v>0</v>
      </c>
      <c r="L3740">
        <v>0</v>
      </c>
    </row>
    <row r="3741" spans="1:12">
      <c r="A3741" s="93">
        <v>375540</v>
      </c>
      <c r="B3741" t="s">
        <v>4224</v>
      </c>
      <c r="C3741" t="s">
        <v>5606</v>
      </c>
      <c r="D3741" s="92" t="s">
        <v>428</v>
      </c>
      <c r="E3741" s="92" t="s">
        <v>428</v>
      </c>
      <c r="F3741" t="s">
        <v>428</v>
      </c>
      <c r="G3741" t="s">
        <v>428</v>
      </c>
      <c r="H3741" t="s">
        <v>5613</v>
      </c>
      <c r="I3741">
        <v>1</v>
      </c>
      <c r="J3741" t="s">
        <v>87</v>
      </c>
      <c r="K3741">
        <v>0</v>
      </c>
      <c r="L3741">
        <v>0</v>
      </c>
    </row>
    <row r="3742" spans="1:12">
      <c r="A3742" s="93">
        <v>375568</v>
      </c>
      <c r="B3742" t="s">
        <v>4225</v>
      </c>
      <c r="C3742" t="s">
        <v>5606</v>
      </c>
      <c r="D3742" s="92" t="s">
        <v>428</v>
      </c>
      <c r="E3742" s="92" t="s">
        <v>428</v>
      </c>
      <c r="F3742" t="s">
        <v>428</v>
      </c>
      <c r="G3742" t="s">
        <v>428</v>
      </c>
      <c r="H3742" t="s">
        <v>5615</v>
      </c>
      <c r="I3742">
        <v>0</v>
      </c>
      <c r="J3742" t="s">
        <v>87</v>
      </c>
      <c r="K3742">
        <v>0</v>
      </c>
      <c r="L3742">
        <v>0</v>
      </c>
    </row>
    <row r="3743" spans="1:12">
      <c r="A3743" s="93">
        <v>375683</v>
      </c>
      <c r="B3743" t="s">
        <v>4226</v>
      </c>
      <c r="C3743" t="s">
        <v>5606</v>
      </c>
      <c r="D3743" s="92" t="s">
        <v>428</v>
      </c>
      <c r="E3743" s="92" t="s">
        <v>428</v>
      </c>
      <c r="F3743" t="s">
        <v>428</v>
      </c>
      <c r="G3743" t="s">
        <v>428</v>
      </c>
      <c r="H3743" t="s">
        <v>5615</v>
      </c>
      <c r="I3743">
        <v>0</v>
      </c>
      <c r="J3743" t="s">
        <v>87</v>
      </c>
      <c r="K3743">
        <v>0</v>
      </c>
      <c r="L3743">
        <v>0</v>
      </c>
    </row>
    <row r="3744" spans="1:12">
      <c r="A3744" s="93">
        <v>375708</v>
      </c>
      <c r="B3744" t="s">
        <v>4227</v>
      </c>
      <c r="C3744" t="s">
        <v>5606</v>
      </c>
      <c r="D3744" s="92" t="s">
        <v>428</v>
      </c>
      <c r="E3744" s="92" t="s">
        <v>428</v>
      </c>
      <c r="F3744" t="s">
        <v>428</v>
      </c>
      <c r="G3744" t="s">
        <v>428</v>
      </c>
      <c r="H3744" t="s">
        <v>5615</v>
      </c>
      <c r="I3744">
        <v>0</v>
      </c>
      <c r="J3744" t="s">
        <v>87</v>
      </c>
      <c r="K3744">
        <v>0</v>
      </c>
      <c r="L3744">
        <v>0</v>
      </c>
    </row>
    <row r="3745" spans="1:12">
      <c r="A3745" s="93">
        <v>375841</v>
      </c>
      <c r="B3745" t="s">
        <v>4228</v>
      </c>
      <c r="C3745" t="s">
        <v>5606</v>
      </c>
      <c r="D3745" s="92" t="s">
        <v>428</v>
      </c>
      <c r="E3745" s="92" t="s">
        <v>428</v>
      </c>
      <c r="F3745" t="s">
        <v>428</v>
      </c>
      <c r="G3745" t="s">
        <v>428</v>
      </c>
      <c r="H3745" t="s">
        <v>5617</v>
      </c>
      <c r="I3745">
        <v>0</v>
      </c>
      <c r="J3745" t="s">
        <v>87</v>
      </c>
      <c r="K3745">
        <v>0</v>
      </c>
      <c r="L3745">
        <v>0</v>
      </c>
    </row>
    <row r="3746" spans="1:12">
      <c r="A3746" s="93">
        <v>375939</v>
      </c>
      <c r="B3746" t="s">
        <v>4229</v>
      </c>
      <c r="C3746" t="s">
        <v>5606</v>
      </c>
      <c r="D3746" s="92" t="s">
        <v>428</v>
      </c>
      <c r="E3746" s="92" t="s">
        <v>428</v>
      </c>
      <c r="F3746" t="s">
        <v>428</v>
      </c>
      <c r="G3746" t="s">
        <v>428</v>
      </c>
      <c r="H3746" t="s">
        <v>5613</v>
      </c>
      <c r="I3746">
        <v>1</v>
      </c>
      <c r="J3746" t="s">
        <v>87</v>
      </c>
      <c r="K3746">
        <v>0</v>
      </c>
      <c r="L3746">
        <v>0</v>
      </c>
    </row>
    <row r="3747" spans="1:12">
      <c r="A3747" s="93">
        <v>376224</v>
      </c>
      <c r="B3747" t="s">
        <v>4230</v>
      </c>
      <c r="C3747" t="s">
        <v>5604</v>
      </c>
      <c r="D3747" s="92" t="s">
        <v>428</v>
      </c>
      <c r="E3747" s="92" t="s">
        <v>428</v>
      </c>
      <c r="F3747" t="s">
        <v>428</v>
      </c>
      <c r="G3747" t="s">
        <v>428</v>
      </c>
      <c r="H3747" t="s">
        <v>5624</v>
      </c>
      <c r="I3747">
        <v>1</v>
      </c>
      <c r="J3747" t="s">
        <v>87</v>
      </c>
      <c r="K3747">
        <v>0</v>
      </c>
      <c r="L3747">
        <v>0</v>
      </c>
    </row>
    <row r="3748" spans="1:12">
      <c r="A3748" s="93">
        <v>376321</v>
      </c>
      <c r="B3748" t="s">
        <v>4231</v>
      </c>
      <c r="C3748" t="s">
        <v>5607</v>
      </c>
      <c r="D3748" s="92">
        <v>0.42</v>
      </c>
      <c r="E3748" s="92">
        <v>0.42</v>
      </c>
      <c r="F3748" t="s">
        <v>428</v>
      </c>
      <c r="G3748" t="s">
        <v>428</v>
      </c>
      <c r="H3748" t="s">
        <v>5614</v>
      </c>
      <c r="I3748">
        <v>1</v>
      </c>
      <c r="J3748" t="s">
        <v>87</v>
      </c>
      <c r="K3748">
        <v>0</v>
      </c>
      <c r="L3748">
        <v>0</v>
      </c>
    </row>
    <row r="3749" spans="1:12">
      <c r="A3749" s="93">
        <v>376385</v>
      </c>
      <c r="B3749" t="s">
        <v>4232</v>
      </c>
      <c r="C3749" t="s">
        <v>5604</v>
      </c>
      <c r="D3749" s="92" t="s">
        <v>428</v>
      </c>
      <c r="E3749" s="92" t="s">
        <v>428</v>
      </c>
      <c r="F3749" t="s">
        <v>428</v>
      </c>
      <c r="G3749" t="s">
        <v>428</v>
      </c>
      <c r="H3749" t="s">
        <v>5624</v>
      </c>
      <c r="I3749">
        <v>1</v>
      </c>
      <c r="J3749" t="s">
        <v>87</v>
      </c>
      <c r="K3749">
        <v>0</v>
      </c>
      <c r="L3749">
        <v>0</v>
      </c>
    </row>
    <row r="3750" spans="1:12">
      <c r="A3750" s="93">
        <v>376695</v>
      </c>
      <c r="B3750" t="s">
        <v>4233</v>
      </c>
      <c r="C3750" t="s">
        <v>5606</v>
      </c>
      <c r="D3750" s="92" t="s">
        <v>428</v>
      </c>
      <c r="E3750" s="92" t="s">
        <v>428</v>
      </c>
      <c r="F3750" t="s">
        <v>428</v>
      </c>
      <c r="G3750" t="s">
        <v>428</v>
      </c>
      <c r="H3750" t="s">
        <v>5615</v>
      </c>
      <c r="I3750">
        <v>0</v>
      </c>
      <c r="J3750" t="s">
        <v>87</v>
      </c>
      <c r="K3750">
        <v>0</v>
      </c>
      <c r="L3750">
        <v>0</v>
      </c>
    </row>
    <row r="3751" spans="1:12">
      <c r="A3751" s="93">
        <v>377069</v>
      </c>
      <c r="B3751" t="s">
        <v>4234</v>
      </c>
      <c r="C3751" t="s">
        <v>5607</v>
      </c>
      <c r="D3751" s="92" t="s">
        <v>428</v>
      </c>
      <c r="E3751" s="92" t="s">
        <v>428</v>
      </c>
      <c r="F3751" t="s">
        <v>428</v>
      </c>
      <c r="G3751" t="s">
        <v>428</v>
      </c>
      <c r="H3751" t="s">
        <v>5617</v>
      </c>
      <c r="I3751">
        <v>0</v>
      </c>
      <c r="J3751" t="s">
        <v>87</v>
      </c>
      <c r="K3751">
        <v>0</v>
      </c>
      <c r="L3751">
        <v>0</v>
      </c>
    </row>
    <row r="3752" spans="1:12">
      <c r="A3752" s="93">
        <v>377111</v>
      </c>
      <c r="B3752" t="s">
        <v>4235</v>
      </c>
      <c r="C3752" t="s">
        <v>5604</v>
      </c>
      <c r="D3752" s="92">
        <v>0.72</v>
      </c>
      <c r="E3752" s="92">
        <v>0.6899999999999999</v>
      </c>
      <c r="F3752" t="s">
        <v>428</v>
      </c>
      <c r="G3752" t="s">
        <v>428</v>
      </c>
      <c r="H3752" t="s">
        <v>5617</v>
      </c>
      <c r="I3752">
        <v>0</v>
      </c>
      <c r="J3752" t="s">
        <v>87</v>
      </c>
      <c r="K3752">
        <v>0</v>
      </c>
      <c r="L3752">
        <v>0</v>
      </c>
    </row>
    <row r="3753" spans="1:12">
      <c r="A3753" s="93">
        <v>377218</v>
      </c>
      <c r="B3753" t="s">
        <v>4236</v>
      </c>
      <c r="C3753" t="s">
        <v>5606</v>
      </c>
      <c r="D3753" s="92" t="s">
        <v>428</v>
      </c>
      <c r="E3753" s="92" t="s">
        <v>428</v>
      </c>
      <c r="F3753" t="s">
        <v>428</v>
      </c>
      <c r="G3753" t="s">
        <v>428</v>
      </c>
      <c r="H3753" t="s">
        <v>5617</v>
      </c>
      <c r="I3753">
        <v>0</v>
      </c>
      <c r="J3753" t="s">
        <v>87</v>
      </c>
      <c r="K3753">
        <v>0</v>
      </c>
      <c r="L3753">
        <v>0</v>
      </c>
    </row>
    <row r="3754" spans="1:12">
      <c r="A3754" s="93">
        <v>377342</v>
      </c>
      <c r="B3754" t="s">
        <v>4237</v>
      </c>
      <c r="C3754" t="s">
        <v>5604</v>
      </c>
      <c r="D3754" s="92" t="s">
        <v>428</v>
      </c>
      <c r="E3754" s="92" t="s">
        <v>428</v>
      </c>
      <c r="F3754" t="s">
        <v>428</v>
      </c>
      <c r="G3754" t="s">
        <v>428</v>
      </c>
      <c r="H3754" t="s">
        <v>5617</v>
      </c>
      <c r="I3754">
        <v>0</v>
      </c>
      <c r="J3754" t="s">
        <v>87</v>
      </c>
      <c r="K3754">
        <v>0</v>
      </c>
      <c r="L3754">
        <v>0</v>
      </c>
    </row>
    <row r="3755" spans="1:12">
      <c r="A3755" s="93">
        <v>377449</v>
      </c>
      <c r="B3755" t="s">
        <v>4238</v>
      </c>
      <c r="C3755" t="s">
        <v>5606</v>
      </c>
      <c r="D3755" s="92" t="s">
        <v>428</v>
      </c>
      <c r="E3755" s="92" t="s">
        <v>428</v>
      </c>
      <c r="F3755" t="s">
        <v>428</v>
      </c>
      <c r="G3755" t="s">
        <v>428</v>
      </c>
      <c r="H3755" t="s">
        <v>5617</v>
      </c>
      <c r="I3755">
        <v>0</v>
      </c>
      <c r="J3755" t="s">
        <v>87</v>
      </c>
      <c r="K3755">
        <v>0</v>
      </c>
      <c r="L3755">
        <v>0</v>
      </c>
    </row>
    <row r="3756" spans="1:12">
      <c r="A3756" s="93">
        <v>377458</v>
      </c>
      <c r="B3756" t="s">
        <v>4239</v>
      </c>
      <c r="C3756" t="s">
        <v>5606</v>
      </c>
      <c r="D3756" s="92" t="s">
        <v>428</v>
      </c>
      <c r="E3756" s="92" t="s">
        <v>428</v>
      </c>
      <c r="F3756" t="s">
        <v>428</v>
      </c>
      <c r="G3756" t="s">
        <v>428</v>
      </c>
      <c r="H3756" t="s">
        <v>5617</v>
      </c>
      <c r="I3756">
        <v>0</v>
      </c>
      <c r="J3756" t="s">
        <v>87</v>
      </c>
      <c r="K3756">
        <v>0</v>
      </c>
      <c r="L3756">
        <v>0</v>
      </c>
    </row>
    <row r="3757" spans="1:12">
      <c r="A3757" s="93">
        <v>377546</v>
      </c>
      <c r="B3757" t="s">
        <v>4240</v>
      </c>
      <c r="C3757" t="s">
        <v>5604</v>
      </c>
      <c r="D3757" s="92">
        <v>0.64</v>
      </c>
      <c r="E3757" s="92">
        <v>0.33</v>
      </c>
      <c r="F3757" t="s">
        <v>428</v>
      </c>
      <c r="G3757" t="s">
        <v>428</v>
      </c>
      <c r="H3757" t="s">
        <v>5617</v>
      </c>
      <c r="I3757">
        <v>0</v>
      </c>
      <c r="J3757" t="s">
        <v>87</v>
      </c>
      <c r="K3757">
        <v>0</v>
      </c>
      <c r="L3757">
        <v>0</v>
      </c>
    </row>
    <row r="3758" spans="1:12">
      <c r="A3758" s="93">
        <v>377555</v>
      </c>
      <c r="B3758" t="s">
        <v>4241</v>
      </c>
      <c r="C3758" t="s">
        <v>5602</v>
      </c>
      <c r="D3758" s="92">
        <v>0.68</v>
      </c>
      <c r="E3758" s="92">
        <v>0.68</v>
      </c>
      <c r="F3758">
        <v>20</v>
      </c>
      <c r="G3758">
        <v>22.5</v>
      </c>
      <c r="H3758" t="s">
        <v>5615</v>
      </c>
      <c r="I3758">
        <v>0</v>
      </c>
      <c r="J3758" t="s">
        <v>87</v>
      </c>
      <c r="K3758">
        <v>0</v>
      </c>
      <c r="L3758">
        <v>0</v>
      </c>
    </row>
    <row r="3759" spans="1:12">
      <c r="A3759" s="93">
        <v>377564</v>
      </c>
      <c r="B3759" t="s">
        <v>4242</v>
      </c>
      <c r="C3759" t="s">
        <v>5604</v>
      </c>
      <c r="D3759" s="92">
        <v>0.59</v>
      </c>
      <c r="E3759" s="92">
        <v>0.52</v>
      </c>
      <c r="F3759">
        <v>15</v>
      </c>
      <c r="G3759">
        <v>18.5</v>
      </c>
      <c r="H3759" t="s">
        <v>5615</v>
      </c>
      <c r="I3759">
        <v>0</v>
      </c>
      <c r="J3759" t="s">
        <v>87</v>
      </c>
      <c r="K3759">
        <v>0</v>
      </c>
      <c r="L3759">
        <v>0</v>
      </c>
    </row>
    <row r="3760" spans="1:12">
      <c r="A3760" s="93">
        <v>377652</v>
      </c>
      <c r="B3760" t="s">
        <v>4243</v>
      </c>
      <c r="C3760" t="s">
        <v>5606</v>
      </c>
      <c r="D3760" s="92" t="s">
        <v>428</v>
      </c>
      <c r="E3760" s="92" t="s">
        <v>428</v>
      </c>
      <c r="F3760" t="s">
        <v>428</v>
      </c>
      <c r="G3760" t="s">
        <v>428</v>
      </c>
      <c r="H3760" t="s">
        <v>5617</v>
      </c>
      <c r="I3760">
        <v>0</v>
      </c>
      <c r="J3760" t="s">
        <v>87</v>
      </c>
      <c r="K3760">
        <v>0</v>
      </c>
      <c r="L3760">
        <v>0</v>
      </c>
    </row>
    <row r="3761" spans="1:12">
      <c r="A3761" s="93">
        <v>377661</v>
      </c>
      <c r="B3761" t="s">
        <v>4244</v>
      </c>
      <c r="C3761" t="s">
        <v>5606</v>
      </c>
      <c r="D3761" s="92">
        <v>0.7</v>
      </c>
      <c r="E3761" s="92">
        <v>0.76</v>
      </c>
      <c r="F3761" t="s">
        <v>428</v>
      </c>
      <c r="G3761" t="s">
        <v>428</v>
      </c>
      <c r="H3761" t="s">
        <v>5617</v>
      </c>
      <c r="I3761">
        <v>0</v>
      </c>
      <c r="J3761" t="s">
        <v>87</v>
      </c>
      <c r="K3761">
        <v>0</v>
      </c>
      <c r="L3761">
        <v>0</v>
      </c>
    </row>
    <row r="3762" spans="1:12">
      <c r="A3762" s="93">
        <v>377670</v>
      </c>
      <c r="B3762" t="s">
        <v>4245</v>
      </c>
      <c r="C3762" t="s">
        <v>5606</v>
      </c>
      <c r="D3762" s="92" t="s">
        <v>428</v>
      </c>
      <c r="E3762" s="92" t="s">
        <v>428</v>
      </c>
      <c r="F3762" t="s">
        <v>428</v>
      </c>
      <c r="G3762" t="s">
        <v>428</v>
      </c>
      <c r="H3762" t="s">
        <v>5617</v>
      </c>
      <c r="I3762">
        <v>0</v>
      </c>
      <c r="J3762" t="s">
        <v>87</v>
      </c>
      <c r="K3762">
        <v>0</v>
      </c>
      <c r="L3762">
        <v>0</v>
      </c>
    </row>
    <row r="3763" spans="1:12">
      <c r="A3763" s="93">
        <v>377722</v>
      </c>
      <c r="B3763" t="s">
        <v>4246</v>
      </c>
      <c r="C3763" t="s">
        <v>5606</v>
      </c>
      <c r="D3763" s="92" t="s">
        <v>428</v>
      </c>
      <c r="E3763" s="92" t="s">
        <v>428</v>
      </c>
      <c r="F3763" t="s">
        <v>428</v>
      </c>
      <c r="G3763" t="s">
        <v>428</v>
      </c>
      <c r="H3763" t="s">
        <v>5617</v>
      </c>
      <c r="I3763">
        <v>0</v>
      </c>
      <c r="J3763" t="s">
        <v>87</v>
      </c>
      <c r="K3763">
        <v>0</v>
      </c>
      <c r="L3763">
        <v>0</v>
      </c>
    </row>
    <row r="3764" spans="1:12">
      <c r="A3764" s="93">
        <v>378105</v>
      </c>
      <c r="B3764" t="s">
        <v>4247</v>
      </c>
      <c r="C3764" t="s">
        <v>5609</v>
      </c>
      <c r="D3764" s="92" t="s">
        <v>428</v>
      </c>
      <c r="E3764" s="92" t="s">
        <v>428</v>
      </c>
      <c r="F3764" t="s">
        <v>428</v>
      </c>
      <c r="G3764" t="s">
        <v>428</v>
      </c>
      <c r="H3764" t="s">
        <v>5617</v>
      </c>
      <c r="I3764">
        <v>0</v>
      </c>
      <c r="J3764" t="s">
        <v>87</v>
      </c>
      <c r="K3764">
        <v>0</v>
      </c>
      <c r="L3764">
        <v>0</v>
      </c>
    </row>
    <row r="3765" spans="1:12">
      <c r="A3765" s="93">
        <v>378406</v>
      </c>
      <c r="B3765" t="s">
        <v>4248</v>
      </c>
      <c r="C3765" t="s">
        <v>5607</v>
      </c>
      <c r="D3765" s="92" t="s">
        <v>428</v>
      </c>
      <c r="E3765" s="92" t="s">
        <v>428</v>
      </c>
      <c r="F3765" t="s">
        <v>428</v>
      </c>
      <c r="G3765" t="s">
        <v>428</v>
      </c>
      <c r="H3765" t="s">
        <v>5617</v>
      </c>
      <c r="I3765">
        <v>0</v>
      </c>
      <c r="J3765" t="s">
        <v>87</v>
      </c>
      <c r="K3765">
        <v>0</v>
      </c>
      <c r="L3765">
        <v>0</v>
      </c>
    </row>
    <row r="3766" spans="1:12">
      <c r="A3766" s="93">
        <v>378576</v>
      </c>
      <c r="B3766" t="s">
        <v>4249</v>
      </c>
      <c r="C3766" t="s">
        <v>5604</v>
      </c>
      <c r="D3766" s="92">
        <v>0.33</v>
      </c>
      <c r="E3766" s="92">
        <v>0</v>
      </c>
      <c r="F3766" t="s">
        <v>428</v>
      </c>
      <c r="G3766" t="s">
        <v>428</v>
      </c>
      <c r="H3766" t="s">
        <v>5617</v>
      </c>
      <c r="I3766">
        <v>0</v>
      </c>
      <c r="J3766" t="s">
        <v>87</v>
      </c>
      <c r="K3766">
        <v>0</v>
      </c>
      <c r="L3766">
        <v>0</v>
      </c>
    </row>
    <row r="3767" spans="1:12">
      <c r="A3767" s="93">
        <v>378956</v>
      </c>
      <c r="B3767" t="s">
        <v>4250</v>
      </c>
      <c r="C3767" t="s">
        <v>5606</v>
      </c>
      <c r="D3767" s="92" t="s">
        <v>428</v>
      </c>
      <c r="E3767" s="92" t="s">
        <v>428</v>
      </c>
      <c r="F3767" t="s">
        <v>428</v>
      </c>
      <c r="G3767" t="s">
        <v>428</v>
      </c>
      <c r="H3767" t="s">
        <v>5617</v>
      </c>
      <c r="I3767">
        <v>0</v>
      </c>
      <c r="J3767" t="s">
        <v>87</v>
      </c>
      <c r="K3767">
        <v>0</v>
      </c>
      <c r="L3767">
        <v>0</v>
      </c>
    </row>
    <row r="3768" spans="1:12">
      <c r="A3768" s="93">
        <v>379782</v>
      </c>
      <c r="B3768" t="s">
        <v>4251</v>
      </c>
      <c r="C3768" t="s">
        <v>5606</v>
      </c>
      <c r="D3768" s="92">
        <v>0.5600000000000001</v>
      </c>
      <c r="E3768" s="92">
        <v>0.45</v>
      </c>
      <c r="F3768" t="s">
        <v>428</v>
      </c>
      <c r="G3768" t="s">
        <v>428</v>
      </c>
      <c r="H3768" t="s">
        <v>5616</v>
      </c>
      <c r="I3768">
        <v>0</v>
      </c>
      <c r="J3768" t="s">
        <v>87</v>
      </c>
      <c r="K3768">
        <v>0</v>
      </c>
      <c r="L3768">
        <v>0</v>
      </c>
    </row>
    <row r="3769" spans="1:12">
      <c r="A3769" s="93">
        <v>380359</v>
      </c>
      <c r="B3769" t="s">
        <v>4252</v>
      </c>
      <c r="C3769" t="s">
        <v>5606</v>
      </c>
      <c r="D3769" s="92">
        <v>0.22</v>
      </c>
      <c r="E3769" s="92" t="s">
        <v>428</v>
      </c>
      <c r="F3769" t="s">
        <v>428</v>
      </c>
      <c r="G3769" t="s">
        <v>428</v>
      </c>
      <c r="H3769" t="s">
        <v>5615</v>
      </c>
      <c r="I3769">
        <v>0</v>
      </c>
      <c r="J3769" t="s">
        <v>87</v>
      </c>
      <c r="K3769">
        <v>0</v>
      </c>
      <c r="L3769">
        <v>0</v>
      </c>
    </row>
    <row r="3770" spans="1:12">
      <c r="A3770" s="93">
        <v>380368</v>
      </c>
      <c r="B3770" t="s">
        <v>4253</v>
      </c>
      <c r="C3770" t="s">
        <v>5606</v>
      </c>
      <c r="D3770" s="92">
        <v>0.36</v>
      </c>
      <c r="E3770" s="92">
        <v>0.4</v>
      </c>
      <c r="F3770" t="s">
        <v>428</v>
      </c>
      <c r="G3770" t="s">
        <v>428</v>
      </c>
      <c r="H3770" t="s">
        <v>5615</v>
      </c>
      <c r="I3770">
        <v>0</v>
      </c>
      <c r="J3770" t="s">
        <v>87</v>
      </c>
      <c r="K3770">
        <v>0</v>
      </c>
      <c r="L3770">
        <v>0</v>
      </c>
    </row>
    <row r="3771" spans="1:12">
      <c r="A3771" s="93">
        <v>380377</v>
      </c>
      <c r="B3771" t="s">
        <v>4254</v>
      </c>
      <c r="C3771" t="s">
        <v>5604</v>
      </c>
      <c r="D3771" s="92">
        <v>0.64</v>
      </c>
      <c r="E3771" s="92" t="s">
        <v>428</v>
      </c>
      <c r="F3771" t="s">
        <v>428</v>
      </c>
      <c r="G3771" t="s">
        <v>428</v>
      </c>
      <c r="H3771" t="s">
        <v>5615</v>
      </c>
      <c r="I3771">
        <v>0</v>
      </c>
      <c r="J3771" t="s">
        <v>87</v>
      </c>
      <c r="K3771">
        <v>0</v>
      </c>
      <c r="L3771">
        <v>0</v>
      </c>
    </row>
    <row r="3772" spans="1:12">
      <c r="A3772" s="93">
        <v>380438</v>
      </c>
      <c r="B3772" t="s">
        <v>4255</v>
      </c>
      <c r="C3772" t="s">
        <v>5604</v>
      </c>
      <c r="D3772" s="92">
        <v>0.55</v>
      </c>
      <c r="E3772" s="92">
        <v>0.75</v>
      </c>
      <c r="F3772" t="s">
        <v>428</v>
      </c>
      <c r="G3772" t="s">
        <v>428</v>
      </c>
      <c r="H3772" t="s">
        <v>5617</v>
      </c>
      <c r="I3772">
        <v>0</v>
      </c>
      <c r="J3772" t="s">
        <v>87</v>
      </c>
      <c r="K3772">
        <v>0</v>
      </c>
      <c r="L3772">
        <v>0</v>
      </c>
    </row>
    <row r="3773" spans="1:12">
      <c r="A3773" s="93">
        <v>380465</v>
      </c>
      <c r="B3773" t="s">
        <v>4256</v>
      </c>
      <c r="C3773" t="s">
        <v>5604</v>
      </c>
      <c r="D3773" s="92">
        <v>0.22</v>
      </c>
      <c r="E3773" s="92">
        <v>0.19</v>
      </c>
      <c r="F3773" t="s">
        <v>428</v>
      </c>
      <c r="G3773" t="s">
        <v>428</v>
      </c>
      <c r="H3773" t="s">
        <v>5617</v>
      </c>
      <c r="I3773">
        <v>0</v>
      </c>
      <c r="J3773" t="s">
        <v>87</v>
      </c>
      <c r="K3773">
        <v>0</v>
      </c>
      <c r="L3773">
        <v>0</v>
      </c>
    </row>
    <row r="3774" spans="1:12">
      <c r="A3774" s="93">
        <v>381352</v>
      </c>
      <c r="B3774" t="s">
        <v>4257</v>
      </c>
      <c r="C3774" t="s">
        <v>5607</v>
      </c>
      <c r="D3774" s="92" t="s">
        <v>428</v>
      </c>
      <c r="E3774" s="92" t="s">
        <v>428</v>
      </c>
      <c r="F3774" t="s">
        <v>428</v>
      </c>
      <c r="G3774" t="s">
        <v>428</v>
      </c>
      <c r="H3774" t="s">
        <v>5615</v>
      </c>
      <c r="I3774">
        <v>0</v>
      </c>
      <c r="J3774" t="s">
        <v>87</v>
      </c>
      <c r="K3774">
        <v>0</v>
      </c>
      <c r="L3774">
        <v>0</v>
      </c>
    </row>
    <row r="3775" spans="1:12">
      <c r="A3775" s="93">
        <v>381459</v>
      </c>
      <c r="B3775" t="s">
        <v>4258</v>
      </c>
      <c r="C3775" t="s">
        <v>5607</v>
      </c>
      <c r="D3775" s="92" t="s">
        <v>428</v>
      </c>
      <c r="E3775" s="92" t="s">
        <v>428</v>
      </c>
      <c r="F3775" t="s">
        <v>428</v>
      </c>
      <c r="G3775" t="s">
        <v>428</v>
      </c>
      <c r="H3775" t="s">
        <v>5615</v>
      </c>
      <c r="I3775">
        <v>0</v>
      </c>
      <c r="J3775" t="s">
        <v>87</v>
      </c>
      <c r="K3775">
        <v>0</v>
      </c>
      <c r="L3775">
        <v>0</v>
      </c>
    </row>
    <row r="3776" spans="1:12">
      <c r="A3776" s="93">
        <v>381486</v>
      </c>
      <c r="B3776" t="s">
        <v>4259</v>
      </c>
      <c r="C3776" t="s">
        <v>5606</v>
      </c>
      <c r="D3776" s="92" t="s">
        <v>428</v>
      </c>
      <c r="E3776" s="92" t="s">
        <v>428</v>
      </c>
      <c r="F3776" t="s">
        <v>428</v>
      </c>
      <c r="G3776" t="s">
        <v>428</v>
      </c>
      <c r="H3776" t="s">
        <v>5616</v>
      </c>
      <c r="I3776">
        <v>0</v>
      </c>
      <c r="J3776" t="s">
        <v>87</v>
      </c>
      <c r="K3776">
        <v>0</v>
      </c>
      <c r="L3776">
        <v>0</v>
      </c>
    </row>
    <row r="3777" spans="1:12">
      <c r="A3777" s="93">
        <v>381732</v>
      </c>
      <c r="B3777" t="s">
        <v>4260</v>
      </c>
      <c r="C3777" t="s">
        <v>5606</v>
      </c>
      <c r="D3777" s="92" t="s">
        <v>428</v>
      </c>
      <c r="E3777" s="92" t="s">
        <v>428</v>
      </c>
      <c r="F3777" t="s">
        <v>428</v>
      </c>
      <c r="G3777" t="s">
        <v>428</v>
      </c>
      <c r="H3777" t="s">
        <v>5617</v>
      </c>
      <c r="I3777">
        <v>0</v>
      </c>
      <c r="J3777" t="s">
        <v>87</v>
      </c>
      <c r="K3777">
        <v>0</v>
      </c>
      <c r="L3777">
        <v>0</v>
      </c>
    </row>
    <row r="3778" spans="1:12">
      <c r="A3778" s="93">
        <v>381909</v>
      </c>
      <c r="B3778" t="s">
        <v>4261</v>
      </c>
      <c r="C3778" t="s">
        <v>5607</v>
      </c>
      <c r="D3778" s="92">
        <v>0.14</v>
      </c>
      <c r="E3778" s="92">
        <v>0.12</v>
      </c>
      <c r="F3778" t="s">
        <v>428</v>
      </c>
      <c r="G3778" t="s">
        <v>428</v>
      </c>
      <c r="H3778" t="s">
        <v>5617</v>
      </c>
      <c r="I3778">
        <v>0</v>
      </c>
      <c r="J3778" t="s">
        <v>87</v>
      </c>
      <c r="K3778">
        <v>0</v>
      </c>
      <c r="L3778">
        <v>0</v>
      </c>
    </row>
    <row r="3779" spans="1:12">
      <c r="A3779" s="93">
        <v>381945</v>
      </c>
      <c r="B3779" t="s">
        <v>4262</v>
      </c>
      <c r="C3779" t="s">
        <v>5606</v>
      </c>
      <c r="D3779" s="92" t="s">
        <v>428</v>
      </c>
      <c r="E3779" s="92" t="s">
        <v>428</v>
      </c>
      <c r="F3779" t="s">
        <v>428</v>
      </c>
      <c r="G3779" t="s">
        <v>428</v>
      </c>
      <c r="H3779" t="s">
        <v>5617</v>
      </c>
      <c r="I3779">
        <v>0</v>
      </c>
      <c r="J3779" t="s">
        <v>87</v>
      </c>
      <c r="K3779">
        <v>0</v>
      </c>
      <c r="L3779">
        <v>0</v>
      </c>
    </row>
    <row r="3780" spans="1:12">
      <c r="A3780" s="93">
        <v>382063</v>
      </c>
      <c r="B3780" t="s">
        <v>4263</v>
      </c>
      <c r="C3780" t="s">
        <v>5607</v>
      </c>
      <c r="D3780" s="92">
        <v>0.28</v>
      </c>
      <c r="E3780" s="92">
        <v>0.29</v>
      </c>
      <c r="F3780" t="s">
        <v>428</v>
      </c>
      <c r="G3780" t="s">
        <v>428</v>
      </c>
      <c r="H3780" t="s">
        <v>5616</v>
      </c>
      <c r="I3780">
        <v>0</v>
      </c>
      <c r="J3780" t="s">
        <v>87</v>
      </c>
      <c r="K3780">
        <v>0</v>
      </c>
      <c r="L3780">
        <v>0</v>
      </c>
    </row>
    <row r="3781" spans="1:12">
      <c r="A3781" s="93">
        <v>382461</v>
      </c>
      <c r="B3781" t="s">
        <v>4264</v>
      </c>
      <c r="C3781" t="s">
        <v>5606</v>
      </c>
      <c r="D3781" s="92" t="s">
        <v>428</v>
      </c>
      <c r="E3781" s="92" t="s">
        <v>428</v>
      </c>
      <c r="F3781" t="s">
        <v>428</v>
      </c>
      <c r="G3781" t="s">
        <v>428</v>
      </c>
      <c r="H3781" t="s">
        <v>5617</v>
      </c>
      <c r="I3781">
        <v>0</v>
      </c>
      <c r="J3781" t="s">
        <v>87</v>
      </c>
      <c r="K3781">
        <v>0</v>
      </c>
      <c r="L3781">
        <v>0</v>
      </c>
    </row>
    <row r="3782" spans="1:12">
      <c r="A3782" s="93">
        <v>382504</v>
      </c>
      <c r="B3782" t="s">
        <v>4265</v>
      </c>
      <c r="C3782" t="s">
        <v>5609</v>
      </c>
      <c r="D3782" s="92" t="s">
        <v>428</v>
      </c>
      <c r="E3782" s="92" t="s">
        <v>428</v>
      </c>
      <c r="F3782" t="s">
        <v>428</v>
      </c>
      <c r="G3782" t="s">
        <v>428</v>
      </c>
      <c r="H3782" t="s">
        <v>5617</v>
      </c>
      <c r="I3782">
        <v>0</v>
      </c>
      <c r="J3782" t="s">
        <v>87</v>
      </c>
      <c r="K3782">
        <v>0</v>
      </c>
      <c r="L3782">
        <v>0</v>
      </c>
    </row>
    <row r="3783" spans="1:12">
      <c r="A3783" s="93">
        <v>382771</v>
      </c>
      <c r="B3783" t="s">
        <v>4266</v>
      </c>
      <c r="C3783" t="s">
        <v>5606</v>
      </c>
      <c r="D3783" s="92" t="s">
        <v>428</v>
      </c>
      <c r="E3783" s="92" t="s">
        <v>428</v>
      </c>
      <c r="F3783" t="s">
        <v>428</v>
      </c>
      <c r="G3783" t="s">
        <v>428</v>
      </c>
      <c r="H3783" t="s">
        <v>5617</v>
      </c>
      <c r="I3783">
        <v>0</v>
      </c>
      <c r="J3783" t="s">
        <v>87</v>
      </c>
      <c r="K3783">
        <v>0</v>
      </c>
      <c r="L3783">
        <v>0</v>
      </c>
    </row>
    <row r="3784" spans="1:12">
      <c r="A3784" s="93">
        <v>382896</v>
      </c>
      <c r="B3784" t="s">
        <v>4267</v>
      </c>
      <c r="C3784" t="s">
        <v>5606</v>
      </c>
      <c r="D3784" s="92" t="s">
        <v>428</v>
      </c>
      <c r="E3784" s="92" t="s">
        <v>428</v>
      </c>
      <c r="F3784" t="s">
        <v>428</v>
      </c>
      <c r="G3784" t="s">
        <v>428</v>
      </c>
      <c r="H3784" t="s">
        <v>5617</v>
      </c>
      <c r="I3784">
        <v>0</v>
      </c>
      <c r="J3784" t="s">
        <v>87</v>
      </c>
      <c r="K3784">
        <v>0</v>
      </c>
      <c r="L3784">
        <v>0</v>
      </c>
    </row>
    <row r="3785" spans="1:12">
      <c r="A3785" s="93">
        <v>382911</v>
      </c>
      <c r="B3785" t="s">
        <v>4268</v>
      </c>
      <c r="C3785" t="s">
        <v>5606</v>
      </c>
      <c r="D3785" s="92" t="s">
        <v>428</v>
      </c>
      <c r="E3785" s="92" t="s">
        <v>428</v>
      </c>
      <c r="F3785" t="s">
        <v>428</v>
      </c>
      <c r="G3785" t="s">
        <v>428</v>
      </c>
      <c r="H3785" t="s">
        <v>5615</v>
      </c>
      <c r="I3785">
        <v>0</v>
      </c>
      <c r="J3785" t="s">
        <v>87</v>
      </c>
      <c r="K3785">
        <v>0</v>
      </c>
      <c r="L3785">
        <v>0</v>
      </c>
    </row>
    <row r="3786" spans="1:12">
      <c r="A3786" s="93">
        <v>382957</v>
      </c>
      <c r="B3786" t="s">
        <v>4269</v>
      </c>
      <c r="C3786" t="s">
        <v>5606</v>
      </c>
      <c r="D3786" s="92" t="s">
        <v>428</v>
      </c>
      <c r="E3786" s="92" t="s">
        <v>428</v>
      </c>
      <c r="F3786" t="s">
        <v>428</v>
      </c>
      <c r="G3786" t="s">
        <v>428</v>
      </c>
      <c r="H3786" t="s">
        <v>5617</v>
      </c>
      <c r="I3786">
        <v>0</v>
      </c>
      <c r="J3786" t="s">
        <v>87</v>
      </c>
      <c r="K3786">
        <v>0</v>
      </c>
      <c r="L3786">
        <v>0</v>
      </c>
    </row>
    <row r="3787" spans="1:12">
      <c r="A3787" s="93">
        <v>383020</v>
      </c>
      <c r="B3787" t="s">
        <v>4270</v>
      </c>
      <c r="C3787" t="s">
        <v>5607</v>
      </c>
      <c r="D3787" s="92" t="s">
        <v>428</v>
      </c>
      <c r="E3787" s="92" t="s">
        <v>428</v>
      </c>
      <c r="F3787" t="s">
        <v>428</v>
      </c>
      <c r="G3787" t="s">
        <v>428</v>
      </c>
      <c r="H3787" t="s">
        <v>5615</v>
      </c>
      <c r="I3787">
        <v>0</v>
      </c>
      <c r="J3787" t="s">
        <v>87</v>
      </c>
      <c r="K3787">
        <v>0</v>
      </c>
      <c r="L3787">
        <v>1</v>
      </c>
    </row>
    <row r="3788" spans="1:12">
      <c r="A3788" s="93">
        <v>383084</v>
      </c>
      <c r="B3788" t="s">
        <v>4271</v>
      </c>
      <c r="C3788" t="s">
        <v>5606</v>
      </c>
      <c r="D3788" s="92" t="s">
        <v>428</v>
      </c>
      <c r="E3788" s="92" t="s">
        <v>428</v>
      </c>
      <c r="F3788" t="s">
        <v>428</v>
      </c>
      <c r="G3788" t="s">
        <v>428</v>
      </c>
      <c r="H3788" t="s">
        <v>5615</v>
      </c>
      <c r="I3788">
        <v>0</v>
      </c>
      <c r="J3788" t="s">
        <v>87</v>
      </c>
      <c r="K3788">
        <v>0</v>
      </c>
      <c r="L3788">
        <v>0</v>
      </c>
    </row>
    <row r="3789" spans="1:12">
      <c r="A3789" s="93">
        <v>383190</v>
      </c>
      <c r="B3789" t="s">
        <v>4272</v>
      </c>
      <c r="C3789" t="s">
        <v>5606</v>
      </c>
      <c r="D3789" s="92">
        <v>0.26</v>
      </c>
      <c r="E3789" s="92">
        <v>0.22</v>
      </c>
      <c r="F3789" t="s">
        <v>428</v>
      </c>
      <c r="G3789" t="s">
        <v>428</v>
      </c>
      <c r="H3789" t="s">
        <v>5615</v>
      </c>
      <c r="I3789">
        <v>0</v>
      </c>
      <c r="J3789" t="s">
        <v>87</v>
      </c>
      <c r="K3789">
        <v>0</v>
      </c>
      <c r="L3789">
        <v>0</v>
      </c>
    </row>
    <row r="3790" spans="1:12">
      <c r="A3790" s="93">
        <v>383950</v>
      </c>
      <c r="B3790" t="s">
        <v>4273</v>
      </c>
      <c r="C3790" t="s">
        <v>5606</v>
      </c>
      <c r="D3790" s="92" t="s">
        <v>428</v>
      </c>
      <c r="E3790" s="92" t="s">
        <v>428</v>
      </c>
      <c r="F3790" t="s">
        <v>428</v>
      </c>
      <c r="G3790" t="s">
        <v>428</v>
      </c>
      <c r="H3790" t="s">
        <v>5617</v>
      </c>
      <c r="I3790">
        <v>0</v>
      </c>
      <c r="J3790" t="s">
        <v>87</v>
      </c>
      <c r="K3790">
        <v>0</v>
      </c>
      <c r="L3790">
        <v>0</v>
      </c>
    </row>
    <row r="3791" spans="1:12">
      <c r="A3791" s="93">
        <v>383996</v>
      </c>
      <c r="B3791" t="s">
        <v>4274</v>
      </c>
      <c r="C3791" t="s">
        <v>5606</v>
      </c>
      <c r="D3791" s="92" t="s">
        <v>428</v>
      </c>
      <c r="E3791" s="92" t="s">
        <v>428</v>
      </c>
      <c r="F3791" t="s">
        <v>428</v>
      </c>
      <c r="G3791" t="s">
        <v>428</v>
      </c>
      <c r="H3791" t="s">
        <v>5615</v>
      </c>
      <c r="I3791">
        <v>0</v>
      </c>
      <c r="J3791" t="s">
        <v>87</v>
      </c>
      <c r="K3791">
        <v>0</v>
      </c>
      <c r="L3791">
        <v>0</v>
      </c>
    </row>
    <row r="3792" spans="1:12">
      <c r="A3792" s="93">
        <v>384254</v>
      </c>
      <c r="B3792" t="s">
        <v>4275</v>
      </c>
      <c r="C3792" t="s">
        <v>5602</v>
      </c>
      <c r="D3792" s="92">
        <v>0.62</v>
      </c>
      <c r="E3792" s="92">
        <v>0.14</v>
      </c>
      <c r="F3792" t="s">
        <v>428</v>
      </c>
      <c r="G3792" t="s">
        <v>428</v>
      </c>
      <c r="H3792" t="s">
        <v>5617</v>
      </c>
      <c r="I3792">
        <v>0</v>
      </c>
      <c r="J3792" t="s">
        <v>87</v>
      </c>
      <c r="K3792">
        <v>0</v>
      </c>
      <c r="L3792">
        <v>0</v>
      </c>
    </row>
    <row r="3793" spans="1:12">
      <c r="A3793" s="93">
        <v>384306</v>
      </c>
      <c r="B3793" t="s">
        <v>4276</v>
      </c>
      <c r="C3793" t="s">
        <v>5607</v>
      </c>
      <c r="D3793" s="92" t="s">
        <v>428</v>
      </c>
      <c r="E3793" s="92" t="s">
        <v>428</v>
      </c>
      <c r="F3793" t="s">
        <v>428</v>
      </c>
      <c r="G3793" t="s">
        <v>428</v>
      </c>
      <c r="H3793" t="s">
        <v>5615</v>
      </c>
      <c r="I3793">
        <v>0</v>
      </c>
      <c r="J3793" t="s">
        <v>87</v>
      </c>
      <c r="K3793">
        <v>0</v>
      </c>
      <c r="L3793">
        <v>0</v>
      </c>
    </row>
    <row r="3794" spans="1:12">
      <c r="A3794" s="93">
        <v>384333</v>
      </c>
      <c r="B3794" t="s">
        <v>4277</v>
      </c>
      <c r="C3794" t="s">
        <v>5606</v>
      </c>
      <c r="D3794" s="92">
        <v>0.33</v>
      </c>
      <c r="E3794" s="92">
        <v>0.31</v>
      </c>
      <c r="F3794" t="s">
        <v>428</v>
      </c>
      <c r="G3794" t="s">
        <v>428</v>
      </c>
      <c r="H3794" t="s">
        <v>5615</v>
      </c>
      <c r="I3794">
        <v>0</v>
      </c>
      <c r="J3794" t="s">
        <v>87</v>
      </c>
      <c r="K3794">
        <v>0</v>
      </c>
      <c r="L3794">
        <v>0</v>
      </c>
    </row>
    <row r="3795" spans="1:12">
      <c r="A3795" s="93">
        <v>384342</v>
      </c>
      <c r="B3795" t="s">
        <v>4278</v>
      </c>
      <c r="C3795" t="s">
        <v>5606</v>
      </c>
      <c r="D3795" s="92">
        <v>0.38</v>
      </c>
      <c r="E3795" s="92">
        <v>0.25</v>
      </c>
      <c r="F3795" t="s">
        <v>428</v>
      </c>
      <c r="G3795" t="s">
        <v>428</v>
      </c>
      <c r="H3795" t="s">
        <v>5624</v>
      </c>
      <c r="I3795">
        <v>1</v>
      </c>
      <c r="J3795" t="s">
        <v>87</v>
      </c>
      <c r="K3795">
        <v>1</v>
      </c>
      <c r="L3795">
        <v>0</v>
      </c>
    </row>
    <row r="3796" spans="1:12">
      <c r="A3796" s="93">
        <v>384412</v>
      </c>
      <c r="B3796" t="s">
        <v>4279</v>
      </c>
      <c r="C3796" t="s">
        <v>5604</v>
      </c>
      <c r="D3796" s="92">
        <v>0.27</v>
      </c>
      <c r="E3796" s="92">
        <v>0.27</v>
      </c>
      <c r="F3796" t="s">
        <v>428</v>
      </c>
      <c r="G3796" t="s">
        <v>428</v>
      </c>
      <c r="H3796" t="s">
        <v>5617</v>
      </c>
      <c r="I3796">
        <v>0</v>
      </c>
      <c r="J3796" t="s">
        <v>87</v>
      </c>
      <c r="K3796">
        <v>0</v>
      </c>
      <c r="L3796">
        <v>0</v>
      </c>
    </row>
    <row r="3797" spans="1:12">
      <c r="A3797" s="93">
        <v>384421</v>
      </c>
      <c r="B3797" t="s">
        <v>4280</v>
      </c>
      <c r="C3797" t="s">
        <v>5607</v>
      </c>
      <c r="D3797" s="92">
        <v>0.14</v>
      </c>
      <c r="E3797" s="92" t="s">
        <v>428</v>
      </c>
      <c r="F3797" t="s">
        <v>428</v>
      </c>
      <c r="G3797" t="s">
        <v>428</v>
      </c>
      <c r="H3797" t="s">
        <v>5624</v>
      </c>
      <c r="I3797">
        <v>1</v>
      </c>
      <c r="J3797" t="s">
        <v>87</v>
      </c>
      <c r="K3797">
        <v>0</v>
      </c>
      <c r="L3797">
        <v>0</v>
      </c>
    </row>
    <row r="3798" spans="1:12">
      <c r="A3798" s="93">
        <v>385503</v>
      </c>
      <c r="B3798" t="s">
        <v>4281</v>
      </c>
      <c r="C3798" t="s">
        <v>5606</v>
      </c>
      <c r="D3798" s="92" t="s">
        <v>428</v>
      </c>
      <c r="E3798" s="92" t="s">
        <v>428</v>
      </c>
      <c r="F3798" t="s">
        <v>428</v>
      </c>
      <c r="G3798" t="s">
        <v>428</v>
      </c>
      <c r="H3798" t="s">
        <v>5617</v>
      </c>
      <c r="I3798">
        <v>0</v>
      </c>
      <c r="J3798" t="s">
        <v>87</v>
      </c>
      <c r="K3798">
        <v>0</v>
      </c>
      <c r="L3798">
        <v>0</v>
      </c>
    </row>
    <row r="3799" spans="1:12">
      <c r="A3799" s="93">
        <v>385619</v>
      </c>
      <c r="B3799" t="s">
        <v>4282</v>
      </c>
      <c r="C3799" t="s">
        <v>5607</v>
      </c>
      <c r="D3799" s="92">
        <v>0.49</v>
      </c>
      <c r="E3799" s="92">
        <v>0.51</v>
      </c>
      <c r="F3799" t="s">
        <v>428</v>
      </c>
      <c r="G3799" t="s">
        <v>428</v>
      </c>
      <c r="H3799" t="s">
        <v>5617</v>
      </c>
      <c r="I3799">
        <v>0</v>
      </c>
      <c r="J3799" t="s">
        <v>87</v>
      </c>
      <c r="K3799">
        <v>0</v>
      </c>
      <c r="L3799">
        <v>0</v>
      </c>
    </row>
    <row r="3800" spans="1:12">
      <c r="A3800" s="93">
        <v>386153</v>
      </c>
      <c r="B3800" t="s">
        <v>4283</v>
      </c>
      <c r="C3800" t="s">
        <v>5609</v>
      </c>
      <c r="D3800" s="92" t="s">
        <v>428</v>
      </c>
      <c r="E3800" s="92" t="s">
        <v>428</v>
      </c>
      <c r="F3800" t="s">
        <v>428</v>
      </c>
      <c r="G3800" t="s">
        <v>428</v>
      </c>
      <c r="H3800" t="s">
        <v>5616</v>
      </c>
      <c r="I3800">
        <v>0</v>
      </c>
      <c r="J3800" t="s">
        <v>87</v>
      </c>
      <c r="K3800">
        <v>0</v>
      </c>
      <c r="L3800">
        <v>0</v>
      </c>
    </row>
    <row r="3801" spans="1:12">
      <c r="A3801" s="93">
        <v>386472</v>
      </c>
      <c r="B3801" t="s">
        <v>4284</v>
      </c>
      <c r="C3801" t="s">
        <v>5607</v>
      </c>
      <c r="D3801" s="92" t="s">
        <v>428</v>
      </c>
      <c r="E3801" s="92" t="s">
        <v>428</v>
      </c>
      <c r="F3801" t="s">
        <v>428</v>
      </c>
      <c r="G3801" t="s">
        <v>428</v>
      </c>
      <c r="H3801" t="s">
        <v>5617</v>
      </c>
      <c r="I3801">
        <v>0</v>
      </c>
      <c r="J3801" t="s">
        <v>87</v>
      </c>
      <c r="K3801">
        <v>0</v>
      </c>
      <c r="L3801">
        <v>0</v>
      </c>
    </row>
    <row r="3802" spans="1:12">
      <c r="A3802" s="93">
        <v>387819</v>
      </c>
      <c r="B3802" t="s">
        <v>4285</v>
      </c>
      <c r="C3802" t="s">
        <v>5606</v>
      </c>
      <c r="D3802" s="92" t="s">
        <v>428</v>
      </c>
      <c r="E3802" s="92" t="s">
        <v>428</v>
      </c>
      <c r="F3802" t="s">
        <v>428</v>
      </c>
      <c r="G3802" t="s">
        <v>428</v>
      </c>
      <c r="H3802" t="s">
        <v>5624</v>
      </c>
      <c r="I3802">
        <v>1</v>
      </c>
      <c r="J3802" t="s">
        <v>87</v>
      </c>
      <c r="K3802">
        <v>0</v>
      </c>
      <c r="L3802">
        <v>0</v>
      </c>
    </row>
    <row r="3803" spans="1:12">
      <c r="A3803" s="93">
        <v>387925</v>
      </c>
      <c r="B3803" t="s">
        <v>4286</v>
      </c>
      <c r="C3803" t="s">
        <v>5606</v>
      </c>
      <c r="D3803" s="92" t="s">
        <v>428</v>
      </c>
      <c r="E3803" s="92" t="s">
        <v>428</v>
      </c>
      <c r="F3803" t="s">
        <v>428</v>
      </c>
      <c r="G3803" t="s">
        <v>428</v>
      </c>
      <c r="H3803" t="s">
        <v>5617</v>
      </c>
      <c r="I3803">
        <v>0</v>
      </c>
      <c r="J3803" t="s">
        <v>87</v>
      </c>
      <c r="K3803">
        <v>0</v>
      </c>
      <c r="L3803">
        <v>0</v>
      </c>
    </row>
    <row r="3804" spans="1:12">
      <c r="A3804" s="93">
        <v>388043</v>
      </c>
      <c r="B3804" t="s">
        <v>4287</v>
      </c>
      <c r="C3804" t="s">
        <v>5606</v>
      </c>
      <c r="D3804" s="92" t="s">
        <v>428</v>
      </c>
      <c r="E3804" s="92" t="s">
        <v>428</v>
      </c>
      <c r="F3804" t="s">
        <v>428</v>
      </c>
      <c r="G3804" t="s">
        <v>428</v>
      </c>
      <c r="H3804" t="s">
        <v>5617</v>
      </c>
      <c r="I3804">
        <v>0</v>
      </c>
      <c r="J3804" t="s">
        <v>87</v>
      </c>
      <c r="K3804">
        <v>0</v>
      </c>
      <c r="L3804">
        <v>0</v>
      </c>
    </row>
    <row r="3805" spans="1:12">
      <c r="A3805" s="93">
        <v>388520</v>
      </c>
      <c r="B3805" t="s">
        <v>4288</v>
      </c>
      <c r="C3805" t="s">
        <v>5604</v>
      </c>
      <c r="D3805" s="92">
        <v>0.33</v>
      </c>
      <c r="E3805" s="92" t="s">
        <v>428</v>
      </c>
      <c r="F3805" t="s">
        <v>428</v>
      </c>
      <c r="G3805" t="s">
        <v>428</v>
      </c>
      <c r="H3805" t="s">
        <v>5613</v>
      </c>
      <c r="I3805">
        <v>1</v>
      </c>
      <c r="J3805" t="s">
        <v>87</v>
      </c>
      <c r="K3805">
        <v>0</v>
      </c>
      <c r="L3805">
        <v>0</v>
      </c>
    </row>
    <row r="3806" spans="1:12">
      <c r="A3806" s="93">
        <v>388663</v>
      </c>
      <c r="B3806" t="s">
        <v>4289</v>
      </c>
      <c r="C3806" t="s">
        <v>5606</v>
      </c>
      <c r="D3806" s="92" t="s">
        <v>428</v>
      </c>
      <c r="E3806" s="92" t="s">
        <v>428</v>
      </c>
      <c r="F3806" t="s">
        <v>428</v>
      </c>
      <c r="G3806" t="s">
        <v>428</v>
      </c>
      <c r="H3806" t="s">
        <v>5624</v>
      </c>
      <c r="I3806">
        <v>1</v>
      </c>
      <c r="J3806" t="s">
        <v>87</v>
      </c>
      <c r="K3806">
        <v>0</v>
      </c>
      <c r="L3806">
        <v>0</v>
      </c>
    </row>
    <row r="3807" spans="1:12">
      <c r="A3807" s="93">
        <v>389727</v>
      </c>
      <c r="B3807" t="s">
        <v>4290</v>
      </c>
      <c r="C3807" t="s">
        <v>5606</v>
      </c>
      <c r="D3807" s="92" t="s">
        <v>428</v>
      </c>
      <c r="E3807" s="92" t="s">
        <v>428</v>
      </c>
      <c r="F3807" t="s">
        <v>428</v>
      </c>
      <c r="G3807" t="s">
        <v>428</v>
      </c>
      <c r="H3807" t="s">
        <v>5617</v>
      </c>
      <c r="I3807">
        <v>0</v>
      </c>
      <c r="J3807" t="s">
        <v>87</v>
      </c>
      <c r="K3807">
        <v>0</v>
      </c>
      <c r="L3807">
        <v>0</v>
      </c>
    </row>
    <row r="3808" spans="1:12">
      <c r="A3808" s="93">
        <v>390701</v>
      </c>
      <c r="B3808" t="s">
        <v>4291</v>
      </c>
      <c r="C3808" t="s">
        <v>5607</v>
      </c>
      <c r="D3808" s="92">
        <v>0.37</v>
      </c>
      <c r="E3808" s="92">
        <v>0.31</v>
      </c>
      <c r="F3808" t="s">
        <v>428</v>
      </c>
      <c r="G3808" t="s">
        <v>428</v>
      </c>
      <c r="H3808" t="s">
        <v>5617</v>
      </c>
      <c r="I3808">
        <v>0</v>
      </c>
      <c r="J3808" t="s">
        <v>87</v>
      </c>
      <c r="K3808">
        <v>0</v>
      </c>
      <c r="L3808">
        <v>0</v>
      </c>
    </row>
    <row r="3809" spans="1:12">
      <c r="A3809" s="93">
        <v>392257</v>
      </c>
      <c r="B3809" t="s">
        <v>4292</v>
      </c>
      <c r="C3809" t="s">
        <v>5604</v>
      </c>
      <c r="D3809" s="92">
        <v>0.71</v>
      </c>
      <c r="E3809" s="92">
        <v>0.76</v>
      </c>
      <c r="F3809" t="s">
        <v>428</v>
      </c>
      <c r="G3809" t="s">
        <v>428</v>
      </c>
      <c r="H3809" t="s">
        <v>5617</v>
      </c>
      <c r="I3809">
        <v>0</v>
      </c>
      <c r="J3809" t="s">
        <v>87</v>
      </c>
      <c r="K3809">
        <v>0</v>
      </c>
      <c r="L3809">
        <v>0</v>
      </c>
    </row>
    <row r="3810" spans="1:12">
      <c r="A3810" s="93">
        <v>392354</v>
      </c>
      <c r="B3810" t="s">
        <v>4293</v>
      </c>
      <c r="C3810" t="s">
        <v>5606</v>
      </c>
      <c r="D3810" s="92" t="s">
        <v>428</v>
      </c>
      <c r="E3810" s="92" t="s">
        <v>428</v>
      </c>
      <c r="F3810" t="s">
        <v>428</v>
      </c>
      <c r="G3810" t="s">
        <v>428</v>
      </c>
      <c r="H3810" t="s">
        <v>5615</v>
      </c>
      <c r="I3810">
        <v>0</v>
      </c>
      <c r="J3810" t="s">
        <v>87</v>
      </c>
      <c r="K3810">
        <v>0</v>
      </c>
      <c r="L3810">
        <v>0</v>
      </c>
    </row>
    <row r="3811" spans="1:12">
      <c r="A3811" s="93">
        <v>392415</v>
      </c>
      <c r="B3811" t="s">
        <v>4294</v>
      </c>
      <c r="C3811" t="s">
        <v>5606</v>
      </c>
      <c r="D3811" s="92" t="s">
        <v>428</v>
      </c>
      <c r="E3811" s="92" t="s">
        <v>428</v>
      </c>
      <c r="F3811" t="s">
        <v>428</v>
      </c>
      <c r="G3811" t="s">
        <v>428</v>
      </c>
      <c r="H3811" t="s">
        <v>5617</v>
      </c>
      <c r="I3811">
        <v>0</v>
      </c>
      <c r="J3811" t="s">
        <v>87</v>
      </c>
      <c r="K3811">
        <v>0</v>
      </c>
      <c r="L3811">
        <v>0</v>
      </c>
    </row>
    <row r="3812" spans="1:12">
      <c r="A3812" s="93">
        <v>392840</v>
      </c>
      <c r="B3812" t="s">
        <v>4295</v>
      </c>
      <c r="C3812" t="s">
        <v>5604</v>
      </c>
      <c r="D3812" s="92">
        <v>0.27</v>
      </c>
      <c r="E3812" s="92">
        <v>0.16</v>
      </c>
      <c r="F3812">
        <v>19</v>
      </c>
      <c r="G3812">
        <v>21</v>
      </c>
      <c r="H3812" t="s">
        <v>5617</v>
      </c>
      <c r="I3812">
        <v>0</v>
      </c>
      <c r="J3812" t="s">
        <v>87</v>
      </c>
      <c r="K3812">
        <v>0</v>
      </c>
      <c r="L3812">
        <v>0</v>
      </c>
    </row>
    <row r="3813" spans="1:12">
      <c r="A3813" s="93">
        <v>393180</v>
      </c>
      <c r="B3813" t="s">
        <v>4296</v>
      </c>
      <c r="C3813" t="s">
        <v>5606</v>
      </c>
      <c r="D3813" s="92" t="s">
        <v>428</v>
      </c>
      <c r="E3813" s="92" t="s">
        <v>428</v>
      </c>
      <c r="F3813" t="s">
        <v>428</v>
      </c>
      <c r="G3813" t="s">
        <v>428</v>
      </c>
      <c r="H3813" t="s">
        <v>5617</v>
      </c>
      <c r="I3813">
        <v>0</v>
      </c>
      <c r="J3813" t="s">
        <v>87</v>
      </c>
      <c r="K3813">
        <v>0</v>
      </c>
      <c r="L3813">
        <v>1</v>
      </c>
    </row>
    <row r="3814" spans="1:12">
      <c r="A3814" s="93">
        <v>395362</v>
      </c>
      <c r="B3814" t="s">
        <v>4297</v>
      </c>
      <c r="C3814" t="s">
        <v>5606</v>
      </c>
      <c r="D3814" s="92">
        <v>0.24</v>
      </c>
      <c r="E3814" s="92">
        <v>0.23</v>
      </c>
      <c r="F3814" t="s">
        <v>428</v>
      </c>
      <c r="G3814" t="s">
        <v>428</v>
      </c>
      <c r="H3814" t="s">
        <v>5615</v>
      </c>
      <c r="I3814">
        <v>0</v>
      </c>
      <c r="J3814" t="s">
        <v>87</v>
      </c>
      <c r="K3814">
        <v>0</v>
      </c>
      <c r="L3814">
        <v>0</v>
      </c>
    </row>
    <row r="3815" spans="1:12">
      <c r="A3815" s="93">
        <v>398130</v>
      </c>
      <c r="B3815" t="s">
        <v>4298</v>
      </c>
      <c r="C3815" t="s">
        <v>5607</v>
      </c>
      <c r="D3815" s="92">
        <v>0.36</v>
      </c>
      <c r="E3815" s="92">
        <v>0.3</v>
      </c>
      <c r="F3815" t="s">
        <v>428</v>
      </c>
      <c r="G3815" t="s">
        <v>428</v>
      </c>
      <c r="H3815" t="s">
        <v>5617</v>
      </c>
      <c r="I3815">
        <v>0</v>
      </c>
      <c r="J3815" t="s">
        <v>87</v>
      </c>
      <c r="K3815">
        <v>0</v>
      </c>
      <c r="L3815">
        <v>0</v>
      </c>
    </row>
    <row r="3816" spans="1:12">
      <c r="A3816" s="93">
        <v>399212</v>
      </c>
      <c r="B3816" t="s">
        <v>4299</v>
      </c>
      <c r="C3816" t="s">
        <v>5606</v>
      </c>
      <c r="D3816" s="92">
        <v>0.42</v>
      </c>
      <c r="E3816" s="92">
        <v>0.35</v>
      </c>
      <c r="F3816" t="s">
        <v>428</v>
      </c>
      <c r="G3816" t="s">
        <v>428</v>
      </c>
      <c r="H3816" t="s">
        <v>5615</v>
      </c>
      <c r="I3816">
        <v>0</v>
      </c>
      <c r="J3816" t="s">
        <v>87</v>
      </c>
      <c r="K3816">
        <v>0</v>
      </c>
      <c r="L3816">
        <v>0</v>
      </c>
    </row>
    <row r="3817" spans="1:12">
      <c r="A3817" s="93">
        <v>399869</v>
      </c>
      <c r="B3817" t="s">
        <v>4300</v>
      </c>
      <c r="C3817" t="s">
        <v>5607</v>
      </c>
      <c r="D3817" s="92">
        <v>0.6</v>
      </c>
      <c r="E3817" s="92">
        <v>0.55</v>
      </c>
      <c r="F3817" t="s">
        <v>428</v>
      </c>
      <c r="G3817" t="s">
        <v>428</v>
      </c>
      <c r="H3817" t="s">
        <v>5617</v>
      </c>
      <c r="I3817">
        <v>0</v>
      </c>
      <c r="J3817" t="s">
        <v>87</v>
      </c>
      <c r="K3817">
        <v>0</v>
      </c>
      <c r="L3817">
        <v>0</v>
      </c>
    </row>
    <row r="3818" spans="1:12">
      <c r="A3818" s="93">
        <v>399911</v>
      </c>
      <c r="B3818" t="s">
        <v>4301</v>
      </c>
      <c r="C3818" t="s">
        <v>5605</v>
      </c>
      <c r="D3818" s="92">
        <v>0.85</v>
      </c>
      <c r="E3818" s="92">
        <v>0.74</v>
      </c>
      <c r="F3818">
        <v>26</v>
      </c>
      <c r="G3818">
        <v>28</v>
      </c>
      <c r="H3818" t="s">
        <v>5624</v>
      </c>
      <c r="I3818">
        <v>1</v>
      </c>
      <c r="J3818" t="s">
        <v>87</v>
      </c>
      <c r="K3818">
        <v>0</v>
      </c>
      <c r="L3818">
        <v>0</v>
      </c>
    </row>
    <row r="3819" spans="1:12">
      <c r="A3819" s="93">
        <v>401223</v>
      </c>
      <c r="B3819" t="s">
        <v>4302</v>
      </c>
      <c r="C3819" t="s">
        <v>5604</v>
      </c>
      <c r="D3819" s="92">
        <v>0.8</v>
      </c>
      <c r="E3819" s="92" t="s">
        <v>428</v>
      </c>
      <c r="F3819" t="s">
        <v>428</v>
      </c>
      <c r="G3819" t="s">
        <v>428</v>
      </c>
      <c r="H3819" t="s">
        <v>5616</v>
      </c>
      <c r="I3819">
        <v>0</v>
      </c>
      <c r="J3819" t="s">
        <v>87</v>
      </c>
      <c r="K3819">
        <v>0</v>
      </c>
      <c r="L3819">
        <v>0</v>
      </c>
    </row>
    <row r="3820" spans="1:12">
      <c r="A3820" s="93">
        <v>401250</v>
      </c>
      <c r="B3820" t="s">
        <v>4303</v>
      </c>
      <c r="C3820" t="s">
        <v>5607</v>
      </c>
      <c r="D3820" s="92" t="s">
        <v>428</v>
      </c>
      <c r="E3820" s="92" t="s">
        <v>428</v>
      </c>
      <c r="F3820" t="s">
        <v>428</v>
      </c>
      <c r="G3820" t="s">
        <v>428</v>
      </c>
      <c r="H3820" t="s">
        <v>5615</v>
      </c>
      <c r="I3820">
        <v>0</v>
      </c>
      <c r="J3820" t="s">
        <v>87</v>
      </c>
      <c r="K3820">
        <v>0</v>
      </c>
      <c r="L3820">
        <v>0</v>
      </c>
    </row>
    <row r="3821" spans="1:12">
      <c r="A3821" s="93">
        <v>402776</v>
      </c>
      <c r="B3821" t="s">
        <v>4304</v>
      </c>
      <c r="C3821" t="s">
        <v>5604</v>
      </c>
      <c r="D3821" s="92">
        <v>0.9</v>
      </c>
      <c r="E3821" s="92">
        <v>0.89</v>
      </c>
      <c r="F3821" t="s">
        <v>428</v>
      </c>
      <c r="G3821" t="s">
        <v>428</v>
      </c>
      <c r="H3821" t="s">
        <v>5617</v>
      </c>
      <c r="I3821">
        <v>0</v>
      </c>
      <c r="J3821" t="s">
        <v>87</v>
      </c>
      <c r="K3821">
        <v>0</v>
      </c>
      <c r="L3821">
        <v>0</v>
      </c>
    </row>
    <row r="3822" spans="1:12">
      <c r="A3822" s="93">
        <v>403469</v>
      </c>
      <c r="B3822" t="s">
        <v>4305</v>
      </c>
      <c r="C3822" t="s">
        <v>5606</v>
      </c>
      <c r="D3822" s="92">
        <v>0.79</v>
      </c>
      <c r="E3822" s="92">
        <v>0.75</v>
      </c>
      <c r="F3822" t="s">
        <v>428</v>
      </c>
      <c r="G3822" t="s">
        <v>428</v>
      </c>
      <c r="H3822" t="s">
        <v>5614</v>
      </c>
      <c r="I3822">
        <v>1</v>
      </c>
      <c r="J3822" t="s">
        <v>87</v>
      </c>
      <c r="K3822">
        <v>1</v>
      </c>
      <c r="L3822">
        <v>0</v>
      </c>
    </row>
    <row r="3823" spans="1:12">
      <c r="A3823" s="93">
        <v>403478</v>
      </c>
      <c r="B3823" t="s">
        <v>4306</v>
      </c>
      <c r="C3823" t="s">
        <v>5606</v>
      </c>
      <c r="D3823" s="92">
        <v>0.68</v>
      </c>
      <c r="E3823" s="92">
        <v>0.61</v>
      </c>
      <c r="F3823" t="s">
        <v>428</v>
      </c>
      <c r="G3823" t="s">
        <v>428</v>
      </c>
      <c r="H3823" t="s">
        <v>5614</v>
      </c>
      <c r="I3823">
        <v>1</v>
      </c>
      <c r="J3823" t="s">
        <v>87</v>
      </c>
      <c r="K3823">
        <v>1</v>
      </c>
      <c r="L3823">
        <v>0</v>
      </c>
    </row>
    <row r="3824" spans="1:12">
      <c r="A3824" s="93">
        <v>403487</v>
      </c>
      <c r="B3824" t="s">
        <v>4307</v>
      </c>
      <c r="C3824" t="s">
        <v>5606</v>
      </c>
      <c r="D3824" s="92">
        <v>0.65</v>
      </c>
      <c r="E3824" s="92">
        <v>0.62</v>
      </c>
      <c r="F3824" t="s">
        <v>428</v>
      </c>
      <c r="G3824" t="s">
        <v>428</v>
      </c>
      <c r="H3824" t="s">
        <v>5614</v>
      </c>
      <c r="I3824">
        <v>1</v>
      </c>
      <c r="J3824" t="s">
        <v>87</v>
      </c>
      <c r="K3824">
        <v>1</v>
      </c>
      <c r="L3824">
        <v>0</v>
      </c>
    </row>
    <row r="3825" spans="1:12">
      <c r="A3825" s="93">
        <v>404055</v>
      </c>
      <c r="B3825" t="s">
        <v>4308</v>
      </c>
      <c r="C3825" t="s">
        <v>5606</v>
      </c>
      <c r="D3825" s="92" t="s">
        <v>428</v>
      </c>
      <c r="E3825" s="92" t="s">
        <v>428</v>
      </c>
      <c r="F3825" t="s">
        <v>428</v>
      </c>
      <c r="G3825" t="s">
        <v>428</v>
      </c>
      <c r="H3825" t="s">
        <v>5617</v>
      </c>
      <c r="I3825">
        <v>0</v>
      </c>
      <c r="J3825" t="s">
        <v>87</v>
      </c>
      <c r="K3825">
        <v>0</v>
      </c>
      <c r="L3825">
        <v>0</v>
      </c>
    </row>
    <row r="3826" spans="1:12">
      <c r="A3826" s="93">
        <v>404222</v>
      </c>
      <c r="B3826" t="s">
        <v>4309</v>
      </c>
      <c r="C3826" t="s">
        <v>5607</v>
      </c>
      <c r="D3826" s="92" t="s">
        <v>428</v>
      </c>
      <c r="E3826" s="92" t="s">
        <v>428</v>
      </c>
      <c r="F3826" t="s">
        <v>428</v>
      </c>
      <c r="G3826" t="s">
        <v>428</v>
      </c>
      <c r="H3826" t="s">
        <v>5615</v>
      </c>
      <c r="I3826">
        <v>0</v>
      </c>
      <c r="J3826" t="s">
        <v>87</v>
      </c>
      <c r="K3826">
        <v>0</v>
      </c>
      <c r="L3826">
        <v>0</v>
      </c>
    </row>
    <row r="3827" spans="1:12">
      <c r="A3827" s="93">
        <v>404338</v>
      </c>
      <c r="B3827" t="s">
        <v>4310</v>
      </c>
      <c r="C3827" t="s">
        <v>5604</v>
      </c>
      <c r="D3827" s="92">
        <v>0.57</v>
      </c>
      <c r="E3827" s="92">
        <v>0.2</v>
      </c>
      <c r="F3827" t="s">
        <v>428</v>
      </c>
      <c r="G3827" t="s">
        <v>428</v>
      </c>
      <c r="H3827" t="s">
        <v>5617</v>
      </c>
      <c r="I3827">
        <v>0</v>
      </c>
      <c r="J3827" t="s">
        <v>87</v>
      </c>
      <c r="K3827">
        <v>0</v>
      </c>
      <c r="L3827">
        <v>0</v>
      </c>
    </row>
    <row r="3828" spans="1:12">
      <c r="A3828" s="93">
        <v>404365</v>
      </c>
      <c r="B3828" t="s">
        <v>4311</v>
      </c>
      <c r="C3828" t="s">
        <v>5606</v>
      </c>
      <c r="D3828" s="92" t="s">
        <v>428</v>
      </c>
      <c r="E3828" s="92" t="s">
        <v>428</v>
      </c>
      <c r="F3828" t="s">
        <v>428</v>
      </c>
      <c r="G3828" t="s">
        <v>428</v>
      </c>
      <c r="H3828" t="s">
        <v>5617</v>
      </c>
      <c r="I3828">
        <v>0</v>
      </c>
      <c r="J3828" t="s">
        <v>87</v>
      </c>
      <c r="K3828">
        <v>0</v>
      </c>
      <c r="L3828">
        <v>0</v>
      </c>
    </row>
    <row r="3829" spans="1:12">
      <c r="A3829" s="93">
        <v>404374</v>
      </c>
      <c r="B3829" t="s">
        <v>4312</v>
      </c>
      <c r="C3829" t="s">
        <v>5606</v>
      </c>
      <c r="D3829" s="92" t="s">
        <v>428</v>
      </c>
      <c r="E3829" s="92" t="s">
        <v>428</v>
      </c>
      <c r="F3829" t="s">
        <v>428</v>
      </c>
      <c r="G3829" t="s">
        <v>428</v>
      </c>
      <c r="H3829" t="s">
        <v>5617</v>
      </c>
      <c r="I3829">
        <v>0</v>
      </c>
      <c r="J3829" t="s">
        <v>87</v>
      </c>
      <c r="K3829">
        <v>0</v>
      </c>
      <c r="L3829">
        <v>0</v>
      </c>
    </row>
    <row r="3830" spans="1:12">
      <c r="A3830" s="93">
        <v>404383</v>
      </c>
      <c r="B3830" t="s">
        <v>4313</v>
      </c>
      <c r="C3830" t="s">
        <v>5606</v>
      </c>
      <c r="D3830" s="92" t="s">
        <v>428</v>
      </c>
      <c r="E3830" s="92" t="s">
        <v>428</v>
      </c>
      <c r="F3830" t="s">
        <v>428</v>
      </c>
      <c r="G3830" t="s">
        <v>428</v>
      </c>
      <c r="H3830" t="s">
        <v>5617</v>
      </c>
      <c r="I3830">
        <v>0</v>
      </c>
      <c r="J3830" t="s">
        <v>87</v>
      </c>
      <c r="K3830">
        <v>0</v>
      </c>
      <c r="L3830">
        <v>0</v>
      </c>
    </row>
    <row r="3831" spans="1:12">
      <c r="A3831" s="93">
        <v>404426</v>
      </c>
      <c r="B3831" t="s">
        <v>4314</v>
      </c>
      <c r="C3831" t="s">
        <v>5606</v>
      </c>
      <c r="D3831" s="92">
        <v>0.28</v>
      </c>
      <c r="E3831" s="92">
        <v>0.21</v>
      </c>
      <c r="F3831" t="s">
        <v>428</v>
      </c>
      <c r="G3831" t="s">
        <v>428</v>
      </c>
      <c r="H3831" t="s">
        <v>5615</v>
      </c>
      <c r="I3831">
        <v>0</v>
      </c>
      <c r="J3831" t="s">
        <v>87</v>
      </c>
      <c r="K3831">
        <v>0</v>
      </c>
      <c r="L3831">
        <v>0</v>
      </c>
    </row>
    <row r="3832" spans="1:12">
      <c r="A3832" s="93">
        <v>404806</v>
      </c>
      <c r="B3832" t="s">
        <v>4315</v>
      </c>
      <c r="C3832" t="s">
        <v>5604</v>
      </c>
      <c r="D3832" s="92" t="s">
        <v>428</v>
      </c>
      <c r="E3832" s="92" t="s">
        <v>428</v>
      </c>
      <c r="F3832" t="s">
        <v>428</v>
      </c>
      <c r="G3832" t="s">
        <v>428</v>
      </c>
      <c r="H3832" t="s">
        <v>5624</v>
      </c>
      <c r="I3832">
        <v>1</v>
      </c>
      <c r="J3832" t="s">
        <v>87</v>
      </c>
      <c r="K3832">
        <v>0</v>
      </c>
      <c r="L3832">
        <v>0</v>
      </c>
    </row>
    <row r="3833" spans="1:12">
      <c r="A3833" s="93">
        <v>404912</v>
      </c>
      <c r="B3833" t="s">
        <v>4316</v>
      </c>
      <c r="C3833" t="s">
        <v>5606</v>
      </c>
      <c r="D3833" s="92">
        <v>0.74</v>
      </c>
      <c r="E3833" s="92">
        <v>0.74</v>
      </c>
      <c r="F3833" t="s">
        <v>428</v>
      </c>
      <c r="G3833" t="s">
        <v>428</v>
      </c>
      <c r="H3833" t="s">
        <v>5617</v>
      </c>
      <c r="I3833">
        <v>0</v>
      </c>
      <c r="J3833" t="s">
        <v>87</v>
      </c>
      <c r="K3833">
        <v>0</v>
      </c>
      <c r="L3833">
        <v>0</v>
      </c>
    </row>
    <row r="3834" spans="1:12">
      <c r="A3834" s="93">
        <v>404994</v>
      </c>
      <c r="B3834" t="s">
        <v>4317</v>
      </c>
      <c r="C3834" t="s">
        <v>5606</v>
      </c>
      <c r="D3834" s="92">
        <v>0.29</v>
      </c>
      <c r="E3834" s="92">
        <v>0.3</v>
      </c>
      <c r="F3834" t="s">
        <v>428</v>
      </c>
      <c r="G3834" t="s">
        <v>428</v>
      </c>
      <c r="H3834" t="s">
        <v>5617</v>
      </c>
      <c r="I3834">
        <v>0</v>
      </c>
      <c r="J3834" t="s">
        <v>87</v>
      </c>
      <c r="K3834">
        <v>0</v>
      </c>
      <c r="L3834">
        <v>0</v>
      </c>
    </row>
    <row r="3835" spans="1:12">
      <c r="A3835" s="93">
        <v>405012</v>
      </c>
      <c r="B3835" t="s">
        <v>4318</v>
      </c>
      <c r="C3835" t="s">
        <v>5606</v>
      </c>
      <c r="D3835" s="92" t="s">
        <v>428</v>
      </c>
      <c r="E3835" s="92" t="s">
        <v>428</v>
      </c>
      <c r="F3835" t="s">
        <v>428</v>
      </c>
      <c r="G3835" t="s">
        <v>428</v>
      </c>
      <c r="H3835" t="s">
        <v>5616</v>
      </c>
      <c r="I3835">
        <v>0</v>
      </c>
      <c r="J3835" t="s">
        <v>87</v>
      </c>
      <c r="K3835">
        <v>0</v>
      </c>
      <c r="L3835">
        <v>0</v>
      </c>
    </row>
    <row r="3836" spans="1:12">
      <c r="A3836" s="93">
        <v>405021</v>
      </c>
      <c r="B3836" t="s">
        <v>4319</v>
      </c>
      <c r="C3836" t="s">
        <v>5606</v>
      </c>
      <c r="D3836" s="92" t="s">
        <v>428</v>
      </c>
      <c r="E3836" s="92" t="s">
        <v>428</v>
      </c>
      <c r="F3836" t="s">
        <v>428</v>
      </c>
      <c r="G3836" t="s">
        <v>428</v>
      </c>
      <c r="H3836" t="s">
        <v>5616</v>
      </c>
      <c r="I3836">
        <v>0</v>
      </c>
      <c r="J3836" t="s">
        <v>87</v>
      </c>
      <c r="K3836">
        <v>0</v>
      </c>
      <c r="L3836">
        <v>0</v>
      </c>
    </row>
    <row r="3837" spans="1:12">
      <c r="A3837" s="93">
        <v>405058</v>
      </c>
      <c r="B3837" t="s">
        <v>4320</v>
      </c>
      <c r="C3837" t="s">
        <v>5607</v>
      </c>
      <c r="D3837" s="92">
        <v>0.02</v>
      </c>
      <c r="E3837" s="92" t="s">
        <v>428</v>
      </c>
      <c r="F3837" t="s">
        <v>428</v>
      </c>
      <c r="G3837" t="s">
        <v>428</v>
      </c>
      <c r="H3837" t="s">
        <v>5624</v>
      </c>
      <c r="I3837">
        <v>1</v>
      </c>
      <c r="J3837" t="s">
        <v>87</v>
      </c>
      <c r="K3837">
        <v>0</v>
      </c>
      <c r="L3837">
        <v>0</v>
      </c>
    </row>
    <row r="3838" spans="1:12">
      <c r="A3838" s="93">
        <v>405854</v>
      </c>
      <c r="B3838" t="s">
        <v>4321</v>
      </c>
      <c r="C3838" t="s">
        <v>5604</v>
      </c>
      <c r="D3838" s="92">
        <v>0.43</v>
      </c>
      <c r="E3838" s="92" t="s">
        <v>428</v>
      </c>
      <c r="F3838" t="s">
        <v>428</v>
      </c>
      <c r="G3838" t="s">
        <v>428</v>
      </c>
      <c r="H3838" t="s">
        <v>5617</v>
      </c>
      <c r="I3838">
        <v>0</v>
      </c>
      <c r="J3838" t="s">
        <v>87</v>
      </c>
      <c r="K3838">
        <v>0</v>
      </c>
      <c r="L3838">
        <v>0</v>
      </c>
    </row>
    <row r="3839" spans="1:12">
      <c r="A3839" s="93">
        <v>405872</v>
      </c>
      <c r="B3839" t="s">
        <v>4322</v>
      </c>
      <c r="C3839" t="s">
        <v>5606</v>
      </c>
      <c r="D3839" s="92">
        <v>0.34</v>
      </c>
      <c r="E3839" s="92">
        <v>0.34</v>
      </c>
      <c r="F3839" t="s">
        <v>428</v>
      </c>
      <c r="G3839" t="s">
        <v>428</v>
      </c>
      <c r="H3839" t="s">
        <v>5615</v>
      </c>
      <c r="I3839">
        <v>0</v>
      </c>
      <c r="J3839" t="s">
        <v>87</v>
      </c>
      <c r="K3839">
        <v>0</v>
      </c>
      <c r="L3839">
        <v>0</v>
      </c>
    </row>
    <row r="3840" spans="1:12">
      <c r="A3840" s="93">
        <v>405997</v>
      </c>
      <c r="B3840" t="s">
        <v>4323</v>
      </c>
      <c r="C3840" t="s">
        <v>5604</v>
      </c>
      <c r="D3840" s="92">
        <v>0.19</v>
      </c>
      <c r="E3840" s="92">
        <v>0.22</v>
      </c>
      <c r="F3840" t="s">
        <v>428</v>
      </c>
      <c r="G3840" t="s">
        <v>428</v>
      </c>
      <c r="H3840" t="s">
        <v>5617</v>
      </c>
      <c r="I3840">
        <v>0</v>
      </c>
      <c r="J3840" t="s">
        <v>87</v>
      </c>
      <c r="K3840">
        <v>0</v>
      </c>
      <c r="L3840">
        <v>0</v>
      </c>
    </row>
    <row r="3841" spans="1:12">
      <c r="A3841" s="93">
        <v>406024</v>
      </c>
      <c r="B3841" t="s">
        <v>4324</v>
      </c>
      <c r="C3841" t="s">
        <v>5606</v>
      </c>
      <c r="D3841" s="92" t="s">
        <v>428</v>
      </c>
      <c r="E3841" s="92" t="s">
        <v>428</v>
      </c>
      <c r="F3841" t="s">
        <v>428</v>
      </c>
      <c r="G3841" t="s">
        <v>428</v>
      </c>
      <c r="H3841" t="s">
        <v>5617</v>
      </c>
      <c r="I3841">
        <v>0</v>
      </c>
      <c r="J3841" t="s">
        <v>87</v>
      </c>
      <c r="K3841">
        <v>0</v>
      </c>
      <c r="L3841">
        <v>0</v>
      </c>
    </row>
    <row r="3842" spans="1:12">
      <c r="A3842" s="93">
        <v>406033</v>
      </c>
      <c r="B3842" t="s">
        <v>4325</v>
      </c>
      <c r="C3842" t="s">
        <v>5604</v>
      </c>
      <c r="D3842" s="92">
        <v>0.59</v>
      </c>
      <c r="E3842" s="92">
        <v>0.55</v>
      </c>
      <c r="F3842" t="s">
        <v>428</v>
      </c>
      <c r="G3842" t="s">
        <v>428</v>
      </c>
      <c r="H3842" t="s">
        <v>5615</v>
      </c>
      <c r="I3842">
        <v>0</v>
      </c>
      <c r="J3842" t="s">
        <v>87</v>
      </c>
      <c r="K3842">
        <v>0</v>
      </c>
      <c r="L3842">
        <v>0</v>
      </c>
    </row>
    <row r="3843" spans="1:12">
      <c r="A3843" s="93">
        <v>406219</v>
      </c>
      <c r="B3843" t="s">
        <v>4326</v>
      </c>
      <c r="C3843" t="s">
        <v>5607</v>
      </c>
      <c r="D3843" s="92" t="s">
        <v>428</v>
      </c>
      <c r="E3843" s="92" t="s">
        <v>428</v>
      </c>
      <c r="F3843" t="s">
        <v>428</v>
      </c>
      <c r="G3843" t="s">
        <v>428</v>
      </c>
      <c r="H3843" t="s">
        <v>5617</v>
      </c>
      <c r="I3843">
        <v>0</v>
      </c>
      <c r="J3843" t="s">
        <v>87</v>
      </c>
      <c r="K3843">
        <v>0</v>
      </c>
      <c r="L3843">
        <v>0</v>
      </c>
    </row>
    <row r="3844" spans="1:12">
      <c r="A3844" s="93">
        <v>406547</v>
      </c>
      <c r="B3844" t="s">
        <v>4327</v>
      </c>
      <c r="C3844" t="s">
        <v>5604</v>
      </c>
      <c r="D3844" s="92" t="s">
        <v>428</v>
      </c>
      <c r="E3844" s="92" t="s">
        <v>428</v>
      </c>
      <c r="F3844" t="s">
        <v>428</v>
      </c>
      <c r="G3844" t="s">
        <v>428</v>
      </c>
      <c r="H3844" t="s">
        <v>5617</v>
      </c>
      <c r="I3844">
        <v>0</v>
      </c>
      <c r="J3844" t="s">
        <v>87</v>
      </c>
      <c r="K3844">
        <v>0</v>
      </c>
      <c r="L3844">
        <v>0</v>
      </c>
    </row>
    <row r="3845" spans="1:12">
      <c r="A3845" s="93">
        <v>407009</v>
      </c>
      <c r="B3845" t="s">
        <v>4328</v>
      </c>
      <c r="C3845" t="s">
        <v>5602</v>
      </c>
      <c r="D3845" s="92">
        <v>0.63</v>
      </c>
      <c r="E3845" s="92">
        <v>0.58</v>
      </c>
      <c r="F3845">
        <v>21</v>
      </c>
      <c r="G3845">
        <v>23.5</v>
      </c>
      <c r="H3845" t="s">
        <v>5615</v>
      </c>
      <c r="I3845">
        <v>0</v>
      </c>
      <c r="J3845" t="s">
        <v>87</v>
      </c>
      <c r="K3845">
        <v>0</v>
      </c>
      <c r="L3845">
        <v>0</v>
      </c>
    </row>
    <row r="3846" spans="1:12">
      <c r="A3846" s="93">
        <v>407063</v>
      </c>
      <c r="B3846" t="s">
        <v>4329</v>
      </c>
      <c r="C3846" t="s">
        <v>5607</v>
      </c>
      <c r="D3846" s="92" t="s">
        <v>428</v>
      </c>
      <c r="E3846" s="92" t="s">
        <v>428</v>
      </c>
      <c r="F3846" t="s">
        <v>428</v>
      </c>
      <c r="G3846" t="s">
        <v>428</v>
      </c>
      <c r="H3846" t="s">
        <v>5617</v>
      </c>
      <c r="I3846">
        <v>0</v>
      </c>
      <c r="J3846" t="s">
        <v>87</v>
      </c>
      <c r="K3846">
        <v>0</v>
      </c>
      <c r="L3846">
        <v>0</v>
      </c>
    </row>
    <row r="3847" spans="1:12">
      <c r="A3847" s="93">
        <v>407319</v>
      </c>
      <c r="B3847" t="s">
        <v>4330</v>
      </c>
      <c r="C3847" t="s">
        <v>5607</v>
      </c>
      <c r="D3847" s="92" t="s">
        <v>428</v>
      </c>
      <c r="E3847" s="92" t="s">
        <v>428</v>
      </c>
      <c r="F3847" t="s">
        <v>428</v>
      </c>
      <c r="G3847" t="s">
        <v>428</v>
      </c>
      <c r="H3847" t="s">
        <v>5617</v>
      </c>
      <c r="I3847">
        <v>0</v>
      </c>
      <c r="J3847" t="s">
        <v>87</v>
      </c>
      <c r="K3847">
        <v>0</v>
      </c>
      <c r="L3847">
        <v>0</v>
      </c>
    </row>
    <row r="3848" spans="1:12">
      <c r="A3848" s="93">
        <v>407328</v>
      </c>
      <c r="B3848" t="s">
        <v>4331</v>
      </c>
      <c r="C3848" t="s">
        <v>5606</v>
      </c>
      <c r="D3848" s="92" t="s">
        <v>428</v>
      </c>
      <c r="E3848" s="92" t="s">
        <v>428</v>
      </c>
      <c r="F3848" t="s">
        <v>428</v>
      </c>
      <c r="G3848" t="s">
        <v>428</v>
      </c>
      <c r="H3848" t="s">
        <v>5617</v>
      </c>
      <c r="I3848">
        <v>0</v>
      </c>
      <c r="J3848" t="s">
        <v>87</v>
      </c>
      <c r="K3848">
        <v>0</v>
      </c>
      <c r="L3848">
        <v>0</v>
      </c>
    </row>
    <row r="3849" spans="1:12">
      <c r="A3849" s="93">
        <v>407355</v>
      </c>
      <c r="B3849" t="s">
        <v>4332</v>
      </c>
      <c r="C3849" t="s">
        <v>5606</v>
      </c>
      <c r="D3849" s="92" t="s">
        <v>428</v>
      </c>
      <c r="E3849" s="92" t="s">
        <v>428</v>
      </c>
      <c r="F3849" t="s">
        <v>428</v>
      </c>
      <c r="G3849" t="s">
        <v>428</v>
      </c>
      <c r="H3849" t="s">
        <v>5616</v>
      </c>
      <c r="I3849">
        <v>0</v>
      </c>
      <c r="J3849" t="s">
        <v>87</v>
      </c>
      <c r="K3849">
        <v>0</v>
      </c>
      <c r="L3849">
        <v>0</v>
      </c>
    </row>
    <row r="3850" spans="1:12">
      <c r="A3850" s="93">
        <v>407568</v>
      </c>
      <c r="B3850" t="s">
        <v>4333</v>
      </c>
      <c r="C3850" t="s">
        <v>5606</v>
      </c>
      <c r="D3850" s="92" t="s">
        <v>428</v>
      </c>
      <c r="E3850" s="92" t="s">
        <v>428</v>
      </c>
      <c r="F3850" t="s">
        <v>428</v>
      </c>
      <c r="G3850" t="s">
        <v>428</v>
      </c>
      <c r="H3850" t="s">
        <v>5616</v>
      </c>
      <c r="I3850">
        <v>0</v>
      </c>
      <c r="J3850" t="s">
        <v>87</v>
      </c>
      <c r="K3850">
        <v>0</v>
      </c>
      <c r="L3850">
        <v>0</v>
      </c>
    </row>
    <row r="3851" spans="1:12">
      <c r="A3851" s="93">
        <v>407610</v>
      </c>
      <c r="B3851" t="s">
        <v>4334</v>
      </c>
      <c r="C3851" t="s">
        <v>5606</v>
      </c>
      <c r="D3851" s="92" t="s">
        <v>428</v>
      </c>
      <c r="E3851" s="92" t="s">
        <v>428</v>
      </c>
      <c r="F3851" t="s">
        <v>428</v>
      </c>
      <c r="G3851" t="s">
        <v>428</v>
      </c>
      <c r="H3851" t="s">
        <v>5615</v>
      </c>
      <c r="I3851">
        <v>0</v>
      </c>
      <c r="J3851" t="s">
        <v>87</v>
      </c>
      <c r="K3851">
        <v>0</v>
      </c>
      <c r="L3851">
        <v>0</v>
      </c>
    </row>
    <row r="3852" spans="1:12">
      <c r="A3852" s="93">
        <v>407629</v>
      </c>
      <c r="B3852" t="s">
        <v>4335</v>
      </c>
      <c r="C3852" t="s">
        <v>5607</v>
      </c>
      <c r="D3852" s="92" t="s">
        <v>428</v>
      </c>
      <c r="E3852" s="92" t="s">
        <v>428</v>
      </c>
      <c r="F3852" t="s">
        <v>428</v>
      </c>
      <c r="G3852" t="s">
        <v>428</v>
      </c>
      <c r="H3852" t="s">
        <v>5615</v>
      </c>
      <c r="I3852">
        <v>0</v>
      </c>
      <c r="J3852" t="s">
        <v>87</v>
      </c>
      <c r="K3852">
        <v>0</v>
      </c>
      <c r="L3852">
        <v>0</v>
      </c>
    </row>
    <row r="3853" spans="1:12">
      <c r="A3853" s="93">
        <v>407832</v>
      </c>
      <c r="B3853" t="s">
        <v>4336</v>
      </c>
      <c r="C3853" t="s">
        <v>5606</v>
      </c>
      <c r="D3853" s="92" t="s">
        <v>428</v>
      </c>
      <c r="E3853" s="92" t="s">
        <v>428</v>
      </c>
      <c r="F3853" t="s">
        <v>428</v>
      </c>
      <c r="G3853" t="s">
        <v>428</v>
      </c>
      <c r="H3853" t="s">
        <v>5615</v>
      </c>
      <c r="I3853">
        <v>0</v>
      </c>
      <c r="J3853" t="s">
        <v>87</v>
      </c>
      <c r="K3853">
        <v>0</v>
      </c>
      <c r="L3853">
        <v>0</v>
      </c>
    </row>
    <row r="3854" spans="1:12">
      <c r="A3854" s="93">
        <v>408039</v>
      </c>
      <c r="B3854" t="s">
        <v>4337</v>
      </c>
      <c r="C3854" t="s">
        <v>5607</v>
      </c>
      <c r="D3854" s="92">
        <v>0.09</v>
      </c>
      <c r="E3854" s="92" t="s">
        <v>428</v>
      </c>
      <c r="F3854" t="s">
        <v>428</v>
      </c>
      <c r="G3854" t="s">
        <v>428</v>
      </c>
      <c r="H3854" t="s">
        <v>5617</v>
      </c>
      <c r="I3854">
        <v>0</v>
      </c>
      <c r="J3854" t="s">
        <v>87</v>
      </c>
      <c r="K3854">
        <v>0</v>
      </c>
      <c r="L3854">
        <v>0</v>
      </c>
    </row>
    <row r="3855" spans="1:12">
      <c r="A3855" s="93">
        <v>408312</v>
      </c>
      <c r="B3855" t="s">
        <v>4338</v>
      </c>
      <c r="C3855" t="s">
        <v>5606</v>
      </c>
      <c r="D3855" s="92" t="s">
        <v>428</v>
      </c>
      <c r="E3855" s="92" t="s">
        <v>428</v>
      </c>
      <c r="F3855" t="s">
        <v>428</v>
      </c>
      <c r="G3855" t="s">
        <v>428</v>
      </c>
      <c r="H3855" t="s">
        <v>5616</v>
      </c>
      <c r="I3855">
        <v>0</v>
      </c>
      <c r="J3855" t="s">
        <v>87</v>
      </c>
      <c r="K3855">
        <v>0</v>
      </c>
      <c r="L3855">
        <v>0</v>
      </c>
    </row>
    <row r="3856" spans="1:12">
      <c r="A3856" s="93">
        <v>408729</v>
      </c>
      <c r="B3856" t="s">
        <v>3327</v>
      </c>
      <c r="C3856" t="s">
        <v>5606</v>
      </c>
      <c r="D3856" s="92" t="s">
        <v>428</v>
      </c>
      <c r="E3856" s="92" t="s">
        <v>428</v>
      </c>
      <c r="F3856" t="s">
        <v>428</v>
      </c>
      <c r="G3856" t="s">
        <v>428</v>
      </c>
      <c r="H3856" t="s">
        <v>5624</v>
      </c>
      <c r="I3856">
        <v>1</v>
      </c>
      <c r="J3856" t="s">
        <v>87</v>
      </c>
      <c r="K3856">
        <v>0</v>
      </c>
      <c r="L3856">
        <v>0</v>
      </c>
    </row>
    <row r="3857" spans="1:12">
      <c r="A3857" s="93">
        <v>408844</v>
      </c>
      <c r="B3857" t="s">
        <v>4339</v>
      </c>
      <c r="C3857" t="s">
        <v>5604</v>
      </c>
      <c r="D3857" s="92">
        <v>0.62</v>
      </c>
      <c r="E3857" s="92">
        <v>0.65</v>
      </c>
      <c r="F3857" t="s">
        <v>428</v>
      </c>
      <c r="G3857" t="s">
        <v>428</v>
      </c>
      <c r="H3857" t="s">
        <v>5617</v>
      </c>
      <c r="I3857">
        <v>0</v>
      </c>
      <c r="J3857" t="s">
        <v>87</v>
      </c>
      <c r="K3857">
        <v>0</v>
      </c>
      <c r="L3857">
        <v>0</v>
      </c>
    </row>
    <row r="3858" spans="1:12">
      <c r="A3858" s="93">
        <v>409069</v>
      </c>
      <c r="B3858" t="s">
        <v>4340</v>
      </c>
      <c r="C3858" t="s">
        <v>5607</v>
      </c>
      <c r="D3858" s="92">
        <v>1</v>
      </c>
      <c r="E3858" s="92">
        <v>1</v>
      </c>
      <c r="F3858" t="s">
        <v>428</v>
      </c>
      <c r="G3858" t="s">
        <v>428</v>
      </c>
      <c r="H3858" t="s">
        <v>5617</v>
      </c>
      <c r="I3858">
        <v>0</v>
      </c>
      <c r="J3858" t="s">
        <v>87</v>
      </c>
      <c r="K3858">
        <v>0</v>
      </c>
      <c r="L3858">
        <v>0</v>
      </c>
    </row>
    <row r="3859" spans="1:12">
      <c r="A3859" s="93">
        <v>409254</v>
      </c>
      <c r="B3859" t="s">
        <v>4341</v>
      </c>
      <c r="C3859" t="s">
        <v>5607</v>
      </c>
      <c r="D3859" s="92" t="s">
        <v>428</v>
      </c>
      <c r="E3859" s="92" t="s">
        <v>428</v>
      </c>
      <c r="F3859" t="s">
        <v>428</v>
      </c>
      <c r="G3859" t="s">
        <v>428</v>
      </c>
      <c r="H3859" t="s">
        <v>5615</v>
      </c>
      <c r="I3859">
        <v>0</v>
      </c>
      <c r="J3859" t="s">
        <v>87</v>
      </c>
      <c r="K3859">
        <v>0</v>
      </c>
      <c r="L3859">
        <v>1</v>
      </c>
    </row>
    <row r="3860" spans="1:12">
      <c r="A3860" s="93">
        <v>409315</v>
      </c>
      <c r="B3860" t="s">
        <v>4342</v>
      </c>
      <c r="C3860" t="s">
        <v>5604</v>
      </c>
      <c r="D3860" s="92" t="s">
        <v>428</v>
      </c>
      <c r="E3860" s="92" t="s">
        <v>428</v>
      </c>
      <c r="F3860" t="s">
        <v>428</v>
      </c>
      <c r="G3860" t="s">
        <v>428</v>
      </c>
      <c r="H3860" t="s">
        <v>5615</v>
      </c>
      <c r="I3860">
        <v>0</v>
      </c>
      <c r="J3860" t="s">
        <v>87</v>
      </c>
      <c r="K3860">
        <v>0</v>
      </c>
      <c r="L3860">
        <v>0</v>
      </c>
    </row>
    <row r="3861" spans="1:12">
      <c r="A3861" s="93">
        <v>409616</v>
      </c>
      <c r="B3861" t="s">
        <v>4343</v>
      </c>
      <c r="C3861" t="s">
        <v>5607</v>
      </c>
      <c r="D3861" s="92" t="s">
        <v>428</v>
      </c>
      <c r="E3861" s="92" t="s">
        <v>428</v>
      </c>
      <c r="F3861" t="s">
        <v>428</v>
      </c>
      <c r="G3861" t="s">
        <v>428</v>
      </c>
      <c r="H3861" t="s">
        <v>5615</v>
      </c>
      <c r="I3861">
        <v>0</v>
      </c>
      <c r="J3861" t="s">
        <v>87</v>
      </c>
      <c r="K3861">
        <v>0</v>
      </c>
      <c r="L3861">
        <v>0</v>
      </c>
    </row>
    <row r="3862" spans="1:12">
      <c r="A3862" s="93">
        <v>409698</v>
      </c>
      <c r="B3862" t="s">
        <v>4344</v>
      </c>
      <c r="C3862" t="s">
        <v>5608</v>
      </c>
      <c r="D3862" s="92">
        <v>0.51</v>
      </c>
      <c r="E3862" s="92">
        <v>0.52</v>
      </c>
      <c r="F3862" t="s">
        <v>428</v>
      </c>
      <c r="G3862" t="s">
        <v>428</v>
      </c>
      <c r="H3862" t="s">
        <v>5615</v>
      </c>
      <c r="I3862">
        <v>0</v>
      </c>
      <c r="J3862" t="s">
        <v>87</v>
      </c>
      <c r="K3862">
        <v>0</v>
      </c>
      <c r="L3862">
        <v>0</v>
      </c>
    </row>
    <row r="3863" spans="1:12">
      <c r="A3863" s="93">
        <v>410283</v>
      </c>
      <c r="B3863" t="s">
        <v>4345</v>
      </c>
      <c r="C3863" t="s">
        <v>5606</v>
      </c>
      <c r="D3863" s="92" t="s">
        <v>428</v>
      </c>
      <c r="E3863" s="92" t="s">
        <v>428</v>
      </c>
      <c r="F3863" t="s">
        <v>428</v>
      </c>
      <c r="G3863" t="s">
        <v>428</v>
      </c>
      <c r="H3863" t="s">
        <v>5617</v>
      </c>
      <c r="I3863">
        <v>0</v>
      </c>
      <c r="J3863" t="s">
        <v>87</v>
      </c>
      <c r="K3863">
        <v>0</v>
      </c>
      <c r="L3863">
        <v>0</v>
      </c>
    </row>
    <row r="3864" spans="1:12">
      <c r="A3864" s="93">
        <v>410496</v>
      </c>
      <c r="B3864" t="s">
        <v>4346</v>
      </c>
      <c r="C3864" t="s">
        <v>5606</v>
      </c>
      <c r="D3864" s="92" t="s">
        <v>428</v>
      </c>
      <c r="E3864" s="92" t="s">
        <v>428</v>
      </c>
      <c r="F3864" t="s">
        <v>428</v>
      </c>
      <c r="G3864" t="s">
        <v>428</v>
      </c>
      <c r="H3864" t="s">
        <v>5616</v>
      </c>
      <c r="I3864">
        <v>0</v>
      </c>
      <c r="J3864" t="s">
        <v>87</v>
      </c>
      <c r="K3864">
        <v>0</v>
      </c>
      <c r="L3864">
        <v>0</v>
      </c>
    </row>
    <row r="3865" spans="1:12">
      <c r="A3865" s="93">
        <v>410502</v>
      </c>
      <c r="B3865" t="s">
        <v>4347</v>
      </c>
      <c r="C3865" t="s">
        <v>5604</v>
      </c>
      <c r="D3865" s="92">
        <v>0.27</v>
      </c>
      <c r="E3865" s="92">
        <v>0.3</v>
      </c>
      <c r="F3865" t="s">
        <v>428</v>
      </c>
      <c r="G3865" t="s">
        <v>428</v>
      </c>
      <c r="H3865" t="s">
        <v>5617</v>
      </c>
      <c r="I3865">
        <v>0</v>
      </c>
      <c r="J3865" t="s">
        <v>87</v>
      </c>
      <c r="K3865">
        <v>0</v>
      </c>
      <c r="L3865">
        <v>0</v>
      </c>
    </row>
    <row r="3866" spans="1:12">
      <c r="A3866" s="93">
        <v>411754</v>
      </c>
      <c r="B3866" t="s">
        <v>4348</v>
      </c>
      <c r="C3866" t="s">
        <v>5606</v>
      </c>
      <c r="D3866" s="92" t="s">
        <v>428</v>
      </c>
      <c r="E3866" s="92" t="s">
        <v>428</v>
      </c>
      <c r="F3866" t="s">
        <v>428</v>
      </c>
      <c r="G3866" t="s">
        <v>428</v>
      </c>
      <c r="H3866" t="s">
        <v>5615</v>
      </c>
      <c r="I3866">
        <v>0</v>
      </c>
      <c r="J3866" t="s">
        <v>87</v>
      </c>
      <c r="K3866">
        <v>0</v>
      </c>
      <c r="L3866">
        <v>0</v>
      </c>
    </row>
    <row r="3867" spans="1:12">
      <c r="A3867" s="93">
        <v>412003</v>
      </c>
      <c r="B3867" t="s">
        <v>4349</v>
      </c>
      <c r="C3867" t="s">
        <v>5606</v>
      </c>
      <c r="D3867" s="92" t="s">
        <v>428</v>
      </c>
      <c r="E3867" s="92" t="s">
        <v>428</v>
      </c>
      <c r="F3867" t="s">
        <v>428</v>
      </c>
      <c r="G3867" t="s">
        <v>428</v>
      </c>
      <c r="H3867" t="s">
        <v>5617</v>
      </c>
      <c r="I3867">
        <v>0</v>
      </c>
      <c r="J3867" t="s">
        <v>87</v>
      </c>
      <c r="K3867">
        <v>0</v>
      </c>
      <c r="L3867">
        <v>0</v>
      </c>
    </row>
    <row r="3868" spans="1:12">
      <c r="A3868" s="93">
        <v>412173</v>
      </c>
      <c r="B3868" t="s">
        <v>4350</v>
      </c>
      <c r="C3868" t="s">
        <v>5606</v>
      </c>
      <c r="D3868" s="92" t="s">
        <v>428</v>
      </c>
      <c r="E3868" s="92" t="s">
        <v>428</v>
      </c>
      <c r="F3868" t="s">
        <v>428</v>
      </c>
      <c r="G3868" t="s">
        <v>428</v>
      </c>
      <c r="H3868" t="s">
        <v>5615</v>
      </c>
      <c r="I3868">
        <v>0</v>
      </c>
      <c r="J3868" t="s">
        <v>87</v>
      </c>
      <c r="K3868">
        <v>0</v>
      </c>
      <c r="L3868">
        <v>0</v>
      </c>
    </row>
    <row r="3869" spans="1:12">
      <c r="A3869" s="93">
        <v>412599</v>
      </c>
      <c r="B3869" t="s">
        <v>4351</v>
      </c>
      <c r="C3869" t="s">
        <v>5604</v>
      </c>
      <c r="D3869" s="92" t="s">
        <v>428</v>
      </c>
      <c r="E3869" s="92" t="s">
        <v>428</v>
      </c>
      <c r="F3869" t="s">
        <v>428</v>
      </c>
      <c r="G3869" t="s">
        <v>428</v>
      </c>
      <c r="H3869" t="s">
        <v>5617</v>
      </c>
      <c r="I3869">
        <v>0</v>
      </c>
      <c r="J3869" t="s">
        <v>87</v>
      </c>
      <c r="K3869">
        <v>0</v>
      </c>
      <c r="L3869">
        <v>0</v>
      </c>
    </row>
    <row r="3870" spans="1:12">
      <c r="A3870" s="93">
        <v>413413</v>
      </c>
      <c r="B3870" t="s">
        <v>4352</v>
      </c>
      <c r="C3870" t="s">
        <v>5604</v>
      </c>
      <c r="D3870" s="92" t="s">
        <v>428</v>
      </c>
      <c r="E3870" s="92" t="s">
        <v>428</v>
      </c>
      <c r="F3870" t="s">
        <v>428</v>
      </c>
      <c r="G3870" t="s">
        <v>428</v>
      </c>
      <c r="H3870" t="s">
        <v>5617</v>
      </c>
      <c r="I3870">
        <v>0</v>
      </c>
      <c r="J3870" t="s">
        <v>87</v>
      </c>
      <c r="K3870">
        <v>0</v>
      </c>
      <c r="L3870">
        <v>0</v>
      </c>
    </row>
    <row r="3871" spans="1:12">
      <c r="A3871" s="93">
        <v>413617</v>
      </c>
      <c r="B3871" t="s">
        <v>4353</v>
      </c>
      <c r="C3871" t="s">
        <v>5604</v>
      </c>
      <c r="D3871" s="92">
        <v>1</v>
      </c>
      <c r="E3871" s="92" t="s">
        <v>428</v>
      </c>
      <c r="F3871" t="s">
        <v>428</v>
      </c>
      <c r="G3871" t="s">
        <v>428</v>
      </c>
      <c r="H3871" t="s">
        <v>5624</v>
      </c>
      <c r="I3871">
        <v>1</v>
      </c>
      <c r="J3871" t="s">
        <v>87</v>
      </c>
      <c r="K3871">
        <v>0</v>
      </c>
      <c r="L3871">
        <v>0</v>
      </c>
    </row>
    <row r="3872" spans="1:12">
      <c r="A3872" s="93">
        <v>413626</v>
      </c>
      <c r="B3872" t="s">
        <v>4354</v>
      </c>
      <c r="C3872" t="s">
        <v>5606</v>
      </c>
      <c r="D3872" s="92" t="s">
        <v>428</v>
      </c>
      <c r="E3872" s="92" t="s">
        <v>428</v>
      </c>
      <c r="F3872" t="s">
        <v>428</v>
      </c>
      <c r="G3872" t="s">
        <v>428</v>
      </c>
      <c r="H3872" t="s">
        <v>5615</v>
      </c>
      <c r="I3872">
        <v>0</v>
      </c>
      <c r="J3872" t="s">
        <v>87</v>
      </c>
      <c r="K3872">
        <v>0</v>
      </c>
      <c r="L3872">
        <v>0</v>
      </c>
    </row>
    <row r="3873" spans="1:12">
      <c r="A3873" s="93">
        <v>413680</v>
      </c>
      <c r="B3873" t="s">
        <v>4355</v>
      </c>
      <c r="C3873" t="s">
        <v>5606</v>
      </c>
      <c r="D3873" s="92" t="s">
        <v>428</v>
      </c>
      <c r="E3873" s="92" t="s">
        <v>428</v>
      </c>
      <c r="F3873" t="s">
        <v>428</v>
      </c>
      <c r="G3873" t="s">
        <v>428</v>
      </c>
      <c r="H3873" t="s">
        <v>5617</v>
      </c>
      <c r="I3873">
        <v>0</v>
      </c>
      <c r="J3873" t="s">
        <v>87</v>
      </c>
      <c r="K3873">
        <v>0</v>
      </c>
      <c r="L3873">
        <v>0</v>
      </c>
    </row>
    <row r="3874" spans="1:12">
      <c r="A3874" s="93">
        <v>413802</v>
      </c>
      <c r="B3874" t="s">
        <v>4356</v>
      </c>
      <c r="C3874" t="s">
        <v>5606</v>
      </c>
      <c r="D3874" s="92" t="s">
        <v>428</v>
      </c>
      <c r="E3874" s="92" t="s">
        <v>428</v>
      </c>
      <c r="F3874" t="s">
        <v>428</v>
      </c>
      <c r="G3874" t="s">
        <v>428</v>
      </c>
      <c r="H3874" t="s">
        <v>5615</v>
      </c>
      <c r="I3874">
        <v>0</v>
      </c>
      <c r="J3874" t="s">
        <v>87</v>
      </c>
      <c r="K3874">
        <v>0</v>
      </c>
      <c r="L3874">
        <v>0</v>
      </c>
    </row>
    <row r="3875" spans="1:12">
      <c r="A3875" s="93">
        <v>413839</v>
      </c>
      <c r="B3875" t="s">
        <v>4357</v>
      </c>
      <c r="C3875" t="s">
        <v>5607</v>
      </c>
      <c r="D3875" s="92" t="s">
        <v>428</v>
      </c>
      <c r="E3875" s="92" t="s">
        <v>428</v>
      </c>
      <c r="F3875" t="s">
        <v>428</v>
      </c>
      <c r="G3875" t="s">
        <v>428</v>
      </c>
      <c r="H3875" t="s">
        <v>5617</v>
      </c>
      <c r="I3875">
        <v>0</v>
      </c>
      <c r="J3875" t="s">
        <v>87</v>
      </c>
      <c r="K3875">
        <v>0</v>
      </c>
      <c r="L3875">
        <v>0</v>
      </c>
    </row>
    <row r="3876" spans="1:12">
      <c r="A3876" s="93">
        <v>413848</v>
      </c>
      <c r="B3876" t="s">
        <v>4358</v>
      </c>
      <c r="C3876" t="s">
        <v>5607</v>
      </c>
      <c r="D3876" s="92" t="s">
        <v>428</v>
      </c>
      <c r="E3876" s="92" t="s">
        <v>428</v>
      </c>
      <c r="F3876" t="s">
        <v>428</v>
      </c>
      <c r="G3876" t="s">
        <v>428</v>
      </c>
      <c r="H3876" t="s">
        <v>5617</v>
      </c>
      <c r="I3876">
        <v>0</v>
      </c>
      <c r="J3876" t="s">
        <v>87</v>
      </c>
      <c r="K3876">
        <v>0</v>
      </c>
      <c r="L3876">
        <v>0</v>
      </c>
    </row>
    <row r="3877" spans="1:12">
      <c r="A3877" s="93">
        <v>413857</v>
      </c>
      <c r="B3877" t="s">
        <v>4359</v>
      </c>
      <c r="C3877" t="s">
        <v>5607</v>
      </c>
      <c r="D3877" s="92" t="s">
        <v>428</v>
      </c>
      <c r="E3877" s="92" t="s">
        <v>428</v>
      </c>
      <c r="F3877" t="s">
        <v>428</v>
      </c>
      <c r="G3877" t="s">
        <v>428</v>
      </c>
      <c r="H3877" t="s">
        <v>5617</v>
      </c>
      <c r="I3877">
        <v>0</v>
      </c>
      <c r="J3877" t="s">
        <v>87</v>
      </c>
      <c r="K3877">
        <v>0</v>
      </c>
      <c r="L3877">
        <v>0</v>
      </c>
    </row>
    <row r="3878" spans="1:12">
      <c r="A3878" s="93">
        <v>413866</v>
      </c>
      <c r="B3878" t="s">
        <v>4360</v>
      </c>
      <c r="C3878" t="s">
        <v>5607</v>
      </c>
      <c r="D3878" s="92">
        <v>0.07000000000000001</v>
      </c>
      <c r="E3878" s="92">
        <v>0</v>
      </c>
      <c r="F3878" t="s">
        <v>428</v>
      </c>
      <c r="G3878" t="s">
        <v>428</v>
      </c>
      <c r="H3878" t="s">
        <v>5617</v>
      </c>
      <c r="I3878">
        <v>0</v>
      </c>
      <c r="J3878" t="s">
        <v>87</v>
      </c>
      <c r="K3878">
        <v>0</v>
      </c>
      <c r="L3878">
        <v>0</v>
      </c>
    </row>
    <row r="3879" spans="1:12">
      <c r="A3879" s="93">
        <v>413884</v>
      </c>
      <c r="B3879" t="s">
        <v>4361</v>
      </c>
      <c r="C3879" t="s">
        <v>5607</v>
      </c>
      <c r="D3879" s="92">
        <v>0.05</v>
      </c>
      <c r="E3879" s="92">
        <v>0.04</v>
      </c>
      <c r="F3879" t="s">
        <v>428</v>
      </c>
      <c r="G3879" t="s">
        <v>428</v>
      </c>
      <c r="H3879" t="s">
        <v>5617</v>
      </c>
      <c r="I3879">
        <v>0</v>
      </c>
      <c r="J3879" t="s">
        <v>87</v>
      </c>
      <c r="K3879">
        <v>0</v>
      </c>
      <c r="L3879">
        <v>0</v>
      </c>
    </row>
    <row r="3880" spans="1:12">
      <c r="A3880" s="93">
        <v>414452</v>
      </c>
      <c r="B3880" t="s">
        <v>4362</v>
      </c>
      <c r="C3880" t="s">
        <v>5606</v>
      </c>
      <c r="D3880" s="92" t="s">
        <v>428</v>
      </c>
      <c r="E3880" s="92" t="s">
        <v>428</v>
      </c>
      <c r="F3880" t="s">
        <v>428</v>
      </c>
      <c r="G3880" t="s">
        <v>428</v>
      </c>
      <c r="H3880" t="s">
        <v>5613</v>
      </c>
      <c r="I3880">
        <v>1</v>
      </c>
      <c r="J3880" t="s">
        <v>87</v>
      </c>
      <c r="K3880">
        <v>0</v>
      </c>
      <c r="L3880">
        <v>0</v>
      </c>
    </row>
    <row r="3881" spans="1:12">
      <c r="A3881" s="93">
        <v>414461</v>
      </c>
      <c r="B3881" t="s">
        <v>4363</v>
      </c>
      <c r="C3881" t="s">
        <v>5606</v>
      </c>
      <c r="D3881" s="92" t="s">
        <v>428</v>
      </c>
      <c r="E3881" s="92" t="s">
        <v>428</v>
      </c>
      <c r="F3881" t="s">
        <v>428</v>
      </c>
      <c r="G3881" t="s">
        <v>428</v>
      </c>
      <c r="H3881" t="s">
        <v>5616</v>
      </c>
      <c r="I3881">
        <v>0</v>
      </c>
      <c r="J3881" t="s">
        <v>87</v>
      </c>
      <c r="K3881">
        <v>0</v>
      </c>
      <c r="L3881">
        <v>0</v>
      </c>
    </row>
    <row r="3882" spans="1:12">
      <c r="A3882" s="93">
        <v>414531</v>
      </c>
      <c r="B3882" t="s">
        <v>4364</v>
      </c>
      <c r="C3882" t="s">
        <v>5607</v>
      </c>
      <c r="D3882" s="92" t="s">
        <v>428</v>
      </c>
      <c r="E3882" s="92" t="s">
        <v>428</v>
      </c>
      <c r="F3882" t="s">
        <v>428</v>
      </c>
      <c r="G3882" t="s">
        <v>428</v>
      </c>
      <c r="H3882" t="s">
        <v>5617</v>
      </c>
      <c r="I3882">
        <v>0</v>
      </c>
      <c r="J3882" t="s">
        <v>87</v>
      </c>
      <c r="K3882">
        <v>0</v>
      </c>
      <c r="L3882">
        <v>0</v>
      </c>
    </row>
    <row r="3883" spans="1:12">
      <c r="A3883" s="93">
        <v>414568</v>
      </c>
      <c r="B3883" t="s">
        <v>4365</v>
      </c>
      <c r="C3883" t="s">
        <v>5607</v>
      </c>
      <c r="D3883" s="92" t="s">
        <v>428</v>
      </c>
      <c r="E3883" s="92" t="s">
        <v>428</v>
      </c>
      <c r="F3883" t="s">
        <v>428</v>
      </c>
      <c r="G3883" t="s">
        <v>428</v>
      </c>
      <c r="H3883" t="s">
        <v>5617</v>
      </c>
      <c r="I3883">
        <v>0</v>
      </c>
      <c r="J3883" t="s">
        <v>87</v>
      </c>
      <c r="K3883">
        <v>0</v>
      </c>
      <c r="L3883">
        <v>0</v>
      </c>
    </row>
    <row r="3884" spans="1:12">
      <c r="A3884" s="93">
        <v>414595</v>
      </c>
      <c r="B3884" t="s">
        <v>4366</v>
      </c>
      <c r="C3884" t="s">
        <v>5604</v>
      </c>
      <c r="D3884" s="92" t="s">
        <v>428</v>
      </c>
      <c r="E3884" s="92" t="s">
        <v>428</v>
      </c>
      <c r="F3884" t="s">
        <v>428</v>
      </c>
      <c r="G3884" t="s">
        <v>428</v>
      </c>
      <c r="H3884" t="s">
        <v>5617</v>
      </c>
      <c r="I3884">
        <v>0</v>
      </c>
      <c r="J3884" t="s">
        <v>87</v>
      </c>
      <c r="K3884">
        <v>0</v>
      </c>
      <c r="L3884">
        <v>0</v>
      </c>
    </row>
    <row r="3885" spans="1:12">
      <c r="A3885" s="93">
        <v>414823</v>
      </c>
      <c r="B3885" t="s">
        <v>4367</v>
      </c>
      <c r="C3885" t="s">
        <v>5607</v>
      </c>
      <c r="D3885" s="92">
        <v>0.38</v>
      </c>
      <c r="E3885" s="92">
        <v>0.36</v>
      </c>
      <c r="F3885" t="s">
        <v>428</v>
      </c>
      <c r="G3885" t="s">
        <v>428</v>
      </c>
      <c r="H3885" t="s">
        <v>5617</v>
      </c>
      <c r="I3885">
        <v>0</v>
      </c>
      <c r="J3885" t="s">
        <v>87</v>
      </c>
      <c r="K3885">
        <v>0</v>
      </c>
      <c r="L3885">
        <v>0</v>
      </c>
    </row>
    <row r="3886" spans="1:12">
      <c r="A3886" s="93">
        <v>414841</v>
      </c>
      <c r="B3886" t="s">
        <v>4368</v>
      </c>
      <c r="C3886" t="s">
        <v>5606</v>
      </c>
      <c r="D3886" s="92" t="s">
        <v>428</v>
      </c>
      <c r="E3886" s="92" t="s">
        <v>428</v>
      </c>
      <c r="F3886" t="s">
        <v>428</v>
      </c>
      <c r="G3886" t="s">
        <v>428</v>
      </c>
      <c r="H3886" t="s">
        <v>5617</v>
      </c>
      <c r="I3886">
        <v>0</v>
      </c>
      <c r="J3886" t="s">
        <v>87</v>
      </c>
      <c r="K3886">
        <v>0</v>
      </c>
      <c r="L3886">
        <v>0</v>
      </c>
    </row>
    <row r="3887" spans="1:12">
      <c r="A3887" s="93">
        <v>414878</v>
      </c>
      <c r="B3887" t="s">
        <v>4369</v>
      </c>
      <c r="C3887" t="s">
        <v>5604</v>
      </c>
      <c r="D3887" s="92" t="s">
        <v>428</v>
      </c>
      <c r="E3887" s="92" t="s">
        <v>428</v>
      </c>
      <c r="F3887" t="s">
        <v>428</v>
      </c>
      <c r="G3887" t="s">
        <v>428</v>
      </c>
      <c r="H3887" t="s">
        <v>5617</v>
      </c>
      <c r="I3887">
        <v>0</v>
      </c>
      <c r="J3887" t="s">
        <v>87</v>
      </c>
      <c r="K3887">
        <v>0</v>
      </c>
      <c r="L3887">
        <v>0</v>
      </c>
    </row>
    <row r="3888" spans="1:12">
      <c r="A3888" s="93">
        <v>414911</v>
      </c>
      <c r="B3888" t="s">
        <v>4370</v>
      </c>
      <c r="C3888" t="s">
        <v>5606</v>
      </c>
      <c r="D3888" s="92">
        <v>0.4</v>
      </c>
      <c r="E3888" s="92">
        <v>0.35</v>
      </c>
      <c r="F3888" t="s">
        <v>428</v>
      </c>
      <c r="G3888" t="s">
        <v>428</v>
      </c>
      <c r="H3888" t="s">
        <v>5615</v>
      </c>
      <c r="I3888">
        <v>0</v>
      </c>
      <c r="J3888" t="s">
        <v>87</v>
      </c>
      <c r="K3888">
        <v>0</v>
      </c>
      <c r="L3888">
        <v>0</v>
      </c>
    </row>
    <row r="3889" spans="1:12">
      <c r="A3889" s="93">
        <v>414939</v>
      </c>
      <c r="B3889" t="s">
        <v>4371</v>
      </c>
      <c r="C3889" t="s">
        <v>5606</v>
      </c>
      <c r="D3889" s="92" t="s">
        <v>428</v>
      </c>
      <c r="E3889" s="92" t="s">
        <v>428</v>
      </c>
      <c r="F3889" t="s">
        <v>428</v>
      </c>
      <c r="G3889" t="s">
        <v>428</v>
      </c>
      <c r="H3889" t="s">
        <v>5617</v>
      </c>
      <c r="I3889">
        <v>0</v>
      </c>
      <c r="J3889" t="s">
        <v>87</v>
      </c>
      <c r="K3889">
        <v>0</v>
      </c>
      <c r="L3889">
        <v>0</v>
      </c>
    </row>
    <row r="3890" spans="1:12">
      <c r="A3890" s="93">
        <v>414966</v>
      </c>
      <c r="B3890" t="s">
        <v>4372</v>
      </c>
      <c r="C3890" t="s">
        <v>5607</v>
      </c>
      <c r="D3890" s="92" t="s">
        <v>428</v>
      </c>
      <c r="E3890" s="92" t="s">
        <v>428</v>
      </c>
      <c r="F3890" t="s">
        <v>428</v>
      </c>
      <c r="G3890" t="s">
        <v>428</v>
      </c>
      <c r="H3890" t="s">
        <v>5615</v>
      </c>
      <c r="I3890">
        <v>0</v>
      </c>
      <c r="J3890" t="s">
        <v>87</v>
      </c>
      <c r="K3890">
        <v>0</v>
      </c>
      <c r="L3890">
        <v>0</v>
      </c>
    </row>
    <row r="3891" spans="1:12">
      <c r="A3891" s="93">
        <v>416458</v>
      </c>
      <c r="B3891" t="s">
        <v>4373</v>
      </c>
      <c r="C3891" t="s">
        <v>5606</v>
      </c>
      <c r="D3891" s="92" t="s">
        <v>428</v>
      </c>
      <c r="E3891" s="92" t="s">
        <v>428</v>
      </c>
      <c r="F3891" t="s">
        <v>428</v>
      </c>
      <c r="G3891" t="s">
        <v>428</v>
      </c>
      <c r="H3891" t="s">
        <v>5617</v>
      </c>
      <c r="I3891">
        <v>0</v>
      </c>
      <c r="J3891" t="s">
        <v>87</v>
      </c>
      <c r="K3891">
        <v>0</v>
      </c>
      <c r="L3891">
        <v>0</v>
      </c>
    </row>
    <row r="3892" spans="1:12">
      <c r="A3892" s="93">
        <v>416801</v>
      </c>
      <c r="B3892" t="s">
        <v>4374</v>
      </c>
      <c r="C3892" t="s">
        <v>5607</v>
      </c>
      <c r="D3892" s="92" t="s">
        <v>428</v>
      </c>
      <c r="E3892" s="92" t="s">
        <v>428</v>
      </c>
      <c r="F3892" t="s">
        <v>428</v>
      </c>
      <c r="G3892" t="s">
        <v>428</v>
      </c>
      <c r="H3892" t="s">
        <v>5615</v>
      </c>
      <c r="I3892">
        <v>0</v>
      </c>
      <c r="J3892" t="s">
        <v>87</v>
      </c>
      <c r="K3892">
        <v>0</v>
      </c>
      <c r="L3892">
        <v>0</v>
      </c>
    </row>
    <row r="3893" spans="1:12">
      <c r="A3893" s="93">
        <v>417248</v>
      </c>
      <c r="B3893" t="s">
        <v>4375</v>
      </c>
      <c r="C3893" t="s">
        <v>5606</v>
      </c>
      <c r="D3893" s="92" t="s">
        <v>428</v>
      </c>
      <c r="E3893" s="92" t="s">
        <v>428</v>
      </c>
      <c r="F3893" t="s">
        <v>428</v>
      </c>
      <c r="G3893" t="s">
        <v>428</v>
      </c>
      <c r="H3893" t="s">
        <v>5615</v>
      </c>
      <c r="I3893">
        <v>0</v>
      </c>
      <c r="J3893" t="s">
        <v>87</v>
      </c>
      <c r="K3893">
        <v>0</v>
      </c>
      <c r="L3893">
        <v>0</v>
      </c>
    </row>
    <row r="3894" spans="1:12">
      <c r="A3894" s="93">
        <v>417318</v>
      </c>
      <c r="B3894" t="s">
        <v>4376</v>
      </c>
      <c r="C3894" t="s">
        <v>5604</v>
      </c>
      <c r="D3894" s="92" t="s">
        <v>428</v>
      </c>
      <c r="E3894" s="92" t="s">
        <v>428</v>
      </c>
      <c r="F3894" t="s">
        <v>428</v>
      </c>
      <c r="G3894" t="s">
        <v>428</v>
      </c>
      <c r="H3894" t="s">
        <v>5617</v>
      </c>
      <c r="I3894">
        <v>0</v>
      </c>
      <c r="J3894" t="s">
        <v>87</v>
      </c>
      <c r="K3894">
        <v>0</v>
      </c>
      <c r="L3894">
        <v>0</v>
      </c>
    </row>
    <row r="3895" spans="1:12">
      <c r="A3895" s="93">
        <v>417327</v>
      </c>
      <c r="B3895" t="s">
        <v>4377</v>
      </c>
      <c r="C3895" t="s">
        <v>5606</v>
      </c>
      <c r="D3895" s="92" t="s">
        <v>428</v>
      </c>
      <c r="E3895" s="92" t="s">
        <v>428</v>
      </c>
      <c r="F3895" t="s">
        <v>428</v>
      </c>
      <c r="G3895" t="s">
        <v>428</v>
      </c>
      <c r="H3895" t="s">
        <v>5617</v>
      </c>
      <c r="I3895">
        <v>0</v>
      </c>
      <c r="J3895" t="s">
        <v>87</v>
      </c>
      <c r="K3895">
        <v>0</v>
      </c>
      <c r="L3895">
        <v>0</v>
      </c>
    </row>
    <row r="3896" spans="1:12">
      <c r="A3896" s="93">
        <v>417734</v>
      </c>
      <c r="B3896" t="s">
        <v>4378</v>
      </c>
      <c r="C3896" t="s">
        <v>5608</v>
      </c>
      <c r="D3896" s="92">
        <v>1</v>
      </c>
      <c r="E3896" s="92" t="s">
        <v>428</v>
      </c>
      <c r="F3896">
        <v>1</v>
      </c>
      <c r="G3896">
        <v>1.5</v>
      </c>
      <c r="H3896" t="s">
        <v>5617</v>
      </c>
      <c r="I3896">
        <v>0</v>
      </c>
      <c r="J3896" t="s">
        <v>87</v>
      </c>
      <c r="K3896">
        <v>0</v>
      </c>
      <c r="L3896">
        <v>0</v>
      </c>
    </row>
    <row r="3897" spans="1:12">
      <c r="A3897" s="93">
        <v>417752</v>
      </c>
      <c r="B3897" t="s">
        <v>4379</v>
      </c>
      <c r="C3897" t="s">
        <v>5607</v>
      </c>
      <c r="D3897" s="92">
        <v>0.2</v>
      </c>
      <c r="E3897" s="92">
        <v>0</v>
      </c>
      <c r="F3897" t="s">
        <v>428</v>
      </c>
      <c r="G3897" t="s">
        <v>428</v>
      </c>
      <c r="H3897" t="s">
        <v>5617</v>
      </c>
      <c r="I3897">
        <v>0</v>
      </c>
      <c r="J3897" t="s">
        <v>87</v>
      </c>
      <c r="K3897">
        <v>0</v>
      </c>
      <c r="L3897">
        <v>0</v>
      </c>
    </row>
    <row r="3898" spans="1:12">
      <c r="A3898" s="93">
        <v>417868</v>
      </c>
      <c r="B3898" t="s">
        <v>4380</v>
      </c>
      <c r="C3898" t="s">
        <v>5609</v>
      </c>
      <c r="D3898" s="92" t="s">
        <v>428</v>
      </c>
      <c r="E3898" s="92" t="s">
        <v>428</v>
      </c>
      <c r="F3898" t="s">
        <v>428</v>
      </c>
      <c r="G3898" t="s">
        <v>428</v>
      </c>
      <c r="H3898" t="s">
        <v>5615</v>
      </c>
      <c r="I3898">
        <v>0</v>
      </c>
      <c r="J3898" t="s">
        <v>87</v>
      </c>
      <c r="K3898">
        <v>0</v>
      </c>
      <c r="L3898">
        <v>0</v>
      </c>
    </row>
    <row r="3899" spans="1:12">
      <c r="A3899" s="93">
        <v>418126</v>
      </c>
      <c r="B3899" t="s">
        <v>4381</v>
      </c>
      <c r="C3899" t="s">
        <v>5604</v>
      </c>
      <c r="D3899" s="92">
        <v>0.82</v>
      </c>
      <c r="E3899" s="92">
        <v>0.85</v>
      </c>
      <c r="F3899" t="s">
        <v>428</v>
      </c>
      <c r="G3899" t="s">
        <v>428</v>
      </c>
      <c r="H3899" t="s">
        <v>5617</v>
      </c>
      <c r="I3899">
        <v>0</v>
      </c>
      <c r="J3899" t="s">
        <v>87</v>
      </c>
      <c r="K3899">
        <v>0</v>
      </c>
      <c r="L3899">
        <v>0</v>
      </c>
    </row>
    <row r="3900" spans="1:12">
      <c r="A3900" s="93">
        <v>418250</v>
      </c>
      <c r="B3900" t="s">
        <v>4382</v>
      </c>
      <c r="C3900" t="s">
        <v>5606</v>
      </c>
      <c r="D3900" s="92" t="s">
        <v>428</v>
      </c>
      <c r="E3900" s="92" t="s">
        <v>428</v>
      </c>
      <c r="F3900" t="s">
        <v>428</v>
      </c>
      <c r="G3900" t="s">
        <v>428</v>
      </c>
      <c r="H3900" t="s">
        <v>5615</v>
      </c>
      <c r="I3900">
        <v>0</v>
      </c>
      <c r="J3900" t="s">
        <v>87</v>
      </c>
      <c r="K3900">
        <v>0</v>
      </c>
      <c r="L3900">
        <v>0</v>
      </c>
    </row>
    <row r="3901" spans="1:12">
      <c r="A3901" s="93">
        <v>418296</v>
      </c>
      <c r="B3901" t="s">
        <v>4383</v>
      </c>
      <c r="C3901" t="s">
        <v>5606</v>
      </c>
      <c r="D3901" s="92" t="s">
        <v>428</v>
      </c>
      <c r="E3901" s="92" t="s">
        <v>428</v>
      </c>
      <c r="F3901" t="s">
        <v>428</v>
      </c>
      <c r="G3901" t="s">
        <v>428</v>
      </c>
      <c r="H3901" t="s">
        <v>5615</v>
      </c>
      <c r="I3901">
        <v>0</v>
      </c>
      <c r="J3901" t="s">
        <v>87</v>
      </c>
      <c r="K3901">
        <v>0</v>
      </c>
      <c r="L3901">
        <v>0</v>
      </c>
    </row>
    <row r="3902" spans="1:12">
      <c r="A3902" s="93">
        <v>418533</v>
      </c>
      <c r="B3902" t="s">
        <v>4384</v>
      </c>
      <c r="C3902" t="s">
        <v>5606</v>
      </c>
      <c r="D3902" s="92" t="s">
        <v>428</v>
      </c>
      <c r="E3902" s="92" t="s">
        <v>428</v>
      </c>
      <c r="F3902" t="s">
        <v>428</v>
      </c>
      <c r="G3902" t="s">
        <v>428</v>
      </c>
      <c r="H3902" t="s">
        <v>5615</v>
      </c>
      <c r="I3902">
        <v>0</v>
      </c>
      <c r="J3902" t="s">
        <v>87</v>
      </c>
      <c r="K3902">
        <v>0</v>
      </c>
      <c r="L3902">
        <v>0</v>
      </c>
    </row>
    <row r="3903" spans="1:12">
      <c r="A3903" s="93">
        <v>418870</v>
      </c>
      <c r="B3903" t="s">
        <v>4385</v>
      </c>
      <c r="C3903" t="s">
        <v>5606</v>
      </c>
      <c r="D3903" s="92" t="s">
        <v>428</v>
      </c>
      <c r="E3903" s="92" t="s">
        <v>428</v>
      </c>
      <c r="F3903" t="s">
        <v>428</v>
      </c>
      <c r="G3903" t="s">
        <v>428</v>
      </c>
      <c r="H3903" t="s">
        <v>5617</v>
      </c>
      <c r="I3903">
        <v>0</v>
      </c>
      <c r="J3903" t="s">
        <v>87</v>
      </c>
      <c r="K3903">
        <v>0</v>
      </c>
      <c r="L3903">
        <v>0</v>
      </c>
    </row>
    <row r="3904" spans="1:12">
      <c r="A3904" s="93">
        <v>418889</v>
      </c>
      <c r="B3904" t="s">
        <v>4386</v>
      </c>
      <c r="C3904" t="s">
        <v>5606</v>
      </c>
      <c r="D3904" s="92" t="s">
        <v>428</v>
      </c>
      <c r="E3904" s="92" t="s">
        <v>428</v>
      </c>
      <c r="F3904" t="s">
        <v>428</v>
      </c>
      <c r="G3904" t="s">
        <v>428</v>
      </c>
      <c r="H3904" t="s">
        <v>5617</v>
      </c>
      <c r="I3904">
        <v>0</v>
      </c>
      <c r="J3904" t="s">
        <v>87</v>
      </c>
      <c r="K3904">
        <v>0</v>
      </c>
      <c r="L3904">
        <v>0</v>
      </c>
    </row>
    <row r="3905" spans="1:12">
      <c r="A3905" s="93">
        <v>419183</v>
      </c>
      <c r="B3905" t="s">
        <v>4387</v>
      </c>
      <c r="C3905" t="s">
        <v>5606</v>
      </c>
      <c r="D3905" s="92" t="s">
        <v>428</v>
      </c>
      <c r="E3905" s="92" t="s">
        <v>428</v>
      </c>
      <c r="F3905" t="s">
        <v>428</v>
      </c>
      <c r="G3905" t="s">
        <v>428</v>
      </c>
      <c r="H3905" t="s">
        <v>5617</v>
      </c>
      <c r="I3905">
        <v>0</v>
      </c>
      <c r="J3905" t="s">
        <v>87</v>
      </c>
      <c r="K3905">
        <v>0</v>
      </c>
      <c r="L3905">
        <v>0</v>
      </c>
    </row>
    <row r="3906" spans="1:12">
      <c r="A3906" s="93">
        <v>419226</v>
      </c>
      <c r="B3906" t="s">
        <v>2951</v>
      </c>
      <c r="C3906" t="s">
        <v>5606</v>
      </c>
      <c r="D3906" s="92" t="s">
        <v>428</v>
      </c>
      <c r="E3906" s="92" t="s">
        <v>428</v>
      </c>
      <c r="F3906" t="s">
        <v>428</v>
      </c>
      <c r="G3906" t="s">
        <v>428</v>
      </c>
      <c r="H3906" t="s">
        <v>5615</v>
      </c>
      <c r="I3906">
        <v>0</v>
      </c>
      <c r="J3906" t="s">
        <v>87</v>
      </c>
      <c r="K3906">
        <v>0</v>
      </c>
      <c r="L3906">
        <v>0</v>
      </c>
    </row>
    <row r="3907" spans="1:12">
      <c r="A3907" s="93">
        <v>419244</v>
      </c>
      <c r="B3907" t="s">
        <v>4388</v>
      </c>
      <c r="C3907" t="s">
        <v>5606</v>
      </c>
      <c r="D3907" s="92">
        <v>0.52</v>
      </c>
      <c r="E3907" s="92">
        <v>0.51</v>
      </c>
      <c r="F3907" t="s">
        <v>428</v>
      </c>
      <c r="G3907" t="s">
        <v>428</v>
      </c>
      <c r="H3907" t="s">
        <v>5617</v>
      </c>
      <c r="I3907">
        <v>0</v>
      </c>
      <c r="J3907" t="s">
        <v>87</v>
      </c>
      <c r="K3907">
        <v>0</v>
      </c>
      <c r="L3907">
        <v>0</v>
      </c>
    </row>
    <row r="3908" spans="1:12">
      <c r="A3908" s="93">
        <v>419341</v>
      </c>
      <c r="B3908" t="s">
        <v>4389</v>
      </c>
      <c r="C3908" t="s">
        <v>5606</v>
      </c>
      <c r="D3908" s="92" t="s">
        <v>428</v>
      </c>
      <c r="E3908" s="92" t="s">
        <v>428</v>
      </c>
      <c r="F3908" t="s">
        <v>428</v>
      </c>
      <c r="G3908" t="s">
        <v>428</v>
      </c>
      <c r="H3908" t="s">
        <v>5617</v>
      </c>
      <c r="I3908">
        <v>0</v>
      </c>
      <c r="J3908" t="s">
        <v>87</v>
      </c>
      <c r="K3908">
        <v>0</v>
      </c>
      <c r="L3908">
        <v>0</v>
      </c>
    </row>
    <row r="3909" spans="1:12">
      <c r="A3909" s="93">
        <v>419457</v>
      </c>
      <c r="B3909" t="s">
        <v>4390</v>
      </c>
      <c r="C3909" t="s">
        <v>5604</v>
      </c>
      <c r="D3909" s="92">
        <v>1</v>
      </c>
      <c r="E3909" s="92">
        <v>1</v>
      </c>
      <c r="F3909" t="s">
        <v>428</v>
      </c>
      <c r="G3909" t="s">
        <v>428</v>
      </c>
      <c r="H3909" t="s">
        <v>5616</v>
      </c>
      <c r="I3909">
        <v>0</v>
      </c>
      <c r="J3909" t="s">
        <v>87</v>
      </c>
      <c r="K3909">
        <v>0</v>
      </c>
      <c r="L3909">
        <v>0</v>
      </c>
    </row>
    <row r="3910" spans="1:12">
      <c r="A3910" s="93">
        <v>420006</v>
      </c>
      <c r="B3910" t="s">
        <v>4391</v>
      </c>
      <c r="C3910" t="s">
        <v>5607</v>
      </c>
      <c r="D3910" s="92">
        <v>0.26</v>
      </c>
      <c r="E3910" s="92">
        <v>0.18</v>
      </c>
      <c r="F3910" t="s">
        <v>428</v>
      </c>
      <c r="G3910" t="s">
        <v>428</v>
      </c>
      <c r="H3910" t="s">
        <v>5617</v>
      </c>
      <c r="I3910">
        <v>0</v>
      </c>
      <c r="J3910" t="s">
        <v>87</v>
      </c>
      <c r="K3910">
        <v>0</v>
      </c>
      <c r="L3910">
        <v>0</v>
      </c>
    </row>
    <row r="3911" spans="1:12">
      <c r="A3911" s="93">
        <v>420024</v>
      </c>
      <c r="B3911" t="s">
        <v>4392</v>
      </c>
      <c r="C3911" t="s">
        <v>5604</v>
      </c>
      <c r="D3911" s="92">
        <v>0.53</v>
      </c>
      <c r="E3911" s="92">
        <v>0.38</v>
      </c>
      <c r="F3911" t="s">
        <v>428</v>
      </c>
      <c r="G3911" t="s">
        <v>428</v>
      </c>
      <c r="H3911" t="s">
        <v>5617</v>
      </c>
      <c r="I3911">
        <v>0</v>
      </c>
      <c r="J3911" t="s">
        <v>87</v>
      </c>
      <c r="K3911">
        <v>0</v>
      </c>
      <c r="L3911">
        <v>0</v>
      </c>
    </row>
    <row r="3912" spans="1:12">
      <c r="A3912" s="93">
        <v>420042</v>
      </c>
      <c r="B3912" t="s">
        <v>4393</v>
      </c>
      <c r="C3912" t="s">
        <v>5604</v>
      </c>
      <c r="D3912" s="92">
        <v>0.24</v>
      </c>
      <c r="E3912" s="92">
        <v>0.19</v>
      </c>
      <c r="F3912" t="s">
        <v>428</v>
      </c>
      <c r="G3912" t="s">
        <v>428</v>
      </c>
      <c r="H3912" t="s">
        <v>5617</v>
      </c>
      <c r="I3912">
        <v>0</v>
      </c>
      <c r="J3912" t="s">
        <v>87</v>
      </c>
      <c r="K3912">
        <v>0</v>
      </c>
      <c r="L3912">
        <v>0</v>
      </c>
    </row>
    <row r="3913" spans="1:12">
      <c r="A3913" s="93">
        <v>420103</v>
      </c>
      <c r="B3913" t="s">
        <v>4394</v>
      </c>
      <c r="C3913" t="s">
        <v>5606</v>
      </c>
      <c r="D3913" s="92" t="s">
        <v>428</v>
      </c>
      <c r="E3913" s="92" t="s">
        <v>428</v>
      </c>
      <c r="F3913" t="s">
        <v>428</v>
      </c>
      <c r="G3913" t="s">
        <v>428</v>
      </c>
      <c r="H3913" t="s">
        <v>5617</v>
      </c>
      <c r="I3913">
        <v>0</v>
      </c>
      <c r="J3913" t="s">
        <v>87</v>
      </c>
      <c r="K3913">
        <v>0</v>
      </c>
      <c r="L3913">
        <v>0</v>
      </c>
    </row>
    <row r="3914" spans="1:12">
      <c r="A3914" s="93">
        <v>420246</v>
      </c>
      <c r="B3914" t="s">
        <v>4395</v>
      </c>
      <c r="C3914" t="s">
        <v>5607</v>
      </c>
      <c r="D3914" s="92" t="s">
        <v>428</v>
      </c>
      <c r="E3914" s="92" t="s">
        <v>428</v>
      </c>
      <c r="F3914" t="s">
        <v>428</v>
      </c>
      <c r="G3914" t="s">
        <v>428</v>
      </c>
      <c r="H3914" t="s">
        <v>5615</v>
      </c>
      <c r="I3914">
        <v>0</v>
      </c>
      <c r="J3914" t="s">
        <v>87</v>
      </c>
      <c r="K3914">
        <v>0</v>
      </c>
      <c r="L3914">
        <v>0</v>
      </c>
    </row>
    <row r="3915" spans="1:12">
      <c r="A3915" s="93">
        <v>420307</v>
      </c>
      <c r="B3915" t="s">
        <v>4396</v>
      </c>
      <c r="C3915" t="s">
        <v>5604</v>
      </c>
      <c r="D3915" s="92">
        <v>0.05</v>
      </c>
      <c r="E3915" s="92">
        <v>0.22</v>
      </c>
      <c r="F3915" t="s">
        <v>428</v>
      </c>
      <c r="G3915" t="s">
        <v>428</v>
      </c>
      <c r="H3915" t="s">
        <v>5617</v>
      </c>
      <c r="I3915">
        <v>0</v>
      </c>
      <c r="J3915" t="s">
        <v>87</v>
      </c>
      <c r="K3915">
        <v>0</v>
      </c>
      <c r="L3915">
        <v>0</v>
      </c>
    </row>
    <row r="3916" spans="1:12">
      <c r="A3916" s="93">
        <v>420316</v>
      </c>
      <c r="B3916" t="s">
        <v>4397</v>
      </c>
      <c r="C3916" t="s">
        <v>5604</v>
      </c>
      <c r="D3916" s="92">
        <v>0.12</v>
      </c>
      <c r="E3916" s="92">
        <v>0.25</v>
      </c>
      <c r="F3916" t="s">
        <v>428</v>
      </c>
      <c r="G3916" t="s">
        <v>428</v>
      </c>
      <c r="H3916" t="s">
        <v>5617</v>
      </c>
      <c r="I3916">
        <v>0</v>
      </c>
      <c r="J3916" t="s">
        <v>87</v>
      </c>
      <c r="K3916">
        <v>0</v>
      </c>
      <c r="L3916">
        <v>0</v>
      </c>
    </row>
    <row r="3917" spans="1:12">
      <c r="A3917" s="93">
        <v>420325</v>
      </c>
      <c r="B3917" t="s">
        <v>4398</v>
      </c>
      <c r="C3917" t="s">
        <v>5607</v>
      </c>
      <c r="D3917" s="92">
        <v>0.33</v>
      </c>
      <c r="E3917" s="92" t="s">
        <v>428</v>
      </c>
      <c r="F3917" t="s">
        <v>428</v>
      </c>
      <c r="G3917" t="s">
        <v>428</v>
      </c>
      <c r="H3917" t="s">
        <v>5624</v>
      </c>
      <c r="I3917">
        <v>1</v>
      </c>
      <c r="J3917" t="s">
        <v>87</v>
      </c>
      <c r="K3917">
        <v>0</v>
      </c>
      <c r="L3917">
        <v>0</v>
      </c>
    </row>
    <row r="3918" spans="1:12">
      <c r="A3918" s="93">
        <v>420343</v>
      </c>
      <c r="B3918" t="s">
        <v>4399</v>
      </c>
      <c r="C3918" t="s">
        <v>5606</v>
      </c>
      <c r="D3918" s="92" t="s">
        <v>428</v>
      </c>
      <c r="E3918" s="92" t="s">
        <v>428</v>
      </c>
      <c r="F3918" t="s">
        <v>428</v>
      </c>
      <c r="G3918" t="s">
        <v>428</v>
      </c>
      <c r="H3918" t="s">
        <v>5616</v>
      </c>
      <c r="I3918">
        <v>0</v>
      </c>
      <c r="J3918" t="s">
        <v>87</v>
      </c>
      <c r="K3918">
        <v>0</v>
      </c>
      <c r="L3918">
        <v>0</v>
      </c>
    </row>
    <row r="3919" spans="1:12">
      <c r="A3919" s="93">
        <v>420370</v>
      </c>
      <c r="B3919" t="s">
        <v>4400</v>
      </c>
      <c r="C3919" t="s">
        <v>5606</v>
      </c>
      <c r="D3919" s="92">
        <v>0.63</v>
      </c>
      <c r="E3919" s="92">
        <v>0.63</v>
      </c>
      <c r="F3919" t="s">
        <v>428</v>
      </c>
      <c r="G3919" t="s">
        <v>428</v>
      </c>
      <c r="H3919" t="s">
        <v>5617</v>
      </c>
      <c r="I3919">
        <v>0</v>
      </c>
      <c r="J3919" t="s">
        <v>87</v>
      </c>
      <c r="K3919">
        <v>0</v>
      </c>
      <c r="L3919">
        <v>0</v>
      </c>
    </row>
    <row r="3920" spans="1:12">
      <c r="A3920" s="93">
        <v>420398</v>
      </c>
      <c r="B3920" t="s">
        <v>4401</v>
      </c>
      <c r="C3920" t="s">
        <v>5606</v>
      </c>
      <c r="D3920" s="92">
        <v>0.54</v>
      </c>
      <c r="E3920" s="92">
        <v>0.53</v>
      </c>
      <c r="F3920" t="s">
        <v>428</v>
      </c>
      <c r="G3920" t="s">
        <v>428</v>
      </c>
      <c r="H3920" t="s">
        <v>5615</v>
      </c>
      <c r="I3920">
        <v>0</v>
      </c>
      <c r="J3920" t="s">
        <v>87</v>
      </c>
      <c r="K3920">
        <v>0</v>
      </c>
      <c r="L3920">
        <v>0</v>
      </c>
    </row>
    <row r="3921" spans="1:12">
      <c r="A3921" s="93">
        <v>420404</v>
      </c>
      <c r="B3921" t="s">
        <v>4402</v>
      </c>
      <c r="C3921" t="s">
        <v>5606</v>
      </c>
      <c r="D3921" s="92" t="s">
        <v>428</v>
      </c>
      <c r="E3921" s="92" t="s">
        <v>428</v>
      </c>
      <c r="F3921" t="s">
        <v>428</v>
      </c>
      <c r="G3921" t="s">
        <v>428</v>
      </c>
      <c r="H3921" t="s">
        <v>5617</v>
      </c>
      <c r="I3921">
        <v>0</v>
      </c>
      <c r="J3921" t="s">
        <v>87</v>
      </c>
      <c r="K3921">
        <v>0</v>
      </c>
      <c r="L3921">
        <v>0</v>
      </c>
    </row>
    <row r="3922" spans="1:12">
      <c r="A3922" s="93">
        <v>420431</v>
      </c>
      <c r="B3922" t="s">
        <v>4403</v>
      </c>
      <c r="C3922" t="s">
        <v>5606</v>
      </c>
      <c r="D3922" s="92" t="s">
        <v>428</v>
      </c>
      <c r="E3922" s="92" t="s">
        <v>428</v>
      </c>
      <c r="F3922" t="s">
        <v>428</v>
      </c>
      <c r="G3922" t="s">
        <v>428</v>
      </c>
      <c r="H3922" t="s">
        <v>5615</v>
      </c>
      <c r="I3922">
        <v>0</v>
      </c>
      <c r="J3922" t="s">
        <v>87</v>
      </c>
      <c r="K3922">
        <v>0</v>
      </c>
      <c r="L3922">
        <v>0</v>
      </c>
    </row>
    <row r="3923" spans="1:12">
      <c r="A3923" s="93">
        <v>420440</v>
      </c>
      <c r="B3923" t="s">
        <v>4404</v>
      </c>
      <c r="C3923" t="s">
        <v>5606</v>
      </c>
      <c r="D3923" s="92">
        <v>0.32</v>
      </c>
      <c r="E3923" s="92">
        <v>0.62</v>
      </c>
      <c r="F3923" t="s">
        <v>428</v>
      </c>
      <c r="G3923" t="s">
        <v>428</v>
      </c>
      <c r="H3923" t="s">
        <v>5615</v>
      </c>
      <c r="I3923">
        <v>0</v>
      </c>
      <c r="J3923" t="s">
        <v>87</v>
      </c>
      <c r="K3923">
        <v>0</v>
      </c>
      <c r="L3923">
        <v>0</v>
      </c>
    </row>
    <row r="3924" spans="1:12">
      <c r="A3924" s="93">
        <v>420468</v>
      </c>
      <c r="B3924" t="s">
        <v>4405</v>
      </c>
      <c r="C3924" t="s">
        <v>5606</v>
      </c>
      <c r="D3924" s="92" t="s">
        <v>428</v>
      </c>
      <c r="E3924" s="92" t="s">
        <v>428</v>
      </c>
      <c r="F3924" t="s">
        <v>428</v>
      </c>
      <c r="G3924" t="s">
        <v>428</v>
      </c>
      <c r="H3924" t="s">
        <v>5615</v>
      </c>
      <c r="I3924">
        <v>0</v>
      </c>
      <c r="J3924" t="s">
        <v>87</v>
      </c>
      <c r="K3924">
        <v>0</v>
      </c>
      <c r="L3924">
        <v>0</v>
      </c>
    </row>
    <row r="3925" spans="1:12">
      <c r="A3925" s="93">
        <v>420495</v>
      </c>
      <c r="B3925" t="s">
        <v>4406</v>
      </c>
      <c r="C3925" t="s">
        <v>5606</v>
      </c>
      <c r="D3925" s="92" t="s">
        <v>428</v>
      </c>
      <c r="E3925" s="92" t="s">
        <v>428</v>
      </c>
      <c r="F3925" t="s">
        <v>428</v>
      </c>
      <c r="G3925" t="s">
        <v>428</v>
      </c>
      <c r="H3925" t="s">
        <v>5617</v>
      </c>
      <c r="I3925">
        <v>0</v>
      </c>
      <c r="J3925" t="s">
        <v>87</v>
      </c>
      <c r="K3925">
        <v>0</v>
      </c>
      <c r="L3925">
        <v>0</v>
      </c>
    </row>
    <row r="3926" spans="1:12">
      <c r="A3926" s="93">
        <v>420538</v>
      </c>
      <c r="B3926" t="s">
        <v>4407</v>
      </c>
      <c r="C3926" t="s">
        <v>5606</v>
      </c>
      <c r="D3926" s="92">
        <v>0.51</v>
      </c>
      <c r="E3926" s="92">
        <v>0.27</v>
      </c>
      <c r="F3926" t="s">
        <v>428</v>
      </c>
      <c r="G3926" t="s">
        <v>428</v>
      </c>
      <c r="H3926" t="s">
        <v>5615</v>
      </c>
      <c r="I3926">
        <v>0</v>
      </c>
      <c r="J3926" t="s">
        <v>87</v>
      </c>
      <c r="K3926">
        <v>0</v>
      </c>
      <c r="L3926">
        <v>0</v>
      </c>
    </row>
    <row r="3927" spans="1:12">
      <c r="A3927" s="93">
        <v>420556</v>
      </c>
      <c r="B3927" t="s">
        <v>4408</v>
      </c>
      <c r="C3927" t="s">
        <v>5606</v>
      </c>
      <c r="D3927" s="92" t="s">
        <v>428</v>
      </c>
      <c r="E3927" s="92" t="s">
        <v>428</v>
      </c>
      <c r="F3927" t="s">
        <v>428</v>
      </c>
      <c r="G3927" t="s">
        <v>428</v>
      </c>
      <c r="H3927" t="s">
        <v>5615</v>
      </c>
      <c r="I3927">
        <v>0</v>
      </c>
      <c r="J3927" t="s">
        <v>87</v>
      </c>
      <c r="K3927">
        <v>0</v>
      </c>
      <c r="L3927">
        <v>0</v>
      </c>
    </row>
    <row r="3928" spans="1:12">
      <c r="A3928" s="93">
        <v>420574</v>
      </c>
      <c r="B3928" t="s">
        <v>4409</v>
      </c>
      <c r="C3928" t="s">
        <v>5603</v>
      </c>
      <c r="D3928" s="92">
        <v>0.6</v>
      </c>
      <c r="E3928" s="92">
        <v>0.52</v>
      </c>
      <c r="F3928">
        <v>22</v>
      </c>
      <c r="G3928">
        <v>25</v>
      </c>
      <c r="H3928" t="s">
        <v>5615</v>
      </c>
      <c r="I3928">
        <v>0</v>
      </c>
      <c r="J3928" t="s">
        <v>87</v>
      </c>
      <c r="K3928">
        <v>0</v>
      </c>
      <c r="L3928">
        <v>0</v>
      </c>
    </row>
    <row r="3929" spans="1:12">
      <c r="A3929" s="93">
        <v>420705</v>
      </c>
      <c r="B3929" t="s">
        <v>4410</v>
      </c>
      <c r="C3929" t="s">
        <v>5607</v>
      </c>
      <c r="D3929" s="92" t="s">
        <v>428</v>
      </c>
      <c r="E3929" s="92" t="s">
        <v>428</v>
      </c>
      <c r="F3929" t="s">
        <v>428</v>
      </c>
      <c r="G3929" t="s">
        <v>428</v>
      </c>
      <c r="H3929" t="s">
        <v>5615</v>
      </c>
      <c r="I3929">
        <v>0</v>
      </c>
      <c r="J3929" t="s">
        <v>87</v>
      </c>
      <c r="K3929">
        <v>0</v>
      </c>
      <c r="L3929">
        <v>0</v>
      </c>
    </row>
    <row r="3930" spans="1:12">
      <c r="A3930" s="93">
        <v>420723</v>
      </c>
      <c r="B3930" t="s">
        <v>4411</v>
      </c>
      <c r="C3930" t="s">
        <v>5606</v>
      </c>
      <c r="D3930" s="92">
        <v>0.36</v>
      </c>
      <c r="E3930" s="92">
        <v>0.42</v>
      </c>
      <c r="F3930" t="s">
        <v>428</v>
      </c>
      <c r="G3930" t="s">
        <v>428</v>
      </c>
      <c r="H3930" t="s">
        <v>5615</v>
      </c>
      <c r="I3930">
        <v>0</v>
      </c>
      <c r="J3930" t="s">
        <v>87</v>
      </c>
      <c r="K3930">
        <v>0</v>
      </c>
      <c r="L3930">
        <v>0</v>
      </c>
    </row>
    <row r="3931" spans="1:12">
      <c r="A3931" s="93">
        <v>420866</v>
      </c>
      <c r="B3931" t="s">
        <v>4412</v>
      </c>
      <c r="C3931" t="s">
        <v>5604</v>
      </c>
      <c r="D3931" s="92">
        <v>0.17</v>
      </c>
      <c r="E3931" s="92">
        <v>0</v>
      </c>
      <c r="F3931" t="s">
        <v>428</v>
      </c>
      <c r="G3931" t="s">
        <v>428</v>
      </c>
      <c r="H3931" t="s">
        <v>5617</v>
      </c>
      <c r="I3931">
        <v>0</v>
      </c>
      <c r="J3931" t="s">
        <v>87</v>
      </c>
      <c r="K3931">
        <v>0</v>
      </c>
      <c r="L3931">
        <v>1</v>
      </c>
    </row>
    <row r="3932" spans="1:12">
      <c r="A3932" s="93">
        <v>421513</v>
      </c>
      <c r="B3932" t="s">
        <v>4413</v>
      </c>
      <c r="C3932" t="s">
        <v>5606</v>
      </c>
      <c r="D3932" s="92" t="s">
        <v>428</v>
      </c>
      <c r="E3932" s="92" t="s">
        <v>428</v>
      </c>
      <c r="F3932" t="s">
        <v>428</v>
      </c>
      <c r="G3932" t="s">
        <v>428</v>
      </c>
      <c r="H3932" t="s">
        <v>5617</v>
      </c>
      <c r="I3932">
        <v>0</v>
      </c>
      <c r="J3932" t="s">
        <v>87</v>
      </c>
      <c r="K3932">
        <v>0</v>
      </c>
      <c r="L3932">
        <v>0</v>
      </c>
    </row>
    <row r="3933" spans="1:12">
      <c r="A3933" s="93">
        <v>421708</v>
      </c>
      <c r="B3933" t="s">
        <v>4414</v>
      </c>
      <c r="C3933" t="s">
        <v>5606</v>
      </c>
      <c r="D3933" s="92">
        <v>0.44</v>
      </c>
      <c r="E3933" s="92">
        <v>0.43</v>
      </c>
      <c r="F3933" t="s">
        <v>428</v>
      </c>
      <c r="G3933" t="s">
        <v>428</v>
      </c>
      <c r="H3933" t="s">
        <v>5617</v>
      </c>
      <c r="I3933">
        <v>0</v>
      </c>
      <c r="J3933" t="s">
        <v>87</v>
      </c>
      <c r="K3933">
        <v>0</v>
      </c>
      <c r="L3933">
        <v>0</v>
      </c>
    </row>
    <row r="3934" spans="1:12">
      <c r="A3934" s="93">
        <v>421832</v>
      </c>
      <c r="B3934" t="s">
        <v>4415</v>
      </c>
      <c r="C3934" t="s">
        <v>5607</v>
      </c>
      <c r="D3934" s="92">
        <v>0.57</v>
      </c>
      <c r="E3934" s="92">
        <v>0.6</v>
      </c>
      <c r="F3934" t="s">
        <v>428</v>
      </c>
      <c r="G3934" t="s">
        <v>428</v>
      </c>
      <c r="H3934" t="s">
        <v>5617</v>
      </c>
      <c r="I3934">
        <v>0</v>
      </c>
      <c r="J3934" t="s">
        <v>87</v>
      </c>
      <c r="K3934">
        <v>0</v>
      </c>
      <c r="L3934">
        <v>0</v>
      </c>
    </row>
    <row r="3935" spans="1:12">
      <c r="A3935" s="93">
        <v>421841</v>
      </c>
      <c r="B3935" t="s">
        <v>4416</v>
      </c>
      <c r="C3935" t="s">
        <v>5606</v>
      </c>
      <c r="D3935" s="92" t="s">
        <v>428</v>
      </c>
      <c r="E3935" s="92" t="s">
        <v>428</v>
      </c>
      <c r="F3935" t="s">
        <v>428</v>
      </c>
      <c r="G3935" t="s">
        <v>428</v>
      </c>
      <c r="H3935" t="s">
        <v>5617</v>
      </c>
      <c r="I3935">
        <v>0</v>
      </c>
      <c r="J3935" t="s">
        <v>87</v>
      </c>
      <c r="K3935">
        <v>0</v>
      </c>
      <c r="L3935">
        <v>0</v>
      </c>
    </row>
    <row r="3936" spans="1:12">
      <c r="A3936" s="93">
        <v>421878</v>
      </c>
      <c r="B3936" t="s">
        <v>4417</v>
      </c>
      <c r="C3936" t="s">
        <v>5604</v>
      </c>
      <c r="D3936" s="92" t="s">
        <v>428</v>
      </c>
      <c r="E3936" s="92" t="s">
        <v>428</v>
      </c>
      <c r="F3936" t="s">
        <v>428</v>
      </c>
      <c r="G3936" t="s">
        <v>428</v>
      </c>
      <c r="H3936" t="s">
        <v>5617</v>
      </c>
      <c r="I3936">
        <v>0</v>
      </c>
      <c r="J3936" t="s">
        <v>87</v>
      </c>
      <c r="K3936">
        <v>0</v>
      </c>
      <c r="L3936">
        <v>0</v>
      </c>
    </row>
    <row r="3937" spans="1:12">
      <c r="A3937" s="93">
        <v>422695</v>
      </c>
      <c r="B3937" t="s">
        <v>4418</v>
      </c>
      <c r="C3937" t="s">
        <v>5604</v>
      </c>
      <c r="D3937" s="92" t="s">
        <v>428</v>
      </c>
      <c r="E3937" s="92" t="s">
        <v>428</v>
      </c>
      <c r="F3937" t="s">
        <v>428</v>
      </c>
      <c r="G3937" t="s">
        <v>428</v>
      </c>
      <c r="H3937" t="s">
        <v>5613</v>
      </c>
      <c r="I3937">
        <v>1</v>
      </c>
      <c r="J3937" t="s">
        <v>87</v>
      </c>
      <c r="K3937">
        <v>0</v>
      </c>
      <c r="L3937">
        <v>0</v>
      </c>
    </row>
    <row r="3938" spans="1:12">
      <c r="A3938" s="93">
        <v>422835</v>
      </c>
      <c r="B3938" t="s">
        <v>4419</v>
      </c>
      <c r="C3938" t="s">
        <v>5606</v>
      </c>
      <c r="D3938" s="92" t="s">
        <v>428</v>
      </c>
      <c r="E3938" s="92" t="s">
        <v>428</v>
      </c>
      <c r="F3938" t="s">
        <v>428</v>
      </c>
      <c r="G3938" t="s">
        <v>428</v>
      </c>
      <c r="H3938" t="s">
        <v>5616</v>
      </c>
      <c r="I3938">
        <v>0</v>
      </c>
      <c r="J3938" t="s">
        <v>87</v>
      </c>
      <c r="K3938">
        <v>0</v>
      </c>
      <c r="L3938">
        <v>0</v>
      </c>
    </row>
    <row r="3939" spans="1:12">
      <c r="A3939" s="93">
        <v>423643</v>
      </c>
      <c r="B3939" t="s">
        <v>4420</v>
      </c>
      <c r="C3939" t="s">
        <v>5607</v>
      </c>
      <c r="D3939" s="92" t="s">
        <v>428</v>
      </c>
      <c r="E3939" s="92" t="s">
        <v>428</v>
      </c>
      <c r="F3939" t="s">
        <v>428</v>
      </c>
      <c r="G3939" t="s">
        <v>428</v>
      </c>
      <c r="H3939" t="s">
        <v>5615</v>
      </c>
      <c r="I3939">
        <v>0</v>
      </c>
      <c r="J3939" t="s">
        <v>87</v>
      </c>
      <c r="K3939">
        <v>0</v>
      </c>
      <c r="L3939">
        <v>0</v>
      </c>
    </row>
    <row r="3940" spans="1:12">
      <c r="A3940" s="93">
        <v>423652</v>
      </c>
      <c r="B3940" t="s">
        <v>4421</v>
      </c>
      <c r="C3940" t="s">
        <v>5606</v>
      </c>
      <c r="D3940" s="92">
        <v>0.29</v>
      </c>
      <c r="E3940" s="92">
        <v>0.23</v>
      </c>
      <c r="F3940" t="s">
        <v>428</v>
      </c>
      <c r="G3940" t="s">
        <v>428</v>
      </c>
      <c r="H3940" t="s">
        <v>5615</v>
      </c>
      <c r="I3940">
        <v>0</v>
      </c>
      <c r="J3940" t="s">
        <v>87</v>
      </c>
      <c r="K3940">
        <v>0</v>
      </c>
      <c r="L3940">
        <v>0</v>
      </c>
    </row>
    <row r="3941" spans="1:12">
      <c r="A3941" s="93">
        <v>423980</v>
      </c>
      <c r="B3941" t="s">
        <v>4422</v>
      </c>
      <c r="C3941" t="s">
        <v>5606</v>
      </c>
      <c r="D3941" s="92" t="s">
        <v>428</v>
      </c>
      <c r="E3941" s="92" t="s">
        <v>428</v>
      </c>
      <c r="F3941" t="s">
        <v>428</v>
      </c>
      <c r="G3941" t="s">
        <v>428</v>
      </c>
      <c r="H3941" t="s">
        <v>5616</v>
      </c>
      <c r="I3941">
        <v>0</v>
      </c>
      <c r="J3941" t="s">
        <v>87</v>
      </c>
      <c r="K3941">
        <v>0</v>
      </c>
      <c r="L3941">
        <v>0</v>
      </c>
    </row>
    <row r="3942" spans="1:12">
      <c r="A3942" s="93">
        <v>425250</v>
      </c>
      <c r="B3942" t="s">
        <v>4423</v>
      </c>
      <c r="C3942" t="s">
        <v>5606</v>
      </c>
      <c r="D3942" s="92">
        <v>0.73</v>
      </c>
      <c r="E3942" s="92">
        <v>0.68</v>
      </c>
      <c r="F3942" t="s">
        <v>428</v>
      </c>
      <c r="G3942" t="s">
        <v>428</v>
      </c>
      <c r="H3942" t="s">
        <v>5616</v>
      </c>
      <c r="I3942">
        <v>0</v>
      </c>
      <c r="J3942" t="s">
        <v>87</v>
      </c>
      <c r="K3942">
        <v>0</v>
      </c>
      <c r="L3942">
        <v>0</v>
      </c>
    </row>
    <row r="3943" spans="1:12">
      <c r="A3943" s="93">
        <v>426314</v>
      </c>
      <c r="B3943" t="s">
        <v>4424</v>
      </c>
      <c r="C3943" t="s">
        <v>5607</v>
      </c>
      <c r="D3943" s="92">
        <v>0.25</v>
      </c>
      <c r="E3943" s="92">
        <v>0.22</v>
      </c>
      <c r="F3943" t="s">
        <v>428</v>
      </c>
      <c r="G3943" t="s">
        <v>428</v>
      </c>
      <c r="H3943" t="s">
        <v>5617</v>
      </c>
      <c r="I3943">
        <v>0</v>
      </c>
      <c r="J3943" t="s">
        <v>87</v>
      </c>
      <c r="K3943">
        <v>0</v>
      </c>
      <c r="L3943">
        <v>0</v>
      </c>
    </row>
    <row r="3944" spans="1:12">
      <c r="A3944" s="93">
        <v>427308</v>
      </c>
      <c r="B3944" t="s">
        <v>4425</v>
      </c>
      <c r="C3944" t="s">
        <v>5606</v>
      </c>
      <c r="D3944" s="92" t="s">
        <v>428</v>
      </c>
      <c r="E3944" s="92" t="s">
        <v>428</v>
      </c>
      <c r="F3944" t="s">
        <v>428</v>
      </c>
      <c r="G3944" t="s">
        <v>428</v>
      </c>
      <c r="H3944" t="s">
        <v>5616</v>
      </c>
      <c r="I3944">
        <v>0</v>
      </c>
      <c r="J3944" t="s">
        <v>87</v>
      </c>
      <c r="K3944">
        <v>0</v>
      </c>
      <c r="L3944">
        <v>0</v>
      </c>
    </row>
    <row r="3945" spans="1:12">
      <c r="A3945" s="93">
        <v>427663</v>
      </c>
      <c r="B3945" t="s">
        <v>4426</v>
      </c>
      <c r="C3945" t="s">
        <v>5607</v>
      </c>
      <c r="D3945" s="92" t="s">
        <v>428</v>
      </c>
      <c r="E3945" s="92" t="s">
        <v>428</v>
      </c>
      <c r="F3945" t="s">
        <v>428</v>
      </c>
      <c r="G3945" t="s">
        <v>428</v>
      </c>
      <c r="H3945" t="s">
        <v>5617</v>
      </c>
      <c r="I3945">
        <v>0</v>
      </c>
      <c r="J3945" t="s">
        <v>87</v>
      </c>
      <c r="K3945">
        <v>0</v>
      </c>
      <c r="L3945">
        <v>0</v>
      </c>
    </row>
    <row r="3946" spans="1:12">
      <c r="A3946" s="93">
        <v>427973</v>
      </c>
      <c r="B3946" t="s">
        <v>4427</v>
      </c>
      <c r="C3946" t="s">
        <v>5606</v>
      </c>
      <c r="D3946" s="92">
        <v>0.65</v>
      </c>
      <c r="E3946" s="92">
        <v>0.52</v>
      </c>
      <c r="F3946" t="s">
        <v>428</v>
      </c>
      <c r="G3946" t="s">
        <v>428</v>
      </c>
      <c r="H3946" t="s">
        <v>5617</v>
      </c>
      <c r="I3946">
        <v>0</v>
      </c>
      <c r="J3946" t="s">
        <v>87</v>
      </c>
      <c r="K3946">
        <v>0</v>
      </c>
      <c r="L3946">
        <v>0</v>
      </c>
    </row>
    <row r="3947" spans="1:12">
      <c r="A3947" s="93">
        <v>427982</v>
      </c>
      <c r="B3947" t="s">
        <v>4428</v>
      </c>
      <c r="C3947" t="s">
        <v>5606</v>
      </c>
      <c r="D3947" s="92" t="s">
        <v>428</v>
      </c>
      <c r="E3947" s="92" t="s">
        <v>428</v>
      </c>
      <c r="F3947" t="s">
        <v>428</v>
      </c>
      <c r="G3947" t="s">
        <v>428</v>
      </c>
      <c r="H3947" t="s">
        <v>5617</v>
      </c>
      <c r="I3947">
        <v>0</v>
      </c>
      <c r="J3947" t="s">
        <v>87</v>
      </c>
      <c r="K3947">
        <v>0</v>
      </c>
      <c r="L3947">
        <v>0</v>
      </c>
    </row>
    <row r="3948" spans="1:12">
      <c r="A3948" s="93">
        <v>427991</v>
      </c>
      <c r="B3948" t="s">
        <v>4429</v>
      </c>
      <c r="C3948" t="s">
        <v>5606</v>
      </c>
      <c r="D3948" s="92" t="s">
        <v>428</v>
      </c>
      <c r="E3948" s="92" t="s">
        <v>428</v>
      </c>
      <c r="F3948" t="s">
        <v>428</v>
      </c>
      <c r="G3948" t="s">
        <v>428</v>
      </c>
      <c r="H3948" t="s">
        <v>5615</v>
      </c>
      <c r="I3948">
        <v>0</v>
      </c>
      <c r="J3948" t="s">
        <v>87</v>
      </c>
      <c r="K3948">
        <v>0</v>
      </c>
      <c r="L3948">
        <v>0</v>
      </c>
    </row>
    <row r="3949" spans="1:12">
      <c r="A3949" s="93">
        <v>428000</v>
      </c>
      <c r="B3949" t="s">
        <v>4430</v>
      </c>
      <c r="C3949" t="s">
        <v>5606</v>
      </c>
      <c r="D3949" s="92" t="s">
        <v>428</v>
      </c>
      <c r="E3949" s="92" t="s">
        <v>428</v>
      </c>
      <c r="F3949" t="s">
        <v>428</v>
      </c>
      <c r="G3949" t="s">
        <v>428</v>
      </c>
      <c r="H3949" t="s">
        <v>5615</v>
      </c>
      <c r="I3949">
        <v>0</v>
      </c>
      <c r="J3949" t="s">
        <v>87</v>
      </c>
      <c r="K3949">
        <v>0</v>
      </c>
      <c r="L3949">
        <v>0</v>
      </c>
    </row>
    <row r="3950" spans="1:12">
      <c r="A3950" s="93">
        <v>428055</v>
      </c>
      <c r="B3950" t="s">
        <v>4431</v>
      </c>
      <c r="C3950" t="s">
        <v>5606</v>
      </c>
      <c r="D3950" s="92" t="s">
        <v>428</v>
      </c>
      <c r="E3950" s="92" t="s">
        <v>428</v>
      </c>
      <c r="F3950" t="s">
        <v>428</v>
      </c>
      <c r="G3950" t="s">
        <v>428</v>
      </c>
      <c r="H3950" t="s">
        <v>5614</v>
      </c>
      <c r="I3950">
        <v>1</v>
      </c>
      <c r="J3950" t="s">
        <v>87</v>
      </c>
      <c r="K3950">
        <v>0</v>
      </c>
      <c r="L3950">
        <v>0</v>
      </c>
    </row>
    <row r="3951" spans="1:12">
      <c r="A3951" s="93">
        <v>428143</v>
      </c>
      <c r="B3951" t="s">
        <v>4432</v>
      </c>
      <c r="C3951" t="s">
        <v>5606</v>
      </c>
      <c r="D3951" s="92" t="s">
        <v>428</v>
      </c>
      <c r="E3951" s="92" t="s">
        <v>428</v>
      </c>
      <c r="F3951" t="s">
        <v>428</v>
      </c>
      <c r="G3951" t="s">
        <v>428</v>
      </c>
      <c r="H3951" t="s">
        <v>5617</v>
      </c>
      <c r="I3951">
        <v>0</v>
      </c>
      <c r="J3951" t="s">
        <v>87</v>
      </c>
      <c r="K3951">
        <v>0</v>
      </c>
      <c r="L3951">
        <v>0</v>
      </c>
    </row>
    <row r="3952" spans="1:12">
      <c r="A3952" s="93">
        <v>428170</v>
      </c>
      <c r="B3952" t="s">
        <v>4433</v>
      </c>
      <c r="C3952" t="s">
        <v>5606</v>
      </c>
      <c r="D3952" s="92" t="s">
        <v>428</v>
      </c>
      <c r="E3952" s="92" t="s">
        <v>428</v>
      </c>
      <c r="F3952" t="s">
        <v>428</v>
      </c>
      <c r="G3952" t="s">
        <v>428</v>
      </c>
      <c r="H3952" t="s">
        <v>5617</v>
      </c>
      <c r="I3952">
        <v>0</v>
      </c>
      <c r="J3952" t="s">
        <v>87</v>
      </c>
      <c r="K3952">
        <v>0</v>
      </c>
      <c r="L3952">
        <v>0</v>
      </c>
    </row>
    <row r="3953" spans="1:12">
      <c r="A3953" s="93">
        <v>428259</v>
      </c>
      <c r="B3953" t="s">
        <v>4434</v>
      </c>
      <c r="C3953" t="s">
        <v>5604</v>
      </c>
      <c r="D3953" s="92" t="s">
        <v>428</v>
      </c>
      <c r="E3953" s="92" t="s">
        <v>428</v>
      </c>
      <c r="F3953" t="s">
        <v>428</v>
      </c>
      <c r="G3953" t="s">
        <v>428</v>
      </c>
      <c r="H3953" t="s">
        <v>5615</v>
      </c>
      <c r="I3953">
        <v>0</v>
      </c>
      <c r="J3953" t="s">
        <v>87</v>
      </c>
      <c r="K3953">
        <v>0</v>
      </c>
      <c r="L3953">
        <v>0</v>
      </c>
    </row>
    <row r="3954" spans="1:12">
      <c r="A3954" s="93">
        <v>428268</v>
      </c>
      <c r="B3954" t="s">
        <v>4435</v>
      </c>
      <c r="C3954" t="s">
        <v>5604</v>
      </c>
      <c r="D3954" s="92">
        <v>1</v>
      </c>
      <c r="E3954" s="92">
        <v>1</v>
      </c>
      <c r="F3954" t="s">
        <v>428</v>
      </c>
      <c r="G3954" t="s">
        <v>428</v>
      </c>
      <c r="H3954" t="s">
        <v>5617</v>
      </c>
      <c r="I3954">
        <v>0</v>
      </c>
      <c r="J3954" t="s">
        <v>87</v>
      </c>
      <c r="K3954">
        <v>0</v>
      </c>
      <c r="L3954">
        <v>0</v>
      </c>
    </row>
    <row r="3955" spans="1:12">
      <c r="A3955" s="93">
        <v>428286</v>
      </c>
      <c r="B3955" t="s">
        <v>4436</v>
      </c>
      <c r="C3955" t="s">
        <v>5604</v>
      </c>
      <c r="D3955" s="92">
        <v>0.45</v>
      </c>
      <c r="E3955" s="92">
        <v>0.37</v>
      </c>
      <c r="F3955" t="s">
        <v>428</v>
      </c>
      <c r="G3955" t="s">
        <v>428</v>
      </c>
      <c r="H3955" t="s">
        <v>5617</v>
      </c>
      <c r="I3955">
        <v>0</v>
      </c>
      <c r="J3955" t="s">
        <v>87</v>
      </c>
      <c r="K3955">
        <v>0</v>
      </c>
      <c r="L3955">
        <v>1</v>
      </c>
    </row>
    <row r="3956" spans="1:12">
      <c r="A3956" s="93">
        <v>428392</v>
      </c>
      <c r="B3956" t="s">
        <v>4437</v>
      </c>
      <c r="C3956" t="s">
        <v>5606</v>
      </c>
      <c r="D3956" s="92">
        <v>0.3</v>
      </c>
      <c r="E3956" s="92">
        <v>0.29</v>
      </c>
      <c r="F3956" t="s">
        <v>428</v>
      </c>
      <c r="G3956" t="s">
        <v>428</v>
      </c>
      <c r="H3956" t="s">
        <v>5615</v>
      </c>
      <c r="I3956">
        <v>0</v>
      </c>
      <c r="J3956" t="s">
        <v>87</v>
      </c>
      <c r="K3956">
        <v>0</v>
      </c>
      <c r="L3956">
        <v>0</v>
      </c>
    </row>
    <row r="3957" spans="1:12">
      <c r="A3957" s="93">
        <v>428444</v>
      </c>
      <c r="B3957" t="s">
        <v>4438</v>
      </c>
      <c r="C3957" t="s">
        <v>5604</v>
      </c>
      <c r="D3957" s="92">
        <v>0.32</v>
      </c>
      <c r="E3957" s="92">
        <v>0.49</v>
      </c>
      <c r="F3957" t="s">
        <v>428</v>
      </c>
      <c r="G3957" t="s">
        <v>428</v>
      </c>
      <c r="H3957" t="s">
        <v>5617</v>
      </c>
      <c r="I3957">
        <v>0</v>
      </c>
      <c r="J3957" t="s">
        <v>87</v>
      </c>
      <c r="K3957">
        <v>0</v>
      </c>
      <c r="L3957">
        <v>0</v>
      </c>
    </row>
    <row r="3958" spans="1:12">
      <c r="A3958" s="93">
        <v>429085</v>
      </c>
      <c r="B3958" t="s">
        <v>4439</v>
      </c>
      <c r="C3958" t="s">
        <v>5607</v>
      </c>
      <c r="D3958" s="92" t="s">
        <v>428</v>
      </c>
      <c r="E3958" s="92" t="s">
        <v>428</v>
      </c>
      <c r="F3958" t="s">
        <v>428</v>
      </c>
      <c r="G3958" t="s">
        <v>428</v>
      </c>
      <c r="H3958" t="s">
        <v>5615</v>
      </c>
      <c r="I3958">
        <v>0</v>
      </c>
      <c r="J3958" t="s">
        <v>87</v>
      </c>
      <c r="K3958">
        <v>0</v>
      </c>
      <c r="L3958">
        <v>0</v>
      </c>
    </row>
    <row r="3959" spans="1:12">
      <c r="A3959" s="93">
        <v>429094</v>
      </c>
      <c r="B3959" t="s">
        <v>4440</v>
      </c>
      <c r="C3959" t="s">
        <v>5607</v>
      </c>
      <c r="D3959" s="92" t="s">
        <v>428</v>
      </c>
      <c r="E3959" s="92" t="s">
        <v>428</v>
      </c>
      <c r="F3959" t="s">
        <v>428</v>
      </c>
      <c r="G3959" t="s">
        <v>428</v>
      </c>
      <c r="H3959" t="s">
        <v>5615</v>
      </c>
      <c r="I3959">
        <v>0</v>
      </c>
      <c r="J3959" t="s">
        <v>87</v>
      </c>
      <c r="K3959">
        <v>0</v>
      </c>
      <c r="L3959">
        <v>0</v>
      </c>
    </row>
    <row r="3960" spans="1:12">
      <c r="A3960" s="93">
        <v>429128</v>
      </c>
      <c r="B3960" t="s">
        <v>4441</v>
      </c>
      <c r="C3960" t="s">
        <v>5606</v>
      </c>
      <c r="D3960" s="92" t="s">
        <v>428</v>
      </c>
      <c r="E3960" s="92" t="s">
        <v>428</v>
      </c>
      <c r="F3960" t="s">
        <v>428</v>
      </c>
      <c r="G3960" t="s">
        <v>428</v>
      </c>
      <c r="H3960" t="s">
        <v>5616</v>
      </c>
      <c r="I3960">
        <v>0</v>
      </c>
      <c r="J3960" t="s">
        <v>87</v>
      </c>
      <c r="K3960">
        <v>0</v>
      </c>
      <c r="L3960">
        <v>0</v>
      </c>
    </row>
    <row r="3961" spans="1:12">
      <c r="A3961" s="93">
        <v>429599</v>
      </c>
      <c r="B3961" t="s">
        <v>4442</v>
      </c>
      <c r="C3961" t="s">
        <v>5607</v>
      </c>
      <c r="D3961" s="92" t="s">
        <v>428</v>
      </c>
      <c r="E3961" s="92" t="s">
        <v>428</v>
      </c>
      <c r="F3961" t="s">
        <v>428</v>
      </c>
      <c r="G3961" t="s">
        <v>428</v>
      </c>
      <c r="H3961" t="s">
        <v>5617</v>
      </c>
      <c r="I3961">
        <v>0</v>
      </c>
      <c r="J3961" t="s">
        <v>87</v>
      </c>
      <c r="K3961">
        <v>0</v>
      </c>
      <c r="L3961">
        <v>0</v>
      </c>
    </row>
    <row r="3962" spans="1:12">
      <c r="A3962" s="93">
        <v>430157</v>
      </c>
      <c r="B3962" t="s">
        <v>4443</v>
      </c>
      <c r="C3962" t="s">
        <v>5606</v>
      </c>
      <c r="D3962" s="92" t="s">
        <v>428</v>
      </c>
      <c r="E3962" s="92" t="s">
        <v>428</v>
      </c>
      <c r="F3962" t="s">
        <v>428</v>
      </c>
      <c r="G3962" t="s">
        <v>428</v>
      </c>
      <c r="H3962" t="s">
        <v>5617</v>
      </c>
      <c r="I3962">
        <v>0</v>
      </c>
      <c r="J3962" t="s">
        <v>87</v>
      </c>
      <c r="K3962">
        <v>0</v>
      </c>
      <c r="L3962">
        <v>0</v>
      </c>
    </row>
    <row r="3963" spans="1:12">
      <c r="A3963" s="93">
        <v>430166</v>
      </c>
      <c r="B3963" t="s">
        <v>4444</v>
      </c>
      <c r="C3963" t="s">
        <v>5606</v>
      </c>
      <c r="D3963" s="92" t="s">
        <v>428</v>
      </c>
      <c r="E3963" s="92" t="s">
        <v>428</v>
      </c>
      <c r="F3963" t="s">
        <v>428</v>
      </c>
      <c r="G3963" t="s">
        <v>428</v>
      </c>
      <c r="H3963" t="s">
        <v>5617</v>
      </c>
      <c r="I3963">
        <v>0</v>
      </c>
      <c r="J3963" t="s">
        <v>87</v>
      </c>
      <c r="K3963">
        <v>0</v>
      </c>
      <c r="L3963">
        <v>0</v>
      </c>
    </row>
    <row r="3964" spans="1:12">
      <c r="A3964" s="93">
        <v>430184</v>
      </c>
      <c r="B3964" t="s">
        <v>4445</v>
      </c>
      <c r="C3964" t="s">
        <v>5604</v>
      </c>
      <c r="D3964" s="92">
        <v>0.14</v>
      </c>
      <c r="E3964" s="92">
        <v>0</v>
      </c>
      <c r="F3964" t="s">
        <v>428</v>
      </c>
      <c r="G3964" t="s">
        <v>428</v>
      </c>
      <c r="H3964" t="s">
        <v>5617</v>
      </c>
      <c r="I3964">
        <v>0</v>
      </c>
      <c r="J3964" t="s">
        <v>87</v>
      </c>
      <c r="K3964">
        <v>0</v>
      </c>
      <c r="L3964">
        <v>0</v>
      </c>
    </row>
    <row r="3965" spans="1:12">
      <c r="A3965" s="93">
        <v>430263</v>
      </c>
      <c r="B3965" t="s">
        <v>4446</v>
      </c>
      <c r="C3965" t="s">
        <v>5607</v>
      </c>
      <c r="D3965" s="92">
        <v>1</v>
      </c>
      <c r="E3965" s="92">
        <v>1</v>
      </c>
      <c r="F3965" t="s">
        <v>428</v>
      </c>
      <c r="G3965" t="s">
        <v>428</v>
      </c>
      <c r="H3965" t="s">
        <v>5617</v>
      </c>
      <c r="I3965">
        <v>0</v>
      </c>
      <c r="J3965" t="s">
        <v>87</v>
      </c>
      <c r="K3965">
        <v>0</v>
      </c>
      <c r="L3965">
        <v>0</v>
      </c>
    </row>
    <row r="3966" spans="1:12">
      <c r="A3966" s="93">
        <v>430351</v>
      </c>
      <c r="B3966" t="s">
        <v>4447</v>
      </c>
      <c r="C3966" t="s">
        <v>5606</v>
      </c>
      <c r="D3966" s="92" t="s">
        <v>428</v>
      </c>
      <c r="E3966" s="92" t="s">
        <v>428</v>
      </c>
      <c r="F3966" t="s">
        <v>428</v>
      </c>
      <c r="G3966" t="s">
        <v>428</v>
      </c>
      <c r="H3966" t="s">
        <v>5617</v>
      </c>
      <c r="I3966">
        <v>0</v>
      </c>
      <c r="J3966" t="s">
        <v>87</v>
      </c>
      <c r="K3966">
        <v>0</v>
      </c>
      <c r="L3966">
        <v>0</v>
      </c>
    </row>
    <row r="3967" spans="1:12">
      <c r="A3967" s="93">
        <v>430360</v>
      </c>
      <c r="B3967" t="s">
        <v>4448</v>
      </c>
      <c r="C3967" t="s">
        <v>5606</v>
      </c>
      <c r="D3967" s="92" t="s">
        <v>428</v>
      </c>
      <c r="E3967" s="92" t="s">
        <v>428</v>
      </c>
      <c r="F3967" t="s">
        <v>428</v>
      </c>
      <c r="G3967" t="s">
        <v>428</v>
      </c>
      <c r="H3967" t="s">
        <v>5617</v>
      </c>
      <c r="I3967">
        <v>0</v>
      </c>
      <c r="J3967" t="s">
        <v>87</v>
      </c>
      <c r="K3967">
        <v>0</v>
      </c>
      <c r="L3967">
        <v>0</v>
      </c>
    </row>
    <row r="3968" spans="1:12">
      <c r="A3968" s="93">
        <v>430379</v>
      </c>
      <c r="B3968" t="s">
        <v>4171</v>
      </c>
      <c r="C3968" t="s">
        <v>5607</v>
      </c>
      <c r="D3968" s="92" t="s">
        <v>428</v>
      </c>
      <c r="E3968" s="92" t="s">
        <v>428</v>
      </c>
      <c r="F3968" t="s">
        <v>428</v>
      </c>
      <c r="G3968" t="s">
        <v>428</v>
      </c>
      <c r="H3968" t="s">
        <v>5617</v>
      </c>
      <c r="I3968">
        <v>0</v>
      </c>
      <c r="J3968" t="s">
        <v>87</v>
      </c>
      <c r="K3968">
        <v>0</v>
      </c>
      <c r="L3968">
        <v>0</v>
      </c>
    </row>
    <row r="3969" spans="1:12">
      <c r="A3969" s="93">
        <v>430388</v>
      </c>
      <c r="B3969" t="s">
        <v>4449</v>
      </c>
      <c r="C3969" t="s">
        <v>5607</v>
      </c>
      <c r="D3969" s="92" t="s">
        <v>428</v>
      </c>
      <c r="E3969" s="92" t="s">
        <v>428</v>
      </c>
      <c r="F3969" t="s">
        <v>428</v>
      </c>
      <c r="G3969" t="s">
        <v>428</v>
      </c>
      <c r="H3969" t="s">
        <v>5617</v>
      </c>
      <c r="I3969">
        <v>0</v>
      </c>
      <c r="J3969" t="s">
        <v>87</v>
      </c>
      <c r="K3969">
        <v>0</v>
      </c>
      <c r="L3969">
        <v>0</v>
      </c>
    </row>
    <row r="3970" spans="1:12">
      <c r="A3970" s="93">
        <v>430485</v>
      </c>
      <c r="B3970" t="s">
        <v>4450</v>
      </c>
      <c r="C3970" t="s">
        <v>5607</v>
      </c>
      <c r="D3970" s="92" t="s">
        <v>428</v>
      </c>
      <c r="E3970" s="92" t="s">
        <v>428</v>
      </c>
      <c r="F3970" t="s">
        <v>428</v>
      </c>
      <c r="G3970" t="s">
        <v>428</v>
      </c>
      <c r="H3970" t="s">
        <v>5617</v>
      </c>
      <c r="I3970">
        <v>0</v>
      </c>
      <c r="J3970" t="s">
        <v>87</v>
      </c>
      <c r="K3970">
        <v>0</v>
      </c>
      <c r="L3970">
        <v>0</v>
      </c>
    </row>
    <row r="3971" spans="1:12">
      <c r="A3971" s="93">
        <v>430670</v>
      </c>
      <c r="B3971" t="s">
        <v>4451</v>
      </c>
      <c r="C3971" t="s">
        <v>5607</v>
      </c>
      <c r="D3971" s="92" t="s">
        <v>428</v>
      </c>
      <c r="E3971" s="92" t="s">
        <v>428</v>
      </c>
      <c r="F3971" t="s">
        <v>428</v>
      </c>
      <c r="G3971" t="s">
        <v>428</v>
      </c>
      <c r="H3971" t="s">
        <v>5616</v>
      </c>
      <c r="I3971">
        <v>0</v>
      </c>
      <c r="J3971" t="s">
        <v>87</v>
      </c>
      <c r="K3971">
        <v>0</v>
      </c>
      <c r="L3971">
        <v>0</v>
      </c>
    </row>
    <row r="3972" spans="1:12">
      <c r="A3972" s="93">
        <v>430704</v>
      </c>
      <c r="B3972" t="s">
        <v>4452</v>
      </c>
      <c r="C3972" t="s">
        <v>5607</v>
      </c>
      <c r="D3972" s="92" t="s">
        <v>428</v>
      </c>
      <c r="E3972" s="92" t="s">
        <v>428</v>
      </c>
      <c r="F3972" t="s">
        <v>428</v>
      </c>
      <c r="G3972" t="s">
        <v>428</v>
      </c>
      <c r="H3972" t="s">
        <v>5615</v>
      </c>
      <c r="I3972">
        <v>0</v>
      </c>
      <c r="J3972" t="s">
        <v>87</v>
      </c>
      <c r="K3972">
        <v>0</v>
      </c>
      <c r="L3972">
        <v>0</v>
      </c>
    </row>
    <row r="3973" spans="1:12">
      <c r="A3973" s="93">
        <v>430795</v>
      </c>
      <c r="B3973" t="s">
        <v>4453</v>
      </c>
      <c r="C3973" t="s">
        <v>5606</v>
      </c>
      <c r="D3973" s="92" t="s">
        <v>428</v>
      </c>
      <c r="E3973" s="92" t="s">
        <v>428</v>
      </c>
      <c r="F3973" t="s">
        <v>428</v>
      </c>
      <c r="G3973" t="s">
        <v>428</v>
      </c>
      <c r="H3973" t="s">
        <v>5615</v>
      </c>
      <c r="I3973">
        <v>0</v>
      </c>
      <c r="J3973" t="s">
        <v>87</v>
      </c>
      <c r="K3973">
        <v>0</v>
      </c>
      <c r="L3973">
        <v>0</v>
      </c>
    </row>
    <row r="3974" spans="1:12">
      <c r="A3974" s="93">
        <v>430810</v>
      </c>
      <c r="B3974" t="s">
        <v>4454</v>
      </c>
      <c r="C3974" t="s">
        <v>5607</v>
      </c>
      <c r="D3974" s="92">
        <v>0.48</v>
      </c>
      <c r="E3974" s="92">
        <v>0.25</v>
      </c>
      <c r="F3974" t="s">
        <v>428</v>
      </c>
      <c r="G3974" t="s">
        <v>428</v>
      </c>
      <c r="H3974" t="s">
        <v>5617</v>
      </c>
      <c r="I3974">
        <v>0</v>
      </c>
      <c r="J3974" t="s">
        <v>87</v>
      </c>
      <c r="K3974">
        <v>0</v>
      </c>
      <c r="L3974">
        <v>0</v>
      </c>
    </row>
    <row r="3975" spans="1:12">
      <c r="A3975" s="93">
        <v>430935</v>
      </c>
      <c r="B3975" t="s">
        <v>4455</v>
      </c>
      <c r="C3975" t="s">
        <v>5606</v>
      </c>
      <c r="D3975" s="92">
        <v>0.44</v>
      </c>
      <c r="E3975" s="92">
        <v>0.44</v>
      </c>
      <c r="F3975" t="s">
        <v>428</v>
      </c>
      <c r="G3975" t="s">
        <v>428</v>
      </c>
      <c r="H3975" t="s">
        <v>5614</v>
      </c>
      <c r="I3975">
        <v>1</v>
      </c>
      <c r="J3975" t="s">
        <v>87</v>
      </c>
      <c r="K3975">
        <v>0</v>
      </c>
      <c r="L3975">
        <v>0</v>
      </c>
    </row>
    <row r="3976" spans="1:12">
      <c r="A3976" s="93">
        <v>431141</v>
      </c>
      <c r="B3976" t="s">
        <v>4456</v>
      </c>
      <c r="C3976" t="s">
        <v>5606</v>
      </c>
      <c r="D3976" s="92">
        <v>0.61</v>
      </c>
      <c r="E3976" s="92">
        <v>0.6</v>
      </c>
      <c r="F3976" t="s">
        <v>428</v>
      </c>
      <c r="G3976" t="s">
        <v>428</v>
      </c>
      <c r="H3976" t="s">
        <v>5617</v>
      </c>
      <c r="I3976">
        <v>0</v>
      </c>
      <c r="J3976" t="s">
        <v>87</v>
      </c>
      <c r="K3976">
        <v>0</v>
      </c>
      <c r="L3976">
        <v>0</v>
      </c>
    </row>
    <row r="3977" spans="1:12">
      <c r="A3977" s="93">
        <v>431594</v>
      </c>
      <c r="B3977" t="s">
        <v>4457</v>
      </c>
      <c r="C3977" t="s">
        <v>5607</v>
      </c>
      <c r="D3977" s="92" t="s">
        <v>428</v>
      </c>
      <c r="E3977" s="92" t="s">
        <v>428</v>
      </c>
      <c r="F3977" t="s">
        <v>428</v>
      </c>
      <c r="G3977" t="s">
        <v>428</v>
      </c>
      <c r="H3977" t="s">
        <v>5615</v>
      </c>
      <c r="I3977">
        <v>0</v>
      </c>
      <c r="J3977" t="s">
        <v>87</v>
      </c>
      <c r="K3977">
        <v>0</v>
      </c>
      <c r="L3977">
        <v>0</v>
      </c>
    </row>
    <row r="3978" spans="1:12">
      <c r="A3978" s="93">
        <v>431600</v>
      </c>
      <c r="B3978" t="s">
        <v>4458</v>
      </c>
      <c r="C3978" t="s">
        <v>5606</v>
      </c>
      <c r="D3978" s="92" t="s">
        <v>428</v>
      </c>
      <c r="E3978" s="92" t="s">
        <v>428</v>
      </c>
      <c r="F3978">
        <v>18</v>
      </c>
      <c r="G3978">
        <v>19</v>
      </c>
      <c r="H3978" t="s">
        <v>5615</v>
      </c>
      <c r="I3978">
        <v>0</v>
      </c>
      <c r="J3978" t="s">
        <v>87</v>
      </c>
      <c r="K3978">
        <v>0</v>
      </c>
      <c r="L3978">
        <v>0</v>
      </c>
    </row>
    <row r="3979" spans="1:12">
      <c r="A3979" s="93">
        <v>431886</v>
      </c>
      <c r="B3979" t="s">
        <v>4459</v>
      </c>
      <c r="C3979" t="s">
        <v>5606</v>
      </c>
      <c r="D3979" s="92" t="s">
        <v>428</v>
      </c>
      <c r="E3979" s="92" t="s">
        <v>428</v>
      </c>
      <c r="F3979" t="s">
        <v>428</v>
      </c>
      <c r="G3979" t="s">
        <v>428</v>
      </c>
      <c r="H3979" t="s">
        <v>5617</v>
      </c>
      <c r="I3979">
        <v>0</v>
      </c>
      <c r="J3979" t="s">
        <v>87</v>
      </c>
      <c r="K3979">
        <v>0</v>
      </c>
      <c r="L3979">
        <v>0</v>
      </c>
    </row>
    <row r="3980" spans="1:12">
      <c r="A3980" s="93">
        <v>431929</v>
      </c>
      <c r="B3980" t="s">
        <v>4460</v>
      </c>
      <c r="C3980" t="s">
        <v>5606</v>
      </c>
      <c r="D3980" s="92" t="s">
        <v>428</v>
      </c>
      <c r="E3980" s="92" t="s">
        <v>428</v>
      </c>
      <c r="F3980" t="s">
        <v>428</v>
      </c>
      <c r="G3980" t="s">
        <v>428</v>
      </c>
      <c r="H3980" t="s">
        <v>5624</v>
      </c>
      <c r="I3980">
        <v>1</v>
      </c>
      <c r="J3980" t="s">
        <v>87</v>
      </c>
      <c r="K3980">
        <v>0</v>
      </c>
      <c r="L3980">
        <v>0</v>
      </c>
    </row>
    <row r="3981" spans="1:12">
      <c r="A3981" s="93">
        <v>431983</v>
      </c>
      <c r="B3981" t="s">
        <v>4461</v>
      </c>
      <c r="C3981" t="s">
        <v>5607</v>
      </c>
      <c r="D3981" s="92">
        <v>0.11</v>
      </c>
      <c r="E3981" s="92" t="s">
        <v>428</v>
      </c>
      <c r="F3981" t="s">
        <v>428</v>
      </c>
      <c r="G3981" t="s">
        <v>428</v>
      </c>
      <c r="H3981" t="s">
        <v>5613</v>
      </c>
      <c r="I3981">
        <v>1</v>
      </c>
      <c r="J3981" t="s">
        <v>87</v>
      </c>
      <c r="K3981">
        <v>0</v>
      </c>
      <c r="L3981">
        <v>0</v>
      </c>
    </row>
    <row r="3982" spans="1:12">
      <c r="A3982" s="93">
        <v>432223</v>
      </c>
      <c r="B3982" t="s">
        <v>4462</v>
      </c>
      <c r="C3982" t="s">
        <v>5604</v>
      </c>
      <c r="D3982" s="92">
        <v>0.17</v>
      </c>
      <c r="E3982" s="92">
        <v>0.15</v>
      </c>
      <c r="F3982" t="s">
        <v>428</v>
      </c>
      <c r="G3982" t="s">
        <v>428</v>
      </c>
      <c r="H3982" t="s">
        <v>5617</v>
      </c>
      <c r="I3982">
        <v>0</v>
      </c>
      <c r="J3982" t="s">
        <v>87</v>
      </c>
      <c r="K3982">
        <v>0</v>
      </c>
      <c r="L3982">
        <v>0</v>
      </c>
    </row>
    <row r="3983" spans="1:12">
      <c r="A3983" s="93">
        <v>432241</v>
      </c>
      <c r="B3983" t="s">
        <v>4463</v>
      </c>
      <c r="C3983" t="s">
        <v>5607</v>
      </c>
      <c r="D3983" s="92">
        <v>0.16</v>
      </c>
      <c r="E3983" s="92">
        <v>0.25</v>
      </c>
      <c r="F3983" t="s">
        <v>428</v>
      </c>
      <c r="G3983" t="s">
        <v>428</v>
      </c>
      <c r="H3983" t="s">
        <v>5617</v>
      </c>
      <c r="I3983">
        <v>0</v>
      </c>
      <c r="J3983" t="s">
        <v>87</v>
      </c>
      <c r="K3983">
        <v>0</v>
      </c>
      <c r="L3983">
        <v>0</v>
      </c>
    </row>
    <row r="3984" spans="1:12">
      <c r="A3984" s="93">
        <v>432302</v>
      </c>
      <c r="B3984" t="s">
        <v>4464</v>
      </c>
      <c r="C3984" t="s">
        <v>5606</v>
      </c>
      <c r="D3984" s="92" t="s">
        <v>428</v>
      </c>
      <c r="E3984" s="92" t="s">
        <v>428</v>
      </c>
      <c r="F3984" t="s">
        <v>428</v>
      </c>
      <c r="G3984" t="s">
        <v>428</v>
      </c>
      <c r="H3984" t="s">
        <v>5617</v>
      </c>
      <c r="I3984">
        <v>0</v>
      </c>
      <c r="J3984" t="s">
        <v>87</v>
      </c>
      <c r="K3984">
        <v>0</v>
      </c>
      <c r="L3984">
        <v>0</v>
      </c>
    </row>
    <row r="3985" spans="1:12">
      <c r="A3985" s="93">
        <v>432348</v>
      </c>
      <c r="B3985" t="s">
        <v>4465</v>
      </c>
      <c r="C3985" t="s">
        <v>5607</v>
      </c>
      <c r="D3985" s="92" t="s">
        <v>428</v>
      </c>
      <c r="E3985" s="92" t="s">
        <v>428</v>
      </c>
      <c r="F3985" t="s">
        <v>428</v>
      </c>
      <c r="G3985" t="s">
        <v>428</v>
      </c>
      <c r="H3985" t="s">
        <v>5615</v>
      </c>
      <c r="I3985">
        <v>0</v>
      </c>
      <c r="J3985" t="s">
        <v>87</v>
      </c>
      <c r="K3985">
        <v>0</v>
      </c>
      <c r="L3985">
        <v>0</v>
      </c>
    </row>
    <row r="3986" spans="1:12">
      <c r="A3986" s="93">
        <v>432357</v>
      </c>
      <c r="B3986" t="s">
        <v>4466</v>
      </c>
      <c r="C3986" t="s">
        <v>5607</v>
      </c>
      <c r="D3986" s="92" t="s">
        <v>428</v>
      </c>
      <c r="E3986" s="92" t="s">
        <v>428</v>
      </c>
      <c r="F3986" t="s">
        <v>428</v>
      </c>
      <c r="G3986" t="s">
        <v>428</v>
      </c>
      <c r="H3986" t="s">
        <v>5615</v>
      </c>
      <c r="I3986">
        <v>0</v>
      </c>
      <c r="J3986" t="s">
        <v>87</v>
      </c>
      <c r="K3986">
        <v>0</v>
      </c>
      <c r="L3986">
        <v>0</v>
      </c>
    </row>
    <row r="3987" spans="1:12">
      <c r="A3987" s="93">
        <v>432384</v>
      </c>
      <c r="B3987" t="s">
        <v>4467</v>
      </c>
      <c r="C3987" t="s">
        <v>5604</v>
      </c>
      <c r="D3987" s="92" t="s">
        <v>428</v>
      </c>
      <c r="E3987" s="92" t="s">
        <v>428</v>
      </c>
      <c r="F3987" t="s">
        <v>428</v>
      </c>
      <c r="G3987" t="s">
        <v>428</v>
      </c>
      <c r="H3987" t="s">
        <v>5617</v>
      </c>
      <c r="I3987">
        <v>0</v>
      </c>
      <c r="J3987" t="s">
        <v>87</v>
      </c>
      <c r="K3987">
        <v>0</v>
      </c>
      <c r="L3987">
        <v>0</v>
      </c>
    </row>
    <row r="3988" spans="1:12">
      <c r="A3988" s="93">
        <v>432524</v>
      </c>
      <c r="B3988" t="s">
        <v>4468</v>
      </c>
      <c r="C3988" t="s">
        <v>5609</v>
      </c>
      <c r="D3988" s="92" t="s">
        <v>428</v>
      </c>
      <c r="E3988" s="92" t="s">
        <v>428</v>
      </c>
      <c r="F3988" t="s">
        <v>428</v>
      </c>
      <c r="G3988" t="s">
        <v>428</v>
      </c>
      <c r="H3988" t="s">
        <v>5617</v>
      </c>
      <c r="I3988">
        <v>0</v>
      </c>
      <c r="J3988" t="s">
        <v>87</v>
      </c>
      <c r="K3988">
        <v>0</v>
      </c>
      <c r="L3988">
        <v>0</v>
      </c>
    </row>
    <row r="3989" spans="1:12">
      <c r="A3989" s="93">
        <v>432533</v>
      </c>
      <c r="B3989" t="s">
        <v>4469</v>
      </c>
      <c r="C3989" t="s">
        <v>5607</v>
      </c>
      <c r="D3989" s="92">
        <v>0.3</v>
      </c>
      <c r="E3989" s="92">
        <v>0.35</v>
      </c>
      <c r="F3989" t="s">
        <v>428</v>
      </c>
      <c r="G3989" t="s">
        <v>428</v>
      </c>
      <c r="H3989" t="s">
        <v>5617</v>
      </c>
      <c r="I3989">
        <v>0</v>
      </c>
      <c r="J3989" t="s">
        <v>87</v>
      </c>
      <c r="K3989">
        <v>0</v>
      </c>
      <c r="L3989">
        <v>0</v>
      </c>
    </row>
    <row r="3990" spans="1:12">
      <c r="A3990" s="93">
        <v>433004</v>
      </c>
      <c r="B3990" t="s">
        <v>4470</v>
      </c>
      <c r="C3990" t="s">
        <v>5607</v>
      </c>
      <c r="D3990" s="92" t="s">
        <v>428</v>
      </c>
      <c r="E3990" s="92" t="s">
        <v>428</v>
      </c>
      <c r="F3990" t="s">
        <v>428</v>
      </c>
      <c r="G3990" t="s">
        <v>428</v>
      </c>
      <c r="H3990" t="s">
        <v>5615</v>
      </c>
      <c r="I3990">
        <v>0</v>
      </c>
      <c r="J3990" t="s">
        <v>87</v>
      </c>
      <c r="K3990">
        <v>0</v>
      </c>
      <c r="L3990">
        <v>0</v>
      </c>
    </row>
    <row r="3991" spans="1:12">
      <c r="A3991" s="93">
        <v>433013</v>
      </c>
      <c r="B3991" t="s">
        <v>4471</v>
      </c>
      <c r="C3991" t="s">
        <v>5604</v>
      </c>
      <c r="D3991" s="92">
        <v>0.64</v>
      </c>
      <c r="E3991" s="92">
        <v>0.5</v>
      </c>
      <c r="F3991" t="s">
        <v>428</v>
      </c>
      <c r="G3991" t="s">
        <v>428</v>
      </c>
      <c r="H3991" t="s">
        <v>5617</v>
      </c>
      <c r="I3991">
        <v>0</v>
      </c>
      <c r="J3991" t="s">
        <v>87</v>
      </c>
      <c r="K3991">
        <v>0</v>
      </c>
      <c r="L3991">
        <v>0</v>
      </c>
    </row>
    <row r="3992" spans="1:12">
      <c r="A3992" s="93">
        <v>433068</v>
      </c>
      <c r="B3992" t="s">
        <v>4472</v>
      </c>
      <c r="C3992" t="s">
        <v>5606</v>
      </c>
      <c r="D3992" s="92" t="s">
        <v>428</v>
      </c>
      <c r="E3992" s="92" t="s">
        <v>428</v>
      </c>
      <c r="F3992" t="s">
        <v>428</v>
      </c>
      <c r="G3992" t="s">
        <v>428</v>
      </c>
      <c r="H3992" t="s">
        <v>5615</v>
      </c>
      <c r="I3992">
        <v>0</v>
      </c>
      <c r="J3992" t="s">
        <v>87</v>
      </c>
      <c r="K3992">
        <v>0</v>
      </c>
      <c r="L3992">
        <v>0</v>
      </c>
    </row>
    <row r="3993" spans="1:12">
      <c r="A3993" s="93">
        <v>433101</v>
      </c>
      <c r="B3993" t="s">
        <v>4473</v>
      </c>
      <c r="C3993" t="s">
        <v>5606</v>
      </c>
      <c r="D3993" s="92" t="s">
        <v>428</v>
      </c>
      <c r="E3993" s="92" t="s">
        <v>428</v>
      </c>
      <c r="F3993" t="s">
        <v>428</v>
      </c>
      <c r="G3993" t="s">
        <v>428</v>
      </c>
      <c r="H3993" t="s">
        <v>5617</v>
      </c>
      <c r="I3993">
        <v>0</v>
      </c>
      <c r="J3993" t="s">
        <v>87</v>
      </c>
      <c r="K3993">
        <v>0</v>
      </c>
      <c r="L3993">
        <v>0</v>
      </c>
    </row>
    <row r="3994" spans="1:12">
      <c r="A3994" s="93">
        <v>433174</v>
      </c>
      <c r="B3994" t="s">
        <v>4474</v>
      </c>
      <c r="C3994" t="s">
        <v>5609</v>
      </c>
      <c r="D3994" s="92" t="s">
        <v>428</v>
      </c>
      <c r="E3994" s="92" t="s">
        <v>428</v>
      </c>
      <c r="F3994" t="s">
        <v>428</v>
      </c>
      <c r="G3994" t="s">
        <v>428</v>
      </c>
      <c r="H3994" t="s">
        <v>5615</v>
      </c>
      <c r="I3994">
        <v>0</v>
      </c>
      <c r="J3994" t="s">
        <v>87</v>
      </c>
      <c r="K3994">
        <v>0</v>
      </c>
      <c r="L3994">
        <v>0</v>
      </c>
    </row>
    <row r="3995" spans="1:12">
      <c r="A3995" s="93">
        <v>433217</v>
      </c>
      <c r="B3995" t="s">
        <v>4475</v>
      </c>
      <c r="C3995" t="s">
        <v>5607</v>
      </c>
      <c r="D3995" s="92" t="s">
        <v>428</v>
      </c>
      <c r="E3995" s="92" t="s">
        <v>428</v>
      </c>
      <c r="F3995" t="s">
        <v>428</v>
      </c>
      <c r="G3995" t="s">
        <v>428</v>
      </c>
      <c r="H3995" t="s">
        <v>5615</v>
      </c>
      <c r="I3995">
        <v>0</v>
      </c>
      <c r="J3995" t="s">
        <v>87</v>
      </c>
      <c r="K3995">
        <v>0</v>
      </c>
      <c r="L3995">
        <v>0</v>
      </c>
    </row>
    <row r="3996" spans="1:12">
      <c r="A3996" s="93">
        <v>433387</v>
      </c>
      <c r="B3996" t="s">
        <v>4476</v>
      </c>
      <c r="C3996" t="s">
        <v>5607</v>
      </c>
      <c r="D3996" s="92">
        <v>0.17</v>
      </c>
      <c r="E3996" s="92">
        <v>0.09</v>
      </c>
      <c r="F3996" t="s">
        <v>428</v>
      </c>
      <c r="G3996" t="s">
        <v>428</v>
      </c>
      <c r="H3996" t="s">
        <v>5613</v>
      </c>
      <c r="I3996">
        <v>1</v>
      </c>
      <c r="J3996" t="s">
        <v>87</v>
      </c>
      <c r="K3996">
        <v>0</v>
      </c>
      <c r="L3996">
        <v>0</v>
      </c>
    </row>
    <row r="3997" spans="1:12">
      <c r="A3997" s="93">
        <v>433420</v>
      </c>
      <c r="B3997" t="s">
        <v>4477</v>
      </c>
      <c r="C3997" t="s">
        <v>5604</v>
      </c>
      <c r="D3997" s="92" t="s">
        <v>428</v>
      </c>
      <c r="E3997" s="92" t="s">
        <v>428</v>
      </c>
      <c r="F3997" t="s">
        <v>428</v>
      </c>
      <c r="G3997" t="s">
        <v>428</v>
      </c>
      <c r="H3997" t="s">
        <v>5616</v>
      </c>
      <c r="I3997">
        <v>0</v>
      </c>
      <c r="J3997" t="s">
        <v>87</v>
      </c>
      <c r="K3997">
        <v>0</v>
      </c>
      <c r="L3997">
        <v>0</v>
      </c>
    </row>
    <row r="3998" spans="1:12">
      <c r="A3998" s="93">
        <v>433466</v>
      </c>
      <c r="B3998" t="s">
        <v>4478</v>
      </c>
      <c r="C3998" t="s">
        <v>5606</v>
      </c>
      <c r="D3998" s="92" t="s">
        <v>428</v>
      </c>
      <c r="E3998" s="92" t="s">
        <v>428</v>
      </c>
      <c r="F3998" t="s">
        <v>428</v>
      </c>
      <c r="G3998" t="s">
        <v>428</v>
      </c>
      <c r="H3998" t="s">
        <v>5617</v>
      </c>
      <c r="I3998">
        <v>0</v>
      </c>
      <c r="J3998" t="s">
        <v>87</v>
      </c>
      <c r="K3998">
        <v>0</v>
      </c>
      <c r="L3998">
        <v>0</v>
      </c>
    </row>
    <row r="3999" spans="1:12">
      <c r="A3999" s="93">
        <v>433536</v>
      </c>
      <c r="B3999" t="s">
        <v>4479</v>
      </c>
      <c r="C3999" t="s">
        <v>5607</v>
      </c>
      <c r="D3999" s="92">
        <v>0.75</v>
      </c>
      <c r="E3999" s="92">
        <v>1</v>
      </c>
      <c r="F3999" t="s">
        <v>428</v>
      </c>
      <c r="G3999" t="s">
        <v>428</v>
      </c>
      <c r="H3999" t="s">
        <v>5617</v>
      </c>
      <c r="I3999">
        <v>0</v>
      </c>
      <c r="J3999" t="s">
        <v>87</v>
      </c>
      <c r="K3999">
        <v>0</v>
      </c>
      <c r="L3999">
        <v>0</v>
      </c>
    </row>
    <row r="4000" spans="1:12">
      <c r="A4000" s="93">
        <v>433563</v>
      </c>
      <c r="B4000" t="s">
        <v>4480</v>
      </c>
      <c r="C4000" t="s">
        <v>5606</v>
      </c>
      <c r="D4000" s="92" t="s">
        <v>428</v>
      </c>
      <c r="E4000" s="92" t="s">
        <v>428</v>
      </c>
      <c r="F4000" t="s">
        <v>428</v>
      </c>
      <c r="G4000" t="s">
        <v>428</v>
      </c>
      <c r="H4000" t="s">
        <v>5617</v>
      </c>
      <c r="I4000">
        <v>0</v>
      </c>
      <c r="J4000" t="s">
        <v>87</v>
      </c>
      <c r="K4000">
        <v>0</v>
      </c>
      <c r="L4000">
        <v>0</v>
      </c>
    </row>
    <row r="4001" spans="1:12">
      <c r="A4001" s="93">
        <v>433660</v>
      </c>
      <c r="B4001" t="s">
        <v>4481</v>
      </c>
      <c r="C4001" t="s">
        <v>5602</v>
      </c>
      <c r="D4001" s="92">
        <v>0.46</v>
      </c>
      <c r="E4001" s="92">
        <v>0.42</v>
      </c>
      <c r="F4001">
        <v>22</v>
      </c>
      <c r="G4001">
        <v>24</v>
      </c>
      <c r="H4001" t="s">
        <v>5615</v>
      </c>
      <c r="I4001">
        <v>0</v>
      </c>
      <c r="J4001" t="s">
        <v>87</v>
      </c>
      <c r="K4001">
        <v>0</v>
      </c>
      <c r="L4001">
        <v>0</v>
      </c>
    </row>
    <row r="4002" spans="1:12">
      <c r="A4002" s="93">
        <v>434016</v>
      </c>
      <c r="B4002" t="s">
        <v>4482</v>
      </c>
      <c r="C4002" t="s">
        <v>5606</v>
      </c>
      <c r="D4002" s="92" t="s">
        <v>428</v>
      </c>
      <c r="E4002" s="92" t="s">
        <v>428</v>
      </c>
      <c r="F4002" t="s">
        <v>428</v>
      </c>
      <c r="G4002" t="s">
        <v>428</v>
      </c>
      <c r="H4002" t="s">
        <v>5615</v>
      </c>
      <c r="I4002">
        <v>0</v>
      </c>
      <c r="J4002" t="s">
        <v>87</v>
      </c>
      <c r="K4002">
        <v>0</v>
      </c>
      <c r="L4002">
        <v>0</v>
      </c>
    </row>
    <row r="4003" spans="1:12">
      <c r="A4003" s="93">
        <v>434052</v>
      </c>
      <c r="B4003" t="s">
        <v>4483</v>
      </c>
      <c r="C4003" t="s">
        <v>5607</v>
      </c>
      <c r="D4003" s="92" t="s">
        <v>428</v>
      </c>
      <c r="E4003" s="92" t="s">
        <v>428</v>
      </c>
      <c r="F4003" t="s">
        <v>428</v>
      </c>
      <c r="G4003" t="s">
        <v>428</v>
      </c>
      <c r="H4003" t="s">
        <v>5617</v>
      </c>
      <c r="I4003">
        <v>0</v>
      </c>
      <c r="J4003" t="s">
        <v>87</v>
      </c>
      <c r="K4003">
        <v>0</v>
      </c>
      <c r="L4003">
        <v>0</v>
      </c>
    </row>
    <row r="4004" spans="1:12">
      <c r="A4004" s="93">
        <v>434061</v>
      </c>
      <c r="B4004" t="s">
        <v>4484</v>
      </c>
      <c r="C4004" t="s">
        <v>5606</v>
      </c>
      <c r="D4004" s="92">
        <v>0.3</v>
      </c>
      <c r="E4004" s="92">
        <v>0.25</v>
      </c>
      <c r="F4004" t="s">
        <v>428</v>
      </c>
      <c r="G4004" t="s">
        <v>428</v>
      </c>
      <c r="H4004" t="s">
        <v>5615</v>
      </c>
      <c r="I4004">
        <v>0</v>
      </c>
      <c r="J4004" t="s">
        <v>87</v>
      </c>
      <c r="K4004">
        <v>0</v>
      </c>
      <c r="L4004">
        <v>0</v>
      </c>
    </row>
    <row r="4005" spans="1:12">
      <c r="A4005" s="93">
        <v>434140</v>
      </c>
      <c r="B4005" t="s">
        <v>4485</v>
      </c>
      <c r="C4005" t="s">
        <v>5606</v>
      </c>
      <c r="D4005" s="92">
        <v>0.72</v>
      </c>
      <c r="E4005" s="92">
        <v>0.6899999999999999</v>
      </c>
      <c r="F4005" t="s">
        <v>428</v>
      </c>
      <c r="G4005" t="s">
        <v>428</v>
      </c>
      <c r="H4005" t="s">
        <v>5617</v>
      </c>
      <c r="I4005">
        <v>0</v>
      </c>
      <c r="J4005" t="s">
        <v>87</v>
      </c>
      <c r="K4005">
        <v>0</v>
      </c>
      <c r="L4005">
        <v>0</v>
      </c>
    </row>
    <row r="4006" spans="1:12">
      <c r="A4006" s="93">
        <v>434159</v>
      </c>
      <c r="B4006" t="s">
        <v>4486</v>
      </c>
      <c r="C4006" t="s">
        <v>5606</v>
      </c>
      <c r="D4006" s="92" t="s">
        <v>428</v>
      </c>
      <c r="E4006" s="92" t="s">
        <v>428</v>
      </c>
      <c r="F4006" t="s">
        <v>428</v>
      </c>
      <c r="G4006" t="s">
        <v>428</v>
      </c>
      <c r="H4006" t="s">
        <v>5617</v>
      </c>
      <c r="I4006">
        <v>0</v>
      </c>
      <c r="J4006" t="s">
        <v>87</v>
      </c>
      <c r="K4006">
        <v>0</v>
      </c>
      <c r="L4006">
        <v>0</v>
      </c>
    </row>
    <row r="4007" spans="1:12">
      <c r="A4007" s="93">
        <v>434432</v>
      </c>
      <c r="B4007" t="s">
        <v>4487</v>
      </c>
      <c r="C4007" t="s">
        <v>5606</v>
      </c>
      <c r="D4007" s="92">
        <v>0.92</v>
      </c>
      <c r="E4007" s="92">
        <v>0.62</v>
      </c>
      <c r="F4007" t="s">
        <v>428</v>
      </c>
      <c r="G4007" t="s">
        <v>428</v>
      </c>
      <c r="H4007" t="s">
        <v>5617</v>
      </c>
      <c r="I4007">
        <v>0</v>
      </c>
      <c r="J4007" t="s">
        <v>87</v>
      </c>
      <c r="K4007">
        <v>0</v>
      </c>
      <c r="L4007">
        <v>0</v>
      </c>
    </row>
    <row r="4008" spans="1:12">
      <c r="A4008" s="93">
        <v>434441</v>
      </c>
      <c r="B4008" t="s">
        <v>4488</v>
      </c>
      <c r="C4008" t="s">
        <v>5607</v>
      </c>
      <c r="D4008" s="92" t="s">
        <v>428</v>
      </c>
      <c r="E4008" s="92" t="s">
        <v>428</v>
      </c>
      <c r="F4008" t="s">
        <v>428</v>
      </c>
      <c r="G4008" t="s">
        <v>428</v>
      </c>
      <c r="H4008" t="s">
        <v>5615</v>
      </c>
      <c r="I4008">
        <v>0</v>
      </c>
      <c r="J4008" t="s">
        <v>87</v>
      </c>
      <c r="K4008">
        <v>0</v>
      </c>
      <c r="L4008">
        <v>0</v>
      </c>
    </row>
    <row r="4009" spans="1:12">
      <c r="A4009" s="93">
        <v>434539</v>
      </c>
      <c r="B4009" t="s">
        <v>4489</v>
      </c>
      <c r="C4009" t="s">
        <v>5604</v>
      </c>
      <c r="D4009" s="92" t="s">
        <v>428</v>
      </c>
      <c r="E4009" s="92" t="s">
        <v>428</v>
      </c>
      <c r="F4009" t="s">
        <v>428</v>
      </c>
      <c r="G4009" t="s">
        <v>428</v>
      </c>
      <c r="H4009" t="s">
        <v>5617</v>
      </c>
      <c r="I4009">
        <v>0</v>
      </c>
      <c r="J4009" t="s">
        <v>87</v>
      </c>
      <c r="K4009">
        <v>0</v>
      </c>
      <c r="L4009">
        <v>0</v>
      </c>
    </row>
    <row r="4010" spans="1:12">
      <c r="A4010" s="93">
        <v>434548</v>
      </c>
      <c r="B4010" t="s">
        <v>4490</v>
      </c>
      <c r="C4010" t="s">
        <v>5607</v>
      </c>
      <c r="D4010" s="92" t="s">
        <v>428</v>
      </c>
      <c r="E4010" s="92" t="s">
        <v>428</v>
      </c>
      <c r="F4010" t="s">
        <v>428</v>
      </c>
      <c r="G4010" t="s">
        <v>428</v>
      </c>
      <c r="H4010" t="s">
        <v>5617</v>
      </c>
      <c r="I4010">
        <v>0</v>
      </c>
      <c r="J4010" t="s">
        <v>87</v>
      </c>
      <c r="K4010">
        <v>0</v>
      </c>
      <c r="L4010">
        <v>0</v>
      </c>
    </row>
    <row r="4011" spans="1:12">
      <c r="A4011" s="93">
        <v>434566</v>
      </c>
      <c r="B4011" t="s">
        <v>4491</v>
      </c>
      <c r="C4011" t="s">
        <v>5606</v>
      </c>
      <c r="D4011" s="92" t="s">
        <v>428</v>
      </c>
      <c r="E4011" s="92" t="s">
        <v>428</v>
      </c>
      <c r="F4011" t="s">
        <v>428</v>
      </c>
      <c r="G4011" t="s">
        <v>428</v>
      </c>
      <c r="H4011" t="s">
        <v>5617</v>
      </c>
      <c r="I4011">
        <v>0</v>
      </c>
      <c r="J4011" t="s">
        <v>87</v>
      </c>
      <c r="K4011">
        <v>0</v>
      </c>
      <c r="L4011">
        <v>0</v>
      </c>
    </row>
    <row r="4012" spans="1:12">
      <c r="A4012" s="93">
        <v>434575</v>
      </c>
      <c r="B4012" t="s">
        <v>4492</v>
      </c>
      <c r="C4012" t="s">
        <v>5606</v>
      </c>
      <c r="D4012" s="92" t="s">
        <v>428</v>
      </c>
      <c r="E4012" s="92" t="s">
        <v>428</v>
      </c>
      <c r="F4012" t="s">
        <v>428</v>
      </c>
      <c r="G4012" t="s">
        <v>428</v>
      </c>
      <c r="H4012" t="s">
        <v>5617</v>
      </c>
      <c r="I4012">
        <v>0</v>
      </c>
      <c r="J4012" t="s">
        <v>87</v>
      </c>
      <c r="K4012">
        <v>0</v>
      </c>
      <c r="L4012">
        <v>0</v>
      </c>
    </row>
    <row r="4013" spans="1:12">
      <c r="A4013" s="93">
        <v>434584</v>
      </c>
      <c r="B4013" t="s">
        <v>4493</v>
      </c>
      <c r="C4013" t="s">
        <v>5604</v>
      </c>
      <c r="D4013" s="92">
        <v>0.31</v>
      </c>
      <c r="E4013" s="92">
        <v>0</v>
      </c>
      <c r="F4013" t="s">
        <v>428</v>
      </c>
      <c r="G4013" t="s">
        <v>428</v>
      </c>
      <c r="H4013" t="s">
        <v>5615</v>
      </c>
      <c r="I4013">
        <v>0</v>
      </c>
      <c r="J4013" t="s">
        <v>87</v>
      </c>
      <c r="K4013">
        <v>0</v>
      </c>
      <c r="L4013">
        <v>0</v>
      </c>
    </row>
    <row r="4014" spans="1:12">
      <c r="A4014" s="93">
        <v>434672</v>
      </c>
      <c r="B4014" t="s">
        <v>4494</v>
      </c>
      <c r="C4014" t="s">
        <v>5606</v>
      </c>
      <c r="D4014" s="92">
        <v>0.19</v>
      </c>
      <c r="E4014" s="92">
        <v>0.14</v>
      </c>
      <c r="F4014" t="s">
        <v>428</v>
      </c>
      <c r="G4014" t="s">
        <v>428</v>
      </c>
      <c r="H4014" t="s">
        <v>5615</v>
      </c>
      <c r="I4014">
        <v>0</v>
      </c>
      <c r="J4014" t="s">
        <v>87</v>
      </c>
      <c r="K4014">
        <v>0</v>
      </c>
      <c r="L4014">
        <v>0</v>
      </c>
    </row>
    <row r="4015" spans="1:12">
      <c r="A4015" s="93">
        <v>434690</v>
      </c>
      <c r="B4015" t="s">
        <v>4495</v>
      </c>
      <c r="C4015" t="s">
        <v>5606</v>
      </c>
      <c r="D4015" s="92" t="s">
        <v>428</v>
      </c>
      <c r="E4015" s="92" t="s">
        <v>428</v>
      </c>
      <c r="F4015" t="s">
        <v>428</v>
      </c>
      <c r="G4015" t="s">
        <v>428</v>
      </c>
      <c r="H4015" t="s">
        <v>5617</v>
      </c>
      <c r="I4015">
        <v>0</v>
      </c>
      <c r="J4015" t="s">
        <v>87</v>
      </c>
      <c r="K4015">
        <v>0</v>
      </c>
      <c r="L4015">
        <v>0</v>
      </c>
    </row>
    <row r="4016" spans="1:12">
      <c r="A4016" s="93">
        <v>434715</v>
      </c>
      <c r="B4016" t="s">
        <v>4496</v>
      </c>
      <c r="C4016" t="s">
        <v>5607</v>
      </c>
      <c r="D4016" s="92" t="s">
        <v>428</v>
      </c>
      <c r="E4016" s="92" t="s">
        <v>428</v>
      </c>
      <c r="F4016" t="s">
        <v>428</v>
      </c>
      <c r="G4016" t="s">
        <v>428</v>
      </c>
      <c r="H4016" t="s">
        <v>5615</v>
      </c>
      <c r="I4016">
        <v>0</v>
      </c>
      <c r="J4016" t="s">
        <v>87</v>
      </c>
      <c r="K4016">
        <v>0</v>
      </c>
      <c r="L4016">
        <v>0</v>
      </c>
    </row>
    <row r="4017" spans="1:12">
      <c r="A4017" s="93">
        <v>434751</v>
      </c>
      <c r="B4017" t="s">
        <v>4497</v>
      </c>
      <c r="C4017" t="s">
        <v>5606</v>
      </c>
      <c r="D4017" s="92" t="s">
        <v>428</v>
      </c>
      <c r="E4017" s="92" t="s">
        <v>428</v>
      </c>
      <c r="F4017" t="s">
        <v>428</v>
      </c>
      <c r="G4017" t="s">
        <v>428</v>
      </c>
      <c r="H4017" t="s">
        <v>5624</v>
      </c>
      <c r="I4017">
        <v>1</v>
      </c>
      <c r="J4017" t="s">
        <v>87</v>
      </c>
      <c r="K4017">
        <v>0</v>
      </c>
      <c r="L4017">
        <v>0</v>
      </c>
    </row>
    <row r="4018" spans="1:12">
      <c r="A4018" s="93">
        <v>434821</v>
      </c>
      <c r="B4018" t="s">
        <v>4498</v>
      </c>
      <c r="C4018" t="s">
        <v>5606</v>
      </c>
      <c r="D4018" s="92" t="s">
        <v>428</v>
      </c>
      <c r="E4018" s="92" t="s">
        <v>428</v>
      </c>
      <c r="F4018" t="s">
        <v>428</v>
      </c>
      <c r="G4018" t="s">
        <v>428</v>
      </c>
      <c r="H4018" t="s">
        <v>5617</v>
      </c>
      <c r="I4018">
        <v>0</v>
      </c>
      <c r="J4018" t="s">
        <v>87</v>
      </c>
      <c r="K4018">
        <v>0</v>
      </c>
      <c r="L4018">
        <v>0</v>
      </c>
    </row>
    <row r="4019" spans="1:12">
      <c r="A4019" s="93">
        <v>434830</v>
      </c>
      <c r="B4019" t="s">
        <v>4499</v>
      </c>
      <c r="C4019" t="s">
        <v>5606</v>
      </c>
      <c r="D4019" s="92" t="s">
        <v>428</v>
      </c>
      <c r="E4019" s="92" t="s">
        <v>428</v>
      </c>
      <c r="F4019" t="s">
        <v>428</v>
      </c>
      <c r="G4019" t="s">
        <v>428</v>
      </c>
      <c r="H4019" t="s">
        <v>5616</v>
      </c>
      <c r="I4019">
        <v>0</v>
      </c>
      <c r="J4019" t="s">
        <v>87</v>
      </c>
      <c r="K4019">
        <v>0</v>
      </c>
      <c r="L4019">
        <v>0</v>
      </c>
    </row>
    <row r="4020" spans="1:12">
      <c r="A4020" s="93">
        <v>434900</v>
      </c>
      <c r="B4020" t="s">
        <v>4500</v>
      </c>
      <c r="C4020" t="s">
        <v>5604</v>
      </c>
      <c r="D4020" s="92">
        <v>0.22</v>
      </c>
      <c r="E4020" s="92">
        <v>0.22</v>
      </c>
      <c r="F4020" t="s">
        <v>428</v>
      </c>
      <c r="G4020" t="s">
        <v>428</v>
      </c>
      <c r="H4020" t="s">
        <v>5614</v>
      </c>
      <c r="I4020">
        <v>1</v>
      </c>
      <c r="J4020" t="s">
        <v>87</v>
      </c>
      <c r="K4020">
        <v>0</v>
      </c>
      <c r="L4020">
        <v>0</v>
      </c>
    </row>
    <row r="4021" spans="1:12">
      <c r="A4021" s="93">
        <v>434937</v>
      </c>
      <c r="B4021" t="s">
        <v>4501</v>
      </c>
      <c r="C4021" t="s">
        <v>5604</v>
      </c>
      <c r="D4021" s="92" t="s">
        <v>428</v>
      </c>
      <c r="E4021" s="92" t="s">
        <v>428</v>
      </c>
      <c r="F4021" t="s">
        <v>428</v>
      </c>
      <c r="G4021" t="s">
        <v>428</v>
      </c>
      <c r="H4021" t="s">
        <v>5614</v>
      </c>
      <c r="I4021">
        <v>1</v>
      </c>
      <c r="J4021" t="s">
        <v>87</v>
      </c>
      <c r="K4021">
        <v>0</v>
      </c>
      <c r="L4021">
        <v>0</v>
      </c>
    </row>
    <row r="4022" spans="1:12">
      <c r="A4022" s="93">
        <v>434973</v>
      </c>
      <c r="B4022" t="s">
        <v>4502</v>
      </c>
      <c r="C4022" t="s">
        <v>5607</v>
      </c>
      <c r="D4022" s="92">
        <v>0.17</v>
      </c>
      <c r="E4022" s="92">
        <v>0.2</v>
      </c>
      <c r="F4022" t="s">
        <v>428</v>
      </c>
      <c r="G4022" t="s">
        <v>428</v>
      </c>
      <c r="H4022" t="s">
        <v>5617</v>
      </c>
      <c r="I4022">
        <v>0</v>
      </c>
      <c r="J4022" t="s">
        <v>87</v>
      </c>
      <c r="K4022">
        <v>0</v>
      </c>
      <c r="L4022">
        <v>0</v>
      </c>
    </row>
    <row r="4023" spans="1:12">
      <c r="A4023" s="93">
        <v>435000</v>
      </c>
      <c r="B4023" t="s">
        <v>4503</v>
      </c>
      <c r="C4023" t="s">
        <v>5607</v>
      </c>
      <c r="D4023" s="92" t="s">
        <v>428</v>
      </c>
      <c r="E4023" s="92" t="s">
        <v>428</v>
      </c>
      <c r="F4023" t="s">
        <v>428</v>
      </c>
      <c r="G4023" t="s">
        <v>428</v>
      </c>
      <c r="H4023" t="s">
        <v>5615</v>
      </c>
      <c r="I4023">
        <v>0</v>
      </c>
      <c r="J4023" t="s">
        <v>87</v>
      </c>
      <c r="K4023">
        <v>0</v>
      </c>
      <c r="L4023">
        <v>0</v>
      </c>
    </row>
    <row r="4024" spans="1:12">
      <c r="A4024" s="93">
        <v>436021</v>
      </c>
      <c r="B4024" t="s">
        <v>4504</v>
      </c>
      <c r="C4024" t="s">
        <v>5607</v>
      </c>
      <c r="D4024" s="92" t="s">
        <v>428</v>
      </c>
      <c r="E4024" s="92" t="s">
        <v>428</v>
      </c>
      <c r="F4024" t="s">
        <v>428</v>
      </c>
      <c r="G4024" t="s">
        <v>428</v>
      </c>
      <c r="H4024" t="s">
        <v>5615</v>
      </c>
      <c r="I4024">
        <v>0</v>
      </c>
      <c r="J4024" t="s">
        <v>87</v>
      </c>
      <c r="K4024">
        <v>0</v>
      </c>
      <c r="L4024">
        <v>0</v>
      </c>
    </row>
    <row r="4025" spans="1:12">
      <c r="A4025" s="93">
        <v>436094</v>
      </c>
      <c r="B4025" t="s">
        <v>4505</v>
      </c>
      <c r="C4025" t="s">
        <v>5604</v>
      </c>
      <c r="D4025" s="92">
        <v>0.12</v>
      </c>
      <c r="E4025" s="92">
        <v>0</v>
      </c>
      <c r="F4025" t="s">
        <v>428</v>
      </c>
      <c r="G4025" t="s">
        <v>428</v>
      </c>
      <c r="H4025" t="s">
        <v>5617</v>
      </c>
      <c r="I4025">
        <v>0</v>
      </c>
      <c r="J4025" t="s">
        <v>87</v>
      </c>
      <c r="K4025">
        <v>0</v>
      </c>
      <c r="L4025">
        <v>0</v>
      </c>
    </row>
    <row r="4026" spans="1:12">
      <c r="A4026" s="93">
        <v>436100</v>
      </c>
      <c r="B4026" t="s">
        <v>4506</v>
      </c>
      <c r="C4026" t="s">
        <v>5606</v>
      </c>
      <c r="D4026" s="92" t="s">
        <v>428</v>
      </c>
      <c r="E4026" s="92" t="s">
        <v>428</v>
      </c>
      <c r="F4026" t="s">
        <v>428</v>
      </c>
      <c r="G4026" t="s">
        <v>428</v>
      </c>
      <c r="H4026" t="s">
        <v>5616</v>
      </c>
      <c r="I4026">
        <v>0</v>
      </c>
      <c r="J4026" t="s">
        <v>87</v>
      </c>
      <c r="K4026">
        <v>0</v>
      </c>
      <c r="L4026">
        <v>0</v>
      </c>
    </row>
    <row r="4027" spans="1:12">
      <c r="A4027" s="93">
        <v>436182</v>
      </c>
      <c r="B4027" t="s">
        <v>4507</v>
      </c>
      <c r="C4027" t="s">
        <v>5606</v>
      </c>
      <c r="D4027" s="92" t="s">
        <v>428</v>
      </c>
      <c r="E4027" s="92" t="s">
        <v>428</v>
      </c>
      <c r="F4027" t="s">
        <v>428</v>
      </c>
      <c r="G4027" t="s">
        <v>428</v>
      </c>
      <c r="H4027" t="s">
        <v>5617</v>
      </c>
      <c r="I4027">
        <v>0</v>
      </c>
      <c r="J4027" t="s">
        <v>87</v>
      </c>
      <c r="K4027">
        <v>0</v>
      </c>
      <c r="L4027">
        <v>0</v>
      </c>
    </row>
    <row r="4028" spans="1:12">
      <c r="A4028" s="93">
        <v>436191</v>
      </c>
      <c r="B4028" t="s">
        <v>4508</v>
      </c>
      <c r="C4028" t="s">
        <v>5604</v>
      </c>
      <c r="D4028" s="92">
        <v>1</v>
      </c>
      <c r="E4028" s="92" t="s">
        <v>428</v>
      </c>
      <c r="F4028" t="s">
        <v>428</v>
      </c>
      <c r="G4028" t="s">
        <v>428</v>
      </c>
      <c r="H4028" t="s">
        <v>5617</v>
      </c>
      <c r="I4028">
        <v>0</v>
      </c>
      <c r="J4028" t="s">
        <v>87</v>
      </c>
      <c r="K4028">
        <v>0</v>
      </c>
      <c r="L4028">
        <v>0</v>
      </c>
    </row>
    <row r="4029" spans="1:12">
      <c r="A4029" s="93">
        <v>436261</v>
      </c>
      <c r="B4029" t="s">
        <v>4509</v>
      </c>
      <c r="C4029" t="s">
        <v>5607</v>
      </c>
      <c r="D4029" s="92" t="s">
        <v>428</v>
      </c>
      <c r="E4029" s="92" t="s">
        <v>428</v>
      </c>
      <c r="F4029" t="s">
        <v>428</v>
      </c>
      <c r="G4029" t="s">
        <v>428</v>
      </c>
      <c r="H4029" t="s">
        <v>5615</v>
      </c>
      <c r="I4029">
        <v>0</v>
      </c>
      <c r="J4029" t="s">
        <v>87</v>
      </c>
      <c r="K4029">
        <v>0</v>
      </c>
      <c r="L4029">
        <v>0</v>
      </c>
    </row>
    <row r="4030" spans="1:12">
      <c r="A4030" s="93">
        <v>436304</v>
      </c>
      <c r="B4030" t="s">
        <v>4510</v>
      </c>
      <c r="C4030" t="s">
        <v>5606</v>
      </c>
      <c r="D4030" s="92">
        <v>0.32</v>
      </c>
      <c r="E4030" s="92">
        <v>0.29</v>
      </c>
      <c r="F4030" t="s">
        <v>428</v>
      </c>
      <c r="G4030" t="s">
        <v>428</v>
      </c>
      <c r="H4030" t="s">
        <v>5615</v>
      </c>
      <c r="I4030">
        <v>0</v>
      </c>
      <c r="J4030" t="s">
        <v>87</v>
      </c>
      <c r="K4030">
        <v>0</v>
      </c>
      <c r="L4030">
        <v>0</v>
      </c>
    </row>
    <row r="4031" spans="1:12">
      <c r="A4031" s="93">
        <v>436429</v>
      </c>
      <c r="B4031" t="s">
        <v>4511</v>
      </c>
      <c r="C4031" t="s">
        <v>5604</v>
      </c>
      <c r="D4031" s="92" t="s">
        <v>428</v>
      </c>
      <c r="E4031" s="92" t="s">
        <v>428</v>
      </c>
      <c r="F4031" t="s">
        <v>428</v>
      </c>
      <c r="G4031" t="s">
        <v>428</v>
      </c>
      <c r="H4031" t="s">
        <v>5617</v>
      </c>
      <c r="I4031">
        <v>0</v>
      </c>
      <c r="J4031" t="s">
        <v>87</v>
      </c>
      <c r="K4031">
        <v>0</v>
      </c>
      <c r="L4031">
        <v>0</v>
      </c>
    </row>
    <row r="4032" spans="1:12">
      <c r="A4032" s="93">
        <v>436438</v>
      </c>
      <c r="B4032" t="s">
        <v>4512</v>
      </c>
      <c r="C4032" t="s">
        <v>5604</v>
      </c>
      <c r="D4032" s="92">
        <v>0.33</v>
      </c>
      <c r="E4032" s="92">
        <v>0</v>
      </c>
      <c r="F4032" t="s">
        <v>428</v>
      </c>
      <c r="G4032" t="s">
        <v>428</v>
      </c>
      <c r="H4032" t="s">
        <v>5617</v>
      </c>
      <c r="I4032">
        <v>0</v>
      </c>
      <c r="J4032" t="s">
        <v>87</v>
      </c>
      <c r="K4032">
        <v>0</v>
      </c>
      <c r="L4032">
        <v>0</v>
      </c>
    </row>
    <row r="4033" spans="1:12">
      <c r="A4033" s="93">
        <v>436465</v>
      </c>
      <c r="B4033" t="s">
        <v>4513</v>
      </c>
      <c r="C4033" t="s">
        <v>5606</v>
      </c>
      <c r="D4033" s="92" t="s">
        <v>428</v>
      </c>
      <c r="E4033" s="92" t="s">
        <v>428</v>
      </c>
      <c r="F4033" t="s">
        <v>428</v>
      </c>
      <c r="G4033" t="s">
        <v>428</v>
      </c>
      <c r="H4033" t="s">
        <v>5624</v>
      </c>
      <c r="I4033">
        <v>1</v>
      </c>
      <c r="J4033" t="s">
        <v>87</v>
      </c>
      <c r="K4033">
        <v>0</v>
      </c>
      <c r="L4033">
        <v>0</v>
      </c>
    </row>
    <row r="4034" spans="1:12">
      <c r="A4034" s="93">
        <v>436483</v>
      </c>
      <c r="B4034" t="s">
        <v>4514</v>
      </c>
      <c r="C4034" t="s">
        <v>5604</v>
      </c>
      <c r="D4034" s="92" t="s">
        <v>428</v>
      </c>
      <c r="E4034" s="92" t="s">
        <v>428</v>
      </c>
      <c r="F4034" t="s">
        <v>428</v>
      </c>
      <c r="G4034" t="s">
        <v>428</v>
      </c>
      <c r="H4034" t="s">
        <v>5615</v>
      </c>
      <c r="I4034">
        <v>0</v>
      </c>
      <c r="J4034" t="s">
        <v>87</v>
      </c>
      <c r="K4034">
        <v>0</v>
      </c>
      <c r="L4034">
        <v>0</v>
      </c>
    </row>
    <row r="4035" spans="1:12">
      <c r="A4035" s="93">
        <v>436599</v>
      </c>
      <c r="B4035" t="s">
        <v>4515</v>
      </c>
      <c r="C4035" t="s">
        <v>5606</v>
      </c>
      <c r="D4035" s="92" t="s">
        <v>428</v>
      </c>
      <c r="E4035" s="92" t="s">
        <v>428</v>
      </c>
      <c r="F4035" t="s">
        <v>428</v>
      </c>
      <c r="G4035" t="s">
        <v>428</v>
      </c>
      <c r="H4035" t="s">
        <v>5617</v>
      </c>
      <c r="I4035">
        <v>0</v>
      </c>
      <c r="J4035" t="s">
        <v>87</v>
      </c>
      <c r="K4035">
        <v>0</v>
      </c>
      <c r="L4035">
        <v>0</v>
      </c>
    </row>
    <row r="4036" spans="1:12">
      <c r="A4036" s="93">
        <v>436614</v>
      </c>
      <c r="B4036" t="s">
        <v>4516</v>
      </c>
      <c r="C4036" t="s">
        <v>5604</v>
      </c>
      <c r="D4036" s="92">
        <v>0.46</v>
      </c>
      <c r="E4036" s="92">
        <v>0.4</v>
      </c>
      <c r="F4036" t="s">
        <v>428</v>
      </c>
      <c r="G4036" t="s">
        <v>428</v>
      </c>
      <c r="H4036" t="s">
        <v>5616</v>
      </c>
      <c r="I4036">
        <v>0</v>
      </c>
      <c r="J4036" t="s">
        <v>87</v>
      </c>
      <c r="K4036">
        <v>0</v>
      </c>
      <c r="L4036">
        <v>0</v>
      </c>
    </row>
    <row r="4037" spans="1:12">
      <c r="A4037" s="93">
        <v>436632</v>
      </c>
      <c r="B4037" t="s">
        <v>4517</v>
      </c>
      <c r="C4037" t="s">
        <v>5606</v>
      </c>
      <c r="D4037" s="92" t="s">
        <v>428</v>
      </c>
      <c r="E4037" s="92" t="s">
        <v>428</v>
      </c>
      <c r="F4037" t="s">
        <v>428</v>
      </c>
      <c r="G4037" t="s">
        <v>428</v>
      </c>
      <c r="H4037" t="s">
        <v>5617</v>
      </c>
      <c r="I4037">
        <v>0</v>
      </c>
      <c r="J4037" t="s">
        <v>87</v>
      </c>
      <c r="K4037">
        <v>0</v>
      </c>
      <c r="L4037">
        <v>0</v>
      </c>
    </row>
    <row r="4038" spans="1:12">
      <c r="A4038" s="93">
        <v>436818</v>
      </c>
      <c r="B4038" t="s">
        <v>4518</v>
      </c>
      <c r="C4038" t="s">
        <v>5608</v>
      </c>
      <c r="D4038" s="92">
        <v>0.5600000000000001</v>
      </c>
      <c r="E4038" s="92">
        <v>0.48</v>
      </c>
      <c r="F4038">
        <v>15</v>
      </c>
      <c r="G4038">
        <v>18.5</v>
      </c>
      <c r="H4038" t="s">
        <v>5615</v>
      </c>
      <c r="I4038">
        <v>0</v>
      </c>
      <c r="J4038" t="s">
        <v>87</v>
      </c>
      <c r="K4038">
        <v>0</v>
      </c>
      <c r="L4038">
        <v>0</v>
      </c>
    </row>
    <row r="4039" spans="1:12">
      <c r="A4039" s="93">
        <v>436827</v>
      </c>
      <c r="B4039" t="s">
        <v>4519</v>
      </c>
      <c r="C4039" t="s">
        <v>5602</v>
      </c>
      <c r="D4039" s="92">
        <v>0.53</v>
      </c>
      <c r="E4039" s="92">
        <v>0.45</v>
      </c>
      <c r="F4039">
        <v>19</v>
      </c>
      <c r="G4039">
        <v>21.5</v>
      </c>
      <c r="H4039" t="s">
        <v>5615</v>
      </c>
      <c r="I4039">
        <v>0</v>
      </c>
      <c r="J4039" t="s">
        <v>87</v>
      </c>
      <c r="K4039">
        <v>0</v>
      </c>
      <c r="L4039">
        <v>0</v>
      </c>
    </row>
    <row r="4040" spans="1:12">
      <c r="A4040" s="93">
        <v>436836</v>
      </c>
      <c r="B4040" t="s">
        <v>4520</v>
      </c>
      <c r="C4040" t="s">
        <v>5608</v>
      </c>
      <c r="D4040" s="92">
        <v>0.55</v>
      </c>
      <c r="E4040" s="92">
        <v>0.53</v>
      </c>
      <c r="F4040">
        <v>15</v>
      </c>
      <c r="G4040">
        <v>18.5</v>
      </c>
      <c r="H4040" t="s">
        <v>5615</v>
      </c>
      <c r="I4040">
        <v>0</v>
      </c>
      <c r="J4040" t="s">
        <v>87</v>
      </c>
      <c r="K4040">
        <v>0</v>
      </c>
      <c r="L4040">
        <v>0</v>
      </c>
    </row>
    <row r="4041" spans="1:12">
      <c r="A4041" s="93">
        <v>437042</v>
      </c>
      <c r="B4041" t="s">
        <v>4521</v>
      </c>
      <c r="C4041" t="s">
        <v>5607</v>
      </c>
      <c r="D4041" s="92">
        <v>1</v>
      </c>
      <c r="E4041" s="92">
        <v>1</v>
      </c>
      <c r="F4041" t="s">
        <v>428</v>
      </c>
      <c r="G4041" t="s">
        <v>428</v>
      </c>
      <c r="H4041" t="s">
        <v>5617</v>
      </c>
      <c r="I4041">
        <v>0</v>
      </c>
      <c r="J4041" t="s">
        <v>87</v>
      </c>
      <c r="K4041">
        <v>0</v>
      </c>
      <c r="L4041">
        <v>0</v>
      </c>
    </row>
    <row r="4042" spans="1:12">
      <c r="A4042" s="93">
        <v>437051</v>
      </c>
      <c r="B4042" t="s">
        <v>4522</v>
      </c>
      <c r="C4042" t="s">
        <v>5607</v>
      </c>
      <c r="D4042" s="92">
        <v>1</v>
      </c>
      <c r="E4042" s="92" t="s">
        <v>428</v>
      </c>
      <c r="F4042" t="s">
        <v>428</v>
      </c>
      <c r="G4042" t="s">
        <v>428</v>
      </c>
      <c r="H4042" t="s">
        <v>5617</v>
      </c>
      <c r="I4042">
        <v>0</v>
      </c>
      <c r="J4042" t="s">
        <v>87</v>
      </c>
      <c r="K4042">
        <v>0</v>
      </c>
      <c r="L4042">
        <v>0</v>
      </c>
    </row>
    <row r="4043" spans="1:12">
      <c r="A4043" s="93">
        <v>437060</v>
      </c>
      <c r="B4043" t="s">
        <v>4523</v>
      </c>
      <c r="C4043" t="s">
        <v>5606</v>
      </c>
      <c r="D4043" s="92" t="s">
        <v>428</v>
      </c>
      <c r="E4043" s="92" t="s">
        <v>428</v>
      </c>
      <c r="F4043" t="s">
        <v>428</v>
      </c>
      <c r="G4043" t="s">
        <v>428</v>
      </c>
      <c r="H4043" t="s">
        <v>5617</v>
      </c>
      <c r="I4043">
        <v>0</v>
      </c>
      <c r="J4043" t="s">
        <v>87</v>
      </c>
      <c r="K4043">
        <v>0</v>
      </c>
      <c r="L4043">
        <v>0</v>
      </c>
    </row>
    <row r="4044" spans="1:12">
      <c r="A4044" s="93">
        <v>437097</v>
      </c>
      <c r="B4044" t="s">
        <v>4524</v>
      </c>
      <c r="C4044" t="s">
        <v>5604</v>
      </c>
      <c r="D4044" s="92">
        <v>0.5</v>
      </c>
      <c r="E4044" s="92">
        <v>0</v>
      </c>
      <c r="F4044" t="s">
        <v>428</v>
      </c>
      <c r="G4044" t="s">
        <v>428</v>
      </c>
      <c r="H4044" t="s">
        <v>5615</v>
      </c>
      <c r="I4044">
        <v>0</v>
      </c>
      <c r="J4044" t="s">
        <v>87</v>
      </c>
      <c r="K4044">
        <v>0</v>
      </c>
      <c r="L4044">
        <v>0</v>
      </c>
    </row>
    <row r="4045" spans="1:12">
      <c r="A4045" s="93">
        <v>437103</v>
      </c>
      <c r="B4045" t="s">
        <v>4525</v>
      </c>
      <c r="C4045" t="s">
        <v>5606</v>
      </c>
      <c r="D4045" s="92">
        <v>0.23</v>
      </c>
      <c r="E4045" s="92">
        <v>0.17</v>
      </c>
      <c r="F4045" t="s">
        <v>428</v>
      </c>
      <c r="G4045" t="s">
        <v>428</v>
      </c>
      <c r="H4045" t="s">
        <v>5615</v>
      </c>
      <c r="I4045">
        <v>0</v>
      </c>
      <c r="J4045" t="s">
        <v>87</v>
      </c>
      <c r="K4045">
        <v>0</v>
      </c>
      <c r="L4045">
        <v>0</v>
      </c>
    </row>
    <row r="4046" spans="1:12">
      <c r="A4046" s="93">
        <v>437219</v>
      </c>
      <c r="B4046" t="s">
        <v>4526</v>
      </c>
      <c r="C4046" t="s">
        <v>5607</v>
      </c>
      <c r="D4046" s="92">
        <v>0.29</v>
      </c>
      <c r="E4046" s="92">
        <v>0.33</v>
      </c>
      <c r="F4046" t="s">
        <v>428</v>
      </c>
      <c r="G4046" t="s">
        <v>428</v>
      </c>
      <c r="H4046" t="s">
        <v>5617</v>
      </c>
      <c r="I4046">
        <v>0</v>
      </c>
      <c r="J4046" t="s">
        <v>87</v>
      </c>
      <c r="K4046">
        <v>0</v>
      </c>
      <c r="L4046">
        <v>0</v>
      </c>
    </row>
    <row r="4047" spans="1:12">
      <c r="A4047" s="93">
        <v>437237</v>
      </c>
      <c r="B4047" t="s">
        <v>4527</v>
      </c>
      <c r="C4047" t="s">
        <v>5606</v>
      </c>
      <c r="D4047" s="92" t="s">
        <v>428</v>
      </c>
      <c r="E4047" s="92" t="s">
        <v>428</v>
      </c>
      <c r="F4047" t="s">
        <v>428</v>
      </c>
      <c r="G4047" t="s">
        <v>428</v>
      </c>
      <c r="H4047" t="s">
        <v>5617</v>
      </c>
      <c r="I4047">
        <v>0</v>
      </c>
      <c r="J4047" t="s">
        <v>87</v>
      </c>
      <c r="K4047">
        <v>0</v>
      </c>
      <c r="L4047">
        <v>0</v>
      </c>
    </row>
    <row r="4048" spans="1:12">
      <c r="A4048" s="93">
        <v>437316</v>
      </c>
      <c r="B4048" t="s">
        <v>4528</v>
      </c>
      <c r="C4048" t="s">
        <v>5607</v>
      </c>
      <c r="D4048" s="92" t="s">
        <v>428</v>
      </c>
      <c r="E4048" s="92" t="s">
        <v>428</v>
      </c>
      <c r="F4048" t="s">
        <v>428</v>
      </c>
      <c r="G4048" t="s">
        <v>428</v>
      </c>
      <c r="H4048" t="s">
        <v>5615</v>
      </c>
      <c r="I4048">
        <v>0</v>
      </c>
      <c r="J4048" t="s">
        <v>87</v>
      </c>
      <c r="K4048">
        <v>0</v>
      </c>
      <c r="L4048">
        <v>0</v>
      </c>
    </row>
    <row r="4049" spans="1:12">
      <c r="A4049" s="93">
        <v>437325</v>
      </c>
      <c r="B4049" t="s">
        <v>4529</v>
      </c>
      <c r="C4049" t="s">
        <v>5607</v>
      </c>
      <c r="D4049" s="92" t="s">
        <v>428</v>
      </c>
      <c r="E4049" s="92" t="s">
        <v>428</v>
      </c>
      <c r="F4049" t="s">
        <v>428</v>
      </c>
      <c r="G4049" t="s">
        <v>428</v>
      </c>
      <c r="H4049" t="s">
        <v>5615</v>
      </c>
      <c r="I4049">
        <v>0</v>
      </c>
      <c r="J4049" t="s">
        <v>87</v>
      </c>
      <c r="K4049">
        <v>0</v>
      </c>
      <c r="L4049">
        <v>0</v>
      </c>
    </row>
    <row r="4050" spans="1:12">
      <c r="A4050" s="93">
        <v>437635</v>
      </c>
      <c r="B4050" t="s">
        <v>4530</v>
      </c>
      <c r="C4050" t="s">
        <v>5606</v>
      </c>
      <c r="D4050" s="92" t="s">
        <v>428</v>
      </c>
      <c r="E4050" s="92" t="s">
        <v>428</v>
      </c>
      <c r="F4050" t="s">
        <v>428</v>
      </c>
      <c r="G4050" t="s">
        <v>428</v>
      </c>
      <c r="H4050" t="s">
        <v>5617</v>
      </c>
      <c r="I4050">
        <v>0</v>
      </c>
      <c r="J4050" t="s">
        <v>87</v>
      </c>
      <c r="K4050">
        <v>0</v>
      </c>
      <c r="L4050">
        <v>0</v>
      </c>
    </row>
    <row r="4051" spans="1:12">
      <c r="A4051" s="93">
        <v>437705</v>
      </c>
      <c r="B4051" t="s">
        <v>4531</v>
      </c>
      <c r="C4051" t="s">
        <v>5609</v>
      </c>
      <c r="D4051" s="92" t="s">
        <v>428</v>
      </c>
      <c r="E4051" s="92" t="s">
        <v>428</v>
      </c>
      <c r="F4051" t="s">
        <v>428</v>
      </c>
      <c r="G4051" t="s">
        <v>428</v>
      </c>
      <c r="H4051" t="s">
        <v>5614</v>
      </c>
      <c r="I4051">
        <v>1</v>
      </c>
      <c r="J4051" t="s">
        <v>87</v>
      </c>
      <c r="K4051">
        <v>0</v>
      </c>
      <c r="L4051">
        <v>0</v>
      </c>
    </row>
    <row r="4052" spans="1:12">
      <c r="A4052" s="93">
        <v>437732</v>
      </c>
      <c r="B4052" t="s">
        <v>4532</v>
      </c>
      <c r="C4052" t="s">
        <v>5607</v>
      </c>
      <c r="D4052" s="92">
        <v>0.48</v>
      </c>
      <c r="E4052" s="92">
        <v>0.49</v>
      </c>
      <c r="F4052" t="s">
        <v>428</v>
      </c>
      <c r="G4052" t="s">
        <v>428</v>
      </c>
      <c r="H4052" t="s">
        <v>5617</v>
      </c>
      <c r="I4052">
        <v>0</v>
      </c>
      <c r="J4052" t="s">
        <v>87</v>
      </c>
      <c r="K4052">
        <v>0</v>
      </c>
      <c r="L4052">
        <v>0</v>
      </c>
    </row>
    <row r="4053" spans="1:12">
      <c r="A4053" s="93">
        <v>437750</v>
      </c>
      <c r="B4053" t="s">
        <v>4533</v>
      </c>
      <c r="C4053" t="s">
        <v>5606</v>
      </c>
      <c r="D4053" s="92" t="s">
        <v>428</v>
      </c>
      <c r="E4053" s="92" t="s">
        <v>428</v>
      </c>
      <c r="F4053" t="s">
        <v>428</v>
      </c>
      <c r="G4053" t="s">
        <v>428</v>
      </c>
      <c r="H4053" t="s">
        <v>5617</v>
      </c>
      <c r="I4053">
        <v>0</v>
      </c>
      <c r="J4053" t="s">
        <v>87</v>
      </c>
      <c r="K4053">
        <v>0</v>
      </c>
      <c r="L4053">
        <v>0</v>
      </c>
    </row>
    <row r="4054" spans="1:12">
      <c r="A4054" s="93">
        <v>437769</v>
      </c>
      <c r="B4054" t="s">
        <v>4534</v>
      </c>
      <c r="C4054" t="s">
        <v>5606</v>
      </c>
      <c r="D4054" s="92" t="s">
        <v>428</v>
      </c>
      <c r="E4054" s="92" t="s">
        <v>428</v>
      </c>
      <c r="F4054" t="s">
        <v>428</v>
      </c>
      <c r="G4054" t="s">
        <v>428</v>
      </c>
      <c r="H4054" t="s">
        <v>5617</v>
      </c>
      <c r="I4054">
        <v>0</v>
      </c>
      <c r="J4054" t="s">
        <v>87</v>
      </c>
      <c r="K4054">
        <v>0</v>
      </c>
      <c r="L4054">
        <v>0</v>
      </c>
    </row>
    <row r="4055" spans="1:12">
      <c r="A4055" s="93">
        <v>437936</v>
      </c>
      <c r="B4055" t="s">
        <v>4535</v>
      </c>
      <c r="C4055" t="s">
        <v>5609</v>
      </c>
      <c r="D4055" s="92">
        <v>0.6899999999999999</v>
      </c>
      <c r="E4055" s="92">
        <v>0.66</v>
      </c>
      <c r="F4055" t="s">
        <v>428</v>
      </c>
      <c r="G4055" t="s">
        <v>428</v>
      </c>
      <c r="H4055" t="s">
        <v>5617</v>
      </c>
      <c r="I4055">
        <v>0</v>
      </c>
      <c r="J4055" t="s">
        <v>87</v>
      </c>
      <c r="K4055">
        <v>0</v>
      </c>
      <c r="L4055">
        <v>0</v>
      </c>
    </row>
    <row r="4056" spans="1:12">
      <c r="A4056" s="93">
        <v>438151</v>
      </c>
      <c r="B4056" t="s">
        <v>3720</v>
      </c>
      <c r="C4056" t="s">
        <v>5604</v>
      </c>
      <c r="D4056" s="92">
        <v>0.14</v>
      </c>
      <c r="E4056" s="92">
        <v>0.09</v>
      </c>
      <c r="F4056" t="s">
        <v>428</v>
      </c>
      <c r="G4056" t="s">
        <v>428</v>
      </c>
      <c r="H4056" t="s">
        <v>5617</v>
      </c>
      <c r="I4056">
        <v>0</v>
      </c>
      <c r="J4056" t="s">
        <v>87</v>
      </c>
      <c r="K4056">
        <v>0</v>
      </c>
      <c r="L4056">
        <v>0</v>
      </c>
    </row>
    <row r="4057" spans="1:12">
      <c r="A4057" s="93">
        <v>438179</v>
      </c>
      <c r="B4057" t="s">
        <v>4536</v>
      </c>
      <c r="C4057" t="s">
        <v>5604</v>
      </c>
      <c r="D4057" s="92" t="s">
        <v>428</v>
      </c>
      <c r="E4057" s="92" t="s">
        <v>428</v>
      </c>
      <c r="F4057" t="s">
        <v>428</v>
      </c>
      <c r="G4057" t="s">
        <v>428</v>
      </c>
      <c r="H4057" t="s">
        <v>5617</v>
      </c>
      <c r="I4057">
        <v>0</v>
      </c>
      <c r="J4057" t="s">
        <v>87</v>
      </c>
      <c r="K4057">
        <v>0</v>
      </c>
      <c r="L4057">
        <v>0</v>
      </c>
    </row>
    <row r="4058" spans="1:12">
      <c r="A4058" s="93">
        <v>438212</v>
      </c>
      <c r="B4058" t="s">
        <v>3245</v>
      </c>
      <c r="C4058" t="s">
        <v>5606</v>
      </c>
      <c r="D4058" s="92" t="s">
        <v>428</v>
      </c>
      <c r="E4058" s="92" t="s">
        <v>428</v>
      </c>
      <c r="F4058" t="s">
        <v>428</v>
      </c>
      <c r="G4058" t="s">
        <v>428</v>
      </c>
      <c r="H4058" t="s">
        <v>5617</v>
      </c>
      <c r="I4058">
        <v>0</v>
      </c>
      <c r="J4058" t="s">
        <v>87</v>
      </c>
      <c r="K4058">
        <v>0</v>
      </c>
      <c r="L4058">
        <v>0</v>
      </c>
    </row>
    <row r="4059" spans="1:12">
      <c r="A4059" s="93">
        <v>438221</v>
      </c>
      <c r="B4059" t="s">
        <v>3245</v>
      </c>
      <c r="C4059" t="s">
        <v>5606</v>
      </c>
      <c r="D4059" s="92" t="s">
        <v>428</v>
      </c>
      <c r="E4059" s="92" t="s">
        <v>428</v>
      </c>
      <c r="F4059" t="s">
        <v>428</v>
      </c>
      <c r="G4059" t="s">
        <v>428</v>
      </c>
      <c r="H4059" t="s">
        <v>5617</v>
      </c>
      <c r="I4059">
        <v>0</v>
      </c>
      <c r="J4059" t="s">
        <v>87</v>
      </c>
      <c r="K4059">
        <v>0</v>
      </c>
      <c r="L4059">
        <v>0</v>
      </c>
    </row>
    <row r="4060" spans="1:12">
      <c r="A4060" s="93">
        <v>438258</v>
      </c>
      <c r="B4060" t="s">
        <v>4537</v>
      </c>
      <c r="C4060" t="s">
        <v>5609</v>
      </c>
      <c r="D4060" s="92">
        <v>0.68</v>
      </c>
      <c r="E4060" s="92">
        <v>0.68</v>
      </c>
      <c r="F4060" t="s">
        <v>428</v>
      </c>
      <c r="G4060" t="s">
        <v>428</v>
      </c>
      <c r="H4060" t="s">
        <v>5617</v>
      </c>
      <c r="I4060">
        <v>0</v>
      </c>
      <c r="J4060" t="s">
        <v>87</v>
      </c>
      <c r="K4060">
        <v>0</v>
      </c>
      <c r="L4060">
        <v>0</v>
      </c>
    </row>
    <row r="4061" spans="1:12">
      <c r="A4061" s="93">
        <v>438285</v>
      </c>
      <c r="B4061" t="s">
        <v>4538</v>
      </c>
      <c r="C4061" t="s">
        <v>5606</v>
      </c>
      <c r="D4061" s="92" t="s">
        <v>428</v>
      </c>
      <c r="E4061" s="92" t="s">
        <v>428</v>
      </c>
      <c r="F4061" t="s">
        <v>428</v>
      </c>
      <c r="G4061" t="s">
        <v>428</v>
      </c>
      <c r="H4061" t="s">
        <v>5617</v>
      </c>
      <c r="I4061">
        <v>0</v>
      </c>
      <c r="J4061" t="s">
        <v>87</v>
      </c>
      <c r="K4061">
        <v>0</v>
      </c>
      <c r="L4061">
        <v>0</v>
      </c>
    </row>
    <row r="4062" spans="1:12">
      <c r="A4062" s="93">
        <v>438498</v>
      </c>
      <c r="B4062" t="s">
        <v>4539</v>
      </c>
      <c r="C4062" t="s">
        <v>5604</v>
      </c>
      <c r="D4062" s="92">
        <v>0.2</v>
      </c>
      <c r="E4062" s="92">
        <v>0.33</v>
      </c>
      <c r="F4062" t="s">
        <v>428</v>
      </c>
      <c r="G4062" t="s">
        <v>428</v>
      </c>
      <c r="H4062" t="s">
        <v>5617</v>
      </c>
      <c r="I4062">
        <v>0</v>
      </c>
      <c r="J4062" t="s">
        <v>87</v>
      </c>
      <c r="K4062">
        <v>0</v>
      </c>
      <c r="L4062">
        <v>0</v>
      </c>
    </row>
    <row r="4063" spans="1:12">
      <c r="A4063" s="93">
        <v>438504</v>
      </c>
      <c r="B4063" t="s">
        <v>4540</v>
      </c>
      <c r="C4063" t="s">
        <v>5606</v>
      </c>
      <c r="D4063" s="92">
        <v>0.54</v>
      </c>
      <c r="E4063" s="92">
        <v>0.53</v>
      </c>
      <c r="F4063" t="s">
        <v>428</v>
      </c>
      <c r="G4063" t="s">
        <v>428</v>
      </c>
      <c r="H4063" t="s">
        <v>5617</v>
      </c>
      <c r="I4063">
        <v>0</v>
      </c>
      <c r="J4063" t="s">
        <v>87</v>
      </c>
      <c r="K4063">
        <v>0</v>
      </c>
      <c r="L4063">
        <v>0</v>
      </c>
    </row>
    <row r="4064" spans="1:12">
      <c r="A4064" s="93">
        <v>438586</v>
      </c>
      <c r="B4064" t="s">
        <v>4541</v>
      </c>
      <c r="C4064" t="s">
        <v>5604</v>
      </c>
      <c r="D4064" s="92">
        <v>0.24</v>
      </c>
      <c r="E4064" s="92">
        <v>0.24</v>
      </c>
      <c r="F4064" t="s">
        <v>428</v>
      </c>
      <c r="G4064" t="s">
        <v>428</v>
      </c>
      <c r="H4064" t="s">
        <v>5617</v>
      </c>
      <c r="I4064">
        <v>0</v>
      </c>
      <c r="J4064" t="s">
        <v>87</v>
      </c>
      <c r="K4064">
        <v>0</v>
      </c>
      <c r="L4064">
        <v>0</v>
      </c>
    </row>
    <row r="4065" spans="1:12">
      <c r="A4065" s="93">
        <v>438647</v>
      </c>
      <c r="B4065" t="s">
        <v>4542</v>
      </c>
      <c r="C4065" t="s">
        <v>5606</v>
      </c>
      <c r="D4065" s="92" t="s">
        <v>428</v>
      </c>
      <c r="E4065" s="92" t="s">
        <v>428</v>
      </c>
      <c r="F4065" t="s">
        <v>428</v>
      </c>
      <c r="G4065" t="s">
        <v>428</v>
      </c>
      <c r="H4065" t="s">
        <v>5617</v>
      </c>
      <c r="I4065">
        <v>0</v>
      </c>
      <c r="J4065" t="s">
        <v>87</v>
      </c>
      <c r="K4065">
        <v>0</v>
      </c>
      <c r="L4065">
        <v>0</v>
      </c>
    </row>
    <row r="4066" spans="1:12">
      <c r="A4066" s="93">
        <v>438674</v>
      </c>
      <c r="B4066" t="s">
        <v>4543</v>
      </c>
      <c r="C4066" t="s">
        <v>5606</v>
      </c>
      <c r="D4066" s="92" t="s">
        <v>428</v>
      </c>
      <c r="E4066" s="92" t="s">
        <v>428</v>
      </c>
      <c r="F4066" t="s">
        <v>428</v>
      </c>
      <c r="G4066" t="s">
        <v>428</v>
      </c>
      <c r="H4066" t="s">
        <v>5617</v>
      </c>
      <c r="I4066">
        <v>0</v>
      </c>
      <c r="J4066" t="s">
        <v>87</v>
      </c>
      <c r="K4066">
        <v>0</v>
      </c>
      <c r="L4066">
        <v>0</v>
      </c>
    </row>
    <row r="4067" spans="1:12">
      <c r="A4067" s="93">
        <v>438708</v>
      </c>
      <c r="B4067" t="s">
        <v>4544</v>
      </c>
      <c r="C4067" t="s">
        <v>5606</v>
      </c>
      <c r="D4067" s="92">
        <v>0.31</v>
      </c>
      <c r="E4067" s="92">
        <v>0</v>
      </c>
      <c r="F4067" t="s">
        <v>428</v>
      </c>
      <c r="G4067" t="s">
        <v>428</v>
      </c>
      <c r="H4067" t="s">
        <v>5615</v>
      </c>
      <c r="I4067">
        <v>0</v>
      </c>
      <c r="J4067" t="s">
        <v>87</v>
      </c>
      <c r="K4067">
        <v>0</v>
      </c>
      <c r="L4067">
        <v>0</v>
      </c>
    </row>
    <row r="4068" spans="1:12">
      <c r="A4068" s="93">
        <v>438735</v>
      </c>
      <c r="B4068" t="s">
        <v>4545</v>
      </c>
      <c r="C4068" t="s">
        <v>5606</v>
      </c>
      <c r="D4068" s="92" t="s">
        <v>428</v>
      </c>
      <c r="E4068" s="92" t="s">
        <v>428</v>
      </c>
      <c r="F4068" t="s">
        <v>428</v>
      </c>
      <c r="G4068" t="s">
        <v>428</v>
      </c>
      <c r="H4068" t="s">
        <v>5617</v>
      </c>
      <c r="I4068">
        <v>0</v>
      </c>
      <c r="J4068" t="s">
        <v>87</v>
      </c>
      <c r="K4068">
        <v>0</v>
      </c>
      <c r="L4068">
        <v>0</v>
      </c>
    </row>
    <row r="4069" spans="1:12">
      <c r="A4069" s="93">
        <v>438869</v>
      </c>
      <c r="B4069" t="s">
        <v>4546</v>
      </c>
      <c r="C4069" t="s">
        <v>5606</v>
      </c>
      <c r="D4069" s="92" t="s">
        <v>428</v>
      </c>
      <c r="E4069" s="92" t="s">
        <v>428</v>
      </c>
      <c r="F4069" t="s">
        <v>428</v>
      </c>
      <c r="G4069" t="s">
        <v>428</v>
      </c>
      <c r="H4069" t="s">
        <v>5617</v>
      </c>
      <c r="I4069">
        <v>0</v>
      </c>
      <c r="J4069" t="s">
        <v>87</v>
      </c>
      <c r="K4069">
        <v>0</v>
      </c>
      <c r="L4069">
        <v>0</v>
      </c>
    </row>
    <row r="4070" spans="1:12">
      <c r="A4070" s="93">
        <v>438902</v>
      </c>
      <c r="B4070" t="s">
        <v>4547</v>
      </c>
      <c r="C4070" t="s">
        <v>5607</v>
      </c>
      <c r="D4070" s="92">
        <v>1</v>
      </c>
      <c r="E4070" s="92">
        <v>1</v>
      </c>
      <c r="F4070" t="s">
        <v>428</v>
      </c>
      <c r="G4070" t="s">
        <v>428</v>
      </c>
      <c r="H4070" t="s">
        <v>5617</v>
      </c>
      <c r="I4070">
        <v>0</v>
      </c>
      <c r="J4070" t="s">
        <v>87</v>
      </c>
      <c r="K4070">
        <v>0</v>
      </c>
      <c r="L4070">
        <v>0</v>
      </c>
    </row>
    <row r="4071" spans="1:12">
      <c r="A4071" s="93">
        <v>439020</v>
      </c>
      <c r="B4071" t="s">
        <v>4548</v>
      </c>
      <c r="C4071" t="s">
        <v>5607</v>
      </c>
      <c r="D4071" s="92" t="s">
        <v>428</v>
      </c>
      <c r="E4071" s="92" t="s">
        <v>428</v>
      </c>
      <c r="F4071" t="s">
        <v>428</v>
      </c>
      <c r="G4071" t="s">
        <v>428</v>
      </c>
      <c r="H4071" t="s">
        <v>5615</v>
      </c>
      <c r="I4071">
        <v>0</v>
      </c>
      <c r="J4071" t="s">
        <v>87</v>
      </c>
      <c r="K4071">
        <v>0</v>
      </c>
      <c r="L4071">
        <v>1</v>
      </c>
    </row>
    <row r="4072" spans="1:12">
      <c r="A4072" s="93">
        <v>439057</v>
      </c>
      <c r="B4072" t="s">
        <v>4549</v>
      </c>
      <c r="C4072" t="s">
        <v>5607</v>
      </c>
      <c r="D4072" s="92">
        <v>1</v>
      </c>
      <c r="E4072" s="92" t="s">
        <v>428</v>
      </c>
      <c r="F4072" t="s">
        <v>428</v>
      </c>
      <c r="G4072" t="s">
        <v>428</v>
      </c>
      <c r="H4072" t="s">
        <v>5617</v>
      </c>
      <c r="I4072">
        <v>0</v>
      </c>
      <c r="J4072" t="s">
        <v>87</v>
      </c>
      <c r="K4072">
        <v>0</v>
      </c>
      <c r="L4072">
        <v>0</v>
      </c>
    </row>
    <row r="4073" spans="1:12">
      <c r="A4073" s="93">
        <v>439118</v>
      </c>
      <c r="B4073" t="s">
        <v>4550</v>
      </c>
      <c r="C4073" t="s">
        <v>5609</v>
      </c>
      <c r="D4073" s="92">
        <v>0.6899999999999999</v>
      </c>
      <c r="E4073" s="92">
        <v>0.7</v>
      </c>
      <c r="F4073" t="s">
        <v>428</v>
      </c>
      <c r="G4073" t="s">
        <v>428</v>
      </c>
      <c r="H4073" t="s">
        <v>5617</v>
      </c>
      <c r="I4073">
        <v>0</v>
      </c>
      <c r="J4073" t="s">
        <v>87</v>
      </c>
      <c r="K4073">
        <v>0</v>
      </c>
      <c r="L4073">
        <v>0</v>
      </c>
    </row>
    <row r="4074" spans="1:12">
      <c r="A4074" s="93">
        <v>439127</v>
      </c>
      <c r="B4074" t="s">
        <v>4551</v>
      </c>
      <c r="C4074" t="s">
        <v>5606</v>
      </c>
      <c r="D4074" s="92" t="s">
        <v>428</v>
      </c>
      <c r="E4074" s="92" t="s">
        <v>428</v>
      </c>
      <c r="F4074" t="s">
        <v>428</v>
      </c>
      <c r="G4074" t="s">
        <v>428</v>
      </c>
      <c r="H4074" t="s">
        <v>5617</v>
      </c>
      <c r="I4074">
        <v>0</v>
      </c>
      <c r="J4074" t="s">
        <v>87</v>
      </c>
      <c r="K4074">
        <v>0</v>
      </c>
      <c r="L4074">
        <v>0</v>
      </c>
    </row>
    <row r="4075" spans="1:12">
      <c r="A4075" s="93">
        <v>439136</v>
      </c>
      <c r="B4075" t="s">
        <v>4552</v>
      </c>
      <c r="C4075" t="s">
        <v>5607</v>
      </c>
      <c r="D4075" s="92" t="s">
        <v>428</v>
      </c>
      <c r="E4075" s="92" t="s">
        <v>428</v>
      </c>
      <c r="F4075" t="s">
        <v>428</v>
      </c>
      <c r="G4075" t="s">
        <v>428</v>
      </c>
      <c r="H4075" t="s">
        <v>5617</v>
      </c>
      <c r="I4075">
        <v>0</v>
      </c>
      <c r="J4075" t="s">
        <v>87</v>
      </c>
      <c r="K4075">
        <v>0</v>
      </c>
      <c r="L4075">
        <v>0</v>
      </c>
    </row>
    <row r="4076" spans="1:12">
      <c r="A4076" s="93">
        <v>439145</v>
      </c>
      <c r="B4076" t="s">
        <v>4553</v>
      </c>
      <c r="C4076" t="s">
        <v>5606</v>
      </c>
      <c r="D4076" s="92">
        <v>0.51</v>
      </c>
      <c r="E4076" s="92">
        <v>0.45</v>
      </c>
      <c r="F4076" t="s">
        <v>428</v>
      </c>
      <c r="G4076" t="s">
        <v>428</v>
      </c>
      <c r="H4076" t="s">
        <v>5615</v>
      </c>
      <c r="I4076">
        <v>0</v>
      </c>
      <c r="J4076" t="s">
        <v>87</v>
      </c>
      <c r="K4076">
        <v>0</v>
      </c>
      <c r="L4076">
        <v>0</v>
      </c>
    </row>
    <row r="4077" spans="1:12">
      <c r="A4077" s="93">
        <v>439190</v>
      </c>
      <c r="B4077" t="s">
        <v>4554</v>
      </c>
      <c r="C4077" t="s">
        <v>5604</v>
      </c>
      <c r="D4077" s="92">
        <v>0.29</v>
      </c>
      <c r="E4077" s="92">
        <v>0.12</v>
      </c>
      <c r="F4077" t="s">
        <v>428</v>
      </c>
      <c r="G4077" t="s">
        <v>428</v>
      </c>
      <c r="H4077" t="s">
        <v>5615</v>
      </c>
      <c r="I4077">
        <v>0</v>
      </c>
      <c r="J4077" t="s">
        <v>87</v>
      </c>
      <c r="K4077">
        <v>0</v>
      </c>
      <c r="L4077">
        <v>0</v>
      </c>
    </row>
    <row r="4078" spans="1:12">
      <c r="A4078" s="93">
        <v>439288</v>
      </c>
      <c r="B4078" t="s">
        <v>4555</v>
      </c>
      <c r="C4078" t="s">
        <v>5607</v>
      </c>
      <c r="D4078" s="92">
        <v>0.48</v>
      </c>
      <c r="E4078" s="92">
        <v>0.45</v>
      </c>
      <c r="F4078" t="s">
        <v>428</v>
      </c>
      <c r="G4078" t="s">
        <v>428</v>
      </c>
      <c r="H4078" t="s">
        <v>5617</v>
      </c>
      <c r="I4078">
        <v>0</v>
      </c>
      <c r="J4078" t="s">
        <v>87</v>
      </c>
      <c r="K4078">
        <v>0</v>
      </c>
      <c r="L4078">
        <v>0</v>
      </c>
    </row>
    <row r="4079" spans="1:12">
      <c r="A4079" s="93">
        <v>439297</v>
      </c>
      <c r="B4079" t="s">
        <v>4556</v>
      </c>
      <c r="C4079" t="s">
        <v>5607</v>
      </c>
      <c r="D4079" s="92">
        <v>0.14</v>
      </c>
      <c r="E4079" s="92">
        <v>0.16</v>
      </c>
      <c r="F4079" t="s">
        <v>428</v>
      </c>
      <c r="G4079" t="s">
        <v>428</v>
      </c>
      <c r="H4079" t="s">
        <v>5617</v>
      </c>
      <c r="I4079">
        <v>0</v>
      </c>
      <c r="J4079" t="s">
        <v>87</v>
      </c>
      <c r="K4079">
        <v>0</v>
      </c>
      <c r="L4079">
        <v>0</v>
      </c>
    </row>
    <row r="4080" spans="1:12">
      <c r="A4080" s="93">
        <v>439367</v>
      </c>
      <c r="B4080" t="s">
        <v>4557</v>
      </c>
      <c r="C4080" t="s">
        <v>5606</v>
      </c>
      <c r="D4080" s="92" t="s">
        <v>428</v>
      </c>
      <c r="E4080" s="92" t="s">
        <v>428</v>
      </c>
      <c r="F4080" t="s">
        <v>428</v>
      </c>
      <c r="G4080" t="s">
        <v>428</v>
      </c>
      <c r="H4080" t="s">
        <v>5617</v>
      </c>
      <c r="I4080">
        <v>0</v>
      </c>
      <c r="J4080" t="s">
        <v>87</v>
      </c>
      <c r="K4080">
        <v>0</v>
      </c>
      <c r="L4080">
        <v>0</v>
      </c>
    </row>
    <row r="4081" spans="1:12">
      <c r="A4081" s="93">
        <v>439394</v>
      </c>
      <c r="B4081" t="s">
        <v>4558</v>
      </c>
      <c r="C4081" t="s">
        <v>5604</v>
      </c>
      <c r="D4081" s="92" t="s">
        <v>428</v>
      </c>
      <c r="E4081" s="92" t="s">
        <v>428</v>
      </c>
      <c r="F4081" t="s">
        <v>428</v>
      </c>
      <c r="G4081" t="s">
        <v>428</v>
      </c>
      <c r="H4081" t="s">
        <v>5615</v>
      </c>
      <c r="I4081">
        <v>0</v>
      </c>
      <c r="J4081" t="s">
        <v>87</v>
      </c>
      <c r="K4081">
        <v>0</v>
      </c>
      <c r="L4081">
        <v>0</v>
      </c>
    </row>
    <row r="4082" spans="1:12">
      <c r="A4082" s="93">
        <v>439446</v>
      </c>
      <c r="B4082" t="s">
        <v>4559</v>
      </c>
      <c r="C4082" t="s">
        <v>5607</v>
      </c>
      <c r="D4082" s="92" t="s">
        <v>428</v>
      </c>
      <c r="E4082" s="92" t="s">
        <v>428</v>
      </c>
      <c r="F4082" t="s">
        <v>428</v>
      </c>
      <c r="G4082" t="s">
        <v>428</v>
      </c>
      <c r="H4082" t="s">
        <v>5615</v>
      </c>
      <c r="I4082">
        <v>0</v>
      </c>
      <c r="J4082" t="s">
        <v>87</v>
      </c>
      <c r="K4082">
        <v>0</v>
      </c>
      <c r="L4082">
        <v>0</v>
      </c>
    </row>
    <row r="4083" spans="1:12">
      <c r="A4083" s="93">
        <v>439482</v>
      </c>
      <c r="B4083" t="s">
        <v>4560</v>
      </c>
      <c r="C4083" t="s">
        <v>5606</v>
      </c>
      <c r="D4083" s="92" t="s">
        <v>428</v>
      </c>
      <c r="E4083" s="92" t="s">
        <v>428</v>
      </c>
      <c r="F4083" t="s">
        <v>428</v>
      </c>
      <c r="G4083" t="s">
        <v>428</v>
      </c>
      <c r="H4083" t="s">
        <v>5617</v>
      </c>
      <c r="I4083">
        <v>0</v>
      </c>
      <c r="J4083" t="s">
        <v>87</v>
      </c>
      <c r="K4083">
        <v>0</v>
      </c>
      <c r="L4083">
        <v>0</v>
      </c>
    </row>
    <row r="4084" spans="1:12">
      <c r="A4084" s="93">
        <v>439491</v>
      </c>
      <c r="B4084" t="s">
        <v>4561</v>
      </c>
      <c r="C4084" t="s">
        <v>5606</v>
      </c>
      <c r="D4084" s="92" t="s">
        <v>428</v>
      </c>
      <c r="E4084" s="92" t="s">
        <v>428</v>
      </c>
      <c r="F4084" t="s">
        <v>428</v>
      </c>
      <c r="G4084" t="s">
        <v>428</v>
      </c>
      <c r="H4084" t="s">
        <v>5617</v>
      </c>
      <c r="I4084">
        <v>0</v>
      </c>
      <c r="J4084" t="s">
        <v>87</v>
      </c>
      <c r="K4084">
        <v>0</v>
      </c>
      <c r="L4084">
        <v>0</v>
      </c>
    </row>
    <row r="4085" spans="1:12">
      <c r="A4085" s="93">
        <v>439570</v>
      </c>
      <c r="B4085" t="s">
        <v>4562</v>
      </c>
      <c r="C4085" t="s">
        <v>5606</v>
      </c>
      <c r="D4085" s="92" t="s">
        <v>428</v>
      </c>
      <c r="E4085" s="92" t="s">
        <v>428</v>
      </c>
      <c r="F4085" t="s">
        <v>428</v>
      </c>
      <c r="G4085" t="s">
        <v>428</v>
      </c>
      <c r="H4085" t="s">
        <v>5617</v>
      </c>
      <c r="I4085">
        <v>0</v>
      </c>
      <c r="J4085" t="s">
        <v>87</v>
      </c>
      <c r="K4085">
        <v>0</v>
      </c>
      <c r="L4085">
        <v>0</v>
      </c>
    </row>
    <row r="4086" spans="1:12">
      <c r="A4086" s="93">
        <v>439613</v>
      </c>
      <c r="B4086" t="s">
        <v>4563</v>
      </c>
      <c r="C4086" t="s">
        <v>5604</v>
      </c>
      <c r="D4086" s="92">
        <v>0.2</v>
      </c>
      <c r="E4086" s="92">
        <v>0.24</v>
      </c>
      <c r="F4086" t="s">
        <v>428</v>
      </c>
      <c r="G4086" t="s">
        <v>428</v>
      </c>
      <c r="H4086" t="s">
        <v>5616</v>
      </c>
      <c r="I4086">
        <v>0</v>
      </c>
      <c r="J4086" t="s">
        <v>87</v>
      </c>
      <c r="K4086">
        <v>0</v>
      </c>
      <c r="L4086">
        <v>0</v>
      </c>
    </row>
    <row r="4087" spans="1:12">
      <c r="A4087" s="93">
        <v>439701</v>
      </c>
      <c r="B4087" t="s">
        <v>4564</v>
      </c>
      <c r="C4087" t="s">
        <v>5603</v>
      </c>
      <c r="D4087" s="92">
        <v>0.17</v>
      </c>
      <c r="E4087" s="92" t="s">
        <v>428</v>
      </c>
      <c r="F4087">
        <v>22</v>
      </c>
      <c r="G4087">
        <v>24.5</v>
      </c>
      <c r="H4087" t="s">
        <v>5617</v>
      </c>
      <c r="I4087">
        <v>0</v>
      </c>
      <c r="J4087" t="s">
        <v>87</v>
      </c>
      <c r="K4087">
        <v>0</v>
      </c>
      <c r="L4087">
        <v>0</v>
      </c>
    </row>
    <row r="4088" spans="1:12">
      <c r="A4088" s="93">
        <v>439738</v>
      </c>
      <c r="B4088" t="s">
        <v>4565</v>
      </c>
      <c r="C4088" t="s">
        <v>5606</v>
      </c>
      <c r="D4088" s="92" t="s">
        <v>428</v>
      </c>
      <c r="E4088" s="92" t="s">
        <v>428</v>
      </c>
      <c r="F4088" t="s">
        <v>428</v>
      </c>
      <c r="G4088" t="s">
        <v>428</v>
      </c>
      <c r="H4088" t="s">
        <v>5617</v>
      </c>
      <c r="I4088">
        <v>0</v>
      </c>
      <c r="J4088" t="s">
        <v>87</v>
      </c>
      <c r="K4088">
        <v>0</v>
      </c>
      <c r="L4088">
        <v>0</v>
      </c>
    </row>
    <row r="4089" spans="1:12">
      <c r="A4089" s="93">
        <v>439783</v>
      </c>
      <c r="B4089" t="s">
        <v>4566</v>
      </c>
      <c r="C4089" t="s">
        <v>5607</v>
      </c>
      <c r="D4089" s="92" t="s">
        <v>428</v>
      </c>
      <c r="E4089" s="92" t="s">
        <v>428</v>
      </c>
      <c r="F4089" t="s">
        <v>428</v>
      </c>
      <c r="G4089" t="s">
        <v>428</v>
      </c>
      <c r="H4089" t="s">
        <v>5615</v>
      </c>
      <c r="I4089">
        <v>0</v>
      </c>
      <c r="J4089" t="s">
        <v>87</v>
      </c>
      <c r="K4089">
        <v>0</v>
      </c>
      <c r="L4089">
        <v>0</v>
      </c>
    </row>
    <row r="4090" spans="1:12">
      <c r="A4090" s="93">
        <v>439792</v>
      </c>
      <c r="B4090" t="s">
        <v>4567</v>
      </c>
      <c r="C4090" t="s">
        <v>5606</v>
      </c>
      <c r="D4090" s="92" t="s">
        <v>428</v>
      </c>
      <c r="E4090" s="92" t="s">
        <v>428</v>
      </c>
      <c r="F4090" t="s">
        <v>428</v>
      </c>
      <c r="G4090" t="s">
        <v>428</v>
      </c>
      <c r="H4090" t="s">
        <v>5617</v>
      </c>
      <c r="I4090">
        <v>0</v>
      </c>
      <c r="J4090" t="s">
        <v>87</v>
      </c>
      <c r="K4090">
        <v>0</v>
      </c>
      <c r="L4090">
        <v>0</v>
      </c>
    </row>
    <row r="4091" spans="1:12">
      <c r="A4091" s="93">
        <v>439817</v>
      </c>
      <c r="B4091" t="s">
        <v>4568</v>
      </c>
      <c r="C4091" t="s">
        <v>5607</v>
      </c>
      <c r="D4091" s="92" t="s">
        <v>428</v>
      </c>
      <c r="E4091" s="92" t="s">
        <v>428</v>
      </c>
      <c r="F4091" t="s">
        <v>428</v>
      </c>
      <c r="G4091" t="s">
        <v>428</v>
      </c>
      <c r="H4091" t="s">
        <v>5615</v>
      </c>
      <c r="I4091">
        <v>0</v>
      </c>
      <c r="J4091" t="s">
        <v>87</v>
      </c>
      <c r="K4091">
        <v>0</v>
      </c>
      <c r="L4091">
        <v>0</v>
      </c>
    </row>
    <row r="4092" spans="1:12">
      <c r="A4092" s="93">
        <v>439862</v>
      </c>
      <c r="B4092" t="s">
        <v>4569</v>
      </c>
      <c r="C4092" t="s">
        <v>5607</v>
      </c>
      <c r="D4092" s="92">
        <v>0.71</v>
      </c>
      <c r="E4092" s="92" t="s">
        <v>428</v>
      </c>
      <c r="F4092" t="s">
        <v>428</v>
      </c>
      <c r="G4092" t="s">
        <v>428</v>
      </c>
      <c r="H4092" t="s">
        <v>5624</v>
      </c>
      <c r="I4092">
        <v>1</v>
      </c>
      <c r="J4092" t="s">
        <v>87</v>
      </c>
      <c r="K4092">
        <v>0</v>
      </c>
      <c r="L4092">
        <v>0</v>
      </c>
    </row>
    <row r="4093" spans="1:12">
      <c r="A4093" s="93">
        <v>439871</v>
      </c>
      <c r="B4093" t="s">
        <v>4570</v>
      </c>
      <c r="C4093" t="s">
        <v>5606</v>
      </c>
      <c r="D4093" s="92" t="s">
        <v>428</v>
      </c>
      <c r="E4093" s="92" t="s">
        <v>428</v>
      </c>
      <c r="F4093" t="s">
        <v>428</v>
      </c>
      <c r="G4093" t="s">
        <v>428</v>
      </c>
      <c r="H4093" t="s">
        <v>5617</v>
      </c>
      <c r="I4093">
        <v>0</v>
      </c>
      <c r="J4093" t="s">
        <v>87</v>
      </c>
      <c r="K4093">
        <v>0</v>
      </c>
      <c r="L4093">
        <v>0</v>
      </c>
    </row>
    <row r="4094" spans="1:12">
      <c r="A4094" s="93">
        <v>439899</v>
      </c>
      <c r="B4094" t="s">
        <v>4571</v>
      </c>
      <c r="C4094" t="s">
        <v>5606</v>
      </c>
      <c r="D4094" s="92" t="s">
        <v>428</v>
      </c>
      <c r="E4094" s="92" t="s">
        <v>428</v>
      </c>
      <c r="F4094" t="s">
        <v>428</v>
      </c>
      <c r="G4094" t="s">
        <v>428</v>
      </c>
      <c r="H4094" t="s">
        <v>5616</v>
      </c>
      <c r="I4094">
        <v>0</v>
      </c>
      <c r="J4094" t="s">
        <v>87</v>
      </c>
      <c r="K4094">
        <v>0</v>
      </c>
      <c r="L4094">
        <v>0</v>
      </c>
    </row>
    <row r="4095" spans="1:12">
      <c r="A4095" s="93">
        <v>439914</v>
      </c>
      <c r="B4095" t="s">
        <v>4572</v>
      </c>
      <c r="C4095" t="s">
        <v>5607</v>
      </c>
      <c r="D4095" s="92" t="s">
        <v>428</v>
      </c>
      <c r="E4095" s="92" t="s">
        <v>428</v>
      </c>
      <c r="F4095" t="s">
        <v>428</v>
      </c>
      <c r="G4095" t="s">
        <v>428</v>
      </c>
      <c r="H4095" t="s">
        <v>5615</v>
      </c>
      <c r="I4095">
        <v>0</v>
      </c>
      <c r="J4095" t="s">
        <v>87</v>
      </c>
      <c r="K4095">
        <v>0</v>
      </c>
      <c r="L4095">
        <v>0</v>
      </c>
    </row>
    <row r="4096" spans="1:12">
      <c r="A4096" s="93">
        <v>439969</v>
      </c>
      <c r="B4096" t="s">
        <v>4573</v>
      </c>
      <c r="C4096" t="s">
        <v>5604</v>
      </c>
      <c r="D4096" s="92" t="s">
        <v>428</v>
      </c>
      <c r="E4096" s="92" t="s">
        <v>428</v>
      </c>
      <c r="F4096" t="s">
        <v>428</v>
      </c>
      <c r="G4096" t="s">
        <v>428</v>
      </c>
      <c r="H4096" t="s">
        <v>5617</v>
      </c>
      <c r="I4096">
        <v>0</v>
      </c>
      <c r="J4096" t="s">
        <v>87</v>
      </c>
      <c r="K4096">
        <v>0</v>
      </c>
      <c r="L4096">
        <v>0</v>
      </c>
    </row>
    <row r="4097" spans="1:12">
      <c r="A4097" s="93">
        <v>440004</v>
      </c>
      <c r="B4097" t="s">
        <v>4574</v>
      </c>
      <c r="C4097" t="s">
        <v>5607</v>
      </c>
      <c r="D4097" s="92" t="s">
        <v>428</v>
      </c>
      <c r="E4097" s="92" t="s">
        <v>428</v>
      </c>
      <c r="F4097" t="s">
        <v>428</v>
      </c>
      <c r="G4097" t="s">
        <v>428</v>
      </c>
      <c r="H4097" t="s">
        <v>5615</v>
      </c>
      <c r="I4097">
        <v>0</v>
      </c>
      <c r="J4097" t="s">
        <v>87</v>
      </c>
      <c r="K4097">
        <v>0</v>
      </c>
      <c r="L4097">
        <v>0</v>
      </c>
    </row>
    <row r="4098" spans="1:12">
      <c r="A4098" s="93">
        <v>440031</v>
      </c>
      <c r="B4098" t="s">
        <v>4575</v>
      </c>
      <c r="C4098" t="s">
        <v>5607</v>
      </c>
      <c r="D4098" s="92" t="s">
        <v>428</v>
      </c>
      <c r="E4098" s="92" t="s">
        <v>428</v>
      </c>
      <c r="F4098" t="s">
        <v>428</v>
      </c>
      <c r="G4098" t="s">
        <v>428</v>
      </c>
      <c r="H4098" t="s">
        <v>5615</v>
      </c>
      <c r="I4098">
        <v>0</v>
      </c>
      <c r="J4098" t="s">
        <v>87</v>
      </c>
      <c r="K4098">
        <v>0</v>
      </c>
      <c r="L4098">
        <v>0</v>
      </c>
    </row>
    <row r="4099" spans="1:12">
      <c r="A4099" s="93">
        <v>440059</v>
      </c>
      <c r="B4099" t="s">
        <v>4576</v>
      </c>
      <c r="C4099" t="s">
        <v>5606</v>
      </c>
      <c r="D4099" s="92" t="s">
        <v>428</v>
      </c>
      <c r="E4099" s="92" t="s">
        <v>428</v>
      </c>
      <c r="F4099" t="s">
        <v>428</v>
      </c>
      <c r="G4099" t="s">
        <v>428</v>
      </c>
      <c r="H4099" t="s">
        <v>5617</v>
      </c>
      <c r="I4099">
        <v>0</v>
      </c>
      <c r="J4099" t="s">
        <v>87</v>
      </c>
      <c r="K4099">
        <v>0</v>
      </c>
      <c r="L4099">
        <v>0</v>
      </c>
    </row>
    <row r="4100" spans="1:12">
      <c r="A4100" s="93">
        <v>440174</v>
      </c>
      <c r="B4100" t="s">
        <v>4577</v>
      </c>
      <c r="C4100" t="s">
        <v>5606</v>
      </c>
      <c r="D4100" s="92" t="s">
        <v>428</v>
      </c>
      <c r="E4100" s="92" t="s">
        <v>428</v>
      </c>
      <c r="F4100" t="s">
        <v>428</v>
      </c>
      <c r="G4100" t="s">
        <v>428</v>
      </c>
      <c r="H4100" t="s">
        <v>5617</v>
      </c>
      <c r="I4100">
        <v>0</v>
      </c>
      <c r="J4100" t="s">
        <v>87</v>
      </c>
      <c r="K4100">
        <v>0</v>
      </c>
      <c r="L4100">
        <v>0</v>
      </c>
    </row>
    <row r="4101" spans="1:12">
      <c r="A4101" s="93">
        <v>440262</v>
      </c>
      <c r="B4101" t="s">
        <v>4578</v>
      </c>
      <c r="C4101" t="s">
        <v>5606</v>
      </c>
      <c r="D4101" s="92" t="s">
        <v>428</v>
      </c>
      <c r="E4101" s="92" t="s">
        <v>428</v>
      </c>
      <c r="F4101" t="s">
        <v>428</v>
      </c>
      <c r="G4101" t="s">
        <v>428</v>
      </c>
      <c r="H4101" t="s">
        <v>5617</v>
      </c>
      <c r="I4101">
        <v>0</v>
      </c>
      <c r="J4101" t="s">
        <v>87</v>
      </c>
      <c r="K4101">
        <v>0</v>
      </c>
      <c r="L4101">
        <v>0</v>
      </c>
    </row>
    <row r="4102" spans="1:12">
      <c r="A4102" s="93">
        <v>440271</v>
      </c>
      <c r="B4102" t="s">
        <v>4579</v>
      </c>
      <c r="C4102" t="s">
        <v>5606</v>
      </c>
      <c r="D4102" s="92" t="s">
        <v>428</v>
      </c>
      <c r="E4102" s="92" t="s">
        <v>428</v>
      </c>
      <c r="F4102" t="s">
        <v>428</v>
      </c>
      <c r="G4102" t="s">
        <v>428</v>
      </c>
      <c r="H4102" t="s">
        <v>5617</v>
      </c>
      <c r="I4102">
        <v>0</v>
      </c>
      <c r="J4102" t="s">
        <v>87</v>
      </c>
      <c r="K4102">
        <v>0</v>
      </c>
      <c r="L4102">
        <v>0</v>
      </c>
    </row>
    <row r="4103" spans="1:12">
      <c r="A4103" s="93">
        <v>440323</v>
      </c>
      <c r="B4103" t="s">
        <v>4580</v>
      </c>
      <c r="C4103" t="s">
        <v>5606</v>
      </c>
      <c r="D4103" s="92" t="s">
        <v>428</v>
      </c>
      <c r="E4103" s="92" t="s">
        <v>428</v>
      </c>
      <c r="F4103" t="s">
        <v>428</v>
      </c>
      <c r="G4103" t="s">
        <v>428</v>
      </c>
      <c r="H4103" t="s">
        <v>5617</v>
      </c>
      <c r="I4103">
        <v>0</v>
      </c>
      <c r="J4103" t="s">
        <v>87</v>
      </c>
      <c r="K4103">
        <v>0</v>
      </c>
      <c r="L4103">
        <v>0</v>
      </c>
    </row>
    <row r="4104" spans="1:12">
      <c r="A4104" s="93">
        <v>440332</v>
      </c>
      <c r="B4104" t="s">
        <v>4581</v>
      </c>
      <c r="C4104" t="s">
        <v>5606</v>
      </c>
      <c r="D4104" s="92" t="s">
        <v>428</v>
      </c>
      <c r="E4104" s="92" t="s">
        <v>428</v>
      </c>
      <c r="F4104" t="s">
        <v>428</v>
      </c>
      <c r="G4104" t="s">
        <v>428</v>
      </c>
      <c r="H4104" t="s">
        <v>5617</v>
      </c>
      <c r="I4104">
        <v>0</v>
      </c>
      <c r="J4104" t="s">
        <v>87</v>
      </c>
      <c r="K4104">
        <v>0</v>
      </c>
      <c r="L4104">
        <v>0</v>
      </c>
    </row>
    <row r="4105" spans="1:12">
      <c r="A4105" s="93">
        <v>440341</v>
      </c>
      <c r="B4105" t="s">
        <v>4582</v>
      </c>
      <c r="C4105" t="s">
        <v>5604</v>
      </c>
      <c r="D4105" s="92">
        <v>0.24</v>
      </c>
      <c r="E4105" s="92">
        <v>0.2</v>
      </c>
      <c r="F4105" t="s">
        <v>428</v>
      </c>
      <c r="G4105" t="s">
        <v>428</v>
      </c>
      <c r="H4105" t="s">
        <v>5617</v>
      </c>
      <c r="I4105">
        <v>0</v>
      </c>
      <c r="J4105" t="s">
        <v>87</v>
      </c>
      <c r="K4105">
        <v>0</v>
      </c>
      <c r="L4105">
        <v>0</v>
      </c>
    </row>
    <row r="4106" spans="1:12">
      <c r="A4106" s="93">
        <v>440396</v>
      </c>
      <c r="B4106" t="s">
        <v>4583</v>
      </c>
      <c r="C4106" t="s">
        <v>5604</v>
      </c>
      <c r="D4106" s="92">
        <v>0.55</v>
      </c>
      <c r="E4106" s="92">
        <v>0</v>
      </c>
      <c r="F4106">
        <v>23</v>
      </c>
      <c r="G4106">
        <v>25.5</v>
      </c>
      <c r="H4106" t="s">
        <v>5620</v>
      </c>
      <c r="I4106">
        <v>0</v>
      </c>
      <c r="J4106" t="s">
        <v>87</v>
      </c>
      <c r="K4106">
        <v>0</v>
      </c>
      <c r="L4106">
        <v>0</v>
      </c>
    </row>
    <row r="4107" spans="1:12">
      <c r="A4107" s="93">
        <v>440402</v>
      </c>
      <c r="B4107" t="s">
        <v>4584</v>
      </c>
      <c r="C4107" t="s">
        <v>5606</v>
      </c>
      <c r="D4107" s="92">
        <v>0.36</v>
      </c>
      <c r="E4107" s="92">
        <v>0.22</v>
      </c>
      <c r="F4107" t="s">
        <v>428</v>
      </c>
      <c r="G4107" t="s">
        <v>428</v>
      </c>
      <c r="H4107" t="s">
        <v>5615</v>
      </c>
      <c r="I4107">
        <v>0</v>
      </c>
      <c r="J4107" t="s">
        <v>87</v>
      </c>
      <c r="K4107">
        <v>0</v>
      </c>
      <c r="L4107">
        <v>0</v>
      </c>
    </row>
    <row r="4108" spans="1:12">
      <c r="A4108" s="93">
        <v>440411</v>
      </c>
      <c r="B4108" t="s">
        <v>4585</v>
      </c>
      <c r="C4108" t="s">
        <v>5607</v>
      </c>
      <c r="D4108" s="92" t="s">
        <v>428</v>
      </c>
      <c r="E4108" s="92" t="s">
        <v>428</v>
      </c>
      <c r="F4108" t="s">
        <v>428</v>
      </c>
      <c r="G4108" t="s">
        <v>428</v>
      </c>
      <c r="H4108" t="s">
        <v>5615</v>
      </c>
      <c r="I4108">
        <v>0</v>
      </c>
      <c r="J4108" t="s">
        <v>87</v>
      </c>
      <c r="K4108">
        <v>0</v>
      </c>
      <c r="L4108">
        <v>0</v>
      </c>
    </row>
    <row r="4109" spans="1:12">
      <c r="A4109" s="93">
        <v>440420</v>
      </c>
      <c r="B4109" t="s">
        <v>4586</v>
      </c>
      <c r="C4109" t="s">
        <v>5607</v>
      </c>
      <c r="D4109" s="92">
        <v>0.08</v>
      </c>
      <c r="E4109" s="92">
        <v>0.1</v>
      </c>
      <c r="F4109" t="s">
        <v>428</v>
      </c>
      <c r="G4109" t="s">
        <v>428</v>
      </c>
      <c r="H4109" t="s">
        <v>5617</v>
      </c>
      <c r="I4109">
        <v>0</v>
      </c>
      <c r="J4109" t="s">
        <v>87</v>
      </c>
      <c r="K4109">
        <v>0</v>
      </c>
      <c r="L4109">
        <v>0</v>
      </c>
    </row>
    <row r="4110" spans="1:12">
      <c r="A4110" s="93">
        <v>440457</v>
      </c>
      <c r="B4110" t="s">
        <v>4587</v>
      </c>
      <c r="C4110" t="s">
        <v>5607</v>
      </c>
      <c r="D4110" s="92">
        <v>0.08</v>
      </c>
      <c r="E4110" s="92">
        <v>0.11</v>
      </c>
      <c r="F4110" t="s">
        <v>428</v>
      </c>
      <c r="G4110" t="s">
        <v>428</v>
      </c>
      <c r="H4110" t="s">
        <v>5617</v>
      </c>
      <c r="I4110">
        <v>0</v>
      </c>
      <c r="J4110" t="s">
        <v>87</v>
      </c>
      <c r="K4110">
        <v>0</v>
      </c>
      <c r="L4110">
        <v>0</v>
      </c>
    </row>
    <row r="4111" spans="1:12">
      <c r="A4111" s="93">
        <v>440466</v>
      </c>
      <c r="B4111" t="s">
        <v>4588</v>
      </c>
      <c r="C4111" t="s">
        <v>5607</v>
      </c>
      <c r="D4111" s="92">
        <v>0.1</v>
      </c>
      <c r="E4111" s="92">
        <v>0.13</v>
      </c>
      <c r="F4111" t="s">
        <v>428</v>
      </c>
      <c r="G4111" t="s">
        <v>428</v>
      </c>
      <c r="H4111" t="s">
        <v>5617</v>
      </c>
      <c r="I4111">
        <v>0</v>
      </c>
      <c r="J4111" t="s">
        <v>87</v>
      </c>
      <c r="K4111">
        <v>0</v>
      </c>
      <c r="L4111">
        <v>0</v>
      </c>
    </row>
    <row r="4112" spans="1:12">
      <c r="A4112" s="93">
        <v>440642</v>
      </c>
      <c r="B4112" t="s">
        <v>4589</v>
      </c>
      <c r="C4112" t="s">
        <v>5606</v>
      </c>
      <c r="D4112" s="92" t="s">
        <v>428</v>
      </c>
      <c r="E4112" s="92" t="s">
        <v>428</v>
      </c>
      <c r="F4112" t="s">
        <v>428</v>
      </c>
      <c r="G4112" t="s">
        <v>428</v>
      </c>
      <c r="H4112" t="s">
        <v>5617</v>
      </c>
      <c r="I4112">
        <v>0</v>
      </c>
      <c r="J4112" t="s">
        <v>87</v>
      </c>
      <c r="K4112">
        <v>0</v>
      </c>
      <c r="L4112">
        <v>0</v>
      </c>
    </row>
    <row r="4113" spans="1:12">
      <c r="A4113" s="93">
        <v>440651</v>
      </c>
      <c r="B4113" t="s">
        <v>4590</v>
      </c>
      <c r="C4113" t="s">
        <v>5607</v>
      </c>
      <c r="D4113" s="92" t="s">
        <v>428</v>
      </c>
      <c r="E4113" s="92" t="s">
        <v>428</v>
      </c>
      <c r="F4113" t="s">
        <v>428</v>
      </c>
      <c r="G4113" t="s">
        <v>428</v>
      </c>
      <c r="H4113" t="s">
        <v>5624</v>
      </c>
      <c r="I4113">
        <v>1</v>
      </c>
      <c r="J4113" t="s">
        <v>87</v>
      </c>
      <c r="K4113">
        <v>0</v>
      </c>
      <c r="L4113">
        <v>0</v>
      </c>
    </row>
    <row r="4114" spans="1:12">
      <c r="A4114" s="93">
        <v>440749</v>
      </c>
      <c r="B4114" t="s">
        <v>4591</v>
      </c>
      <c r="C4114" t="s">
        <v>5604</v>
      </c>
      <c r="D4114" s="92">
        <v>1</v>
      </c>
      <c r="E4114" s="92" t="s">
        <v>428</v>
      </c>
      <c r="F4114" t="s">
        <v>428</v>
      </c>
      <c r="G4114" t="s">
        <v>428</v>
      </c>
      <c r="H4114" t="s">
        <v>5615</v>
      </c>
      <c r="I4114">
        <v>0</v>
      </c>
      <c r="J4114" t="s">
        <v>87</v>
      </c>
      <c r="K4114">
        <v>0</v>
      </c>
      <c r="L4114">
        <v>0</v>
      </c>
    </row>
    <row r="4115" spans="1:12">
      <c r="A4115" s="93">
        <v>440758</v>
      </c>
      <c r="B4115" t="s">
        <v>4592</v>
      </c>
      <c r="C4115" t="s">
        <v>5604</v>
      </c>
      <c r="D4115" s="92" t="s">
        <v>428</v>
      </c>
      <c r="E4115" s="92" t="s">
        <v>428</v>
      </c>
      <c r="F4115" t="s">
        <v>428</v>
      </c>
      <c r="G4115" t="s">
        <v>428</v>
      </c>
      <c r="H4115" t="s">
        <v>5617</v>
      </c>
      <c r="I4115">
        <v>0</v>
      </c>
      <c r="J4115" t="s">
        <v>87</v>
      </c>
      <c r="K4115">
        <v>0</v>
      </c>
      <c r="L4115">
        <v>0</v>
      </c>
    </row>
    <row r="4116" spans="1:12">
      <c r="A4116" s="93">
        <v>440767</v>
      </c>
      <c r="B4116" t="s">
        <v>4593</v>
      </c>
      <c r="C4116" t="s">
        <v>5604</v>
      </c>
      <c r="D4116" s="92">
        <v>0.14</v>
      </c>
      <c r="E4116" s="92">
        <v>0.5</v>
      </c>
      <c r="F4116" t="s">
        <v>428</v>
      </c>
      <c r="G4116" t="s">
        <v>428</v>
      </c>
      <c r="H4116" t="s">
        <v>5617</v>
      </c>
      <c r="I4116">
        <v>0</v>
      </c>
      <c r="J4116" t="s">
        <v>87</v>
      </c>
      <c r="K4116">
        <v>0</v>
      </c>
      <c r="L4116">
        <v>0</v>
      </c>
    </row>
    <row r="4117" spans="1:12">
      <c r="A4117" s="93">
        <v>440776</v>
      </c>
      <c r="B4117" t="s">
        <v>4184</v>
      </c>
      <c r="C4117" t="s">
        <v>5606</v>
      </c>
      <c r="D4117" s="92" t="s">
        <v>428</v>
      </c>
      <c r="E4117" s="92" t="s">
        <v>428</v>
      </c>
      <c r="F4117" t="s">
        <v>428</v>
      </c>
      <c r="G4117" t="s">
        <v>428</v>
      </c>
      <c r="H4117" t="s">
        <v>5613</v>
      </c>
      <c r="I4117">
        <v>1</v>
      </c>
      <c r="J4117" t="s">
        <v>87</v>
      </c>
      <c r="K4117">
        <v>0</v>
      </c>
      <c r="L4117">
        <v>0</v>
      </c>
    </row>
    <row r="4118" spans="1:12">
      <c r="A4118" s="93">
        <v>440794</v>
      </c>
      <c r="B4118" t="s">
        <v>4594</v>
      </c>
      <c r="C4118" t="s">
        <v>5604</v>
      </c>
      <c r="D4118" s="92">
        <v>0.24</v>
      </c>
      <c r="E4118" s="92">
        <v>0.26</v>
      </c>
      <c r="F4118" t="s">
        <v>428</v>
      </c>
      <c r="G4118" t="s">
        <v>428</v>
      </c>
      <c r="H4118" t="s">
        <v>5617</v>
      </c>
      <c r="I4118">
        <v>0</v>
      </c>
      <c r="J4118" t="s">
        <v>87</v>
      </c>
      <c r="K4118">
        <v>0</v>
      </c>
      <c r="L4118">
        <v>0</v>
      </c>
    </row>
    <row r="4119" spans="1:12">
      <c r="A4119" s="93">
        <v>440819</v>
      </c>
      <c r="B4119" t="s">
        <v>4595</v>
      </c>
      <c r="C4119" t="s">
        <v>5606</v>
      </c>
      <c r="D4119" s="92" t="s">
        <v>428</v>
      </c>
      <c r="E4119" s="92" t="s">
        <v>428</v>
      </c>
      <c r="F4119" t="s">
        <v>428</v>
      </c>
      <c r="G4119" t="s">
        <v>428</v>
      </c>
      <c r="H4119" t="s">
        <v>5615</v>
      </c>
      <c r="I4119">
        <v>0</v>
      </c>
      <c r="J4119" t="s">
        <v>87</v>
      </c>
      <c r="K4119">
        <v>0</v>
      </c>
      <c r="L4119">
        <v>0</v>
      </c>
    </row>
    <row r="4120" spans="1:12">
      <c r="A4120" s="93">
        <v>440828</v>
      </c>
      <c r="B4120" t="s">
        <v>4596</v>
      </c>
      <c r="C4120" t="s">
        <v>5603</v>
      </c>
      <c r="D4120" s="92" t="s">
        <v>428</v>
      </c>
      <c r="E4120" s="92" t="s">
        <v>428</v>
      </c>
      <c r="F4120">
        <v>22</v>
      </c>
      <c r="G4120">
        <v>25</v>
      </c>
      <c r="H4120" t="s">
        <v>5615</v>
      </c>
      <c r="I4120">
        <v>0</v>
      </c>
      <c r="J4120" t="s">
        <v>87</v>
      </c>
      <c r="K4120">
        <v>0</v>
      </c>
      <c r="L4120">
        <v>0</v>
      </c>
    </row>
    <row r="4121" spans="1:12">
      <c r="A4121" s="93">
        <v>440873</v>
      </c>
      <c r="B4121" t="s">
        <v>4597</v>
      </c>
      <c r="C4121" t="s">
        <v>5606</v>
      </c>
      <c r="D4121" s="92" t="s">
        <v>428</v>
      </c>
      <c r="E4121" s="92" t="s">
        <v>428</v>
      </c>
      <c r="F4121" t="s">
        <v>428</v>
      </c>
      <c r="G4121" t="s">
        <v>428</v>
      </c>
      <c r="H4121" t="s">
        <v>5617</v>
      </c>
      <c r="I4121">
        <v>0</v>
      </c>
      <c r="J4121" t="s">
        <v>87</v>
      </c>
      <c r="K4121">
        <v>0</v>
      </c>
      <c r="L4121">
        <v>0</v>
      </c>
    </row>
    <row r="4122" spans="1:12">
      <c r="A4122" s="93">
        <v>440882</v>
      </c>
      <c r="B4122" t="s">
        <v>4598</v>
      </c>
      <c r="C4122" t="s">
        <v>5606</v>
      </c>
      <c r="D4122" s="92" t="s">
        <v>428</v>
      </c>
      <c r="E4122" s="92" t="s">
        <v>428</v>
      </c>
      <c r="F4122" t="s">
        <v>428</v>
      </c>
      <c r="G4122" t="s">
        <v>428</v>
      </c>
      <c r="H4122" t="s">
        <v>5617</v>
      </c>
      <c r="I4122">
        <v>0</v>
      </c>
      <c r="J4122" t="s">
        <v>87</v>
      </c>
      <c r="K4122">
        <v>0</v>
      </c>
      <c r="L4122">
        <v>0</v>
      </c>
    </row>
    <row r="4123" spans="1:12">
      <c r="A4123" s="93">
        <v>440891</v>
      </c>
      <c r="B4123" t="s">
        <v>4599</v>
      </c>
      <c r="C4123" t="s">
        <v>5606</v>
      </c>
      <c r="D4123" s="92" t="s">
        <v>428</v>
      </c>
      <c r="E4123" s="92" t="s">
        <v>428</v>
      </c>
      <c r="F4123" t="s">
        <v>428</v>
      </c>
      <c r="G4123" t="s">
        <v>428</v>
      </c>
      <c r="H4123" t="s">
        <v>5617</v>
      </c>
      <c r="I4123">
        <v>0</v>
      </c>
      <c r="J4123" t="s">
        <v>87</v>
      </c>
      <c r="K4123">
        <v>0</v>
      </c>
      <c r="L4123">
        <v>0</v>
      </c>
    </row>
    <row r="4124" spans="1:12">
      <c r="A4124" s="93">
        <v>440916</v>
      </c>
      <c r="B4124" t="s">
        <v>4600</v>
      </c>
      <c r="C4124" t="s">
        <v>5607</v>
      </c>
      <c r="D4124" s="92" t="s">
        <v>428</v>
      </c>
      <c r="E4124" s="92" t="s">
        <v>428</v>
      </c>
      <c r="F4124" t="s">
        <v>428</v>
      </c>
      <c r="G4124" t="s">
        <v>428</v>
      </c>
      <c r="H4124" t="s">
        <v>5615</v>
      </c>
      <c r="I4124">
        <v>0</v>
      </c>
      <c r="J4124" t="s">
        <v>87</v>
      </c>
      <c r="K4124">
        <v>0</v>
      </c>
      <c r="L4124">
        <v>0</v>
      </c>
    </row>
    <row r="4125" spans="1:12">
      <c r="A4125" s="93">
        <v>440925</v>
      </c>
      <c r="B4125" t="s">
        <v>4601</v>
      </c>
      <c r="C4125" t="s">
        <v>5607</v>
      </c>
      <c r="D4125" s="92">
        <v>0.23</v>
      </c>
      <c r="E4125" s="92">
        <v>0.27</v>
      </c>
      <c r="F4125" t="s">
        <v>428</v>
      </c>
      <c r="G4125" t="s">
        <v>428</v>
      </c>
      <c r="H4125" t="s">
        <v>5617</v>
      </c>
      <c r="I4125">
        <v>0</v>
      </c>
      <c r="J4125" t="s">
        <v>87</v>
      </c>
      <c r="K4125">
        <v>0</v>
      </c>
      <c r="L4125">
        <v>0</v>
      </c>
    </row>
    <row r="4126" spans="1:12">
      <c r="A4126" s="93">
        <v>441025</v>
      </c>
      <c r="B4126" t="s">
        <v>4602</v>
      </c>
      <c r="C4126" t="s">
        <v>5606</v>
      </c>
      <c r="D4126" s="92" t="s">
        <v>428</v>
      </c>
      <c r="E4126" s="92" t="s">
        <v>428</v>
      </c>
      <c r="F4126" t="s">
        <v>428</v>
      </c>
      <c r="G4126" t="s">
        <v>428</v>
      </c>
      <c r="H4126" t="s">
        <v>5617</v>
      </c>
      <c r="I4126">
        <v>0</v>
      </c>
      <c r="J4126" t="s">
        <v>87</v>
      </c>
      <c r="K4126">
        <v>0</v>
      </c>
      <c r="L4126">
        <v>0</v>
      </c>
    </row>
    <row r="4127" spans="1:12">
      <c r="A4127" s="93">
        <v>441052</v>
      </c>
      <c r="B4127" t="s">
        <v>4603</v>
      </c>
      <c r="C4127" t="s">
        <v>5606</v>
      </c>
      <c r="D4127" s="92" t="s">
        <v>428</v>
      </c>
      <c r="E4127" s="92" t="s">
        <v>428</v>
      </c>
      <c r="F4127" t="s">
        <v>428</v>
      </c>
      <c r="G4127" t="s">
        <v>428</v>
      </c>
      <c r="H4127" t="s">
        <v>5617</v>
      </c>
      <c r="I4127">
        <v>0</v>
      </c>
      <c r="J4127" t="s">
        <v>87</v>
      </c>
      <c r="K4127">
        <v>0</v>
      </c>
      <c r="L4127">
        <v>0</v>
      </c>
    </row>
    <row r="4128" spans="1:12">
      <c r="A4128" s="93">
        <v>441070</v>
      </c>
      <c r="B4128" t="s">
        <v>4604</v>
      </c>
      <c r="C4128" t="s">
        <v>5606</v>
      </c>
      <c r="D4128" s="92" t="s">
        <v>428</v>
      </c>
      <c r="E4128" s="92" t="s">
        <v>428</v>
      </c>
      <c r="F4128" t="s">
        <v>428</v>
      </c>
      <c r="G4128" t="s">
        <v>428</v>
      </c>
      <c r="H4128" t="s">
        <v>5615</v>
      </c>
      <c r="I4128">
        <v>0</v>
      </c>
      <c r="J4128" t="s">
        <v>87</v>
      </c>
      <c r="K4128">
        <v>0</v>
      </c>
      <c r="L4128">
        <v>0</v>
      </c>
    </row>
    <row r="4129" spans="1:12">
      <c r="A4129" s="93">
        <v>441089</v>
      </c>
      <c r="B4129" t="s">
        <v>4605</v>
      </c>
      <c r="C4129" t="s">
        <v>5606</v>
      </c>
      <c r="D4129" s="92" t="s">
        <v>428</v>
      </c>
      <c r="E4129" s="92" t="s">
        <v>428</v>
      </c>
      <c r="F4129" t="s">
        <v>428</v>
      </c>
      <c r="G4129" t="s">
        <v>428</v>
      </c>
      <c r="H4129" t="s">
        <v>5617</v>
      </c>
      <c r="I4129">
        <v>0</v>
      </c>
      <c r="J4129" t="s">
        <v>87</v>
      </c>
      <c r="K4129">
        <v>0</v>
      </c>
      <c r="L4129">
        <v>0</v>
      </c>
    </row>
    <row r="4130" spans="1:12">
      <c r="A4130" s="93">
        <v>441104</v>
      </c>
      <c r="B4130" t="s">
        <v>4606</v>
      </c>
      <c r="C4130" t="s">
        <v>5607</v>
      </c>
      <c r="D4130" s="92" t="s">
        <v>428</v>
      </c>
      <c r="E4130" s="92" t="s">
        <v>428</v>
      </c>
      <c r="F4130" t="s">
        <v>428</v>
      </c>
      <c r="G4130" t="s">
        <v>428</v>
      </c>
      <c r="H4130" t="s">
        <v>5615</v>
      </c>
      <c r="I4130">
        <v>0</v>
      </c>
      <c r="J4130" t="s">
        <v>87</v>
      </c>
      <c r="K4130">
        <v>0</v>
      </c>
      <c r="L4130">
        <v>0</v>
      </c>
    </row>
    <row r="4131" spans="1:12">
      <c r="A4131" s="93">
        <v>441131</v>
      </c>
      <c r="B4131" t="s">
        <v>4607</v>
      </c>
      <c r="C4131" t="s">
        <v>5607</v>
      </c>
      <c r="D4131" s="92" t="s">
        <v>428</v>
      </c>
      <c r="E4131" s="92" t="s">
        <v>428</v>
      </c>
      <c r="F4131" t="s">
        <v>428</v>
      </c>
      <c r="G4131" t="s">
        <v>428</v>
      </c>
      <c r="H4131" t="s">
        <v>5615</v>
      </c>
      <c r="I4131">
        <v>0</v>
      </c>
      <c r="J4131" t="s">
        <v>87</v>
      </c>
      <c r="K4131">
        <v>0</v>
      </c>
      <c r="L4131">
        <v>0</v>
      </c>
    </row>
    <row r="4132" spans="1:12">
      <c r="A4132" s="93">
        <v>441168</v>
      </c>
      <c r="B4132" t="s">
        <v>4608</v>
      </c>
      <c r="C4132" t="s">
        <v>5606</v>
      </c>
      <c r="D4132" s="92" t="s">
        <v>428</v>
      </c>
      <c r="E4132" s="92" t="s">
        <v>428</v>
      </c>
      <c r="F4132" t="s">
        <v>428</v>
      </c>
      <c r="G4132" t="s">
        <v>428</v>
      </c>
      <c r="H4132" t="s">
        <v>5616</v>
      </c>
      <c r="I4132">
        <v>0</v>
      </c>
      <c r="J4132" t="s">
        <v>87</v>
      </c>
      <c r="K4132">
        <v>0</v>
      </c>
      <c r="L4132">
        <v>0</v>
      </c>
    </row>
    <row r="4133" spans="1:12">
      <c r="A4133" s="93">
        <v>441229</v>
      </c>
      <c r="B4133" t="s">
        <v>4609</v>
      </c>
      <c r="C4133" t="s">
        <v>5606</v>
      </c>
      <c r="D4133" s="92" t="s">
        <v>428</v>
      </c>
      <c r="E4133" s="92" t="s">
        <v>428</v>
      </c>
      <c r="F4133" t="s">
        <v>428</v>
      </c>
      <c r="G4133" t="s">
        <v>428</v>
      </c>
      <c r="H4133" t="s">
        <v>5617</v>
      </c>
      <c r="I4133">
        <v>0</v>
      </c>
      <c r="J4133" t="s">
        <v>87</v>
      </c>
      <c r="K4133">
        <v>0</v>
      </c>
      <c r="L4133">
        <v>0</v>
      </c>
    </row>
    <row r="4134" spans="1:12">
      <c r="A4134" s="93">
        <v>441238</v>
      </c>
      <c r="B4134" t="s">
        <v>4610</v>
      </c>
      <c r="C4134" t="s">
        <v>5607</v>
      </c>
      <c r="D4134" s="92" t="s">
        <v>428</v>
      </c>
      <c r="E4134" s="92" t="s">
        <v>428</v>
      </c>
      <c r="F4134" t="s">
        <v>428</v>
      </c>
      <c r="G4134" t="s">
        <v>428</v>
      </c>
      <c r="H4134" t="s">
        <v>5615</v>
      </c>
      <c r="I4134">
        <v>0</v>
      </c>
      <c r="J4134" t="s">
        <v>87</v>
      </c>
      <c r="K4134">
        <v>0</v>
      </c>
      <c r="L4134">
        <v>0</v>
      </c>
    </row>
    <row r="4135" spans="1:12">
      <c r="A4135" s="93">
        <v>441308</v>
      </c>
      <c r="B4135" t="s">
        <v>4611</v>
      </c>
      <c r="C4135" t="s">
        <v>5607</v>
      </c>
      <c r="D4135" s="92" t="s">
        <v>428</v>
      </c>
      <c r="E4135" s="92" t="s">
        <v>428</v>
      </c>
      <c r="F4135" t="s">
        <v>428</v>
      </c>
      <c r="G4135" t="s">
        <v>428</v>
      </c>
      <c r="H4135" t="s">
        <v>5615</v>
      </c>
      <c r="I4135">
        <v>0</v>
      </c>
      <c r="J4135" t="s">
        <v>87</v>
      </c>
      <c r="K4135">
        <v>0</v>
      </c>
      <c r="L4135">
        <v>0</v>
      </c>
    </row>
    <row r="4136" spans="1:12">
      <c r="A4136" s="93">
        <v>441371</v>
      </c>
      <c r="B4136" t="s">
        <v>4612</v>
      </c>
      <c r="C4136" t="s">
        <v>5606</v>
      </c>
      <c r="D4136" s="92" t="s">
        <v>428</v>
      </c>
      <c r="E4136" s="92" t="s">
        <v>428</v>
      </c>
      <c r="F4136" t="s">
        <v>428</v>
      </c>
      <c r="G4136" t="s">
        <v>428</v>
      </c>
      <c r="H4136" t="s">
        <v>5617</v>
      </c>
      <c r="I4136">
        <v>0</v>
      </c>
      <c r="J4136" t="s">
        <v>87</v>
      </c>
      <c r="K4136">
        <v>0</v>
      </c>
      <c r="L4136">
        <v>0</v>
      </c>
    </row>
    <row r="4137" spans="1:12">
      <c r="A4137" s="93">
        <v>441423</v>
      </c>
      <c r="B4137" t="s">
        <v>4613</v>
      </c>
      <c r="C4137" t="s">
        <v>5606</v>
      </c>
      <c r="D4137" s="92" t="s">
        <v>428</v>
      </c>
      <c r="E4137" s="92" t="s">
        <v>428</v>
      </c>
      <c r="F4137" t="s">
        <v>428</v>
      </c>
      <c r="G4137" t="s">
        <v>428</v>
      </c>
      <c r="H4137" t="s">
        <v>5617</v>
      </c>
      <c r="I4137">
        <v>0</v>
      </c>
      <c r="J4137" t="s">
        <v>87</v>
      </c>
      <c r="K4137">
        <v>0</v>
      </c>
      <c r="L4137">
        <v>0</v>
      </c>
    </row>
    <row r="4138" spans="1:12">
      <c r="A4138" s="93">
        <v>441478</v>
      </c>
      <c r="B4138" t="s">
        <v>4614</v>
      </c>
      <c r="C4138" t="s">
        <v>5607</v>
      </c>
      <c r="D4138" s="92" t="s">
        <v>428</v>
      </c>
      <c r="E4138" s="92" t="s">
        <v>428</v>
      </c>
      <c r="F4138" t="s">
        <v>428</v>
      </c>
      <c r="G4138" t="s">
        <v>428</v>
      </c>
      <c r="H4138" t="s">
        <v>5615</v>
      </c>
      <c r="I4138">
        <v>0</v>
      </c>
      <c r="J4138" t="s">
        <v>87</v>
      </c>
      <c r="K4138">
        <v>0</v>
      </c>
      <c r="L4138">
        <v>0</v>
      </c>
    </row>
    <row r="4139" spans="1:12">
      <c r="A4139" s="93">
        <v>441487</v>
      </c>
      <c r="B4139" t="s">
        <v>4615</v>
      </c>
      <c r="C4139" t="s">
        <v>5609</v>
      </c>
      <c r="D4139" s="92" t="s">
        <v>428</v>
      </c>
      <c r="E4139" s="92" t="s">
        <v>428</v>
      </c>
      <c r="F4139" t="s">
        <v>428</v>
      </c>
      <c r="G4139" t="s">
        <v>428</v>
      </c>
      <c r="H4139" t="s">
        <v>5617</v>
      </c>
      <c r="I4139">
        <v>0</v>
      </c>
      <c r="J4139" t="s">
        <v>87</v>
      </c>
      <c r="K4139">
        <v>0</v>
      </c>
      <c r="L4139">
        <v>0</v>
      </c>
    </row>
    <row r="4140" spans="1:12">
      <c r="A4140" s="93">
        <v>441496</v>
      </c>
      <c r="B4140" t="s">
        <v>4616</v>
      </c>
      <c r="C4140" t="s">
        <v>5606</v>
      </c>
      <c r="D4140" s="92">
        <v>0.54</v>
      </c>
      <c r="E4140" s="92">
        <v>0.41</v>
      </c>
      <c r="F4140" t="s">
        <v>428</v>
      </c>
      <c r="G4140" t="s">
        <v>428</v>
      </c>
      <c r="H4140" t="s">
        <v>5617</v>
      </c>
      <c r="I4140">
        <v>0</v>
      </c>
      <c r="J4140" t="s">
        <v>87</v>
      </c>
      <c r="K4140">
        <v>0</v>
      </c>
      <c r="L4140">
        <v>0</v>
      </c>
    </row>
    <row r="4141" spans="1:12">
      <c r="A4141" s="93">
        <v>441502</v>
      </c>
      <c r="B4141" t="s">
        <v>4617</v>
      </c>
      <c r="C4141" t="s">
        <v>5606</v>
      </c>
      <c r="D4141" s="92" t="s">
        <v>428</v>
      </c>
      <c r="E4141" s="92" t="s">
        <v>428</v>
      </c>
      <c r="F4141" t="s">
        <v>428</v>
      </c>
      <c r="G4141" t="s">
        <v>428</v>
      </c>
      <c r="H4141" t="s">
        <v>5617</v>
      </c>
      <c r="I4141">
        <v>0</v>
      </c>
      <c r="J4141" t="s">
        <v>87</v>
      </c>
      <c r="K4141">
        <v>0</v>
      </c>
      <c r="L4141">
        <v>0</v>
      </c>
    </row>
    <row r="4142" spans="1:12">
      <c r="A4142" s="93">
        <v>441511</v>
      </c>
      <c r="B4142" t="s">
        <v>4618</v>
      </c>
      <c r="C4142" t="s">
        <v>5604</v>
      </c>
      <c r="D4142" s="92">
        <v>0.85</v>
      </c>
      <c r="E4142" s="92">
        <v>0.84</v>
      </c>
      <c r="F4142" t="s">
        <v>428</v>
      </c>
      <c r="G4142" t="s">
        <v>428</v>
      </c>
      <c r="H4142" t="s">
        <v>5616</v>
      </c>
      <c r="I4142">
        <v>0</v>
      </c>
      <c r="J4142" t="s">
        <v>87</v>
      </c>
      <c r="K4142">
        <v>0</v>
      </c>
      <c r="L4142">
        <v>0</v>
      </c>
    </row>
    <row r="4143" spans="1:12">
      <c r="A4143" s="93">
        <v>441609</v>
      </c>
      <c r="B4143" t="s">
        <v>4619</v>
      </c>
      <c r="C4143" t="s">
        <v>5607</v>
      </c>
      <c r="D4143" s="92" t="s">
        <v>428</v>
      </c>
      <c r="E4143" s="92" t="s">
        <v>428</v>
      </c>
      <c r="F4143" t="s">
        <v>428</v>
      </c>
      <c r="G4143" t="s">
        <v>428</v>
      </c>
      <c r="H4143" t="s">
        <v>5617</v>
      </c>
      <c r="I4143">
        <v>0</v>
      </c>
      <c r="J4143" t="s">
        <v>87</v>
      </c>
      <c r="K4143">
        <v>0</v>
      </c>
      <c r="L4143">
        <v>0</v>
      </c>
    </row>
    <row r="4144" spans="1:12">
      <c r="A4144" s="93">
        <v>441636</v>
      </c>
      <c r="B4144" t="s">
        <v>4620</v>
      </c>
      <c r="C4144" t="s">
        <v>5607</v>
      </c>
      <c r="D4144" s="92">
        <v>0.68</v>
      </c>
      <c r="E4144" s="92">
        <v>0.68</v>
      </c>
      <c r="F4144" t="s">
        <v>428</v>
      </c>
      <c r="G4144" t="s">
        <v>428</v>
      </c>
      <c r="H4144" t="s">
        <v>5617</v>
      </c>
      <c r="I4144">
        <v>0</v>
      </c>
      <c r="J4144" t="s">
        <v>87</v>
      </c>
      <c r="K4144">
        <v>0</v>
      </c>
      <c r="L4144">
        <v>0</v>
      </c>
    </row>
    <row r="4145" spans="1:12">
      <c r="A4145" s="93">
        <v>441645</v>
      </c>
      <c r="B4145" t="s">
        <v>4621</v>
      </c>
      <c r="C4145" t="s">
        <v>5606</v>
      </c>
      <c r="D4145" s="92" t="s">
        <v>428</v>
      </c>
      <c r="E4145" s="92" t="s">
        <v>428</v>
      </c>
      <c r="F4145" t="s">
        <v>428</v>
      </c>
      <c r="G4145" t="s">
        <v>428</v>
      </c>
      <c r="H4145" t="s">
        <v>5616</v>
      </c>
      <c r="I4145">
        <v>0</v>
      </c>
      <c r="J4145" t="s">
        <v>87</v>
      </c>
      <c r="K4145">
        <v>0</v>
      </c>
      <c r="L4145">
        <v>0</v>
      </c>
    </row>
    <row r="4146" spans="1:12">
      <c r="A4146" s="93">
        <v>441690</v>
      </c>
      <c r="B4146" t="s">
        <v>4622</v>
      </c>
      <c r="C4146" t="s">
        <v>5604</v>
      </c>
      <c r="D4146" s="92">
        <v>0.36</v>
      </c>
      <c r="E4146" s="92">
        <v>0.36</v>
      </c>
      <c r="F4146" t="s">
        <v>428</v>
      </c>
      <c r="G4146" t="s">
        <v>428</v>
      </c>
      <c r="H4146" t="s">
        <v>5624</v>
      </c>
      <c r="I4146">
        <v>1</v>
      </c>
      <c r="J4146" t="s">
        <v>87</v>
      </c>
      <c r="K4146">
        <v>0</v>
      </c>
      <c r="L4146">
        <v>0</v>
      </c>
    </row>
    <row r="4147" spans="1:12">
      <c r="A4147" s="93">
        <v>441742</v>
      </c>
      <c r="B4147" t="s">
        <v>4623</v>
      </c>
      <c r="C4147" t="s">
        <v>5606</v>
      </c>
      <c r="D4147" s="92" t="s">
        <v>428</v>
      </c>
      <c r="E4147" s="92" t="s">
        <v>428</v>
      </c>
      <c r="F4147" t="s">
        <v>428</v>
      </c>
      <c r="G4147" t="s">
        <v>428</v>
      </c>
      <c r="H4147" t="s">
        <v>5617</v>
      </c>
      <c r="I4147">
        <v>0</v>
      </c>
      <c r="J4147" t="s">
        <v>87</v>
      </c>
      <c r="K4147">
        <v>0</v>
      </c>
      <c r="L4147">
        <v>0</v>
      </c>
    </row>
    <row r="4148" spans="1:12">
      <c r="A4148" s="93">
        <v>441760</v>
      </c>
      <c r="B4148" t="s">
        <v>4624</v>
      </c>
      <c r="C4148" t="s">
        <v>5606</v>
      </c>
      <c r="D4148" s="92">
        <v>0.22</v>
      </c>
      <c r="E4148" s="92">
        <v>0.15</v>
      </c>
      <c r="F4148" t="s">
        <v>428</v>
      </c>
      <c r="G4148" t="s">
        <v>428</v>
      </c>
      <c r="H4148" t="s">
        <v>5615</v>
      </c>
      <c r="I4148">
        <v>0</v>
      </c>
      <c r="J4148" t="s">
        <v>87</v>
      </c>
      <c r="K4148">
        <v>0</v>
      </c>
      <c r="L4148">
        <v>0</v>
      </c>
    </row>
    <row r="4149" spans="1:12">
      <c r="A4149" s="93">
        <v>441788</v>
      </c>
      <c r="B4149" t="s">
        <v>4625</v>
      </c>
      <c r="C4149" t="s">
        <v>5606</v>
      </c>
      <c r="D4149" s="92" t="s">
        <v>428</v>
      </c>
      <c r="E4149" s="92" t="s">
        <v>428</v>
      </c>
      <c r="F4149" t="s">
        <v>428</v>
      </c>
      <c r="G4149" t="s">
        <v>428</v>
      </c>
      <c r="H4149" t="s">
        <v>5617</v>
      </c>
      <c r="I4149">
        <v>0</v>
      </c>
      <c r="J4149" t="s">
        <v>87</v>
      </c>
      <c r="K4149">
        <v>0</v>
      </c>
      <c r="L4149">
        <v>0</v>
      </c>
    </row>
    <row r="4150" spans="1:12">
      <c r="A4150" s="93">
        <v>441858</v>
      </c>
      <c r="B4150" t="s">
        <v>4626</v>
      </c>
      <c r="C4150" t="s">
        <v>5606</v>
      </c>
      <c r="D4150" s="92" t="s">
        <v>428</v>
      </c>
      <c r="E4150" s="92" t="s">
        <v>428</v>
      </c>
      <c r="F4150" t="s">
        <v>428</v>
      </c>
      <c r="G4150" t="s">
        <v>428</v>
      </c>
      <c r="H4150" t="s">
        <v>5617</v>
      </c>
      <c r="I4150">
        <v>0</v>
      </c>
      <c r="J4150" t="s">
        <v>87</v>
      </c>
      <c r="K4150">
        <v>0</v>
      </c>
      <c r="L4150">
        <v>0</v>
      </c>
    </row>
    <row r="4151" spans="1:12">
      <c r="A4151" s="93">
        <v>441900</v>
      </c>
      <c r="B4151" t="s">
        <v>4627</v>
      </c>
      <c r="C4151" t="s">
        <v>5607</v>
      </c>
      <c r="D4151" s="92">
        <v>0.14</v>
      </c>
      <c r="E4151" s="92">
        <v>0.14</v>
      </c>
      <c r="F4151" t="s">
        <v>428</v>
      </c>
      <c r="G4151" t="s">
        <v>428</v>
      </c>
      <c r="H4151" t="s">
        <v>5615</v>
      </c>
      <c r="I4151">
        <v>0</v>
      </c>
      <c r="J4151" t="s">
        <v>87</v>
      </c>
      <c r="K4151">
        <v>0</v>
      </c>
      <c r="L4151">
        <v>0</v>
      </c>
    </row>
    <row r="4152" spans="1:12">
      <c r="A4152" s="93">
        <v>441919</v>
      </c>
      <c r="B4152" t="s">
        <v>4628</v>
      </c>
      <c r="C4152" t="s">
        <v>5606</v>
      </c>
      <c r="D4152" s="92" t="s">
        <v>428</v>
      </c>
      <c r="E4152" s="92" t="s">
        <v>428</v>
      </c>
      <c r="F4152" t="s">
        <v>428</v>
      </c>
      <c r="G4152" t="s">
        <v>428</v>
      </c>
      <c r="H4152" t="s">
        <v>5617</v>
      </c>
      <c r="I4152">
        <v>0</v>
      </c>
      <c r="J4152" t="s">
        <v>87</v>
      </c>
      <c r="K4152">
        <v>0</v>
      </c>
      <c r="L4152">
        <v>0</v>
      </c>
    </row>
    <row r="4153" spans="1:12">
      <c r="A4153" s="93">
        <v>441928</v>
      </c>
      <c r="B4153" t="s">
        <v>4629</v>
      </c>
      <c r="C4153" t="s">
        <v>5606</v>
      </c>
      <c r="D4153" s="92" t="s">
        <v>428</v>
      </c>
      <c r="E4153" s="92" t="s">
        <v>428</v>
      </c>
      <c r="F4153" t="s">
        <v>428</v>
      </c>
      <c r="G4153" t="s">
        <v>428</v>
      </c>
      <c r="H4153" t="s">
        <v>5617</v>
      </c>
      <c r="I4153">
        <v>0</v>
      </c>
      <c r="J4153" t="s">
        <v>87</v>
      </c>
      <c r="K4153">
        <v>0</v>
      </c>
      <c r="L4153">
        <v>0</v>
      </c>
    </row>
    <row r="4154" spans="1:12">
      <c r="A4154" s="93">
        <v>441937</v>
      </c>
      <c r="B4154" t="s">
        <v>4630</v>
      </c>
      <c r="C4154" t="s">
        <v>5607</v>
      </c>
      <c r="D4154" s="92">
        <v>0.59</v>
      </c>
      <c r="E4154" s="92">
        <v>0.5600000000000001</v>
      </c>
      <c r="F4154" t="s">
        <v>428</v>
      </c>
      <c r="G4154" t="s">
        <v>428</v>
      </c>
      <c r="H4154" t="s">
        <v>5615</v>
      </c>
      <c r="I4154">
        <v>0</v>
      </c>
      <c r="J4154" t="s">
        <v>87</v>
      </c>
      <c r="K4154">
        <v>0</v>
      </c>
      <c r="L4154">
        <v>0</v>
      </c>
    </row>
    <row r="4155" spans="1:12">
      <c r="A4155" s="93">
        <v>441955</v>
      </c>
      <c r="B4155" t="s">
        <v>4631</v>
      </c>
      <c r="C4155" t="s">
        <v>5607</v>
      </c>
      <c r="D4155" s="92" t="s">
        <v>428</v>
      </c>
      <c r="E4155" s="92" t="s">
        <v>428</v>
      </c>
      <c r="F4155" t="s">
        <v>428</v>
      </c>
      <c r="G4155" t="s">
        <v>428</v>
      </c>
      <c r="H4155" t="s">
        <v>5617</v>
      </c>
      <c r="I4155">
        <v>0</v>
      </c>
      <c r="J4155" t="s">
        <v>87</v>
      </c>
      <c r="K4155">
        <v>0</v>
      </c>
      <c r="L4155">
        <v>0</v>
      </c>
    </row>
    <row r="4156" spans="1:12">
      <c r="A4156" s="93">
        <v>441964</v>
      </c>
      <c r="B4156" t="s">
        <v>4632</v>
      </c>
      <c r="C4156" t="s">
        <v>5607</v>
      </c>
      <c r="D4156" s="92">
        <v>0.3</v>
      </c>
      <c r="E4156" s="92">
        <v>0</v>
      </c>
      <c r="F4156" t="s">
        <v>428</v>
      </c>
      <c r="G4156" t="s">
        <v>428</v>
      </c>
      <c r="H4156" t="s">
        <v>5617</v>
      </c>
      <c r="I4156">
        <v>0</v>
      </c>
      <c r="J4156" t="s">
        <v>87</v>
      </c>
      <c r="K4156">
        <v>0</v>
      </c>
      <c r="L4156">
        <v>0</v>
      </c>
    </row>
    <row r="4157" spans="1:12">
      <c r="A4157" s="93">
        <v>441973</v>
      </c>
      <c r="B4157" t="s">
        <v>4633</v>
      </c>
      <c r="C4157" t="s">
        <v>5604</v>
      </c>
      <c r="D4157" s="92">
        <v>0.34</v>
      </c>
      <c r="E4157" s="92">
        <v>0.35</v>
      </c>
      <c r="F4157" t="s">
        <v>428</v>
      </c>
      <c r="G4157" t="s">
        <v>428</v>
      </c>
      <c r="H4157" t="s">
        <v>5617</v>
      </c>
      <c r="I4157">
        <v>0</v>
      </c>
      <c r="J4157" t="s">
        <v>87</v>
      </c>
      <c r="K4157">
        <v>0</v>
      </c>
      <c r="L4157">
        <v>0</v>
      </c>
    </row>
    <row r="4158" spans="1:12">
      <c r="A4158" s="93">
        <v>441982</v>
      </c>
      <c r="B4158" t="s">
        <v>4634</v>
      </c>
      <c r="C4158" t="s">
        <v>5611</v>
      </c>
      <c r="D4158" s="92">
        <v>0.91</v>
      </c>
      <c r="E4158" s="92">
        <v>0.91</v>
      </c>
      <c r="F4158">
        <v>32</v>
      </c>
      <c r="G4158">
        <v>33.5</v>
      </c>
      <c r="H4158" t="s">
        <v>5624</v>
      </c>
      <c r="I4158">
        <v>1</v>
      </c>
      <c r="J4158" t="s">
        <v>87</v>
      </c>
      <c r="K4158">
        <v>0</v>
      </c>
      <c r="L4158">
        <v>0</v>
      </c>
    </row>
    <row r="4159" spans="1:12">
      <c r="A4159" s="93">
        <v>442037</v>
      </c>
      <c r="B4159" t="s">
        <v>4635</v>
      </c>
      <c r="C4159" t="s">
        <v>5606</v>
      </c>
      <c r="D4159" s="92" t="s">
        <v>428</v>
      </c>
      <c r="E4159" s="92" t="s">
        <v>428</v>
      </c>
      <c r="F4159" t="s">
        <v>428</v>
      </c>
      <c r="G4159" t="s">
        <v>428</v>
      </c>
      <c r="H4159" t="s">
        <v>5617</v>
      </c>
      <c r="I4159">
        <v>0</v>
      </c>
      <c r="J4159" t="s">
        <v>87</v>
      </c>
      <c r="K4159">
        <v>0</v>
      </c>
      <c r="L4159">
        <v>0</v>
      </c>
    </row>
    <row r="4160" spans="1:12">
      <c r="A4160" s="93">
        <v>442046</v>
      </c>
      <c r="B4160" t="s">
        <v>4636</v>
      </c>
      <c r="C4160" t="s">
        <v>5606</v>
      </c>
      <c r="D4160" s="92" t="s">
        <v>428</v>
      </c>
      <c r="E4160" s="92" t="s">
        <v>428</v>
      </c>
      <c r="F4160" t="s">
        <v>428</v>
      </c>
      <c r="G4160" t="s">
        <v>428</v>
      </c>
      <c r="H4160" t="s">
        <v>5617</v>
      </c>
      <c r="I4160">
        <v>0</v>
      </c>
      <c r="J4160" t="s">
        <v>87</v>
      </c>
      <c r="K4160">
        <v>0</v>
      </c>
      <c r="L4160">
        <v>0</v>
      </c>
    </row>
    <row r="4161" spans="1:12">
      <c r="A4161" s="93">
        <v>442064</v>
      </c>
      <c r="B4161" t="s">
        <v>4637</v>
      </c>
      <c r="C4161" t="s">
        <v>5607</v>
      </c>
      <c r="D4161" s="92" t="s">
        <v>428</v>
      </c>
      <c r="E4161" s="92" t="s">
        <v>428</v>
      </c>
      <c r="F4161" t="s">
        <v>428</v>
      </c>
      <c r="G4161" t="s">
        <v>428</v>
      </c>
      <c r="H4161" t="s">
        <v>5615</v>
      </c>
      <c r="I4161">
        <v>0</v>
      </c>
      <c r="J4161" t="s">
        <v>87</v>
      </c>
      <c r="K4161">
        <v>0</v>
      </c>
      <c r="L4161">
        <v>0</v>
      </c>
    </row>
    <row r="4162" spans="1:12">
      <c r="A4162" s="93">
        <v>442134</v>
      </c>
      <c r="B4162" t="s">
        <v>4638</v>
      </c>
      <c r="C4162" t="s">
        <v>5606</v>
      </c>
      <c r="D4162" s="92">
        <v>0.66</v>
      </c>
      <c r="E4162" s="92">
        <v>0.64</v>
      </c>
      <c r="F4162" t="s">
        <v>428</v>
      </c>
      <c r="G4162" t="s">
        <v>428</v>
      </c>
      <c r="H4162" t="s">
        <v>5617</v>
      </c>
      <c r="I4162">
        <v>0</v>
      </c>
      <c r="J4162" t="s">
        <v>87</v>
      </c>
      <c r="K4162">
        <v>0</v>
      </c>
      <c r="L4162">
        <v>0</v>
      </c>
    </row>
    <row r="4163" spans="1:12">
      <c r="A4163" s="93">
        <v>442161</v>
      </c>
      <c r="B4163" t="s">
        <v>4639</v>
      </c>
      <c r="C4163" t="s">
        <v>5604</v>
      </c>
      <c r="D4163" s="92">
        <v>0.07000000000000001</v>
      </c>
      <c r="E4163" s="92">
        <v>0.09</v>
      </c>
      <c r="F4163" t="s">
        <v>428</v>
      </c>
      <c r="G4163" t="s">
        <v>428</v>
      </c>
      <c r="H4163" t="s">
        <v>5617</v>
      </c>
      <c r="I4163">
        <v>0</v>
      </c>
      <c r="J4163" t="s">
        <v>87</v>
      </c>
      <c r="K4163">
        <v>0</v>
      </c>
      <c r="L4163">
        <v>1</v>
      </c>
    </row>
    <row r="4164" spans="1:12">
      <c r="A4164" s="93">
        <v>442213</v>
      </c>
      <c r="B4164" t="s">
        <v>4640</v>
      </c>
      <c r="C4164" t="s">
        <v>5609</v>
      </c>
      <c r="D4164" s="92" t="s">
        <v>428</v>
      </c>
      <c r="E4164" s="92" t="s">
        <v>428</v>
      </c>
      <c r="F4164" t="s">
        <v>428</v>
      </c>
      <c r="G4164" t="s">
        <v>428</v>
      </c>
      <c r="H4164" t="s">
        <v>5615</v>
      </c>
      <c r="I4164">
        <v>0</v>
      </c>
      <c r="J4164" t="s">
        <v>87</v>
      </c>
      <c r="K4164">
        <v>0</v>
      </c>
      <c r="L4164">
        <v>0</v>
      </c>
    </row>
    <row r="4165" spans="1:12">
      <c r="A4165" s="93">
        <v>442222</v>
      </c>
      <c r="B4165" t="s">
        <v>4641</v>
      </c>
      <c r="C4165" t="s">
        <v>5604</v>
      </c>
      <c r="D4165" s="92" t="s">
        <v>428</v>
      </c>
      <c r="E4165" s="92" t="s">
        <v>428</v>
      </c>
      <c r="F4165" t="s">
        <v>428</v>
      </c>
      <c r="G4165" t="s">
        <v>428</v>
      </c>
      <c r="H4165" t="s">
        <v>5617</v>
      </c>
      <c r="I4165">
        <v>0</v>
      </c>
      <c r="J4165" t="s">
        <v>87</v>
      </c>
      <c r="K4165">
        <v>0</v>
      </c>
      <c r="L4165">
        <v>0</v>
      </c>
    </row>
    <row r="4166" spans="1:12">
      <c r="A4166" s="93">
        <v>442295</v>
      </c>
      <c r="B4166" t="s">
        <v>4642</v>
      </c>
      <c r="C4166" t="s">
        <v>5607</v>
      </c>
      <c r="D4166" s="92" t="s">
        <v>428</v>
      </c>
      <c r="E4166" s="92" t="s">
        <v>428</v>
      </c>
      <c r="F4166" t="s">
        <v>428</v>
      </c>
      <c r="G4166" t="s">
        <v>428</v>
      </c>
      <c r="H4166" t="s">
        <v>5615</v>
      </c>
      <c r="I4166">
        <v>0</v>
      </c>
      <c r="J4166" t="s">
        <v>87</v>
      </c>
      <c r="K4166">
        <v>0</v>
      </c>
      <c r="L4166">
        <v>0</v>
      </c>
    </row>
    <row r="4167" spans="1:12">
      <c r="A4167" s="93">
        <v>442338</v>
      </c>
      <c r="B4167" t="s">
        <v>4643</v>
      </c>
      <c r="C4167" t="s">
        <v>5607</v>
      </c>
      <c r="D4167" s="92">
        <v>1</v>
      </c>
      <c r="E4167" s="92" t="s">
        <v>428</v>
      </c>
      <c r="F4167" t="s">
        <v>428</v>
      </c>
      <c r="G4167" t="s">
        <v>428</v>
      </c>
      <c r="H4167" t="s">
        <v>5617</v>
      </c>
      <c r="I4167">
        <v>0</v>
      </c>
      <c r="J4167" t="s">
        <v>87</v>
      </c>
      <c r="K4167">
        <v>0</v>
      </c>
      <c r="L4167">
        <v>0</v>
      </c>
    </row>
    <row r="4168" spans="1:12">
      <c r="A4168" s="93">
        <v>442347</v>
      </c>
      <c r="B4168" t="s">
        <v>4644</v>
      </c>
      <c r="C4168" t="s">
        <v>5606</v>
      </c>
      <c r="D4168" s="92" t="s">
        <v>428</v>
      </c>
      <c r="E4168" s="92" t="s">
        <v>428</v>
      </c>
      <c r="F4168" t="s">
        <v>428</v>
      </c>
      <c r="G4168" t="s">
        <v>428</v>
      </c>
      <c r="H4168" t="s">
        <v>5617</v>
      </c>
      <c r="I4168">
        <v>0</v>
      </c>
      <c r="J4168" t="s">
        <v>87</v>
      </c>
      <c r="K4168">
        <v>0</v>
      </c>
      <c r="L4168">
        <v>0</v>
      </c>
    </row>
    <row r="4169" spans="1:12">
      <c r="A4169" s="93">
        <v>442356</v>
      </c>
      <c r="B4169" t="s">
        <v>4645</v>
      </c>
      <c r="C4169" t="s">
        <v>5607</v>
      </c>
      <c r="D4169" s="92">
        <v>0.5</v>
      </c>
      <c r="E4169" s="92" t="s">
        <v>428</v>
      </c>
      <c r="F4169" t="s">
        <v>428</v>
      </c>
      <c r="G4169" t="s">
        <v>428</v>
      </c>
      <c r="H4169" t="s">
        <v>5617</v>
      </c>
      <c r="I4169">
        <v>0</v>
      </c>
      <c r="J4169" t="s">
        <v>87</v>
      </c>
      <c r="K4169">
        <v>0</v>
      </c>
      <c r="L4169">
        <v>0</v>
      </c>
    </row>
    <row r="4170" spans="1:12">
      <c r="A4170" s="93">
        <v>442383</v>
      </c>
      <c r="B4170" t="s">
        <v>4646</v>
      </c>
      <c r="C4170" t="s">
        <v>5606</v>
      </c>
      <c r="D4170" s="92" t="s">
        <v>428</v>
      </c>
      <c r="E4170" s="92" t="s">
        <v>428</v>
      </c>
      <c r="F4170" t="s">
        <v>428</v>
      </c>
      <c r="G4170" t="s">
        <v>428</v>
      </c>
      <c r="H4170" t="s">
        <v>5616</v>
      </c>
      <c r="I4170">
        <v>0</v>
      </c>
      <c r="J4170" t="s">
        <v>87</v>
      </c>
      <c r="K4170">
        <v>0</v>
      </c>
      <c r="L4170">
        <v>0</v>
      </c>
    </row>
    <row r="4171" spans="1:12">
      <c r="A4171" s="93">
        <v>442392</v>
      </c>
      <c r="B4171" t="s">
        <v>4647</v>
      </c>
      <c r="C4171" t="s">
        <v>5607</v>
      </c>
      <c r="D4171" s="92" t="s">
        <v>428</v>
      </c>
      <c r="E4171" s="92" t="s">
        <v>428</v>
      </c>
      <c r="F4171" t="s">
        <v>428</v>
      </c>
      <c r="G4171" t="s">
        <v>428</v>
      </c>
      <c r="H4171" t="s">
        <v>5615</v>
      </c>
      <c r="I4171">
        <v>0</v>
      </c>
      <c r="J4171" t="s">
        <v>87</v>
      </c>
      <c r="K4171">
        <v>0</v>
      </c>
      <c r="L4171">
        <v>0</v>
      </c>
    </row>
    <row r="4172" spans="1:12">
      <c r="A4172" s="93">
        <v>442408</v>
      </c>
      <c r="B4172" t="s">
        <v>4648</v>
      </c>
      <c r="C4172" t="s">
        <v>5606</v>
      </c>
      <c r="D4172" s="92" t="s">
        <v>428</v>
      </c>
      <c r="E4172" s="92" t="s">
        <v>428</v>
      </c>
      <c r="F4172" t="s">
        <v>428</v>
      </c>
      <c r="G4172" t="s">
        <v>428</v>
      </c>
      <c r="H4172" t="s">
        <v>5617</v>
      </c>
      <c r="I4172">
        <v>0</v>
      </c>
      <c r="J4172" t="s">
        <v>87</v>
      </c>
      <c r="K4172">
        <v>0</v>
      </c>
      <c r="L4172">
        <v>0</v>
      </c>
    </row>
    <row r="4173" spans="1:12">
      <c r="A4173" s="93">
        <v>442426</v>
      </c>
      <c r="B4173" t="s">
        <v>4649</v>
      </c>
      <c r="C4173" t="s">
        <v>5607</v>
      </c>
      <c r="D4173" s="92">
        <v>0.7</v>
      </c>
      <c r="E4173" s="92">
        <v>0.72</v>
      </c>
      <c r="F4173" t="s">
        <v>428</v>
      </c>
      <c r="G4173" t="s">
        <v>428</v>
      </c>
      <c r="H4173" t="s">
        <v>5615</v>
      </c>
      <c r="I4173">
        <v>0</v>
      </c>
      <c r="J4173" t="s">
        <v>87</v>
      </c>
      <c r="K4173">
        <v>0</v>
      </c>
      <c r="L4173">
        <v>0</v>
      </c>
    </row>
    <row r="4174" spans="1:12">
      <c r="A4174" s="93">
        <v>442435</v>
      </c>
      <c r="B4174" t="s">
        <v>4650</v>
      </c>
      <c r="C4174" t="s">
        <v>5606</v>
      </c>
      <c r="D4174" s="92" t="s">
        <v>428</v>
      </c>
      <c r="E4174" s="92" t="s">
        <v>428</v>
      </c>
      <c r="F4174" t="s">
        <v>428</v>
      </c>
      <c r="G4174" t="s">
        <v>428</v>
      </c>
      <c r="H4174" t="s">
        <v>5616</v>
      </c>
      <c r="I4174">
        <v>0</v>
      </c>
      <c r="J4174" t="s">
        <v>87</v>
      </c>
      <c r="K4174">
        <v>0</v>
      </c>
      <c r="L4174">
        <v>0</v>
      </c>
    </row>
    <row r="4175" spans="1:12">
      <c r="A4175" s="93">
        <v>442523</v>
      </c>
      <c r="B4175" t="s">
        <v>4651</v>
      </c>
      <c r="C4175" t="s">
        <v>5606</v>
      </c>
      <c r="D4175" s="92" t="s">
        <v>428</v>
      </c>
      <c r="E4175" s="92" t="s">
        <v>428</v>
      </c>
      <c r="F4175" t="s">
        <v>428</v>
      </c>
      <c r="G4175" t="s">
        <v>428</v>
      </c>
      <c r="H4175" t="s">
        <v>5613</v>
      </c>
      <c r="I4175">
        <v>1</v>
      </c>
      <c r="J4175" t="s">
        <v>87</v>
      </c>
      <c r="K4175">
        <v>0</v>
      </c>
      <c r="L4175">
        <v>0</v>
      </c>
    </row>
    <row r="4176" spans="1:12">
      <c r="A4176" s="93">
        <v>442569</v>
      </c>
      <c r="B4176" t="s">
        <v>4652</v>
      </c>
      <c r="C4176" t="s">
        <v>5604</v>
      </c>
      <c r="D4176" s="92">
        <v>0.3</v>
      </c>
      <c r="E4176" s="92">
        <v>0.29</v>
      </c>
      <c r="F4176" t="s">
        <v>428</v>
      </c>
      <c r="G4176" t="s">
        <v>428</v>
      </c>
      <c r="H4176" t="s">
        <v>5616</v>
      </c>
      <c r="I4176">
        <v>0</v>
      </c>
      <c r="J4176" t="s">
        <v>87</v>
      </c>
      <c r="K4176">
        <v>0</v>
      </c>
      <c r="L4176">
        <v>0</v>
      </c>
    </row>
    <row r="4177" spans="1:12">
      <c r="A4177" s="93">
        <v>442602</v>
      </c>
      <c r="B4177" t="s">
        <v>4653</v>
      </c>
      <c r="C4177" t="s">
        <v>5609</v>
      </c>
      <c r="D4177" s="92">
        <v>0.73</v>
      </c>
      <c r="E4177" s="92">
        <v>0.73</v>
      </c>
      <c r="F4177" t="s">
        <v>428</v>
      </c>
      <c r="G4177" t="s">
        <v>428</v>
      </c>
      <c r="H4177" t="s">
        <v>5617</v>
      </c>
      <c r="I4177">
        <v>0</v>
      </c>
      <c r="J4177" t="s">
        <v>87</v>
      </c>
      <c r="K4177">
        <v>0</v>
      </c>
      <c r="L4177">
        <v>0</v>
      </c>
    </row>
    <row r="4178" spans="1:12">
      <c r="A4178" s="93">
        <v>442611</v>
      </c>
      <c r="B4178" t="s">
        <v>4654</v>
      </c>
      <c r="C4178" t="s">
        <v>5606</v>
      </c>
      <c r="D4178" s="92">
        <v>0.59</v>
      </c>
      <c r="E4178" s="92">
        <v>0.53</v>
      </c>
      <c r="F4178" t="s">
        <v>428</v>
      </c>
      <c r="G4178" t="s">
        <v>428</v>
      </c>
      <c r="H4178" t="s">
        <v>5617</v>
      </c>
      <c r="I4178">
        <v>0</v>
      </c>
      <c r="J4178" t="s">
        <v>87</v>
      </c>
      <c r="K4178">
        <v>0</v>
      </c>
      <c r="L4178">
        <v>0</v>
      </c>
    </row>
    <row r="4179" spans="1:12">
      <c r="A4179" s="93">
        <v>442639</v>
      </c>
      <c r="B4179" t="s">
        <v>4655</v>
      </c>
      <c r="C4179" t="s">
        <v>5604</v>
      </c>
      <c r="D4179" s="92">
        <v>0.33</v>
      </c>
      <c r="E4179" s="92">
        <v>0.33</v>
      </c>
      <c r="F4179" t="s">
        <v>428</v>
      </c>
      <c r="G4179" t="s">
        <v>428</v>
      </c>
      <c r="H4179" t="s">
        <v>5617</v>
      </c>
      <c r="I4179">
        <v>0</v>
      </c>
      <c r="J4179" t="s">
        <v>87</v>
      </c>
      <c r="K4179">
        <v>0</v>
      </c>
      <c r="L4179">
        <v>0</v>
      </c>
    </row>
    <row r="4180" spans="1:12">
      <c r="A4180" s="93">
        <v>442718</v>
      </c>
      <c r="B4180" t="s">
        <v>4656</v>
      </c>
      <c r="C4180" t="s">
        <v>5604</v>
      </c>
      <c r="D4180" s="92" t="s">
        <v>428</v>
      </c>
      <c r="E4180" s="92" t="s">
        <v>428</v>
      </c>
      <c r="F4180" t="s">
        <v>428</v>
      </c>
      <c r="G4180" t="s">
        <v>428</v>
      </c>
      <c r="H4180" t="s">
        <v>5617</v>
      </c>
      <c r="I4180">
        <v>0</v>
      </c>
      <c r="J4180" t="s">
        <v>87</v>
      </c>
      <c r="K4180">
        <v>0</v>
      </c>
      <c r="L4180">
        <v>0</v>
      </c>
    </row>
    <row r="4181" spans="1:12">
      <c r="A4181" s="93">
        <v>442781</v>
      </c>
      <c r="B4181" t="s">
        <v>4657</v>
      </c>
      <c r="C4181" t="s">
        <v>5606</v>
      </c>
      <c r="D4181" s="92" t="s">
        <v>428</v>
      </c>
      <c r="E4181" s="92" t="s">
        <v>428</v>
      </c>
      <c r="F4181" t="s">
        <v>428</v>
      </c>
      <c r="G4181" t="s">
        <v>428</v>
      </c>
      <c r="H4181" t="s">
        <v>5615</v>
      </c>
      <c r="I4181">
        <v>0</v>
      </c>
      <c r="J4181" t="s">
        <v>87</v>
      </c>
      <c r="K4181">
        <v>0</v>
      </c>
      <c r="L4181">
        <v>0</v>
      </c>
    </row>
    <row r="4182" spans="1:12">
      <c r="A4182" s="93">
        <v>442790</v>
      </c>
      <c r="B4182" t="s">
        <v>4658</v>
      </c>
      <c r="C4182" t="s">
        <v>5606</v>
      </c>
      <c r="D4182" s="92" t="s">
        <v>428</v>
      </c>
      <c r="E4182" s="92" t="s">
        <v>428</v>
      </c>
      <c r="F4182" t="s">
        <v>428</v>
      </c>
      <c r="G4182" t="s">
        <v>428</v>
      </c>
      <c r="H4182" t="s">
        <v>5617</v>
      </c>
      <c r="I4182">
        <v>0</v>
      </c>
      <c r="J4182" t="s">
        <v>87</v>
      </c>
      <c r="K4182">
        <v>0</v>
      </c>
      <c r="L4182">
        <v>0</v>
      </c>
    </row>
    <row r="4183" spans="1:12">
      <c r="A4183" s="93">
        <v>442806</v>
      </c>
      <c r="B4183" t="s">
        <v>4659</v>
      </c>
      <c r="C4183" t="s">
        <v>5607</v>
      </c>
      <c r="D4183" s="92" t="s">
        <v>428</v>
      </c>
      <c r="E4183" s="92" t="s">
        <v>428</v>
      </c>
      <c r="F4183" t="s">
        <v>428</v>
      </c>
      <c r="G4183" t="s">
        <v>428</v>
      </c>
      <c r="H4183" t="s">
        <v>5615</v>
      </c>
      <c r="I4183">
        <v>0</v>
      </c>
      <c r="J4183" t="s">
        <v>87</v>
      </c>
      <c r="K4183">
        <v>0</v>
      </c>
      <c r="L4183">
        <v>0</v>
      </c>
    </row>
    <row r="4184" spans="1:12">
      <c r="A4184" s="93">
        <v>442842</v>
      </c>
      <c r="B4184" t="s">
        <v>4660</v>
      </c>
      <c r="C4184" t="s">
        <v>5604</v>
      </c>
      <c r="D4184" s="92">
        <v>1</v>
      </c>
      <c r="E4184" s="92">
        <v>1</v>
      </c>
      <c r="F4184" t="s">
        <v>428</v>
      </c>
      <c r="G4184" t="s">
        <v>428</v>
      </c>
      <c r="H4184" t="s">
        <v>5617</v>
      </c>
      <c r="I4184">
        <v>0</v>
      </c>
      <c r="J4184" t="s">
        <v>87</v>
      </c>
      <c r="K4184">
        <v>0</v>
      </c>
      <c r="L4184">
        <v>1</v>
      </c>
    </row>
    <row r="4185" spans="1:12">
      <c r="A4185" s="93">
        <v>442879</v>
      </c>
      <c r="B4185" t="s">
        <v>4661</v>
      </c>
      <c r="C4185" t="s">
        <v>5606</v>
      </c>
      <c r="D4185" s="92" t="s">
        <v>428</v>
      </c>
      <c r="E4185" s="92" t="s">
        <v>428</v>
      </c>
      <c r="F4185" t="s">
        <v>428</v>
      </c>
      <c r="G4185" t="s">
        <v>428</v>
      </c>
      <c r="H4185" t="s">
        <v>5617</v>
      </c>
      <c r="I4185">
        <v>0</v>
      </c>
      <c r="J4185" t="s">
        <v>87</v>
      </c>
      <c r="K4185">
        <v>0</v>
      </c>
      <c r="L4185">
        <v>0</v>
      </c>
    </row>
    <row r="4186" spans="1:12">
      <c r="A4186" s="93">
        <v>442888</v>
      </c>
      <c r="B4186" t="s">
        <v>4662</v>
      </c>
      <c r="C4186" t="s">
        <v>5606</v>
      </c>
      <c r="D4186" s="92" t="s">
        <v>428</v>
      </c>
      <c r="E4186" s="92" t="s">
        <v>428</v>
      </c>
      <c r="F4186" t="s">
        <v>428</v>
      </c>
      <c r="G4186" t="s">
        <v>428</v>
      </c>
      <c r="H4186" t="s">
        <v>5617</v>
      </c>
      <c r="I4186">
        <v>0</v>
      </c>
      <c r="J4186" t="s">
        <v>87</v>
      </c>
      <c r="K4186">
        <v>0</v>
      </c>
      <c r="L4186">
        <v>0</v>
      </c>
    </row>
    <row r="4187" spans="1:12">
      <c r="A4187" s="93">
        <v>442897</v>
      </c>
      <c r="B4187" t="s">
        <v>4663</v>
      </c>
      <c r="C4187" t="s">
        <v>5604</v>
      </c>
      <c r="D4187" s="92" t="s">
        <v>428</v>
      </c>
      <c r="E4187" s="92" t="s">
        <v>428</v>
      </c>
      <c r="F4187" t="s">
        <v>428</v>
      </c>
      <c r="G4187" t="s">
        <v>428</v>
      </c>
      <c r="H4187" t="s">
        <v>5615</v>
      </c>
      <c r="I4187">
        <v>0</v>
      </c>
      <c r="J4187" t="s">
        <v>87</v>
      </c>
      <c r="K4187">
        <v>0</v>
      </c>
      <c r="L4187">
        <v>0</v>
      </c>
    </row>
    <row r="4188" spans="1:12">
      <c r="A4188" s="93">
        <v>442930</v>
      </c>
      <c r="B4188" t="s">
        <v>4664</v>
      </c>
      <c r="C4188" t="s">
        <v>5604</v>
      </c>
      <c r="D4188" s="92">
        <v>0.49</v>
      </c>
      <c r="E4188" s="92">
        <v>0.48</v>
      </c>
      <c r="F4188" t="s">
        <v>428</v>
      </c>
      <c r="G4188" t="s">
        <v>428</v>
      </c>
      <c r="H4188" t="s">
        <v>5616</v>
      </c>
      <c r="I4188">
        <v>0</v>
      </c>
      <c r="J4188" t="s">
        <v>87</v>
      </c>
      <c r="K4188">
        <v>0</v>
      </c>
      <c r="L4188">
        <v>0</v>
      </c>
    </row>
    <row r="4189" spans="1:12">
      <c r="A4189" s="93">
        <v>442949</v>
      </c>
      <c r="B4189" t="s">
        <v>4665</v>
      </c>
      <c r="C4189" t="s">
        <v>5607</v>
      </c>
      <c r="D4189" s="92" t="s">
        <v>428</v>
      </c>
      <c r="E4189" s="92" t="s">
        <v>428</v>
      </c>
      <c r="F4189" t="s">
        <v>428</v>
      </c>
      <c r="G4189" t="s">
        <v>428</v>
      </c>
      <c r="H4189" t="s">
        <v>5615</v>
      </c>
      <c r="I4189">
        <v>0</v>
      </c>
      <c r="J4189" t="s">
        <v>87</v>
      </c>
      <c r="K4189">
        <v>0</v>
      </c>
      <c r="L4189">
        <v>0</v>
      </c>
    </row>
    <row r="4190" spans="1:12">
      <c r="A4190" s="93">
        <v>442967</v>
      </c>
      <c r="B4190" t="s">
        <v>4666</v>
      </c>
      <c r="C4190" t="s">
        <v>5606</v>
      </c>
      <c r="D4190" s="92">
        <v>0.7</v>
      </c>
      <c r="E4190" s="92">
        <v>0.67</v>
      </c>
      <c r="F4190" t="s">
        <v>428</v>
      </c>
      <c r="G4190" t="s">
        <v>428</v>
      </c>
      <c r="H4190" t="s">
        <v>5617</v>
      </c>
      <c r="I4190">
        <v>0</v>
      </c>
      <c r="J4190" t="s">
        <v>87</v>
      </c>
      <c r="K4190">
        <v>0</v>
      </c>
      <c r="L4190">
        <v>0</v>
      </c>
    </row>
    <row r="4191" spans="1:12">
      <c r="A4191" s="93">
        <v>443030</v>
      </c>
      <c r="B4191" t="s">
        <v>4667</v>
      </c>
      <c r="C4191" t="s">
        <v>5607</v>
      </c>
      <c r="D4191" s="92" t="s">
        <v>428</v>
      </c>
      <c r="E4191" s="92" t="s">
        <v>428</v>
      </c>
      <c r="F4191" t="s">
        <v>428</v>
      </c>
      <c r="G4191" t="s">
        <v>428</v>
      </c>
      <c r="H4191" t="s">
        <v>5615</v>
      </c>
      <c r="I4191">
        <v>0</v>
      </c>
      <c r="J4191" t="s">
        <v>87</v>
      </c>
      <c r="K4191">
        <v>0</v>
      </c>
      <c r="L4191">
        <v>1</v>
      </c>
    </row>
    <row r="4192" spans="1:12">
      <c r="A4192" s="93">
        <v>443049</v>
      </c>
      <c r="B4192" t="s">
        <v>4668</v>
      </c>
      <c r="C4192" t="s">
        <v>5604</v>
      </c>
      <c r="D4192" s="92">
        <v>0.53</v>
      </c>
      <c r="E4192" s="92">
        <v>0.38</v>
      </c>
      <c r="F4192" t="s">
        <v>428</v>
      </c>
      <c r="G4192" t="s">
        <v>428</v>
      </c>
      <c r="H4192" t="s">
        <v>5617</v>
      </c>
      <c r="I4192">
        <v>0</v>
      </c>
      <c r="J4192" t="s">
        <v>87</v>
      </c>
      <c r="K4192">
        <v>0</v>
      </c>
      <c r="L4192">
        <v>0</v>
      </c>
    </row>
    <row r="4193" spans="1:12">
      <c r="A4193" s="93">
        <v>443058</v>
      </c>
      <c r="B4193" t="s">
        <v>4669</v>
      </c>
      <c r="C4193" t="s">
        <v>5607</v>
      </c>
      <c r="D4193" s="92">
        <v>1</v>
      </c>
      <c r="E4193" s="92" t="s">
        <v>428</v>
      </c>
      <c r="F4193" t="s">
        <v>428</v>
      </c>
      <c r="G4193" t="s">
        <v>428</v>
      </c>
      <c r="H4193" t="s">
        <v>5616</v>
      </c>
      <c r="I4193">
        <v>0</v>
      </c>
      <c r="J4193" t="s">
        <v>87</v>
      </c>
      <c r="K4193">
        <v>0</v>
      </c>
      <c r="L4193">
        <v>0</v>
      </c>
    </row>
    <row r="4194" spans="1:12">
      <c r="A4194" s="93">
        <v>443076</v>
      </c>
      <c r="B4194" t="s">
        <v>4670</v>
      </c>
      <c r="C4194" t="s">
        <v>5607</v>
      </c>
      <c r="D4194" s="92" t="s">
        <v>428</v>
      </c>
      <c r="E4194" s="92" t="s">
        <v>428</v>
      </c>
      <c r="F4194" t="s">
        <v>428</v>
      </c>
      <c r="G4194" t="s">
        <v>428</v>
      </c>
      <c r="H4194" t="s">
        <v>5615</v>
      </c>
      <c r="I4194">
        <v>0</v>
      </c>
      <c r="J4194" t="s">
        <v>87</v>
      </c>
      <c r="K4194">
        <v>0</v>
      </c>
      <c r="L4194">
        <v>0</v>
      </c>
    </row>
    <row r="4195" spans="1:12">
      <c r="A4195" s="93">
        <v>443128</v>
      </c>
      <c r="B4195" t="s">
        <v>4671</v>
      </c>
      <c r="C4195" t="s">
        <v>5607</v>
      </c>
      <c r="D4195" s="92" t="s">
        <v>428</v>
      </c>
      <c r="E4195" s="92" t="s">
        <v>428</v>
      </c>
      <c r="F4195" t="s">
        <v>428</v>
      </c>
      <c r="G4195" t="s">
        <v>428</v>
      </c>
      <c r="H4195" t="s">
        <v>5615</v>
      </c>
      <c r="I4195">
        <v>0</v>
      </c>
      <c r="J4195" t="s">
        <v>87</v>
      </c>
      <c r="K4195">
        <v>0</v>
      </c>
      <c r="L4195">
        <v>0</v>
      </c>
    </row>
    <row r="4196" spans="1:12">
      <c r="A4196" s="93">
        <v>443270</v>
      </c>
      <c r="B4196" t="s">
        <v>4672</v>
      </c>
      <c r="C4196" t="s">
        <v>5606</v>
      </c>
      <c r="D4196" s="92" t="s">
        <v>428</v>
      </c>
      <c r="E4196" s="92" t="s">
        <v>428</v>
      </c>
      <c r="F4196" t="s">
        <v>428</v>
      </c>
      <c r="G4196" t="s">
        <v>428</v>
      </c>
      <c r="H4196" t="s">
        <v>5617</v>
      </c>
      <c r="I4196">
        <v>0</v>
      </c>
      <c r="J4196" t="s">
        <v>87</v>
      </c>
      <c r="K4196">
        <v>0</v>
      </c>
      <c r="L4196">
        <v>0</v>
      </c>
    </row>
    <row r="4197" spans="1:12">
      <c r="A4197" s="93">
        <v>443289</v>
      </c>
      <c r="B4197" t="s">
        <v>4673</v>
      </c>
      <c r="C4197" t="s">
        <v>5606</v>
      </c>
      <c r="D4197" s="92" t="s">
        <v>428</v>
      </c>
      <c r="E4197" s="92" t="s">
        <v>428</v>
      </c>
      <c r="F4197" t="s">
        <v>428</v>
      </c>
      <c r="G4197" t="s">
        <v>428</v>
      </c>
      <c r="H4197" t="s">
        <v>5617</v>
      </c>
      <c r="I4197">
        <v>0</v>
      </c>
      <c r="J4197" t="s">
        <v>87</v>
      </c>
      <c r="K4197">
        <v>0</v>
      </c>
      <c r="L4197">
        <v>0</v>
      </c>
    </row>
    <row r="4198" spans="1:12">
      <c r="A4198" s="93">
        <v>443331</v>
      </c>
      <c r="B4198" t="s">
        <v>4674</v>
      </c>
      <c r="C4198" t="s">
        <v>5607</v>
      </c>
      <c r="D4198" s="92">
        <v>0.55</v>
      </c>
      <c r="E4198" s="92">
        <v>0</v>
      </c>
      <c r="F4198" t="s">
        <v>428</v>
      </c>
      <c r="G4198" t="s">
        <v>428</v>
      </c>
      <c r="H4198" t="s">
        <v>5617</v>
      </c>
      <c r="I4198">
        <v>0</v>
      </c>
      <c r="J4198" t="s">
        <v>87</v>
      </c>
      <c r="K4198">
        <v>0</v>
      </c>
      <c r="L4198">
        <v>0</v>
      </c>
    </row>
    <row r="4199" spans="1:12">
      <c r="A4199" s="93">
        <v>443340</v>
      </c>
      <c r="B4199" t="s">
        <v>4675</v>
      </c>
      <c r="C4199" t="s">
        <v>5604</v>
      </c>
      <c r="D4199" s="92">
        <v>0.46</v>
      </c>
      <c r="E4199" s="92">
        <v>0.67</v>
      </c>
      <c r="F4199" t="s">
        <v>428</v>
      </c>
      <c r="G4199" t="s">
        <v>428</v>
      </c>
      <c r="H4199" t="s">
        <v>5616</v>
      </c>
      <c r="I4199">
        <v>0</v>
      </c>
      <c r="J4199" t="s">
        <v>87</v>
      </c>
      <c r="K4199">
        <v>0</v>
      </c>
      <c r="L4199">
        <v>0</v>
      </c>
    </row>
    <row r="4200" spans="1:12">
      <c r="A4200" s="93">
        <v>443377</v>
      </c>
      <c r="B4200" t="s">
        <v>4676</v>
      </c>
      <c r="C4200" t="s">
        <v>5606</v>
      </c>
      <c r="D4200" s="92" t="s">
        <v>428</v>
      </c>
      <c r="E4200" s="92" t="s">
        <v>428</v>
      </c>
      <c r="F4200" t="s">
        <v>428</v>
      </c>
      <c r="G4200" t="s">
        <v>428</v>
      </c>
      <c r="H4200" t="s">
        <v>5617</v>
      </c>
      <c r="I4200">
        <v>0</v>
      </c>
      <c r="J4200" t="s">
        <v>87</v>
      </c>
      <c r="K4200">
        <v>0</v>
      </c>
      <c r="L4200">
        <v>0</v>
      </c>
    </row>
    <row r="4201" spans="1:12">
      <c r="A4201" s="93">
        <v>443395</v>
      </c>
      <c r="B4201" t="s">
        <v>3245</v>
      </c>
      <c r="C4201" t="s">
        <v>5606</v>
      </c>
      <c r="D4201" s="92" t="s">
        <v>428</v>
      </c>
      <c r="E4201" s="92" t="s">
        <v>428</v>
      </c>
      <c r="F4201" t="s">
        <v>428</v>
      </c>
      <c r="G4201" t="s">
        <v>428</v>
      </c>
      <c r="H4201" t="s">
        <v>5617</v>
      </c>
      <c r="I4201">
        <v>0</v>
      </c>
      <c r="J4201" t="s">
        <v>87</v>
      </c>
      <c r="K4201">
        <v>0</v>
      </c>
      <c r="L4201">
        <v>0</v>
      </c>
    </row>
    <row r="4202" spans="1:12">
      <c r="A4202" s="93">
        <v>443410</v>
      </c>
      <c r="B4202" t="s">
        <v>4677</v>
      </c>
      <c r="C4202" t="s">
        <v>5605</v>
      </c>
      <c r="D4202" s="92">
        <v>0.48</v>
      </c>
      <c r="E4202" s="92">
        <v>0.38</v>
      </c>
      <c r="F4202">
        <v>26</v>
      </c>
      <c r="G4202">
        <v>28.5</v>
      </c>
      <c r="H4202" t="s">
        <v>5617</v>
      </c>
      <c r="I4202">
        <v>0</v>
      </c>
      <c r="J4202" t="s">
        <v>87</v>
      </c>
      <c r="K4202">
        <v>0</v>
      </c>
      <c r="L4202">
        <v>0</v>
      </c>
    </row>
    <row r="4203" spans="1:12">
      <c r="A4203" s="93">
        <v>443492</v>
      </c>
      <c r="B4203" t="s">
        <v>4678</v>
      </c>
      <c r="C4203" t="s">
        <v>5606</v>
      </c>
      <c r="D4203" s="92">
        <v>0.24</v>
      </c>
      <c r="E4203" s="92">
        <v>0.18</v>
      </c>
      <c r="F4203" t="s">
        <v>428</v>
      </c>
      <c r="G4203" t="s">
        <v>428</v>
      </c>
      <c r="H4203" t="s">
        <v>5615</v>
      </c>
      <c r="I4203">
        <v>0</v>
      </c>
      <c r="J4203" t="s">
        <v>87</v>
      </c>
      <c r="K4203">
        <v>0</v>
      </c>
      <c r="L4203">
        <v>0</v>
      </c>
    </row>
    <row r="4204" spans="1:12">
      <c r="A4204" s="93">
        <v>443526</v>
      </c>
      <c r="B4204" t="s">
        <v>4679</v>
      </c>
      <c r="C4204" t="s">
        <v>5607</v>
      </c>
      <c r="D4204" s="92">
        <v>0.33</v>
      </c>
      <c r="E4204" s="92">
        <v>0.21</v>
      </c>
      <c r="F4204" t="s">
        <v>428</v>
      </c>
      <c r="G4204" t="s">
        <v>428</v>
      </c>
      <c r="H4204" t="s">
        <v>5617</v>
      </c>
      <c r="I4204">
        <v>0</v>
      </c>
      <c r="J4204" t="s">
        <v>87</v>
      </c>
      <c r="K4204">
        <v>0</v>
      </c>
      <c r="L4204">
        <v>0</v>
      </c>
    </row>
    <row r="4205" spans="1:12">
      <c r="A4205" s="93">
        <v>443535</v>
      </c>
      <c r="B4205" t="s">
        <v>4680</v>
      </c>
      <c r="C4205" t="s">
        <v>5607</v>
      </c>
      <c r="D4205" s="92" t="s">
        <v>428</v>
      </c>
      <c r="E4205" s="92" t="s">
        <v>428</v>
      </c>
      <c r="F4205" t="s">
        <v>428</v>
      </c>
      <c r="G4205" t="s">
        <v>428</v>
      </c>
      <c r="H4205" t="s">
        <v>5617</v>
      </c>
      <c r="I4205">
        <v>0</v>
      </c>
      <c r="J4205" t="s">
        <v>87</v>
      </c>
      <c r="K4205">
        <v>0</v>
      </c>
      <c r="L4205">
        <v>0</v>
      </c>
    </row>
    <row r="4206" spans="1:12">
      <c r="A4206" s="93">
        <v>443544</v>
      </c>
      <c r="B4206" t="s">
        <v>4681</v>
      </c>
      <c r="C4206" t="s">
        <v>5607</v>
      </c>
      <c r="D4206" s="92">
        <v>0.06</v>
      </c>
      <c r="E4206" s="92">
        <v>0.08</v>
      </c>
      <c r="F4206" t="s">
        <v>428</v>
      </c>
      <c r="G4206" t="s">
        <v>428</v>
      </c>
      <c r="H4206" t="s">
        <v>5617</v>
      </c>
      <c r="I4206">
        <v>0</v>
      </c>
      <c r="J4206" t="s">
        <v>87</v>
      </c>
      <c r="K4206">
        <v>0</v>
      </c>
      <c r="L4206">
        <v>0</v>
      </c>
    </row>
    <row r="4207" spans="1:12">
      <c r="A4207" s="93">
        <v>443562</v>
      </c>
      <c r="B4207" t="s">
        <v>4682</v>
      </c>
      <c r="C4207" t="s">
        <v>5604</v>
      </c>
      <c r="D4207" s="92">
        <v>0.31</v>
      </c>
      <c r="E4207" s="92">
        <v>0.31</v>
      </c>
      <c r="F4207" t="s">
        <v>428</v>
      </c>
      <c r="G4207" t="s">
        <v>428</v>
      </c>
      <c r="H4207" t="s">
        <v>5614</v>
      </c>
      <c r="I4207">
        <v>1</v>
      </c>
      <c r="J4207" t="s">
        <v>87</v>
      </c>
      <c r="K4207">
        <v>0</v>
      </c>
      <c r="L4207">
        <v>0</v>
      </c>
    </row>
    <row r="4208" spans="1:12">
      <c r="A4208" s="93">
        <v>443571</v>
      </c>
      <c r="B4208" t="s">
        <v>4683</v>
      </c>
      <c r="C4208" t="s">
        <v>5606</v>
      </c>
      <c r="D4208" s="92" t="s">
        <v>428</v>
      </c>
      <c r="E4208" s="92" t="s">
        <v>428</v>
      </c>
      <c r="F4208" t="s">
        <v>428</v>
      </c>
      <c r="G4208" t="s">
        <v>428</v>
      </c>
      <c r="H4208" t="s">
        <v>5616</v>
      </c>
      <c r="I4208">
        <v>0</v>
      </c>
      <c r="J4208" t="s">
        <v>87</v>
      </c>
      <c r="K4208">
        <v>0</v>
      </c>
      <c r="L4208">
        <v>0</v>
      </c>
    </row>
    <row r="4209" spans="1:12">
      <c r="A4209" s="93">
        <v>443599</v>
      </c>
      <c r="B4209" t="s">
        <v>4684</v>
      </c>
      <c r="C4209" t="s">
        <v>5607</v>
      </c>
      <c r="D4209" s="92" t="s">
        <v>428</v>
      </c>
      <c r="E4209" s="92" t="s">
        <v>428</v>
      </c>
      <c r="F4209" t="s">
        <v>428</v>
      </c>
      <c r="G4209" t="s">
        <v>428</v>
      </c>
      <c r="H4209" t="s">
        <v>5617</v>
      </c>
      <c r="I4209">
        <v>0</v>
      </c>
      <c r="J4209" t="s">
        <v>87</v>
      </c>
      <c r="K4209">
        <v>0</v>
      </c>
      <c r="L4209">
        <v>0</v>
      </c>
    </row>
    <row r="4210" spans="1:12">
      <c r="A4210" s="93">
        <v>443623</v>
      </c>
      <c r="B4210" t="s">
        <v>4685</v>
      </c>
      <c r="C4210" t="s">
        <v>5606</v>
      </c>
      <c r="D4210" s="92" t="s">
        <v>428</v>
      </c>
      <c r="E4210" s="92" t="s">
        <v>428</v>
      </c>
      <c r="F4210" t="s">
        <v>428</v>
      </c>
      <c r="G4210" t="s">
        <v>428</v>
      </c>
      <c r="H4210" t="s">
        <v>5617</v>
      </c>
      <c r="I4210">
        <v>0</v>
      </c>
      <c r="J4210" t="s">
        <v>87</v>
      </c>
      <c r="K4210">
        <v>0</v>
      </c>
      <c r="L4210">
        <v>0</v>
      </c>
    </row>
    <row r="4211" spans="1:12">
      <c r="A4211" s="93">
        <v>443650</v>
      </c>
      <c r="B4211" t="s">
        <v>4686</v>
      </c>
      <c r="C4211" t="s">
        <v>5606</v>
      </c>
      <c r="D4211" s="92" t="s">
        <v>428</v>
      </c>
      <c r="E4211" s="92" t="s">
        <v>428</v>
      </c>
      <c r="F4211" t="s">
        <v>428</v>
      </c>
      <c r="G4211" t="s">
        <v>428</v>
      </c>
      <c r="H4211" t="s">
        <v>5617</v>
      </c>
      <c r="I4211">
        <v>0</v>
      </c>
      <c r="J4211" t="s">
        <v>87</v>
      </c>
      <c r="K4211">
        <v>0</v>
      </c>
      <c r="L4211">
        <v>0</v>
      </c>
    </row>
    <row r="4212" spans="1:12">
      <c r="A4212" s="93">
        <v>443696</v>
      </c>
      <c r="B4212" t="s">
        <v>4184</v>
      </c>
      <c r="C4212" t="s">
        <v>5606</v>
      </c>
      <c r="D4212" s="92" t="s">
        <v>428</v>
      </c>
      <c r="E4212" s="92" t="s">
        <v>428</v>
      </c>
      <c r="F4212" t="s">
        <v>428</v>
      </c>
      <c r="G4212" t="s">
        <v>428</v>
      </c>
      <c r="H4212" t="s">
        <v>5616</v>
      </c>
      <c r="I4212">
        <v>0</v>
      </c>
      <c r="J4212" t="s">
        <v>87</v>
      </c>
      <c r="K4212">
        <v>0</v>
      </c>
      <c r="L4212">
        <v>0</v>
      </c>
    </row>
    <row r="4213" spans="1:12">
      <c r="A4213" s="93">
        <v>443702</v>
      </c>
      <c r="B4213" t="s">
        <v>4687</v>
      </c>
      <c r="C4213" t="s">
        <v>5607</v>
      </c>
      <c r="D4213" s="92" t="s">
        <v>428</v>
      </c>
      <c r="E4213" s="92" t="s">
        <v>428</v>
      </c>
      <c r="F4213" t="s">
        <v>428</v>
      </c>
      <c r="G4213" t="s">
        <v>428</v>
      </c>
      <c r="H4213" t="s">
        <v>5615</v>
      </c>
      <c r="I4213">
        <v>0</v>
      </c>
      <c r="J4213" t="s">
        <v>87</v>
      </c>
      <c r="K4213">
        <v>0</v>
      </c>
      <c r="L4213">
        <v>1</v>
      </c>
    </row>
    <row r="4214" spans="1:12">
      <c r="A4214" s="93">
        <v>443748</v>
      </c>
      <c r="B4214" t="s">
        <v>4688</v>
      </c>
      <c r="C4214" t="s">
        <v>5606</v>
      </c>
      <c r="D4214" s="92" t="s">
        <v>428</v>
      </c>
      <c r="E4214" s="92" t="s">
        <v>428</v>
      </c>
      <c r="F4214" t="s">
        <v>428</v>
      </c>
      <c r="G4214" t="s">
        <v>428</v>
      </c>
      <c r="H4214" t="s">
        <v>5617</v>
      </c>
      <c r="I4214">
        <v>0</v>
      </c>
      <c r="J4214" t="s">
        <v>87</v>
      </c>
      <c r="K4214">
        <v>0</v>
      </c>
      <c r="L4214">
        <v>0</v>
      </c>
    </row>
    <row r="4215" spans="1:12">
      <c r="A4215" s="93">
        <v>443766</v>
      </c>
      <c r="B4215" t="s">
        <v>4689</v>
      </c>
      <c r="C4215" t="s">
        <v>5604</v>
      </c>
      <c r="D4215" s="92">
        <v>0.25</v>
      </c>
      <c r="E4215" s="92">
        <v>0.25</v>
      </c>
      <c r="F4215" t="s">
        <v>428</v>
      </c>
      <c r="G4215" t="s">
        <v>428</v>
      </c>
      <c r="H4215" t="s">
        <v>5617</v>
      </c>
      <c r="I4215">
        <v>0</v>
      </c>
      <c r="J4215" t="s">
        <v>87</v>
      </c>
      <c r="K4215">
        <v>0</v>
      </c>
      <c r="L4215">
        <v>0</v>
      </c>
    </row>
    <row r="4216" spans="1:12">
      <c r="A4216" s="93">
        <v>443784</v>
      </c>
      <c r="B4216" t="s">
        <v>4690</v>
      </c>
      <c r="C4216" t="s">
        <v>5604</v>
      </c>
      <c r="D4216" s="92">
        <v>0.14</v>
      </c>
      <c r="E4216" s="92">
        <v>0</v>
      </c>
      <c r="F4216" t="s">
        <v>428</v>
      </c>
      <c r="G4216" t="s">
        <v>428</v>
      </c>
      <c r="H4216" t="s">
        <v>5617</v>
      </c>
      <c r="I4216">
        <v>0</v>
      </c>
      <c r="J4216" t="s">
        <v>87</v>
      </c>
      <c r="K4216">
        <v>0</v>
      </c>
      <c r="L4216">
        <v>0</v>
      </c>
    </row>
    <row r="4217" spans="1:12">
      <c r="A4217" s="93">
        <v>443827</v>
      </c>
      <c r="B4217" t="s">
        <v>4691</v>
      </c>
      <c r="C4217" t="s">
        <v>5606</v>
      </c>
      <c r="D4217" s="92" t="s">
        <v>428</v>
      </c>
      <c r="E4217" s="92" t="s">
        <v>428</v>
      </c>
      <c r="F4217" t="s">
        <v>428</v>
      </c>
      <c r="G4217" t="s">
        <v>428</v>
      </c>
      <c r="H4217" t="s">
        <v>5617</v>
      </c>
      <c r="I4217">
        <v>0</v>
      </c>
      <c r="J4217" t="s">
        <v>87</v>
      </c>
      <c r="K4217">
        <v>0</v>
      </c>
      <c r="L4217">
        <v>0</v>
      </c>
    </row>
    <row r="4218" spans="1:12">
      <c r="A4218" s="93">
        <v>443836</v>
      </c>
      <c r="B4218" t="s">
        <v>4692</v>
      </c>
      <c r="C4218" t="s">
        <v>5606</v>
      </c>
      <c r="D4218" s="92" t="s">
        <v>428</v>
      </c>
      <c r="E4218" s="92" t="s">
        <v>428</v>
      </c>
      <c r="F4218" t="s">
        <v>428</v>
      </c>
      <c r="G4218" t="s">
        <v>428</v>
      </c>
      <c r="H4218" t="s">
        <v>5617</v>
      </c>
      <c r="I4218">
        <v>0</v>
      </c>
      <c r="J4218" t="s">
        <v>87</v>
      </c>
      <c r="K4218">
        <v>0</v>
      </c>
      <c r="L4218">
        <v>0</v>
      </c>
    </row>
    <row r="4219" spans="1:12">
      <c r="A4219" s="93">
        <v>443854</v>
      </c>
      <c r="B4219" t="s">
        <v>4693</v>
      </c>
      <c r="C4219" t="s">
        <v>5606</v>
      </c>
      <c r="D4219" s="92" t="s">
        <v>428</v>
      </c>
      <c r="E4219" s="92" t="s">
        <v>428</v>
      </c>
      <c r="F4219" t="s">
        <v>428</v>
      </c>
      <c r="G4219" t="s">
        <v>428</v>
      </c>
      <c r="H4219" t="s">
        <v>5617</v>
      </c>
      <c r="I4219">
        <v>0</v>
      </c>
      <c r="J4219" t="s">
        <v>87</v>
      </c>
      <c r="K4219">
        <v>0</v>
      </c>
      <c r="L4219">
        <v>0</v>
      </c>
    </row>
    <row r="4220" spans="1:12">
      <c r="A4220" s="93">
        <v>444024</v>
      </c>
      <c r="B4220" t="s">
        <v>4694</v>
      </c>
      <c r="C4220" t="s">
        <v>5606</v>
      </c>
      <c r="D4220" s="92" t="s">
        <v>428</v>
      </c>
      <c r="E4220" s="92" t="s">
        <v>428</v>
      </c>
      <c r="F4220" t="s">
        <v>428</v>
      </c>
      <c r="G4220" t="s">
        <v>428</v>
      </c>
      <c r="H4220" t="s">
        <v>5617</v>
      </c>
      <c r="I4220">
        <v>0</v>
      </c>
      <c r="J4220" t="s">
        <v>87</v>
      </c>
      <c r="K4220">
        <v>0</v>
      </c>
      <c r="L4220">
        <v>0</v>
      </c>
    </row>
    <row r="4221" spans="1:12">
      <c r="A4221" s="93">
        <v>444042</v>
      </c>
      <c r="B4221" t="s">
        <v>4695</v>
      </c>
      <c r="C4221" t="s">
        <v>5607</v>
      </c>
      <c r="D4221" s="92">
        <v>0.17</v>
      </c>
      <c r="E4221" s="92">
        <v>0.17</v>
      </c>
      <c r="F4221" t="s">
        <v>428</v>
      </c>
      <c r="G4221" t="s">
        <v>428</v>
      </c>
      <c r="H4221" t="s">
        <v>5613</v>
      </c>
      <c r="I4221">
        <v>1</v>
      </c>
      <c r="J4221" t="s">
        <v>87</v>
      </c>
      <c r="K4221">
        <v>0</v>
      </c>
      <c r="L4221">
        <v>0</v>
      </c>
    </row>
    <row r="4222" spans="1:12">
      <c r="A4222" s="93">
        <v>444051</v>
      </c>
      <c r="B4222" t="s">
        <v>4696</v>
      </c>
      <c r="C4222" t="s">
        <v>5606</v>
      </c>
      <c r="D4222" s="92" t="s">
        <v>428</v>
      </c>
      <c r="E4222" s="92" t="s">
        <v>428</v>
      </c>
      <c r="F4222" t="s">
        <v>428</v>
      </c>
      <c r="G4222" t="s">
        <v>428</v>
      </c>
      <c r="H4222" t="s">
        <v>5613</v>
      </c>
      <c r="I4222">
        <v>1</v>
      </c>
      <c r="J4222" t="s">
        <v>87</v>
      </c>
      <c r="K4222">
        <v>0</v>
      </c>
      <c r="L4222">
        <v>0</v>
      </c>
    </row>
    <row r="4223" spans="1:12">
      <c r="A4223" s="93">
        <v>444088</v>
      </c>
      <c r="B4223" t="s">
        <v>4697</v>
      </c>
      <c r="C4223" t="s">
        <v>5604</v>
      </c>
      <c r="D4223" s="92">
        <v>0.54</v>
      </c>
      <c r="E4223" s="92">
        <v>0.5</v>
      </c>
      <c r="F4223" t="s">
        <v>428</v>
      </c>
      <c r="G4223" t="s">
        <v>428</v>
      </c>
      <c r="H4223" t="s">
        <v>5617</v>
      </c>
      <c r="I4223">
        <v>0</v>
      </c>
      <c r="J4223" t="s">
        <v>87</v>
      </c>
      <c r="K4223">
        <v>0</v>
      </c>
      <c r="L4223">
        <v>0</v>
      </c>
    </row>
    <row r="4224" spans="1:12">
      <c r="A4224" s="93">
        <v>444103</v>
      </c>
      <c r="B4224" t="s">
        <v>4698</v>
      </c>
      <c r="C4224" t="s">
        <v>5607</v>
      </c>
      <c r="D4224" s="92" t="s">
        <v>428</v>
      </c>
      <c r="E4224" s="92" t="s">
        <v>428</v>
      </c>
      <c r="F4224" t="s">
        <v>428</v>
      </c>
      <c r="G4224" t="s">
        <v>428</v>
      </c>
      <c r="H4224" t="s">
        <v>5615</v>
      </c>
      <c r="I4224">
        <v>0</v>
      </c>
      <c r="J4224" t="s">
        <v>87</v>
      </c>
      <c r="K4224">
        <v>0</v>
      </c>
      <c r="L4224">
        <v>0</v>
      </c>
    </row>
    <row r="4225" spans="1:12">
      <c r="A4225" s="93">
        <v>444130</v>
      </c>
      <c r="B4225" t="s">
        <v>4699</v>
      </c>
      <c r="C4225" t="s">
        <v>5607</v>
      </c>
      <c r="D4225" s="92" t="s">
        <v>428</v>
      </c>
      <c r="E4225" s="92" t="s">
        <v>428</v>
      </c>
      <c r="F4225" t="s">
        <v>428</v>
      </c>
      <c r="G4225" t="s">
        <v>428</v>
      </c>
      <c r="H4225" t="s">
        <v>5615</v>
      </c>
      <c r="I4225">
        <v>0</v>
      </c>
      <c r="J4225" t="s">
        <v>87</v>
      </c>
      <c r="K4225">
        <v>0</v>
      </c>
      <c r="L4225">
        <v>0</v>
      </c>
    </row>
    <row r="4226" spans="1:12">
      <c r="A4226" s="93">
        <v>444219</v>
      </c>
      <c r="B4226" t="s">
        <v>4700</v>
      </c>
      <c r="C4226" t="s">
        <v>5606</v>
      </c>
      <c r="D4226" s="92">
        <v>0.35</v>
      </c>
      <c r="E4226" s="92">
        <v>0.28</v>
      </c>
      <c r="F4226" t="s">
        <v>428</v>
      </c>
      <c r="G4226" t="s">
        <v>428</v>
      </c>
      <c r="H4226" t="s">
        <v>5615</v>
      </c>
      <c r="I4226">
        <v>0</v>
      </c>
      <c r="J4226" t="s">
        <v>87</v>
      </c>
      <c r="K4226">
        <v>0</v>
      </c>
      <c r="L4226">
        <v>0</v>
      </c>
    </row>
    <row r="4227" spans="1:12">
      <c r="A4227" s="93">
        <v>444255</v>
      </c>
      <c r="B4227" t="s">
        <v>4701</v>
      </c>
      <c r="C4227" t="s">
        <v>5604</v>
      </c>
      <c r="D4227" s="92">
        <v>0.33</v>
      </c>
      <c r="E4227" s="92" t="s">
        <v>428</v>
      </c>
      <c r="F4227" t="s">
        <v>428</v>
      </c>
      <c r="G4227" t="s">
        <v>428</v>
      </c>
      <c r="H4227" t="s">
        <v>5617</v>
      </c>
      <c r="I4227">
        <v>0</v>
      </c>
      <c r="J4227" t="s">
        <v>87</v>
      </c>
      <c r="K4227">
        <v>0</v>
      </c>
      <c r="L4227">
        <v>0</v>
      </c>
    </row>
    <row r="4228" spans="1:12">
      <c r="A4228" s="93">
        <v>444316</v>
      </c>
      <c r="B4228" t="s">
        <v>4702</v>
      </c>
      <c r="C4228" t="s">
        <v>5606</v>
      </c>
      <c r="D4228" s="92" t="s">
        <v>428</v>
      </c>
      <c r="E4228" s="92" t="s">
        <v>428</v>
      </c>
      <c r="F4228" t="s">
        <v>428</v>
      </c>
      <c r="G4228" t="s">
        <v>428</v>
      </c>
      <c r="H4228" t="s">
        <v>5624</v>
      </c>
      <c r="I4228">
        <v>1</v>
      </c>
      <c r="J4228" t="s">
        <v>87</v>
      </c>
      <c r="K4228">
        <v>0</v>
      </c>
      <c r="L4228">
        <v>0</v>
      </c>
    </row>
    <row r="4229" spans="1:12">
      <c r="A4229" s="93">
        <v>444325</v>
      </c>
      <c r="B4229" t="s">
        <v>4703</v>
      </c>
      <c r="C4229" t="s">
        <v>5606</v>
      </c>
      <c r="D4229" s="92" t="s">
        <v>428</v>
      </c>
      <c r="E4229" s="92" t="s">
        <v>428</v>
      </c>
      <c r="F4229" t="s">
        <v>428</v>
      </c>
      <c r="G4229" t="s">
        <v>428</v>
      </c>
      <c r="H4229" t="s">
        <v>5617</v>
      </c>
      <c r="I4229">
        <v>0</v>
      </c>
      <c r="J4229" t="s">
        <v>87</v>
      </c>
      <c r="K4229">
        <v>0</v>
      </c>
      <c r="L4229">
        <v>0</v>
      </c>
    </row>
    <row r="4230" spans="1:12">
      <c r="A4230" s="93">
        <v>444334</v>
      </c>
      <c r="B4230" t="s">
        <v>4704</v>
      </c>
      <c r="C4230" t="s">
        <v>5606</v>
      </c>
      <c r="D4230" s="92" t="s">
        <v>428</v>
      </c>
      <c r="E4230" s="92" t="s">
        <v>428</v>
      </c>
      <c r="F4230" t="s">
        <v>428</v>
      </c>
      <c r="G4230" t="s">
        <v>428</v>
      </c>
      <c r="H4230" t="s">
        <v>5617</v>
      </c>
      <c r="I4230">
        <v>0</v>
      </c>
      <c r="J4230" t="s">
        <v>87</v>
      </c>
      <c r="K4230">
        <v>0</v>
      </c>
      <c r="L4230">
        <v>0</v>
      </c>
    </row>
    <row r="4231" spans="1:12">
      <c r="A4231" s="93">
        <v>444343</v>
      </c>
      <c r="B4231" t="s">
        <v>4705</v>
      </c>
      <c r="C4231" t="s">
        <v>5606</v>
      </c>
      <c r="D4231" s="92" t="s">
        <v>428</v>
      </c>
      <c r="E4231" s="92" t="s">
        <v>428</v>
      </c>
      <c r="F4231" t="s">
        <v>428</v>
      </c>
      <c r="G4231" t="s">
        <v>428</v>
      </c>
      <c r="H4231" t="s">
        <v>5617</v>
      </c>
      <c r="I4231">
        <v>0</v>
      </c>
      <c r="J4231" t="s">
        <v>87</v>
      </c>
      <c r="K4231">
        <v>0</v>
      </c>
      <c r="L4231">
        <v>0</v>
      </c>
    </row>
    <row r="4232" spans="1:12">
      <c r="A4232" s="93">
        <v>444361</v>
      </c>
      <c r="B4232" t="s">
        <v>4706</v>
      </c>
      <c r="C4232" t="s">
        <v>5606</v>
      </c>
      <c r="D4232" s="92" t="s">
        <v>428</v>
      </c>
      <c r="E4232" s="92" t="s">
        <v>428</v>
      </c>
      <c r="F4232" t="s">
        <v>428</v>
      </c>
      <c r="G4232" t="s">
        <v>428</v>
      </c>
      <c r="H4232" t="s">
        <v>5616</v>
      </c>
      <c r="I4232">
        <v>0</v>
      </c>
      <c r="J4232" t="s">
        <v>87</v>
      </c>
      <c r="K4232">
        <v>0</v>
      </c>
      <c r="L4232">
        <v>0</v>
      </c>
    </row>
    <row r="4233" spans="1:12">
      <c r="A4233" s="93">
        <v>444398</v>
      </c>
      <c r="B4233" t="s">
        <v>4707</v>
      </c>
      <c r="C4233" t="s">
        <v>5604</v>
      </c>
      <c r="D4233" s="92">
        <v>0.27</v>
      </c>
      <c r="E4233" s="92">
        <v>0.29</v>
      </c>
      <c r="F4233" t="s">
        <v>428</v>
      </c>
      <c r="G4233" t="s">
        <v>428</v>
      </c>
      <c r="H4233" t="s">
        <v>5613</v>
      </c>
      <c r="I4233">
        <v>1</v>
      </c>
      <c r="J4233" t="s">
        <v>87</v>
      </c>
      <c r="K4233">
        <v>0</v>
      </c>
      <c r="L4233">
        <v>0</v>
      </c>
    </row>
    <row r="4234" spans="1:12">
      <c r="A4234" s="93">
        <v>444413</v>
      </c>
      <c r="B4234" t="s">
        <v>4708</v>
      </c>
      <c r="C4234" t="s">
        <v>5607</v>
      </c>
      <c r="D4234" s="92">
        <v>0.12</v>
      </c>
      <c r="E4234" s="92" t="s">
        <v>428</v>
      </c>
      <c r="F4234" t="s">
        <v>428</v>
      </c>
      <c r="G4234" t="s">
        <v>428</v>
      </c>
      <c r="H4234" t="s">
        <v>5624</v>
      </c>
      <c r="I4234">
        <v>1</v>
      </c>
      <c r="J4234" t="s">
        <v>87</v>
      </c>
      <c r="K4234">
        <v>0</v>
      </c>
      <c r="L4234">
        <v>0</v>
      </c>
    </row>
    <row r="4235" spans="1:12">
      <c r="A4235" s="93">
        <v>444547</v>
      </c>
      <c r="B4235" t="s">
        <v>4709</v>
      </c>
      <c r="C4235" t="s">
        <v>5606</v>
      </c>
      <c r="D4235" s="92" t="s">
        <v>428</v>
      </c>
      <c r="E4235" s="92" t="s">
        <v>428</v>
      </c>
      <c r="F4235" t="s">
        <v>428</v>
      </c>
      <c r="G4235" t="s">
        <v>428</v>
      </c>
      <c r="H4235" t="s">
        <v>5617</v>
      </c>
      <c r="I4235">
        <v>0</v>
      </c>
      <c r="J4235" t="s">
        <v>87</v>
      </c>
      <c r="K4235">
        <v>0</v>
      </c>
      <c r="L4235">
        <v>0</v>
      </c>
    </row>
    <row r="4236" spans="1:12">
      <c r="A4236" s="93">
        <v>444556</v>
      </c>
      <c r="B4236" t="s">
        <v>4710</v>
      </c>
      <c r="C4236" t="s">
        <v>5606</v>
      </c>
      <c r="D4236" s="92" t="s">
        <v>428</v>
      </c>
      <c r="E4236" s="92" t="s">
        <v>428</v>
      </c>
      <c r="F4236" t="s">
        <v>428</v>
      </c>
      <c r="G4236" t="s">
        <v>428</v>
      </c>
      <c r="H4236" t="s">
        <v>5616</v>
      </c>
      <c r="I4236">
        <v>0</v>
      </c>
      <c r="J4236" t="s">
        <v>87</v>
      </c>
      <c r="K4236">
        <v>0</v>
      </c>
      <c r="L4236">
        <v>0</v>
      </c>
    </row>
    <row r="4237" spans="1:12">
      <c r="A4237" s="93">
        <v>444565</v>
      </c>
      <c r="B4237" t="s">
        <v>4711</v>
      </c>
      <c r="C4237" t="s">
        <v>5606</v>
      </c>
      <c r="D4237" s="92" t="s">
        <v>428</v>
      </c>
      <c r="E4237" s="92" t="s">
        <v>428</v>
      </c>
      <c r="F4237" t="s">
        <v>428</v>
      </c>
      <c r="G4237" t="s">
        <v>428</v>
      </c>
      <c r="H4237" t="s">
        <v>5617</v>
      </c>
      <c r="I4237">
        <v>0</v>
      </c>
      <c r="J4237" t="s">
        <v>87</v>
      </c>
      <c r="K4237">
        <v>0</v>
      </c>
      <c r="L4237">
        <v>0</v>
      </c>
    </row>
    <row r="4238" spans="1:12">
      <c r="A4238" s="93">
        <v>444699</v>
      </c>
      <c r="B4238" t="s">
        <v>4712</v>
      </c>
      <c r="C4238" t="s">
        <v>5607</v>
      </c>
      <c r="D4238" s="92" t="s">
        <v>428</v>
      </c>
      <c r="E4238" s="92" t="s">
        <v>428</v>
      </c>
      <c r="F4238" t="s">
        <v>428</v>
      </c>
      <c r="G4238" t="s">
        <v>428</v>
      </c>
      <c r="H4238" t="s">
        <v>5615</v>
      </c>
      <c r="I4238">
        <v>0</v>
      </c>
      <c r="J4238" t="s">
        <v>87</v>
      </c>
      <c r="K4238">
        <v>0</v>
      </c>
      <c r="L4238">
        <v>0</v>
      </c>
    </row>
    <row r="4239" spans="1:12">
      <c r="A4239" s="93">
        <v>444714</v>
      </c>
      <c r="B4239" t="s">
        <v>4713</v>
      </c>
      <c r="C4239" t="s">
        <v>5606</v>
      </c>
      <c r="D4239" s="92" t="s">
        <v>428</v>
      </c>
      <c r="E4239" s="92" t="s">
        <v>428</v>
      </c>
      <c r="F4239" t="s">
        <v>428</v>
      </c>
      <c r="G4239" t="s">
        <v>428</v>
      </c>
      <c r="H4239" t="s">
        <v>5617</v>
      </c>
      <c r="I4239">
        <v>0</v>
      </c>
      <c r="J4239" t="s">
        <v>87</v>
      </c>
      <c r="K4239">
        <v>0</v>
      </c>
      <c r="L4239">
        <v>0</v>
      </c>
    </row>
    <row r="4240" spans="1:12">
      <c r="A4240" s="93">
        <v>444778</v>
      </c>
      <c r="B4240" t="s">
        <v>4714</v>
      </c>
      <c r="C4240" t="s">
        <v>5604</v>
      </c>
      <c r="D4240" s="92">
        <v>0.17</v>
      </c>
      <c r="E4240" s="92">
        <v>0.16</v>
      </c>
      <c r="F4240" t="s">
        <v>428</v>
      </c>
      <c r="G4240" t="s">
        <v>428</v>
      </c>
      <c r="H4240" t="s">
        <v>5617</v>
      </c>
      <c r="I4240">
        <v>0</v>
      </c>
      <c r="J4240" t="s">
        <v>87</v>
      </c>
      <c r="K4240">
        <v>0</v>
      </c>
      <c r="L4240">
        <v>0</v>
      </c>
    </row>
    <row r="4241" spans="1:12">
      <c r="A4241" s="93">
        <v>444787</v>
      </c>
      <c r="B4241" t="s">
        <v>4715</v>
      </c>
      <c r="C4241" t="s">
        <v>5604</v>
      </c>
      <c r="D4241" s="92" t="s">
        <v>428</v>
      </c>
      <c r="E4241" s="92" t="s">
        <v>428</v>
      </c>
      <c r="F4241" t="s">
        <v>428</v>
      </c>
      <c r="G4241" t="s">
        <v>428</v>
      </c>
      <c r="H4241" t="s">
        <v>5617</v>
      </c>
      <c r="I4241">
        <v>0</v>
      </c>
      <c r="J4241" t="s">
        <v>87</v>
      </c>
      <c r="K4241">
        <v>0</v>
      </c>
      <c r="L4241">
        <v>0</v>
      </c>
    </row>
    <row r="4242" spans="1:12">
      <c r="A4242" s="93">
        <v>444909</v>
      </c>
      <c r="B4242" t="s">
        <v>4716</v>
      </c>
      <c r="C4242" t="s">
        <v>5606</v>
      </c>
      <c r="D4242" s="92" t="s">
        <v>428</v>
      </c>
      <c r="E4242" s="92" t="s">
        <v>428</v>
      </c>
      <c r="F4242" t="s">
        <v>428</v>
      </c>
      <c r="G4242" t="s">
        <v>428</v>
      </c>
      <c r="H4242" t="s">
        <v>5615</v>
      </c>
      <c r="I4242">
        <v>0</v>
      </c>
      <c r="J4242" t="s">
        <v>87</v>
      </c>
      <c r="K4242">
        <v>0</v>
      </c>
      <c r="L4242">
        <v>0</v>
      </c>
    </row>
    <row r="4243" spans="1:12">
      <c r="A4243" s="93">
        <v>444927</v>
      </c>
      <c r="B4243" t="s">
        <v>4717</v>
      </c>
      <c r="C4243" t="s">
        <v>5607</v>
      </c>
      <c r="D4243" s="92">
        <v>0.27</v>
      </c>
      <c r="E4243" s="92">
        <v>0.26</v>
      </c>
      <c r="F4243" t="s">
        <v>428</v>
      </c>
      <c r="G4243" t="s">
        <v>428</v>
      </c>
      <c r="H4243" t="s">
        <v>5617</v>
      </c>
      <c r="I4243">
        <v>0</v>
      </c>
      <c r="J4243" t="s">
        <v>87</v>
      </c>
      <c r="K4243">
        <v>0</v>
      </c>
      <c r="L4243">
        <v>0</v>
      </c>
    </row>
    <row r="4244" spans="1:12">
      <c r="A4244" s="93">
        <v>444954</v>
      </c>
      <c r="B4244" t="s">
        <v>4718</v>
      </c>
      <c r="C4244" t="s">
        <v>5606</v>
      </c>
      <c r="D4244" s="92">
        <v>0.17</v>
      </c>
      <c r="E4244" s="92">
        <v>0.1</v>
      </c>
      <c r="F4244" t="s">
        <v>428</v>
      </c>
      <c r="G4244" t="s">
        <v>428</v>
      </c>
      <c r="H4244" t="s">
        <v>5615</v>
      </c>
      <c r="I4244">
        <v>0</v>
      </c>
      <c r="J4244" t="s">
        <v>87</v>
      </c>
      <c r="K4244">
        <v>0</v>
      </c>
      <c r="L4244">
        <v>0</v>
      </c>
    </row>
    <row r="4245" spans="1:12">
      <c r="A4245" s="93">
        <v>444972</v>
      </c>
      <c r="B4245" t="s">
        <v>4719</v>
      </c>
      <c r="C4245" t="s">
        <v>5606</v>
      </c>
      <c r="D4245" s="92" t="s">
        <v>428</v>
      </c>
      <c r="E4245" s="92" t="s">
        <v>428</v>
      </c>
      <c r="F4245" t="s">
        <v>428</v>
      </c>
      <c r="G4245" t="s">
        <v>428</v>
      </c>
      <c r="H4245" t="s">
        <v>5617</v>
      </c>
      <c r="I4245">
        <v>0</v>
      </c>
      <c r="J4245" t="s">
        <v>87</v>
      </c>
      <c r="K4245">
        <v>0</v>
      </c>
      <c r="L4245">
        <v>0</v>
      </c>
    </row>
    <row r="4246" spans="1:12">
      <c r="A4246" s="93">
        <v>444990</v>
      </c>
      <c r="B4246" t="s">
        <v>4720</v>
      </c>
      <c r="C4246" t="s">
        <v>5607</v>
      </c>
      <c r="D4246" s="92" t="s">
        <v>428</v>
      </c>
      <c r="E4246" s="92" t="s">
        <v>428</v>
      </c>
      <c r="F4246" t="s">
        <v>428</v>
      </c>
      <c r="G4246" t="s">
        <v>428</v>
      </c>
      <c r="H4246" t="s">
        <v>5615</v>
      </c>
      <c r="I4246">
        <v>0</v>
      </c>
      <c r="J4246" t="s">
        <v>87</v>
      </c>
      <c r="K4246">
        <v>0</v>
      </c>
      <c r="L4246">
        <v>0</v>
      </c>
    </row>
    <row r="4247" spans="1:12">
      <c r="A4247" s="93">
        <v>445027</v>
      </c>
      <c r="B4247" t="s">
        <v>4721</v>
      </c>
      <c r="C4247" t="s">
        <v>5604</v>
      </c>
      <c r="D4247" s="92">
        <v>0.28</v>
      </c>
      <c r="E4247" s="92">
        <v>0</v>
      </c>
      <c r="F4247" t="s">
        <v>428</v>
      </c>
      <c r="G4247" t="s">
        <v>428</v>
      </c>
      <c r="H4247" t="s">
        <v>5616</v>
      </c>
      <c r="I4247">
        <v>0</v>
      </c>
      <c r="J4247" t="s">
        <v>87</v>
      </c>
      <c r="K4247">
        <v>0</v>
      </c>
      <c r="L4247">
        <v>1</v>
      </c>
    </row>
    <row r="4248" spans="1:12">
      <c r="A4248" s="93">
        <v>445054</v>
      </c>
      <c r="B4248" t="s">
        <v>4722</v>
      </c>
      <c r="C4248" t="s">
        <v>5607</v>
      </c>
      <c r="D4248" s="92" t="s">
        <v>428</v>
      </c>
      <c r="E4248" s="92" t="s">
        <v>428</v>
      </c>
      <c r="F4248" t="s">
        <v>428</v>
      </c>
      <c r="G4248" t="s">
        <v>428</v>
      </c>
      <c r="H4248" t="s">
        <v>5615</v>
      </c>
      <c r="I4248">
        <v>0</v>
      </c>
      <c r="J4248" t="s">
        <v>87</v>
      </c>
      <c r="K4248">
        <v>0</v>
      </c>
      <c r="L4248">
        <v>1</v>
      </c>
    </row>
    <row r="4249" spans="1:12">
      <c r="A4249" s="93">
        <v>445081</v>
      </c>
      <c r="B4249" t="s">
        <v>4723</v>
      </c>
      <c r="C4249" t="s">
        <v>5607</v>
      </c>
      <c r="D4249" s="92" t="s">
        <v>428</v>
      </c>
      <c r="E4249" s="92" t="s">
        <v>428</v>
      </c>
      <c r="F4249" t="s">
        <v>428</v>
      </c>
      <c r="G4249" t="s">
        <v>428</v>
      </c>
      <c r="H4249" t="s">
        <v>5617</v>
      </c>
      <c r="I4249">
        <v>0</v>
      </c>
      <c r="J4249" t="s">
        <v>87</v>
      </c>
      <c r="K4249">
        <v>0</v>
      </c>
      <c r="L4249">
        <v>0</v>
      </c>
    </row>
    <row r="4250" spans="1:12">
      <c r="A4250" s="93">
        <v>445090</v>
      </c>
      <c r="B4250" t="s">
        <v>4724</v>
      </c>
      <c r="C4250" t="s">
        <v>5606</v>
      </c>
      <c r="D4250" s="92" t="s">
        <v>428</v>
      </c>
      <c r="E4250" s="92" t="s">
        <v>428</v>
      </c>
      <c r="F4250" t="s">
        <v>428</v>
      </c>
      <c r="G4250" t="s">
        <v>428</v>
      </c>
      <c r="H4250" t="s">
        <v>5617</v>
      </c>
      <c r="I4250">
        <v>0</v>
      </c>
      <c r="J4250" t="s">
        <v>87</v>
      </c>
      <c r="K4250">
        <v>0</v>
      </c>
      <c r="L4250">
        <v>0</v>
      </c>
    </row>
    <row r="4251" spans="1:12">
      <c r="A4251" s="93">
        <v>445115</v>
      </c>
      <c r="B4251" t="s">
        <v>4725</v>
      </c>
      <c r="C4251" t="s">
        <v>5606</v>
      </c>
      <c r="D4251" s="92" t="s">
        <v>428</v>
      </c>
      <c r="E4251" s="92" t="s">
        <v>428</v>
      </c>
      <c r="F4251" t="s">
        <v>428</v>
      </c>
      <c r="G4251" t="s">
        <v>428</v>
      </c>
      <c r="H4251" t="s">
        <v>5617</v>
      </c>
      <c r="I4251">
        <v>0</v>
      </c>
      <c r="J4251" t="s">
        <v>87</v>
      </c>
      <c r="K4251">
        <v>0</v>
      </c>
      <c r="L4251">
        <v>0</v>
      </c>
    </row>
    <row r="4252" spans="1:12">
      <c r="A4252" s="93">
        <v>445133</v>
      </c>
      <c r="B4252" t="s">
        <v>4726</v>
      </c>
      <c r="C4252" t="s">
        <v>5604</v>
      </c>
      <c r="D4252" s="92">
        <v>0.33</v>
      </c>
      <c r="E4252" s="92">
        <v>0.26</v>
      </c>
      <c r="F4252" t="s">
        <v>428</v>
      </c>
      <c r="G4252" t="s">
        <v>428</v>
      </c>
      <c r="H4252" t="s">
        <v>5617</v>
      </c>
      <c r="I4252">
        <v>0</v>
      </c>
      <c r="J4252" t="s">
        <v>87</v>
      </c>
      <c r="K4252">
        <v>0</v>
      </c>
      <c r="L4252">
        <v>0</v>
      </c>
    </row>
    <row r="4253" spans="1:12">
      <c r="A4253" s="93">
        <v>445188</v>
      </c>
      <c r="B4253" t="s">
        <v>4727</v>
      </c>
      <c r="C4253" t="s">
        <v>5602</v>
      </c>
      <c r="D4253" s="92">
        <v>0.66</v>
      </c>
      <c r="E4253" s="92">
        <v>0.64</v>
      </c>
      <c r="F4253">
        <v>19</v>
      </c>
      <c r="G4253">
        <v>21.5</v>
      </c>
      <c r="H4253" t="s">
        <v>5615</v>
      </c>
      <c r="I4253">
        <v>0</v>
      </c>
      <c r="J4253" t="s">
        <v>87</v>
      </c>
      <c r="K4253">
        <v>0</v>
      </c>
      <c r="L4253">
        <v>0</v>
      </c>
    </row>
    <row r="4254" spans="1:12">
      <c r="A4254" s="93">
        <v>445203</v>
      </c>
      <c r="B4254" t="s">
        <v>4728</v>
      </c>
      <c r="C4254" t="s">
        <v>5604</v>
      </c>
      <c r="D4254" s="92">
        <v>0.63</v>
      </c>
      <c r="E4254" s="92">
        <v>0.64</v>
      </c>
      <c r="F4254" t="s">
        <v>428</v>
      </c>
      <c r="G4254" t="s">
        <v>428</v>
      </c>
      <c r="H4254" t="s">
        <v>5617</v>
      </c>
      <c r="I4254">
        <v>0</v>
      </c>
      <c r="J4254" t="s">
        <v>87</v>
      </c>
      <c r="K4254">
        <v>0</v>
      </c>
      <c r="L4254">
        <v>0</v>
      </c>
    </row>
    <row r="4255" spans="1:12">
      <c r="A4255" s="93">
        <v>445230</v>
      </c>
      <c r="B4255" t="s">
        <v>4729</v>
      </c>
      <c r="C4255" t="s">
        <v>5606</v>
      </c>
      <c r="D4255" s="92">
        <v>0.58</v>
      </c>
      <c r="E4255" s="92">
        <v>0.54</v>
      </c>
      <c r="F4255" t="s">
        <v>428</v>
      </c>
      <c r="G4255" t="s">
        <v>428</v>
      </c>
      <c r="H4255" t="s">
        <v>5617</v>
      </c>
      <c r="I4255">
        <v>0</v>
      </c>
      <c r="J4255" t="s">
        <v>87</v>
      </c>
      <c r="K4255">
        <v>0</v>
      </c>
      <c r="L4255">
        <v>0</v>
      </c>
    </row>
    <row r="4256" spans="1:12">
      <c r="A4256" s="93">
        <v>445249</v>
      </c>
      <c r="B4256" t="s">
        <v>4730</v>
      </c>
      <c r="C4256" t="s">
        <v>5606</v>
      </c>
      <c r="D4256" s="92" t="s">
        <v>428</v>
      </c>
      <c r="E4256" s="92" t="s">
        <v>428</v>
      </c>
      <c r="F4256" t="s">
        <v>428</v>
      </c>
      <c r="G4256" t="s">
        <v>428</v>
      </c>
      <c r="H4256" t="s">
        <v>5617</v>
      </c>
      <c r="I4256">
        <v>0</v>
      </c>
      <c r="J4256" t="s">
        <v>87</v>
      </c>
      <c r="K4256">
        <v>0</v>
      </c>
      <c r="L4256">
        <v>0</v>
      </c>
    </row>
    <row r="4257" spans="1:12">
      <c r="A4257" s="93">
        <v>445258</v>
      </c>
      <c r="B4257" t="s">
        <v>4731</v>
      </c>
      <c r="C4257" t="s">
        <v>5606</v>
      </c>
      <c r="D4257" s="92" t="s">
        <v>428</v>
      </c>
      <c r="E4257" s="92" t="s">
        <v>428</v>
      </c>
      <c r="F4257" t="s">
        <v>428</v>
      </c>
      <c r="G4257" t="s">
        <v>428</v>
      </c>
      <c r="H4257" t="s">
        <v>5617</v>
      </c>
      <c r="I4257">
        <v>0</v>
      </c>
      <c r="J4257" t="s">
        <v>87</v>
      </c>
      <c r="K4257">
        <v>0</v>
      </c>
      <c r="L4257">
        <v>0</v>
      </c>
    </row>
    <row r="4258" spans="1:12">
      <c r="A4258" s="93">
        <v>445267</v>
      </c>
      <c r="B4258" t="s">
        <v>4732</v>
      </c>
      <c r="C4258" t="s">
        <v>5607</v>
      </c>
      <c r="D4258" s="92" t="s">
        <v>428</v>
      </c>
      <c r="E4258" s="92" t="s">
        <v>428</v>
      </c>
      <c r="F4258" t="s">
        <v>428</v>
      </c>
      <c r="G4258" t="s">
        <v>428</v>
      </c>
      <c r="H4258" t="s">
        <v>5616</v>
      </c>
      <c r="I4258">
        <v>0</v>
      </c>
      <c r="J4258" t="s">
        <v>87</v>
      </c>
      <c r="K4258">
        <v>0</v>
      </c>
      <c r="L4258">
        <v>0</v>
      </c>
    </row>
    <row r="4259" spans="1:12">
      <c r="A4259" s="93">
        <v>445300</v>
      </c>
      <c r="B4259" t="s">
        <v>4733</v>
      </c>
      <c r="C4259" t="s">
        <v>5604</v>
      </c>
      <c r="D4259" s="92">
        <v>0.11</v>
      </c>
      <c r="E4259" s="92">
        <v>0.14</v>
      </c>
      <c r="F4259" t="s">
        <v>428</v>
      </c>
      <c r="G4259" t="s">
        <v>428</v>
      </c>
      <c r="H4259" t="s">
        <v>5617</v>
      </c>
      <c r="I4259">
        <v>0</v>
      </c>
      <c r="J4259" t="s">
        <v>87</v>
      </c>
      <c r="K4259">
        <v>0</v>
      </c>
      <c r="L4259">
        <v>0</v>
      </c>
    </row>
    <row r="4260" spans="1:12">
      <c r="A4260" s="93">
        <v>445319</v>
      </c>
      <c r="B4260" t="s">
        <v>4734</v>
      </c>
      <c r="C4260" t="s">
        <v>5607</v>
      </c>
      <c r="D4260" s="92">
        <v>0.08</v>
      </c>
      <c r="E4260" s="92">
        <v>0.09</v>
      </c>
      <c r="F4260" t="s">
        <v>428</v>
      </c>
      <c r="G4260" t="s">
        <v>428</v>
      </c>
      <c r="H4260" t="s">
        <v>5617</v>
      </c>
      <c r="I4260">
        <v>0</v>
      </c>
      <c r="J4260" t="s">
        <v>87</v>
      </c>
      <c r="K4260">
        <v>0</v>
      </c>
      <c r="L4260">
        <v>0</v>
      </c>
    </row>
    <row r="4261" spans="1:12">
      <c r="A4261" s="93">
        <v>445328</v>
      </c>
      <c r="B4261" t="s">
        <v>4735</v>
      </c>
      <c r="C4261" t="s">
        <v>5606</v>
      </c>
      <c r="D4261" s="92" t="s">
        <v>428</v>
      </c>
      <c r="E4261" s="92" t="s">
        <v>428</v>
      </c>
      <c r="F4261" t="s">
        <v>428</v>
      </c>
      <c r="G4261" t="s">
        <v>428</v>
      </c>
      <c r="H4261" t="s">
        <v>5617</v>
      </c>
      <c r="I4261">
        <v>0</v>
      </c>
      <c r="J4261" t="s">
        <v>87</v>
      </c>
      <c r="K4261">
        <v>0</v>
      </c>
      <c r="L4261">
        <v>0</v>
      </c>
    </row>
    <row r="4262" spans="1:12">
      <c r="A4262" s="93">
        <v>445346</v>
      </c>
      <c r="B4262" t="s">
        <v>4736</v>
      </c>
      <c r="C4262" t="s">
        <v>5606</v>
      </c>
      <c r="D4262" s="92" t="s">
        <v>428</v>
      </c>
      <c r="E4262" s="92" t="s">
        <v>428</v>
      </c>
      <c r="F4262" t="s">
        <v>428</v>
      </c>
      <c r="G4262" t="s">
        <v>428</v>
      </c>
      <c r="H4262" t="s">
        <v>5617</v>
      </c>
      <c r="I4262">
        <v>0</v>
      </c>
      <c r="J4262" t="s">
        <v>87</v>
      </c>
      <c r="K4262">
        <v>0</v>
      </c>
      <c r="L4262">
        <v>0</v>
      </c>
    </row>
    <row r="4263" spans="1:12">
      <c r="A4263" s="93">
        <v>445364</v>
      </c>
      <c r="B4263" t="s">
        <v>4737</v>
      </c>
      <c r="C4263" t="s">
        <v>5606</v>
      </c>
      <c r="D4263" s="92" t="s">
        <v>428</v>
      </c>
      <c r="E4263" s="92" t="s">
        <v>428</v>
      </c>
      <c r="F4263" t="s">
        <v>428</v>
      </c>
      <c r="G4263" t="s">
        <v>428</v>
      </c>
      <c r="H4263" t="s">
        <v>5617</v>
      </c>
      <c r="I4263">
        <v>0</v>
      </c>
      <c r="J4263" t="s">
        <v>87</v>
      </c>
      <c r="K4263">
        <v>0</v>
      </c>
      <c r="L4263">
        <v>0</v>
      </c>
    </row>
    <row r="4264" spans="1:12">
      <c r="A4264" s="93">
        <v>445391</v>
      </c>
      <c r="B4264" t="s">
        <v>4738</v>
      </c>
      <c r="C4264" t="s">
        <v>5607</v>
      </c>
      <c r="D4264" s="92">
        <v>0.11</v>
      </c>
      <c r="E4264" s="92">
        <v>0.06</v>
      </c>
      <c r="F4264" t="s">
        <v>428</v>
      </c>
      <c r="G4264" t="s">
        <v>428</v>
      </c>
      <c r="H4264" t="s">
        <v>5617</v>
      </c>
      <c r="I4264">
        <v>0</v>
      </c>
      <c r="J4264" t="s">
        <v>87</v>
      </c>
      <c r="K4264">
        <v>0</v>
      </c>
      <c r="L4264">
        <v>0</v>
      </c>
    </row>
    <row r="4265" spans="1:12">
      <c r="A4265" s="93">
        <v>445434</v>
      </c>
      <c r="B4265" t="s">
        <v>4739</v>
      </c>
      <c r="C4265" t="s">
        <v>5604</v>
      </c>
      <c r="D4265" s="92">
        <v>0.67</v>
      </c>
      <c r="E4265" s="92">
        <v>0.67</v>
      </c>
      <c r="F4265" t="s">
        <v>428</v>
      </c>
      <c r="G4265" t="s">
        <v>428</v>
      </c>
      <c r="H4265" t="s">
        <v>5617</v>
      </c>
      <c r="I4265">
        <v>0</v>
      </c>
      <c r="J4265" t="s">
        <v>87</v>
      </c>
      <c r="K4265">
        <v>0</v>
      </c>
      <c r="L4265">
        <v>0</v>
      </c>
    </row>
    <row r="4266" spans="1:12">
      <c r="A4266" s="93">
        <v>445461</v>
      </c>
      <c r="B4266" t="s">
        <v>4740</v>
      </c>
      <c r="C4266" t="s">
        <v>5606</v>
      </c>
      <c r="D4266" s="92" t="s">
        <v>428</v>
      </c>
      <c r="E4266" s="92" t="s">
        <v>428</v>
      </c>
      <c r="F4266" t="s">
        <v>428</v>
      </c>
      <c r="G4266" t="s">
        <v>428</v>
      </c>
      <c r="H4266" t="s">
        <v>5617</v>
      </c>
      <c r="I4266">
        <v>0</v>
      </c>
      <c r="J4266" t="s">
        <v>87</v>
      </c>
      <c r="K4266">
        <v>0</v>
      </c>
      <c r="L4266">
        <v>0</v>
      </c>
    </row>
    <row r="4267" spans="1:12">
      <c r="A4267" s="93">
        <v>445559</v>
      </c>
      <c r="B4267" t="s">
        <v>4741</v>
      </c>
      <c r="C4267" t="s">
        <v>5606</v>
      </c>
      <c r="D4267" s="92" t="s">
        <v>428</v>
      </c>
      <c r="E4267" s="92" t="s">
        <v>428</v>
      </c>
      <c r="F4267" t="s">
        <v>428</v>
      </c>
      <c r="G4267" t="s">
        <v>428</v>
      </c>
      <c r="H4267" t="s">
        <v>5617</v>
      </c>
      <c r="I4267">
        <v>0</v>
      </c>
      <c r="J4267" t="s">
        <v>87</v>
      </c>
      <c r="K4267">
        <v>0</v>
      </c>
      <c r="L4267">
        <v>0</v>
      </c>
    </row>
    <row r="4268" spans="1:12">
      <c r="A4268" s="93">
        <v>445692</v>
      </c>
      <c r="B4268" t="s">
        <v>4742</v>
      </c>
      <c r="C4268" t="s">
        <v>5607</v>
      </c>
      <c r="D4268" s="92">
        <v>0.5600000000000001</v>
      </c>
      <c r="E4268" s="92">
        <v>0.41</v>
      </c>
      <c r="F4268" t="s">
        <v>428</v>
      </c>
      <c r="G4268" t="s">
        <v>428</v>
      </c>
      <c r="H4268" t="s">
        <v>5617</v>
      </c>
      <c r="I4268">
        <v>0</v>
      </c>
      <c r="J4268" t="s">
        <v>87</v>
      </c>
      <c r="K4268">
        <v>0</v>
      </c>
      <c r="L4268">
        <v>0</v>
      </c>
    </row>
    <row r="4269" spans="1:12">
      <c r="A4269" s="93">
        <v>445708</v>
      </c>
      <c r="B4269" t="s">
        <v>4743</v>
      </c>
      <c r="C4269" t="s">
        <v>5607</v>
      </c>
      <c r="D4269" s="92">
        <v>0.48</v>
      </c>
      <c r="E4269" s="92">
        <v>0.42</v>
      </c>
      <c r="F4269" t="s">
        <v>428</v>
      </c>
      <c r="G4269" t="s">
        <v>428</v>
      </c>
      <c r="H4269" t="s">
        <v>5617</v>
      </c>
      <c r="I4269">
        <v>0</v>
      </c>
      <c r="J4269" t="s">
        <v>87</v>
      </c>
      <c r="K4269">
        <v>0</v>
      </c>
      <c r="L4269">
        <v>0</v>
      </c>
    </row>
    <row r="4270" spans="1:12">
      <c r="A4270" s="93">
        <v>445726</v>
      </c>
      <c r="B4270" t="s">
        <v>4744</v>
      </c>
      <c r="C4270" t="s">
        <v>5606</v>
      </c>
      <c r="D4270" s="92" t="s">
        <v>428</v>
      </c>
      <c r="E4270" s="92" t="s">
        <v>428</v>
      </c>
      <c r="F4270" t="s">
        <v>428</v>
      </c>
      <c r="G4270" t="s">
        <v>428</v>
      </c>
      <c r="H4270" t="s">
        <v>5617</v>
      </c>
      <c r="I4270">
        <v>0</v>
      </c>
      <c r="J4270" t="s">
        <v>87</v>
      </c>
      <c r="K4270">
        <v>0</v>
      </c>
      <c r="L4270">
        <v>0</v>
      </c>
    </row>
    <row r="4271" spans="1:12">
      <c r="A4271" s="93">
        <v>445735</v>
      </c>
      <c r="B4271" t="s">
        <v>4745</v>
      </c>
      <c r="C4271" t="s">
        <v>5607</v>
      </c>
      <c r="D4271" s="92" t="s">
        <v>428</v>
      </c>
      <c r="E4271" s="92" t="s">
        <v>428</v>
      </c>
      <c r="F4271" t="s">
        <v>428</v>
      </c>
      <c r="G4271" t="s">
        <v>428</v>
      </c>
      <c r="H4271" t="s">
        <v>5615</v>
      </c>
      <c r="I4271">
        <v>0</v>
      </c>
      <c r="J4271" t="s">
        <v>87</v>
      </c>
      <c r="K4271">
        <v>0</v>
      </c>
      <c r="L4271">
        <v>0</v>
      </c>
    </row>
    <row r="4272" spans="1:12">
      <c r="A4272" s="93">
        <v>445744</v>
      </c>
      <c r="B4272" t="s">
        <v>4746</v>
      </c>
      <c r="C4272" t="s">
        <v>5606</v>
      </c>
      <c r="D4272" s="92" t="s">
        <v>428</v>
      </c>
      <c r="E4272" s="92" t="s">
        <v>428</v>
      </c>
      <c r="F4272" t="s">
        <v>428</v>
      </c>
      <c r="G4272" t="s">
        <v>428</v>
      </c>
      <c r="H4272" t="s">
        <v>5617</v>
      </c>
      <c r="I4272">
        <v>0</v>
      </c>
      <c r="J4272" t="s">
        <v>87</v>
      </c>
      <c r="K4272">
        <v>0</v>
      </c>
      <c r="L4272">
        <v>0</v>
      </c>
    </row>
    <row r="4273" spans="1:12">
      <c r="A4273" s="93">
        <v>445762</v>
      </c>
      <c r="B4273" t="s">
        <v>4747</v>
      </c>
      <c r="C4273" t="s">
        <v>5606</v>
      </c>
      <c r="D4273" s="92" t="s">
        <v>428</v>
      </c>
      <c r="E4273" s="92" t="s">
        <v>428</v>
      </c>
      <c r="F4273" t="s">
        <v>428</v>
      </c>
      <c r="G4273" t="s">
        <v>428</v>
      </c>
      <c r="H4273" t="s">
        <v>5617</v>
      </c>
      <c r="I4273">
        <v>0</v>
      </c>
      <c r="J4273" t="s">
        <v>87</v>
      </c>
      <c r="K4273">
        <v>0</v>
      </c>
      <c r="L4273">
        <v>0</v>
      </c>
    </row>
    <row r="4274" spans="1:12">
      <c r="A4274" s="93">
        <v>445780</v>
      </c>
      <c r="B4274" t="s">
        <v>4748</v>
      </c>
      <c r="C4274" t="s">
        <v>5606</v>
      </c>
      <c r="D4274" s="92" t="s">
        <v>428</v>
      </c>
      <c r="E4274" s="92" t="s">
        <v>428</v>
      </c>
      <c r="F4274" t="s">
        <v>428</v>
      </c>
      <c r="G4274" t="s">
        <v>428</v>
      </c>
      <c r="H4274" t="s">
        <v>5624</v>
      </c>
      <c r="I4274">
        <v>1</v>
      </c>
      <c r="J4274" t="s">
        <v>87</v>
      </c>
      <c r="K4274">
        <v>0</v>
      </c>
      <c r="L4274">
        <v>0</v>
      </c>
    </row>
    <row r="4275" spans="1:12">
      <c r="A4275" s="93">
        <v>445799</v>
      </c>
      <c r="B4275" t="s">
        <v>4749</v>
      </c>
      <c r="C4275" t="s">
        <v>5606</v>
      </c>
      <c r="D4275" s="92">
        <v>0.61</v>
      </c>
      <c r="E4275" s="92">
        <v>0.48</v>
      </c>
      <c r="F4275" t="s">
        <v>428</v>
      </c>
      <c r="G4275" t="s">
        <v>428</v>
      </c>
      <c r="H4275" t="s">
        <v>5617</v>
      </c>
      <c r="I4275">
        <v>0</v>
      </c>
      <c r="J4275" t="s">
        <v>87</v>
      </c>
      <c r="K4275">
        <v>0</v>
      </c>
      <c r="L4275">
        <v>0</v>
      </c>
    </row>
    <row r="4276" spans="1:12">
      <c r="A4276" s="93">
        <v>445869</v>
      </c>
      <c r="B4276" t="s">
        <v>4750</v>
      </c>
      <c r="C4276" t="s">
        <v>5607</v>
      </c>
      <c r="D4276" s="92" t="s">
        <v>428</v>
      </c>
      <c r="E4276" s="92" t="s">
        <v>428</v>
      </c>
      <c r="F4276" t="s">
        <v>428</v>
      </c>
      <c r="G4276" t="s">
        <v>428</v>
      </c>
      <c r="H4276" t="s">
        <v>5615</v>
      </c>
      <c r="I4276">
        <v>0</v>
      </c>
      <c r="J4276" t="s">
        <v>87</v>
      </c>
      <c r="K4276">
        <v>0</v>
      </c>
      <c r="L4276">
        <v>0</v>
      </c>
    </row>
    <row r="4277" spans="1:12">
      <c r="A4277" s="93">
        <v>445948</v>
      </c>
      <c r="B4277" t="s">
        <v>4751</v>
      </c>
      <c r="C4277" t="s">
        <v>5606</v>
      </c>
      <c r="D4277" s="92" t="s">
        <v>428</v>
      </c>
      <c r="E4277" s="92" t="s">
        <v>428</v>
      </c>
      <c r="F4277" t="s">
        <v>428</v>
      </c>
      <c r="G4277" t="s">
        <v>428</v>
      </c>
      <c r="H4277" t="s">
        <v>5616</v>
      </c>
      <c r="I4277">
        <v>0</v>
      </c>
      <c r="J4277" t="s">
        <v>87</v>
      </c>
      <c r="K4277">
        <v>0</v>
      </c>
      <c r="L4277">
        <v>0</v>
      </c>
    </row>
    <row r="4278" spans="1:12">
      <c r="A4278" s="93">
        <v>446002</v>
      </c>
      <c r="B4278" t="s">
        <v>4752</v>
      </c>
      <c r="C4278" t="s">
        <v>5607</v>
      </c>
      <c r="D4278" s="92" t="s">
        <v>428</v>
      </c>
      <c r="E4278" s="92" t="s">
        <v>428</v>
      </c>
      <c r="F4278" t="s">
        <v>428</v>
      </c>
      <c r="G4278" t="s">
        <v>428</v>
      </c>
      <c r="H4278" t="s">
        <v>5615</v>
      </c>
      <c r="I4278">
        <v>0</v>
      </c>
      <c r="J4278" t="s">
        <v>87</v>
      </c>
      <c r="K4278">
        <v>0</v>
      </c>
      <c r="L4278">
        <v>0</v>
      </c>
    </row>
    <row r="4279" spans="1:12">
      <c r="A4279" s="93">
        <v>446039</v>
      </c>
      <c r="B4279" t="s">
        <v>4753</v>
      </c>
      <c r="C4279" t="s">
        <v>5607</v>
      </c>
      <c r="D4279" s="92" t="s">
        <v>428</v>
      </c>
      <c r="E4279" s="92" t="s">
        <v>428</v>
      </c>
      <c r="F4279" t="s">
        <v>428</v>
      </c>
      <c r="G4279" t="s">
        <v>428</v>
      </c>
      <c r="H4279" t="s">
        <v>5615</v>
      </c>
      <c r="I4279">
        <v>0</v>
      </c>
      <c r="J4279" t="s">
        <v>87</v>
      </c>
      <c r="K4279">
        <v>0</v>
      </c>
      <c r="L4279">
        <v>0</v>
      </c>
    </row>
    <row r="4280" spans="1:12">
      <c r="A4280" s="93">
        <v>446048</v>
      </c>
      <c r="B4280" t="s">
        <v>4754</v>
      </c>
      <c r="C4280" t="s">
        <v>5603</v>
      </c>
      <c r="D4280" s="92">
        <v>0.51</v>
      </c>
      <c r="E4280" s="92">
        <v>0.38</v>
      </c>
      <c r="F4280">
        <v>21</v>
      </c>
      <c r="G4280">
        <v>24</v>
      </c>
      <c r="H4280" t="s">
        <v>5616</v>
      </c>
      <c r="I4280">
        <v>0</v>
      </c>
      <c r="J4280" t="s">
        <v>87</v>
      </c>
      <c r="K4280">
        <v>0</v>
      </c>
      <c r="L4280">
        <v>0</v>
      </c>
    </row>
    <row r="4281" spans="1:12">
      <c r="A4281" s="93">
        <v>446093</v>
      </c>
      <c r="B4281" t="s">
        <v>4755</v>
      </c>
      <c r="C4281" t="s">
        <v>5609</v>
      </c>
      <c r="D4281" s="92" t="s">
        <v>428</v>
      </c>
      <c r="E4281" s="92" t="s">
        <v>428</v>
      </c>
      <c r="F4281" t="s">
        <v>428</v>
      </c>
      <c r="G4281" t="s">
        <v>428</v>
      </c>
      <c r="H4281" t="s">
        <v>5617</v>
      </c>
      <c r="I4281">
        <v>0</v>
      </c>
      <c r="J4281" t="s">
        <v>87</v>
      </c>
      <c r="K4281">
        <v>0</v>
      </c>
      <c r="L4281">
        <v>0</v>
      </c>
    </row>
    <row r="4282" spans="1:12">
      <c r="A4282" s="93">
        <v>446109</v>
      </c>
      <c r="B4282" t="s">
        <v>4756</v>
      </c>
      <c r="C4282" t="s">
        <v>5606</v>
      </c>
      <c r="D4282" s="92" t="s">
        <v>428</v>
      </c>
      <c r="E4282" s="92" t="s">
        <v>428</v>
      </c>
      <c r="F4282" t="s">
        <v>428</v>
      </c>
      <c r="G4282" t="s">
        <v>428</v>
      </c>
      <c r="H4282" t="s">
        <v>5617</v>
      </c>
      <c r="I4282">
        <v>0</v>
      </c>
      <c r="J4282" t="s">
        <v>87</v>
      </c>
      <c r="K4282">
        <v>0</v>
      </c>
      <c r="L4282">
        <v>0</v>
      </c>
    </row>
    <row r="4283" spans="1:12">
      <c r="A4283" s="93">
        <v>446127</v>
      </c>
      <c r="B4283" t="s">
        <v>4757</v>
      </c>
      <c r="C4283" t="s">
        <v>5606</v>
      </c>
      <c r="D4283" s="92" t="s">
        <v>428</v>
      </c>
      <c r="E4283" s="92" t="s">
        <v>428</v>
      </c>
      <c r="F4283" t="s">
        <v>428</v>
      </c>
      <c r="G4283" t="s">
        <v>428</v>
      </c>
      <c r="H4283" t="s">
        <v>5617</v>
      </c>
      <c r="I4283">
        <v>0</v>
      </c>
      <c r="J4283" t="s">
        <v>87</v>
      </c>
      <c r="K4283">
        <v>0</v>
      </c>
      <c r="L4283">
        <v>0</v>
      </c>
    </row>
    <row r="4284" spans="1:12">
      <c r="A4284" s="93">
        <v>446136</v>
      </c>
      <c r="B4284" t="s">
        <v>4758</v>
      </c>
      <c r="C4284" t="s">
        <v>5606</v>
      </c>
      <c r="D4284" s="92" t="s">
        <v>428</v>
      </c>
      <c r="E4284" s="92" t="s">
        <v>428</v>
      </c>
      <c r="F4284" t="s">
        <v>428</v>
      </c>
      <c r="G4284" t="s">
        <v>428</v>
      </c>
      <c r="H4284" t="s">
        <v>5617</v>
      </c>
      <c r="I4284">
        <v>0</v>
      </c>
      <c r="J4284" t="s">
        <v>87</v>
      </c>
      <c r="K4284">
        <v>0</v>
      </c>
      <c r="L4284">
        <v>0</v>
      </c>
    </row>
    <row r="4285" spans="1:12">
      <c r="A4285" s="93">
        <v>446163</v>
      </c>
      <c r="B4285" t="s">
        <v>4759</v>
      </c>
      <c r="C4285" t="s">
        <v>5606</v>
      </c>
      <c r="D4285" s="92" t="s">
        <v>428</v>
      </c>
      <c r="E4285" s="92" t="s">
        <v>428</v>
      </c>
      <c r="F4285" t="s">
        <v>428</v>
      </c>
      <c r="G4285" t="s">
        <v>428</v>
      </c>
      <c r="H4285" t="s">
        <v>5616</v>
      </c>
      <c r="I4285">
        <v>0</v>
      </c>
      <c r="J4285" t="s">
        <v>87</v>
      </c>
      <c r="K4285">
        <v>0</v>
      </c>
      <c r="L4285">
        <v>0</v>
      </c>
    </row>
    <row r="4286" spans="1:12">
      <c r="A4286" s="93">
        <v>446224</v>
      </c>
      <c r="B4286" t="s">
        <v>4760</v>
      </c>
      <c r="C4286" t="s">
        <v>5607</v>
      </c>
      <c r="D4286" s="92" t="s">
        <v>428</v>
      </c>
      <c r="E4286" s="92" t="s">
        <v>428</v>
      </c>
      <c r="F4286" t="s">
        <v>428</v>
      </c>
      <c r="G4286" t="s">
        <v>428</v>
      </c>
      <c r="H4286" t="s">
        <v>5615</v>
      </c>
      <c r="I4286">
        <v>0</v>
      </c>
      <c r="J4286" t="s">
        <v>87</v>
      </c>
      <c r="K4286">
        <v>0</v>
      </c>
      <c r="L4286">
        <v>0</v>
      </c>
    </row>
    <row r="4287" spans="1:12">
      <c r="A4287" s="93">
        <v>446233</v>
      </c>
      <c r="B4287" t="s">
        <v>4761</v>
      </c>
      <c r="C4287" t="s">
        <v>5608</v>
      </c>
      <c r="D4287" s="92">
        <v>0.06</v>
      </c>
      <c r="E4287" s="92">
        <v>0</v>
      </c>
      <c r="F4287">
        <v>6</v>
      </c>
      <c r="G4287">
        <v>7.5</v>
      </c>
      <c r="H4287" t="s">
        <v>5617</v>
      </c>
      <c r="I4287">
        <v>0</v>
      </c>
      <c r="J4287" t="s">
        <v>87</v>
      </c>
      <c r="K4287">
        <v>0</v>
      </c>
      <c r="L4287">
        <v>0</v>
      </c>
    </row>
    <row r="4288" spans="1:12">
      <c r="A4288" s="93">
        <v>446303</v>
      </c>
      <c r="B4288" t="s">
        <v>4762</v>
      </c>
      <c r="C4288" t="s">
        <v>5609</v>
      </c>
      <c r="D4288" s="92" t="s">
        <v>428</v>
      </c>
      <c r="E4288" s="92" t="s">
        <v>428</v>
      </c>
      <c r="F4288" t="s">
        <v>428</v>
      </c>
      <c r="G4288" t="s">
        <v>428</v>
      </c>
      <c r="H4288" t="s">
        <v>5616</v>
      </c>
      <c r="I4288">
        <v>0</v>
      </c>
      <c r="J4288" t="s">
        <v>87</v>
      </c>
      <c r="K4288">
        <v>0</v>
      </c>
      <c r="L4288">
        <v>0</v>
      </c>
    </row>
    <row r="4289" spans="1:12">
      <c r="A4289" s="93">
        <v>446385</v>
      </c>
      <c r="B4289" t="s">
        <v>4763</v>
      </c>
      <c r="C4289" t="s">
        <v>5604</v>
      </c>
      <c r="D4289" s="92" t="s">
        <v>428</v>
      </c>
      <c r="E4289" s="92" t="s">
        <v>428</v>
      </c>
      <c r="F4289" t="s">
        <v>428</v>
      </c>
      <c r="G4289" t="s">
        <v>428</v>
      </c>
      <c r="H4289" t="s">
        <v>5617</v>
      </c>
      <c r="I4289">
        <v>0</v>
      </c>
      <c r="J4289" t="s">
        <v>87</v>
      </c>
      <c r="K4289">
        <v>0</v>
      </c>
      <c r="L4289">
        <v>0</v>
      </c>
    </row>
    <row r="4290" spans="1:12">
      <c r="A4290" s="93">
        <v>446394</v>
      </c>
      <c r="B4290" t="s">
        <v>4764</v>
      </c>
      <c r="C4290" t="s">
        <v>5607</v>
      </c>
      <c r="D4290" s="92">
        <v>0.5</v>
      </c>
      <c r="E4290" s="92">
        <v>0.5</v>
      </c>
      <c r="F4290" t="s">
        <v>428</v>
      </c>
      <c r="G4290" t="s">
        <v>428</v>
      </c>
      <c r="H4290" t="s">
        <v>5616</v>
      </c>
      <c r="I4290">
        <v>0</v>
      </c>
      <c r="J4290" t="s">
        <v>87</v>
      </c>
      <c r="K4290">
        <v>0</v>
      </c>
      <c r="L4290">
        <v>0</v>
      </c>
    </row>
    <row r="4291" spans="1:12">
      <c r="A4291" s="93">
        <v>446525</v>
      </c>
      <c r="B4291" t="s">
        <v>4765</v>
      </c>
      <c r="C4291" t="s">
        <v>5606</v>
      </c>
      <c r="D4291" s="92" t="s">
        <v>428</v>
      </c>
      <c r="E4291" s="92" t="s">
        <v>428</v>
      </c>
      <c r="F4291" t="s">
        <v>428</v>
      </c>
      <c r="G4291" t="s">
        <v>428</v>
      </c>
      <c r="H4291" t="s">
        <v>5617</v>
      </c>
      <c r="I4291">
        <v>0</v>
      </c>
      <c r="J4291" t="s">
        <v>87</v>
      </c>
      <c r="K4291">
        <v>0</v>
      </c>
      <c r="L4291">
        <v>0</v>
      </c>
    </row>
    <row r="4292" spans="1:12">
      <c r="A4292" s="93">
        <v>446552</v>
      </c>
      <c r="B4292" t="s">
        <v>4766</v>
      </c>
      <c r="C4292" t="s">
        <v>5606</v>
      </c>
      <c r="D4292" s="92" t="s">
        <v>428</v>
      </c>
      <c r="E4292" s="92" t="s">
        <v>428</v>
      </c>
      <c r="F4292" t="s">
        <v>428</v>
      </c>
      <c r="G4292" t="s">
        <v>428</v>
      </c>
      <c r="H4292" t="s">
        <v>5617</v>
      </c>
      <c r="I4292">
        <v>0</v>
      </c>
      <c r="J4292" t="s">
        <v>87</v>
      </c>
      <c r="K4292">
        <v>0</v>
      </c>
      <c r="L4292">
        <v>0</v>
      </c>
    </row>
    <row r="4293" spans="1:12">
      <c r="A4293" s="93">
        <v>446561</v>
      </c>
      <c r="B4293" t="s">
        <v>4767</v>
      </c>
      <c r="C4293" t="s">
        <v>5607</v>
      </c>
      <c r="D4293" s="92" t="s">
        <v>428</v>
      </c>
      <c r="E4293" s="92" t="s">
        <v>428</v>
      </c>
      <c r="F4293" t="s">
        <v>428</v>
      </c>
      <c r="G4293" t="s">
        <v>428</v>
      </c>
      <c r="H4293" t="s">
        <v>5617</v>
      </c>
      <c r="I4293">
        <v>0</v>
      </c>
      <c r="J4293" t="s">
        <v>87</v>
      </c>
      <c r="K4293">
        <v>0</v>
      </c>
      <c r="L4293">
        <v>0</v>
      </c>
    </row>
    <row r="4294" spans="1:12">
      <c r="A4294" s="93">
        <v>446589</v>
      </c>
      <c r="B4294" t="s">
        <v>4768</v>
      </c>
      <c r="C4294" t="s">
        <v>5606</v>
      </c>
      <c r="D4294" s="92" t="s">
        <v>428</v>
      </c>
      <c r="E4294" s="92" t="s">
        <v>428</v>
      </c>
      <c r="F4294" t="s">
        <v>428</v>
      </c>
      <c r="G4294" t="s">
        <v>428</v>
      </c>
      <c r="H4294" t="s">
        <v>5617</v>
      </c>
      <c r="I4294">
        <v>0</v>
      </c>
      <c r="J4294" t="s">
        <v>87</v>
      </c>
      <c r="K4294">
        <v>0</v>
      </c>
      <c r="L4294">
        <v>0</v>
      </c>
    </row>
    <row r="4295" spans="1:12">
      <c r="A4295" s="93">
        <v>446598</v>
      </c>
      <c r="B4295" t="s">
        <v>4769</v>
      </c>
      <c r="C4295" t="s">
        <v>5606</v>
      </c>
      <c r="D4295" s="92" t="s">
        <v>428</v>
      </c>
      <c r="E4295" s="92" t="s">
        <v>428</v>
      </c>
      <c r="F4295" t="s">
        <v>428</v>
      </c>
      <c r="G4295" t="s">
        <v>428</v>
      </c>
      <c r="H4295" t="s">
        <v>5617</v>
      </c>
      <c r="I4295">
        <v>0</v>
      </c>
      <c r="J4295" t="s">
        <v>87</v>
      </c>
      <c r="K4295">
        <v>0</v>
      </c>
      <c r="L4295">
        <v>0</v>
      </c>
    </row>
    <row r="4296" spans="1:12">
      <c r="A4296" s="93">
        <v>446604</v>
      </c>
      <c r="B4296" t="s">
        <v>4770</v>
      </c>
      <c r="C4296" t="s">
        <v>5604</v>
      </c>
      <c r="D4296" s="92">
        <v>0.65</v>
      </c>
      <c r="E4296" s="92">
        <v>0.25</v>
      </c>
      <c r="F4296" t="s">
        <v>428</v>
      </c>
      <c r="G4296" t="s">
        <v>428</v>
      </c>
      <c r="H4296" t="s">
        <v>5624</v>
      </c>
      <c r="I4296">
        <v>1</v>
      </c>
      <c r="J4296" t="s">
        <v>87</v>
      </c>
      <c r="K4296">
        <v>0</v>
      </c>
      <c r="L4296">
        <v>0</v>
      </c>
    </row>
    <row r="4297" spans="1:12">
      <c r="A4297" s="93">
        <v>446613</v>
      </c>
      <c r="B4297" t="s">
        <v>4771</v>
      </c>
      <c r="C4297" t="s">
        <v>5604</v>
      </c>
      <c r="D4297" s="92">
        <v>0.5</v>
      </c>
      <c r="E4297" s="92">
        <v>0.5</v>
      </c>
      <c r="F4297" t="s">
        <v>428</v>
      </c>
      <c r="G4297" t="s">
        <v>428</v>
      </c>
      <c r="H4297" t="s">
        <v>5615</v>
      </c>
      <c r="I4297">
        <v>0</v>
      </c>
      <c r="J4297" t="s">
        <v>87</v>
      </c>
      <c r="K4297">
        <v>0</v>
      </c>
      <c r="L4297">
        <v>0</v>
      </c>
    </row>
    <row r="4298" spans="1:12">
      <c r="A4298" s="93">
        <v>446640</v>
      </c>
      <c r="B4298" t="s">
        <v>4772</v>
      </c>
      <c r="C4298" t="s">
        <v>5604</v>
      </c>
      <c r="D4298" s="92">
        <v>0.21</v>
      </c>
      <c r="E4298" s="92">
        <v>0.15</v>
      </c>
      <c r="F4298" t="s">
        <v>428</v>
      </c>
      <c r="G4298" t="s">
        <v>428</v>
      </c>
      <c r="H4298" t="s">
        <v>5616</v>
      </c>
      <c r="I4298">
        <v>0</v>
      </c>
      <c r="J4298" t="s">
        <v>87</v>
      </c>
      <c r="K4298">
        <v>0</v>
      </c>
      <c r="L4298">
        <v>0</v>
      </c>
    </row>
    <row r="4299" spans="1:12">
      <c r="A4299" s="93">
        <v>446668</v>
      </c>
      <c r="B4299" t="s">
        <v>4773</v>
      </c>
      <c r="C4299" t="s">
        <v>5607</v>
      </c>
      <c r="D4299" s="92">
        <v>0.23</v>
      </c>
      <c r="E4299" s="92">
        <v>0.06</v>
      </c>
      <c r="F4299" t="s">
        <v>428</v>
      </c>
      <c r="G4299" t="s">
        <v>428</v>
      </c>
      <c r="H4299" t="s">
        <v>5617</v>
      </c>
      <c r="I4299">
        <v>0</v>
      </c>
      <c r="J4299" t="s">
        <v>87</v>
      </c>
      <c r="K4299">
        <v>0</v>
      </c>
      <c r="L4299">
        <v>0</v>
      </c>
    </row>
    <row r="4300" spans="1:12">
      <c r="A4300" s="93">
        <v>446677</v>
      </c>
      <c r="B4300" t="s">
        <v>3720</v>
      </c>
      <c r="C4300" t="s">
        <v>5604</v>
      </c>
      <c r="D4300" s="92">
        <v>0.24</v>
      </c>
      <c r="E4300" s="92">
        <v>0.19</v>
      </c>
      <c r="F4300" t="s">
        <v>428</v>
      </c>
      <c r="G4300" t="s">
        <v>428</v>
      </c>
      <c r="H4300" t="s">
        <v>5617</v>
      </c>
      <c r="I4300">
        <v>0</v>
      </c>
      <c r="J4300" t="s">
        <v>87</v>
      </c>
      <c r="K4300">
        <v>0</v>
      </c>
      <c r="L4300">
        <v>0</v>
      </c>
    </row>
    <row r="4301" spans="1:12">
      <c r="A4301" s="93">
        <v>446729</v>
      </c>
      <c r="B4301" t="s">
        <v>4774</v>
      </c>
      <c r="C4301" t="s">
        <v>5607</v>
      </c>
      <c r="D4301" s="92">
        <v>0.22</v>
      </c>
      <c r="E4301" s="92" t="s">
        <v>428</v>
      </c>
      <c r="F4301" t="s">
        <v>428</v>
      </c>
      <c r="G4301" t="s">
        <v>428</v>
      </c>
      <c r="H4301" t="s">
        <v>5617</v>
      </c>
      <c r="I4301">
        <v>0</v>
      </c>
      <c r="J4301" t="s">
        <v>87</v>
      </c>
      <c r="K4301">
        <v>0</v>
      </c>
      <c r="L4301">
        <v>0</v>
      </c>
    </row>
    <row r="4302" spans="1:12">
      <c r="A4302" s="93">
        <v>446774</v>
      </c>
      <c r="B4302" t="s">
        <v>4775</v>
      </c>
      <c r="C4302" t="s">
        <v>5606</v>
      </c>
      <c r="D4302" s="92">
        <v>0.24</v>
      </c>
      <c r="E4302" s="92">
        <v>0.17</v>
      </c>
      <c r="F4302" t="s">
        <v>428</v>
      </c>
      <c r="G4302" t="s">
        <v>428</v>
      </c>
      <c r="H4302" t="s">
        <v>5615</v>
      </c>
      <c r="I4302">
        <v>0</v>
      </c>
      <c r="J4302" t="s">
        <v>87</v>
      </c>
      <c r="K4302">
        <v>0</v>
      </c>
      <c r="L4302">
        <v>0</v>
      </c>
    </row>
    <row r="4303" spans="1:12">
      <c r="A4303" s="93">
        <v>446792</v>
      </c>
      <c r="B4303" t="s">
        <v>4776</v>
      </c>
      <c r="C4303" t="s">
        <v>5607</v>
      </c>
      <c r="D4303" s="92">
        <v>0.21</v>
      </c>
      <c r="E4303" s="92">
        <v>0.16</v>
      </c>
      <c r="F4303" t="s">
        <v>428</v>
      </c>
      <c r="G4303" t="s">
        <v>428</v>
      </c>
      <c r="H4303" t="s">
        <v>5617</v>
      </c>
      <c r="I4303">
        <v>0</v>
      </c>
      <c r="J4303" t="s">
        <v>87</v>
      </c>
      <c r="K4303">
        <v>0</v>
      </c>
      <c r="L4303">
        <v>0</v>
      </c>
    </row>
    <row r="4304" spans="1:12">
      <c r="A4304" s="93">
        <v>446808</v>
      </c>
      <c r="B4304" t="s">
        <v>4777</v>
      </c>
      <c r="C4304" t="s">
        <v>5607</v>
      </c>
      <c r="D4304" s="92">
        <v>0.25</v>
      </c>
      <c r="E4304" s="92">
        <v>0.31</v>
      </c>
      <c r="F4304" t="s">
        <v>428</v>
      </c>
      <c r="G4304" t="s">
        <v>428</v>
      </c>
      <c r="H4304" t="s">
        <v>5617</v>
      </c>
      <c r="I4304">
        <v>0</v>
      </c>
      <c r="J4304" t="s">
        <v>87</v>
      </c>
      <c r="K4304">
        <v>0</v>
      </c>
      <c r="L4304">
        <v>0</v>
      </c>
    </row>
    <row r="4305" spans="1:12">
      <c r="A4305" s="93">
        <v>446835</v>
      </c>
      <c r="B4305" t="s">
        <v>4778</v>
      </c>
      <c r="C4305" t="s">
        <v>5606</v>
      </c>
      <c r="D4305" s="92" t="s">
        <v>428</v>
      </c>
      <c r="E4305" s="92" t="s">
        <v>428</v>
      </c>
      <c r="F4305" t="s">
        <v>428</v>
      </c>
      <c r="G4305" t="s">
        <v>428</v>
      </c>
      <c r="H4305" t="s">
        <v>5617</v>
      </c>
      <c r="I4305">
        <v>0</v>
      </c>
      <c r="J4305" t="s">
        <v>87</v>
      </c>
      <c r="K4305">
        <v>0</v>
      </c>
      <c r="L4305">
        <v>0</v>
      </c>
    </row>
    <row r="4306" spans="1:12">
      <c r="A4306" s="93">
        <v>446844</v>
      </c>
      <c r="B4306" t="s">
        <v>4779</v>
      </c>
      <c r="C4306" t="s">
        <v>5606</v>
      </c>
      <c r="D4306" s="92" t="s">
        <v>428</v>
      </c>
      <c r="E4306" s="92" t="s">
        <v>428</v>
      </c>
      <c r="F4306" t="s">
        <v>428</v>
      </c>
      <c r="G4306" t="s">
        <v>428</v>
      </c>
      <c r="H4306" t="s">
        <v>5617</v>
      </c>
      <c r="I4306">
        <v>0</v>
      </c>
      <c r="J4306" t="s">
        <v>87</v>
      </c>
      <c r="K4306">
        <v>0</v>
      </c>
      <c r="L4306">
        <v>0</v>
      </c>
    </row>
    <row r="4307" spans="1:12">
      <c r="A4307" s="93">
        <v>446880</v>
      </c>
      <c r="B4307" t="s">
        <v>3245</v>
      </c>
      <c r="C4307" t="s">
        <v>5606</v>
      </c>
      <c r="D4307" s="92" t="s">
        <v>428</v>
      </c>
      <c r="E4307" s="92" t="s">
        <v>428</v>
      </c>
      <c r="F4307" t="s">
        <v>428</v>
      </c>
      <c r="G4307" t="s">
        <v>428</v>
      </c>
      <c r="H4307" t="s">
        <v>5617</v>
      </c>
      <c r="I4307">
        <v>0</v>
      </c>
      <c r="J4307" t="s">
        <v>87</v>
      </c>
      <c r="K4307">
        <v>0</v>
      </c>
      <c r="L4307">
        <v>0</v>
      </c>
    </row>
    <row r="4308" spans="1:12">
      <c r="A4308" s="93">
        <v>446899</v>
      </c>
      <c r="B4308" t="s">
        <v>4780</v>
      </c>
      <c r="C4308" t="s">
        <v>5607</v>
      </c>
      <c r="D4308" s="92" t="s">
        <v>428</v>
      </c>
      <c r="E4308" s="92" t="s">
        <v>428</v>
      </c>
      <c r="F4308" t="s">
        <v>428</v>
      </c>
      <c r="G4308" t="s">
        <v>428</v>
      </c>
      <c r="H4308" t="s">
        <v>5617</v>
      </c>
      <c r="I4308">
        <v>0</v>
      </c>
      <c r="J4308" t="s">
        <v>87</v>
      </c>
      <c r="K4308">
        <v>0</v>
      </c>
      <c r="L4308">
        <v>0</v>
      </c>
    </row>
    <row r="4309" spans="1:12">
      <c r="A4309" s="93">
        <v>446905</v>
      </c>
      <c r="B4309" t="s">
        <v>4781</v>
      </c>
      <c r="C4309" t="s">
        <v>5607</v>
      </c>
      <c r="D4309" s="92">
        <v>0.18</v>
      </c>
      <c r="E4309" s="92">
        <v>0.14</v>
      </c>
      <c r="F4309" t="s">
        <v>428</v>
      </c>
      <c r="G4309" t="s">
        <v>428</v>
      </c>
      <c r="H4309" t="s">
        <v>5617</v>
      </c>
      <c r="I4309">
        <v>0</v>
      </c>
      <c r="J4309" t="s">
        <v>87</v>
      </c>
      <c r="K4309">
        <v>0</v>
      </c>
      <c r="L4309">
        <v>0</v>
      </c>
    </row>
    <row r="4310" spans="1:12">
      <c r="A4310" s="93">
        <v>446914</v>
      </c>
      <c r="B4310" t="s">
        <v>4782</v>
      </c>
      <c r="C4310" t="s">
        <v>5607</v>
      </c>
      <c r="D4310" s="92" t="s">
        <v>428</v>
      </c>
      <c r="E4310" s="92" t="s">
        <v>428</v>
      </c>
      <c r="F4310" t="s">
        <v>428</v>
      </c>
      <c r="G4310" t="s">
        <v>428</v>
      </c>
      <c r="H4310" t="s">
        <v>5617</v>
      </c>
      <c r="I4310">
        <v>0</v>
      </c>
      <c r="J4310" t="s">
        <v>87</v>
      </c>
      <c r="K4310">
        <v>0</v>
      </c>
      <c r="L4310">
        <v>0</v>
      </c>
    </row>
    <row r="4311" spans="1:12">
      <c r="A4311" s="93">
        <v>446923</v>
      </c>
      <c r="B4311" t="s">
        <v>4783</v>
      </c>
      <c r="C4311" t="s">
        <v>5607</v>
      </c>
      <c r="D4311" s="92" t="s">
        <v>428</v>
      </c>
      <c r="E4311" s="92" t="s">
        <v>428</v>
      </c>
      <c r="F4311" t="s">
        <v>428</v>
      </c>
      <c r="G4311" t="s">
        <v>428</v>
      </c>
      <c r="H4311" t="s">
        <v>5617</v>
      </c>
      <c r="I4311">
        <v>0</v>
      </c>
      <c r="J4311" t="s">
        <v>87</v>
      </c>
      <c r="K4311">
        <v>0</v>
      </c>
      <c r="L4311">
        <v>0</v>
      </c>
    </row>
    <row r="4312" spans="1:12">
      <c r="A4312" s="93">
        <v>447014</v>
      </c>
      <c r="B4312" t="s">
        <v>4784</v>
      </c>
      <c r="C4312" t="s">
        <v>5606</v>
      </c>
      <c r="D4312" s="92" t="s">
        <v>428</v>
      </c>
      <c r="E4312" s="92" t="s">
        <v>428</v>
      </c>
      <c r="F4312" t="s">
        <v>428</v>
      </c>
      <c r="G4312" t="s">
        <v>428</v>
      </c>
      <c r="H4312" t="s">
        <v>5617</v>
      </c>
      <c r="I4312">
        <v>0</v>
      </c>
      <c r="J4312" t="s">
        <v>87</v>
      </c>
      <c r="K4312">
        <v>0</v>
      </c>
      <c r="L4312">
        <v>0</v>
      </c>
    </row>
    <row r="4313" spans="1:12">
      <c r="A4313" s="93">
        <v>447050</v>
      </c>
      <c r="B4313" t="s">
        <v>4785</v>
      </c>
      <c r="C4313" t="s">
        <v>5604</v>
      </c>
      <c r="D4313" s="92">
        <v>0.28</v>
      </c>
      <c r="E4313" s="92">
        <v>0.35</v>
      </c>
      <c r="F4313" t="s">
        <v>428</v>
      </c>
      <c r="G4313" t="s">
        <v>428</v>
      </c>
      <c r="H4313" t="s">
        <v>5617</v>
      </c>
      <c r="I4313">
        <v>0</v>
      </c>
      <c r="J4313" t="s">
        <v>87</v>
      </c>
      <c r="K4313">
        <v>0</v>
      </c>
      <c r="L4313">
        <v>0</v>
      </c>
    </row>
    <row r="4314" spans="1:12">
      <c r="A4314" s="93">
        <v>447102</v>
      </c>
      <c r="B4314" t="s">
        <v>4786</v>
      </c>
      <c r="C4314" t="s">
        <v>5606</v>
      </c>
      <c r="D4314" s="92" t="s">
        <v>428</v>
      </c>
      <c r="E4314" s="92" t="s">
        <v>428</v>
      </c>
      <c r="F4314" t="s">
        <v>428</v>
      </c>
      <c r="G4314" t="s">
        <v>428</v>
      </c>
      <c r="H4314" t="s">
        <v>5617</v>
      </c>
      <c r="I4314">
        <v>0</v>
      </c>
      <c r="J4314" t="s">
        <v>87</v>
      </c>
      <c r="K4314">
        <v>0</v>
      </c>
      <c r="L4314">
        <v>0</v>
      </c>
    </row>
    <row r="4315" spans="1:12">
      <c r="A4315" s="93">
        <v>447120</v>
      </c>
      <c r="B4315" t="s">
        <v>4787</v>
      </c>
      <c r="C4315" t="s">
        <v>5606</v>
      </c>
      <c r="D4315" s="92" t="s">
        <v>428</v>
      </c>
      <c r="E4315" s="92" t="s">
        <v>428</v>
      </c>
      <c r="F4315" t="s">
        <v>428</v>
      </c>
      <c r="G4315" t="s">
        <v>428</v>
      </c>
      <c r="H4315" t="s">
        <v>5617</v>
      </c>
      <c r="I4315">
        <v>0</v>
      </c>
      <c r="J4315" t="s">
        <v>87</v>
      </c>
      <c r="K4315">
        <v>0</v>
      </c>
      <c r="L4315">
        <v>0</v>
      </c>
    </row>
    <row r="4316" spans="1:12">
      <c r="A4316" s="93">
        <v>447166</v>
      </c>
      <c r="B4316" t="s">
        <v>4788</v>
      </c>
      <c r="C4316" t="s">
        <v>5606</v>
      </c>
      <c r="D4316" s="92" t="s">
        <v>428</v>
      </c>
      <c r="E4316" s="92" t="s">
        <v>428</v>
      </c>
      <c r="F4316" t="s">
        <v>428</v>
      </c>
      <c r="G4316" t="s">
        <v>428</v>
      </c>
      <c r="H4316" t="s">
        <v>5616</v>
      </c>
      <c r="I4316">
        <v>0</v>
      </c>
      <c r="J4316" t="s">
        <v>87</v>
      </c>
      <c r="K4316">
        <v>0</v>
      </c>
      <c r="L4316">
        <v>0</v>
      </c>
    </row>
    <row r="4317" spans="1:12">
      <c r="A4317" s="93">
        <v>447175</v>
      </c>
      <c r="B4317" t="s">
        <v>4789</v>
      </c>
      <c r="C4317" t="s">
        <v>5606</v>
      </c>
      <c r="D4317" s="92" t="s">
        <v>428</v>
      </c>
      <c r="E4317" s="92" t="s">
        <v>428</v>
      </c>
      <c r="F4317" t="s">
        <v>428</v>
      </c>
      <c r="G4317" t="s">
        <v>428</v>
      </c>
      <c r="H4317" t="s">
        <v>5616</v>
      </c>
      <c r="I4317">
        <v>0</v>
      </c>
      <c r="J4317" t="s">
        <v>87</v>
      </c>
      <c r="K4317">
        <v>0</v>
      </c>
      <c r="L4317">
        <v>0</v>
      </c>
    </row>
    <row r="4318" spans="1:12">
      <c r="A4318" s="93">
        <v>447209</v>
      </c>
      <c r="B4318" t="s">
        <v>4790</v>
      </c>
      <c r="C4318" t="s">
        <v>5606</v>
      </c>
      <c r="D4318" s="92" t="s">
        <v>428</v>
      </c>
      <c r="E4318" s="92" t="s">
        <v>428</v>
      </c>
      <c r="F4318" t="s">
        <v>428</v>
      </c>
      <c r="G4318" t="s">
        <v>428</v>
      </c>
      <c r="H4318" t="s">
        <v>5617</v>
      </c>
      <c r="I4318">
        <v>0</v>
      </c>
      <c r="J4318" t="s">
        <v>87</v>
      </c>
      <c r="K4318">
        <v>0</v>
      </c>
      <c r="L4318">
        <v>0</v>
      </c>
    </row>
    <row r="4319" spans="1:12">
      <c r="A4319" s="93">
        <v>447263</v>
      </c>
      <c r="B4319" t="s">
        <v>4791</v>
      </c>
      <c r="C4319" t="s">
        <v>5607</v>
      </c>
      <c r="D4319" s="92" t="s">
        <v>428</v>
      </c>
      <c r="E4319" s="92" t="s">
        <v>428</v>
      </c>
      <c r="F4319" t="s">
        <v>428</v>
      </c>
      <c r="G4319" t="s">
        <v>428</v>
      </c>
      <c r="H4319" t="s">
        <v>5617</v>
      </c>
      <c r="I4319">
        <v>0</v>
      </c>
      <c r="J4319" t="s">
        <v>87</v>
      </c>
      <c r="K4319">
        <v>0</v>
      </c>
      <c r="L4319">
        <v>0</v>
      </c>
    </row>
    <row r="4320" spans="1:12">
      <c r="A4320" s="93">
        <v>447272</v>
      </c>
      <c r="B4320" t="s">
        <v>4792</v>
      </c>
      <c r="C4320" t="s">
        <v>5604</v>
      </c>
      <c r="D4320" s="92">
        <v>0.4</v>
      </c>
      <c r="E4320" s="92">
        <v>0.5</v>
      </c>
      <c r="F4320" t="s">
        <v>428</v>
      </c>
      <c r="G4320" t="s">
        <v>428</v>
      </c>
      <c r="H4320" t="s">
        <v>5617</v>
      </c>
      <c r="I4320">
        <v>0</v>
      </c>
      <c r="J4320" t="s">
        <v>87</v>
      </c>
      <c r="K4320">
        <v>0</v>
      </c>
      <c r="L4320">
        <v>0</v>
      </c>
    </row>
    <row r="4321" spans="1:12">
      <c r="A4321" s="93">
        <v>447290</v>
      </c>
      <c r="B4321" t="s">
        <v>4793</v>
      </c>
      <c r="C4321" t="s">
        <v>5607</v>
      </c>
      <c r="D4321" s="92">
        <v>1</v>
      </c>
      <c r="E4321" s="92">
        <v>1</v>
      </c>
      <c r="F4321" t="s">
        <v>428</v>
      </c>
      <c r="G4321" t="s">
        <v>428</v>
      </c>
      <c r="H4321" t="s">
        <v>5617</v>
      </c>
      <c r="I4321">
        <v>0</v>
      </c>
      <c r="J4321" t="s">
        <v>87</v>
      </c>
      <c r="K4321">
        <v>0</v>
      </c>
      <c r="L4321">
        <v>0</v>
      </c>
    </row>
    <row r="4322" spans="1:12">
      <c r="A4322" s="93">
        <v>447379</v>
      </c>
      <c r="B4322" t="s">
        <v>4794</v>
      </c>
      <c r="C4322" t="s">
        <v>5606</v>
      </c>
      <c r="D4322" s="92" t="s">
        <v>428</v>
      </c>
      <c r="E4322" s="92" t="s">
        <v>428</v>
      </c>
      <c r="F4322" t="s">
        <v>428</v>
      </c>
      <c r="G4322" t="s">
        <v>428</v>
      </c>
      <c r="H4322" t="s">
        <v>5617</v>
      </c>
      <c r="I4322">
        <v>0</v>
      </c>
      <c r="J4322" t="s">
        <v>87</v>
      </c>
      <c r="K4322">
        <v>0</v>
      </c>
      <c r="L4322">
        <v>0</v>
      </c>
    </row>
    <row r="4323" spans="1:12">
      <c r="A4323" s="93">
        <v>447403</v>
      </c>
      <c r="B4323" t="s">
        <v>4795</v>
      </c>
      <c r="C4323" t="s">
        <v>5606</v>
      </c>
      <c r="D4323" s="92">
        <v>0.6</v>
      </c>
      <c r="E4323" s="92">
        <v>0.44</v>
      </c>
      <c r="F4323" t="s">
        <v>428</v>
      </c>
      <c r="G4323" t="s">
        <v>428</v>
      </c>
      <c r="H4323" t="s">
        <v>5617</v>
      </c>
      <c r="I4323">
        <v>0</v>
      </c>
      <c r="J4323" t="s">
        <v>87</v>
      </c>
      <c r="K4323">
        <v>0</v>
      </c>
      <c r="L4323">
        <v>0</v>
      </c>
    </row>
    <row r="4324" spans="1:12">
      <c r="A4324" s="93">
        <v>447421</v>
      </c>
      <c r="B4324" t="s">
        <v>4796</v>
      </c>
      <c r="C4324" t="s">
        <v>5604</v>
      </c>
      <c r="D4324" s="92">
        <v>1</v>
      </c>
      <c r="E4324" s="92">
        <v>1</v>
      </c>
      <c r="F4324" t="s">
        <v>428</v>
      </c>
      <c r="G4324" t="s">
        <v>428</v>
      </c>
      <c r="H4324" t="s">
        <v>5617</v>
      </c>
      <c r="I4324">
        <v>0</v>
      </c>
      <c r="J4324" t="s">
        <v>87</v>
      </c>
      <c r="K4324">
        <v>0</v>
      </c>
      <c r="L4324">
        <v>0</v>
      </c>
    </row>
    <row r="4325" spans="1:12">
      <c r="A4325" s="93">
        <v>447458</v>
      </c>
      <c r="B4325" t="s">
        <v>4797</v>
      </c>
      <c r="C4325" t="s">
        <v>5604</v>
      </c>
      <c r="D4325" s="92">
        <v>0.47</v>
      </c>
      <c r="E4325" s="92">
        <v>0.3</v>
      </c>
      <c r="F4325" t="s">
        <v>428</v>
      </c>
      <c r="G4325" t="s">
        <v>428</v>
      </c>
      <c r="H4325" t="s">
        <v>5617</v>
      </c>
      <c r="I4325">
        <v>0</v>
      </c>
      <c r="J4325" t="s">
        <v>87</v>
      </c>
      <c r="K4325">
        <v>0</v>
      </c>
      <c r="L4325">
        <v>0</v>
      </c>
    </row>
    <row r="4326" spans="1:12">
      <c r="A4326" s="93">
        <v>447476</v>
      </c>
      <c r="B4326" t="s">
        <v>4798</v>
      </c>
      <c r="C4326" t="s">
        <v>5606</v>
      </c>
      <c r="D4326" s="92" t="s">
        <v>428</v>
      </c>
      <c r="E4326" s="92" t="s">
        <v>428</v>
      </c>
      <c r="F4326" t="s">
        <v>428</v>
      </c>
      <c r="G4326" t="s">
        <v>428</v>
      </c>
      <c r="H4326" t="s">
        <v>5617</v>
      </c>
      <c r="I4326">
        <v>0</v>
      </c>
      <c r="J4326" t="s">
        <v>87</v>
      </c>
      <c r="K4326">
        <v>0</v>
      </c>
      <c r="L4326">
        <v>0</v>
      </c>
    </row>
    <row r="4327" spans="1:12">
      <c r="A4327" s="93">
        <v>447582</v>
      </c>
      <c r="B4327" t="s">
        <v>4799</v>
      </c>
      <c r="C4327" t="s">
        <v>5606</v>
      </c>
      <c r="D4327" s="92">
        <v>0.18</v>
      </c>
      <c r="E4327" s="92">
        <v>0.23</v>
      </c>
      <c r="F4327" t="s">
        <v>428</v>
      </c>
      <c r="G4327" t="s">
        <v>428</v>
      </c>
      <c r="H4327" t="s">
        <v>5615</v>
      </c>
      <c r="I4327">
        <v>0</v>
      </c>
      <c r="J4327" t="s">
        <v>87</v>
      </c>
      <c r="K4327">
        <v>0</v>
      </c>
      <c r="L4327">
        <v>0</v>
      </c>
    </row>
    <row r="4328" spans="1:12">
      <c r="A4328" s="93">
        <v>447591</v>
      </c>
      <c r="B4328" t="s">
        <v>4800</v>
      </c>
      <c r="C4328" t="s">
        <v>5606</v>
      </c>
      <c r="D4328" s="92" t="s">
        <v>428</v>
      </c>
      <c r="E4328" s="92" t="s">
        <v>428</v>
      </c>
      <c r="F4328" t="s">
        <v>428</v>
      </c>
      <c r="G4328" t="s">
        <v>428</v>
      </c>
      <c r="H4328" t="s">
        <v>5617</v>
      </c>
      <c r="I4328">
        <v>0</v>
      </c>
      <c r="J4328" t="s">
        <v>87</v>
      </c>
      <c r="K4328">
        <v>0</v>
      </c>
      <c r="L4328">
        <v>0</v>
      </c>
    </row>
    <row r="4329" spans="1:12">
      <c r="A4329" s="93">
        <v>447634</v>
      </c>
      <c r="B4329" t="s">
        <v>4801</v>
      </c>
      <c r="C4329" t="s">
        <v>5606</v>
      </c>
      <c r="D4329" s="92" t="s">
        <v>428</v>
      </c>
      <c r="E4329" s="92" t="s">
        <v>428</v>
      </c>
      <c r="F4329" t="s">
        <v>428</v>
      </c>
      <c r="G4329" t="s">
        <v>428</v>
      </c>
      <c r="H4329" t="s">
        <v>5617</v>
      </c>
      <c r="I4329">
        <v>0</v>
      </c>
      <c r="J4329" t="s">
        <v>87</v>
      </c>
      <c r="K4329">
        <v>0</v>
      </c>
      <c r="L4329">
        <v>0</v>
      </c>
    </row>
    <row r="4330" spans="1:12">
      <c r="A4330" s="93">
        <v>447689</v>
      </c>
      <c r="B4330" t="s">
        <v>4802</v>
      </c>
      <c r="C4330" t="s">
        <v>5604</v>
      </c>
      <c r="D4330" s="92">
        <v>0.17</v>
      </c>
      <c r="E4330" s="92">
        <v>0.13</v>
      </c>
      <c r="F4330" t="s">
        <v>428</v>
      </c>
      <c r="G4330" t="s">
        <v>428</v>
      </c>
      <c r="H4330" t="s">
        <v>5615</v>
      </c>
      <c r="I4330">
        <v>0</v>
      </c>
      <c r="J4330" t="s">
        <v>87</v>
      </c>
      <c r="K4330">
        <v>0</v>
      </c>
      <c r="L4330">
        <v>0</v>
      </c>
    </row>
    <row r="4331" spans="1:12">
      <c r="A4331" s="93">
        <v>447698</v>
      </c>
      <c r="B4331" t="s">
        <v>4803</v>
      </c>
      <c r="C4331" t="s">
        <v>5607</v>
      </c>
      <c r="D4331" s="92" t="s">
        <v>428</v>
      </c>
      <c r="E4331" s="92" t="s">
        <v>428</v>
      </c>
      <c r="F4331" t="s">
        <v>428</v>
      </c>
      <c r="G4331" t="s">
        <v>428</v>
      </c>
      <c r="H4331" t="s">
        <v>5615</v>
      </c>
      <c r="I4331">
        <v>0</v>
      </c>
      <c r="J4331" t="s">
        <v>87</v>
      </c>
      <c r="K4331">
        <v>0</v>
      </c>
      <c r="L4331">
        <v>0</v>
      </c>
    </row>
    <row r="4332" spans="1:12">
      <c r="A4332" s="93">
        <v>447713</v>
      </c>
      <c r="B4332" t="s">
        <v>4804</v>
      </c>
      <c r="C4332" t="s">
        <v>5606</v>
      </c>
      <c r="D4332" s="92" t="s">
        <v>428</v>
      </c>
      <c r="E4332" s="92" t="s">
        <v>428</v>
      </c>
      <c r="F4332" t="s">
        <v>428</v>
      </c>
      <c r="G4332" t="s">
        <v>428</v>
      </c>
      <c r="H4332" t="s">
        <v>5615</v>
      </c>
      <c r="I4332">
        <v>0</v>
      </c>
      <c r="J4332" t="s">
        <v>87</v>
      </c>
      <c r="K4332">
        <v>0</v>
      </c>
      <c r="L4332">
        <v>0</v>
      </c>
    </row>
    <row r="4333" spans="1:12">
      <c r="A4333" s="93">
        <v>447759</v>
      </c>
      <c r="B4333" t="s">
        <v>4805</v>
      </c>
      <c r="C4333" t="s">
        <v>5606</v>
      </c>
      <c r="D4333" s="92" t="s">
        <v>428</v>
      </c>
      <c r="E4333" s="92" t="s">
        <v>428</v>
      </c>
      <c r="F4333" t="s">
        <v>428</v>
      </c>
      <c r="G4333" t="s">
        <v>428</v>
      </c>
      <c r="H4333" t="s">
        <v>5616</v>
      </c>
      <c r="I4333">
        <v>0</v>
      </c>
      <c r="J4333" t="s">
        <v>87</v>
      </c>
      <c r="K4333">
        <v>0</v>
      </c>
      <c r="L4333">
        <v>0</v>
      </c>
    </row>
    <row r="4334" spans="1:12">
      <c r="A4334" s="93">
        <v>447768</v>
      </c>
      <c r="B4334" t="s">
        <v>4806</v>
      </c>
      <c r="C4334" t="s">
        <v>5606</v>
      </c>
      <c r="D4334" s="92">
        <v>0.68</v>
      </c>
      <c r="E4334" s="92">
        <v>0.67</v>
      </c>
      <c r="F4334" t="s">
        <v>428</v>
      </c>
      <c r="G4334" t="s">
        <v>428</v>
      </c>
      <c r="H4334" t="s">
        <v>5617</v>
      </c>
      <c r="I4334">
        <v>0</v>
      </c>
      <c r="J4334" t="s">
        <v>87</v>
      </c>
      <c r="K4334">
        <v>0</v>
      </c>
      <c r="L4334">
        <v>0</v>
      </c>
    </row>
    <row r="4335" spans="1:12">
      <c r="A4335" s="93">
        <v>447777</v>
      </c>
      <c r="B4335" t="s">
        <v>4807</v>
      </c>
      <c r="C4335" t="s">
        <v>5606</v>
      </c>
      <c r="D4335" s="92" t="s">
        <v>428</v>
      </c>
      <c r="E4335" s="92" t="s">
        <v>428</v>
      </c>
      <c r="F4335" t="s">
        <v>428</v>
      </c>
      <c r="G4335" t="s">
        <v>428</v>
      </c>
      <c r="H4335" t="s">
        <v>5617</v>
      </c>
      <c r="I4335">
        <v>0</v>
      </c>
      <c r="J4335" t="s">
        <v>87</v>
      </c>
      <c r="K4335">
        <v>0</v>
      </c>
      <c r="L4335">
        <v>0</v>
      </c>
    </row>
    <row r="4336" spans="1:12">
      <c r="A4336" s="93">
        <v>447801</v>
      </c>
      <c r="B4336" t="s">
        <v>4808</v>
      </c>
      <c r="C4336" t="s">
        <v>5607</v>
      </c>
      <c r="D4336" s="92" t="s">
        <v>428</v>
      </c>
      <c r="E4336" s="92" t="s">
        <v>428</v>
      </c>
      <c r="F4336" t="s">
        <v>428</v>
      </c>
      <c r="G4336" t="s">
        <v>428</v>
      </c>
      <c r="H4336" t="s">
        <v>5615</v>
      </c>
      <c r="I4336">
        <v>0</v>
      </c>
      <c r="J4336" t="s">
        <v>87</v>
      </c>
      <c r="K4336">
        <v>0</v>
      </c>
      <c r="L4336">
        <v>0</v>
      </c>
    </row>
    <row r="4337" spans="1:12">
      <c r="A4337" s="93">
        <v>447847</v>
      </c>
      <c r="B4337" t="s">
        <v>4809</v>
      </c>
      <c r="C4337" t="s">
        <v>5606</v>
      </c>
      <c r="D4337" s="92" t="s">
        <v>428</v>
      </c>
      <c r="E4337" s="92" t="s">
        <v>428</v>
      </c>
      <c r="F4337" t="s">
        <v>428</v>
      </c>
      <c r="G4337" t="s">
        <v>428</v>
      </c>
      <c r="H4337" t="s">
        <v>5617</v>
      </c>
      <c r="I4337">
        <v>0</v>
      </c>
      <c r="J4337" t="s">
        <v>87</v>
      </c>
      <c r="K4337">
        <v>0</v>
      </c>
      <c r="L4337">
        <v>0</v>
      </c>
    </row>
    <row r="4338" spans="1:12">
      <c r="A4338" s="93">
        <v>447935</v>
      </c>
      <c r="B4338" t="s">
        <v>4810</v>
      </c>
      <c r="C4338" t="s">
        <v>5606</v>
      </c>
      <c r="D4338" s="92" t="s">
        <v>428</v>
      </c>
      <c r="E4338" s="92" t="s">
        <v>428</v>
      </c>
      <c r="F4338" t="s">
        <v>428</v>
      </c>
      <c r="G4338" t="s">
        <v>428</v>
      </c>
      <c r="H4338" t="s">
        <v>5617</v>
      </c>
      <c r="I4338">
        <v>0</v>
      </c>
      <c r="J4338" t="s">
        <v>87</v>
      </c>
      <c r="K4338">
        <v>0</v>
      </c>
      <c r="L4338">
        <v>0</v>
      </c>
    </row>
    <row r="4339" spans="1:12">
      <c r="A4339" s="93">
        <v>447953</v>
      </c>
      <c r="B4339" t="s">
        <v>4811</v>
      </c>
      <c r="C4339" t="s">
        <v>5604</v>
      </c>
      <c r="D4339" s="92">
        <v>0.25</v>
      </c>
      <c r="E4339" s="92">
        <v>0.21</v>
      </c>
      <c r="F4339" t="s">
        <v>428</v>
      </c>
      <c r="G4339" t="s">
        <v>428</v>
      </c>
      <c r="H4339" t="s">
        <v>5617</v>
      </c>
      <c r="I4339">
        <v>0</v>
      </c>
      <c r="J4339" t="s">
        <v>87</v>
      </c>
      <c r="K4339">
        <v>0</v>
      </c>
      <c r="L4339">
        <v>0</v>
      </c>
    </row>
    <row r="4340" spans="1:12">
      <c r="A4340" s="93">
        <v>447999</v>
      </c>
      <c r="B4340" t="s">
        <v>4812</v>
      </c>
      <c r="C4340" t="s">
        <v>5606</v>
      </c>
      <c r="D4340" s="92" t="s">
        <v>428</v>
      </c>
      <c r="E4340" s="92" t="s">
        <v>428</v>
      </c>
      <c r="F4340" t="s">
        <v>428</v>
      </c>
      <c r="G4340" t="s">
        <v>428</v>
      </c>
      <c r="H4340" t="s">
        <v>5617</v>
      </c>
      <c r="I4340">
        <v>0</v>
      </c>
      <c r="J4340" t="s">
        <v>87</v>
      </c>
      <c r="K4340">
        <v>0</v>
      </c>
      <c r="L4340">
        <v>0</v>
      </c>
    </row>
    <row r="4341" spans="1:12">
      <c r="A4341" s="93">
        <v>448026</v>
      </c>
      <c r="B4341" t="s">
        <v>4813</v>
      </c>
      <c r="C4341" t="s">
        <v>5606</v>
      </c>
      <c r="D4341" s="92" t="s">
        <v>428</v>
      </c>
      <c r="E4341" s="92" t="s">
        <v>428</v>
      </c>
      <c r="F4341" t="s">
        <v>428</v>
      </c>
      <c r="G4341" t="s">
        <v>428</v>
      </c>
      <c r="H4341" t="s">
        <v>5616</v>
      </c>
      <c r="I4341">
        <v>0</v>
      </c>
      <c r="J4341" t="s">
        <v>87</v>
      </c>
      <c r="K4341">
        <v>0</v>
      </c>
      <c r="L4341">
        <v>0</v>
      </c>
    </row>
    <row r="4342" spans="1:12">
      <c r="A4342" s="93">
        <v>448220</v>
      </c>
      <c r="B4342" t="s">
        <v>4814</v>
      </c>
      <c r="C4342" t="s">
        <v>5606</v>
      </c>
      <c r="D4342" s="92" t="s">
        <v>428</v>
      </c>
      <c r="E4342" s="92" t="s">
        <v>428</v>
      </c>
      <c r="F4342" t="s">
        <v>428</v>
      </c>
      <c r="G4342" t="s">
        <v>428</v>
      </c>
      <c r="H4342" t="s">
        <v>5617</v>
      </c>
      <c r="I4342">
        <v>0</v>
      </c>
      <c r="J4342" t="s">
        <v>87</v>
      </c>
      <c r="K4342">
        <v>0</v>
      </c>
      <c r="L4342">
        <v>0</v>
      </c>
    </row>
    <row r="4343" spans="1:12">
      <c r="A4343" s="93">
        <v>448239</v>
      </c>
      <c r="B4343" t="s">
        <v>4815</v>
      </c>
      <c r="C4343" t="s">
        <v>5607</v>
      </c>
      <c r="D4343" s="92" t="s">
        <v>428</v>
      </c>
      <c r="E4343" s="92" t="s">
        <v>428</v>
      </c>
      <c r="F4343" t="s">
        <v>428</v>
      </c>
      <c r="G4343" t="s">
        <v>428</v>
      </c>
      <c r="H4343" t="s">
        <v>5615</v>
      </c>
      <c r="I4343">
        <v>0</v>
      </c>
      <c r="J4343" t="s">
        <v>87</v>
      </c>
      <c r="K4343">
        <v>0</v>
      </c>
      <c r="L4343">
        <v>0</v>
      </c>
    </row>
    <row r="4344" spans="1:12">
      <c r="A4344" s="93">
        <v>448248</v>
      </c>
      <c r="B4344" t="s">
        <v>4816</v>
      </c>
      <c r="C4344" t="s">
        <v>5606</v>
      </c>
      <c r="D4344" s="92" t="s">
        <v>428</v>
      </c>
      <c r="E4344" s="92" t="s">
        <v>428</v>
      </c>
      <c r="F4344" t="s">
        <v>428</v>
      </c>
      <c r="G4344" t="s">
        <v>428</v>
      </c>
      <c r="H4344" t="s">
        <v>5615</v>
      </c>
      <c r="I4344">
        <v>0</v>
      </c>
      <c r="J4344" t="s">
        <v>87</v>
      </c>
      <c r="K4344">
        <v>0</v>
      </c>
      <c r="L4344">
        <v>0</v>
      </c>
    </row>
    <row r="4345" spans="1:12">
      <c r="A4345" s="93">
        <v>448284</v>
      </c>
      <c r="B4345" t="s">
        <v>4817</v>
      </c>
      <c r="C4345" t="s">
        <v>5604</v>
      </c>
      <c r="D4345" s="92" t="s">
        <v>428</v>
      </c>
      <c r="E4345" s="92" t="s">
        <v>428</v>
      </c>
      <c r="F4345" t="s">
        <v>428</v>
      </c>
      <c r="G4345" t="s">
        <v>428</v>
      </c>
      <c r="H4345" t="s">
        <v>5617</v>
      </c>
      <c r="I4345">
        <v>0</v>
      </c>
      <c r="J4345" t="s">
        <v>87</v>
      </c>
      <c r="K4345">
        <v>0</v>
      </c>
      <c r="L4345">
        <v>0</v>
      </c>
    </row>
    <row r="4346" spans="1:12">
      <c r="A4346" s="93">
        <v>448309</v>
      </c>
      <c r="B4346" t="s">
        <v>4818</v>
      </c>
      <c r="C4346" t="s">
        <v>5607</v>
      </c>
      <c r="D4346" s="92">
        <v>0.22</v>
      </c>
      <c r="E4346" s="92">
        <v>0.23</v>
      </c>
      <c r="F4346" t="s">
        <v>428</v>
      </c>
      <c r="G4346" t="s">
        <v>428</v>
      </c>
      <c r="H4346" t="s">
        <v>5617</v>
      </c>
      <c r="I4346">
        <v>0</v>
      </c>
      <c r="J4346" t="s">
        <v>87</v>
      </c>
      <c r="K4346">
        <v>0</v>
      </c>
      <c r="L4346">
        <v>0</v>
      </c>
    </row>
    <row r="4347" spans="1:12">
      <c r="A4347" s="93">
        <v>448345</v>
      </c>
      <c r="B4347" t="s">
        <v>4819</v>
      </c>
      <c r="C4347" t="s">
        <v>5604</v>
      </c>
      <c r="D4347" s="92">
        <v>0.3</v>
      </c>
      <c r="E4347" s="92">
        <v>0.26</v>
      </c>
      <c r="F4347" t="s">
        <v>428</v>
      </c>
      <c r="G4347" t="s">
        <v>428</v>
      </c>
      <c r="H4347" t="s">
        <v>5617</v>
      </c>
      <c r="I4347">
        <v>0</v>
      </c>
      <c r="J4347" t="s">
        <v>87</v>
      </c>
      <c r="K4347">
        <v>0</v>
      </c>
      <c r="L4347">
        <v>0</v>
      </c>
    </row>
    <row r="4348" spans="1:12">
      <c r="A4348" s="93">
        <v>448354</v>
      </c>
      <c r="B4348" t="s">
        <v>4820</v>
      </c>
      <c r="C4348" t="s">
        <v>5604</v>
      </c>
      <c r="D4348" s="92" t="s">
        <v>428</v>
      </c>
      <c r="E4348" s="92" t="s">
        <v>428</v>
      </c>
      <c r="F4348" t="s">
        <v>428</v>
      </c>
      <c r="G4348" t="s">
        <v>428</v>
      </c>
      <c r="H4348" t="s">
        <v>5617</v>
      </c>
      <c r="I4348">
        <v>0</v>
      </c>
      <c r="J4348" t="s">
        <v>87</v>
      </c>
      <c r="K4348">
        <v>0</v>
      </c>
      <c r="L4348">
        <v>0</v>
      </c>
    </row>
    <row r="4349" spans="1:12">
      <c r="A4349" s="93">
        <v>448433</v>
      </c>
      <c r="B4349" t="s">
        <v>4821</v>
      </c>
      <c r="C4349" t="s">
        <v>5606</v>
      </c>
      <c r="D4349" s="92">
        <v>0.65</v>
      </c>
      <c r="E4349" s="92">
        <v>0.7</v>
      </c>
      <c r="F4349" t="s">
        <v>428</v>
      </c>
      <c r="G4349" t="s">
        <v>428</v>
      </c>
      <c r="H4349" t="s">
        <v>5617</v>
      </c>
      <c r="I4349">
        <v>0</v>
      </c>
      <c r="J4349" t="s">
        <v>87</v>
      </c>
      <c r="K4349">
        <v>0</v>
      </c>
      <c r="L4349">
        <v>0</v>
      </c>
    </row>
    <row r="4350" spans="1:12">
      <c r="A4350" s="93">
        <v>448442</v>
      </c>
      <c r="B4350" t="s">
        <v>4822</v>
      </c>
      <c r="C4350" t="s">
        <v>5607</v>
      </c>
      <c r="D4350" s="92">
        <v>0.09</v>
      </c>
      <c r="E4350" s="92">
        <v>0.09</v>
      </c>
      <c r="F4350" t="s">
        <v>428</v>
      </c>
      <c r="G4350" t="s">
        <v>428</v>
      </c>
      <c r="H4350" t="s">
        <v>5617</v>
      </c>
      <c r="I4350">
        <v>0</v>
      </c>
      <c r="J4350" t="s">
        <v>87</v>
      </c>
      <c r="K4350">
        <v>0</v>
      </c>
      <c r="L4350">
        <v>0</v>
      </c>
    </row>
    <row r="4351" spans="1:12">
      <c r="A4351" s="93">
        <v>448451</v>
      </c>
      <c r="B4351" t="s">
        <v>4823</v>
      </c>
      <c r="C4351" t="s">
        <v>5607</v>
      </c>
      <c r="D4351" s="92" t="s">
        <v>428</v>
      </c>
      <c r="E4351" s="92" t="s">
        <v>428</v>
      </c>
      <c r="F4351" t="s">
        <v>428</v>
      </c>
      <c r="G4351" t="s">
        <v>428</v>
      </c>
      <c r="H4351" t="s">
        <v>5617</v>
      </c>
      <c r="I4351">
        <v>0</v>
      </c>
      <c r="J4351" t="s">
        <v>87</v>
      </c>
      <c r="K4351">
        <v>0</v>
      </c>
      <c r="L4351">
        <v>0</v>
      </c>
    </row>
    <row r="4352" spans="1:12">
      <c r="A4352" s="93">
        <v>448460</v>
      </c>
      <c r="B4352" t="s">
        <v>4824</v>
      </c>
      <c r="C4352" t="s">
        <v>5606</v>
      </c>
      <c r="D4352" s="92" t="s">
        <v>428</v>
      </c>
      <c r="E4352" s="92" t="s">
        <v>428</v>
      </c>
      <c r="F4352" t="s">
        <v>428</v>
      </c>
      <c r="G4352" t="s">
        <v>428</v>
      </c>
      <c r="H4352" t="s">
        <v>5617</v>
      </c>
      <c r="I4352">
        <v>0</v>
      </c>
      <c r="J4352" t="s">
        <v>87</v>
      </c>
      <c r="K4352">
        <v>0</v>
      </c>
      <c r="L4352">
        <v>0</v>
      </c>
    </row>
    <row r="4353" spans="1:12">
      <c r="A4353" s="93">
        <v>448479</v>
      </c>
      <c r="B4353" t="s">
        <v>4825</v>
      </c>
      <c r="C4353" t="s">
        <v>5607</v>
      </c>
      <c r="D4353" s="92" t="s">
        <v>428</v>
      </c>
      <c r="E4353" s="92" t="s">
        <v>428</v>
      </c>
      <c r="F4353" t="s">
        <v>428</v>
      </c>
      <c r="G4353" t="s">
        <v>428</v>
      </c>
      <c r="H4353" t="s">
        <v>5617</v>
      </c>
      <c r="I4353">
        <v>0</v>
      </c>
      <c r="J4353" t="s">
        <v>87</v>
      </c>
      <c r="K4353">
        <v>0</v>
      </c>
      <c r="L4353">
        <v>0</v>
      </c>
    </row>
    <row r="4354" spans="1:12">
      <c r="A4354" s="93">
        <v>448488</v>
      </c>
      <c r="B4354" t="s">
        <v>4826</v>
      </c>
      <c r="C4354" t="s">
        <v>5607</v>
      </c>
      <c r="D4354" s="92" t="s">
        <v>428</v>
      </c>
      <c r="E4354" s="92" t="s">
        <v>428</v>
      </c>
      <c r="F4354" t="s">
        <v>428</v>
      </c>
      <c r="G4354" t="s">
        <v>428</v>
      </c>
      <c r="H4354" t="s">
        <v>5617</v>
      </c>
      <c r="I4354">
        <v>0</v>
      </c>
      <c r="J4354" t="s">
        <v>87</v>
      </c>
      <c r="K4354">
        <v>0</v>
      </c>
      <c r="L4354">
        <v>0</v>
      </c>
    </row>
    <row r="4355" spans="1:12">
      <c r="A4355" s="93">
        <v>448497</v>
      </c>
      <c r="B4355" t="s">
        <v>4827</v>
      </c>
      <c r="C4355" t="s">
        <v>5607</v>
      </c>
      <c r="D4355" s="92" t="s">
        <v>428</v>
      </c>
      <c r="E4355" s="92" t="s">
        <v>428</v>
      </c>
      <c r="F4355" t="s">
        <v>428</v>
      </c>
      <c r="G4355" t="s">
        <v>428</v>
      </c>
      <c r="H4355" t="s">
        <v>5617</v>
      </c>
      <c r="I4355">
        <v>0</v>
      </c>
      <c r="J4355" t="s">
        <v>87</v>
      </c>
      <c r="K4355">
        <v>0</v>
      </c>
      <c r="L4355">
        <v>0</v>
      </c>
    </row>
    <row r="4356" spans="1:12">
      <c r="A4356" s="93">
        <v>448503</v>
      </c>
      <c r="B4356" t="s">
        <v>4828</v>
      </c>
      <c r="C4356" t="s">
        <v>5607</v>
      </c>
      <c r="D4356" s="92">
        <v>0.25</v>
      </c>
      <c r="E4356" s="92">
        <v>0</v>
      </c>
      <c r="F4356" t="s">
        <v>428</v>
      </c>
      <c r="G4356" t="s">
        <v>428</v>
      </c>
      <c r="H4356" t="s">
        <v>5617</v>
      </c>
      <c r="I4356">
        <v>0</v>
      </c>
      <c r="J4356" t="s">
        <v>87</v>
      </c>
      <c r="K4356">
        <v>0</v>
      </c>
      <c r="L4356">
        <v>0</v>
      </c>
    </row>
    <row r="4357" spans="1:12">
      <c r="A4357" s="93">
        <v>448512</v>
      </c>
      <c r="B4357" t="s">
        <v>4829</v>
      </c>
      <c r="C4357" t="s">
        <v>5607</v>
      </c>
      <c r="D4357" s="92" t="s">
        <v>428</v>
      </c>
      <c r="E4357" s="92" t="s">
        <v>428</v>
      </c>
      <c r="F4357" t="s">
        <v>428</v>
      </c>
      <c r="G4357" t="s">
        <v>428</v>
      </c>
      <c r="H4357" t="s">
        <v>5617</v>
      </c>
      <c r="I4357">
        <v>0</v>
      </c>
      <c r="J4357" t="s">
        <v>87</v>
      </c>
      <c r="K4357">
        <v>0</v>
      </c>
      <c r="L4357">
        <v>0</v>
      </c>
    </row>
    <row r="4358" spans="1:12">
      <c r="A4358" s="93">
        <v>448567</v>
      </c>
      <c r="B4358" t="s">
        <v>4830</v>
      </c>
      <c r="C4358" t="s">
        <v>5607</v>
      </c>
      <c r="D4358" s="92">
        <v>0.11</v>
      </c>
      <c r="E4358" s="92">
        <v>0.13</v>
      </c>
      <c r="F4358" t="s">
        <v>428</v>
      </c>
      <c r="G4358" t="s">
        <v>428</v>
      </c>
      <c r="H4358" t="s">
        <v>5617</v>
      </c>
      <c r="I4358">
        <v>0</v>
      </c>
      <c r="J4358" t="s">
        <v>87</v>
      </c>
      <c r="K4358">
        <v>0</v>
      </c>
      <c r="L4358">
        <v>0</v>
      </c>
    </row>
    <row r="4359" spans="1:12">
      <c r="A4359" s="93">
        <v>448576</v>
      </c>
      <c r="B4359" t="s">
        <v>4831</v>
      </c>
      <c r="C4359" t="s">
        <v>5604</v>
      </c>
      <c r="D4359" s="92">
        <v>0.27</v>
      </c>
      <c r="E4359" s="92">
        <v>0.3</v>
      </c>
      <c r="F4359" t="s">
        <v>428</v>
      </c>
      <c r="G4359" t="s">
        <v>428</v>
      </c>
      <c r="H4359" t="s">
        <v>5617</v>
      </c>
      <c r="I4359">
        <v>0</v>
      </c>
      <c r="J4359" t="s">
        <v>87</v>
      </c>
      <c r="K4359">
        <v>0</v>
      </c>
      <c r="L4359">
        <v>0</v>
      </c>
    </row>
    <row r="4360" spans="1:12">
      <c r="A4360" s="93">
        <v>448585</v>
      </c>
      <c r="B4360" t="s">
        <v>4832</v>
      </c>
      <c r="C4360" t="s">
        <v>5604</v>
      </c>
      <c r="D4360" s="92" t="s">
        <v>428</v>
      </c>
      <c r="E4360" s="92" t="s">
        <v>428</v>
      </c>
      <c r="F4360" t="s">
        <v>428</v>
      </c>
      <c r="G4360" t="s">
        <v>428</v>
      </c>
      <c r="H4360" t="s">
        <v>5617</v>
      </c>
      <c r="I4360">
        <v>0</v>
      </c>
      <c r="J4360" t="s">
        <v>87</v>
      </c>
      <c r="K4360">
        <v>0</v>
      </c>
      <c r="L4360">
        <v>0</v>
      </c>
    </row>
    <row r="4361" spans="1:12">
      <c r="A4361" s="93">
        <v>448594</v>
      </c>
      <c r="B4361" t="s">
        <v>4833</v>
      </c>
      <c r="C4361" t="s">
        <v>5606</v>
      </c>
      <c r="D4361" s="92">
        <v>0.33</v>
      </c>
      <c r="E4361" s="92">
        <v>0.26</v>
      </c>
      <c r="F4361" t="s">
        <v>428</v>
      </c>
      <c r="G4361" t="s">
        <v>428</v>
      </c>
      <c r="H4361" t="s">
        <v>5615</v>
      </c>
      <c r="I4361">
        <v>0</v>
      </c>
      <c r="J4361" t="s">
        <v>87</v>
      </c>
      <c r="K4361">
        <v>0</v>
      </c>
      <c r="L4361">
        <v>0</v>
      </c>
    </row>
    <row r="4362" spans="1:12">
      <c r="A4362" s="93">
        <v>448600</v>
      </c>
      <c r="B4362" t="s">
        <v>4834</v>
      </c>
      <c r="C4362" t="s">
        <v>5606</v>
      </c>
      <c r="D4362" s="92" t="s">
        <v>428</v>
      </c>
      <c r="E4362" s="92" t="s">
        <v>428</v>
      </c>
      <c r="F4362" t="s">
        <v>428</v>
      </c>
      <c r="G4362" t="s">
        <v>428</v>
      </c>
      <c r="H4362" t="s">
        <v>5617</v>
      </c>
      <c r="I4362">
        <v>0</v>
      </c>
      <c r="J4362" t="s">
        <v>87</v>
      </c>
      <c r="K4362">
        <v>0</v>
      </c>
      <c r="L4362">
        <v>0</v>
      </c>
    </row>
    <row r="4363" spans="1:12">
      <c r="A4363" s="93">
        <v>448619</v>
      </c>
      <c r="B4363" t="s">
        <v>4835</v>
      </c>
      <c r="C4363" t="s">
        <v>5606</v>
      </c>
      <c r="D4363" s="92" t="s">
        <v>428</v>
      </c>
      <c r="E4363" s="92" t="s">
        <v>428</v>
      </c>
      <c r="F4363" t="s">
        <v>428</v>
      </c>
      <c r="G4363" t="s">
        <v>428</v>
      </c>
      <c r="H4363" t="s">
        <v>5616</v>
      </c>
      <c r="I4363">
        <v>0</v>
      </c>
      <c r="J4363" t="s">
        <v>87</v>
      </c>
      <c r="K4363">
        <v>0</v>
      </c>
      <c r="L4363">
        <v>0</v>
      </c>
    </row>
    <row r="4364" spans="1:12">
      <c r="A4364" s="93">
        <v>448664</v>
      </c>
      <c r="B4364" t="s">
        <v>4836</v>
      </c>
      <c r="C4364" t="s">
        <v>5606</v>
      </c>
      <c r="D4364" s="92" t="s">
        <v>428</v>
      </c>
      <c r="E4364" s="92" t="s">
        <v>428</v>
      </c>
      <c r="F4364" t="s">
        <v>428</v>
      </c>
      <c r="G4364" t="s">
        <v>428</v>
      </c>
      <c r="H4364" t="s">
        <v>5617</v>
      </c>
      <c r="I4364">
        <v>0</v>
      </c>
      <c r="J4364" t="s">
        <v>87</v>
      </c>
      <c r="K4364">
        <v>0</v>
      </c>
      <c r="L4364">
        <v>0</v>
      </c>
    </row>
    <row r="4365" spans="1:12">
      <c r="A4365" s="93">
        <v>448673</v>
      </c>
      <c r="B4365" t="s">
        <v>4837</v>
      </c>
      <c r="C4365" t="s">
        <v>5604</v>
      </c>
      <c r="D4365" s="92" t="s">
        <v>428</v>
      </c>
      <c r="E4365" s="92" t="s">
        <v>428</v>
      </c>
      <c r="F4365" t="s">
        <v>428</v>
      </c>
      <c r="G4365" t="s">
        <v>428</v>
      </c>
      <c r="H4365" t="s">
        <v>5617</v>
      </c>
      <c r="I4365">
        <v>0</v>
      </c>
      <c r="J4365" t="s">
        <v>87</v>
      </c>
      <c r="K4365">
        <v>0</v>
      </c>
      <c r="L4365">
        <v>0</v>
      </c>
    </row>
    <row r="4366" spans="1:12">
      <c r="A4366" s="93">
        <v>448691</v>
      </c>
      <c r="B4366" t="s">
        <v>4838</v>
      </c>
      <c r="C4366" t="s">
        <v>5607</v>
      </c>
      <c r="D4366" s="92" t="s">
        <v>428</v>
      </c>
      <c r="E4366" s="92" t="s">
        <v>428</v>
      </c>
      <c r="F4366" t="s">
        <v>428</v>
      </c>
      <c r="G4366" t="s">
        <v>428</v>
      </c>
      <c r="H4366" t="s">
        <v>5615</v>
      </c>
      <c r="I4366">
        <v>0</v>
      </c>
      <c r="J4366" t="s">
        <v>87</v>
      </c>
      <c r="K4366">
        <v>0</v>
      </c>
      <c r="L4366">
        <v>0</v>
      </c>
    </row>
    <row r="4367" spans="1:12">
      <c r="A4367" s="93">
        <v>448734</v>
      </c>
      <c r="B4367" t="s">
        <v>4839</v>
      </c>
      <c r="C4367" t="s">
        <v>5604</v>
      </c>
      <c r="D4367" s="92">
        <v>0.29</v>
      </c>
      <c r="E4367" s="92">
        <v>0.25</v>
      </c>
      <c r="F4367" t="s">
        <v>428</v>
      </c>
      <c r="G4367" t="s">
        <v>428</v>
      </c>
      <c r="H4367" t="s">
        <v>5617</v>
      </c>
      <c r="I4367">
        <v>0</v>
      </c>
      <c r="J4367" t="s">
        <v>87</v>
      </c>
      <c r="K4367">
        <v>0</v>
      </c>
      <c r="L4367">
        <v>0</v>
      </c>
    </row>
    <row r="4368" spans="1:12">
      <c r="A4368" s="93">
        <v>448752</v>
      </c>
      <c r="B4368" t="s">
        <v>4840</v>
      </c>
      <c r="C4368" t="s">
        <v>5604</v>
      </c>
      <c r="D4368" s="92">
        <v>0.26</v>
      </c>
      <c r="E4368" s="92">
        <v>0.26</v>
      </c>
      <c r="F4368" t="s">
        <v>428</v>
      </c>
      <c r="G4368" t="s">
        <v>428</v>
      </c>
      <c r="H4368" t="s">
        <v>5617</v>
      </c>
      <c r="I4368">
        <v>0</v>
      </c>
      <c r="J4368" t="s">
        <v>87</v>
      </c>
      <c r="K4368">
        <v>0</v>
      </c>
      <c r="L4368">
        <v>0</v>
      </c>
    </row>
    <row r="4369" spans="1:12">
      <c r="A4369" s="93">
        <v>448761</v>
      </c>
      <c r="B4369" t="s">
        <v>4841</v>
      </c>
      <c r="C4369" t="s">
        <v>5604</v>
      </c>
      <c r="D4369" s="92">
        <v>0.23</v>
      </c>
      <c r="E4369" s="92">
        <v>0.11</v>
      </c>
      <c r="F4369" t="s">
        <v>428</v>
      </c>
      <c r="G4369" t="s">
        <v>428</v>
      </c>
      <c r="H4369" t="s">
        <v>5617</v>
      </c>
      <c r="I4369">
        <v>0</v>
      </c>
      <c r="J4369" t="s">
        <v>87</v>
      </c>
      <c r="K4369">
        <v>0</v>
      </c>
      <c r="L4369">
        <v>0</v>
      </c>
    </row>
    <row r="4370" spans="1:12">
      <c r="A4370" s="93">
        <v>448770</v>
      </c>
      <c r="B4370" t="s">
        <v>4842</v>
      </c>
      <c r="C4370" t="s">
        <v>5606</v>
      </c>
      <c r="D4370" s="92" t="s">
        <v>428</v>
      </c>
      <c r="E4370" s="92" t="s">
        <v>428</v>
      </c>
      <c r="F4370" t="s">
        <v>428</v>
      </c>
      <c r="G4370" t="s">
        <v>428</v>
      </c>
      <c r="H4370" t="s">
        <v>5616</v>
      </c>
      <c r="I4370">
        <v>0</v>
      </c>
      <c r="J4370" t="s">
        <v>87</v>
      </c>
      <c r="K4370">
        <v>0</v>
      </c>
      <c r="L4370">
        <v>0</v>
      </c>
    </row>
    <row r="4371" spans="1:12">
      <c r="A4371" s="93">
        <v>448822</v>
      </c>
      <c r="B4371" t="s">
        <v>4843</v>
      </c>
      <c r="C4371" t="s">
        <v>5607</v>
      </c>
      <c r="D4371" s="92">
        <v>0.5</v>
      </c>
      <c r="E4371" s="92">
        <v>0.5</v>
      </c>
      <c r="F4371" t="s">
        <v>428</v>
      </c>
      <c r="G4371" t="s">
        <v>428</v>
      </c>
      <c r="H4371" t="s">
        <v>5617</v>
      </c>
      <c r="I4371">
        <v>0</v>
      </c>
      <c r="J4371" t="s">
        <v>87</v>
      </c>
      <c r="K4371">
        <v>0</v>
      </c>
      <c r="L4371">
        <v>0</v>
      </c>
    </row>
    <row r="4372" spans="1:12">
      <c r="A4372" s="93">
        <v>448840</v>
      </c>
      <c r="B4372" t="s">
        <v>4844</v>
      </c>
      <c r="C4372" t="s">
        <v>5603</v>
      </c>
      <c r="D4372" s="92">
        <v>0.36</v>
      </c>
      <c r="E4372" s="92">
        <v>0.3</v>
      </c>
      <c r="F4372">
        <v>24</v>
      </c>
      <c r="G4372">
        <v>25.5</v>
      </c>
      <c r="H4372" t="s">
        <v>5615</v>
      </c>
      <c r="I4372">
        <v>0</v>
      </c>
      <c r="J4372" t="s">
        <v>87</v>
      </c>
      <c r="K4372">
        <v>0</v>
      </c>
      <c r="L4372">
        <v>0</v>
      </c>
    </row>
    <row r="4373" spans="1:12">
      <c r="A4373" s="93">
        <v>448859</v>
      </c>
      <c r="B4373" t="s">
        <v>4845</v>
      </c>
      <c r="C4373" t="s">
        <v>5606</v>
      </c>
      <c r="D4373" s="92" t="s">
        <v>428</v>
      </c>
      <c r="E4373" s="92" t="s">
        <v>428</v>
      </c>
      <c r="F4373" t="s">
        <v>428</v>
      </c>
      <c r="G4373" t="s">
        <v>428</v>
      </c>
      <c r="H4373" t="s">
        <v>5617</v>
      </c>
      <c r="I4373">
        <v>0</v>
      </c>
      <c r="J4373" t="s">
        <v>87</v>
      </c>
      <c r="K4373">
        <v>0</v>
      </c>
      <c r="L4373">
        <v>0</v>
      </c>
    </row>
    <row r="4374" spans="1:12">
      <c r="A4374" s="93">
        <v>448886</v>
      </c>
      <c r="B4374" t="s">
        <v>4846</v>
      </c>
      <c r="C4374" t="s">
        <v>5602</v>
      </c>
      <c r="D4374" s="92">
        <v>0.64</v>
      </c>
      <c r="E4374" s="92">
        <v>0.58</v>
      </c>
      <c r="F4374">
        <v>21</v>
      </c>
      <c r="G4374">
        <v>23.5</v>
      </c>
      <c r="H4374" t="s">
        <v>5615</v>
      </c>
      <c r="I4374">
        <v>0</v>
      </c>
      <c r="J4374" t="s">
        <v>87</v>
      </c>
      <c r="K4374">
        <v>0</v>
      </c>
      <c r="L4374">
        <v>0</v>
      </c>
    </row>
    <row r="4375" spans="1:12">
      <c r="A4375" s="93">
        <v>449010</v>
      </c>
      <c r="B4375" t="s">
        <v>4847</v>
      </c>
      <c r="C4375" t="s">
        <v>5604</v>
      </c>
      <c r="D4375" s="92">
        <v>0.35</v>
      </c>
      <c r="E4375" s="92">
        <v>0.32</v>
      </c>
      <c r="F4375" t="s">
        <v>428</v>
      </c>
      <c r="G4375" t="s">
        <v>428</v>
      </c>
      <c r="H4375" t="s">
        <v>5617</v>
      </c>
      <c r="I4375">
        <v>0</v>
      </c>
      <c r="J4375" t="s">
        <v>87</v>
      </c>
      <c r="K4375">
        <v>0</v>
      </c>
      <c r="L4375">
        <v>0</v>
      </c>
    </row>
    <row r="4376" spans="1:12">
      <c r="A4376" s="93">
        <v>449038</v>
      </c>
      <c r="B4376" t="s">
        <v>4848</v>
      </c>
      <c r="C4376" t="s">
        <v>5604</v>
      </c>
      <c r="D4376" s="92">
        <v>0.25</v>
      </c>
      <c r="E4376" s="92">
        <v>0.25</v>
      </c>
      <c r="F4376" t="s">
        <v>428</v>
      </c>
      <c r="G4376" t="s">
        <v>428</v>
      </c>
      <c r="H4376" t="s">
        <v>5617</v>
      </c>
      <c r="I4376">
        <v>0</v>
      </c>
      <c r="J4376" t="s">
        <v>87</v>
      </c>
      <c r="K4376">
        <v>0</v>
      </c>
      <c r="L4376">
        <v>0</v>
      </c>
    </row>
    <row r="4377" spans="1:12">
      <c r="A4377" s="93">
        <v>449074</v>
      </c>
      <c r="B4377" t="s">
        <v>4849</v>
      </c>
      <c r="C4377" t="s">
        <v>5606</v>
      </c>
      <c r="D4377" s="92">
        <v>0.74</v>
      </c>
      <c r="E4377" s="92">
        <v>0.64</v>
      </c>
      <c r="F4377" t="s">
        <v>428</v>
      </c>
      <c r="G4377" t="s">
        <v>428</v>
      </c>
      <c r="H4377" t="s">
        <v>5617</v>
      </c>
      <c r="I4377">
        <v>0</v>
      </c>
      <c r="J4377" t="s">
        <v>87</v>
      </c>
      <c r="K4377">
        <v>0</v>
      </c>
      <c r="L4377">
        <v>0</v>
      </c>
    </row>
    <row r="4378" spans="1:12">
      <c r="A4378" s="93">
        <v>449083</v>
      </c>
      <c r="B4378" t="s">
        <v>4850</v>
      </c>
      <c r="C4378" t="s">
        <v>5606</v>
      </c>
      <c r="D4378" s="92" t="s">
        <v>428</v>
      </c>
      <c r="E4378" s="92" t="s">
        <v>428</v>
      </c>
      <c r="F4378" t="s">
        <v>428</v>
      </c>
      <c r="G4378" t="s">
        <v>428</v>
      </c>
      <c r="H4378" t="s">
        <v>5617</v>
      </c>
      <c r="I4378">
        <v>0</v>
      </c>
      <c r="J4378" t="s">
        <v>87</v>
      </c>
      <c r="K4378">
        <v>0</v>
      </c>
      <c r="L4378">
        <v>0</v>
      </c>
    </row>
    <row r="4379" spans="1:12">
      <c r="A4379" s="93">
        <v>449092</v>
      </c>
      <c r="B4379" t="s">
        <v>4851</v>
      </c>
      <c r="C4379" t="s">
        <v>5606</v>
      </c>
      <c r="D4379" s="92" t="s">
        <v>428</v>
      </c>
      <c r="E4379" s="92" t="s">
        <v>428</v>
      </c>
      <c r="F4379" t="s">
        <v>428</v>
      </c>
      <c r="G4379" t="s">
        <v>428</v>
      </c>
      <c r="H4379" t="s">
        <v>5617</v>
      </c>
      <c r="I4379">
        <v>0</v>
      </c>
      <c r="J4379" t="s">
        <v>87</v>
      </c>
      <c r="K4379">
        <v>0</v>
      </c>
      <c r="L4379">
        <v>0</v>
      </c>
    </row>
    <row r="4380" spans="1:12">
      <c r="A4380" s="93">
        <v>449117</v>
      </c>
      <c r="B4380" t="s">
        <v>4852</v>
      </c>
      <c r="C4380" t="s">
        <v>5606</v>
      </c>
      <c r="D4380" s="92" t="s">
        <v>428</v>
      </c>
      <c r="E4380" s="92" t="s">
        <v>428</v>
      </c>
      <c r="F4380" t="s">
        <v>428</v>
      </c>
      <c r="G4380" t="s">
        <v>428</v>
      </c>
      <c r="H4380" t="s">
        <v>5617</v>
      </c>
      <c r="I4380">
        <v>0</v>
      </c>
      <c r="J4380" t="s">
        <v>87</v>
      </c>
      <c r="K4380">
        <v>0</v>
      </c>
      <c r="L4380">
        <v>0</v>
      </c>
    </row>
    <row r="4381" spans="1:12">
      <c r="A4381" s="93">
        <v>449126</v>
      </c>
      <c r="B4381" t="s">
        <v>4853</v>
      </c>
      <c r="C4381" t="s">
        <v>5606</v>
      </c>
      <c r="D4381" s="92" t="s">
        <v>428</v>
      </c>
      <c r="E4381" s="92" t="s">
        <v>428</v>
      </c>
      <c r="F4381" t="s">
        <v>428</v>
      </c>
      <c r="G4381" t="s">
        <v>428</v>
      </c>
      <c r="H4381" t="s">
        <v>5617</v>
      </c>
      <c r="I4381">
        <v>0</v>
      </c>
      <c r="J4381" t="s">
        <v>87</v>
      </c>
      <c r="K4381">
        <v>0</v>
      </c>
      <c r="L4381">
        <v>0</v>
      </c>
    </row>
    <row r="4382" spans="1:12">
      <c r="A4382" s="93">
        <v>449135</v>
      </c>
      <c r="B4382" t="s">
        <v>4854</v>
      </c>
      <c r="C4382" t="s">
        <v>5604</v>
      </c>
      <c r="D4382" s="92">
        <v>0.16</v>
      </c>
      <c r="E4382" s="92">
        <v>0.16</v>
      </c>
      <c r="F4382" t="s">
        <v>428</v>
      </c>
      <c r="G4382" t="s">
        <v>428</v>
      </c>
      <c r="H4382" t="s">
        <v>5624</v>
      </c>
      <c r="I4382">
        <v>1</v>
      </c>
      <c r="J4382" t="s">
        <v>87</v>
      </c>
      <c r="K4382">
        <v>0</v>
      </c>
      <c r="L4382">
        <v>0</v>
      </c>
    </row>
    <row r="4383" spans="1:12">
      <c r="A4383" s="93">
        <v>449144</v>
      </c>
      <c r="B4383" t="s">
        <v>4855</v>
      </c>
      <c r="C4383" t="s">
        <v>5606</v>
      </c>
      <c r="D4383" s="92" t="s">
        <v>428</v>
      </c>
      <c r="E4383" s="92" t="s">
        <v>428</v>
      </c>
      <c r="F4383" t="s">
        <v>428</v>
      </c>
      <c r="G4383" t="s">
        <v>428</v>
      </c>
      <c r="H4383" t="s">
        <v>5624</v>
      </c>
      <c r="I4383">
        <v>1</v>
      </c>
      <c r="J4383" t="s">
        <v>87</v>
      </c>
      <c r="K4383">
        <v>0</v>
      </c>
      <c r="L4383">
        <v>0</v>
      </c>
    </row>
    <row r="4384" spans="1:12">
      <c r="A4384" s="93">
        <v>449250</v>
      </c>
      <c r="B4384" t="s">
        <v>4856</v>
      </c>
      <c r="C4384" t="s">
        <v>5606</v>
      </c>
      <c r="D4384" s="92" t="s">
        <v>428</v>
      </c>
      <c r="E4384" s="92" t="s">
        <v>428</v>
      </c>
      <c r="F4384" t="s">
        <v>428</v>
      </c>
      <c r="G4384" t="s">
        <v>428</v>
      </c>
      <c r="H4384" t="s">
        <v>5617</v>
      </c>
      <c r="I4384">
        <v>0</v>
      </c>
      <c r="J4384" t="s">
        <v>87</v>
      </c>
      <c r="K4384">
        <v>0</v>
      </c>
      <c r="L4384">
        <v>0</v>
      </c>
    </row>
    <row r="4385" spans="1:12">
      <c r="A4385" s="93">
        <v>449302</v>
      </c>
      <c r="B4385" t="s">
        <v>4857</v>
      </c>
      <c r="C4385" t="s">
        <v>5606</v>
      </c>
      <c r="D4385" s="92" t="s">
        <v>428</v>
      </c>
      <c r="E4385" s="92" t="s">
        <v>428</v>
      </c>
      <c r="F4385" t="s">
        <v>428</v>
      </c>
      <c r="G4385" t="s">
        <v>428</v>
      </c>
      <c r="H4385" t="s">
        <v>5617</v>
      </c>
      <c r="I4385">
        <v>0</v>
      </c>
      <c r="J4385" t="s">
        <v>87</v>
      </c>
      <c r="K4385">
        <v>0</v>
      </c>
      <c r="L4385">
        <v>0</v>
      </c>
    </row>
    <row r="4386" spans="1:12">
      <c r="A4386" s="93">
        <v>449339</v>
      </c>
      <c r="B4386" t="s">
        <v>4858</v>
      </c>
      <c r="C4386" t="s">
        <v>5604</v>
      </c>
      <c r="D4386" s="92">
        <v>0.32</v>
      </c>
      <c r="E4386" s="92">
        <v>0.22</v>
      </c>
      <c r="F4386" t="s">
        <v>428</v>
      </c>
      <c r="G4386" t="s">
        <v>428</v>
      </c>
      <c r="H4386" t="s">
        <v>5616</v>
      </c>
      <c r="I4386">
        <v>0</v>
      </c>
      <c r="J4386" t="s">
        <v>87</v>
      </c>
      <c r="K4386">
        <v>0</v>
      </c>
      <c r="L4386">
        <v>0</v>
      </c>
    </row>
    <row r="4387" spans="1:12">
      <c r="A4387" s="93">
        <v>449348</v>
      </c>
      <c r="B4387" t="s">
        <v>4859</v>
      </c>
      <c r="C4387" t="s">
        <v>5604</v>
      </c>
      <c r="D4387" s="92">
        <v>1</v>
      </c>
      <c r="E4387" s="92">
        <v>1</v>
      </c>
      <c r="F4387" t="s">
        <v>428</v>
      </c>
      <c r="G4387" t="s">
        <v>428</v>
      </c>
      <c r="H4387" t="s">
        <v>5615</v>
      </c>
      <c r="I4387">
        <v>0</v>
      </c>
      <c r="J4387" t="s">
        <v>87</v>
      </c>
      <c r="K4387">
        <v>0</v>
      </c>
      <c r="L4387">
        <v>0</v>
      </c>
    </row>
    <row r="4388" spans="1:12">
      <c r="A4388" s="93">
        <v>449384</v>
      </c>
      <c r="B4388" t="s">
        <v>4860</v>
      </c>
      <c r="C4388" t="s">
        <v>5607</v>
      </c>
      <c r="D4388" s="92">
        <v>0.31</v>
      </c>
      <c r="E4388" s="92">
        <v>0</v>
      </c>
      <c r="F4388" t="s">
        <v>428</v>
      </c>
      <c r="G4388" t="s">
        <v>428</v>
      </c>
      <c r="H4388" t="s">
        <v>5617</v>
      </c>
      <c r="I4388">
        <v>0</v>
      </c>
      <c r="J4388" t="s">
        <v>87</v>
      </c>
      <c r="K4388">
        <v>0</v>
      </c>
      <c r="L4388">
        <v>0</v>
      </c>
    </row>
    <row r="4389" spans="1:12">
      <c r="A4389" s="93">
        <v>449445</v>
      </c>
      <c r="B4389" t="s">
        <v>4861</v>
      </c>
      <c r="C4389" t="s">
        <v>5606</v>
      </c>
      <c r="D4389" s="92" t="s">
        <v>428</v>
      </c>
      <c r="E4389" s="92" t="s">
        <v>428</v>
      </c>
      <c r="F4389" t="s">
        <v>428</v>
      </c>
      <c r="G4389" t="s">
        <v>428</v>
      </c>
      <c r="H4389" t="s">
        <v>5617</v>
      </c>
      <c r="I4389">
        <v>0</v>
      </c>
      <c r="J4389" t="s">
        <v>87</v>
      </c>
      <c r="K4389">
        <v>0</v>
      </c>
      <c r="L4389">
        <v>0</v>
      </c>
    </row>
    <row r="4390" spans="1:12">
      <c r="A4390" s="93">
        <v>449454</v>
      </c>
      <c r="B4390" t="s">
        <v>4862</v>
      </c>
      <c r="C4390" t="s">
        <v>5606</v>
      </c>
      <c r="D4390" s="92" t="s">
        <v>428</v>
      </c>
      <c r="E4390" s="92" t="s">
        <v>428</v>
      </c>
      <c r="F4390" t="s">
        <v>428</v>
      </c>
      <c r="G4390" t="s">
        <v>428</v>
      </c>
      <c r="H4390" t="s">
        <v>5617</v>
      </c>
      <c r="I4390">
        <v>0</v>
      </c>
      <c r="J4390" t="s">
        <v>87</v>
      </c>
      <c r="K4390">
        <v>0</v>
      </c>
      <c r="L4390">
        <v>0</v>
      </c>
    </row>
    <row r="4391" spans="1:12">
      <c r="A4391" s="93">
        <v>449481</v>
      </c>
      <c r="B4391" t="s">
        <v>4863</v>
      </c>
      <c r="C4391" t="s">
        <v>5607</v>
      </c>
      <c r="D4391" s="92" t="s">
        <v>428</v>
      </c>
      <c r="E4391" s="92" t="s">
        <v>428</v>
      </c>
      <c r="F4391" t="s">
        <v>428</v>
      </c>
      <c r="G4391" t="s">
        <v>428</v>
      </c>
      <c r="H4391" t="s">
        <v>5615</v>
      </c>
      <c r="I4391">
        <v>0</v>
      </c>
      <c r="J4391" t="s">
        <v>87</v>
      </c>
      <c r="K4391">
        <v>0</v>
      </c>
      <c r="L4391">
        <v>0</v>
      </c>
    </row>
    <row r="4392" spans="1:12">
      <c r="A4392" s="93">
        <v>449506</v>
      </c>
      <c r="B4392" t="s">
        <v>4864</v>
      </c>
      <c r="C4392" t="s">
        <v>5609</v>
      </c>
      <c r="D4392" s="92" t="s">
        <v>428</v>
      </c>
      <c r="E4392" s="92" t="s">
        <v>428</v>
      </c>
      <c r="F4392" t="s">
        <v>428</v>
      </c>
      <c r="G4392" t="s">
        <v>428</v>
      </c>
      <c r="H4392" t="s">
        <v>5617</v>
      </c>
      <c r="I4392">
        <v>0</v>
      </c>
      <c r="J4392" t="s">
        <v>87</v>
      </c>
      <c r="K4392">
        <v>0</v>
      </c>
      <c r="L4392">
        <v>0</v>
      </c>
    </row>
    <row r="4393" spans="1:12">
      <c r="A4393" s="93">
        <v>449524</v>
      </c>
      <c r="B4393" t="s">
        <v>4865</v>
      </c>
      <c r="C4393" t="s">
        <v>5606</v>
      </c>
      <c r="D4393" s="92" t="s">
        <v>428</v>
      </c>
      <c r="E4393" s="92" t="s">
        <v>428</v>
      </c>
      <c r="F4393" t="s">
        <v>428</v>
      </c>
      <c r="G4393" t="s">
        <v>428</v>
      </c>
      <c r="H4393" t="s">
        <v>5617</v>
      </c>
      <c r="I4393">
        <v>0</v>
      </c>
      <c r="J4393" t="s">
        <v>87</v>
      </c>
      <c r="K4393">
        <v>0</v>
      </c>
      <c r="L4393">
        <v>0</v>
      </c>
    </row>
    <row r="4394" spans="1:12">
      <c r="A4394" s="93">
        <v>449612</v>
      </c>
      <c r="B4394" t="s">
        <v>4866</v>
      </c>
      <c r="C4394" t="s">
        <v>5609</v>
      </c>
      <c r="D4394" s="92" t="s">
        <v>428</v>
      </c>
      <c r="E4394" s="92" t="s">
        <v>428</v>
      </c>
      <c r="F4394" t="s">
        <v>428</v>
      </c>
      <c r="G4394" t="s">
        <v>428</v>
      </c>
      <c r="H4394" t="s">
        <v>5617</v>
      </c>
      <c r="I4394">
        <v>0</v>
      </c>
      <c r="J4394" t="s">
        <v>87</v>
      </c>
      <c r="K4394">
        <v>0</v>
      </c>
      <c r="L4394">
        <v>0</v>
      </c>
    </row>
    <row r="4395" spans="1:12">
      <c r="A4395" s="93">
        <v>449658</v>
      </c>
      <c r="B4395" t="s">
        <v>4867</v>
      </c>
      <c r="C4395" t="s">
        <v>5607</v>
      </c>
      <c r="D4395" s="92">
        <v>0.13</v>
      </c>
      <c r="E4395" s="92" t="s">
        <v>428</v>
      </c>
      <c r="F4395" t="s">
        <v>428</v>
      </c>
      <c r="G4395" t="s">
        <v>428</v>
      </c>
      <c r="H4395" t="s">
        <v>5624</v>
      </c>
      <c r="I4395">
        <v>1</v>
      </c>
      <c r="J4395" t="s">
        <v>87</v>
      </c>
      <c r="K4395">
        <v>0</v>
      </c>
      <c r="L4395">
        <v>0</v>
      </c>
    </row>
    <row r="4396" spans="1:12">
      <c r="A4396" s="93">
        <v>449728</v>
      </c>
      <c r="B4396" t="s">
        <v>4868</v>
      </c>
      <c r="C4396" t="s">
        <v>5606</v>
      </c>
      <c r="D4396" s="92" t="s">
        <v>428</v>
      </c>
      <c r="E4396" s="92" t="s">
        <v>428</v>
      </c>
      <c r="F4396" t="s">
        <v>428</v>
      </c>
      <c r="G4396" t="s">
        <v>428</v>
      </c>
      <c r="H4396" t="s">
        <v>5613</v>
      </c>
      <c r="I4396">
        <v>1</v>
      </c>
      <c r="J4396" t="s">
        <v>87</v>
      </c>
      <c r="K4396">
        <v>0</v>
      </c>
      <c r="L4396">
        <v>0</v>
      </c>
    </row>
    <row r="4397" spans="1:12">
      <c r="A4397" s="93">
        <v>449764</v>
      </c>
      <c r="B4397" t="s">
        <v>4869</v>
      </c>
      <c r="C4397" t="s">
        <v>5604</v>
      </c>
      <c r="D4397" s="92">
        <v>0.45</v>
      </c>
      <c r="E4397" s="92">
        <v>0.12</v>
      </c>
      <c r="F4397">
        <v>18</v>
      </c>
      <c r="G4397">
        <v>21.5</v>
      </c>
      <c r="H4397" t="s">
        <v>5617</v>
      </c>
      <c r="I4397">
        <v>0</v>
      </c>
      <c r="J4397" t="s">
        <v>87</v>
      </c>
      <c r="K4397">
        <v>0</v>
      </c>
      <c r="L4397">
        <v>0</v>
      </c>
    </row>
    <row r="4398" spans="1:12">
      <c r="A4398" s="93">
        <v>449834</v>
      </c>
      <c r="B4398" t="s">
        <v>4870</v>
      </c>
      <c r="C4398" t="s">
        <v>5607</v>
      </c>
      <c r="D4398" s="92" t="s">
        <v>428</v>
      </c>
      <c r="E4398" s="92" t="s">
        <v>428</v>
      </c>
      <c r="F4398" t="s">
        <v>428</v>
      </c>
      <c r="G4398" t="s">
        <v>428</v>
      </c>
      <c r="H4398" t="s">
        <v>5615</v>
      </c>
      <c r="I4398">
        <v>0</v>
      </c>
      <c r="J4398" t="s">
        <v>87</v>
      </c>
      <c r="K4398">
        <v>0</v>
      </c>
      <c r="L4398">
        <v>0</v>
      </c>
    </row>
    <row r="4399" spans="1:12">
      <c r="A4399" s="93">
        <v>449852</v>
      </c>
      <c r="B4399" t="s">
        <v>2290</v>
      </c>
      <c r="C4399" t="s">
        <v>5606</v>
      </c>
      <c r="D4399" s="92" t="s">
        <v>428</v>
      </c>
      <c r="E4399" s="92" t="s">
        <v>428</v>
      </c>
      <c r="F4399" t="s">
        <v>428</v>
      </c>
      <c r="G4399" t="s">
        <v>428</v>
      </c>
      <c r="H4399" t="s">
        <v>5616</v>
      </c>
      <c r="I4399">
        <v>0</v>
      </c>
      <c r="J4399" t="s">
        <v>87</v>
      </c>
      <c r="K4399">
        <v>0</v>
      </c>
      <c r="L4399">
        <v>0</v>
      </c>
    </row>
    <row r="4400" spans="1:12">
      <c r="A4400" s="93">
        <v>449861</v>
      </c>
      <c r="B4400" t="s">
        <v>4871</v>
      </c>
      <c r="C4400" t="s">
        <v>5609</v>
      </c>
      <c r="D4400" s="92" t="s">
        <v>428</v>
      </c>
      <c r="E4400" s="92" t="s">
        <v>428</v>
      </c>
      <c r="F4400" t="s">
        <v>428</v>
      </c>
      <c r="G4400" t="s">
        <v>428</v>
      </c>
      <c r="H4400" t="s">
        <v>5617</v>
      </c>
      <c r="I4400">
        <v>0</v>
      </c>
      <c r="J4400" t="s">
        <v>87</v>
      </c>
      <c r="K4400">
        <v>0</v>
      </c>
      <c r="L4400">
        <v>0</v>
      </c>
    </row>
    <row r="4401" spans="1:12">
      <c r="A4401" s="93">
        <v>449870</v>
      </c>
      <c r="B4401" t="s">
        <v>4872</v>
      </c>
      <c r="C4401" t="s">
        <v>5604</v>
      </c>
      <c r="D4401" s="92">
        <v>0.57</v>
      </c>
      <c r="E4401" s="92" t="s">
        <v>428</v>
      </c>
      <c r="F4401" t="s">
        <v>428</v>
      </c>
      <c r="G4401" t="s">
        <v>428</v>
      </c>
      <c r="H4401" t="s">
        <v>5616</v>
      </c>
      <c r="I4401">
        <v>0</v>
      </c>
      <c r="J4401" t="s">
        <v>87</v>
      </c>
      <c r="K4401">
        <v>0</v>
      </c>
      <c r="L4401">
        <v>0</v>
      </c>
    </row>
    <row r="4402" spans="1:12">
      <c r="A4402" s="93">
        <v>449889</v>
      </c>
      <c r="B4402" t="s">
        <v>4873</v>
      </c>
      <c r="C4402" t="s">
        <v>5607</v>
      </c>
      <c r="D4402" s="92" t="s">
        <v>428</v>
      </c>
      <c r="E4402" s="92" t="s">
        <v>428</v>
      </c>
      <c r="F4402" t="s">
        <v>428</v>
      </c>
      <c r="G4402" t="s">
        <v>428</v>
      </c>
      <c r="H4402" t="s">
        <v>5615</v>
      </c>
      <c r="I4402">
        <v>0</v>
      </c>
      <c r="J4402" t="s">
        <v>87</v>
      </c>
      <c r="K4402">
        <v>0</v>
      </c>
      <c r="L4402">
        <v>0</v>
      </c>
    </row>
    <row r="4403" spans="1:12">
      <c r="A4403" s="93">
        <v>449898</v>
      </c>
      <c r="B4403" t="s">
        <v>4874</v>
      </c>
      <c r="C4403" t="s">
        <v>5604</v>
      </c>
      <c r="D4403" s="92">
        <v>0.12</v>
      </c>
      <c r="E4403" s="92">
        <v>0.1</v>
      </c>
      <c r="F4403" t="s">
        <v>428</v>
      </c>
      <c r="G4403" t="s">
        <v>428</v>
      </c>
      <c r="H4403" t="s">
        <v>5617</v>
      </c>
      <c r="I4403">
        <v>0</v>
      </c>
      <c r="J4403" t="s">
        <v>87</v>
      </c>
      <c r="K4403">
        <v>0</v>
      </c>
      <c r="L4403">
        <v>0</v>
      </c>
    </row>
    <row r="4404" spans="1:12">
      <c r="A4404" s="93">
        <v>449922</v>
      </c>
      <c r="B4404" t="s">
        <v>4875</v>
      </c>
      <c r="C4404" t="s">
        <v>5607</v>
      </c>
      <c r="D4404" s="92" t="s">
        <v>428</v>
      </c>
      <c r="E4404" s="92" t="s">
        <v>428</v>
      </c>
      <c r="F4404" t="s">
        <v>428</v>
      </c>
      <c r="G4404" t="s">
        <v>428</v>
      </c>
      <c r="H4404" t="s">
        <v>5615</v>
      </c>
      <c r="I4404">
        <v>0</v>
      </c>
      <c r="J4404" t="s">
        <v>87</v>
      </c>
      <c r="K4404">
        <v>0</v>
      </c>
      <c r="L4404">
        <v>0</v>
      </c>
    </row>
    <row r="4405" spans="1:12">
      <c r="A4405" s="93">
        <v>449931</v>
      </c>
      <c r="B4405" t="s">
        <v>4876</v>
      </c>
      <c r="C4405" t="s">
        <v>5607</v>
      </c>
      <c r="D4405" s="92">
        <v>1</v>
      </c>
      <c r="E4405" s="92" t="s">
        <v>428</v>
      </c>
      <c r="F4405" t="s">
        <v>428</v>
      </c>
      <c r="G4405" t="s">
        <v>428</v>
      </c>
      <c r="H4405" t="s">
        <v>5617</v>
      </c>
      <c r="I4405">
        <v>0</v>
      </c>
      <c r="J4405" t="s">
        <v>87</v>
      </c>
      <c r="K4405">
        <v>0</v>
      </c>
      <c r="L4405">
        <v>0</v>
      </c>
    </row>
    <row r="4406" spans="1:12">
      <c r="A4406" s="93">
        <v>450003</v>
      </c>
      <c r="B4406" t="s">
        <v>4877</v>
      </c>
      <c r="C4406" t="s">
        <v>5606</v>
      </c>
      <c r="D4406" s="92" t="s">
        <v>428</v>
      </c>
      <c r="E4406" s="92" t="s">
        <v>428</v>
      </c>
      <c r="F4406" t="s">
        <v>428</v>
      </c>
      <c r="G4406" t="s">
        <v>428</v>
      </c>
      <c r="H4406" t="s">
        <v>5617</v>
      </c>
      <c r="I4406">
        <v>0</v>
      </c>
      <c r="J4406" t="s">
        <v>87</v>
      </c>
      <c r="K4406">
        <v>0</v>
      </c>
      <c r="L4406">
        <v>0</v>
      </c>
    </row>
    <row r="4407" spans="1:12">
      <c r="A4407" s="93">
        <v>450021</v>
      </c>
      <c r="B4407" t="s">
        <v>4878</v>
      </c>
      <c r="C4407" t="s">
        <v>5606</v>
      </c>
      <c r="D4407" s="92" t="s">
        <v>428</v>
      </c>
      <c r="E4407" s="92" t="s">
        <v>428</v>
      </c>
      <c r="F4407" t="s">
        <v>428</v>
      </c>
      <c r="G4407" t="s">
        <v>428</v>
      </c>
      <c r="H4407" t="s">
        <v>5617</v>
      </c>
      <c r="I4407">
        <v>0</v>
      </c>
      <c r="J4407" t="s">
        <v>87</v>
      </c>
      <c r="K4407">
        <v>0</v>
      </c>
      <c r="L4407">
        <v>0</v>
      </c>
    </row>
    <row r="4408" spans="1:12">
      <c r="A4408" s="93">
        <v>450049</v>
      </c>
      <c r="B4408" t="s">
        <v>4879</v>
      </c>
      <c r="C4408" t="s">
        <v>5607</v>
      </c>
      <c r="D4408" s="92">
        <v>0.21</v>
      </c>
      <c r="E4408" s="92">
        <v>0.18</v>
      </c>
      <c r="F4408" t="s">
        <v>428</v>
      </c>
      <c r="G4408" t="s">
        <v>428</v>
      </c>
      <c r="H4408" t="s">
        <v>5617</v>
      </c>
      <c r="I4408">
        <v>0</v>
      </c>
      <c r="J4408" t="s">
        <v>87</v>
      </c>
      <c r="K4408">
        <v>0</v>
      </c>
      <c r="L4408">
        <v>0</v>
      </c>
    </row>
    <row r="4409" spans="1:12">
      <c r="A4409" s="93">
        <v>450058</v>
      </c>
      <c r="B4409" t="s">
        <v>4880</v>
      </c>
      <c r="C4409" t="s">
        <v>5606</v>
      </c>
      <c r="D4409" s="92" t="s">
        <v>428</v>
      </c>
      <c r="E4409" s="92" t="s">
        <v>428</v>
      </c>
      <c r="F4409" t="s">
        <v>428</v>
      </c>
      <c r="G4409" t="s">
        <v>428</v>
      </c>
      <c r="H4409" t="s">
        <v>5617</v>
      </c>
      <c r="I4409">
        <v>0</v>
      </c>
      <c r="J4409" t="s">
        <v>87</v>
      </c>
      <c r="K4409">
        <v>0</v>
      </c>
      <c r="L4409">
        <v>0</v>
      </c>
    </row>
    <row r="4410" spans="1:12">
      <c r="A4410" s="93">
        <v>450067</v>
      </c>
      <c r="B4410" t="s">
        <v>4881</v>
      </c>
      <c r="C4410" t="s">
        <v>5606</v>
      </c>
      <c r="D4410" s="92" t="s">
        <v>428</v>
      </c>
      <c r="E4410" s="92" t="s">
        <v>428</v>
      </c>
      <c r="F4410" t="s">
        <v>428</v>
      </c>
      <c r="G4410" t="s">
        <v>428</v>
      </c>
      <c r="H4410" t="s">
        <v>5617</v>
      </c>
      <c r="I4410">
        <v>0</v>
      </c>
      <c r="J4410" t="s">
        <v>87</v>
      </c>
      <c r="K4410">
        <v>0</v>
      </c>
      <c r="L4410">
        <v>0</v>
      </c>
    </row>
    <row r="4411" spans="1:12">
      <c r="A4411" s="93">
        <v>450076</v>
      </c>
      <c r="B4411" t="s">
        <v>4882</v>
      </c>
      <c r="C4411" t="s">
        <v>5606</v>
      </c>
      <c r="D4411" s="92" t="s">
        <v>428</v>
      </c>
      <c r="E4411" s="92" t="s">
        <v>428</v>
      </c>
      <c r="F4411" t="s">
        <v>428</v>
      </c>
      <c r="G4411" t="s">
        <v>428</v>
      </c>
      <c r="H4411" t="s">
        <v>5617</v>
      </c>
      <c r="I4411">
        <v>0</v>
      </c>
      <c r="J4411" t="s">
        <v>87</v>
      </c>
      <c r="K4411">
        <v>0</v>
      </c>
      <c r="L4411">
        <v>0</v>
      </c>
    </row>
    <row r="4412" spans="1:12">
      <c r="A4412" s="93">
        <v>450085</v>
      </c>
      <c r="B4412" t="s">
        <v>4883</v>
      </c>
      <c r="C4412" t="s">
        <v>5604</v>
      </c>
      <c r="D4412" s="92">
        <v>0.28</v>
      </c>
      <c r="E4412" s="92">
        <v>0.33</v>
      </c>
      <c r="F4412" t="s">
        <v>428</v>
      </c>
      <c r="G4412" t="s">
        <v>428</v>
      </c>
      <c r="H4412" t="s">
        <v>5617</v>
      </c>
      <c r="I4412">
        <v>0</v>
      </c>
      <c r="J4412" t="s">
        <v>87</v>
      </c>
      <c r="K4412">
        <v>0</v>
      </c>
      <c r="L4412">
        <v>0</v>
      </c>
    </row>
    <row r="4413" spans="1:12">
      <c r="A4413" s="93">
        <v>450094</v>
      </c>
      <c r="B4413" t="s">
        <v>4884</v>
      </c>
      <c r="C4413" t="s">
        <v>5604</v>
      </c>
      <c r="D4413" s="92">
        <v>0.33</v>
      </c>
      <c r="E4413" s="92">
        <v>0.29</v>
      </c>
      <c r="F4413" t="s">
        <v>428</v>
      </c>
      <c r="G4413" t="s">
        <v>428</v>
      </c>
      <c r="H4413" t="s">
        <v>5617</v>
      </c>
      <c r="I4413">
        <v>0</v>
      </c>
      <c r="J4413" t="s">
        <v>87</v>
      </c>
      <c r="K4413">
        <v>0</v>
      </c>
      <c r="L4413">
        <v>0</v>
      </c>
    </row>
    <row r="4414" spans="1:12">
      <c r="A4414" s="93">
        <v>450128</v>
      </c>
      <c r="B4414" t="s">
        <v>4885</v>
      </c>
      <c r="C4414" t="s">
        <v>5606</v>
      </c>
      <c r="D4414" s="92" t="s">
        <v>428</v>
      </c>
      <c r="E4414" s="92" t="s">
        <v>428</v>
      </c>
      <c r="F4414" t="s">
        <v>428</v>
      </c>
      <c r="G4414" t="s">
        <v>428</v>
      </c>
      <c r="H4414" t="s">
        <v>5617</v>
      </c>
      <c r="I4414">
        <v>0</v>
      </c>
      <c r="J4414" t="s">
        <v>87</v>
      </c>
      <c r="K4414">
        <v>0</v>
      </c>
      <c r="L4414">
        <v>0</v>
      </c>
    </row>
    <row r="4415" spans="1:12">
      <c r="A4415" s="93">
        <v>450173</v>
      </c>
      <c r="B4415" t="s">
        <v>4886</v>
      </c>
      <c r="C4415" t="s">
        <v>5606</v>
      </c>
      <c r="D4415" s="92">
        <v>0.65</v>
      </c>
      <c r="E4415" s="92">
        <v>0.64</v>
      </c>
      <c r="F4415" t="s">
        <v>428</v>
      </c>
      <c r="G4415" t="s">
        <v>428</v>
      </c>
      <c r="H4415" t="s">
        <v>5617</v>
      </c>
      <c r="I4415">
        <v>0</v>
      </c>
      <c r="J4415" t="s">
        <v>87</v>
      </c>
      <c r="K4415">
        <v>0</v>
      </c>
      <c r="L4415">
        <v>0</v>
      </c>
    </row>
    <row r="4416" spans="1:12">
      <c r="A4416" s="93">
        <v>450191</v>
      </c>
      <c r="B4416" t="s">
        <v>4887</v>
      </c>
      <c r="C4416" t="s">
        <v>5606</v>
      </c>
      <c r="D4416" s="92" t="s">
        <v>428</v>
      </c>
      <c r="E4416" s="92" t="s">
        <v>428</v>
      </c>
      <c r="F4416" t="s">
        <v>428</v>
      </c>
      <c r="G4416" t="s">
        <v>428</v>
      </c>
      <c r="H4416" t="s">
        <v>5617</v>
      </c>
      <c r="I4416">
        <v>0</v>
      </c>
      <c r="J4416" t="s">
        <v>87</v>
      </c>
      <c r="K4416">
        <v>0</v>
      </c>
      <c r="L4416">
        <v>0</v>
      </c>
    </row>
    <row r="4417" spans="1:12">
      <c r="A4417" s="93">
        <v>450207</v>
      </c>
      <c r="B4417" t="s">
        <v>4888</v>
      </c>
      <c r="C4417" t="s">
        <v>5607</v>
      </c>
      <c r="D4417" s="92" t="s">
        <v>428</v>
      </c>
      <c r="E4417" s="92" t="s">
        <v>428</v>
      </c>
      <c r="F4417" t="s">
        <v>428</v>
      </c>
      <c r="G4417" t="s">
        <v>428</v>
      </c>
      <c r="H4417" t="s">
        <v>5617</v>
      </c>
      <c r="I4417">
        <v>0</v>
      </c>
      <c r="J4417" t="s">
        <v>87</v>
      </c>
      <c r="K4417">
        <v>0</v>
      </c>
      <c r="L4417">
        <v>0</v>
      </c>
    </row>
    <row r="4418" spans="1:12">
      <c r="A4418" s="93">
        <v>450225</v>
      </c>
      <c r="B4418" t="s">
        <v>4889</v>
      </c>
      <c r="C4418" t="s">
        <v>5607</v>
      </c>
      <c r="D4418" s="92">
        <v>0.15</v>
      </c>
      <c r="E4418" s="92">
        <v>0.18</v>
      </c>
      <c r="F4418" t="s">
        <v>428</v>
      </c>
      <c r="G4418" t="s">
        <v>428</v>
      </c>
      <c r="H4418" t="s">
        <v>5617</v>
      </c>
      <c r="I4418">
        <v>0</v>
      </c>
      <c r="J4418" t="s">
        <v>87</v>
      </c>
      <c r="K4418">
        <v>0</v>
      </c>
      <c r="L4418">
        <v>0</v>
      </c>
    </row>
    <row r="4419" spans="1:12">
      <c r="A4419" s="93">
        <v>450234</v>
      </c>
      <c r="B4419" t="s">
        <v>4890</v>
      </c>
      <c r="C4419" t="s">
        <v>5607</v>
      </c>
      <c r="D4419" s="92" t="s">
        <v>428</v>
      </c>
      <c r="E4419" s="92" t="s">
        <v>428</v>
      </c>
      <c r="F4419" t="s">
        <v>428</v>
      </c>
      <c r="G4419" t="s">
        <v>428</v>
      </c>
      <c r="H4419" t="s">
        <v>5617</v>
      </c>
      <c r="I4419">
        <v>0</v>
      </c>
      <c r="J4419" t="s">
        <v>87</v>
      </c>
      <c r="K4419">
        <v>0</v>
      </c>
      <c r="L4419">
        <v>0</v>
      </c>
    </row>
    <row r="4420" spans="1:12">
      <c r="A4420" s="93">
        <v>450243</v>
      </c>
      <c r="B4420" t="s">
        <v>4891</v>
      </c>
      <c r="C4420" t="s">
        <v>5607</v>
      </c>
      <c r="D4420" s="92">
        <v>0.08</v>
      </c>
      <c r="E4420" s="92">
        <v>0.1</v>
      </c>
      <c r="F4420" t="s">
        <v>428</v>
      </c>
      <c r="G4420" t="s">
        <v>428</v>
      </c>
      <c r="H4420" t="s">
        <v>5617</v>
      </c>
      <c r="I4420">
        <v>0</v>
      </c>
      <c r="J4420" t="s">
        <v>87</v>
      </c>
      <c r="K4420">
        <v>0</v>
      </c>
      <c r="L4420">
        <v>0</v>
      </c>
    </row>
    <row r="4421" spans="1:12">
      <c r="A4421" s="93">
        <v>450252</v>
      </c>
      <c r="B4421" t="s">
        <v>4892</v>
      </c>
      <c r="C4421" t="s">
        <v>5607</v>
      </c>
      <c r="D4421" s="92" t="s">
        <v>428</v>
      </c>
      <c r="E4421" s="92" t="s">
        <v>428</v>
      </c>
      <c r="F4421" t="s">
        <v>428</v>
      </c>
      <c r="G4421" t="s">
        <v>428</v>
      </c>
      <c r="H4421" t="s">
        <v>5617</v>
      </c>
      <c r="I4421">
        <v>0</v>
      </c>
      <c r="J4421" t="s">
        <v>87</v>
      </c>
      <c r="K4421">
        <v>0</v>
      </c>
      <c r="L4421">
        <v>0</v>
      </c>
    </row>
    <row r="4422" spans="1:12">
      <c r="A4422" s="93">
        <v>450261</v>
      </c>
      <c r="B4422" t="s">
        <v>4893</v>
      </c>
      <c r="C4422" t="s">
        <v>5607</v>
      </c>
      <c r="D4422" s="92" t="s">
        <v>428</v>
      </c>
      <c r="E4422" s="92" t="s">
        <v>428</v>
      </c>
      <c r="F4422" t="s">
        <v>428</v>
      </c>
      <c r="G4422" t="s">
        <v>428</v>
      </c>
      <c r="H4422" t="s">
        <v>5617</v>
      </c>
      <c r="I4422">
        <v>0</v>
      </c>
      <c r="J4422" t="s">
        <v>87</v>
      </c>
      <c r="K4422">
        <v>0</v>
      </c>
      <c r="L4422">
        <v>0</v>
      </c>
    </row>
    <row r="4423" spans="1:12">
      <c r="A4423" s="93">
        <v>450270</v>
      </c>
      <c r="B4423" t="s">
        <v>4894</v>
      </c>
      <c r="C4423" t="s">
        <v>5607</v>
      </c>
      <c r="D4423" s="92" t="s">
        <v>428</v>
      </c>
      <c r="E4423" s="92" t="s">
        <v>428</v>
      </c>
      <c r="F4423" t="s">
        <v>428</v>
      </c>
      <c r="G4423" t="s">
        <v>428</v>
      </c>
      <c r="H4423" t="s">
        <v>5617</v>
      </c>
      <c r="I4423">
        <v>0</v>
      </c>
      <c r="J4423" t="s">
        <v>87</v>
      </c>
      <c r="K4423">
        <v>0</v>
      </c>
      <c r="L4423">
        <v>0</v>
      </c>
    </row>
    <row r="4424" spans="1:12">
      <c r="A4424" s="93">
        <v>450289</v>
      </c>
      <c r="B4424" t="s">
        <v>4895</v>
      </c>
      <c r="C4424" t="s">
        <v>5606</v>
      </c>
      <c r="D4424" s="92" t="s">
        <v>428</v>
      </c>
      <c r="E4424" s="92" t="s">
        <v>428</v>
      </c>
      <c r="F4424" t="s">
        <v>428</v>
      </c>
      <c r="G4424" t="s">
        <v>428</v>
      </c>
      <c r="H4424" t="s">
        <v>5617</v>
      </c>
      <c r="I4424">
        <v>0</v>
      </c>
      <c r="J4424" t="s">
        <v>87</v>
      </c>
      <c r="K4424">
        <v>0</v>
      </c>
      <c r="L4424">
        <v>0</v>
      </c>
    </row>
    <row r="4425" spans="1:12">
      <c r="A4425" s="93">
        <v>450298</v>
      </c>
      <c r="B4425" t="s">
        <v>4896</v>
      </c>
      <c r="C4425" t="s">
        <v>5604</v>
      </c>
      <c r="D4425" s="92">
        <v>0.5</v>
      </c>
      <c r="E4425" s="92" t="s">
        <v>428</v>
      </c>
      <c r="F4425" t="s">
        <v>428</v>
      </c>
      <c r="G4425" t="s">
        <v>428</v>
      </c>
      <c r="H4425" t="s">
        <v>5617</v>
      </c>
      <c r="I4425">
        <v>0</v>
      </c>
      <c r="J4425" t="s">
        <v>87</v>
      </c>
      <c r="K4425">
        <v>0</v>
      </c>
      <c r="L4425">
        <v>0</v>
      </c>
    </row>
    <row r="4426" spans="1:12">
      <c r="A4426" s="93">
        <v>450304</v>
      </c>
      <c r="B4426" t="s">
        <v>4897</v>
      </c>
      <c r="C4426" t="s">
        <v>5607</v>
      </c>
      <c r="D4426" s="92" t="s">
        <v>428</v>
      </c>
      <c r="E4426" s="92" t="s">
        <v>428</v>
      </c>
      <c r="F4426" t="s">
        <v>428</v>
      </c>
      <c r="G4426" t="s">
        <v>428</v>
      </c>
      <c r="H4426" t="s">
        <v>5615</v>
      </c>
      <c r="I4426">
        <v>0</v>
      </c>
      <c r="J4426" t="s">
        <v>87</v>
      </c>
      <c r="K4426">
        <v>0</v>
      </c>
      <c r="L4426">
        <v>0</v>
      </c>
    </row>
    <row r="4427" spans="1:12">
      <c r="A4427" s="93">
        <v>450377</v>
      </c>
      <c r="B4427" t="s">
        <v>4898</v>
      </c>
      <c r="C4427" t="s">
        <v>5604</v>
      </c>
      <c r="D4427" s="92" t="s">
        <v>428</v>
      </c>
      <c r="E4427" s="92" t="s">
        <v>428</v>
      </c>
      <c r="F4427" t="s">
        <v>428</v>
      </c>
      <c r="G4427" t="s">
        <v>428</v>
      </c>
      <c r="H4427" t="s">
        <v>5617</v>
      </c>
      <c r="I4427">
        <v>0</v>
      </c>
      <c r="J4427" t="s">
        <v>87</v>
      </c>
      <c r="K4427">
        <v>0</v>
      </c>
      <c r="L4427">
        <v>0</v>
      </c>
    </row>
    <row r="4428" spans="1:12">
      <c r="A4428" s="93">
        <v>450395</v>
      </c>
      <c r="B4428" t="s">
        <v>4899</v>
      </c>
      <c r="C4428" t="s">
        <v>5606</v>
      </c>
      <c r="D4428" s="92" t="s">
        <v>428</v>
      </c>
      <c r="E4428" s="92" t="s">
        <v>428</v>
      </c>
      <c r="F4428" t="s">
        <v>428</v>
      </c>
      <c r="G4428" t="s">
        <v>428</v>
      </c>
      <c r="H4428" t="s">
        <v>5616</v>
      </c>
      <c r="I4428">
        <v>0</v>
      </c>
      <c r="J4428" t="s">
        <v>87</v>
      </c>
      <c r="K4428">
        <v>0</v>
      </c>
      <c r="L4428">
        <v>0</v>
      </c>
    </row>
    <row r="4429" spans="1:12">
      <c r="A4429" s="93">
        <v>450456</v>
      </c>
      <c r="B4429" t="s">
        <v>4900</v>
      </c>
      <c r="C4429" t="s">
        <v>5607</v>
      </c>
      <c r="D4429" s="92">
        <v>0.1</v>
      </c>
      <c r="E4429" s="92">
        <v>0.11</v>
      </c>
      <c r="F4429" t="s">
        <v>428</v>
      </c>
      <c r="G4429" t="s">
        <v>428</v>
      </c>
      <c r="H4429" t="s">
        <v>5617</v>
      </c>
      <c r="I4429">
        <v>0</v>
      </c>
      <c r="J4429" t="s">
        <v>87</v>
      </c>
      <c r="K4429">
        <v>0</v>
      </c>
      <c r="L4429">
        <v>0</v>
      </c>
    </row>
    <row r="4430" spans="1:12">
      <c r="A4430" s="93">
        <v>450465</v>
      </c>
      <c r="B4430" t="s">
        <v>4901</v>
      </c>
      <c r="C4430" t="s">
        <v>5607</v>
      </c>
      <c r="D4430" s="92">
        <v>0.18</v>
      </c>
      <c r="E4430" s="92">
        <v>0.13</v>
      </c>
      <c r="F4430" t="s">
        <v>428</v>
      </c>
      <c r="G4430" t="s">
        <v>428</v>
      </c>
      <c r="H4430" t="s">
        <v>5617</v>
      </c>
      <c r="I4430">
        <v>0</v>
      </c>
      <c r="J4430" t="s">
        <v>87</v>
      </c>
      <c r="K4430">
        <v>0</v>
      </c>
      <c r="L4430">
        <v>0</v>
      </c>
    </row>
    <row r="4431" spans="1:12">
      <c r="A4431" s="93">
        <v>450483</v>
      </c>
      <c r="B4431" t="s">
        <v>4902</v>
      </c>
      <c r="C4431" t="s">
        <v>5604</v>
      </c>
      <c r="D4431" s="92">
        <v>0.12</v>
      </c>
      <c r="E4431" s="92">
        <v>0.24</v>
      </c>
      <c r="F4431" t="s">
        <v>428</v>
      </c>
      <c r="G4431" t="s">
        <v>428</v>
      </c>
      <c r="H4431" t="s">
        <v>5617</v>
      </c>
      <c r="I4431">
        <v>0</v>
      </c>
      <c r="J4431" t="s">
        <v>87</v>
      </c>
      <c r="K4431">
        <v>0</v>
      </c>
      <c r="L4431">
        <v>0</v>
      </c>
    </row>
    <row r="4432" spans="1:12">
      <c r="A4432" s="93">
        <v>450526</v>
      </c>
      <c r="B4432" t="s">
        <v>4903</v>
      </c>
      <c r="C4432" t="s">
        <v>5604</v>
      </c>
      <c r="D4432" s="92" t="s">
        <v>428</v>
      </c>
      <c r="E4432" s="92" t="s">
        <v>428</v>
      </c>
      <c r="F4432" t="s">
        <v>428</v>
      </c>
      <c r="G4432" t="s">
        <v>428</v>
      </c>
      <c r="H4432" t="s">
        <v>5617</v>
      </c>
      <c r="I4432">
        <v>0</v>
      </c>
      <c r="J4432" t="s">
        <v>87</v>
      </c>
      <c r="K4432">
        <v>0</v>
      </c>
      <c r="L4432">
        <v>0</v>
      </c>
    </row>
    <row r="4433" spans="1:12">
      <c r="A4433" s="93">
        <v>450535</v>
      </c>
      <c r="B4433" t="s">
        <v>4904</v>
      </c>
      <c r="C4433" t="s">
        <v>5604</v>
      </c>
      <c r="D4433" s="92">
        <v>0.17</v>
      </c>
      <c r="E4433" s="92">
        <v>0.5</v>
      </c>
      <c r="F4433" t="s">
        <v>428</v>
      </c>
      <c r="G4433" t="s">
        <v>428</v>
      </c>
      <c r="H4433" t="s">
        <v>5617</v>
      </c>
      <c r="I4433">
        <v>0</v>
      </c>
      <c r="J4433" t="s">
        <v>87</v>
      </c>
      <c r="K4433">
        <v>0</v>
      </c>
      <c r="L4433">
        <v>0</v>
      </c>
    </row>
    <row r="4434" spans="1:12">
      <c r="A4434" s="93">
        <v>450544</v>
      </c>
      <c r="B4434" t="s">
        <v>4905</v>
      </c>
      <c r="C4434" t="s">
        <v>5604</v>
      </c>
      <c r="D4434" s="92">
        <v>0.09</v>
      </c>
      <c r="E4434" s="92">
        <v>0</v>
      </c>
      <c r="F4434" t="s">
        <v>428</v>
      </c>
      <c r="G4434" t="s">
        <v>428</v>
      </c>
      <c r="H4434" t="s">
        <v>5617</v>
      </c>
      <c r="I4434">
        <v>0</v>
      </c>
      <c r="J4434" t="s">
        <v>87</v>
      </c>
      <c r="K4434">
        <v>0</v>
      </c>
      <c r="L4434">
        <v>0</v>
      </c>
    </row>
    <row r="4435" spans="1:12">
      <c r="A4435" s="93">
        <v>450571</v>
      </c>
      <c r="B4435" t="s">
        <v>4906</v>
      </c>
      <c r="C4435" t="s">
        <v>5604</v>
      </c>
      <c r="D4435" s="92">
        <v>0.07000000000000001</v>
      </c>
      <c r="E4435" s="92">
        <v>0</v>
      </c>
      <c r="F4435" t="s">
        <v>428</v>
      </c>
      <c r="G4435" t="s">
        <v>428</v>
      </c>
      <c r="H4435" t="s">
        <v>5617</v>
      </c>
      <c r="I4435">
        <v>0</v>
      </c>
      <c r="J4435" t="s">
        <v>87</v>
      </c>
      <c r="K4435">
        <v>0</v>
      </c>
      <c r="L4435">
        <v>0</v>
      </c>
    </row>
    <row r="4436" spans="1:12">
      <c r="A4436" s="93">
        <v>450650</v>
      </c>
      <c r="B4436" t="s">
        <v>4907</v>
      </c>
      <c r="C4436" t="s">
        <v>5606</v>
      </c>
      <c r="D4436" s="92" t="s">
        <v>428</v>
      </c>
      <c r="E4436" s="92" t="s">
        <v>428</v>
      </c>
      <c r="F4436" t="s">
        <v>428</v>
      </c>
      <c r="G4436" t="s">
        <v>428</v>
      </c>
      <c r="H4436" t="s">
        <v>5616</v>
      </c>
      <c r="I4436">
        <v>0</v>
      </c>
      <c r="J4436" t="s">
        <v>87</v>
      </c>
      <c r="K4436">
        <v>0</v>
      </c>
      <c r="L4436">
        <v>0</v>
      </c>
    </row>
    <row r="4437" spans="1:12">
      <c r="A4437" s="93">
        <v>450696</v>
      </c>
      <c r="B4437" t="s">
        <v>4908</v>
      </c>
      <c r="C4437" t="s">
        <v>5609</v>
      </c>
      <c r="D4437" s="92">
        <v>0.74</v>
      </c>
      <c r="E4437" s="92">
        <v>0.75</v>
      </c>
      <c r="F4437" t="s">
        <v>428</v>
      </c>
      <c r="G4437" t="s">
        <v>428</v>
      </c>
      <c r="H4437" t="s">
        <v>5617</v>
      </c>
      <c r="I4437">
        <v>0</v>
      </c>
      <c r="J4437" t="s">
        <v>87</v>
      </c>
      <c r="K4437">
        <v>0</v>
      </c>
      <c r="L4437">
        <v>0</v>
      </c>
    </row>
    <row r="4438" spans="1:12">
      <c r="A4438" s="93">
        <v>450702</v>
      </c>
      <c r="B4438" t="s">
        <v>4909</v>
      </c>
      <c r="C4438" t="s">
        <v>5609</v>
      </c>
      <c r="D4438" s="92">
        <v>0.62</v>
      </c>
      <c r="E4438" s="92">
        <v>0.62</v>
      </c>
      <c r="F4438" t="s">
        <v>428</v>
      </c>
      <c r="G4438" t="s">
        <v>428</v>
      </c>
      <c r="H4438" t="s">
        <v>5617</v>
      </c>
      <c r="I4438">
        <v>0</v>
      </c>
      <c r="J4438" t="s">
        <v>87</v>
      </c>
      <c r="K4438">
        <v>0</v>
      </c>
      <c r="L4438">
        <v>0</v>
      </c>
    </row>
    <row r="4439" spans="1:12">
      <c r="A4439" s="93">
        <v>450720</v>
      </c>
      <c r="B4439" t="s">
        <v>4910</v>
      </c>
      <c r="C4439" t="s">
        <v>5606</v>
      </c>
      <c r="D4439" s="92" t="s">
        <v>428</v>
      </c>
      <c r="E4439" s="92" t="s">
        <v>428</v>
      </c>
      <c r="F4439" t="s">
        <v>428</v>
      </c>
      <c r="G4439" t="s">
        <v>428</v>
      </c>
      <c r="H4439" t="s">
        <v>5617</v>
      </c>
      <c r="I4439">
        <v>0</v>
      </c>
      <c r="J4439" t="s">
        <v>87</v>
      </c>
      <c r="K4439">
        <v>0</v>
      </c>
      <c r="L4439">
        <v>0</v>
      </c>
    </row>
    <row r="4440" spans="1:12">
      <c r="A4440" s="93">
        <v>450766</v>
      </c>
      <c r="B4440" t="s">
        <v>4911</v>
      </c>
      <c r="C4440" t="s">
        <v>5607</v>
      </c>
      <c r="D4440" s="92" t="s">
        <v>428</v>
      </c>
      <c r="E4440" s="92" t="s">
        <v>428</v>
      </c>
      <c r="F4440" t="s">
        <v>428</v>
      </c>
      <c r="G4440" t="s">
        <v>428</v>
      </c>
      <c r="H4440" t="s">
        <v>5615</v>
      </c>
      <c r="I4440">
        <v>0</v>
      </c>
      <c r="J4440" t="s">
        <v>87</v>
      </c>
      <c r="K4440">
        <v>0</v>
      </c>
      <c r="L4440">
        <v>0</v>
      </c>
    </row>
    <row r="4441" spans="1:12">
      <c r="A4441" s="93">
        <v>450933</v>
      </c>
      <c r="B4441" t="s">
        <v>4912</v>
      </c>
      <c r="C4441" t="s">
        <v>5604</v>
      </c>
      <c r="D4441" s="92">
        <v>0.3</v>
      </c>
      <c r="E4441" s="92">
        <v>0.25</v>
      </c>
      <c r="F4441" t="s">
        <v>428</v>
      </c>
      <c r="G4441" t="s">
        <v>428</v>
      </c>
      <c r="H4441" t="s">
        <v>5616</v>
      </c>
      <c r="I4441">
        <v>0</v>
      </c>
      <c r="J4441" t="s">
        <v>87</v>
      </c>
      <c r="K4441">
        <v>0</v>
      </c>
      <c r="L4441">
        <v>0</v>
      </c>
    </row>
    <row r="4442" spans="1:12">
      <c r="A4442" s="93">
        <v>450942</v>
      </c>
      <c r="B4442" t="s">
        <v>4913</v>
      </c>
      <c r="C4442" t="s">
        <v>5607</v>
      </c>
      <c r="D4442" s="92" t="s">
        <v>428</v>
      </c>
      <c r="E4442" s="92" t="s">
        <v>428</v>
      </c>
      <c r="F4442" t="s">
        <v>428</v>
      </c>
      <c r="G4442" t="s">
        <v>428</v>
      </c>
      <c r="H4442" t="s">
        <v>5615</v>
      </c>
      <c r="I4442">
        <v>0</v>
      </c>
      <c r="J4442" t="s">
        <v>87</v>
      </c>
      <c r="K4442">
        <v>0</v>
      </c>
      <c r="L4442">
        <v>0</v>
      </c>
    </row>
    <row r="4443" spans="1:12">
      <c r="A4443" s="93">
        <v>450960</v>
      </c>
      <c r="B4443" t="s">
        <v>4914</v>
      </c>
      <c r="C4443" t="s">
        <v>5606</v>
      </c>
      <c r="D4443" s="92" t="s">
        <v>428</v>
      </c>
      <c r="E4443" s="92" t="s">
        <v>428</v>
      </c>
      <c r="F4443" t="s">
        <v>428</v>
      </c>
      <c r="G4443" t="s">
        <v>428</v>
      </c>
      <c r="H4443" t="s">
        <v>5617</v>
      </c>
      <c r="I4443">
        <v>0</v>
      </c>
      <c r="J4443" t="s">
        <v>87</v>
      </c>
      <c r="K4443">
        <v>0</v>
      </c>
      <c r="L4443">
        <v>0</v>
      </c>
    </row>
    <row r="4444" spans="1:12">
      <c r="A4444" s="93">
        <v>450979</v>
      </c>
      <c r="B4444" t="s">
        <v>4915</v>
      </c>
      <c r="C4444" t="s">
        <v>5607</v>
      </c>
      <c r="D4444" s="92">
        <v>0.39</v>
      </c>
      <c r="E4444" s="92">
        <v>0.46</v>
      </c>
      <c r="F4444" t="s">
        <v>428</v>
      </c>
      <c r="G4444" t="s">
        <v>428</v>
      </c>
      <c r="H4444" t="s">
        <v>5616</v>
      </c>
      <c r="I4444">
        <v>0</v>
      </c>
      <c r="J4444" t="s">
        <v>87</v>
      </c>
      <c r="K4444">
        <v>0</v>
      </c>
      <c r="L4444">
        <v>0</v>
      </c>
    </row>
    <row r="4445" spans="1:12">
      <c r="A4445" s="93">
        <v>451006</v>
      </c>
      <c r="B4445" t="s">
        <v>4916</v>
      </c>
      <c r="C4445" t="s">
        <v>5606</v>
      </c>
      <c r="D4445" s="92" t="s">
        <v>428</v>
      </c>
      <c r="E4445" s="92" t="s">
        <v>428</v>
      </c>
      <c r="F4445" t="s">
        <v>428</v>
      </c>
      <c r="G4445" t="s">
        <v>428</v>
      </c>
      <c r="H4445" t="s">
        <v>5617</v>
      </c>
      <c r="I4445">
        <v>0</v>
      </c>
      <c r="J4445" t="s">
        <v>87</v>
      </c>
      <c r="K4445">
        <v>0</v>
      </c>
      <c r="L4445">
        <v>0</v>
      </c>
    </row>
    <row r="4446" spans="1:12">
      <c r="A4446" s="93">
        <v>451060</v>
      </c>
      <c r="B4446" t="s">
        <v>4917</v>
      </c>
      <c r="C4446" t="s">
        <v>5604</v>
      </c>
      <c r="D4446" s="92">
        <v>0.36</v>
      </c>
      <c r="E4446" s="92">
        <v>0.25</v>
      </c>
      <c r="F4446" t="s">
        <v>428</v>
      </c>
      <c r="G4446" t="s">
        <v>428</v>
      </c>
      <c r="H4446" t="s">
        <v>5617</v>
      </c>
      <c r="I4446">
        <v>0</v>
      </c>
      <c r="J4446" t="s">
        <v>87</v>
      </c>
      <c r="K4446">
        <v>0</v>
      </c>
      <c r="L4446">
        <v>0</v>
      </c>
    </row>
    <row r="4447" spans="1:12">
      <c r="A4447" s="93">
        <v>451079</v>
      </c>
      <c r="B4447" t="s">
        <v>4918</v>
      </c>
      <c r="C4447" t="s">
        <v>5607</v>
      </c>
      <c r="D4447" s="92" t="s">
        <v>428</v>
      </c>
      <c r="E4447" s="92" t="s">
        <v>428</v>
      </c>
      <c r="F4447" t="s">
        <v>428</v>
      </c>
      <c r="G4447" t="s">
        <v>428</v>
      </c>
      <c r="H4447" t="s">
        <v>5615</v>
      </c>
      <c r="I4447">
        <v>0</v>
      </c>
      <c r="J4447" t="s">
        <v>87</v>
      </c>
      <c r="K4447">
        <v>0</v>
      </c>
      <c r="L4447">
        <v>0</v>
      </c>
    </row>
    <row r="4448" spans="1:12">
      <c r="A4448" s="93">
        <v>451103</v>
      </c>
      <c r="B4448" t="s">
        <v>4919</v>
      </c>
      <c r="C4448" t="s">
        <v>5607</v>
      </c>
      <c r="D4448" s="92">
        <v>0.68</v>
      </c>
      <c r="E4448" s="92">
        <v>0.68</v>
      </c>
      <c r="F4448" t="s">
        <v>428</v>
      </c>
      <c r="G4448" t="s">
        <v>428</v>
      </c>
      <c r="H4448" t="s">
        <v>5617</v>
      </c>
      <c r="I4448">
        <v>0</v>
      </c>
      <c r="J4448" t="s">
        <v>87</v>
      </c>
      <c r="K4448">
        <v>0</v>
      </c>
      <c r="L4448">
        <v>0</v>
      </c>
    </row>
    <row r="4449" spans="1:12">
      <c r="A4449" s="93">
        <v>451130</v>
      </c>
      <c r="B4449" t="s">
        <v>4920</v>
      </c>
      <c r="C4449" t="s">
        <v>5607</v>
      </c>
      <c r="D4449" s="92" t="s">
        <v>428</v>
      </c>
      <c r="E4449" s="92" t="s">
        <v>428</v>
      </c>
      <c r="F4449" t="s">
        <v>428</v>
      </c>
      <c r="G4449" t="s">
        <v>428</v>
      </c>
      <c r="H4449" t="s">
        <v>5615</v>
      </c>
      <c r="I4449">
        <v>0</v>
      </c>
      <c r="J4449" t="s">
        <v>87</v>
      </c>
      <c r="K4449">
        <v>0</v>
      </c>
      <c r="L4449">
        <v>0</v>
      </c>
    </row>
    <row r="4450" spans="1:12">
      <c r="A4450" s="93">
        <v>451343</v>
      </c>
      <c r="B4450" t="s">
        <v>4921</v>
      </c>
      <c r="C4450" t="s">
        <v>5606</v>
      </c>
      <c r="D4450" s="92" t="s">
        <v>428</v>
      </c>
      <c r="E4450" s="92" t="s">
        <v>428</v>
      </c>
      <c r="F4450" t="s">
        <v>428</v>
      </c>
      <c r="G4450" t="s">
        <v>428</v>
      </c>
      <c r="H4450" t="s">
        <v>5617</v>
      </c>
      <c r="I4450">
        <v>0</v>
      </c>
      <c r="J4450" t="s">
        <v>87</v>
      </c>
      <c r="K4450">
        <v>0</v>
      </c>
      <c r="L4450">
        <v>0</v>
      </c>
    </row>
    <row r="4451" spans="1:12">
      <c r="A4451" s="93">
        <v>451370</v>
      </c>
      <c r="B4451" t="s">
        <v>4922</v>
      </c>
      <c r="C4451" t="s">
        <v>5607</v>
      </c>
      <c r="D4451" s="92" t="s">
        <v>428</v>
      </c>
      <c r="E4451" s="92" t="s">
        <v>428</v>
      </c>
      <c r="F4451" t="s">
        <v>428</v>
      </c>
      <c r="G4451" t="s">
        <v>428</v>
      </c>
      <c r="H4451" t="s">
        <v>5616</v>
      </c>
      <c r="I4451">
        <v>0</v>
      </c>
      <c r="J4451" t="s">
        <v>87</v>
      </c>
      <c r="K4451">
        <v>0</v>
      </c>
      <c r="L4451">
        <v>0</v>
      </c>
    </row>
    <row r="4452" spans="1:12">
      <c r="A4452" s="93">
        <v>451398</v>
      </c>
      <c r="B4452" t="s">
        <v>4923</v>
      </c>
      <c r="C4452" t="s">
        <v>5607</v>
      </c>
      <c r="D4452" s="92">
        <v>0.03</v>
      </c>
      <c r="E4452" s="92" t="s">
        <v>428</v>
      </c>
      <c r="F4452" t="s">
        <v>428</v>
      </c>
      <c r="G4452" t="s">
        <v>428</v>
      </c>
      <c r="H4452" t="s">
        <v>5614</v>
      </c>
      <c r="I4452">
        <v>1</v>
      </c>
      <c r="J4452" t="s">
        <v>87</v>
      </c>
      <c r="K4452">
        <v>0</v>
      </c>
      <c r="L4452">
        <v>0</v>
      </c>
    </row>
    <row r="4453" spans="1:12">
      <c r="A4453" s="93">
        <v>451404</v>
      </c>
      <c r="B4453" t="s">
        <v>4924</v>
      </c>
      <c r="C4453" t="s">
        <v>5607</v>
      </c>
      <c r="D4453" s="92">
        <v>0.43</v>
      </c>
      <c r="E4453" s="92" t="s">
        <v>428</v>
      </c>
      <c r="F4453" t="s">
        <v>428</v>
      </c>
      <c r="G4453" t="s">
        <v>428</v>
      </c>
      <c r="H4453" t="s">
        <v>5614</v>
      </c>
      <c r="I4453">
        <v>1</v>
      </c>
      <c r="J4453" t="s">
        <v>87</v>
      </c>
      <c r="K4453">
        <v>0</v>
      </c>
      <c r="L4453">
        <v>0</v>
      </c>
    </row>
    <row r="4454" spans="1:12">
      <c r="A4454" s="93">
        <v>451413</v>
      </c>
      <c r="B4454" t="s">
        <v>4925</v>
      </c>
      <c r="C4454" t="s">
        <v>5606</v>
      </c>
      <c r="D4454" s="92" t="s">
        <v>428</v>
      </c>
      <c r="E4454" s="92" t="s">
        <v>428</v>
      </c>
      <c r="F4454" t="s">
        <v>428</v>
      </c>
      <c r="G4454" t="s">
        <v>428</v>
      </c>
      <c r="H4454" t="s">
        <v>5617</v>
      </c>
      <c r="I4454">
        <v>0</v>
      </c>
      <c r="J4454" t="s">
        <v>87</v>
      </c>
      <c r="K4454">
        <v>0</v>
      </c>
      <c r="L4454">
        <v>0</v>
      </c>
    </row>
    <row r="4455" spans="1:12">
      <c r="A4455" s="93">
        <v>451477</v>
      </c>
      <c r="B4455" t="s">
        <v>4926</v>
      </c>
      <c r="C4455" t="s">
        <v>5606</v>
      </c>
      <c r="D4455" s="92" t="s">
        <v>428</v>
      </c>
      <c r="E4455" s="92" t="s">
        <v>428</v>
      </c>
      <c r="F4455" t="s">
        <v>428</v>
      </c>
      <c r="G4455" t="s">
        <v>428</v>
      </c>
      <c r="H4455" t="s">
        <v>5617</v>
      </c>
      <c r="I4455">
        <v>0</v>
      </c>
      <c r="J4455" t="s">
        <v>87</v>
      </c>
      <c r="K4455">
        <v>0</v>
      </c>
      <c r="L4455">
        <v>0</v>
      </c>
    </row>
    <row r="4456" spans="1:12">
      <c r="A4456" s="93">
        <v>451510</v>
      </c>
      <c r="B4456" t="s">
        <v>4927</v>
      </c>
      <c r="C4456" t="s">
        <v>5607</v>
      </c>
      <c r="D4456" s="92" t="s">
        <v>428</v>
      </c>
      <c r="E4456" s="92" t="s">
        <v>428</v>
      </c>
      <c r="F4456" t="s">
        <v>428</v>
      </c>
      <c r="G4456" t="s">
        <v>428</v>
      </c>
      <c r="H4456" t="s">
        <v>5615</v>
      </c>
      <c r="I4456">
        <v>0</v>
      </c>
      <c r="J4456" t="s">
        <v>87</v>
      </c>
      <c r="K4456">
        <v>0</v>
      </c>
      <c r="L4456">
        <v>0</v>
      </c>
    </row>
    <row r="4457" spans="1:12">
      <c r="A4457" s="93">
        <v>451556</v>
      </c>
      <c r="B4457" t="s">
        <v>4928</v>
      </c>
      <c r="C4457" t="s">
        <v>5604</v>
      </c>
      <c r="D4457" s="92" t="s">
        <v>428</v>
      </c>
      <c r="E4457" s="92" t="s">
        <v>428</v>
      </c>
      <c r="F4457" t="s">
        <v>428</v>
      </c>
      <c r="G4457" t="s">
        <v>428</v>
      </c>
      <c r="H4457" t="s">
        <v>5617</v>
      </c>
      <c r="I4457">
        <v>0</v>
      </c>
      <c r="J4457" t="s">
        <v>87</v>
      </c>
      <c r="K4457">
        <v>0</v>
      </c>
      <c r="L4457">
        <v>0</v>
      </c>
    </row>
    <row r="4458" spans="1:12">
      <c r="A4458" s="93">
        <v>451662</v>
      </c>
      <c r="B4458" t="s">
        <v>4929</v>
      </c>
      <c r="C4458" t="s">
        <v>5604</v>
      </c>
      <c r="D4458" s="92">
        <v>0.07000000000000001</v>
      </c>
      <c r="E4458" s="92">
        <v>0.07000000000000001</v>
      </c>
      <c r="F4458" t="s">
        <v>428</v>
      </c>
      <c r="G4458" t="s">
        <v>428</v>
      </c>
      <c r="H4458" t="s">
        <v>5617</v>
      </c>
      <c r="I4458">
        <v>0</v>
      </c>
      <c r="J4458" t="s">
        <v>87</v>
      </c>
      <c r="K4458">
        <v>0</v>
      </c>
      <c r="L4458">
        <v>0</v>
      </c>
    </row>
    <row r="4459" spans="1:12">
      <c r="A4459" s="93">
        <v>451671</v>
      </c>
      <c r="B4459" t="s">
        <v>4930</v>
      </c>
      <c r="C4459" t="s">
        <v>5602</v>
      </c>
      <c r="D4459" s="92" t="s">
        <v>428</v>
      </c>
      <c r="E4459" s="92" t="s">
        <v>428</v>
      </c>
      <c r="F4459">
        <v>21</v>
      </c>
      <c r="G4459">
        <v>23.5</v>
      </c>
      <c r="H4459" t="s">
        <v>5615</v>
      </c>
      <c r="I4459">
        <v>0</v>
      </c>
      <c r="J4459" t="s">
        <v>87</v>
      </c>
      <c r="K4459">
        <v>0</v>
      </c>
      <c r="L4459">
        <v>0</v>
      </c>
    </row>
    <row r="4460" spans="1:12">
      <c r="A4460" s="93">
        <v>451699</v>
      </c>
      <c r="B4460" t="s">
        <v>4931</v>
      </c>
      <c r="C4460" t="s">
        <v>5607</v>
      </c>
      <c r="D4460" s="92" t="s">
        <v>428</v>
      </c>
      <c r="E4460" s="92" t="s">
        <v>428</v>
      </c>
      <c r="F4460" t="s">
        <v>428</v>
      </c>
      <c r="G4460" t="s">
        <v>428</v>
      </c>
      <c r="H4460" t="s">
        <v>5617</v>
      </c>
      <c r="I4460">
        <v>0</v>
      </c>
      <c r="J4460" t="s">
        <v>87</v>
      </c>
      <c r="K4460">
        <v>0</v>
      </c>
      <c r="L4460">
        <v>0</v>
      </c>
    </row>
    <row r="4461" spans="1:12">
      <c r="A4461" s="93">
        <v>451705</v>
      </c>
      <c r="B4461" t="s">
        <v>4932</v>
      </c>
      <c r="C4461" t="s">
        <v>5604</v>
      </c>
      <c r="D4461" s="92">
        <v>0.29</v>
      </c>
      <c r="E4461" s="92">
        <v>0</v>
      </c>
      <c r="F4461" t="s">
        <v>428</v>
      </c>
      <c r="G4461" t="s">
        <v>428</v>
      </c>
      <c r="H4461" t="s">
        <v>5617</v>
      </c>
      <c r="I4461">
        <v>0</v>
      </c>
      <c r="J4461" t="s">
        <v>87</v>
      </c>
      <c r="K4461">
        <v>0</v>
      </c>
      <c r="L4461">
        <v>0</v>
      </c>
    </row>
    <row r="4462" spans="1:12">
      <c r="A4462" s="93">
        <v>451741</v>
      </c>
      <c r="B4462" t="s">
        <v>4933</v>
      </c>
      <c r="C4462" t="s">
        <v>5604</v>
      </c>
      <c r="D4462" s="92" t="s">
        <v>428</v>
      </c>
      <c r="E4462" s="92" t="s">
        <v>428</v>
      </c>
      <c r="F4462" t="s">
        <v>428</v>
      </c>
      <c r="G4462" t="s">
        <v>428</v>
      </c>
      <c r="H4462" t="s">
        <v>5624</v>
      </c>
      <c r="I4462">
        <v>1</v>
      </c>
      <c r="J4462" t="s">
        <v>87</v>
      </c>
      <c r="K4462">
        <v>0</v>
      </c>
      <c r="L4462">
        <v>0</v>
      </c>
    </row>
    <row r="4463" spans="1:12">
      <c r="A4463" s="93">
        <v>451750</v>
      </c>
      <c r="B4463" t="s">
        <v>4934</v>
      </c>
      <c r="C4463" t="s">
        <v>5604</v>
      </c>
      <c r="D4463" s="92" t="s">
        <v>428</v>
      </c>
      <c r="E4463" s="92" t="s">
        <v>428</v>
      </c>
      <c r="F4463" t="s">
        <v>428</v>
      </c>
      <c r="G4463" t="s">
        <v>428</v>
      </c>
      <c r="H4463" t="s">
        <v>5617</v>
      </c>
      <c r="I4463">
        <v>0</v>
      </c>
      <c r="J4463" t="s">
        <v>87</v>
      </c>
      <c r="K4463">
        <v>0</v>
      </c>
      <c r="L4463">
        <v>0</v>
      </c>
    </row>
    <row r="4464" spans="1:12">
      <c r="A4464" s="93">
        <v>451796</v>
      </c>
      <c r="B4464" t="s">
        <v>4935</v>
      </c>
      <c r="C4464" t="s">
        <v>5604</v>
      </c>
      <c r="D4464" s="92">
        <v>0.29</v>
      </c>
      <c r="E4464" s="92">
        <v>0.36</v>
      </c>
      <c r="F4464" t="s">
        <v>428</v>
      </c>
      <c r="G4464" t="s">
        <v>428</v>
      </c>
      <c r="H4464" t="s">
        <v>5617</v>
      </c>
      <c r="I4464">
        <v>0</v>
      </c>
      <c r="J4464" t="s">
        <v>87</v>
      </c>
      <c r="K4464">
        <v>0</v>
      </c>
      <c r="L4464">
        <v>0</v>
      </c>
    </row>
    <row r="4465" spans="1:12">
      <c r="A4465" s="93">
        <v>451820</v>
      </c>
      <c r="B4465" t="s">
        <v>4936</v>
      </c>
      <c r="C4465" t="s">
        <v>5604</v>
      </c>
      <c r="D4465" s="92">
        <v>0.28</v>
      </c>
      <c r="E4465" s="92">
        <v>0.29</v>
      </c>
      <c r="F4465" t="s">
        <v>428</v>
      </c>
      <c r="G4465" t="s">
        <v>428</v>
      </c>
      <c r="H4465" t="s">
        <v>5617</v>
      </c>
      <c r="I4465">
        <v>0</v>
      </c>
      <c r="J4465" t="s">
        <v>87</v>
      </c>
      <c r="K4465">
        <v>0</v>
      </c>
      <c r="L4465">
        <v>0</v>
      </c>
    </row>
    <row r="4466" spans="1:12">
      <c r="A4466" s="93">
        <v>451848</v>
      </c>
      <c r="B4466" t="s">
        <v>4937</v>
      </c>
      <c r="C4466" t="s">
        <v>5607</v>
      </c>
      <c r="D4466" s="92">
        <v>0.42</v>
      </c>
      <c r="E4466" s="92">
        <v>0.48</v>
      </c>
      <c r="F4466" t="s">
        <v>428</v>
      </c>
      <c r="G4466" t="s">
        <v>428</v>
      </c>
      <c r="H4466" t="s">
        <v>5617</v>
      </c>
      <c r="I4466">
        <v>0</v>
      </c>
      <c r="J4466" t="s">
        <v>87</v>
      </c>
      <c r="K4466">
        <v>0</v>
      </c>
      <c r="L4466">
        <v>0</v>
      </c>
    </row>
    <row r="4467" spans="1:12">
      <c r="A4467" s="93">
        <v>451857</v>
      </c>
      <c r="B4467" t="s">
        <v>4938</v>
      </c>
      <c r="C4467" t="s">
        <v>5606</v>
      </c>
      <c r="D4467" s="92" t="s">
        <v>428</v>
      </c>
      <c r="E4467" s="92" t="s">
        <v>428</v>
      </c>
      <c r="F4467" t="s">
        <v>428</v>
      </c>
      <c r="G4467" t="s">
        <v>428</v>
      </c>
      <c r="H4467" t="s">
        <v>5617</v>
      </c>
      <c r="I4467">
        <v>0</v>
      </c>
      <c r="J4467" t="s">
        <v>87</v>
      </c>
      <c r="K4467">
        <v>0</v>
      </c>
      <c r="L4467">
        <v>0</v>
      </c>
    </row>
    <row r="4468" spans="1:12">
      <c r="A4468" s="93">
        <v>451866</v>
      </c>
      <c r="B4468" t="s">
        <v>4939</v>
      </c>
      <c r="C4468" t="s">
        <v>5604</v>
      </c>
      <c r="D4468" s="92" t="s">
        <v>428</v>
      </c>
      <c r="E4468" s="92" t="s">
        <v>428</v>
      </c>
      <c r="F4468" t="s">
        <v>428</v>
      </c>
      <c r="G4468" t="s">
        <v>428</v>
      </c>
      <c r="H4468" t="s">
        <v>5617</v>
      </c>
      <c r="I4468">
        <v>0</v>
      </c>
      <c r="J4468" t="s">
        <v>87</v>
      </c>
      <c r="K4468">
        <v>0</v>
      </c>
      <c r="L4468">
        <v>0</v>
      </c>
    </row>
    <row r="4469" spans="1:12">
      <c r="A4469" s="93">
        <v>451875</v>
      </c>
      <c r="B4469" t="s">
        <v>4940</v>
      </c>
      <c r="C4469" t="s">
        <v>5604</v>
      </c>
      <c r="D4469" s="92" t="s">
        <v>428</v>
      </c>
      <c r="E4469" s="92" t="s">
        <v>428</v>
      </c>
      <c r="F4469" t="s">
        <v>428</v>
      </c>
      <c r="G4469" t="s">
        <v>428</v>
      </c>
      <c r="H4469" t="s">
        <v>5617</v>
      </c>
      <c r="I4469">
        <v>0</v>
      </c>
      <c r="J4469" t="s">
        <v>87</v>
      </c>
      <c r="K4469">
        <v>0</v>
      </c>
      <c r="L4469">
        <v>0</v>
      </c>
    </row>
    <row r="4470" spans="1:12">
      <c r="A4470" s="93">
        <v>451884</v>
      </c>
      <c r="B4470" t="s">
        <v>4941</v>
      </c>
      <c r="C4470" t="s">
        <v>5604</v>
      </c>
      <c r="D4470" s="92" t="s">
        <v>428</v>
      </c>
      <c r="E4470" s="92" t="s">
        <v>428</v>
      </c>
      <c r="F4470" t="s">
        <v>428</v>
      </c>
      <c r="G4470" t="s">
        <v>428</v>
      </c>
      <c r="H4470" t="s">
        <v>5617</v>
      </c>
      <c r="I4470">
        <v>0</v>
      </c>
      <c r="J4470" t="s">
        <v>87</v>
      </c>
      <c r="K4470">
        <v>0</v>
      </c>
      <c r="L4470">
        <v>0</v>
      </c>
    </row>
    <row r="4471" spans="1:12">
      <c r="A4471" s="93">
        <v>451909</v>
      </c>
      <c r="B4471" t="s">
        <v>4942</v>
      </c>
      <c r="C4471" t="s">
        <v>5606</v>
      </c>
      <c r="D4471" s="92" t="s">
        <v>428</v>
      </c>
      <c r="E4471" s="92" t="s">
        <v>428</v>
      </c>
      <c r="F4471" t="s">
        <v>428</v>
      </c>
      <c r="G4471" t="s">
        <v>428</v>
      </c>
      <c r="H4471" t="s">
        <v>5617</v>
      </c>
      <c r="I4471">
        <v>0</v>
      </c>
      <c r="J4471" t="s">
        <v>87</v>
      </c>
      <c r="K4471">
        <v>0</v>
      </c>
      <c r="L4471">
        <v>0</v>
      </c>
    </row>
    <row r="4472" spans="1:12">
      <c r="A4472" s="93">
        <v>451945</v>
      </c>
      <c r="B4472" t="s">
        <v>4943</v>
      </c>
      <c r="C4472" t="s">
        <v>5607</v>
      </c>
      <c r="D4472" s="92">
        <v>0.2</v>
      </c>
      <c r="E4472" s="92">
        <v>0.5</v>
      </c>
      <c r="F4472" t="s">
        <v>428</v>
      </c>
      <c r="G4472" t="s">
        <v>428</v>
      </c>
      <c r="H4472" t="s">
        <v>5617</v>
      </c>
      <c r="I4472">
        <v>0</v>
      </c>
      <c r="J4472" t="s">
        <v>87</v>
      </c>
      <c r="K4472">
        <v>0</v>
      </c>
      <c r="L4472">
        <v>0</v>
      </c>
    </row>
    <row r="4473" spans="1:12">
      <c r="A4473" s="93">
        <v>451954</v>
      </c>
      <c r="B4473" t="s">
        <v>4944</v>
      </c>
      <c r="C4473" t="s">
        <v>5607</v>
      </c>
      <c r="D4473" s="92" t="s">
        <v>428</v>
      </c>
      <c r="E4473" s="92" t="s">
        <v>428</v>
      </c>
      <c r="F4473" t="s">
        <v>428</v>
      </c>
      <c r="G4473" t="s">
        <v>428</v>
      </c>
      <c r="H4473" t="s">
        <v>5617</v>
      </c>
      <c r="I4473">
        <v>0</v>
      </c>
      <c r="J4473" t="s">
        <v>87</v>
      </c>
      <c r="K4473">
        <v>0</v>
      </c>
      <c r="L4473">
        <v>0</v>
      </c>
    </row>
    <row r="4474" spans="1:12">
      <c r="A4474" s="93">
        <v>451963</v>
      </c>
      <c r="B4474" t="s">
        <v>4945</v>
      </c>
      <c r="C4474" t="s">
        <v>5607</v>
      </c>
      <c r="D4474" s="92" t="s">
        <v>428</v>
      </c>
      <c r="E4474" s="92" t="s">
        <v>428</v>
      </c>
      <c r="F4474" t="s">
        <v>428</v>
      </c>
      <c r="G4474" t="s">
        <v>428</v>
      </c>
      <c r="H4474" t="s">
        <v>5617</v>
      </c>
      <c r="I4474">
        <v>0</v>
      </c>
      <c r="J4474" t="s">
        <v>87</v>
      </c>
      <c r="K4474">
        <v>0</v>
      </c>
      <c r="L4474">
        <v>0</v>
      </c>
    </row>
    <row r="4475" spans="1:12">
      <c r="A4475" s="93">
        <v>451972</v>
      </c>
      <c r="B4475" t="s">
        <v>4946</v>
      </c>
      <c r="C4475" t="s">
        <v>5607</v>
      </c>
      <c r="D4475" s="92">
        <v>0.17</v>
      </c>
      <c r="E4475" s="92">
        <v>0.12</v>
      </c>
      <c r="F4475" t="s">
        <v>428</v>
      </c>
      <c r="G4475" t="s">
        <v>428</v>
      </c>
      <c r="H4475" t="s">
        <v>5617</v>
      </c>
      <c r="I4475">
        <v>0</v>
      </c>
      <c r="J4475" t="s">
        <v>87</v>
      </c>
      <c r="K4475">
        <v>0</v>
      </c>
      <c r="L4475">
        <v>0</v>
      </c>
    </row>
    <row r="4476" spans="1:12">
      <c r="A4476" s="93">
        <v>451981</v>
      </c>
      <c r="B4476" t="s">
        <v>4943</v>
      </c>
      <c r="C4476" t="s">
        <v>5607</v>
      </c>
      <c r="D4476" s="92" t="s">
        <v>428</v>
      </c>
      <c r="E4476" s="92" t="s">
        <v>428</v>
      </c>
      <c r="F4476" t="s">
        <v>428</v>
      </c>
      <c r="G4476" t="s">
        <v>428</v>
      </c>
      <c r="H4476" t="s">
        <v>5617</v>
      </c>
      <c r="I4476">
        <v>0</v>
      </c>
      <c r="J4476" t="s">
        <v>87</v>
      </c>
      <c r="K4476">
        <v>0</v>
      </c>
      <c r="L4476">
        <v>0</v>
      </c>
    </row>
    <row r="4477" spans="1:12">
      <c r="A4477" s="93">
        <v>451990</v>
      </c>
      <c r="B4477" t="s">
        <v>4947</v>
      </c>
      <c r="C4477" t="s">
        <v>5607</v>
      </c>
      <c r="D4477" s="92">
        <v>0.09</v>
      </c>
      <c r="E4477" s="92">
        <v>0.05</v>
      </c>
      <c r="F4477" t="s">
        <v>428</v>
      </c>
      <c r="G4477" t="s">
        <v>428</v>
      </c>
      <c r="H4477" t="s">
        <v>5617</v>
      </c>
      <c r="I4477">
        <v>0</v>
      </c>
      <c r="J4477" t="s">
        <v>87</v>
      </c>
      <c r="K4477">
        <v>0</v>
      </c>
      <c r="L4477">
        <v>0</v>
      </c>
    </row>
    <row r="4478" spans="1:12">
      <c r="A4478" s="93">
        <v>452009</v>
      </c>
      <c r="B4478" t="s">
        <v>4948</v>
      </c>
      <c r="C4478" t="s">
        <v>5606</v>
      </c>
      <c r="D4478" s="92" t="s">
        <v>428</v>
      </c>
      <c r="E4478" s="92" t="s">
        <v>428</v>
      </c>
      <c r="F4478" t="s">
        <v>428</v>
      </c>
      <c r="G4478" t="s">
        <v>428</v>
      </c>
      <c r="H4478" t="s">
        <v>5616</v>
      </c>
      <c r="I4478">
        <v>0</v>
      </c>
      <c r="J4478" t="s">
        <v>87</v>
      </c>
      <c r="K4478">
        <v>0</v>
      </c>
      <c r="L4478">
        <v>0</v>
      </c>
    </row>
    <row r="4479" spans="1:12">
      <c r="A4479" s="93">
        <v>452018</v>
      </c>
      <c r="B4479" t="s">
        <v>4949</v>
      </c>
      <c r="C4479" t="s">
        <v>5607</v>
      </c>
      <c r="D4479" s="92">
        <v>0.19</v>
      </c>
      <c r="E4479" s="92">
        <v>0.22</v>
      </c>
      <c r="F4479" t="s">
        <v>428</v>
      </c>
      <c r="G4479" t="s">
        <v>428</v>
      </c>
      <c r="H4479" t="s">
        <v>5617</v>
      </c>
      <c r="I4479">
        <v>0</v>
      </c>
      <c r="J4479" t="s">
        <v>87</v>
      </c>
      <c r="K4479">
        <v>0</v>
      </c>
      <c r="L4479">
        <v>0</v>
      </c>
    </row>
    <row r="4480" spans="1:12">
      <c r="A4480" s="93">
        <v>452027</v>
      </c>
      <c r="B4480" t="s">
        <v>4950</v>
      </c>
      <c r="C4480" t="s">
        <v>5604</v>
      </c>
      <c r="D4480" s="92">
        <v>0.19</v>
      </c>
      <c r="E4480" s="92">
        <v>0.09</v>
      </c>
      <c r="F4480" t="s">
        <v>428</v>
      </c>
      <c r="G4480" t="s">
        <v>428</v>
      </c>
      <c r="H4480" t="s">
        <v>5617</v>
      </c>
      <c r="I4480">
        <v>0</v>
      </c>
      <c r="J4480" t="s">
        <v>87</v>
      </c>
      <c r="K4480">
        <v>0</v>
      </c>
      <c r="L4480">
        <v>0</v>
      </c>
    </row>
    <row r="4481" spans="1:12">
      <c r="A4481" s="93">
        <v>452036</v>
      </c>
      <c r="B4481" t="s">
        <v>4951</v>
      </c>
      <c r="C4481" t="s">
        <v>5606</v>
      </c>
      <c r="D4481" s="92" t="s">
        <v>428</v>
      </c>
      <c r="E4481" s="92" t="s">
        <v>428</v>
      </c>
      <c r="F4481" t="s">
        <v>428</v>
      </c>
      <c r="G4481" t="s">
        <v>428</v>
      </c>
      <c r="H4481" t="s">
        <v>5615</v>
      </c>
      <c r="I4481">
        <v>0</v>
      </c>
      <c r="J4481" t="s">
        <v>87</v>
      </c>
      <c r="K4481">
        <v>0</v>
      </c>
      <c r="L4481">
        <v>0</v>
      </c>
    </row>
    <row r="4482" spans="1:12">
      <c r="A4482" s="93">
        <v>452045</v>
      </c>
      <c r="B4482" t="s">
        <v>4952</v>
      </c>
      <c r="C4482" t="s">
        <v>5606</v>
      </c>
      <c r="D4482" s="92" t="s">
        <v>428</v>
      </c>
      <c r="E4482" s="92" t="s">
        <v>428</v>
      </c>
      <c r="F4482" t="s">
        <v>428</v>
      </c>
      <c r="G4482" t="s">
        <v>428</v>
      </c>
      <c r="H4482" t="s">
        <v>5615</v>
      </c>
      <c r="I4482">
        <v>0</v>
      </c>
      <c r="J4482" t="s">
        <v>87</v>
      </c>
      <c r="K4482">
        <v>0</v>
      </c>
      <c r="L4482">
        <v>0</v>
      </c>
    </row>
    <row r="4483" spans="1:12">
      <c r="A4483" s="93">
        <v>452054</v>
      </c>
      <c r="B4483" t="s">
        <v>4953</v>
      </c>
      <c r="C4483" t="s">
        <v>5606</v>
      </c>
      <c r="D4483" s="92" t="s">
        <v>428</v>
      </c>
      <c r="E4483" s="92" t="s">
        <v>428</v>
      </c>
      <c r="F4483" t="s">
        <v>428</v>
      </c>
      <c r="G4483" t="s">
        <v>428</v>
      </c>
      <c r="H4483" t="s">
        <v>5617</v>
      </c>
      <c r="I4483">
        <v>0</v>
      </c>
      <c r="J4483" t="s">
        <v>87</v>
      </c>
      <c r="K4483">
        <v>0</v>
      </c>
      <c r="L4483">
        <v>0</v>
      </c>
    </row>
    <row r="4484" spans="1:12">
      <c r="A4484" s="93">
        <v>452063</v>
      </c>
      <c r="B4484" t="s">
        <v>4954</v>
      </c>
      <c r="C4484" t="s">
        <v>5606</v>
      </c>
      <c r="D4484" s="92" t="s">
        <v>428</v>
      </c>
      <c r="E4484" s="92" t="s">
        <v>428</v>
      </c>
      <c r="F4484" t="s">
        <v>428</v>
      </c>
      <c r="G4484" t="s">
        <v>428</v>
      </c>
      <c r="H4484" t="s">
        <v>5617</v>
      </c>
      <c r="I4484">
        <v>0</v>
      </c>
      <c r="J4484" t="s">
        <v>87</v>
      </c>
      <c r="K4484">
        <v>0</v>
      </c>
      <c r="L4484">
        <v>0</v>
      </c>
    </row>
    <row r="4485" spans="1:12">
      <c r="A4485" s="93">
        <v>452081</v>
      </c>
      <c r="B4485" t="s">
        <v>4955</v>
      </c>
      <c r="C4485" t="s">
        <v>5606</v>
      </c>
      <c r="D4485" s="92" t="s">
        <v>428</v>
      </c>
      <c r="E4485" s="92" t="s">
        <v>428</v>
      </c>
      <c r="F4485" t="s">
        <v>428</v>
      </c>
      <c r="G4485" t="s">
        <v>428</v>
      </c>
      <c r="H4485" t="s">
        <v>5617</v>
      </c>
      <c r="I4485">
        <v>0</v>
      </c>
      <c r="J4485" t="s">
        <v>87</v>
      </c>
      <c r="K4485">
        <v>0</v>
      </c>
      <c r="L4485">
        <v>0</v>
      </c>
    </row>
    <row r="4486" spans="1:12">
      <c r="A4486" s="93">
        <v>452090</v>
      </c>
      <c r="B4486" t="s">
        <v>4956</v>
      </c>
      <c r="C4486" t="s">
        <v>5604</v>
      </c>
      <c r="D4486" s="92">
        <v>0.14</v>
      </c>
      <c r="E4486" s="92">
        <v>0</v>
      </c>
      <c r="F4486" t="s">
        <v>428</v>
      </c>
      <c r="G4486" t="s">
        <v>428</v>
      </c>
      <c r="H4486" t="s">
        <v>5617</v>
      </c>
      <c r="I4486">
        <v>0</v>
      </c>
      <c r="J4486" t="s">
        <v>87</v>
      </c>
      <c r="K4486">
        <v>0</v>
      </c>
      <c r="L4486">
        <v>0</v>
      </c>
    </row>
    <row r="4487" spans="1:12">
      <c r="A4487" s="93">
        <v>452106</v>
      </c>
      <c r="B4487" t="s">
        <v>4957</v>
      </c>
      <c r="C4487" t="s">
        <v>5606</v>
      </c>
      <c r="D4487" s="92" t="s">
        <v>428</v>
      </c>
      <c r="E4487" s="92" t="s">
        <v>428</v>
      </c>
      <c r="F4487" t="s">
        <v>428</v>
      </c>
      <c r="G4487" t="s">
        <v>428</v>
      </c>
      <c r="H4487" t="s">
        <v>5615</v>
      </c>
      <c r="I4487">
        <v>0</v>
      </c>
      <c r="J4487" t="s">
        <v>87</v>
      </c>
      <c r="K4487">
        <v>0</v>
      </c>
      <c r="L4487">
        <v>0</v>
      </c>
    </row>
    <row r="4488" spans="1:12">
      <c r="A4488" s="93">
        <v>452115</v>
      </c>
      <c r="B4488" t="s">
        <v>4958</v>
      </c>
      <c r="C4488" t="s">
        <v>5606</v>
      </c>
      <c r="D4488" s="92" t="s">
        <v>428</v>
      </c>
      <c r="E4488" s="92" t="s">
        <v>428</v>
      </c>
      <c r="F4488" t="s">
        <v>428</v>
      </c>
      <c r="G4488" t="s">
        <v>428</v>
      </c>
      <c r="H4488" t="s">
        <v>5617</v>
      </c>
      <c r="I4488">
        <v>0</v>
      </c>
      <c r="J4488" t="s">
        <v>87</v>
      </c>
      <c r="K4488">
        <v>0</v>
      </c>
      <c r="L4488">
        <v>0</v>
      </c>
    </row>
    <row r="4489" spans="1:12">
      <c r="A4489" s="93">
        <v>452124</v>
      </c>
      <c r="B4489" t="s">
        <v>4959</v>
      </c>
      <c r="C4489" t="s">
        <v>5606</v>
      </c>
      <c r="D4489" s="92" t="s">
        <v>428</v>
      </c>
      <c r="E4489" s="92" t="s">
        <v>428</v>
      </c>
      <c r="F4489" t="s">
        <v>428</v>
      </c>
      <c r="G4489" t="s">
        <v>428</v>
      </c>
      <c r="H4489" t="s">
        <v>5617</v>
      </c>
      <c r="I4489">
        <v>0</v>
      </c>
      <c r="J4489" t="s">
        <v>87</v>
      </c>
      <c r="K4489">
        <v>0</v>
      </c>
      <c r="L4489">
        <v>0</v>
      </c>
    </row>
    <row r="4490" spans="1:12">
      <c r="A4490" s="93">
        <v>452373</v>
      </c>
      <c r="B4490" t="s">
        <v>4960</v>
      </c>
      <c r="C4490" t="s">
        <v>5606</v>
      </c>
      <c r="D4490" s="92" t="s">
        <v>428</v>
      </c>
      <c r="E4490" s="92" t="s">
        <v>428</v>
      </c>
      <c r="F4490" t="s">
        <v>428</v>
      </c>
      <c r="G4490" t="s">
        <v>428</v>
      </c>
      <c r="H4490" t="s">
        <v>5617</v>
      </c>
      <c r="I4490">
        <v>0</v>
      </c>
      <c r="J4490" t="s">
        <v>87</v>
      </c>
      <c r="K4490">
        <v>0</v>
      </c>
      <c r="L4490">
        <v>0</v>
      </c>
    </row>
    <row r="4491" spans="1:12">
      <c r="A4491" s="93">
        <v>452948</v>
      </c>
      <c r="B4491" t="s">
        <v>4961</v>
      </c>
      <c r="C4491" t="s">
        <v>5606</v>
      </c>
      <c r="D4491" s="92" t="s">
        <v>428</v>
      </c>
      <c r="E4491" s="92" t="s">
        <v>428</v>
      </c>
      <c r="F4491" t="s">
        <v>428</v>
      </c>
      <c r="G4491" t="s">
        <v>428</v>
      </c>
      <c r="H4491" t="s">
        <v>5617</v>
      </c>
      <c r="I4491">
        <v>0</v>
      </c>
      <c r="J4491" t="s">
        <v>87</v>
      </c>
      <c r="K4491">
        <v>0</v>
      </c>
      <c r="L4491">
        <v>0</v>
      </c>
    </row>
    <row r="4492" spans="1:12">
      <c r="A4492" s="93">
        <v>453109</v>
      </c>
      <c r="B4492" t="s">
        <v>4962</v>
      </c>
      <c r="C4492" t="s">
        <v>5606</v>
      </c>
      <c r="D4492" s="92" t="s">
        <v>428</v>
      </c>
      <c r="E4492" s="92" t="s">
        <v>428</v>
      </c>
      <c r="F4492" t="s">
        <v>428</v>
      </c>
      <c r="G4492" t="s">
        <v>428</v>
      </c>
      <c r="H4492" t="s">
        <v>5617</v>
      </c>
      <c r="I4492">
        <v>0</v>
      </c>
      <c r="J4492" t="s">
        <v>87</v>
      </c>
      <c r="K4492">
        <v>0</v>
      </c>
      <c r="L4492">
        <v>0</v>
      </c>
    </row>
    <row r="4493" spans="1:12">
      <c r="A4493" s="93">
        <v>453163</v>
      </c>
      <c r="B4493" t="s">
        <v>4963</v>
      </c>
      <c r="C4493" t="s">
        <v>5604</v>
      </c>
      <c r="D4493" s="92">
        <v>0.14</v>
      </c>
      <c r="E4493" s="92">
        <v>0</v>
      </c>
      <c r="F4493" t="s">
        <v>428</v>
      </c>
      <c r="G4493" t="s">
        <v>428</v>
      </c>
      <c r="H4493" t="s">
        <v>5617</v>
      </c>
      <c r="I4493">
        <v>0</v>
      </c>
      <c r="J4493" t="s">
        <v>87</v>
      </c>
      <c r="K4493">
        <v>0</v>
      </c>
      <c r="L4493">
        <v>0</v>
      </c>
    </row>
    <row r="4494" spans="1:12">
      <c r="A4494" s="93">
        <v>453215</v>
      </c>
      <c r="B4494" t="s">
        <v>4964</v>
      </c>
      <c r="C4494" t="s">
        <v>5604</v>
      </c>
      <c r="D4494" s="92">
        <v>0.09</v>
      </c>
      <c r="E4494" s="92">
        <v>0.12</v>
      </c>
      <c r="F4494" t="s">
        <v>428</v>
      </c>
      <c r="G4494" t="s">
        <v>428</v>
      </c>
      <c r="H4494" t="s">
        <v>5617</v>
      </c>
      <c r="I4494">
        <v>0</v>
      </c>
      <c r="J4494" t="s">
        <v>87</v>
      </c>
      <c r="K4494">
        <v>0</v>
      </c>
      <c r="L4494">
        <v>0</v>
      </c>
    </row>
    <row r="4495" spans="1:12">
      <c r="A4495" s="93">
        <v>453455</v>
      </c>
      <c r="B4495" t="s">
        <v>4965</v>
      </c>
      <c r="C4495" t="s">
        <v>5606</v>
      </c>
      <c r="D4495" s="92" t="s">
        <v>428</v>
      </c>
      <c r="E4495" s="92" t="s">
        <v>428</v>
      </c>
      <c r="F4495" t="s">
        <v>428</v>
      </c>
      <c r="G4495" t="s">
        <v>428</v>
      </c>
      <c r="H4495" t="s">
        <v>5617</v>
      </c>
      <c r="I4495">
        <v>0</v>
      </c>
      <c r="J4495" t="s">
        <v>87</v>
      </c>
      <c r="K4495">
        <v>0</v>
      </c>
      <c r="L4495">
        <v>0</v>
      </c>
    </row>
    <row r="4496" spans="1:12">
      <c r="A4496" s="93">
        <v>453464</v>
      </c>
      <c r="B4496" t="s">
        <v>4966</v>
      </c>
      <c r="C4496" t="s">
        <v>5606</v>
      </c>
      <c r="D4496" s="92" t="s">
        <v>428</v>
      </c>
      <c r="E4496" s="92" t="s">
        <v>428</v>
      </c>
      <c r="F4496" t="s">
        <v>428</v>
      </c>
      <c r="G4496" t="s">
        <v>428</v>
      </c>
      <c r="H4496" t="s">
        <v>5616</v>
      </c>
      <c r="I4496">
        <v>0</v>
      </c>
      <c r="J4496" t="s">
        <v>87</v>
      </c>
      <c r="K4496">
        <v>0</v>
      </c>
      <c r="L4496">
        <v>0</v>
      </c>
    </row>
    <row r="4497" spans="1:12">
      <c r="A4497" s="93">
        <v>453473</v>
      </c>
      <c r="B4497" t="s">
        <v>4967</v>
      </c>
      <c r="C4497" t="s">
        <v>5606</v>
      </c>
      <c r="D4497" s="92" t="s">
        <v>428</v>
      </c>
      <c r="E4497" s="92" t="s">
        <v>428</v>
      </c>
      <c r="F4497" t="s">
        <v>428</v>
      </c>
      <c r="G4497" t="s">
        <v>428</v>
      </c>
      <c r="H4497" t="s">
        <v>5617</v>
      </c>
      <c r="I4497">
        <v>0</v>
      </c>
      <c r="J4497" t="s">
        <v>87</v>
      </c>
      <c r="K4497">
        <v>0</v>
      </c>
      <c r="L4497">
        <v>0</v>
      </c>
    </row>
    <row r="4498" spans="1:12">
      <c r="A4498" s="93">
        <v>453747</v>
      </c>
      <c r="B4498" t="s">
        <v>4968</v>
      </c>
      <c r="C4498" t="s">
        <v>5606</v>
      </c>
      <c r="D4498" s="92">
        <v>0.7</v>
      </c>
      <c r="E4498" s="92">
        <v>0.58</v>
      </c>
      <c r="F4498" t="s">
        <v>428</v>
      </c>
      <c r="G4498" t="s">
        <v>428</v>
      </c>
      <c r="H4498" t="s">
        <v>5617</v>
      </c>
      <c r="I4498">
        <v>0</v>
      </c>
      <c r="J4498" t="s">
        <v>87</v>
      </c>
      <c r="K4498">
        <v>0</v>
      </c>
      <c r="L4498">
        <v>0</v>
      </c>
    </row>
    <row r="4499" spans="1:12">
      <c r="A4499" s="93">
        <v>453792</v>
      </c>
      <c r="B4499" t="s">
        <v>4969</v>
      </c>
      <c r="C4499" t="s">
        <v>5606</v>
      </c>
      <c r="D4499" s="92" t="s">
        <v>428</v>
      </c>
      <c r="E4499" s="92" t="s">
        <v>428</v>
      </c>
      <c r="F4499" t="s">
        <v>428</v>
      </c>
      <c r="G4499" t="s">
        <v>428</v>
      </c>
      <c r="H4499" t="s">
        <v>5616</v>
      </c>
      <c r="I4499">
        <v>0</v>
      </c>
      <c r="J4499" t="s">
        <v>87</v>
      </c>
      <c r="K4499">
        <v>0</v>
      </c>
      <c r="L4499">
        <v>0</v>
      </c>
    </row>
    <row r="4500" spans="1:12">
      <c r="A4500" s="93">
        <v>453817</v>
      </c>
      <c r="B4500" t="s">
        <v>4970</v>
      </c>
      <c r="C4500" t="s">
        <v>5606</v>
      </c>
      <c r="D4500" s="92" t="s">
        <v>428</v>
      </c>
      <c r="E4500" s="92" t="s">
        <v>428</v>
      </c>
      <c r="F4500" t="s">
        <v>428</v>
      </c>
      <c r="G4500" t="s">
        <v>428</v>
      </c>
      <c r="H4500" t="s">
        <v>5617</v>
      </c>
      <c r="I4500">
        <v>0</v>
      </c>
      <c r="J4500" t="s">
        <v>87</v>
      </c>
      <c r="K4500">
        <v>0</v>
      </c>
      <c r="L4500">
        <v>0</v>
      </c>
    </row>
    <row r="4501" spans="1:12">
      <c r="A4501" s="93">
        <v>454184</v>
      </c>
      <c r="B4501" t="s">
        <v>4971</v>
      </c>
      <c r="C4501" t="s">
        <v>5603</v>
      </c>
      <c r="D4501" s="92">
        <v>0.5</v>
      </c>
      <c r="E4501" s="92">
        <v>0.36</v>
      </c>
      <c r="F4501">
        <v>24</v>
      </c>
      <c r="G4501">
        <v>26</v>
      </c>
      <c r="H4501" t="s">
        <v>5617</v>
      </c>
      <c r="I4501">
        <v>0</v>
      </c>
      <c r="J4501" t="s">
        <v>87</v>
      </c>
      <c r="K4501">
        <v>0</v>
      </c>
      <c r="L4501">
        <v>0</v>
      </c>
    </row>
    <row r="4502" spans="1:12">
      <c r="A4502" s="93">
        <v>454227</v>
      </c>
      <c r="B4502" t="s">
        <v>4972</v>
      </c>
      <c r="C4502" t="s">
        <v>5607</v>
      </c>
      <c r="D4502" s="92">
        <v>0.62</v>
      </c>
      <c r="E4502" s="92">
        <v>0.4</v>
      </c>
      <c r="F4502" t="s">
        <v>428</v>
      </c>
      <c r="G4502" t="s">
        <v>428</v>
      </c>
      <c r="H4502" t="s">
        <v>5617</v>
      </c>
      <c r="I4502">
        <v>0</v>
      </c>
      <c r="J4502" t="s">
        <v>87</v>
      </c>
      <c r="K4502">
        <v>0</v>
      </c>
      <c r="L4502">
        <v>1</v>
      </c>
    </row>
    <row r="4503" spans="1:12">
      <c r="A4503" s="93">
        <v>454236</v>
      </c>
      <c r="B4503" t="s">
        <v>4973</v>
      </c>
      <c r="C4503" t="s">
        <v>5607</v>
      </c>
      <c r="D4503" s="92">
        <v>0.32</v>
      </c>
      <c r="E4503" s="92">
        <v>0.2</v>
      </c>
      <c r="F4503" t="s">
        <v>428</v>
      </c>
      <c r="G4503" t="s">
        <v>428</v>
      </c>
      <c r="H4503" t="s">
        <v>5617</v>
      </c>
      <c r="I4503">
        <v>0</v>
      </c>
      <c r="J4503" t="s">
        <v>87</v>
      </c>
      <c r="K4503">
        <v>0</v>
      </c>
      <c r="L4503">
        <v>0</v>
      </c>
    </row>
    <row r="4504" spans="1:12">
      <c r="A4504" s="93">
        <v>454245</v>
      </c>
      <c r="B4504" t="s">
        <v>4974</v>
      </c>
      <c r="C4504" t="s">
        <v>5607</v>
      </c>
      <c r="D4504" s="92">
        <v>1</v>
      </c>
      <c r="E4504" s="92" t="s">
        <v>428</v>
      </c>
      <c r="F4504" t="s">
        <v>428</v>
      </c>
      <c r="G4504" t="s">
        <v>428</v>
      </c>
      <c r="H4504" t="s">
        <v>5617</v>
      </c>
      <c r="I4504">
        <v>0</v>
      </c>
      <c r="J4504" t="s">
        <v>87</v>
      </c>
      <c r="K4504">
        <v>0</v>
      </c>
      <c r="L4504">
        <v>0</v>
      </c>
    </row>
    <row r="4505" spans="1:12">
      <c r="A4505" s="93">
        <v>454306</v>
      </c>
      <c r="B4505" t="s">
        <v>4975</v>
      </c>
      <c r="C4505" t="s">
        <v>5606</v>
      </c>
      <c r="D4505" s="92" t="s">
        <v>428</v>
      </c>
      <c r="E4505" s="92" t="s">
        <v>428</v>
      </c>
      <c r="F4505" t="s">
        <v>428</v>
      </c>
      <c r="G4505" t="s">
        <v>428</v>
      </c>
      <c r="H4505" t="s">
        <v>5617</v>
      </c>
      <c r="I4505">
        <v>0</v>
      </c>
      <c r="J4505" t="s">
        <v>87</v>
      </c>
      <c r="K4505">
        <v>0</v>
      </c>
      <c r="L4505">
        <v>0</v>
      </c>
    </row>
    <row r="4506" spans="1:12">
      <c r="A4506" s="93">
        <v>454458</v>
      </c>
      <c r="B4506" t="s">
        <v>1669</v>
      </c>
      <c r="C4506" t="s">
        <v>5606</v>
      </c>
      <c r="D4506" s="92" t="s">
        <v>428</v>
      </c>
      <c r="E4506" s="92" t="s">
        <v>428</v>
      </c>
      <c r="F4506" t="s">
        <v>428</v>
      </c>
      <c r="G4506" t="s">
        <v>428</v>
      </c>
      <c r="H4506" t="s">
        <v>5617</v>
      </c>
      <c r="I4506">
        <v>0</v>
      </c>
      <c r="J4506" t="s">
        <v>87</v>
      </c>
      <c r="K4506">
        <v>0</v>
      </c>
      <c r="L4506">
        <v>0</v>
      </c>
    </row>
    <row r="4507" spans="1:12">
      <c r="A4507" s="93">
        <v>454537</v>
      </c>
      <c r="B4507" t="s">
        <v>4976</v>
      </c>
      <c r="C4507" t="s">
        <v>5606</v>
      </c>
      <c r="D4507" s="92" t="s">
        <v>428</v>
      </c>
      <c r="E4507" s="92" t="s">
        <v>428</v>
      </c>
      <c r="F4507" t="s">
        <v>428</v>
      </c>
      <c r="G4507" t="s">
        <v>428</v>
      </c>
      <c r="H4507" t="s">
        <v>5613</v>
      </c>
      <c r="I4507">
        <v>1</v>
      </c>
      <c r="J4507" t="s">
        <v>87</v>
      </c>
      <c r="K4507">
        <v>0</v>
      </c>
      <c r="L4507">
        <v>0</v>
      </c>
    </row>
    <row r="4508" spans="1:12">
      <c r="A4508" s="93">
        <v>454582</v>
      </c>
      <c r="B4508" t="s">
        <v>4977</v>
      </c>
      <c r="C4508" t="s">
        <v>5604</v>
      </c>
      <c r="D4508" s="92" t="s">
        <v>428</v>
      </c>
      <c r="E4508" s="92" t="s">
        <v>428</v>
      </c>
      <c r="F4508" t="s">
        <v>428</v>
      </c>
      <c r="G4508" t="s">
        <v>428</v>
      </c>
      <c r="H4508" t="s">
        <v>5615</v>
      </c>
      <c r="I4508">
        <v>0</v>
      </c>
      <c r="J4508" t="s">
        <v>87</v>
      </c>
      <c r="K4508">
        <v>0</v>
      </c>
      <c r="L4508">
        <v>0</v>
      </c>
    </row>
    <row r="4509" spans="1:12">
      <c r="A4509" s="93">
        <v>454616</v>
      </c>
      <c r="B4509" t="s">
        <v>4978</v>
      </c>
      <c r="C4509" t="s">
        <v>5604</v>
      </c>
      <c r="D4509" s="92">
        <v>0.62</v>
      </c>
      <c r="E4509" s="92">
        <v>0.55</v>
      </c>
      <c r="F4509" t="s">
        <v>428</v>
      </c>
      <c r="G4509" t="s">
        <v>428</v>
      </c>
      <c r="H4509" t="s">
        <v>5617</v>
      </c>
      <c r="I4509">
        <v>0</v>
      </c>
      <c r="J4509" t="s">
        <v>87</v>
      </c>
      <c r="K4509">
        <v>0</v>
      </c>
      <c r="L4509">
        <v>0</v>
      </c>
    </row>
    <row r="4510" spans="1:12">
      <c r="A4510" s="93">
        <v>454625</v>
      </c>
      <c r="B4510" t="s">
        <v>4979</v>
      </c>
      <c r="C4510" t="s">
        <v>5606</v>
      </c>
      <c r="D4510" s="92" t="s">
        <v>428</v>
      </c>
      <c r="E4510" s="92" t="s">
        <v>428</v>
      </c>
      <c r="F4510" t="s">
        <v>428</v>
      </c>
      <c r="G4510" t="s">
        <v>428</v>
      </c>
      <c r="H4510" t="s">
        <v>5617</v>
      </c>
      <c r="I4510">
        <v>0</v>
      </c>
      <c r="J4510" t="s">
        <v>87</v>
      </c>
      <c r="K4510">
        <v>0</v>
      </c>
      <c r="L4510">
        <v>0</v>
      </c>
    </row>
    <row r="4511" spans="1:12">
      <c r="A4511" s="93">
        <v>454689</v>
      </c>
      <c r="B4511" t="s">
        <v>4980</v>
      </c>
      <c r="C4511" t="s">
        <v>5607</v>
      </c>
      <c r="D4511" s="92" t="s">
        <v>428</v>
      </c>
      <c r="E4511" s="92" t="s">
        <v>428</v>
      </c>
      <c r="F4511" t="s">
        <v>428</v>
      </c>
      <c r="G4511" t="s">
        <v>428</v>
      </c>
      <c r="H4511" t="s">
        <v>5615</v>
      </c>
      <c r="I4511">
        <v>0</v>
      </c>
      <c r="J4511" t="s">
        <v>87</v>
      </c>
      <c r="K4511">
        <v>0</v>
      </c>
      <c r="L4511">
        <v>0</v>
      </c>
    </row>
    <row r="4512" spans="1:12">
      <c r="A4512" s="93">
        <v>454698</v>
      </c>
      <c r="B4512" t="s">
        <v>4981</v>
      </c>
      <c r="C4512" t="s">
        <v>5606</v>
      </c>
      <c r="D4512" s="92" t="s">
        <v>428</v>
      </c>
      <c r="E4512" s="92" t="s">
        <v>428</v>
      </c>
      <c r="F4512" t="s">
        <v>428</v>
      </c>
      <c r="G4512" t="s">
        <v>428</v>
      </c>
      <c r="H4512" t="s">
        <v>5617</v>
      </c>
      <c r="I4512">
        <v>0</v>
      </c>
      <c r="J4512" t="s">
        <v>87</v>
      </c>
      <c r="K4512">
        <v>0</v>
      </c>
      <c r="L4512">
        <v>0</v>
      </c>
    </row>
    <row r="4513" spans="1:12">
      <c r="A4513" s="93">
        <v>454786</v>
      </c>
      <c r="B4513" t="s">
        <v>4982</v>
      </c>
      <c r="C4513" t="s">
        <v>5606</v>
      </c>
      <c r="D4513" s="92">
        <v>0.87</v>
      </c>
      <c r="E4513" s="92">
        <v>0.86</v>
      </c>
      <c r="F4513" t="s">
        <v>428</v>
      </c>
      <c r="G4513" t="s">
        <v>428</v>
      </c>
      <c r="H4513" t="s">
        <v>5616</v>
      </c>
      <c r="I4513">
        <v>0</v>
      </c>
      <c r="J4513" t="s">
        <v>87</v>
      </c>
      <c r="K4513">
        <v>0</v>
      </c>
      <c r="L4513">
        <v>0</v>
      </c>
    </row>
    <row r="4514" spans="1:12">
      <c r="A4514" s="93">
        <v>454810</v>
      </c>
      <c r="B4514" t="s">
        <v>4983</v>
      </c>
      <c r="C4514" t="s">
        <v>5606</v>
      </c>
      <c r="D4514" s="92" t="s">
        <v>428</v>
      </c>
      <c r="E4514" s="92" t="s">
        <v>428</v>
      </c>
      <c r="F4514" t="s">
        <v>428</v>
      </c>
      <c r="G4514" t="s">
        <v>428</v>
      </c>
      <c r="H4514" t="s">
        <v>5617</v>
      </c>
      <c r="I4514">
        <v>0</v>
      </c>
      <c r="J4514" t="s">
        <v>87</v>
      </c>
      <c r="K4514">
        <v>0</v>
      </c>
      <c r="L4514">
        <v>0</v>
      </c>
    </row>
    <row r="4515" spans="1:12">
      <c r="A4515" s="93">
        <v>454829</v>
      </c>
      <c r="B4515" t="s">
        <v>4984</v>
      </c>
      <c r="C4515" t="s">
        <v>5604</v>
      </c>
      <c r="D4515" s="92" t="s">
        <v>428</v>
      </c>
      <c r="E4515" s="92" t="s">
        <v>428</v>
      </c>
      <c r="F4515" t="s">
        <v>428</v>
      </c>
      <c r="G4515" t="s">
        <v>428</v>
      </c>
      <c r="H4515" t="s">
        <v>5617</v>
      </c>
      <c r="I4515">
        <v>0</v>
      </c>
      <c r="J4515" t="s">
        <v>87</v>
      </c>
      <c r="K4515">
        <v>0</v>
      </c>
      <c r="L4515">
        <v>0</v>
      </c>
    </row>
    <row r="4516" spans="1:12">
      <c r="A4516" s="93">
        <v>454838</v>
      </c>
      <c r="B4516" t="s">
        <v>4985</v>
      </c>
      <c r="C4516" t="s">
        <v>5607</v>
      </c>
      <c r="D4516" s="92" t="s">
        <v>428</v>
      </c>
      <c r="E4516" s="92" t="s">
        <v>428</v>
      </c>
      <c r="F4516" t="s">
        <v>428</v>
      </c>
      <c r="G4516" t="s">
        <v>428</v>
      </c>
      <c r="H4516" t="s">
        <v>5615</v>
      </c>
      <c r="I4516">
        <v>0</v>
      </c>
      <c r="J4516" t="s">
        <v>87</v>
      </c>
      <c r="K4516">
        <v>0</v>
      </c>
      <c r="L4516">
        <v>0</v>
      </c>
    </row>
    <row r="4517" spans="1:12">
      <c r="A4517" s="93">
        <v>454847</v>
      </c>
      <c r="B4517" t="s">
        <v>4986</v>
      </c>
      <c r="C4517" t="s">
        <v>5606</v>
      </c>
      <c r="D4517" s="92" t="s">
        <v>428</v>
      </c>
      <c r="E4517" s="92" t="s">
        <v>428</v>
      </c>
      <c r="F4517" t="s">
        <v>428</v>
      </c>
      <c r="G4517" t="s">
        <v>428</v>
      </c>
      <c r="H4517" t="s">
        <v>5614</v>
      </c>
      <c r="I4517">
        <v>1</v>
      </c>
      <c r="J4517" t="s">
        <v>87</v>
      </c>
      <c r="K4517">
        <v>0</v>
      </c>
      <c r="L4517">
        <v>0</v>
      </c>
    </row>
    <row r="4518" spans="1:12">
      <c r="A4518" s="93">
        <v>454856</v>
      </c>
      <c r="B4518" t="s">
        <v>4987</v>
      </c>
      <c r="C4518" t="s">
        <v>5607</v>
      </c>
      <c r="D4518" s="92">
        <v>0.31</v>
      </c>
      <c r="E4518" s="92">
        <v>0</v>
      </c>
      <c r="F4518" t="s">
        <v>428</v>
      </c>
      <c r="G4518" t="s">
        <v>428</v>
      </c>
      <c r="H4518" t="s">
        <v>5615</v>
      </c>
      <c r="I4518">
        <v>0</v>
      </c>
      <c r="J4518" t="s">
        <v>87</v>
      </c>
      <c r="K4518">
        <v>0</v>
      </c>
      <c r="L4518">
        <v>0</v>
      </c>
    </row>
    <row r="4519" spans="1:12">
      <c r="A4519" s="93">
        <v>454865</v>
      </c>
      <c r="B4519" t="s">
        <v>4988</v>
      </c>
      <c r="C4519" t="s">
        <v>5606</v>
      </c>
      <c r="D4519" s="92" t="s">
        <v>428</v>
      </c>
      <c r="E4519" s="92" t="s">
        <v>428</v>
      </c>
      <c r="F4519" t="s">
        <v>428</v>
      </c>
      <c r="G4519" t="s">
        <v>428</v>
      </c>
      <c r="H4519" t="s">
        <v>5617</v>
      </c>
      <c r="I4519">
        <v>0</v>
      </c>
      <c r="J4519" t="s">
        <v>87</v>
      </c>
      <c r="K4519">
        <v>0</v>
      </c>
      <c r="L4519">
        <v>0</v>
      </c>
    </row>
    <row r="4520" spans="1:12">
      <c r="A4520" s="93">
        <v>454883</v>
      </c>
      <c r="B4520" t="s">
        <v>4989</v>
      </c>
      <c r="C4520" t="s">
        <v>5606</v>
      </c>
      <c r="D4520" s="92" t="s">
        <v>428</v>
      </c>
      <c r="E4520" s="92" t="s">
        <v>428</v>
      </c>
      <c r="F4520" t="s">
        <v>428</v>
      </c>
      <c r="G4520" t="s">
        <v>428</v>
      </c>
      <c r="H4520" t="s">
        <v>5617</v>
      </c>
      <c r="I4520">
        <v>0</v>
      </c>
      <c r="J4520" t="s">
        <v>87</v>
      </c>
      <c r="K4520">
        <v>0</v>
      </c>
      <c r="L4520">
        <v>0</v>
      </c>
    </row>
    <row r="4521" spans="1:12">
      <c r="A4521" s="93">
        <v>454908</v>
      </c>
      <c r="B4521" t="s">
        <v>4990</v>
      </c>
      <c r="C4521" t="s">
        <v>5606</v>
      </c>
      <c r="D4521" s="92" t="s">
        <v>428</v>
      </c>
      <c r="E4521" s="92" t="s">
        <v>428</v>
      </c>
      <c r="F4521" t="s">
        <v>428</v>
      </c>
      <c r="G4521" t="s">
        <v>428</v>
      </c>
      <c r="H4521" t="s">
        <v>5617</v>
      </c>
      <c r="I4521">
        <v>0</v>
      </c>
      <c r="J4521" t="s">
        <v>87</v>
      </c>
      <c r="K4521">
        <v>0</v>
      </c>
      <c r="L4521">
        <v>0</v>
      </c>
    </row>
    <row r="4522" spans="1:12">
      <c r="A4522" s="93">
        <v>454935</v>
      </c>
      <c r="B4522" t="s">
        <v>4991</v>
      </c>
      <c r="C4522" t="s">
        <v>5606</v>
      </c>
      <c r="D4522" s="92">
        <v>0.96</v>
      </c>
      <c r="E4522" s="92">
        <v>1</v>
      </c>
      <c r="F4522" t="s">
        <v>428</v>
      </c>
      <c r="G4522" t="s">
        <v>428</v>
      </c>
      <c r="H4522" t="s">
        <v>5613</v>
      </c>
      <c r="I4522">
        <v>1</v>
      </c>
      <c r="J4522" t="s">
        <v>87</v>
      </c>
      <c r="K4522">
        <v>0</v>
      </c>
      <c r="L4522">
        <v>0</v>
      </c>
    </row>
    <row r="4523" spans="1:12">
      <c r="A4523" s="93">
        <v>454944</v>
      </c>
      <c r="B4523" t="s">
        <v>4992</v>
      </c>
      <c r="C4523" t="s">
        <v>5606</v>
      </c>
      <c r="D4523" s="92" t="s">
        <v>428</v>
      </c>
      <c r="E4523" s="92" t="s">
        <v>428</v>
      </c>
      <c r="F4523" t="s">
        <v>428</v>
      </c>
      <c r="G4523" t="s">
        <v>428</v>
      </c>
      <c r="H4523" t="s">
        <v>5617</v>
      </c>
      <c r="I4523">
        <v>0</v>
      </c>
      <c r="J4523" t="s">
        <v>87</v>
      </c>
      <c r="K4523">
        <v>0</v>
      </c>
      <c r="L4523">
        <v>0</v>
      </c>
    </row>
    <row r="4524" spans="1:12">
      <c r="A4524" s="93">
        <v>455099</v>
      </c>
      <c r="B4524" t="s">
        <v>4993</v>
      </c>
      <c r="C4524" t="s">
        <v>5607</v>
      </c>
      <c r="D4524" s="92" t="s">
        <v>428</v>
      </c>
      <c r="E4524" s="92" t="s">
        <v>428</v>
      </c>
      <c r="F4524" t="s">
        <v>428</v>
      </c>
      <c r="G4524" t="s">
        <v>428</v>
      </c>
      <c r="H4524" t="s">
        <v>5615</v>
      </c>
      <c r="I4524">
        <v>0</v>
      </c>
      <c r="J4524" t="s">
        <v>87</v>
      </c>
      <c r="K4524">
        <v>0</v>
      </c>
      <c r="L4524">
        <v>0</v>
      </c>
    </row>
    <row r="4525" spans="1:12">
      <c r="A4525" s="93">
        <v>455114</v>
      </c>
      <c r="B4525" t="s">
        <v>4994</v>
      </c>
      <c r="C4525" t="s">
        <v>5606</v>
      </c>
      <c r="D4525" s="92">
        <v>0.19</v>
      </c>
      <c r="E4525" s="92">
        <v>0.16</v>
      </c>
      <c r="F4525" t="s">
        <v>428</v>
      </c>
      <c r="G4525" t="s">
        <v>428</v>
      </c>
      <c r="H4525" t="s">
        <v>5615</v>
      </c>
      <c r="I4525">
        <v>0</v>
      </c>
      <c r="J4525" t="s">
        <v>87</v>
      </c>
      <c r="K4525">
        <v>0</v>
      </c>
      <c r="L4525">
        <v>0</v>
      </c>
    </row>
    <row r="4526" spans="1:12">
      <c r="A4526" s="93">
        <v>455169</v>
      </c>
      <c r="B4526" t="s">
        <v>4995</v>
      </c>
      <c r="C4526" t="s">
        <v>5607</v>
      </c>
      <c r="D4526" s="92" t="s">
        <v>428</v>
      </c>
      <c r="E4526" s="92" t="s">
        <v>428</v>
      </c>
      <c r="F4526" t="s">
        <v>428</v>
      </c>
      <c r="G4526" t="s">
        <v>428</v>
      </c>
      <c r="H4526" t="s">
        <v>5615</v>
      </c>
      <c r="I4526">
        <v>0</v>
      </c>
      <c r="J4526" t="s">
        <v>87</v>
      </c>
      <c r="K4526">
        <v>0</v>
      </c>
      <c r="L4526">
        <v>0</v>
      </c>
    </row>
    <row r="4527" spans="1:12">
      <c r="A4527" s="93">
        <v>455178</v>
      </c>
      <c r="B4527" t="s">
        <v>4996</v>
      </c>
      <c r="C4527" t="s">
        <v>5607</v>
      </c>
      <c r="D4527" s="92" t="s">
        <v>428</v>
      </c>
      <c r="E4527" s="92" t="s">
        <v>428</v>
      </c>
      <c r="F4527" t="s">
        <v>428</v>
      </c>
      <c r="G4527" t="s">
        <v>428</v>
      </c>
      <c r="H4527" t="s">
        <v>5615</v>
      </c>
      <c r="I4527">
        <v>0</v>
      </c>
      <c r="J4527" t="s">
        <v>87</v>
      </c>
      <c r="K4527">
        <v>0</v>
      </c>
      <c r="L4527">
        <v>0</v>
      </c>
    </row>
    <row r="4528" spans="1:12">
      <c r="A4528" s="93">
        <v>455196</v>
      </c>
      <c r="B4528" t="s">
        <v>4997</v>
      </c>
      <c r="C4528" t="s">
        <v>5609</v>
      </c>
      <c r="D4528" s="92" t="s">
        <v>428</v>
      </c>
      <c r="E4528" s="92" t="s">
        <v>428</v>
      </c>
      <c r="F4528" t="s">
        <v>428</v>
      </c>
      <c r="G4528" t="s">
        <v>428</v>
      </c>
      <c r="H4528" t="s">
        <v>5617</v>
      </c>
      <c r="I4528">
        <v>0</v>
      </c>
      <c r="J4528" t="s">
        <v>87</v>
      </c>
      <c r="K4528">
        <v>0</v>
      </c>
      <c r="L4528">
        <v>0</v>
      </c>
    </row>
    <row r="4529" spans="1:12">
      <c r="A4529" s="93">
        <v>455202</v>
      </c>
      <c r="B4529" t="s">
        <v>4998</v>
      </c>
      <c r="C4529" t="s">
        <v>5606</v>
      </c>
      <c r="D4529" s="92" t="s">
        <v>428</v>
      </c>
      <c r="E4529" s="92" t="s">
        <v>428</v>
      </c>
      <c r="F4529" t="s">
        <v>428</v>
      </c>
      <c r="G4529" t="s">
        <v>428</v>
      </c>
      <c r="H4529" t="s">
        <v>5615</v>
      </c>
      <c r="I4529">
        <v>0</v>
      </c>
      <c r="J4529" t="s">
        <v>87</v>
      </c>
      <c r="K4529">
        <v>0</v>
      </c>
      <c r="L4529">
        <v>0</v>
      </c>
    </row>
    <row r="4530" spans="1:12">
      <c r="A4530" s="93">
        <v>455257</v>
      </c>
      <c r="B4530" t="s">
        <v>4999</v>
      </c>
      <c r="C4530" t="s">
        <v>5607</v>
      </c>
      <c r="D4530" s="92">
        <v>0.46</v>
      </c>
      <c r="E4530" s="92" t="s">
        <v>428</v>
      </c>
      <c r="F4530" t="s">
        <v>428</v>
      </c>
      <c r="G4530" t="s">
        <v>428</v>
      </c>
      <c r="H4530" t="s">
        <v>5616</v>
      </c>
      <c r="I4530">
        <v>0</v>
      </c>
      <c r="J4530" t="s">
        <v>87</v>
      </c>
      <c r="K4530">
        <v>0</v>
      </c>
      <c r="L4530">
        <v>0</v>
      </c>
    </row>
    <row r="4531" spans="1:12">
      <c r="A4531" s="93">
        <v>455336</v>
      </c>
      <c r="B4531" t="s">
        <v>5000</v>
      </c>
      <c r="C4531" t="s">
        <v>5606</v>
      </c>
      <c r="D4531" s="92" t="s">
        <v>428</v>
      </c>
      <c r="E4531" s="92" t="s">
        <v>428</v>
      </c>
      <c r="F4531" t="s">
        <v>428</v>
      </c>
      <c r="G4531" t="s">
        <v>428</v>
      </c>
      <c r="H4531" t="s">
        <v>5617</v>
      </c>
      <c r="I4531">
        <v>0</v>
      </c>
      <c r="J4531" t="s">
        <v>87</v>
      </c>
      <c r="K4531">
        <v>0</v>
      </c>
      <c r="L4531">
        <v>0</v>
      </c>
    </row>
    <row r="4532" spans="1:12">
      <c r="A4532" s="93">
        <v>455390</v>
      </c>
      <c r="B4532" t="s">
        <v>5001</v>
      </c>
      <c r="C4532" t="s">
        <v>5604</v>
      </c>
      <c r="D4532" s="92">
        <v>0.35</v>
      </c>
      <c r="E4532" s="92">
        <v>0.5</v>
      </c>
      <c r="F4532" t="s">
        <v>428</v>
      </c>
      <c r="G4532" t="s">
        <v>428</v>
      </c>
      <c r="H4532" t="s">
        <v>5617</v>
      </c>
      <c r="I4532">
        <v>0</v>
      </c>
      <c r="J4532" t="s">
        <v>87</v>
      </c>
      <c r="K4532">
        <v>0</v>
      </c>
      <c r="L4532">
        <v>0</v>
      </c>
    </row>
    <row r="4533" spans="1:12">
      <c r="A4533" s="93">
        <v>455406</v>
      </c>
      <c r="B4533" t="s">
        <v>5002</v>
      </c>
      <c r="C4533" t="s">
        <v>5607</v>
      </c>
      <c r="D4533" s="92" t="s">
        <v>428</v>
      </c>
      <c r="E4533" s="92" t="s">
        <v>428</v>
      </c>
      <c r="F4533" t="s">
        <v>428</v>
      </c>
      <c r="G4533" t="s">
        <v>428</v>
      </c>
      <c r="H4533" t="s">
        <v>5615</v>
      </c>
      <c r="I4533">
        <v>0</v>
      </c>
      <c r="J4533" t="s">
        <v>87</v>
      </c>
      <c r="K4533">
        <v>0</v>
      </c>
      <c r="L4533">
        <v>0</v>
      </c>
    </row>
    <row r="4534" spans="1:12">
      <c r="A4534" s="93">
        <v>455433</v>
      </c>
      <c r="B4534" t="s">
        <v>5003</v>
      </c>
      <c r="C4534" t="s">
        <v>5607</v>
      </c>
      <c r="D4534" s="92" t="s">
        <v>428</v>
      </c>
      <c r="E4534" s="92" t="s">
        <v>428</v>
      </c>
      <c r="F4534" t="s">
        <v>428</v>
      </c>
      <c r="G4534" t="s">
        <v>428</v>
      </c>
      <c r="H4534" t="s">
        <v>5615</v>
      </c>
      <c r="I4534">
        <v>0</v>
      </c>
      <c r="J4534" t="s">
        <v>87</v>
      </c>
      <c r="K4534">
        <v>0</v>
      </c>
      <c r="L4534">
        <v>0</v>
      </c>
    </row>
    <row r="4535" spans="1:12">
      <c r="A4535" s="93">
        <v>455479</v>
      </c>
      <c r="B4535" t="s">
        <v>5004</v>
      </c>
      <c r="C4535" t="s">
        <v>5606</v>
      </c>
      <c r="D4535" s="92" t="s">
        <v>428</v>
      </c>
      <c r="E4535" s="92" t="s">
        <v>428</v>
      </c>
      <c r="F4535" t="s">
        <v>428</v>
      </c>
      <c r="G4535" t="s">
        <v>428</v>
      </c>
      <c r="H4535" t="s">
        <v>5617</v>
      </c>
      <c r="I4535">
        <v>0</v>
      </c>
      <c r="J4535" t="s">
        <v>87</v>
      </c>
      <c r="K4535">
        <v>0</v>
      </c>
      <c r="L4535">
        <v>0</v>
      </c>
    </row>
    <row r="4536" spans="1:12">
      <c r="A4536" s="93">
        <v>455512</v>
      </c>
      <c r="B4536" t="s">
        <v>5005</v>
      </c>
      <c r="C4536" t="s">
        <v>5606</v>
      </c>
      <c r="D4536" s="92">
        <v>0.25</v>
      </c>
      <c r="E4536" s="92">
        <v>0.2</v>
      </c>
      <c r="F4536" t="s">
        <v>428</v>
      </c>
      <c r="G4536" t="s">
        <v>428</v>
      </c>
      <c r="H4536" t="s">
        <v>5615</v>
      </c>
      <c r="I4536">
        <v>0</v>
      </c>
      <c r="J4536" t="s">
        <v>87</v>
      </c>
      <c r="K4536">
        <v>0</v>
      </c>
      <c r="L4536">
        <v>0</v>
      </c>
    </row>
    <row r="4537" spans="1:12">
      <c r="A4537" s="93">
        <v>455567</v>
      </c>
      <c r="B4537" t="s">
        <v>5006</v>
      </c>
      <c r="C4537" t="s">
        <v>5606</v>
      </c>
      <c r="D4537" s="92" t="s">
        <v>428</v>
      </c>
      <c r="E4537" s="92" t="s">
        <v>428</v>
      </c>
      <c r="F4537" t="s">
        <v>428</v>
      </c>
      <c r="G4537" t="s">
        <v>428</v>
      </c>
      <c r="H4537" t="s">
        <v>5617</v>
      </c>
      <c r="I4537">
        <v>0</v>
      </c>
      <c r="J4537" t="s">
        <v>87</v>
      </c>
      <c r="K4537">
        <v>0</v>
      </c>
      <c r="L4537">
        <v>0</v>
      </c>
    </row>
    <row r="4538" spans="1:12">
      <c r="A4538" s="93">
        <v>455600</v>
      </c>
      <c r="B4538" t="s">
        <v>5007</v>
      </c>
      <c r="C4538" t="s">
        <v>5607</v>
      </c>
      <c r="D4538" s="92">
        <v>0.11</v>
      </c>
      <c r="E4538" s="92">
        <v>0.29</v>
      </c>
      <c r="F4538" t="s">
        <v>428</v>
      </c>
      <c r="G4538" t="s">
        <v>428</v>
      </c>
      <c r="H4538" t="s">
        <v>5617</v>
      </c>
      <c r="I4538">
        <v>0</v>
      </c>
      <c r="J4538" t="s">
        <v>87</v>
      </c>
      <c r="K4538">
        <v>0</v>
      </c>
      <c r="L4538">
        <v>0</v>
      </c>
    </row>
    <row r="4539" spans="1:12">
      <c r="A4539" s="93">
        <v>455619</v>
      </c>
      <c r="B4539" t="s">
        <v>5008</v>
      </c>
      <c r="C4539" t="s">
        <v>5607</v>
      </c>
      <c r="D4539" s="92">
        <v>0.2</v>
      </c>
      <c r="E4539" s="92">
        <v>0.33</v>
      </c>
      <c r="F4539" t="s">
        <v>428</v>
      </c>
      <c r="G4539" t="s">
        <v>428</v>
      </c>
      <c r="H4539" t="s">
        <v>5617</v>
      </c>
      <c r="I4539">
        <v>0</v>
      </c>
      <c r="J4539" t="s">
        <v>87</v>
      </c>
      <c r="K4539">
        <v>0</v>
      </c>
      <c r="L4539">
        <v>0</v>
      </c>
    </row>
    <row r="4540" spans="1:12">
      <c r="A4540" s="93">
        <v>455628</v>
      </c>
      <c r="B4540" t="s">
        <v>5009</v>
      </c>
      <c r="C4540" t="s">
        <v>5606</v>
      </c>
      <c r="D4540" s="92" t="s">
        <v>428</v>
      </c>
      <c r="E4540" s="92" t="s">
        <v>428</v>
      </c>
      <c r="F4540" t="s">
        <v>428</v>
      </c>
      <c r="G4540" t="s">
        <v>428</v>
      </c>
      <c r="H4540" t="s">
        <v>5617</v>
      </c>
      <c r="I4540">
        <v>0</v>
      </c>
      <c r="J4540" t="s">
        <v>87</v>
      </c>
      <c r="K4540">
        <v>0</v>
      </c>
      <c r="L4540">
        <v>0</v>
      </c>
    </row>
    <row r="4541" spans="1:12">
      <c r="A4541" s="93">
        <v>455655</v>
      </c>
      <c r="B4541" t="s">
        <v>5010</v>
      </c>
      <c r="C4541" t="s">
        <v>5606</v>
      </c>
      <c r="D4541" s="92" t="s">
        <v>428</v>
      </c>
      <c r="E4541" s="92" t="s">
        <v>428</v>
      </c>
      <c r="F4541" t="s">
        <v>428</v>
      </c>
      <c r="G4541" t="s">
        <v>428</v>
      </c>
      <c r="H4541" t="s">
        <v>5617</v>
      </c>
      <c r="I4541">
        <v>0</v>
      </c>
      <c r="J4541" t="s">
        <v>87</v>
      </c>
      <c r="K4541">
        <v>0</v>
      </c>
      <c r="L4541">
        <v>0</v>
      </c>
    </row>
    <row r="4542" spans="1:12">
      <c r="A4542" s="93">
        <v>455664</v>
      </c>
      <c r="B4542" t="s">
        <v>5011</v>
      </c>
      <c r="C4542" t="s">
        <v>5607</v>
      </c>
      <c r="D4542" s="92" t="s">
        <v>428</v>
      </c>
      <c r="E4542" s="92" t="s">
        <v>428</v>
      </c>
      <c r="F4542" t="s">
        <v>428</v>
      </c>
      <c r="G4542" t="s">
        <v>428</v>
      </c>
      <c r="H4542" t="s">
        <v>5615</v>
      </c>
      <c r="I4542">
        <v>0</v>
      </c>
      <c r="J4542" t="s">
        <v>87</v>
      </c>
      <c r="K4542">
        <v>0</v>
      </c>
      <c r="L4542">
        <v>0</v>
      </c>
    </row>
    <row r="4543" spans="1:12">
      <c r="A4543" s="93">
        <v>455707</v>
      </c>
      <c r="B4543" t="s">
        <v>5012</v>
      </c>
      <c r="C4543" t="s">
        <v>5606</v>
      </c>
      <c r="D4543" s="92" t="s">
        <v>428</v>
      </c>
      <c r="E4543" s="92" t="s">
        <v>428</v>
      </c>
      <c r="F4543" t="s">
        <v>428</v>
      </c>
      <c r="G4543" t="s">
        <v>428</v>
      </c>
      <c r="H4543" t="s">
        <v>5615</v>
      </c>
      <c r="I4543">
        <v>0</v>
      </c>
      <c r="J4543" t="s">
        <v>87</v>
      </c>
      <c r="K4543">
        <v>0</v>
      </c>
      <c r="L4543">
        <v>0</v>
      </c>
    </row>
    <row r="4544" spans="1:12">
      <c r="A4544" s="93">
        <v>455716</v>
      </c>
      <c r="B4544" t="s">
        <v>5013</v>
      </c>
      <c r="C4544" t="s">
        <v>5606</v>
      </c>
      <c r="D4544" s="92" t="s">
        <v>428</v>
      </c>
      <c r="E4544" s="92" t="s">
        <v>428</v>
      </c>
      <c r="F4544" t="s">
        <v>428</v>
      </c>
      <c r="G4544" t="s">
        <v>428</v>
      </c>
      <c r="H4544" t="s">
        <v>5617</v>
      </c>
      <c r="I4544">
        <v>0</v>
      </c>
      <c r="J4544" t="s">
        <v>87</v>
      </c>
      <c r="K4544">
        <v>0</v>
      </c>
      <c r="L4544">
        <v>0</v>
      </c>
    </row>
    <row r="4545" spans="1:12">
      <c r="A4545" s="93">
        <v>455770</v>
      </c>
      <c r="B4545" t="s">
        <v>5014</v>
      </c>
      <c r="C4545" t="s">
        <v>5607</v>
      </c>
      <c r="D4545" s="92">
        <v>0.64</v>
      </c>
      <c r="E4545" s="92">
        <v>0.25</v>
      </c>
      <c r="F4545" t="s">
        <v>428</v>
      </c>
      <c r="G4545" t="s">
        <v>428</v>
      </c>
      <c r="H4545" t="s">
        <v>5617</v>
      </c>
      <c r="I4545">
        <v>0</v>
      </c>
      <c r="J4545" t="s">
        <v>87</v>
      </c>
      <c r="K4545">
        <v>0</v>
      </c>
      <c r="L4545">
        <v>0</v>
      </c>
    </row>
    <row r="4546" spans="1:12">
      <c r="A4546" s="93">
        <v>455804</v>
      </c>
      <c r="B4546" t="s">
        <v>5015</v>
      </c>
      <c r="C4546" t="s">
        <v>5607</v>
      </c>
      <c r="D4546" s="92" t="s">
        <v>428</v>
      </c>
      <c r="E4546" s="92" t="s">
        <v>428</v>
      </c>
      <c r="F4546" t="s">
        <v>428</v>
      </c>
      <c r="G4546" t="s">
        <v>428</v>
      </c>
      <c r="H4546" t="s">
        <v>5615</v>
      </c>
      <c r="I4546">
        <v>0</v>
      </c>
      <c r="J4546" t="s">
        <v>87</v>
      </c>
      <c r="K4546">
        <v>0</v>
      </c>
      <c r="L4546">
        <v>0</v>
      </c>
    </row>
    <row r="4547" spans="1:12">
      <c r="A4547" s="93">
        <v>455813</v>
      </c>
      <c r="B4547" t="s">
        <v>5016</v>
      </c>
      <c r="C4547" t="s">
        <v>5607</v>
      </c>
      <c r="D4547" s="92" t="s">
        <v>428</v>
      </c>
      <c r="E4547" s="92" t="s">
        <v>428</v>
      </c>
      <c r="F4547" t="s">
        <v>428</v>
      </c>
      <c r="G4547" t="s">
        <v>428</v>
      </c>
      <c r="H4547" t="s">
        <v>5615</v>
      </c>
      <c r="I4547">
        <v>0</v>
      </c>
      <c r="J4547" t="s">
        <v>87</v>
      </c>
      <c r="K4547">
        <v>0</v>
      </c>
      <c r="L4547">
        <v>0</v>
      </c>
    </row>
    <row r="4548" spans="1:12">
      <c r="A4548" s="93">
        <v>455859</v>
      </c>
      <c r="B4548" t="s">
        <v>5017</v>
      </c>
      <c r="C4548" t="s">
        <v>5606</v>
      </c>
      <c r="D4548" s="92" t="s">
        <v>428</v>
      </c>
      <c r="E4548" s="92" t="s">
        <v>428</v>
      </c>
      <c r="F4548" t="s">
        <v>428</v>
      </c>
      <c r="G4548" t="s">
        <v>428</v>
      </c>
      <c r="H4548" t="s">
        <v>5617</v>
      </c>
      <c r="I4548">
        <v>0</v>
      </c>
      <c r="J4548" t="s">
        <v>87</v>
      </c>
      <c r="K4548">
        <v>0</v>
      </c>
      <c r="L4548">
        <v>0</v>
      </c>
    </row>
    <row r="4549" spans="1:12">
      <c r="A4549" s="93">
        <v>455868</v>
      </c>
      <c r="B4549" t="s">
        <v>5018</v>
      </c>
      <c r="C4549" t="s">
        <v>5606</v>
      </c>
      <c r="D4549" s="92" t="s">
        <v>428</v>
      </c>
      <c r="E4549" s="92" t="s">
        <v>428</v>
      </c>
      <c r="F4549" t="s">
        <v>428</v>
      </c>
      <c r="G4549" t="s">
        <v>428</v>
      </c>
      <c r="H4549" t="s">
        <v>5616</v>
      </c>
      <c r="I4549">
        <v>0</v>
      </c>
      <c r="J4549" t="s">
        <v>87</v>
      </c>
      <c r="K4549">
        <v>0</v>
      </c>
      <c r="L4549">
        <v>0</v>
      </c>
    </row>
    <row r="4550" spans="1:12">
      <c r="A4550" s="93">
        <v>455956</v>
      </c>
      <c r="B4550" t="s">
        <v>5019</v>
      </c>
      <c r="C4550" t="s">
        <v>5606</v>
      </c>
      <c r="D4550" s="92">
        <v>0.84</v>
      </c>
      <c r="E4550" s="92">
        <v>0.84</v>
      </c>
      <c r="F4550" t="s">
        <v>428</v>
      </c>
      <c r="G4550" t="s">
        <v>428</v>
      </c>
      <c r="H4550" t="s">
        <v>5614</v>
      </c>
      <c r="I4550">
        <v>1</v>
      </c>
      <c r="J4550" t="s">
        <v>87</v>
      </c>
      <c r="K4550">
        <v>0</v>
      </c>
      <c r="L4550">
        <v>0</v>
      </c>
    </row>
    <row r="4551" spans="1:12">
      <c r="A4551" s="93">
        <v>455983</v>
      </c>
      <c r="B4551" t="s">
        <v>847</v>
      </c>
      <c r="C4551" t="s">
        <v>5606</v>
      </c>
      <c r="D4551" s="92">
        <v>0.68</v>
      </c>
      <c r="E4551" s="92">
        <v>0.59</v>
      </c>
      <c r="F4551" t="s">
        <v>428</v>
      </c>
      <c r="G4551" t="s">
        <v>428</v>
      </c>
      <c r="H4551" t="s">
        <v>5616</v>
      </c>
      <c r="I4551">
        <v>0</v>
      </c>
      <c r="J4551" t="s">
        <v>87</v>
      </c>
      <c r="K4551">
        <v>0</v>
      </c>
      <c r="L4551">
        <v>0</v>
      </c>
    </row>
    <row r="4552" spans="1:12">
      <c r="A4552" s="93">
        <v>455992</v>
      </c>
      <c r="B4552" t="s">
        <v>5020</v>
      </c>
      <c r="C4552" t="s">
        <v>5607</v>
      </c>
      <c r="D4552" s="92" t="s">
        <v>428</v>
      </c>
      <c r="E4552" s="92" t="s">
        <v>428</v>
      </c>
      <c r="F4552" t="s">
        <v>428</v>
      </c>
      <c r="G4552" t="s">
        <v>428</v>
      </c>
      <c r="H4552" t="s">
        <v>5615</v>
      </c>
      <c r="I4552">
        <v>0</v>
      </c>
      <c r="J4552" t="s">
        <v>87</v>
      </c>
      <c r="K4552">
        <v>0</v>
      </c>
      <c r="L4552">
        <v>0</v>
      </c>
    </row>
    <row r="4553" spans="1:12">
      <c r="A4553" s="93">
        <v>456010</v>
      </c>
      <c r="B4553" t="s">
        <v>5021</v>
      </c>
      <c r="C4553" t="s">
        <v>5607</v>
      </c>
      <c r="D4553" s="92">
        <v>0.38</v>
      </c>
      <c r="E4553" s="92">
        <v>0.64</v>
      </c>
      <c r="F4553" t="s">
        <v>428</v>
      </c>
      <c r="G4553" t="s">
        <v>428</v>
      </c>
      <c r="H4553" t="s">
        <v>5617</v>
      </c>
      <c r="I4553">
        <v>0</v>
      </c>
      <c r="J4553" t="s">
        <v>87</v>
      </c>
      <c r="K4553">
        <v>0</v>
      </c>
      <c r="L4553">
        <v>0</v>
      </c>
    </row>
    <row r="4554" spans="1:12">
      <c r="A4554" s="93">
        <v>456038</v>
      </c>
      <c r="B4554" t="s">
        <v>5022</v>
      </c>
      <c r="C4554" t="s">
        <v>5606</v>
      </c>
      <c r="D4554" s="92">
        <v>0.8</v>
      </c>
      <c r="E4554" s="92">
        <v>0.77</v>
      </c>
      <c r="F4554" t="s">
        <v>428</v>
      </c>
      <c r="G4554" t="s">
        <v>428</v>
      </c>
      <c r="H4554" t="s">
        <v>5617</v>
      </c>
      <c r="I4554">
        <v>0</v>
      </c>
      <c r="J4554" t="s">
        <v>87</v>
      </c>
      <c r="K4554">
        <v>0</v>
      </c>
      <c r="L4554">
        <v>0</v>
      </c>
    </row>
    <row r="4555" spans="1:12">
      <c r="A4555" s="93">
        <v>456056</v>
      </c>
      <c r="B4555" t="s">
        <v>5023</v>
      </c>
      <c r="C4555" t="s">
        <v>5604</v>
      </c>
      <c r="D4555" s="92" t="s">
        <v>428</v>
      </c>
      <c r="E4555" s="92" t="s">
        <v>428</v>
      </c>
      <c r="F4555" t="s">
        <v>428</v>
      </c>
      <c r="G4555" t="s">
        <v>428</v>
      </c>
      <c r="H4555" t="s">
        <v>5617</v>
      </c>
      <c r="I4555">
        <v>0</v>
      </c>
      <c r="J4555" t="s">
        <v>87</v>
      </c>
      <c r="K4555">
        <v>0</v>
      </c>
      <c r="L4555">
        <v>0</v>
      </c>
    </row>
    <row r="4556" spans="1:12">
      <c r="A4556" s="93">
        <v>456153</v>
      </c>
      <c r="B4556" t="s">
        <v>5024</v>
      </c>
      <c r="C4556" t="s">
        <v>5606</v>
      </c>
      <c r="D4556" s="92" t="s">
        <v>428</v>
      </c>
      <c r="E4556" s="92" t="s">
        <v>428</v>
      </c>
      <c r="F4556" t="s">
        <v>428</v>
      </c>
      <c r="G4556" t="s">
        <v>428</v>
      </c>
      <c r="H4556" t="s">
        <v>5617</v>
      </c>
      <c r="I4556">
        <v>0</v>
      </c>
      <c r="J4556" t="s">
        <v>87</v>
      </c>
      <c r="K4556">
        <v>0</v>
      </c>
      <c r="L4556">
        <v>0</v>
      </c>
    </row>
    <row r="4557" spans="1:12">
      <c r="A4557" s="93">
        <v>456180</v>
      </c>
      <c r="B4557" t="s">
        <v>5025</v>
      </c>
      <c r="C4557" t="s">
        <v>5606</v>
      </c>
      <c r="D4557" s="92" t="s">
        <v>428</v>
      </c>
      <c r="E4557" s="92" t="s">
        <v>428</v>
      </c>
      <c r="F4557" t="s">
        <v>428</v>
      </c>
      <c r="G4557" t="s">
        <v>428</v>
      </c>
      <c r="H4557" t="s">
        <v>5617</v>
      </c>
      <c r="I4557">
        <v>0</v>
      </c>
      <c r="J4557" t="s">
        <v>87</v>
      </c>
      <c r="K4557">
        <v>0</v>
      </c>
      <c r="L4557">
        <v>0</v>
      </c>
    </row>
    <row r="4558" spans="1:12">
      <c r="A4558" s="93">
        <v>456205</v>
      </c>
      <c r="B4558" t="s">
        <v>5026</v>
      </c>
      <c r="C4558" t="s">
        <v>5606</v>
      </c>
      <c r="D4558" s="92" t="s">
        <v>428</v>
      </c>
      <c r="E4558" s="92" t="s">
        <v>428</v>
      </c>
      <c r="F4558" t="s">
        <v>428</v>
      </c>
      <c r="G4558" t="s">
        <v>428</v>
      </c>
      <c r="H4558" t="s">
        <v>5617</v>
      </c>
      <c r="I4558">
        <v>0</v>
      </c>
      <c r="J4558" t="s">
        <v>87</v>
      </c>
      <c r="K4558">
        <v>0</v>
      </c>
      <c r="L4558">
        <v>0</v>
      </c>
    </row>
    <row r="4559" spans="1:12">
      <c r="A4559" s="93">
        <v>456287</v>
      </c>
      <c r="B4559" t="s">
        <v>5027</v>
      </c>
      <c r="C4559" t="s">
        <v>5606</v>
      </c>
      <c r="D4559" s="92" t="s">
        <v>428</v>
      </c>
      <c r="E4559" s="92" t="s">
        <v>428</v>
      </c>
      <c r="F4559" t="s">
        <v>428</v>
      </c>
      <c r="G4559" t="s">
        <v>428</v>
      </c>
      <c r="H4559" t="s">
        <v>5617</v>
      </c>
      <c r="I4559">
        <v>0</v>
      </c>
      <c r="J4559" t="s">
        <v>87</v>
      </c>
      <c r="K4559">
        <v>0</v>
      </c>
      <c r="L4559">
        <v>0</v>
      </c>
    </row>
    <row r="4560" spans="1:12">
      <c r="A4560" s="93">
        <v>456296</v>
      </c>
      <c r="B4560" t="s">
        <v>5028</v>
      </c>
      <c r="C4560" t="s">
        <v>5607</v>
      </c>
      <c r="D4560" s="92">
        <v>0.11</v>
      </c>
      <c r="E4560" s="92">
        <v>0.12</v>
      </c>
      <c r="F4560" t="s">
        <v>428</v>
      </c>
      <c r="G4560" t="s">
        <v>428</v>
      </c>
      <c r="H4560" t="s">
        <v>5617</v>
      </c>
      <c r="I4560">
        <v>0</v>
      </c>
      <c r="J4560" t="s">
        <v>87</v>
      </c>
      <c r="K4560">
        <v>0</v>
      </c>
      <c r="L4560">
        <v>0</v>
      </c>
    </row>
    <row r="4561" spans="1:12">
      <c r="A4561" s="93">
        <v>456302</v>
      </c>
      <c r="B4561" t="s">
        <v>5029</v>
      </c>
      <c r="C4561" t="s">
        <v>5606</v>
      </c>
      <c r="D4561" s="92" t="s">
        <v>428</v>
      </c>
      <c r="E4561" s="92" t="s">
        <v>428</v>
      </c>
      <c r="F4561" t="s">
        <v>428</v>
      </c>
      <c r="G4561" t="s">
        <v>428</v>
      </c>
      <c r="H4561" t="s">
        <v>5615</v>
      </c>
      <c r="I4561">
        <v>0</v>
      </c>
      <c r="J4561" t="s">
        <v>87</v>
      </c>
      <c r="K4561">
        <v>0</v>
      </c>
      <c r="L4561">
        <v>0</v>
      </c>
    </row>
    <row r="4562" spans="1:12">
      <c r="A4562" s="93">
        <v>456348</v>
      </c>
      <c r="B4562" t="s">
        <v>5030</v>
      </c>
      <c r="C4562" t="s">
        <v>5604</v>
      </c>
      <c r="D4562" s="92">
        <v>0.04</v>
      </c>
      <c r="E4562" s="92">
        <v>0.03</v>
      </c>
      <c r="F4562" t="s">
        <v>428</v>
      </c>
      <c r="G4562" t="s">
        <v>428</v>
      </c>
      <c r="H4562" t="s">
        <v>5617</v>
      </c>
      <c r="I4562">
        <v>0</v>
      </c>
      <c r="J4562" t="s">
        <v>87</v>
      </c>
      <c r="K4562">
        <v>0</v>
      </c>
      <c r="L4562">
        <v>0</v>
      </c>
    </row>
    <row r="4563" spans="1:12">
      <c r="A4563" s="93">
        <v>456393</v>
      </c>
      <c r="B4563" t="s">
        <v>5031</v>
      </c>
      <c r="C4563" t="s">
        <v>5606</v>
      </c>
      <c r="D4563" s="92" t="s">
        <v>428</v>
      </c>
      <c r="E4563" s="92" t="s">
        <v>428</v>
      </c>
      <c r="F4563" t="s">
        <v>428</v>
      </c>
      <c r="G4563" t="s">
        <v>428</v>
      </c>
      <c r="H4563" t="s">
        <v>5617</v>
      </c>
      <c r="I4563">
        <v>0</v>
      </c>
      <c r="J4563" t="s">
        <v>87</v>
      </c>
      <c r="K4563">
        <v>0</v>
      </c>
      <c r="L4563">
        <v>0</v>
      </c>
    </row>
    <row r="4564" spans="1:12">
      <c r="A4564" s="93">
        <v>456409</v>
      </c>
      <c r="B4564" t="s">
        <v>4631</v>
      </c>
      <c r="C4564" t="s">
        <v>5607</v>
      </c>
      <c r="D4564" s="92" t="s">
        <v>428</v>
      </c>
      <c r="E4564" s="92" t="s">
        <v>428</v>
      </c>
      <c r="F4564" t="s">
        <v>428</v>
      </c>
      <c r="G4564" t="s">
        <v>428</v>
      </c>
      <c r="H4564" t="s">
        <v>5617</v>
      </c>
      <c r="I4564">
        <v>0</v>
      </c>
      <c r="J4564" t="s">
        <v>87</v>
      </c>
      <c r="K4564">
        <v>0</v>
      </c>
      <c r="L4564">
        <v>0</v>
      </c>
    </row>
    <row r="4565" spans="1:12">
      <c r="A4565" s="93">
        <v>456418</v>
      </c>
      <c r="B4565" t="s">
        <v>5032</v>
      </c>
      <c r="C4565" t="s">
        <v>5606</v>
      </c>
      <c r="D4565" s="92" t="s">
        <v>428</v>
      </c>
      <c r="E4565" s="92" t="s">
        <v>428</v>
      </c>
      <c r="F4565" t="s">
        <v>428</v>
      </c>
      <c r="G4565" t="s">
        <v>428</v>
      </c>
      <c r="H4565" t="s">
        <v>5617</v>
      </c>
      <c r="I4565">
        <v>0</v>
      </c>
      <c r="J4565" t="s">
        <v>87</v>
      </c>
      <c r="K4565">
        <v>0</v>
      </c>
      <c r="L4565">
        <v>0</v>
      </c>
    </row>
    <row r="4566" spans="1:12">
      <c r="A4566" s="93">
        <v>456427</v>
      </c>
      <c r="B4566" t="s">
        <v>5033</v>
      </c>
      <c r="C4566" t="s">
        <v>5607</v>
      </c>
      <c r="D4566" s="92" t="s">
        <v>428</v>
      </c>
      <c r="E4566" s="92" t="s">
        <v>428</v>
      </c>
      <c r="F4566" t="s">
        <v>428</v>
      </c>
      <c r="G4566" t="s">
        <v>428</v>
      </c>
      <c r="H4566" t="s">
        <v>5617</v>
      </c>
      <c r="I4566">
        <v>0</v>
      </c>
      <c r="J4566" t="s">
        <v>87</v>
      </c>
      <c r="K4566">
        <v>0</v>
      </c>
      <c r="L4566">
        <v>0</v>
      </c>
    </row>
    <row r="4567" spans="1:12">
      <c r="A4567" s="93">
        <v>456436</v>
      </c>
      <c r="B4567" t="s">
        <v>5034</v>
      </c>
      <c r="C4567" t="s">
        <v>5607</v>
      </c>
      <c r="D4567" s="92" t="s">
        <v>428</v>
      </c>
      <c r="E4567" s="92" t="s">
        <v>428</v>
      </c>
      <c r="F4567" t="s">
        <v>428</v>
      </c>
      <c r="G4567" t="s">
        <v>428</v>
      </c>
      <c r="H4567" t="s">
        <v>5617</v>
      </c>
      <c r="I4567">
        <v>0</v>
      </c>
      <c r="J4567" t="s">
        <v>87</v>
      </c>
      <c r="K4567">
        <v>0</v>
      </c>
      <c r="L4567">
        <v>0</v>
      </c>
    </row>
    <row r="4568" spans="1:12">
      <c r="A4568" s="93">
        <v>456445</v>
      </c>
      <c r="B4568" t="s">
        <v>5035</v>
      </c>
      <c r="C4568" t="s">
        <v>5607</v>
      </c>
      <c r="D4568" s="92">
        <v>0.33</v>
      </c>
      <c r="E4568" s="92">
        <v>0.33</v>
      </c>
      <c r="F4568" t="s">
        <v>428</v>
      </c>
      <c r="G4568" t="s">
        <v>428</v>
      </c>
      <c r="H4568" t="s">
        <v>5617</v>
      </c>
      <c r="I4568">
        <v>0</v>
      </c>
      <c r="J4568" t="s">
        <v>87</v>
      </c>
      <c r="K4568">
        <v>0</v>
      </c>
      <c r="L4568">
        <v>0</v>
      </c>
    </row>
    <row r="4569" spans="1:12">
      <c r="A4569" s="93">
        <v>456454</v>
      </c>
      <c r="B4569" t="s">
        <v>5036</v>
      </c>
      <c r="C4569" t="s">
        <v>5606</v>
      </c>
      <c r="D4569" s="92" t="s">
        <v>428</v>
      </c>
      <c r="E4569" s="92" t="s">
        <v>428</v>
      </c>
      <c r="F4569" t="s">
        <v>428</v>
      </c>
      <c r="G4569" t="s">
        <v>428</v>
      </c>
      <c r="H4569" t="s">
        <v>5617</v>
      </c>
      <c r="I4569">
        <v>0</v>
      </c>
      <c r="J4569" t="s">
        <v>87</v>
      </c>
      <c r="K4569">
        <v>0</v>
      </c>
      <c r="L4569">
        <v>0</v>
      </c>
    </row>
    <row r="4570" spans="1:12">
      <c r="A4570" s="93">
        <v>456481</v>
      </c>
      <c r="B4570" t="s">
        <v>5037</v>
      </c>
      <c r="C4570" t="s">
        <v>5604</v>
      </c>
      <c r="D4570" s="92">
        <v>0.4</v>
      </c>
      <c r="E4570" s="92">
        <v>0.4</v>
      </c>
      <c r="F4570" t="s">
        <v>428</v>
      </c>
      <c r="G4570" t="s">
        <v>428</v>
      </c>
      <c r="H4570" t="s">
        <v>5617</v>
      </c>
      <c r="I4570">
        <v>0</v>
      </c>
      <c r="J4570" t="s">
        <v>87</v>
      </c>
      <c r="K4570">
        <v>0</v>
      </c>
      <c r="L4570">
        <v>0</v>
      </c>
    </row>
    <row r="4571" spans="1:12">
      <c r="A4571" s="93">
        <v>456490</v>
      </c>
      <c r="B4571" t="s">
        <v>5038</v>
      </c>
      <c r="C4571" t="s">
        <v>5604</v>
      </c>
      <c r="D4571" s="92">
        <v>0.14</v>
      </c>
      <c r="E4571" s="92">
        <v>0.14</v>
      </c>
      <c r="F4571" t="s">
        <v>428</v>
      </c>
      <c r="G4571" t="s">
        <v>428</v>
      </c>
      <c r="H4571" t="s">
        <v>5616</v>
      </c>
      <c r="I4571">
        <v>0</v>
      </c>
      <c r="J4571" t="s">
        <v>87</v>
      </c>
      <c r="K4571">
        <v>0</v>
      </c>
      <c r="L4571">
        <v>0</v>
      </c>
    </row>
    <row r="4572" spans="1:12">
      <c r="A4572" s="93">
        <v>456506</v>
      </c>
      <c r="B4572" t="s">
        <v>5039</v>
      </c>
      <c r="C4572" t="s">
        <v>5606</v>
      </c>
      <c r="D4572" s="92" t="s">
        <v>428</v>
      </c>
      <c r="E4572" s="92" t="s">
        <v>428</v>
      </c>
      <c r="F4572" t="s">
        <v>428</v>
      </c>
      <c r="G4572" t="s">
        <v>428</v>
      </c>
      <c r="H4572" t="s">
        <v>5617</v>
      </c>
      <c r="I4572">
        <v>0</v>
      </c>
      <c r="J4572" t="s">
        <v>87</v>
      </c>
      <c r="K4572">
        <v>0</v>
      </c>
      <c r="L4572">
        <v>0</v>
      </c>
    </row>
    <row r="4573" spans="1:12">
      <c r="A4573" s="93">
        <v>456542</v>
      </c>
      <c r="B4573" t="s">
        <v>5040</v>
      </c>
      <c r="C4573" t="s">
        <v>5607</v>
      </c>
      <c r="D4573" s="92" t="s">
        <v>428</v>
      </c>
      <c r="E4573" s="92" t="s">
        <v>428</v>
      </c>
      <c r="F4573" t="s">
        <v>428</v>
      </c>
      <c r="G4573" t="s">
        <v>428</v>
      </c>
      <c r="H4573" t="s">
        <v>5615</v>
      </c>
      <c r="I4573">
        <v>0</v>
      </c>
      <c r="J4573" t="s">
        <v>87</v>
      </c>
      <c r="K4573">
        <v>0</v>
      </c>
      <c r="L4573">
        <v>0</v>
      </c>
    </row>
    <row r="4574" spans="1:12">
      <c r="A4574" s="93">
        <v>456551</v>
      </c>
      <c r="B4574" t="s">
        <v>5041</v>
      </c>
      <c r="C4574" t="s">
        <v>5606</v>
      </c>
      <c r="D4574" s="92" t="s">
        <v>428</v>
      </c>
      <c r="E4574" s="92" t="s">
        <v>428</v>
      </c>
      <c r="F4574" t="s">
        <v>428</v>
      </c>
      <c r="G4574" t="s">
        <v>428</v>
      </c>
      <c r="H4574" t="s">
        <v>5616</v>
      </c>
      <c r="I4574">
        <v>0</v>
      </c>
      <c r="J4574" t="s">
        <v>87</v>
      </c>
      <c r="K4574">
        <v>0</v>
      </c>
      <c r="L4574">
        <v>0</v>
      </c>
    </row>
    <row r="4575" spans="1:12">
      <c r="A4575" s="93">
        <v>456579</v>
      </c>
      <c r="B4575" t="s">
        <v>3245</v>
      </c>
      <c r="C4575" t="s">
        <v>5606</v>
      </c>
      <c r="D4575" s="92" t="s">
        <v>428</v>
      </c>
      <c r="E4575" s="92" t="s">
        <v>428</v>
      </c>
      <c r="F4575" t="s">
        <v>428</v>
      </c>
      <c r="G4575" t="s">
        <v>428</v>
      </c>
      <c r="H4575" t="s">
        <v>5617</v>
      </c>
      <c r="I4575">
        <v>0</v>
      </c>
      <c r="J4575" t="s">
        <v>87</v>
      </c>
      <c r="K4575">
        <v>0</v>
      </c>
      <c r="L4575">
        <v>0</v>
      </c>
    </row>
    <row r="4576" spans="1:12">
      <c r="A4576" s="93">
        <v>456612</v>
      </c>
      <c r="B4576" t="s">
        <v>5042</v>
      </c>
      <c r="C4576" t="s">
        <v>5607</v>
      </c>
      <c r="D4576" s="92">
        <v>0.11</v>
      </c>
      <c r="E4576" s="92">
        <v>0.06</v>
      </c>
      <c r="F4576" t="s">
        <v>428</v>
      </c>
      <c r="G4576" t="s">
        <v>428</v>
      </c>
      <c r="H4576" t="s">
        <v>5617</v>
      </c>
      <c r="I4576">
        <v>0</v>
      </c>
      <c r="J4576" t="s">
        <v>87</v>
      </c>
      <c r="K4576">
        <v>0</v>
      </c>
      <c r="L4576">
        <v>0</v>
      </c>
    </row>
    <row r="4577" spans="1:12">
      <c r="A4577" s="93">
        <v>456621</v>
      </c>
      <c r="B4577" t="s">
        <v>5043</v>
      </c>
      <c r="C4577" t="s">
        <v>5604</v>
      </c>
      <c r="D4577" s="92" t="s">
        <v>428</v>
      </c>
      <c r="E4577" s="92" t="s">
        <v>428</v>
      </c>
      <c r="F4577" t="s">
        <v>428</v>
      </c>
      <c r="G4577" t="s">
        <v>428</v>
      </c>
      <c r="H4577" t="s">
        <v>5617</v>
      </c>
      <c r="I4577">
        <v>0</v>
      </c>
      <c r="J4577" t="s">
        <v>87</v>
      </c>
      <c r="K4577">
        <v>0</v>
      </c>
      <c r="L4577">
        <v>0</v>
      </c>
    </row>
    <row r="4578" spans="1:12">
      <c r="A4578" s="93">
        <v>456791</v>
      </c>
      <c r="B4578" t="s">
        <v>5044</v>
      </c>
      <c r="C4578" t="s">
        <v>5607</v>
      </c>
      <c r="D4578" s="92">
        <v>0.09</v>
      </c>
      <c r="E4578" s="92">
        <v>0.11</v>
      </c>
      <c r="F4578" t="s">
        <v>428</v>
      </c>
      <c r="G4578" t="s">
        <v>428</v>
      </c>
      <c r="H4578" t="s">
        <v>5617</v>
      </c>
      <c r="I4578">
        <v>0</v>
      </c>
      <c r="J4578" t="s">
        <v>87</v>
      </c>
      <c r="K4578">
        <v>0</v>
      </c>
      <c r="L4578">
        <v>0</v>
      </c>
    </row>
    <row r="4579" spans="1:12">
      <c r="A4579" s="93">
        <v>456834</v>
      </c>
      <c r="B4579" t="s">
        <v>5045</v>
      </c>
      <c r="C4579" t="s">
        <v>5607</v>
      </c>
      <c r="D4579" s="92" t="s">
        <v>428</v>
      </c>
      <c r="E4579" s="92" t="s">
        <v>428</v>
      </c>
      <c r="F4579" t="s">
        <v>428</v>
      </c>
      <c r="G4579" t="s">
        <v>428</v>
      </c>
      <c r="H4579" t="s">
        <v>5617</v>
      </c>
      <c r="I4579">
        <v>0</v>
      </c>
      <c r="J4579" t="s">
        <v>87</v>
      </c>
      <c r="K4579">
        <v>0</v>
      </c>
      <c r="L4579">
        <v>0</v>
      </c>
    </row>
    <row r="4580" spans="1:12">
      <c r="A4580" s="93">
        <v>456940</v>
      </c>
      <c r="B4580" t="s">
        <v>5046</v>
      </c>
      <c r="C4580" t="s">
        <v>5606</v>
      </c>
      <c r="D4580" s="92" t="s">
        <v>428</v>
      </c>
      <c r="E4580" s="92" t="s">
        <v>428</v>
      </c>
      <c r="F4580" t="s">
        <v>428</v>
      </c>
      <c r="G4580" t="s">
        <v>428</v>
      </c>
      <c r="H4580" t="s">
        <v>5617</v>
      </c>
      <c r="I4580">
        <v>0</v>
      </c>
      <c r="J4580" t="s">
        <v>87</v>
      </c>
      <c r="K4580">
        <v>0</v>
      </c>
      <c r="L4580">
        <v>0</v>
      </c>
    </row>
    <row r="4581" spans="1:12">
      <c r="A4581" s="93">
        <v>456959</v>
      </c>
      <c r="B4581" t="s">
        <v>5047</v>
      </c>
      <c r="C4581" t="s">
        <v>5603</v>
      </c>
      <c r="D4581" s="92">
        <v>0.55</v>
      </c>
      <c r="E4581" s="92">
        <v>0.5</v>
      </c>
      <c r="F4581">
        <v>22</v>
      </c>
      <c r="G4581">
        <v>24.5</v>
      </c>
      <c r="H4581" t="s">
        <v>5615</v>
      </c>
      <c r="I4581">
        <v>0</v>
      </c>
      <c r="J4581" t="s">
        <v>87</v>
      </c>
      <c r="K4581">
        <v>0</v>
      </c>
      <c r="L4581">
        <v>0</v>
      </c>
    </row>
    <row r="4582" spans="1:12">
      <c r="A4582" s="93">
        <v>456977</v>
      </c>
      <c r="B4582" t="s">
        <v>5048</v>
      </c>
      <c r="C4582" t="s">
        <v>5606</v>
      </c>
      <c r="D4582" s="92" t="s">
        <v>428</v>
      </c>
      <c r="E4582" s="92" t="s">
        <v>428</v>
      </c>
      <c r="F4582" t="s">
        <v>428</v>
      </c>
      <c r="G4582" t="s">
        <v>428</v>
      </c>
      <c r="H4582" t="s">
        <v>5617</v>
      </c>
      <c r="I4582">
        <v>0</v>
      </c>
      <c r="J4582" t="s">
        <v>87</v>
      </c>
      <c r="K4582">
        <v>0</v>
      </c>
      <c r="L4582">
        <v>0</v>
      </c>
    </row>
    <row r="4583" spans="1:12">
      <c r="A4583" s="93">
        <v>457004</v>
      </c>
      <c r="B4583" t="s">
        <v>5049</v>
      </c>
      <c r="C4583" t="s">
        <v>5607</v>
      </c>
      <c r="D4583" s="92">
        <v>1</v>
      </c>
      <c r="E4583" s="92">
        <v>1</v>
      </c>
      <c r="F4583" t="s">
        <v>428</v>
      </c>
      <c r="G4583" t="s">
        <v>428</v>
      </c>
      <c r="H4583" t="s">
        <v>5617</v>
      </c>
      <c r="I4583">
        <v>0</v>
      </c>
      <c r="J4583" t="s">
        <v>87</v>
      </c>
      <c r="K4583">
        <v>0</v>
      </c>
      <c r="L4583">
        <v>0</v>
      </c>
    </row>
    <row r="4584" spans="1:12">
      <c r="A4584" s="93">
        <v>457022</v>
      </c>
      <c r="B4584" t="s">
        <v>5050</v>
      </c>
      <c r="C4584" t="s">
        <v>5607</v>
      </c>
      <c r="D4584" s="92">
        <v>0.4</v>
      </c>
      <c r="E4584" s="92">
        <v>0.33</v>
      </c>
      <c r="F4584" t="s">
        <v>428</v>
      </c>
      <c r="G4584" t="s">
        <v>428</v>
      </c>
      <c r="H4584" t="s">
        <v>5617</v>
      </c>
      <c r="I4584">
        <v>0</v>
      </c>
      <c r="J4584" t="s">
        <v>87</v>
      </c>
      <c r="K4584">
        <v>0</v>
      </c>
      <c r="L4584">
        <v>0</v>
      </c>
    </row>
    <row r="4585" spans="1:12">
      <c r="A4585" s="93">
        <v>457086</v>
      </c>
      <c r="B4585" t="s">
        <v>5051</v>
      </c>
      <c r="C4585" t="s">
        <v>5604</v>
      </c>
      <c r="D4585" s="92" t="s">
        <v>428</v>
      </c>
      <c r="E4585" s="92" t="s">
        <v>428</v>
      </c>
      <c r="F4585" t="s">
        <v>428</v>
      </c>
      <c r="G4585" t="s">
        <v>428</v>
      </c>
      <c r="H4585" t="s">
        <v>5616</v>
      </c>
      <c r="I4585">
        <v>0</v>
      </c>
      <c r="J4585" t="s">
        <v>87</v>
      </c>
      <c r="K4585">
        <v>0</v>
      </c>
      <c r="L4585">
        <v>0</v>
      </c>
    </row>
    <row r="4586" spans="1:12">
      <c r="A4586" s="93">
        <v>457101</v>
      </c>
      <c r="B4586" t="s">
        <v>5052</v>
      </c>
      <c r="C4586" t="s">
        <v>5609</v>
      </c>
      <c r="D4586" s="92">
        <v>0.6899999999999999</v>
      </c>
      <c r="E4586" s="92">
        <v>0.68</v>
      </c>
      <c r="F4586" t="s">
        <v>428</v>
      </c>
      <c r="G4586" t="s">
        <v>428</v>
      </c>
      <c r="H4586" t="s">
        <v>5617</v>
      </c>
      <c r="I4586">
        <v>0</v>
      </c>
      <c r="J4586" t="s">
        <v>87</v>
      </c>
      <c r="K4586">
        <v>0</v>
      </c>
      <c r="L4586">
        <v>0</v>
      </c>
    </row>
    <row r="4587" spans="1:12">
      <c r="A4587" s="93">
        <v>457110</v>
      </c>
      <c r="B4587" t="s">
        <v>5053</v>
      </c>
      <c r="C4587" t="s">
        <v>5609</v>
      </c>
      <c r="D4587" s="92" t="s">
        <v>428</v>
      </c>
      <c r="E4587" s="92" t="s">
        <v>428</v>
      </c>
      <c r="F4587" t="s">
        <v>428</v>
      </c>
      <c r="G4587" t="s">
        <v>428</v>
      </c>
      <c r="H4587" t="s">
        <v>5617</v>
      </c>
      <c r="I4587">
        <v>0</v>
      </c>
      <c r="J4587" t="s">
        <v>87</v>
      </c>
      <c r="K4587">
        <v>0</v>
      </c>
      <c r="L4587">
        <v>0</v>
      </c>
    </row>
    <row r="4588" spans="1:12">
      <c r="A4588" s="93">
        <v>457129</v>
      </c>
      <c r="B4588" t="s">
        <v>5054</v>
      </c>
      <c r="C4588" t="s">
        <v>5607</v>
      </c>
      <c r="D4588" s="92" t="s">
        <v>428</v>
      </c>
      <c r="E4588" s="92" t="s">
        <v>428</v>
      </c>
      <c r="F4588" t="s">
        <v>428</v>
      </c>
      <c r="G4588" t="s">
        <v>428</v>
      </c>
      <c r="H4588" t="s">
        <v>5617</v>
      </c>
      <c r="I4588">
        <v>0</v>
      </c>
      <c r="J4588" t="s">
        <v>87</v>
      </c>
      <c r="K4588">
        <v>0</v>
      </c>
      <c r="L4588">
        <v>0</v>
      </c>
    </row>
    <row r="4589" spans="1:12">
      <c r="A4589" s="93">
        <v>457226</v>
      </c>
      <c r="B4589" t="s">
        <v>5055</v>
      </c>
      <c r="C4589" t="s">
        <v>5604</v>
      </c>
      <c r="D4589" s="92" t="s">
        <v>428</v>
      </c>
      <c r="E4589" s="92" t="s">
        <v>428</v>
      </c>
      <c r="F4589" t="s">
        <v>428</v>
      </c>
      <c r="G4589" t="s">
        <v>428</v>
      </c>
      <c r="H4589" t="s">
        <v>5615</v>
      </c>
      <c r="I4589">
        <v>0</v>
      </c>
      <c r="J4589" t="s">
        <v>87</v>
      </c>
      <c r="K4589">
        <v>0</v>
      </c>
      <c r="L4589">
        <v>0</v>
      </c>
    </row>
    <row r="4590" spans="1:12">
      <c r="A4590" s="93">
        <v>457271</v>
      </c>
      <c r="B4590" t="s">
        <v>5056</v>
      </c>
      <c r="C4590" t="s">
        <v>5607</v>
      </c>
      <c r="D4590" s="92" t="s">
        <v>428</v>
      </c>
      <c r="E4590" s="92" t="s">
        <v>428</v>
      </c>
      <c r="F4590" t="s">
        <v>428</v>
      </c>
      <c r="G4590" t="s">
        <v>428</v>
      </c>
      <c r="H4590" t="s">
        <v>5615</v>
      </c>
      <c r="I4590">
        <v>0</v>
      </c>
      <c r="J4590" t="s">
        <v>87</v>
      </c>
      <c r="K4590">
        <v>0</v>
      </c>
      <c r="L4590">
        <v>0</v>
      </c>
    </row>
    <row r="4591" spans="1:12">
      <c r="A4591" s="93">
        <v>457299</v>
      </c>
      <c r="B4591" t="s">
        <v>5057</v>
      </c>
      <c r="C4591" t="s">
        <v>5604</v>
      </c>
      <c r="D4591" s="92" t="s">
        <v>428</v>
      </c>
      <c r="E4591" s="92" t="s">
        <v>428</v>
      </c>
      <c r="F4591" t="s">
        <v>428</v>
      </c>
      <c r="G4591" t="s">
        <v>428</v>
      </c>
      <c r="H4591" t="s">
        <v>5616</v>
      </c>
      <c r="I4591">
        <v>0</v>
      </c>
      <c r="J4591" t="s">
        <v>87</v>
      </c>
      <c r="K4591">
        <v>0</v>
      </c>
      <c r="L4591">
        <v>0</v>
      </c>
    </row>
    <row r="4592" spans="1:12">
      <c r="A4592" s="93">
        <v>457350</v>
      </c>
      <c r="B4592" t="s">
        <v>5058</v>
      </c>
      <c r="C4592" t="s">
        <v>5606</v>
      </c>
      <c r="D4592" s="92" t="s">
        <v>428</v>
      </c>
      <c r="E4592" s="92" t="s">
        <v>428</v>
      </c>
      <c r="F4592" t="s">
        <v>428</v>
      </c>
      <c r="G4592" t="s">
        <v>428</v>
      </c>
      <c r="H4592" t="s">
        <v>5615</v>
      </c>
      <c r="I4592">
        <v>0</v>
      </c>
      <c r="J4592" t="s">
        <v>87</v>
      </c>
      <c r="K4592">
        <v>0</v>
      </c>
      <c r="L4592">
        <v>0</v>
      </c>
    </row>
    <row r="4593" spans="1:12">
      <c r="A4593" s="93">
        <v>457378</v>
      </c>
      <c r="B4593" t="s">
        <v>5059</v>
      </c>
      <c r="C4593" t="s">
        <v>5606</v>
      </c>
      <c r="D4593" s="92" t="s">
        <v>428</v>
      </c>
      <c r="E4593" s="92" t="s">
        <v>428</v>
      </c>
      <c r="F4593" t="s">
        <v>428</v>
      </c>
      <c r="G4593" t="s">
        <v>428</v>
      </c>
      <c r="H4593" t="s">
        <v>5615</v>
      </c>
      <c r="I4593">
        <v>0</v>
      </c>
      <c r="J4593" t="s">
        <v>87</v>
      </c>
      <c r="K4593">
        <v>0</v>
      </c>
      <c r="L4593">
        <v>0</v>
      </c>
    </row>
    <row r="4594" spans="1:12">
      <c r="A4594" s="93">
        <v>457387</v>
      </c>
      <c r="B4594" t="s">
        <v>5060</v>
      </c>
      <c r="C4594" t="s">
        <v>5606</v>
      </c>
      <c r="D4594" s="92" t="s">
        <v>428</v>
      </c>
      <c r="E4594" s="92" t="s">
        <v>428</v>
      </c>
      <c r="F4594" t="s">
        <v>428</v>
      </c>
      <c r="G4594" t="s">
        <v>428</v>
      </c>
      <c r="H4594" t="s">
        <v>5615</v>
      </c>
      <c r="I4594">
        <v>0</v>
      </c>
      <c r="J4594" t="s">
        <v>87</v>
      </c>
      <c r="K4594">
        <v>0</v>
      </c>
      <c r="L4594">
        <v>0</v>
      </c>
    </row>
    <row r="4595" spans="1:12">
      <c r="A4595" s="93">
        <v>457402</v>
      </c>
      <c r="B4595" t="s">
        <v>5061</v>
      </c>
      <c r="C4595" t="s">
        <v>5604</v>
      </c>
      <c r="D4595" s="92" t="s">
        <v>428</v>
      </c>
      <c r="E4595" s="92" t="s">
        <v>428</v>
      </c>
      <c r="F4595" t="s">
        <v>428</v>
      </c>
      <c r="G4595" t="s">
        <v>428</v>
      </c>
      <c r="H4595" t="s">
        <v>5615</v>
      </c>
      <c r="I4595">
        <v>0</v>
      </c>
      <c r="J4595" t="s">
        <v>87</v>
      </c>
      <c r="K4595">
        <v>0</v>
      </c>
      <c r="L4595">
        <v>0</v>
      </c>
    </row>
    <row r="4596" spans="1:12">
      <c r="A4596" s="93">
        <v>457411</v>
      </c>
      <c r="B4596" t="s">
        <v>5062</v>
      </c>
      <c r="C4596" t="s">
        <v>5606</v>
      </c>
      <c r="D4596" s="92" t="s">
        <v>428</v>
      </c>
      <c r="E4596" s="92" t="s">
        <v>428</v>
      </c>
      <c r="F4596" t="s">
        <v>428</v>
      </c>
      <c r="G4596" t="s">
        <v>428</v>
      </c>
      <c r="H4596" t="s">
        <v>5617</v>
      </c>
      <c r="I4596">
        <v>0</v>
      </c>
      <c r="J4596" t="s">
        <v>87</v>
      </c>
      <c r="K4596">
        <v>0</v>
      </c>
      <c r="L4596">
        <v>0</v>
      </c>
    </row>
    <row r="4597" spans="1:12">
      <c r="A4597" s="93">
        <v>457484</v>
      </c>
      <c r="B4597" t="s">
        <v>5063</v>
      </c>
      <c r="C4597" t="s">
        <v>5607</v>
      </c>
      <c r="D4597" s="92">
        <v>0.46</v>
      </c>
      <c r="E4597" s="92">
        <v>0</v>
      </c>
      <c r="F4597" t="s">
        <v>428</v>
      </c>
      <c r="G4597" t="s">
        <v>428</v>
      </c>
      <c r="H4597" t="s">
        <v>5617</v>
      </c>
      <c r="I4597">
        <v>0</v>
      </c>
      <c r="J4597" t="s">
        <v>87</v>
      </c>
      <c r="K4597">
        <v>0</v>
      </c>
      <c r="L4597">
        <v>0</v>
      </c>
    </row>
    <row r="4598" spans="1:12">
      <c r="A4598" s="93">
        <v>457493</v>
      </c>
      <c r="B4598" t="s">
        <v>5064</v>
      </c>
      <c r="C4598" t="s">
        <v>5606</v>
      </c>
      <c r="D4598" s="92" t="s">
        <v>428</v>
      </c>
      <c r="E4598" s="92" t="s">
        <v>428</v>
      </c>
      <c r="F4598" t="s">
        <v>428</v>
      </c>
      <c r="G4598" t="s">
        <v>428</v>
      </c>
      <c r="H4598" t="s">
        <v>5617</v>
      </c>
      <c r="I4598">
        <v>0</v>
      </c>
      <c r="J4598" t="s">
        <v>87</v>
      </c>
      <c r="K4598">
        <v>0</v>
      </c>
      <c r="L4598">
        <v>0</v>
      </c>
    </row>
    <row r="4599" spans="1:12">
      <c r="A4599" s="93">
        <v>457527</v>
      </c>
      <c r="B4599" t="s">
        <v>5065</v>
      </c>
      <c r="C4599" t="s">
        <v>5604</v>
      </c>
      <c r="D4599" s="92">
        <v>0.67</v>
      </c>
      <c r="E4599" s="92">
        <v>0.88</v>
      </c>
      <c r="F4599" t="s">
        <v>428</v>
      </c>
      <c r="G4599" t="s">
        <v>428</v>
      </c>
      <c r="H4599" t="s">
        <v>5617</v>
      </c>
      <c r="I4599">
        <v>0</v>
      </c>
      <c r="J4599" t="s">
        <v>87</v>
      </c>
      <c r="K4599">
        <v>0</v>
      </c>
      <c r="L4599">
        <v>1</v>
      </c>
    </row>
    <row r="4600" spans="1:12">
      <c r="A4600" s="93">
        <v>457536</v>
      </c>
      <c r="B4600" t="s">
        <v>5066</v>
      </c>
      <c r="C4600" t="s">
        <v>5606</v>
      </c>
      <c r="D4600" s="92" t="s">
        <v>428</v>
      </c>
      <c r="E4600" s="92" t="s">
        <v>428</v>
      </c>
      <c r="F4600" t="s">
        <v>428</v>
      </c>
      <c r="G4600" t="s">
        <v>428</v>
      </c>
      <c r="H4600" t="s">
        <v>5617</v>
      </c>
      <c r="I4600">
        <v>0</v>
      </c>
      <c r="J4600" t="s">
        <v>87</v>
      </c>
      <c r="K4600">
        <v>0</v>
      </c>
      <c r="L4600">
        <v>1</v>
      </c>
    </row>
    <row r="4601" spans="1:12">
      <c r="A4601" s="93">
        <v>457651</v>
      </c>
      <c r="B4601" t="s">
        <v>5067</v>
      </c>
      <c r="C4601" t="s">
        <v>5606</v>
      </c>
      <c r="D4601" s="92" t="s">
        <v>428</v>
      </c>
      <c r="E4601" s="92" t="s">
        <v>428</v>
      </c>
      <c r="F4601" t="s">
        <v>428</v>
      </c>
      <c r="G4601" t="s">
        <v>428</v>
      </c>
      <c r="H4601" t="s">
        <v>5617</v>
      </c>
      <c r="I4601">
        <v>0</v>
      </c>
      <c r="J4601" t="s">
        <v>87</v>
      </c>
      <c r="K4601">
        <v>0</v>
      </c>
      <c r="L4601">
        <v>0</v>
      </c>
    </row>
    <row r="4602" spans="1:12">
      <c r="A4602" s="93">
        <v>457679</v>
      </c>
      <c r="B4602" t="s">
        <v>5068</v>
      </c>
      <c r="C4602" t="s">
        <v>5606</v>
      </c>
      <c r="D4602" s="92" t="s">
        <v>428</v>
      </c>
      <c r="E4602" s="92" t="s">
        <v>428</v>
      </c>
      <c r="F4602" t="s">
        <v>428</v>
      </c>
      <c r="G4602" t="s">
        <v>428</v>
      </c>
      <c r="H4602" t="s">
        <v>5624</v>
      </c>
      <c r="I4602">
        <v>1</v>
      </c>
      <c r="J4602" t="s">
        <v>87</v>
      </c>
      <c r="K4602">
        <v>0</v>
      </c>
      <c r="L4602">
        <v>0</v>
      </c>
    </row>
    <row r="4603" spans="1:12">
      <c r="A4603" s="93">
        <v>457688</v>
      </c>
      <c r="B4603" t="s">
        <v>5069</v>
      </c>
      <c r="C4603" t="s">
        <v>5604</v>
      </c>
      <c r="D4603" s="92" t="s">
        <v>428</v>
      </c>
      <c r="E4603" s="92" t="s">
        <v>428</v>
      </c>
      <c r="F4603" t="s">
        <v>428</v>
      </c>
      <c r="G4603" t="s">
        <v>428</v>
      </c>
      <c r="H4603" t="s">
        <v>5617</v>
      </c>
      <c r="I4603">
        <v>0</v>
      </c>
      <c r="J4603" t="s">
        <v>87</v>
      </c>
      <c r="K4603">
        <v>0</v>
      </c>
      <c r="L4603">
        <v>0</v>
      </c>
    </row>
    <row r="4604" spans="1:12">
      <c r="A4604" s="93">
        <v>457697</v>
      </c>
      <c r="B4604" t="s">
        <v>5070</v>
      </c>
      <c r="C4604" t="s">
        <v>5604</v>
      </c>
      <c r="D4604" s="92" t="s">
        <v>428</v>
      </c>
      <c r="E4604" s="92" t="s">
        <v>428</v>
      </c>
      <c r="F4604" t="s">
        <v>428</v>
      </c>
      <c r="G4604" t="s">
        <v>428</v>
      </c>
      <c r="H4604" t="s">
        <v>5615</v>
      </c>
      <c r="I4604">
        <v>0</v>
      </c>
      <c r="J4604" t="s">
        <v>87</v>
      </c>
      <c r="K4604">
        <v>0</v>
      </c>
      <c r="L4604">
        <v>0</v>
      </c>
    </row>
    <row r="4605" spans="1:12">
      <c r="A4605" s="93">
        <v>457721</v>
      </c>
      <c r="B4605" t="s">
        <v>5071</v>
      </c>
      <c r="C4605" t="s">
        <v>5606</v>
      </c>
      <c r="D4605" s="92" t="s">
        <v>428</v>
      </c>
      <c r="E4605" s="92" t="s">
        <v>428</v>
      </c>
      <c r="F4605" t="s">
        <v>428</v>
      </c>
      <c r="G4605" t="s">
        <v>428</v>
      </c>
      <c r="H4605" t="s">
        <v>5624</v>
      </c>
      <c r="I4605">
        <v>1</v>
      </c>
      <c r="J4605" t="s">
        <v>87</v>
      </c>
      <c r="K4605">
        <v>0</v>
      </c>
      <c r="L4605">
        <v>0</v>
      </c>
    </row>
    <row r="4606" spans="1:12">
      <c r="A4606" s="93">
        <v>457749</v>
      </c>
      <c r="B4606" t="s">
        <v>5072</v>
      </c>
      <c r="C4606" t="s">
        <v>5606</v>
      </c>
      <c r="D4606" s="92" t="s">
        <v>428</v>
      </c>
      <c r="E4606" s="92" t="s">
        <v>428</v>
      </c>
      <c r="F4606" t="s">
        <v>428</v>
      </c>
      <c r="G4606" t="s">
        <v>428</v>
      </c>
      <c r="H4606" t="s">
        <v>5616</v>
      </c>
      <c r="I4606">
        <v>0</v>
      </c>
      <c r="J4606" t="s">
        <v>87</v>
      </c>
      <c r="K4606">
        <v>0</v>
      </c>
      <c r="L4606">
        <v>0</v>
      </c>
    </row>
    <row r="4607" spans="1:12">
      <c r="A4607" s="93">
        <v>457800</v>
      </c>
      <c r="B4607" t="s">
        <v>5073</v>
      </c>
      <c r="C4607" t="s">
        <v>5606</v>
      </c>
      <c r="D4607" s="92" t="s">
        <v>428</v>
      </c>
      <c r="E4607" s="92" t="s">
        <v>428</v>
      </c>
      <c r="F4607" t="s">
        <v>428</v>
      </c>
      <c r="G4607" t="s">
        <v>428</v>
      </c>
      <c r="H4607" t="s">
        <v>5616</v>
      </c>
      <c r="I4607">
        <v>0</v>
      </c>
      <c r="J4607" t="s">
        <v>87</v>
      </c>
      <c r="K4607">
        <v>0</v>
      </c>
      <c r="L4607">
        <v>0</v>
      </c>
    </row>
    <row r="4608" spans="1:12">
      <c r="A4608" s="93">
        <v>457891</v>
      </c>
      <c r="B4608" t="s">
        <v>5074</v>
      </c>
      <c r="C4608" t="s">
        <v>5606</v>
      </c>
      <c r="D4608" s="92" t="s">
        <v>428</v>
      </c>
      <c r="E4608" s="92" t="s">
        <v>428</v>
      </c>
      <c r="F4608" t="s">
        <v>428</v>
      </c>
      <c r="G4608" t="s">
        <v>428</v>
      </c>
      <c r="H4608" t="s">
        <v>5613</v>
      </c>
      <c r="I4608">
        <v>1</v>
      </c>
      <c r="J4608" t="s">
        <v>87</v>
      </c>
      <c r="K4608">
        <v>0</v>
      </c>
      <c r="L4608">
        <v>0</v>
      </c>
    </row>
    <row r="4609" spans="1:12">
      <c r="A4609" s="93">
        <v>457916</v>
      </c>
      <c r="B4609" t="s">
        <v>5075</v>
      </c>
      <c r="C4609" t="s">
        <v>5606</v>
      </c>
      <c r="D4609" s="92" t="s">
        <v>428</v>
      </c>
      <c r="E4609" s="92" t="s">
        <v>428</v>
      </c>
      <c r="F4609" t="s">
        <v>428</v>
      </c>
      <c r="G4609" t="s">
        <v>428</v>
      </c>
      <c r="H4609" t="s">
        <v>5624</v>
      </c>
      <c r="I4609">
        <v>1</v>
      </c>
      <c r="J4609" t="s">
        <v>87</v>
      </c>
      <c r="K4609">
        <v>0</v>
      </c>
      <c r="L4609">
        <v>0</v>
      </c>
    </row>
    <row r="4610" spans="1:12">
      <c r="A4610" s="93">
        <v>457925</v>
      </c>
      <c r="B4610" t="s">
        <v>5076</v>
      </c>
      <c r="C4610" t="s">
        <v>5609</v>
      </c>
      <c r="D4610" s="92" t="s">
        <v>428</v>
      </c>
      <c r="E4610" s="92" t="s">
        <v>428</v>
      </c>
      <c r="F4610" t="s">
        <v>428</v>
      </c>
      <c r="G4610" t="s">
        <v>428</v>
      </c>
      <c r="H4610" t="s">
        <v>5617</v>
      </c>
      <c r="I4610">
        <v>0</v>
      </c>
      <c r="J4610" t="s">
        <v>87</v>
      </c>
      <c r="K4610">
        <v>0</v>
      </c>
      <c r="L4610">
        <v>0</v>
      </c>
    </row>
    <row r="4611" spans="1:12">
      <c r="A4611" s="93">
        <v>458034</v>
      </c>
      <c r="B4611" t="s">
        <v>5077</v>
      </c>
      <c r="C4611" t="s">
        <v>5606</v>
      </c>
      <c r="D4611" s="92" t="s">
        <v>428</v>
      </c>
      <c r="E4611" s="92" t="s">
        <v>428</v>
      </c>
      <c r="F4611" t="s">
        <v>428</v>
      </c>
      <c r="G4611" t="s">
        <v>428</v>
      </c>
      <c r="H4611" t="s">
        <v>5617</v>
      </c>
      <c r="I4611">
        <v>0</v>
      </c>
      <c r="J4611" t="s">
        <v>87</v>
      </c>
      <c r="K4611">
        <v>0</v>
      </c>
      <c r="L4611">
        <v>0</v>
      </c>
    </row>
    <row r="4612" spans="1:12">
      <c r="A4612" s="93">
        <v>458113</v>
      </c>
      <c r="B4612" t="s">
        <v>5078</v>
      </c>
      <c r="C4612" t="s">
        <v>5604</v>
      </c>
      <c r="D4612" s="92">
        <v>0.33</v>
      </c>
      <c r="E4612" s="92">
        <v>0</v>
      </c>
      <c r="F4612" t="s">
        <v>428</v>
      </c>
      <c r="G4612" t="s">
        <v>428</v>
      </c>
      <c r="H4612" t="s">
        <v>5616</v>
      </c>
      <c r="I4612">
        <v>0</v>
      </c>
      <c r="J4612" t="s">
        <v>87</v>
      </c>
      <c r="K4612">
        <v>0</v>
      </c>
      <c r="L4612">
        <v>0</v>
      </c>
    </row>
    <row r="4613" spans="1:12">
      <c r="A4613" s="93">
        <v>458140</v>
      </c>
      <c r="B4613" t="s">
        <v>5079</v>
      </c>
      <c r="C4613" t="s">
        <v>5606</v>
      </c>
      <c r="D4613" s="92" t="s">
        <v>428</v>
      </c>
      <c r="E4613" s="92" t="s">
        <v>428</v>
      </c>
      <c r="F4613" t="s">
        <v>428</v>
      </c>
      <c r="G4613" t="s">
        <v>428</v>
      </c>
      <c r="H4613" t="s">
        <v>5617</v>
      </c>
      <c r="I4613">
        <v>0</v>
      </c>
      <c r="J4613" t="s">
        <v>87</v>
      </c>
      <c r="K4613">
        <v>0</v>
      </c>
      <c r="L4613">
        <v>0</v>
      </c>
    </row>
    <row r="4614" spans="1:12">
      <c r="A4614" s="93">
        <v>458159</v>
      </c>
      <c r="B4614" t="s">
        <v>5080</v>
      </c>
      <c r="C4614" t="s">
        <v>5607</v>
      </c>
      <c r="D4614" s="92" t="s">
        <v>428</v>
      </c>
      <c r="E4614" s="92" t="s">
        <v>428</v>
      </c>
      <c r="F4614" t="s">
        <v>428</v>
      </c>
      <c r="G4614" t="s">
        <v>428</v>
      </c>
      <c r="H4614" t="s">
        <v>5615</v>
      </c>
      <c r="I4614">
        <v>0</v>
      </c>
      <c r="J4614" t="s">
        <v>87</v>
      </c>
      <c r="K4614">
        <v>0</v>
      </c>
      <c r="L4614">
        <v>0</v>
      </c>
    </row>
    <row r="4615" spans="1:12">
      <c r="A4615" s="93">
        <v>458168</v>
      </c>
      <c r="B4615" t="s">
        <v>5081</v>
      </c>
      <c r="C4615" t="s">
        <v>5606</v>
      </c>
      <c r="D4615" s="92" t="s">
        <v>428</v>
      </c>
      <c r="E4615" s="92" t="s">
        <v>428</v>
      </c>
      <c r="F4615" t="s">
        <v>428</v>
      </c>
      <c r="G4615" t="s">
        <v>428</v>
      </c>
      <c r="H4615" t="s">
        <v>5616</v>
      </c>
      <c r="I4615">
        <v>0</v>
      </c>
      <c r="J4615" t="s">
        <v>87</v>
      </c>
      <c r="K4615">
        <v>0</v>
      </c>
      <c r="L4615">
        <v>0</v>
      </c>
    </row>
    <row r="4616" spans="1:12">
      <c r="A4616" s="93">
        <v>458186</v>
      </c>
      <c r="B4616" t="s">
        <v>5082</v>
      </c>
      <c r="C4616" t="s">
        <v>5606</v>
      </c>
      <c r="D4616" s="92" t="s">
        <v>428</v>
      </c>
      <c r="E4616" s="92" t="s">
        <v>428</v>
      </c>
      <c r="F4616" t="s">
        <v>428</v>
      </c>
      <c r="G4616" t="s">
        <v>428</v>
      </c>
      <c r="H4616" t="s">
        <v>5617</v>
      </c>
      <c r="I4616">
        <v>0</v>
      </c>
      <c r="J4616" t="s">
        <v>87</v>
      </c>
      <c r="K4616">
        <v>0</v>
      </c>
      <c r="L4616">
        <v>0</v>
      </c>
    </row>
    <row r="4617" spans="1:12">
      <c r="A4617" s="93">
        <v>458210</v>
      </c>
      <c r="B4617" t="s">
        <v>5083</v>
      </c>
      <c r="C4617" t="s">
        <v>5607</v>
      </c>
      <c r="D4617" s="92">
        <v>0.73</v>
      </c>
      <c r="E4617" s="92" t="s">
        <v>428</v>
      </c>
      <c r="F4617" t="s">
        <v>428</v>
      </c>
      <c r="G4617" t="s">
        <v>428</v>
      </c>
      <c r="H4617" t="s">
        <v>5617</v>
      </c>
      <c r="I4617">
        <v>0</v>
      </c>
      <c r="J4617" t="s">
        <v>87</v>
      </c>
      <c r="K4617">
        <v>0</v>
      </c>
      <c r="L4617">
        <v>0</v>
      </c>
    </row>
    <row r="4618" spans="1:12">
      <c r="A4618" s="93">
        <v>458229</v>
      </c>
      <c r="B4618" t="s">
        <v>5084</v>
      </c>
      <c r="C4618" t="s">
        <v>5607</v>
      </c>
      <c r="D4618" s="92">
        <v>0.5</v>
      </c>
      <c r="E4618" s="92">
        <v>0.4</v>
      </c>
      <c r="F4618" t="s">
        <v>428</v>
      </c>
      <c r="G4618" t="s">
        <v>428</v>
      </c>
      <c r="H4618" t="s">
        <v>5617</v>
      </c>
      <c r="I4618">
        <v>0</v>
      </c>
      <c r="J4618" t="s">
        <v>87</v>
      </c>
      <c r="K4618">
        <v>0</v>
      </c>
      <c r="L4618">
        <v>0</v>
      </c>
    </row>
    <row r="4619" spans="1:12">
      <c r="A4619" s="93">
        <v>458256</v>
      </c>
      <c r="B4619" t="s">
        <v>5085</v>
      </c>
      <c r="C4619" t="s">
        <v>5606</v>
      </c>
      <c r="D4619" s="92" t="s">
        <v>428</v>
      </c>
      <c r="E4619" s="92" t="s">
        <v>428</v>
      </c>
      <c r="F4619" t="s">
        <v>428</v>
      </c>
      <c r="G4619" t="s">
        <v>428</v>
      </c>
      <c r="H4619" t="s">
        <v>5617</v>
      </c>
      <c r="I4619">
        <v>0</v>
      </c>
      <c r="J4619" t="s">
        <v>87</v>
      </c>
      <c r="K4619">
        <v>0</v>
      </c>
      <c r="L4619">
        <v>0</v>
      </c>
    </row>
    <row r="4620" spans="1:12">
      <c r="A4620" s="93">
        <v>458283</v>
      </c>
      <c r="B4620" t="s">
        <v>5086</v>
      </c>
      <c r="C4620" t="s">
        <v>5606</v>
      </c>
      <c r="D4620" s="92" t="s">
        <v>428</v>
      </c>
      <c r="E4620" s="92" t="s">
        <v>428</v>
      </c>
      <c r="F4620" t="s">
        <v>428</v>
      </c>
      <c r="G4620" t="s">
        <v>428</v>
      </c>
      <c r="H4620" t="s">
        <v>5617</v>
      </c>
      <c r="I4620">
        <v>0</v>
      </c>
      <c r="J4620" t="s">
        <v>87</v>
      </c>
      <c r="K4620">
        <v>0</v>
      </c>
      <c r="L4620">
        <v>0</v>
      </c>
    </row>
    <row r="4621" spans="1:12">
      <c r="A4621" s="93">
        <v>458405</v>
      </c>
      <c r="B4621" t="s">
        <v>5087</v>
      </c>
      <c r="C4621" t="s">
        <v>5606</v>
      </c>
      <c r="D4621" s="92" t="s">
        <v>428</v>
      </c>
      <c r="E4621" s="92" t="s">
        <v>428</v>
      </c>
      <c r="F4621" t="s">
        <v>428</v>
      </c>
      <c r="G4621" t="s">
        <v>428</v>
      </c>
      <c r="H4621" t="s">
        <v>5617</v>
      </c>
      <c r="I4621">
        <v>0</v>
      </c>
      <c r="J4621" t="s">
        <v>87</v>
      </c>
      <c r="K4621">
        <v>0</v>
      </c>
      <c r="L4621">
        <v>0</v>
      </c>
    </row>
    <row r="4622" spans="1:12">
      <c r="A4622" s="93">
        <v>458432</v>
      </c>
      <c r="B4622" t="s">
        <v>5088</v>
      </c>
      <c r="C4622" t="s">
        <v>5607</v>
      </c>
      <c r="D4622" s="92" t="s">
        <v>428</v>
      </c>
      <c r="E4622" s="92" t="s">
        <v>428</v>
      </c>
      <c r="F4622" t="s">
        <v>428</v>
      </c>
      <c r="G4622" t="s">
        <v>428</v>
      </c>
      <c r="H4622" t="s">
        <v>5617</v>
      </c>
      <c r="I4622">
        <v>0</v>
      </c>
      <c r="J4622" t="s">
        <v>87</v>
      </c>
      <c r="K4622">
        <v>0</v>
      </c>
      <c r="L4622">
        <v>0</v>
      </c>
    </row>
    <row r="4623" spans="1:12">
      <c r="A4623" s="93">
        <v>458441</v>
      </c>
      <c r="B4623" t="s">
        <v>5089</v>
      </c>
      <c r="C4623" t="s">
        <v>5606</v>
      </c>
      <c r="D4623" s="92" t="s">
        <v>428</v>
      </c>
      <c r="E4623" s="92" t="s">
        <v>428</v>
      </c>
      <c r="F4623" t="s">
        <v>428</v>
      </c>
      <c r="G4623" t="s">
        <v>428</v>
      </c>
      <c r="H4623" t="s">
        <v>5617</v>
      </c>
      <c r="I4623">
        <v>0</v>
      </c>
      <c r="J4623" t="s">
        <v>87</v>
      </c>
      <c r="K4623">
        <v>0</v>
      </c>
      <c r="L4623">
        <v>0</v>
      </c>
    </row>
    <row r="4624" spans="1:12">
      <c r="A4624" s="93">
        <v>458450</v>
      </c>
      <c r="B4624" t="s">
        <v>3245</v>
      </c>
      <c r="C4624" t="s">
        <v>5606</v>
      </c>
      <c r="D4624" s="92" t="s">
        <v>428</v>
      </c>
      <c r="E4624" s="92" t="s">
        <v>428</v>
      </c>
      <c r="F4624" t="s">
        <v>428</v>
      </c>
      <c r="G4624" t="s">
        <v>428</v>
      </c>
      <c r="H4624" t="s">
        <v>5617</v>
      </c>
      <c r="I4624">
        <v>0</v>
      </c>
      <c r="J4624" t="s">
        <v>87</v>
      </c>
      <c r="K4624">
        <v>0</v>
      </c>
      <c r="L4624">
        <v>0</v>
      </c>
    </row>
    <row r="4625" spans="1:12">
      <c r="A4625" s="93">
        <v>458469</v>
      </c>
      <c r="B4625" t="s">
        <v>5090</v>
      </c>
      <c r="C4625" t="s">
        <v>5607</v>
      </c>
      <c r="D4625" s="92">
        <v>0.38</v>
      </c>
      <c r="E4625" s="92">
        <v>0.38</v>
      </c>
      <c r="F4625" t="s">
        <v>428</v>
      </c>
      <c r="G4625" t="s">
        <v>428</v>
      </c>
      <c r="H4625" t="s">
        <v>5613</v>
      </c>
      <c r="I4625">
        <v>1</v>
      </c>
      <c r="J4625" t="s">
        <v>87</v>
      </c>
      <c r="K4625">
        <v>0</v>
      </c>
      <c r="L4625">
        <v>0</v>
      </c>
    </row>
    <row r="4626" spans="1:12">
      <c r="A4626" s="93">
        <v>458478</v>
      </c>
      <c r="B4626" t="s">
        <v>5091</v>
      </c>
      <c r="C4626" t="s">
        <v>5606</v>
      </c>
      <c r="D4626" s="92" t="s">
        <v>428</v>
      </c>
      <c r="E4626" s="92" t="s">
        <v>428</v>
      </c>
      <c r="F4626" t="s">
        <v>428</v>
      </c>
      <c r="G4626" t="s">
        <v>428</v>
      </c>
      <c r="H4626" t="s">
        <v>5617</v>
      </c>
      <c r="I4626">
        <v>0</v>
      </c>
      <c r="J4626" t="s">
        <v>87</v>
      </c>
      <c r="K4626">
        <v>0</v>
      </c>
      <c r="L4626">
        <v>0</v>
      </c>
    </row>
    <row r="4627" spans="1:12">
      <c r="A4627" s="93">
        <v>458496</v>
      </c>
      <c r="B4627" t="s">
        <v>5092</v>
      </c>
      <c r="C4627" t="s">
        <v>5604</v>
      </c>
      <c r="D4627" s="92">
        <v>0.33</v>
      </c>
      <c r="E4627" s="92">
        <v>0.36</v>
      </c>
      <c r="F4627" t="s">
        <v>428</v>
      </c>
      <c r="G4627" t="s">
        <v>428</v>
      </c>
      <c r="H4627" t="s">
        <v>5617</v>
      </c>
      <c r="I4627">
        <v>0</v>
      </c>
      <c r="J4627" t="s">
        <v>87</v>
      </c>
      <c r="K4627">
        <v>0</v>
      </c>
      <c r="L4627">
        <v>0</v>
      </c>
    </row>
    <row r="4628" spans="1:12">
      <c r="A4628" s="93">
        <v>458502</v>
      </c>
      <c r="B4628" t="s">
        <v>5093</v>
      </c>
      <c r="C4628" t="s">
        <v>5604</v>
      </c>
      <c r="D4628" s="92" t="s">
        <v>428</v>
      </c>
      <c r="E4628" s="92" t="s">
        <v>428</v>
      </c>
      <c r="F4628" t="s">
        <v>428</v>
      </c>
      <c r="G4628" t="s">
        <v>428</v>
      </c>
      <c r="H4628" t="s">
        <v>5617</v>
      </c>
      <c r="I4628">
        <v>0</v>
      </c>
      <c r="J4628" t="s">
        <v>87</v>
      </c>
      <c r="K4628">
        <v>0</v>
      </c>
      <c r="L4628">
        <v>0</v>
      </c>
    </row>
    <row r="4629" spans="1:12">
      <c r="A4629" s="93">
        <v>458557</v>
      </c>
      <c r="B4629" t="s">
        <v>5094</v>
      </c>
      <c r="C4629" t="s">
        <v>5607</v>
      </c>
      <c r="D4629" s="92" t="s">
        <v>428</v>
      </c>
      <c r="E4629" s="92" t="s">
        <v>428</v>
      </c>
      <c r="F4629" t="s">
        <v>428</v>
      </c>
      <c r="G4629" t="s">
        <v>428</v>
      </c>
      <c r="H4629" t="s">
        <v>5617</v>
      </c>
      <c r="I4629">
        <v>0</v>
      </c>
      <c r="J4629" t="s">
        <v>87</v>
      </c>
      <c r="K4629">
        <v>0</v>
      </c>
      <c r="L4629">
        <v>0</v>
      </c>
    </row>
    <row r="4630" spans="1:12">
      <c r="A4630" s="93">
        <v>458575</v>
      </c>
      <c r="B4630" t="s">
        <v>5095</v>
      </c>
      <c r="C4630" t="s">
        <v>5603</v>
      </c>
      <c r="D4630" s="92">
        <v>0.5</v>
      </c>
      <c r="E4630" s="92">
        <v>0</v>
      </c>
      <c r="F4630">
        <v>30</v>
      </c>
      <c r="G4630">
        <v>30.5</v>
      </c>
      <c r="H4630" t="s">
        <v>5615</v>
      </c>
      <c r="I4630">
        <v>0</v>
      </c>
      <c r="J4630" t="s">
        <v>87</v>
      </c>
      <c r="K4630">
        <v>0</v>
      </c>
      <c r="L4630">
        <v>0</v>
      </c>
    </row>
    <row r="4631" spans="1:12">
      <c r="A4631" s="93">
        <v>458593</v>
      </c>
      <c r="B4631" t="s">
        <v>5096</v>
      </c>
      <c r="C4631" t="s">
        <v>5606</v>
      </c>
      <c r="D4631" s="92" t="s">
        <v>428</v>
      </c>
      <c r="E4631" s="92" t="s">
        <v>428</v>
      </c>
      <c r="F4631" t="s">
        <v>428</v>
      </c>
      <c r="G4631" t="s">
        <v>428</v>
      </c>
      <c r="H4631" t="s">
        <v>5617</v>
      </c>
      <c r="I4631">
        <v>0</v>
      </c>
      <c r="J4631" t="s">
        <v>87</v>
      </c>
      <c r="K4631">
        <v>0</v>
      </c>
      <c r="L4631">
        <v>0</v>
      </c>
    </row>
    <row r="4632" spans="1:12">
      <c r="A4632" s="93">
        <v>458681</v>
      </c>
      <c r="B4632" t="s">
        <v>5097</v>
      </c>
      <c r="C4632" t="s">
        <v>5606</v>
      </c>
      <c r="D4632" s="92" t="s">
        <v>428</v>
      </c>
      <c r="E4632" s="92" t="s">
        <v>428</v>
      </c>
      <c r="F4632" t="s">
        <v>428</v>
      </c>
      <c r="G4632" t="s">
        <v>428</v>
      </c>
      <c r="H4632" t="s">
        <v>5617</v>
      </c>
      <c r="I4632">
        <v>0</v>
      </c>
      <c r="J4632" t="s">
        <v>87</v>
      </c>
      <c r="K4632">
        <v>0</v>
      </c>
      <c r="L4632">
        <v>0</v>
      </c>
    </row>
    <row r="4633" spans="1:12">
      <c r="A4633" s="93">
        <v>458690</v>
      </c>
      <c r="B4633" t="s">
        <v>5098</v>
      </c>
      <c r="C4633" t="s">
        <v>5606</v>
      </c>
      <c r="D4633" s="92" t="s">
        <v>428</v>
      </c>
      <c r="E4633" s="92" t="s">
        <v>428</v>
      </c>
      <c r="F4633" t="s">
        <v>428</v>
      </c>
      <c r="G4633" t="s">
        <v>428</v>
      </c>
      <c r="H4633" t="s">
        <v>5617</v>
      </c>
      <c r="I4633">
        <v>0</v>
      </c>
      <c r="J4633" t="s">
        <v>87</v>
      </c>
      <c r="K4633">
        <v>0</v>
      </c>
      <c r="L4633">
        <v>0</v>
      </c>
    </row>
    <row r="4634" spans="1:12">
      <c r="A4634" s="93">
        <v>458706</v>
      </c>
      <c r="B4634" t="s">
        <v>5099</v>
      </c>
      <c r="C4634" t="s">
        <v>5606</v>
      </c>
      <c r="D4634" s="92" t="s">
        <v>428</v>
      </c>
      <c r="E4634" s="92" t="s">
        <v>428</v>
      </c>
      <c r="F4634" t="s">
        <v>428</v>
      </c>
      <c r="G4634" t="s">
        <v>428</v>
      </c>
      <c r="H4634" t="s">
        <v>5617</v>
      </c>
      <c r="I4634">
        <v>0</v>
      </c>
      <c r="J4634" t="s">
        <v>87</v>
      </c>
      <c r="K4634">
        <v>0</v>
      </c>
      <c r="L4634">
        <v>0</v>
      </c>
    </row>
    <row r="4635" spans="1:12">
      <c r="A4635" s="93">
        <v>458733</v>
      </c>
      <c r="B4635" t="s">
        <v>5100</v>
      </c>
      <c r="C4635" t="s">
        <v>5607</v>
      </c>
      <c r="D4635" s="92" t="s">
        <v>428</v>
      </c>
      <c r="E4635" s="92" t="s">
        <v>428</v>
      </c>
      <c r="F4635" t="s">
        <v>428</v>
      </c>
      <c r="G4635" t="s">
        <v>428</v>
      </c>
      <c r="H4635" t="s">
        <v>5617</v>
      </c>
      <c r="I4635">
        <v>0</v>
      </c>
      <c r="J4635" t="s">
        <v>87</v>
      </c>
      <c r="K4635">
        <v>0</v>
      </c>
      <c r="L4635">
        <v>0</v>
      </c>
    </row>
    <row r="4636" spans="1:12">
      <c r="A4636" s="93">
        <v>458779</v>
      </c>
      <c r="B4636" t="s">
        <v>5101</v>
      </c>
      <c r="C4636" t="s">
        <v>5607</v>
      </c>
      <c r="D4636" s="92">
        <v>0.33</v>
      </c>
      <c r="E4636" s="92" t="s">
        <v>428</v>
      </c>
      <c r="F4636" t="s">
        <v>428</v>
      </c>
      <c r="G4636" t="s">
        <v>428</v>
      </c>
      <c r="H4636" t="s">
        <v>5617</v>
      </c>
      <c r="I4636">
        <v>0</v>
      </c>
      <c r="J4636" t="s">
        <v>87</v>
      </c>
      <c r="K4636">
        <v>0</v>
      </c>
      <c r="L4636">
        <v>0</v>
      </c>
    </row>
    <row r="4637" spans="1:12">
      <c r="A4637" s="93">
        <v>458885</v>
      </c>
      <c r="B4637" t="s">
        <v>5102</v>
      </c>
      <c r="C4637" t="s">
        <v>5604</v>
      </c>
      <c r="D4637" s="92" t="s">
        <v>428</v>
      </c>
      <c r="E4637" s="92" t="s">
        <v>428</v>
      </c>
      <c r="F4637" t="s">
        <v>428</v>
      </c>
      <c r="G4637" t="s">
        <v>428</v>
      </c>
      <c r="H4637" t="s">
        <v>5615</v>
      </c>
      <c r="I4637">
        <v>0</v>
      </c>
      <c r="J4637" t="s">
        <v>87</v>
      </c>
      <c r="K4637">
        <v>0</v>
      </c>
      <c r="L4637">
        <v>0</v>
      </c>
    </row>
    <row r="4638" spans="1:12">
      <c r="A4638" s="93">
        <v>458919</v>
      </c>
      <c r="B4638" t="s">
        <v>5103</v>
      </c>
      <c r="C4638" t="s">
        <v>5604</v>
      </c>
      <c r="D4638" s="92">
        <v>0.21</v>
      </c>
      <c r="E4638" s="92">
        <v>0.28</v>
      </c>
      <c r="F4638" t="s">
        <v>428</v>
      </c>
      <c r="G4638" t="s">
        <v>428</v>
      </c>
      <c r="H4638" t="s">
        <v>5617</v>
      </c>
      <c r="I4638">
        <v>0</v>
      </c>
      <c r="J4638" t="s">
        <v>87</v>
      </c>
      <c r="K4638">
        <v>0</v>
      </c>
      <c r="L4638">
        <v>0</v>
      </c>
    </row>
    <row r="4639" spans="1:12">
      <c r="A4639" s="93">
        <v>458955</v>
      </c>
      <c r="B4639" t="s">
        <v>5104</v>
      </c>
      <c r="C4639" t="s">
        <v>5604</v>
      </c>
      <c r="D4639" s="92" t="s">
        <v>428</v>
      </c>
      <c r="E4639" s="92" t="s">
        <v>428</v>
      </c>
      <c r="F4639" t="s">
        <v>428</v>
      </c>
      <c r="G4639" t="s">
        <v>428</v>
      </c>
      <c r="H4639" t="s">
        <v>5617</v>
      </c>
      <c r="I4639">
        <v>0</v>
      </c>
      <c r="J4639" t="s">
        <v>87</v>
      </c>
      <c r="K4639">
        <v>0</v>
      </c>
      <c r="L4639">
        <v>0</v>
      </c>
    </row>
    <row r="4640" spans="1:12">
      <c r="A4640" s="93">
        <v>458964</v>
      </c>
      <c r="B4640" t="s">
        <v>5105</v>
      </c>
      <c r="C4640" t="s">
        <v>5604</v>
      </c>
      <c r="D4640" s="92">
        <v>0.14</v>
      </c>
      <c r="E4640" s="92">
        <v>0.5</v>
      </c>
      <c r="F4640" t="s">
        <v>428</v>
      </c>
      <c r="G4640" t="s">
        <v>428</v>
      </c>
      <c r="H4640" t="s">
        <v>5617</v>
      </c>
      <c r="I4640">
        <v>0</v>
      </c>
      <c r="J4640" t="s">
        <v>87</v>
      </c>
      <c r="K4640">
        <v>0</v>
      </c>
      <c r="L4640">
        <v>0</v>
      </c>
    </row>
    <row r="4641" spans="1:12">
      <c r="A4641" s="93">
        <v>458973</v>
      </c>
      <c r="B4641" t="s">
        <v>5106</v>
      </c>
      <c r="C4641" t="s">
        <v>5604</v>
      </c>
      <c r="D4641" s="92" t="s">
        <v>428</v>
      </c>
      <c r="E4641" s="92" t="s">
        <v>428</v>
      </c>
      <c r="F4641" t="s">
        <v>428</v>
      </c>
      <c r="G4641" t="s">
        <v>428</v>
      </c>
      <c r="H4641" t="s">
        <v>5617</v>
      </c>
      <c r="I4641">
        <v>0</v>
      </c>
      <c r="J4641" t="s">
        <v>87</v>
      </c>
      <c r="K4641">
        <v>0</v>
      </c>
      <c r="L4641">
        <v>0</v>
      </c>
    </row>
    <row r="4642" spans="1:12">
      <c r="A4642" s="93">
        <v>458982</v>
      </c>
      <c r="B4642" t="s">
        <v>5107</v>
      </c>
      <c r="C4642" t="s">
        <v>5604</v>
      </c>
      <c r="D4642" s="92">
        <v>0.33</v>
      </c>
      <c r="E4642" s="92">
        <v>0.28</v>
      </c>
      <c r="F4642" t="s">
        <v>428</v>
      </c>
      <c r="G4642" t="s">
        <v>428</v>
      </c>
      <c r="H4642" t="s">
        <v>5617</v>
      </c>
      <c r="I4642">
        <v>0</v>
      </c>
      <c r="J4642" t="s">
        <v>87</v>
      </c>
      <c r="K4642">
        <v>0</v>
      </c>
      <c r="L4642">
        <v>0</v>
      </c>
    </row>
    <row r="4643" spans="1:12">
      <c r="A4643" s="93">
        <v>459082</v>
      </c>
      <c r="B4643" t="s">
        <v>5108</v>
      </c>
      <c r="C4643" t="s">
        <v>5607</v>
      </c>
      <c r="D4643" s="92" t="s">
        <v>428</v>
      </c>
      <c r="E4643" s="92" t="s">
        <v>428</v>
      </c>
      <c r="F4643" t="s">
        <v>428</v>
      </c>
      <c r="G4643" t="s">
        <v>428</v>
      </c>
      <c r="H4643" t="s">
        <v>5615</v>
      </c>
      <c r="I4643">
        <v>0</v>
      </c>
      <c r="J4643" t="s">
        <v>87</v>
      </c>
      <c r="K4643">
        <v>0</v>
      </c>
      <c r="L4643">
        <v>0</v>
      </c>
    </row>
    <row r="4644" spans="1:12">
      <c r="A4644" s="93">
        <v>459091</v>
      </c>
      <c r="B4644" t="s">
        <v>5109</v>
      </c>
      <c r="C4644" t="s">
        <v>5604</v>
      </c>
      <c r="D4644" s="92">
        <v>0.14</v>
      </c>
      <c r="E4644" s="92">
        <v>0</v>
      </c>
      <c r="F4644" t="s">
        <v>428</v>
      </c>
      <c r="G4644" t="s">
        <v>428</v>
      </c>
      <c r="H4644" t="s">
        <v>5617</v>
      </c>
      <c r="I4644">
        <v>0</v>
      </c>
      <c r="J4644" t="s">
        <v>87</v>
      </c>
      <c r="K4644">
        <v>0</v>
      </c>
      <c r="L4644">
        <v>0</v>
      </c>
    </row>
    <row r="4645" spans="1:12">
      <c r="A4645" s="93">
        <v>459107</v>
      </c>
      <c r="B4645" t="s">
        <v>5110</v>
      </c>
      <c r="C4645" t="s">
        <v>5604</v>
      </c>
      <c r="D4645" s="92" t="s">
        <v>428</v>
      </c>
      <c r="E4645" s="92" t="s">
        <v>428</v>
      </c>
      <c r="F4645" t="s">
        <v>428</v>
      </c>
      <c r="G4645" t="s">
        <v>428</v>
      </c>
      <c r="H4645" t="s">
        <v>5616</v>
      </c>
      <c r="I4645">
        <v>0</v>
      </c>
      <c r="J4645" t="s">
        <v>87</v>
      </c>
      <c r="K4645">
        <v>0</v>
      </c>
      <c r="L4645">
        <v>0</v>
      </c>
    </row>
    <row r="4646" spans="1:12">
      <c r="A4646" s="93">
        <v>459143</v>
      </c>
      <c r="B4646" t="s">
        <v>5111</v>
      </c>
      <c r="C4646" t="s">
        <v>5606</v>
      </c>
      <c r="D4646" s="92" t="s">
        <v>428</v>
      </c>
      <c r="E4646" s="92" t="s">
        <v>428</v>
      </c>
      <c r="F4646" t="s">
        <v>428</v>
      </c>
      <c r="G4646" t="s">
        <v>428</v>
      </c>
      <c r="H4646" t="s">
        <v>5617</v>
      </c>
      <c r="I4646">
        <v>0</v>
      </c>
      <c r="J4646" t="s">
        <v>87</v>
      </c>
      <c r="K4646">
        <v>0</v>
      </c>
      <c r="L4646">
        <v>0</v>
      </c>
    </row>
    <row r="4647" spans="1:12">
      <c r="A4647" s="93">
        <v>459161</v>
      </c>
      <c r="B4647" t="s">
        <v>5112</v>
      </c>
      <c r="C4647" t="s">
        <v>5607</v>
      </c>
      <c r="D4647" s="92" t="s">
        <v>428</v>
      </c>
      <c r="E4647" s="92" t="s">
        <v>428</v>
      </c>
      <c r="F4647" t="s">
        <v>428</v>
      </c>
      <c r="G4647" t="s">
        <v>428</v>
      </c>
      <c r="H4647" t="s">
        <v>5615</v>
      </c>
      <c r="I4647">
        <v>0</v>
      </c>
      <c r="J4647" t="s">
        <v>87</v>
      </c>
      <c r="K4647">
        <v>0</v>
      </c>
      <c r="L4647">
        <v>0</v>
      </c>
    </row>
    <row r="4648" spans="1:12">
      <c r="A4648" s="93">
        <v>459204</v>
      </c>
      <c r="B4648" t="s">
        <v>5113</v>
      </c>
      <c r="C4648" t="s">
        <v>5604</v>
      </c>
      <c r="D4648" s="92" t="s">
        <v>428</v>
      </c>
      <c r="E4648" s="92" t="s">
        <v>428</v>
      </c>
      <c r="F4648" t="s">
        <v>428</v>
      </c>
      <c r="G4648" t="s">
        <v>428</v>
      </c>
      <c r="H4648" t="s">
        <v>5617</v>
      </c>
      <c r="I4648">
        <v>0</v>
      </c>
      <c r="J4648" t="s">
        <v>87</v>
      </c>
      <c r="K4648">
        <v>0</v>
      </c>
      <c r="L4648">
        <v>0</v>
      </c>
    </row>
    <row r="4649" spans="1:12">
      <c r="A4649" s="93">
        <v>459213</v>
      </c>
      <c r="B4649" t="s">
        <v>5114</v>
      </c>
      <c r="C4649" t="s">
        <v>5604</v>
      </c>
      <c r="D4649" s="92">
        <v>0.59</v>
      </c>
      <c r="E4649" s="92">
        <v>0.53</v>
      </c>
      <c r="F4649" t="s">
        <v>428</v>
      </c>
      <c r="G4649" t="s">
        <v>428</v>
      </c>
      <c r="H4649" t="s">
        <v>5617</v>
      </c>
      <c r="I4649">
        <v>0</v>
      </c>
      <c r="J4649" t="s">
        <v>87</v>
      </c>
      <c r="K4649">
        <v>0</v>
      </c>
      <c r="L4649">
        <v>0</v>
      </c>
    </row>
    <row r="4650" spans="1:12">
      <c r="A4650" s="93">
        <v>459222</v>
      </c>
      <c r="B4650" t="s">
        <v>5115</v>
      </c>
      <c r="C4650" t="s">
        <v>5607</v>
      </c>
      <c r="D4650" s="92" t="s">
        <v>428</v>
      </c>
      <c r="E4650" s="92" t="s">
        <v>428</v>
      </c>
      <c r="F4650" t="s">
        <v>428</v>
      </c>
      <c r="G4650" t="s">
        <v>428</v>
      </c>
      <c r="H4650" t="s">
        <v>5615</v>
      </c>
      <c r="I4650">
        <v>0</v>
      </c>
      <c r="J4650" t="s">
        <v>87</v>
      </c>
      <c r="K4650">
        <v>0</v>
      </c>
      <c r="L4650">
        <v>0</v>
      </c>
    </row>
    <row r="4651" spans="1:12">
      <c r="A4651" s="93">
        <v>459259</v>
      </c>
      <c r="B4651" t="s">
        <v>5116</v>
      </c>
      <c r="C4651" t="s">
        <v>5604</v>
      </c>
      <c r="D4651" s="92">
        <v>0.15</v>
      </c>
      <c r="E4651" s="92">
        <v>0.13</v>
      </c>
      <c r="F4651" t="s">
        <v>428</v>
      </c>
      <c r="G4651" t="s">
        <v>428</v>
      </c>
      <c r="H4651" t="s">
        <v>5617</v>
      </c>
      <c r="I4651">
        <v>0</v>
      </c>
      <c r="J4651" t="s">
        <v>87</v>
      </c>
      <c r="K4651">
        <v>0</v>
      </c>
      <c r="L4651">
        <v>0</v>
      </c>
    </row>
    <row r="4652" spans="1:12">
      <c r="A4652" s="93">
        <v>459268</v>
      </c>
      <c r="B4652" t="s">
        <v>5117</v>
      </c>
      <c r="C4652" t="s">
        <v>5604</v>
      </c>
      <c r="D4652" s="92">
        <v>0.17</v>
      </c>
      <c r="E4652" s="92">
        <v>0.17</v>
      </c>
      <c r="F4652" t="s">
        <v>428</v>
      </c>
      <c r="G4652" t="s">
        <v>428</v>
      </c>
      <c r="H4652" t="s">
        <v>5617</v>
      </c>
      <c r="I4652">
        <v>0</v>
      </c>
      <c r="J4652" t="s">
        <v>87</v>
      </c>
      <c r="K4652">
        <v>0</v>
      </c>
      <c r="L4652">
        <v>0</v>
      </c>
    </row>
    <row r="4653" spans="1:12">
      <c r="A4653" s="93">
        <v>459277</v>
      </c>
      <c r="B4653" t="s">
        <v>5118</v>
      </c>
      <c r="C4653" t="s">
        <v>5606</v>
      </c>
      <c r="D4653" s="92" t="s">
        <v>428</v>
      </c>
      <c r="E4653" s="92" t="s">
        <v>428</v>
      </c>
      <c r="F4653" t="s">
        <v>428</v>
      </c>
      <c r="G4653" t="s">
        <v>428</v>
      </c>
      <c r="H4653" t="s">
        <v>5616</v>
      </c>
      <c r="I4653">
        <v>0</v>
      </c>
      <c r="J4653" t="s">
        <v>87</v>
      </c>
      <c r="K4653">
        <v>0</v>
      </c>
      <c r="L4653">
        <v>0</v>
      </c>
    </row>
    <row r="4654" spans="1:12">
      <c r="A4654" s="93">
        <v>459286</v>
      </c>
      <c r="B4654" t="s">
        <v>5119</v>
      </c>
      <c r="C4654" t="s">
        <v>5606</v>
      </c>
      <c r="D4654" s="92" t="s">
        <v>428</v>
      </c>
      <c r="E4654" s="92" t="s">
        <v>428</v>
      </c>
      <c r="F4654" t="s">
        <v>428</v>
      </c>
      <c r="G4654" t="s">
        <v>428</v>
      </c>
      <c r="H4654" t="s">
        <v>5617</v>
      </c>
      <c r="I4654">
        <v>0</v>
      </c>
      <c r="J4654" t="s">
        <v>87</v>
      </c>
      <c r="K4654">
        <v>0</v>
      </c>
      <c r="L4654">
        <v>0</v>
      </c>
    </row>
    <row r="4655" spans="1:12">
      <c r="A4655" s="93">
        <v>459295</v>
      </c>
      <c r="B4655" t="s">
        <v>5120</v>
      </c>
      <c r="C4655" t="s">
        <v>5606</v>
      </c>
      <c r="D4655" s="92" t="s">
        <v>428</v>
      </c>
      <c r="E4655" s="92" t="s">
        <v>428</v>
      </c>
      <c r="F4655" t="s">
        <v>428</v>
      </c>
      <c r="G4655" t="s">
        <v>428</v>
      </c>
      <c r="H4655" t="s">
        <v>5616</v>
      </c>
      <c r="I4655">
        <v>0</v>
      </c>
      <c r="J4655" t="s">
        <v>87</v>
      </c>
      <c r="K4655">
        <v>0</v>
      </c>
      <c r="L4655">
        <v>0</v>
      </c>
    </row>
    <row r="4656" spans="1:12">
      <c r="A4656" s="93">
        <v>459329</v>
      </c>
      <c r="B4656" t="s">
        <v>5121</v>
      </c>
      <c r="C4656" t="s">
        <v>5606</v>
      </c>
      <c r="D4656" s="92" t="s">
        <v>428</v>
      </c>
      <c r="E4656" s="92" t="s">
        <v>428</v>
      </c>
      <c r="F4656" t="s">
        <v>428</v>
      </c>
      <c r="G4656" t="s">
        <v>428</v>
      </c>
      <c r="H4656" t="s">
        <v>5615</v>
      </c>
      <c r="I4656">
        <v>0</v>
      </c>
      <c r="J4656" t="s">
        <v>87</v>
      </c>
      <c r="K4656">
        <v>0</v>
      </c>
      <c r="L4656">
        <v>0</v>
      </c>
    </row>
    <row r="4657" spans="1:12">
      <c r="A4657" s="93">
        <v>459356</v>
      </c>
      <c r="B4657" t="s">
        <v>5122</v>
      </c>
      <c r="C4657" t="s">
        <v>5606</v>
      </c>
      <c r="D4657" s="92">
        <v>0.76</v>
      </c>
      <c r="E4657" s="92">
        <v>0.68</v>
      </c>
      <c r="F4657" t="s">
        <v>428</v>
      </c>
      <c r="G4657" t="s">
        <v>428</v>
      </c>
      <c r="H4657" t="s">
        <v>5615</v>
      </c>
      <c r="I4657">
        <v>0</v>
      </c>
      <c r="J4657" t="s">
        <v>87</v>
      </c>
      <c r="K4657">
        <v>0</v>
      </c>
      <c r="L4657">
        <v>1</v>
      </c>
    </row>
    <row r="4658" spans="1:12">
      <c r="A4658" s="93">
        <v>459417</v>
      </c>
      <c r="B4658" t="s">
        <v>5123</v>
      </c>
      <c r="C4658" t="s">
        <v>5607</v>
      </c>
      <c r="D4658" s="92" t="s">
        <v>428</v>
      </c>
      <c r="E4658" s="92" t="s">
        <v>428</v>
      </c>
      <c r="F4658" t="s">
        <v>428</v>
      </c>
      <c r="G4658" t="s">
        <v>428</v>
      </c>
      <c r="H4658" t="s">
        <v>5617</v>
      </c>
      <c r="I4658">
        <v>0</v>
      </c>
      <c r="J4658" t="s">
        <v>87</v>
      </c>
      <c r="K4658">
        <v>0</v>
      </c>
      <c r="L4658">
        <v>0</v>
      </c>
    </row>
    <row r="4659" spans="1:12">
      <c r="A4659" s="93">
        <v>459480</v>
      </c>
      <c r="B4659" t="s">
        <v>5124</v>
      </c>
      <c r="C4659" t="s">
        <v>5606</v>
      </c>
      <c r="D4659" s="92" t="s">
        <v>428</v>
      </c>
      <c r="E4659" s="92" t="s">
        <v>428</v>
      </c>
      <c r="F4659" t="s">
        <v>428</v>
      </c>
      <c r="G4659" t="s">
        <v>428</v>
      </c>
      <c r="H4659" t="s">
        <v>5613</v>
      </c>
      <c r="I4659">
        <v>1</v>
      </c>
      <c r="J4659" t="s">
        <v>87</v>
      </c>
      <c r="K4659">
        <v>0</v>
      </c>
      <c r="L4659">
        <v>0</v>
      </c>
    </row>
    <row r="4660" spans="1:12">
      <c r="A4660" s="93">
        <v>459514</v>
      </c>
      <c r="B4660" t="s">
        <v>5125</v>
      </c>
      <c r="C4660" t="s">
        <v>5606</v>
      </c>
      <c r="D4660" s="92" t="s">
        <v>428</v>
      </c>
      <c r="E4660" s="92" t="s">
        <v>428</v>
      </c>
      <c r="F4660" t="s">
        <v>428</v>
      </c>
      <c r="G4660" t="s">
        <v>428</v>
      </c>
      <c r="H4660" t="s">
        <v>5613</v>
      </c>
      <c r="I4660">
        <v>1</v>
      </c>
      <c r="J4660" t="s">
        <v>87</v>
      </c>
      <c r="K4660">
        <v>0</v>
      </c>
      <c r="L4660">
        <v>0</v>
      </c>
    </row>
    <row r="4661" spans="1:12">
      <c r="A4661" s="93">
        <v>459550</v>
      </c>
      <c r="B4661" t="s">
        <v>5126</v>
      </c>
      <c r="C4661" t="s">
        <v>5606</v>
      </c>
      <c r="D4661" s="92" t="s">
        <v>428</v>
      </c>
      <c r="E4661" s="92" t="s">
        <v>428</v>
      </c>
      <c r="F4661" t="s">
        <v>428</v>
      </c>
      <c r="G4661" t="s">
        <v>428</v>
      </c>
      <c r="H4661" t="s">
        <v>5616</v>
      </c>
      <c r="I4661">
        <v>0</v>
      </c>
      <c r="J4661" t="s">
        <v>87</v>
      </c>
      <c r="K4661">
        <v>0</v>
      </c>
      <c r="L4661">
        <v>0</v>
      </c>
    </row>
    <row r="4662" spans="1:12">
      <c r="A4662" s="93">
        <v>459587</v>
      </c>
      <c r="B4662" t="s">
        <v>5127</v>
      </c>
      <c r="C4662" t="s">
        <v>5607</v>
      </c>
      <c r="D4662" s="92" t="s">
        <v>428</v>
      </c>
      <c r="E4662" s="92" t="s">
        <v>428</v>
      </c>
      <c r="F4662" t="s">
        <v>428</v>
      </c>
      <c r="G4662" t="s">
        <v>428</v>
      </c>
      <c r="H4662" t="s">
        <v>5617</v>
      </c>
      <c r="I4662">
        <v>0</v>
      </c>
      <c r="J4662" t="s">
        <v>87</v>
      </c>
      <c r="K4662">
        <v>0</v>
      </c>
      <c r="L4662">
        <v>1</v>
      </c>
    </row>
    <row r="4663" spans="1:12">
      <c r="A4663" s="93">
        <v>459596</v>
      </c>
      <c r="B4663" t="s">
        <v>5128</v>
      </c>
      <c r="C4663" t="s">
        <v>5607</v>
      </c>
      <c r="D4663" s="92" t="s">
        <v>428</v>
      </c>
      <c r="E4663" s="92" t="s">
        <v>428</v>
      </c>
      <c r="F4663" t="s">
        <v>428</v>
      </c>
      <c r="G4663" t="s">
        <v>428</v>
      </c>
      <c r="H4663" t="s">
        <v>5617</v>
      </c>
      <c r="I4663">
        <v>0</v>
      </c>
      <c r="J4663" t="s">
        <v>87</v>
      </c>
      <c r="K4663">
        <v>0</v>
      </c>
      <c r="L4663">
        <v>0</v>
      </c>
    </row>
    <row r="4664" spans="1:12">
      <c r="A4664" s="93">
        <v>459602</v>
      </c>
      <c r="B4664" t="s">
        <v>5129</v>
      </c>
      <c r="C4664" t="s">
        <v>5607</v>
      </c>
      <c r="D4664" s="92" t="s">
        <v>428</v>
      </c>
      <c r="E4664" s="92" t="s">
        <v>428</v>
      </c>
      <c r="F4664" t="s">
        <v>428</v>
      </c>
      <c r="G4664" t="s">
        <v>428</v>
      </c>
      <c r="H4664" t="s">
        <v>5617</v>
      </c>
      <c r="I4664">
        <v>0</v>
      </c>
      <c r="J4664" t="s">
        <v>87</v>
      </c>
      <c r="K4664">
        <v>0</v>
      </c>
      <c r="L4664">
        <v>0</v>
      </c>
    </row>
    <row r="4665" spans="1:12">
      <c r="A4665" s="93">
        <v>459611</v>
      </c>
      <c r="B4665" t="s">
        <v>5130</v>
      </c>
      <c r="C4665" t="s">
        <v>5607</v>
      </c>
      <c r="D4665" s="92" t="s">
        <v>428</v>
      </c>
      <c r="E4665" s="92" t="s">
        <v>428</v>
      </c>
      <c r="F4665" t="s">
        <v>428</v>
      </c>
      <c r="G4665" t="s">
        <v>428</v>
      </c>
      <c r="H4665" t="s">
        <v>5617</v>
      </c>
      <c r="I4665">
        <v>0</v>
      </c>
      <c r="J4665" t="s">
        <v>87</v>
      </c>
      <c r="K4665">
        <v>0</v>
      </c>
      <c r="L4665">
        <v>0</v>
      </c>
    </row>
    <row r="4666" spans="1:12">
      <c r="A4666" s="93">
        <v>459639</v>
      </c>
      <c r="B4666" t="s">
        <v>5131</v>
      </c>
      <c r="C4666" t="s">
        <v>5607</v>
      </c>
      <c r="D4666" s="92" t="s">
        <v>428</v>
      </c>
      <c r="E4666" s="92" t="s">
        <v>428</v>
      </c>
      <c r="F4666" t="s">
        <v>428</v>
      </c>
      <c r="G4666" t="s">
        <v>428</v>
      </c>
      <c r="H4666" t="s">
        <v>5617</v>
      </c>
      <c r="I4666">
        <v>0</v>
      </c>
      <c r="J4666" t="s">
        <v>87</v>
      </c>
      <c r="K4666">
        <v>0</v>
      </c>
      <c r="L4666">
        <v>0</v>
      </c>
    </row>
    <row r="4667" spans="1:12">
      <c r="A4667" s="93">
        <v>459648</v>
      </c>
      <c r="B4667" t="s">
        <v>5132</v>
      </c>
      <c r="C4667" t="s">
        <v>5607</v>
      </c>
      <c r="D4667" s="92" t="s">
        <v>428</v>
      </c>
      <c r="E4667" s="92" t="s">
        <v>428</v>
      </c>
      <c r="F4667" t="s">
        <v>428</v>
      </c>
      <c r="G4667" t="s">
        <v>428</v>
      </c>
      <c r="H4667" t="s">
        <v>5617</v>
      </c>
      <c r="I4667">
        <v>0</v>
      </c>
      <c r="J4667" t="s">
        <v>87</v>
      </c>
      <c r="K4667">
        <v>0</v>
      </c>
      <c r="L4667">
        <v>0</v>
      </c>
    </row>
    <row r="4668" spans="1:12">
      <c r="A4668" s="93">
        <v>459657</v>
      </c>
      <c r="B4668" t="s">
        <v>5133</v>
      </c>
      <c r="C4668" t="s">
        <v>5607</v>
      </c>
      <c r="D4668" s="92" t="s">
        <v>428</v>
      </c>
      <c r="E4668" s="92" t="s">
        <v>428</v>
      </c>
      <c r="F4668" t="s">
        <v>428</v>
      </c>
      <c r="G4668" t="s">
        <v>428</v>
      </c>
      <c r="H4668" t="s">
        <v>5617</v>
      </c>
      <c r="I4668">
        <v>0</v>
      </c>
      <c r="J4668" t="s">
        <v>87</v>
      </c>
      <c r="K4668">
        <v>0</v>
      </c>
      <c r="L4668">
        <v>0</v>
      </c>
    </row>
    <row r="4669" spans="1:12">
      <c r="A4669" s="93">
        <v>459666</v>
      </c>
      <c r="B4669" t="s">
        <v>5134</v>
      </c>
      <c r="C4669" t="s">
        <v>5607</v>
      </c>
      <c r="D4669" s="92" t="s">
        <v>428</v>
      </c>
      <c r="E4669" s="92" t="s">
        <v>428</v>
      </c>
      <c r="F4669" t="s">
        <v>428</v>
      </c>
      <c r="G4669" t="s">
        <v>428</v>
      </c>
      <c r="H4669" t="s">
        <v>5617</v>
      </c>
      <c r="I4669">
        <v>0</v>
      </c>
      <c r="J4669" t="s">
        <v>87</v>
      </c>
      <c r="K4669">
        <v>0</v>
      </c>
      <c r="L4669">
        <v>0</v>
      </c>
    </row>
    <row r="4670" spans="1:12">
      <c r="A4670" s="93">
        <v>459675</v>
      </c>
      <c r="B4670" t="s">
        <v>5135</v>
      </c>
      <c r="C4670" t="s">
        <v>5607</v>
      </c>
      <c r="D4670" s="92" t="s">
        <v>428</v>
      </c>
      <c r="E4670" s="92" t="s">
        <v>428</v>
      </c>
      <c r="F4670" t="s">
        <v>428</v>
      </c>
      <c r="G4670" t="s">
        <v>428</v>
      </c>
      <c r="H4670" t="s">
        <v>5617</v>
      </c>
      <c r="I4670">
        <v>0</v>
      </c>
      <c r="J4670" t="s">
        <v>87</v>
      </c>
      <c r="K4670">
        <v>0</v>
      </c>
      <c r="L4670">
        <v>0</v>
      </c>
    </row>
    <row r="4671" spans="1:12">
      <c r="A4671" s="93">
        <v>459709</v>
      </c>
      <c r="B4671" t="s">
        <v>5136</v>
      </c>
      <c r="C4671" t="s">
        <v>5607</v>
      </c>
      <c r="D4671" s="92" t="s">
        <v>428</v>
      </c>
      <c r="E4671" s="92" t="s">
        <v>428</v>
      </c>
      <c r="F4671" t="s">
        <v>428</v>
      </c>
      <c r="G4671" t="s">
        <v>428</v>
      </c>
      <c r="H4671" t="s">
        <v>5617</v>
      </c>
      <c r="I4671">
        <v>0</v>
      </c>
      <c r="J4671" t="s">
        <v>87</v>
      </c>
      <c r="K4671">
        <v>0</v>
      </c>
      <c r="L4671">
        <v>0</v>
      </c>
    </row>
    <row r="4672" spans="1:12">
      <c r="A4672" s="93">
        <v>459718</v>
      </c>
      <c r="B4672" t="s">
        <v>5137</v>
      </c>
      <c r="C4672" t="s">
        <v>5607</v>
      </c>
      <c r="D4672" s="92" t="s">
        <v>428</v>
      </c>
      <c r="E4672" s="92" t="s">
        <v>428</v>
      </c>
      <c r="F4672" t="s">
        <v>428</v>
      </c>
      <c r="G4672" t="s">
        <v>428</v>
      </c>
      <c r="H4672" t="s">
        <v>5617</v>
      </c>
      <c r="I4672">
        <v>0</v>
      </c>
      <c r="J4672" t="s">
        <v>87</v>
      </c>
      <c r="K4672">
        <v>0</v>
      </c>
      <c r="L4672">
        <v>0</v>
      </c>
    </row>
    <row r="4673" spans="1:12">
      <c r="A4673" s="93">
        <v>459727</v>
      </c>
      <c r="B4673" t="s">
        <v>5138</v>
      </c>
      <c r="C4673" t="s">
        <v>5604</v>
      </c>
      <c r="D4673" s="92">
        <v>0.78</v>
      </c>
      <c r="E4673" s="92" t="s">
        <v>428</v>
      </c>
      <c r="F4673" t="s">
        <v>428</v>
      </c>
      <c r="G4673" t="s">
        <v>428</v>
      </c>
      <c r="H4673" t="s">
        <v>5616</v>
      </c>
      <c r="I4673">
        <v>0</v>
      </c>
      <c r="J4673" t="s">
        <v>87</v>
      </c>
      <c r="K4673">
        <v>0</v>
      </c>
      <c r="L4673">
        <v>0</v>
      </c>
    </row>
    <row r="4674" spans="1:12">
      <c r="A4674" s="93">
        <v>459736</v>
      </c>
      <c r="B4674" t="s">
        <v>5139</v>
      </c>
      <c r="C4674" t="s">
        <v>5607</v>
      </c>
      <c r="D4674" s="92" t="s">
        <v>428</v>
      </c>
      <c r="E4674" s="92" t="s">
        <v>428</v>
      </c>
      <c r="F4674" t="s">
        <v>428</v>
      </c>
      <c r="G4674" t="s">
        <v>428</v>
      </c>
      <c r="H4674" t="s">
        <v>5615</v>
      </c>
      <c r="I4674">
        <v>0</v>
      </c>
      <c r="J4674" t="s">
        <v>87</v>
      </c>
      <c r="K4674">
        <v>0</v>
      </c>
      <c r="L4674">
        <v>0</v>
      </c>
    </row>
    <row r="4675" spans="1:12">
      <c r="A4675" s="93">
        <v>459745</v>
      </c>
      <c r="B4675" t="s">
        <v>5140</v>
      </c>
      <c r="C4675" t="s">
        <v>5607</v>
      </c>
      <c r="D4675" s="92" t="s">
        <v>428</v>
      </c>
      <c r="E4675" s="92" t="s">
        <v>428</v>
      </c>
      <c r="F4675" t="s">
        <v>428</v>
      </c>
      <c r="G4675" t="s">
        <v>428</v>
      </c>
      <c r="H4675" t="s">
        <v>5615</v>
      </c>
      <c r="I4675">
        <v>0</v>
      </c>
      <c r="J4675" t="s">
        <v>87</v>
      </c>
      <c r="K4675">
        <v>0</v>
      </c>
      <c r="L4675">
        <v>0</v>
      </c>
    </row>
    <row r="4676" spans="1:12">
      <c r="A4676" s="93">
        <v>459824</v>
      </c>
      <c r="B4676" t="s">
        <v>5141</v>
      </c>
      <c r="C4676" t="s">
        <v>5607</v>
      </c>
      <c r="D4676" s="92" t="s">
        <v>428</v>
      </c>
      <c r="E4676" s="92" t="s">
        <v>428</v>
      </c>
      <c r="F4676" t="s">
        <v>428</v>
      </c>
      <c r="G4676" t="s">
        <v>428</v>
      </c>
      <c r="H4676" t="s">
        <v>5615</v>
      </c>
      <c r="I4676">
        <v>0</v>
      </c>
      <c r="J4676" t="s">
        <v>87</v>
      </c>
      <c r="K4676">
        <v>0</v>
      </c>
      <c r="L4676">
        <v>0</v>
      </c>
    </row>
    <row r="4677" spans="1:12">
      <c r="A4677" s="93">
        <v>459842</v>
      </c>
      <c r="B4677" t="s">
        <v>5142</v>
      </c>
      <c r="C4677" t="s">
        <v>5607</v>
      </c>
      <c r="D4677" s="92">
        <v>0.33</v>
      </c>
      <c r="E4677" s="92">
        <v>0</v>
      </c>
      <c r="F4677" t="s">
        <v>428</v>
      </c>
      <c r="G4677" t="s">
        <v>428</v>
      </c>
      <c r="H4677" t="s">
        <v>5617</v>
      </c>
      <c r="I4677">
        <v>0</v>
      </c>
      <c r="J4677" t="s">
        <v>87</v>
      </c>
      <c r="K4677">
        <v>0</v>
      </c>
      <c r="L4677">
        <v>1</v>
      </c>
    </row>
    <row r="4678" spans="1:12">
      <c r="A4678" s="93">
        <v>459851</v>
      </c>
      <c r="B4678" t="s">
        <v>5143</v>
      </c>
      <c r="C4678" t="s">
        <v>5607</v>
      </c>
      <c r="D4678" s="92" t="s">
        <v>428</v>
      </c>
      <c r="E4678" s="92" t="s">
        <v>428</v>
      </c>
      <c r="F4678" t="s">
        <v>428</v>
      </c>
      <c r="G4678" t="s">
        <v>428</v>
      </c>
      <c r="H4678" t="s">
        <v>5617</v>
      </c>
      <c r="I4678">
        <v>0</v>
      </c>
      <c r="J4678" t="s">
        <v>87</v>
      </c>
      <c r="K4678">
        <v>0</v>
      </c>
      <c r="L4678">
        <v>0</v>
      </c>
    </row>
    <row r="4679" spans="1:12">
      <c r="A4679" s="93">
        <v>459949</v>
      </c>
      <c r="B4679" t="s">
        <v>5144</v>
      </c>
      <c r="C4679" t="s">
        <v>5608</v>
      </c>
      <c r="D4679" s="92" t="s">
        <v>428</v>
      </c>
      <c r="E4679" s="92" t="s">
        <v>428</v>
      </c>
      <c r="F4679">
        <v>15</v>
      </c>
      <c r="G4679">
        <v>17.5</v>
      </c>
      <c r="H4679" t="s">
        <v>5615</v>
      </c>
      <c r="I4679">
        <v>0</v>
      </c>
      <c r="J4679" t="s">
        <v>87</v>
      </c>
      <c r="K4679">
        <v>0</v>
      </c>
      <c r="L4679">
        <v>0</v>
      </c>
    </row>
    <row r="4680" spans="1:12">
      <c r="A4680" s="93">
        <v>459958</v>
      </c>
      <c r="B4680" t="s">
        <v>5145</v>
      </c>
      <c r="C4680" t="s">
        <v>5606</v>
      </c>
      <c r="D4680" s="92" t="s">
        <v>428</v>
      </c>
      <c r="E4680" s="92" t="s">
        <v>428</v>
      </c>
      <c r="F4680" t="s">
        <v>428</v>
      </c>
      <c r="G4680" t="s">
        <v>428</v>
      </c>
      <c r="H4680" t="s">
        <v>5617</v>
      </c>
      <c r="I4680">
        <v>0</v>
      </c>
      <c r="J4680" t="s">
        <v>87</v>
      </c>
      <c r="K4680">
        <v>0</v>
      </c>
      <c r="L4680">
        <v>0</v>
      </c>
    </row>
    <row r="4681" spans="1:12">
      <c r="A4681" s="93">
        <v>459994</v>
      </c>
      <c r="B4681" t="s">
        <v>5146</v>
      </c>
      <c r="C4681" t="s">
        <v>5604</v>
      </c>
      <c r="D4681" s="92">
        <v>0.11</v>
      </c>
      <c r="E4681" s="92">
        <v>0</v>
      </c>
      <c r="F4681" t="s">
        <v>428</v>
      </c>
      <c r="G4681" t="s">
        <v>428</v>
      </c>
      <c r="H4681" t="s">
        <v>5617</v>
      </c>
      <c r="I4681">
        <v>0</v>
      </c>
      <c r="J4681" t="s">
        <v>87</v>
      </c>
      <c r="K4681">
        <v>0</v>
      </c>
      <c r="L4681">
        <v>0</v>
      </c>
    </row>
    <row r="4682" spans="1:12">
      <c r="A4682" s="93">
        <v>460020</v>
      </c>
      <c r="B4682" t="s">
        <v>5147</v>
      </c>
      <c r="C4682" t="s">
        <v>5606</v>
      </c>
      <c r="D4682" s="92" t="s">
        <v>428</v>
      </c>
      <c r="E4682" s="92" t="s">
        <v>428</v>
      </c>
      <c r="F4682" t="s">
        <v>428</v>
      </c>
      <c r="G4682" t="s">
        <v>428</v>
      </c>
      <c r="H4682" t="s">
        <v>5617</v>
      </c>
      <c r="I4682">
        <v>0</v>
      </c>
      <c r="J4682" t="s">
        <v>87</v>
      </c>
      <c r="K4682">
        <v>0</v>
      </c>
      <c r="L4682">
        <v>0</v>
      </c>
    </row>
    <row r="4683" spans="1:12">
      <c r="A4683" s="93">
        <v>460039</v>
      </c>
      <c r="B4683" t="s">
        <v>5148</v>
      </c>
      <c r="C4683" t="s">
        <v>5607</v>
      </c>
      <c r="D4683" s="92" t="s">
        <v>428</v>
      </c>
      <c r="E4683" s="92" t="s">
        <v>428</v>
      </c>
      <c r="F4683" t="s">
        <v>428</v>
      </c>
      <c r="G4683" t="s">
        <v>428</v>
      </c>
      <c r="H4683" t="s">
        <v>5617</v>
      </c>
      <c r="I4683">
        <v>0</v>
      </c>
      <c r="J4683" t="s">
        <v>87</v>
      </c>
      <c r="K4683">
        <v>0</v>
      </c>
      <c r="L4683">
        <v>0</v>
      </c>
    </row>
    <row r="4684" spans="1:12">
      <c r="A4684" s="93">
        <v>460048</v>
      </c>
      <c r="B4684" t="s">
        <v>5149</v>
      </c>
      <c r="C4684" t="s">
        <v>5607</v>
      </c>
      <c r="D4684" s="92" t="s">
        <v>428</v>
      </c>
      <c r="E4684" s="92" t="s">
        <v>428</v>
      </c>
      <c r="F4684" t="s">
        <v>428</v>
      </c>
      <c r="G4684" t="s">
        <v>428</v>
      </c>
      <c r="H4684" t="s">
        <v>5617</v>
      </c>
      <c r="I4684">
        <v>0</v>
      </c>
      <c r="J4684" t="s">
        <v>87</v>
      </c>
      <c r="K4684">
        <v>0</v>
      </c>
      <c r="L4684">
        <v>0</v>
      </c>
    </row>
    <row r="4685" spans="1:12">
      <c r="A4685" s="93">
        <v>460075</v>
      </c>
      <c r="B4685" t="s">
        <v>5150</v>
      </c>
      <c r="C4685" t="s">
        <v>5604</v>
      </c>
      <c r="D4685" s="92" t="s">
        <v>428</v>
      </c>
      <c r="E4685" s="92" t="s">
        <v>428</v>
      </c>
      <c r="F4685" t="s">
        <v>428</v>
      </c>
      <c r="G4685" t="s">
        <v>428</v>
      </c>
      <c r="H4685" t="s">
        <v>5617</v>
      </c>
      <c r="I4685">
        <v>0</v>
      </c>
      <c r="J4685" t="s">
        <v>87</v>
      </c>
      <c r="K4685">
        <v>0</v>
      </c>
      <c r="L4685">
        <v>0</v>
      </c>
    </row>
    <row r="4686" spans="1:12">
      <c r="A4686" s="93">
        <v>460109</v>
      </c>
      <c r="B4686" t="s">
        <v>5151</v>
      </c>
      <c r="C4686" t="s">
        <v>5606</v>
      </c>
      <c r="D4686" s="92" t="s">
        <v>428</v>
      </c>
      <c r="E4686" s="92" t="s">
        <v>428</v>
      </c>
      <c r="F4686" t="s">
        <v>428</v>
      </c>
      <c r="G4686" t="s">
        <v>428</v>
      </c>
      <c r="H4686" t="s">
        <v>5617</v>
      </c>
      <c r="I4686">
        <v>0</v>
      </c>
      <c r="J4686" t="s">
        <v>87</v>
      </c>
      <c r="K4686">
        <v>0</v>
      </c>
      <c r="L4686">
        <v>0</v>
      </c>
    </row>
    <row r="4687" spans="1:12">
      <c r="A4687" s="93">
        <v>460136</v>
      </c>
      <c r="B4687" t="s">
        <v>5152</v>
      </c>
      <c r="C4687" t="s">
        <v>5606</v>
      </c>
      <c r="D4687" s="92" t="s">
        <v>428</v>
      </c>
      <c r="E4687" s="92" t="s">
        <v>428</v>
      </c>
      <c r="F4687" t="s">
        <v>428</v>
      </c>
      <c r="G4687" t="s">
        <v>428</v>
      </c>
      <c r="H4687" t="s">
        <v>5617</v>
      </c>
      <c r="I4687">
        <v>0</v>
      </c>
      <c r="J4687" t="s">
        <v>87</v>
      </c>
      <c r="K4687">
        <v>0</v>
      </c>
      <c r="L4687">
        <v>0</v>
      </c>
    </row>
    <row r="4688" spans="1:12">
      <c r="A4688" s="93">
        <v>460181</v>
      </c>
      <c r="B4688" t="s">
        <v>5153</v>
      </c>
      <c r="C4688" t="s">
        <v>5606</v>
      </c>
      <c r="D4688" s="92" t="s">
        <v>428</v>
      </c>
      <c r="E4688" s="92" t="s">
        <v>428</v>
      </c>
      <c r="F4688" t="s">
        <v>428</v>
      </c>
      <c r="G4688" t="s">
        <v>428</v>
      </c>
      <c r="H4688" t="s">
        <v>5617</v>
      </c>
      <c r="I4688">
        <v>0</v>
      </c>
      <c r="J4688" t="s">
        <v>87</v>
      </c>
      <c r="K4688">
        <v>0</v>
      </c>
      <c r="L4688">
        <v>0</v>
      </c>
    </row>
    <row r="4689" spans="1:12">
      <c r="A4689" s="93">
        <v>460190</v>
      </c>
      <c r="B4689" t="s">
        <v>5154</v>
      </c>
      <c r="C4689" t="s">
        <v>5609</v>
      </c>
      <c r="D4689" s="92" t="s">
        <v>428</v>
      </c>
      <c r="E4689" s="92" t="s">
        <v>428</v>
      </c>
      <c r="F4689" t="s">
        <v>428</v>
      </c>
      <c r="G4689" t="s">
        <v>428</v>
      </c>
      <c r="H4689" t="s">
        <v>5617</v>
      </c>
      <c r="I4689">
        <v>0</v>
      </c>
      <c r="J4689" t="s">
        <v>87</v>
      </c>
      <c r="K4689">
        <v>0</v>
      </c>
      <c r="L4689">
        <v>0</v>
      </c>
    </row>
    <row r="4690" spans="1:12">
      <c r="A4690" s="93">
        <v>460206</v>
      </c>
      <c r="B4690" t="s">
        <v>5155</v>
      </c>
      <c r="C4690" t="s">
        <v>5606</v>
      </c>
      <c r="D4690" s="92" t="s">
        <v>428</v>
      </c>
      <c r="E4690" s="92" t="s">
        <v>428</v>
      </c>
      <c r="F4690" t="s">
        <v>428</v>
      </c>
      <c r="G4690" t="s">
        <v>428</v>
      </c>
      <c r="H4690" t="s">
        <v>5617</v>
      </c>
      <c r="I4690">
        <v>0</v>
      </c>
      <c r="J4690" t="s">
        <v>87</v>
      </c>
      <c r="K4690">
        <v>0</v>
      </c>
      <c r="L4690">
        <v>0</v>
      </c>
    </row>
    <row r="4691" spans="1:12">
      <c r="A4691" s="93">
        <v>460215</v>
      </c>
      <c r="B4691" t="s">
        <v>5156</v>
      </c>
      <c r="C4691" t="s">
        <v>5606</v>
      </c>
      <c r="D4691" s="92" t="s">
        <v>428</v>
      </c>
      <c r="E4691" s="92" t="s">
        <v>428</v>
      </c>
      <c r="F4691" t="s">
        <v>428</v>
      </c>
      <c r="G4691" t="s">
        <v>428</v>
      </c>
      <c r="H4691" t="s">
        <v>5617</v>
      </c>
      <c r="I4691">
        <v>0</v>
      </c>
      <c r="J4691" t="s">
        <v>87</v>
      </c>
      <c r="K4691">
        <v>0</v>
      </c>
      <c r="L4691">
        <v>0</v>
      </c>
    </row>
    <row r="4692" spans="1:12">
      <c r="A4692" s="93">
        <v>460349</v>
      </c>
      <c r="B4692" t="s">
        <v>5157</v>
      </c>
      <c r="C4692" t="s">
        <v>5607</v>
      </c>
      <c r="D4692" s="92" t="s">
        <v>428</v>
      </c>
      <c r="E4692" s="92" t="s">
        <v>428</v>
      </c>
      <c r="F4692" t="s">
        <v>428</v>
      </c>
      <c r="G4692" t="s">
        <v>428</v>
      </c>
      <c r="H4692" t="s">
        <v>5615</v>
      </c>
      <c r="I4692">
        <v>0</v>
      </c>
      <c r="J4692" t="s">
        <v>87</v>
      </c>
      <c r="K4692">
        <v>0</v>
      </c>
      <c r="L4692">
        <v>0</v>
      </c>
    </row>
    <row r="4693" spans="1:12">
      <c r="A4693" s="93">
        <v>460358</v>
      </c>
      <c r="B4693" t="s">
        <v>5158</v>
      </c>
      <c r="C4693" t="s">
        <v>5606</v>
      </c>
      <c r="D4693" s="92" t="s">
        <v>428</v>
      </c>
      <c r="E4693" s="92" t="s">
        <v>428</v>
      </c>
      <c r="F4693" t="s">
        <v>428</v>
      </c>
      <c r="G4693" t="s">
        <v>428</v>
      </c>
      <c r="H4693" t="s">
        <v>5617</v>
      </c>
      <c r="I4693">
        <v>0</v>
      </c>
      <c r="J4693" t="s">
        <v>87</v>
      </c>
      <c r="K4693">
        <v>0</v>
      </c>
      <c r="L4693">
        <v>0</v>
      </c>
    </row>
    <row r="4694" spans="1:12">
      <c r="A4694" s="93">
        <v>460376</v>
      </c>
      <c r="B4694" t="s">
        <v>5159</v>
      </c>
      <c r="C4694" t="s">
        <v>5607</v>
      </c>
      <c r="D4694" s="92">
        <v>0.33</v>
      </c>
      <c r="E4694" s="92" t="s">
        <v>428</v>
      </c>
      <c r="F4694" t="s">
        <v>428</v>
      </c>
      <c r="G4694" t="s">
        <v>428</v>
      </c>
      <c r="H4694" t="s">
        <v>5615</v>
      </c>
      <c r="I4694">
        <v>0</v>
      </c>
      <c r="J4694" t="s">
        <v>87</v>
      </c>
      <c r="K4694">
        <v>0</v>
      </c>
      <c r="L4694">
        <v>0</v>
      </c>
    </row>
    <row r="4695" spans="1:12">
      <c r="A4695" s="93">
        <v>460385</v>
      </c>
      <c r="B4695" t="s">
        <v>5160</v>
      </c>
      <c r="C4695" t="s">
        <v>5609</v>
      </c>
      <c r="D4695" s="92" t="s">
        <v>428</v>
      </c>
      <c r="E4695" s="92" t="s">
        <v>428</v>
      </c>
      <c r="F4695" t="s">
        <v>428</v>
      </c>
      <c r="G4695" t="s">
        <v>428</v>
      </c>
      <c r="H4695" t="s">
        <v>5617</v>
      </c>
      <c r="I4695">
        <v>0</v>
      </c>
      <c r="J4695" t="s">
        <v>87</v>
      </c>
      <c r="K4695">
        <v>0</v>
      </c>
      <c r="L4695">
        <v>0</v>
      </c>
    </row>
    <row r="4696" spans="1:12">
      <c r="A4696" s="93">
        <v>460394</v>
      </c>
      <c r="B4696" t="s">
        <v>5161</v>
      </c>
      <c r="C4696" t="s">
        <v>5606</v>
      </c>
      <c r="D4696" s="92">
        <v>0.26</v>
      </c>
      <c r="E4696" s="92">
        <v>0.23</v>
      </c>
      <c r="F4696" t="s">
        <v>428</v>
      </c>
      <c r="G4696" t="s">
        <v>428</v>
      </c>
      <c r="H4696" t="s">
        <v>5615</v>
      </c>
      <c r="I4696">
        <v>0</v>
      </c>
      <c r="J4696" t="s">
        <v>87</v>
      </c>
      <c r="K4696">
        <v>0</v>
      </c>
      <c r="L4696">
        <v>0</v>
      </c>
    </row>
    <row r="4697" spans="1:12">
      <c r="A4697" s="93">
        <v>460464</v>
      </c>
      <c r="B4697" t="s">
        <v>5162</v>
      </c>
      <c r="C4697" t="s">
        <v>5606</v>
      </c>
      <c r="D4697" s="92">
        <v>0.28</v>
      </c>
      <c r="E4697" s="92">
        <v>0.25</v>
      </c>
      <c r="F4697" t="s">
        <v>428</v>
      </c>
      <c r="G4697" t="s">
        <v>428</v>
      </c>
      <c r="H4697" t="s">
        <v>5615</v>
      </c>
      <c r="I4697">
        <v>0</v>
      </c>
      <c r="J4697" t="s">
        <v>87</v>
      </c>
      <c r="K4697">
        <v>0</v>
      </c>
      <c r="L4697">
        <v>0</v>
      </c>
    </row>
    <row r="4698" spans="1:12">
      <c r="A4698" s="93">
        <v>460473</v>
      </c>
      <c r="B4698" t="s">
        <v>4326</v>
      </c>
      <c r="C4698" t="s">
        <v>5607</v>
      </c>
      <c r="D4698" s="92" t="s">
        <v>428</v>
      </c>
      <c r="E4698" s="92" t="s">
        <v>428</v>
      </c>
      <c r="F4698" t="s">
        <v>428</v>
      </c>
      <c r="G4698" t="s">
        <v>428</v>
      </c>
      <c r="H4698" t="s">
        <v>5615</v>
      </c>
      <c r="I4698">
        <v>0</v>
      </c>
      <c r="J4698" t="s">
        <v>87</v>
      </c>
      <c r="K4698">
        <v>0</v>
      </c>
      <c r="L4698">
        <v>0</v>
      </c>
    </row>
    <row r="4699" spans="1:12">
      <c r="A4699" s="93">
        <v>460543</v>
      </c>
      <c r="B4699" t="s">
        <v>5163</v>
      </c>
      <c r="C4699" t="s">
        <v>5606</v>
      </c>
      <c r="D4699" s="92">
        <v>0.57</v>
      </c>
      <c r="E4699" s="92">
        <v>0.59</v>
      </c>
      <c r="F4699" t="s">
        <v>428</v>
      </c>
      <c r="G4699" t="s">
        <v>428</v>
      </c>
      <c r="H4699" t="s">
        <v>5617</v>
      </c>
      <c r="I4699">
        <v>0</v>
      </c>
      <c r="J4699" t="s">
        <v>87</v>
      </c>
      <c r="K4699">
        <v>0</v>
      </c>
      <c r="L4699">
        <v>0</v>
      </c>
    </row>
    <row r="4700" spans="1:12">
      <c r="A4700" s="93">
        <v>460604</v>
      </c>
      <c r="B4700" t="s">
        <v>5164</v>
      </c>
      <c r="C4700" t="s">
        <v>5609</v>
      </c>
      <c r="D4700" s="92" t="s">
        <v>428</v>
      </c>
      <c r="E4700" s="92" t="s">
        <v>428</v>
      </c>
      <c r="F4700" t="s">
        <v>428</v>
      </c>
      <c r="G4700" t="s">
        <v>428</v>
      </c>
      <c r="H4700" t="s">
        <v>5615</v>
      </c>
      <c r="I4700">
        <v>0</v>
      </c>
      <c r="J4700" t="s">
        <v>87</v>
      </c>
      <c r="K4700">
        <v>0</v>
      </c>
      <c r="L4700">
        <v>0</v>
      </c>
    </row>
    <row r="4701" spans="1:12">
      <c r="A4701" s="93">
        <v>460613</v>
      </c>
      <c r="B4701" t="s">
        <v>5165</v>
      </c>
      <c r="C4701" t="s">
        <v>5607</v>
      </c>
      <c r="D4701" s="92">
        <v>0.09</v>
      </c>
      <c r="E4701" s="92">
        <v>0.11</v>
      </c>
      <c r="F4701" t="s">
        <v>428</v>
      </c>
      <c r="G4701" t="s">
        <v>428</v>
      </c>
      <c r="H4701" t="s">
        <v>5617</v>
      </c>
      <c r="I4701">
        <v>0</v>
      </c>
      <c r="J4701" t="s">
        <v>87</v>
      </c>
      <c r="K4701">
        <v>0</v>
      </c>
      <c r="L4701">
        <v>0</v>
      </c>
    </row>
    <row r="4702" spans="1:12">
      <c r="A4702" s="93">
        <v>460677</v>
      </c>
      <c r="B4702" t="s">
        <v>5166</v>
      </c>
      <c r="C4702" t="s">
        <v>5606</v>
      </c>
      <c r="D4702" s="92" t="s">
        <v>428</v>
      </c>
      <c r="E4702" s="92" t="s">
        <v>428</v>
      </c>
      <c r="F4702" t="s">
        <v>428</v>
      </c>
      <c r="G4702" t="s">
        <v>428</v>
      </c>
      <c r="H4702" t="s">
        <v>5613</v>
      </c>
      <c r="I4702">
        <v>1</v>
      </c>
      <c r="J4702" t="s">
        <v>87</v>
      </c>
      <c r="K4702">
        <v>0</v>
      </c>
      <c r="L4702">
        <v>0</v>
      </c>
    </row>
    <row r="4703" spans="1:12">
      <c r="A4703" s="93">
        <v>460738</v>
      </c>
      <c r="B4703" t="s">
        <v>5167</v>
      </c>
      <c r="C4703" t="s">
        <v>5607</v>
      </c>
      <c r="D4703" s="92">
        <v>1</v>
      </c>
      <c r="E4703" s="92" t="s">
        <v>428</v>
      </c>
      <c r="F4703" t="s">
        <v>428</v>
      </c>
      <c r="G4703" t="s">
        <v>428</v>
      </c>
      <c r="H4703" t="s">
        <v>5615</v>
      </c>
      <c r="I4703">
        <v>0</v>
      </c>
      <c r="J4703" t="s">
        <v>87</v>
      </c>
      <c r="K4703">
        <v>0</v>
      </c>
      <c r="L4703">
        <v>0</v>
      </c>
    </row>
    <row r="4704" spans="1:12">
      <c r="A4704" s="93">
        <v>460747</v>
      </c>
      <c r="B4704" t="s">
        <v>5168</v>
      </c>
      <c r="C4704" t="s">
        <v>5607</v>
      </c>
      <c r="D4704" s="92" t="s">
        <v>428</v>
      </c>
      <c r="E4704" s="92" t="s">
        <v>428</v>
      </c>
      <c r="F4704" t="s">
        <v>428</v>
      </c>
      <c r="G4704" t="s">
        <v>428</v>
      </c>
      <c r="H4704" t="s">
        <v>5617</v>
      </c>
      <c r="I4704">
        <v>0</v>
      </c>
      <c r="J4704" t="s">
        <v>87</v>
      </c>
      <c r="K4704">
        <v>0</v>
      </c>
      <c r="L4704">
        <v>1</v>
      </c>
    </row>
    <row r="4705" spans="1:12">
      <c r="A4705" s="93">
        <v>460756</v>
      </c>
      <c r="B4705" t="s">
        <v>5169</v>
      </c>
      <c r="C4705" t="s">
        <v>5606</v>
      </c>
      <c r="D4705" s="92" t="s">
        <v>428</v>
      </c>
      <c r="E4705" s="92" t="s">
        <v>428</v>
      </c>
      <c r="F4705" t="s">
        <v>428</v>
      </c>
      <c r="G4705" t="s">
        <v>428</v>
      </c>
      <c r="H4705" t="s">
        <v>5617</v>
      </c>
      <c r="I4705">
        <v>0</v>
      </c>
      <c r="J4705" t="s">
        <v>87</v>
      </c>
      <c r="K4705">
        <v>0</v>
      </c>
      <c r="L4705">
        <v>0</v>
      </c>
    </row>
    <row r="4706" spans="1:12">
      <c r="A4706" s="93">
        <v>460774</v>
      </c>
      <c r="B4706" t="s">
        <v>5170</v>
      </c>
      <c r="C4706" t="s">
        <v>5606</v>
      </c>
      <c r="D4706" s="92" t="s">
        <v>428</v>
      </c>
      <c r="E4706" s="92" t="s">
        <v>428</v>
      </c>
      <c r="F4706" t="s">
        <v>428</v>
      </c>
      <c r="G4706" t="s">
        <v>428</v>
      </c>
      <c r="H4706" t="s">
        <v>5617</v>
      </c>
      <c r="I4706">
        <v>0</v>
      </c>
      <c r="J4706" t="s">
        <v>87</v>
      </c>
      <c r="K4706">
        <v>0</v>
      </c>
      <c r="L4706">
        <v>0</v>
      </c>
    </row>
    <row r="4707" spans="1:12">
      <c r="A4707" s="93">
        <v>460783</v>
      </c>
      <c r="B4707" t="s">
        <v>5171</v>
      </c>
      <c r="C4707" t="s">
        <v>5604</v>
      </c>
      <c r="D4707" s="92">
        <v>0.42</v>
      </c>
      <c r="E4707" s="92">
        <v>0.38</v>
      </c>
      <c r="F4707" t="s">
        <v>428</v>
      </c>
      <c r="G4707" t="s">
        <v>428</v>
      </c>
      <c r="H4707" t="s">
        <v>5617</v>
      </c>
      <c r="I4707">
        <v>0</v>
      </c>
      <c r="J4707" t="s">
        <v>87</v>
      </c>
      <c r="K4707">
        <v>0</v>
      </c>
      <c r="L4707">
        <v>0</v>
      </c>
    </row>
    <row r="4708" spans="1:12">
      <c r="A4708" s="93">
        <v>460817</v>
      </c>
      <c r="B4708" t="s">
        <v>5172</v>
      </c>
      <c r="C4708" t="s">
        <v>5606</v>
      </c>
      <c r="D4708" s="92" t="s">
        <v>428</v>
      </c>
      <c r="E4708" s="92" t="s">
        <v>428</v>
      </c>
      <c r="F4708" t="s">
        <v>428</v>
      </c>
      <c r="G4708" t="s">
        <v>428</v>
      </c>
      <c r="H4708" t="s">
        <v>5617</v>
      </c>
      <c r="I4708">
        <v>0</v>
      </c>
      <c r="J4708" t="s">
        <v>87</v>
      </c>
      <c r="K4708">
        <v>0</v>
      </c>
      <c r="L4708">
        <v>0</v>
      </c>
    </row>
    <row r="4709" spans="1:12">
      <c r="A4709" s="93">
        <v>460826</v>
      </c>
      <c r="B4709" t="s">
        <v>5173</v>
      </c>
      <c r="C4709" t="s">
        <v>5606</v>
      </c>
      <c r="D4709" s="92" t="s">
        <v>428</v>
      </c>
      <c r="E4709" s="92" t="s">
        <v>428</v>
      </c>
      <c r="F4709" t="s">
        <v>428</v>
      </c>
      <c r="G4709" t="s">
        <v>428</v>
      </c>
      <c r="H4709" t="s">
        <v>5617</v>
      </c>
      <c r="I4709">
        <v>0</v>
      </c>
      <c r="J4709" t="s">
        <v>87</v>
      </c>
      <c r="K4709">
        <v>0</v>
      </c>
      <c r="L4709">
        <v>0</v>
      </c>
    </row>
    <row r="4710" spans="1:12">
      <c r="A4710" s="93">
        <v>460835</v>
      </c>
      <c r="B4710" t="s">
        <v>5174</v>
      </c>
      <c r="C4710" t="s">
        <v>5606</v>
      </c>
      <c r="D4710" s="92" t="s">
        <v>428</v>
      </c>
      <c r="E4710" s="92" t="s">
        <v>428</v>
      </c>
      <c r="F4710" t="s">
        <v>428</v>
      </c>
      <c r="G4710" t="s">
        <v>428</v>
      </c>
      <c r="H4710" t="s">
        <v>5617</v>
      </c>
      <c r="I4710">
        <v>0</v>
      </c>
      <c r="J4710" t="s">
        <v>87</v>
      </c>
      <c r="K4710">
        <v>0</v>
      </c>
      <c r="L4710">
        <v>0</v>
      </c>
    </row>
    <row r="4711" spans="1:12">
      <c r="A4711" s="93">
        <v>460844</v>
      </c>
      <c r="B4711" t="s">
        <v>5175</v>
      </c>
      <c r="C4711" t="s">
        <v>5606</v>
      </c>
      <c r="D4711" s="92" t="s">
        <v>428</v>
      </c>
      <c r="E4711" s="92" t="s">
        <v>428</v>
      </c>
      <c r="F4711" t="s">
        <v>428</v>
      </c>
      <c r="G4711" t="s">
        <v>428</v>
      </c>
      <c r="H4711" t="s">
        <v>5617</v>
      </c>
      <c r="I4711">
        <v>0</v>
      </c>
      <c r="J4711" t="s">
        <v>87</v>
      </c>
      <c r="K4711">
        <v>0</v>
      </c>
      <c r="L4711">
        <v>0</v>
      </c>
    </row>
    <row r="4712" spans="1:12">
      <c r="A4712" s="93">
        <v>460853</v>
      </c>
      <c r="B4712" t="s">
        <v>5176</v>
      </c>
      <c r="C4712" t="s">
        <v>5606</v>
      </c>
      <c r="D4712" s="92" t="s">
        <v>428</v>
      </c>
      <c r="E4712" s="92" t="s">
        <v>428</v>
      </c>
      <c r="F4712" t="s">
        <v>428</v>
      </c>
      <c r="G4712" t="s">
        <v>428</v>
      </c>
      <c r="H4712" t="s">
        <v>5617</v>
      </c>
      <c r="I4712">
        <v>0</v>
      </c>
      <c r="J4712" t="s">
        <v>87</v>
      </c>
      <c r="K4712">
        <v>0</v>
      </c>
      <c r="L4712">
        <v>0</v>
      </c>
    </row>
    <row r="4713" spans="1:12">
      <c r="A4713" s="93">
        <v>460862</v>
      </c>
      <c r="B4713" t="s">
        <v>5177</v>
      </c>
      <c r="C4713" t="s">
        <v>5606</v>
      </c>
      <c r="D4713" s="92" t="s">
        <v>428</v>
      </c>
      <c r="E4713" s="92" t="s">
        <v>428</v>
      </c>
      <c r="F4713" t="s">
        <v>428</v>
      </c>
      <c r="G4713" t="s">
        <v>428</v>
      </c>
      <c r="H4713" t="s">
        <v>5617</v>
      </c>
      <c r="I4713">
        <v>0</v>
      </c>
      <c r="J4713" t="s">
        <v>87</v>
      </c>
      <c r="K4713">
        <v>0</v>
      </c>
      <c r="L4713">
        <v>0</v>
      </c>
    </row>
    <row r="4714" spans="1:12">
      <c r="A4714" s="93">
        <v>460871</v>
      </c>
      <c r="B4714" t="s">
        <v>5178</v>
      </c>
      <c r="C4714" t="s">
        <v>5607</v>
      </c>
      <c r="D4714" s="92" t="s">
        <v>428</v>
      </c>
      <c r="E4714" s="92" t="s">
        <v>428</v>
      </c>
      <c r="F4714" t="s">
        <v>428</v>
      </c>
      <c r="G4714" t="s">
        <v>428</v>
      </c>
      <c r="H4714" t="s">
        <v>5617</v>
      </c>
      <c r="I4714">
        <v>0</v>
      </c>
      <c r="J4714" t="s">
        <v>87</v>
      </c>
      <c r="K4714">
        <v>0</v>
      </c>
      <c r="L4714">
        <v>0</v>
      </c>
    </row>
    <row r="4715" spans="1:12">
      <c r="A4715" s="93">
        <v>460899</v>
      </c>
      <c r="B4715" t="s">
        <v>3720</v>
      </c>
      <c r="C4715" t="s">
        <v>5604</v>
      </c>
      <c r="D4715" s="92">
        <v>0.29</v>
      </c>
      <c r="E4715" s="92">
        <v>0.28</v>
      </c>
      <c r="F4715" t="s">
        <v>428</v>
      </c>
      <c r="G4715" t="s">
        <v>428</v>
      </c>
      <c r="H4715" t="s">
        <v>5617</v>
      </c>
      <c r="I4715">
        <v>0</v>
      </c>
      <c r="J4715" t="s">
        <v>87</v>
      </c>
      <c r="K4715">
        <v>0</v>
      </c>
      <c r="L4715">
        <v>0</v>
      </c>
    </row>
    <row r="4716" spans="1:12">
      <c r="A4716" s="93">
        <v>460923</v>
      </c>
      <c r="B4716" t="s">
        <v>5179</v>
      </c>
      <c r="C4716" t="s">
        <v>5606</v>
      </c>
      <c r="D4716" s="92" t="s">
        <v>428</v>
      </c>
      <c r="E4716" s="92" t="s">
        <v>428</v>
      </c>
      <c r="F4716" t="s">
        <v>428</v>
      </c>
      <c r="G4716" t="s">
        <v>428</v>
      </c>
      <c r="H4716" t="s">
        <v>5617</v>
      </c>
      <c r="I4716">
        <v>0</v>
      </c>
      <c r="J4716" t="s">
        <v>87</v>
      </c>
      <c r="K4716">
        <v>0</v>
      </c>
      <c r="L4716">
        <v>0</v>
      </c>
    </row>
    <row r="4717" spans="1:12">
      <c r="A4717" s="93">
        <v>461005</v>
      </c>
      <c r="B4717" t="s">
        <v>5180</v>
      </c>
      <c r="C4717" t="s">
        <v>5604</v>
      </c>
      <c r="D4717" s="92" t="s">
        <v>428</v>
      </c>
      <c r="E4717" s="92" t="s">
        <v>428</v>
      </c>
      <c r="F4717" t="s">
        <v>428</v>
      </c>
      <c r="G4717" t="s">
        <v>428</v>
      </c>
      <c r="H4717" t="s">
        <v>5617</v>
      </c>
      <c r="I4717">
        <v>0</v>
      </c>
      <c r="J4717" t="s">
        <v>87</v>
      </c>
      <c r="K4717">
        <v>0</v>
      </c>
      <c r="L4717">
        <v>0</v>
      </c>
    </row>
    <row r="4718" spans="1:12">
      <c r="A4718" s="93">
        <v>461014</v>
      </c>
      <c r="B4718" t="s">
        <v>5181</v>
      </c>
      <c r="C4718" t="s">
        <v>5606</v>
      </c>
      <c r="D4718" s="92" t="s">
        <v>428</v>
      </c>
      <c r="E4718" s="92" t="s">
        <v>428</v>
      </c>
      <c r="F4718" t="s">
        <v>428</v>
      </c>
      <c r="G4718" t="s">
        <v>428</v>
      </c>
      <c r="H4718" t="s">
        <v>5617</v>
      </c>
      <c r="I4718">
        <v>0</v>
      </c>
      <c r="J4718" t="s">
        <v>87</v>
      </c>
      <c r="K4718">
        <v>0</v>
      </c>
      <c r="L4718">
        <v>0</v>
      </c>
    </row>
    <row r="4719" spans="1:12">
      <c r="A4719" s="93">
        <v>461023</v>
      </c>
      <c r="B4719" t="s">
        <v>5182</v>
      </c>
      <c r="C4719" t="s">
        <v>5604</v>
      </c>
      <c r="D4719" s="92">
        <v>0.33</v>
      </c>
      <c r="E4719" s="92" t="s">
        <v>428</v>
      </c>
      <c r="F4719" t="s">
        <v>428</v>
      </c>
      <c r="G4719" t="s">
        <v>428</v>
      </c>
      <c r="H4719" t="s">
        <v>5617</v>
      </c>
      <c r="I4719">
        <v>0</v>
      </c>
      <c r="J4719" t="s">
        <v>87</v>
      </c>
      <c r="K4719">
        <v>0</v>
      </c>
      <c r="L4719">
        <v>0</v>
      </c>
    </row>
    <row r="4720" spans="1:12">
      <c r="A4720" s="93">
        <v>461032</v>
      </c>
      <c r="B4720" t="s">
        <v>5183</v>
      </c>
      <c r="C4720" t="s">
        <v>5604</v>
      </c>
      <c r="D4720" s="92" t="s">
        <v>428</v>
      </c>
      <c r="E4720" s="92" t="s">
        <v>428</v>
      </c>
      <c r="F4720" t="s">
        <v>428</v>
      </c>
      <c r="G4720" t="s">
        <v>428</v>
      </c>
      <c r="H4720" t="s">
        <v>5617</v>
      </c>
      <c r="I4720">
        <v>0</v>
      </c>
      <c r="J4720" t="s">
        <v>87</v>
      </c>
      <c r="K4720">
        <v>0</v>
      </c>
      <c r="L4720">
        <v>0</v>
      </c>
    </row>
    <row r="4721" spans="1:12">
      <c r="A4721" s="93">
        <v>461111</v>
      </c>
      <c r="B4721" t="s">
        <v>5184</v>
      </c>
      <c r="C4721" t="s">
        <v>5606</v>
      </c>
      <c r="D4721" s="92" t="s">
        <v>428</v>
      </c>
      <c r="E4721" s="92" t="s">
        <v>428</v>
      </c>
      <c r="F4721" t="s">
        <v>428</v>
      </c>
      <c r="G4721" t="s">
        <v>428</v>
      </c>
      <c r="H4721" t="s">
        <v>5614</v>
      </c>
      <c r="I4721">
        <v>1</v>
      </c>
      <c r="J4721" t="s">
        <v>87</v>
      </c>
      <c r="K4721">
        <v>0</v>
      </c>
      <c r="L4721">
        <v>0</v>
      </c>
    </row>
    <row r="4722" spans="1:12">
      <c r="A4722" s="93">
        <v>461120</v>
      </c>
      <c r="B4722" t="s">
        <v>5185</v>
      </c>
      <c r="C4722" t="s">
        <v>5607</v>
      </c>
      <c r="D4722" s="92" t="s">
        <v>428</v>
      </c>
      <c r="E4722" s="92" t="s">
        <v>428</v>
      </c>
      <c r="F4722" t="s">
        <v>428</v>
      </c>
      <c r="G4722" t="s">
        <v>428</v>
      </c>
      <c r="H4722" t="s">
        <v>5615</v>
      </c>
      <c r="I4722">
        <v>0</v>
      </c>
      <c r="J4722" t="s">
        <v>87</v>
      </c>
      <c r="K4722">
        <v>0</v>
      </c>
      <c r="L4722">
        <v>0</v>
      </c>
    </row>
    <row r="4723" spans="1:12">
      <c r="A4723" s="93">
        <v>461139</v>
      </c>
      <c r="B4723" t="s">
        <v>5186</v>
      </c>
      <c r="C4723" t="s">
        <v>5607</v>
      </c>
      <c r="D4723" s="92" t="s">
        <v>428</v>
      </c>
      <c r="E4723" s="92" t="s">
        <v>428</v>
      </c>
      <c r="F4723" t="s">
        <v>428</v>
      </c>
      <c r="G4723" t="s">
        <v>428</v>
      </c>
      <c r="H4723" t="s">
        <v>5615</v>
      </c>
      <c r="I4723">
        <v>0</v>
      </c>
      <c r="J4723" t="s">
        <v>87</v>
      </c>
      <c r="K4723">
        <v>0</v>
      </c>
      <c r="L4723">
        <v>0</v>
      </c>
    </row>
    <row r="4724" spans="1:12">
      <c r="A4724" s="93">
        <v>461148</v>
      </c>
      <c r="B4724" t="s">
        <v>5187</v>
      </c>
      <c r="C4724" t="s">
        <v>5604</v>
      </c>
      <c r="D4724" s="92">
        <v>1</v>
      </c>
      <c r="E4724" s="92" t="s">
        <v>428</v>
      </c>
      <c r="F4724" t="s">
        <v>428</v>
      </c>
      <c r="G4724" t="s">
        <v>428</v>
      </c>
      <c r="H4724" t="s">
        <v>5617</v>
      </c>
      <c r="I4724">
        <v>0</v>
      </c>
      <c r="J4724" t="s">
        <v>87</v>
      </c>
      <c r="K4724">
        <v>0</v>
      </c>
      <c r="L4724">
        <v>0</v>
      </c>
    </row>
    <row r="4725" spans="1:12">
      <c r="A4725" s="93">
        <v>461218</v>
      </c>
      <c r="B4725" t="s">
        <v>5188</v>
      </c>
      <c r="C4725" t="s">
        <v>5606</v>
      </c>
      <c r="D4725" s="92" t="s">
        <v>428</v>
      </c>
      <c r="E4725" s="92" t="s">
        <v>428</v>
      </c>
      <c r="F4725" t="s">
        <v>428</v>
      </c>
      <c r="G4725" t="s">
        <v>428</v>
      </c>
      <c r="H4725" t="s">
        <v>5617</v>
      </c>
      <c r="I4725">
        <v>0</v>
      </c>
      <c r="J4725" t="s">
        <v>87</v>
      </c>
      <c r="K4725">
        <v>0</v>
      </c>
      <c r="L4725">
        <v>0</v>
      </c>
    </row>
    <row r="4726" spans="1:12">
      <c r="A4726" s="93">
        <v>461236</v>
      </c>
      <c r="B4726" t="s">
        <v>5189</v>
      </c>
      <c r="C4726" t="s">
        <v>5604</v>
      </c>
      <c r="D4726" s="92">
        <v>0.64</v>
      </c>
      <c r="E4726" s="92" t="s">
        <v>428</v>
      </c>
      <c r="F4726" t="s">
        <v>428</v>
      </c>
      <c r="G4726" t="s">
        <v>428</v>
      </c>
      <c r="H4726" t="s">
        <v>5617</v>
      </c>
      <c r="I4726">
        <v>0</v>
      </c>
      <c r="J4726" t="s">
        <v>87</v>
      </c>
      <c r="K4726">
        <v>0</v>
      </c>
      <c r="L4726">
        <v>0</v>
      </c>
    </row>
    <row r="4727" spans="1:12">
      <c r="A4727" s="93">
        <v>461263</v>
      </c>
      <c r="B4727" t="s">
        <v>5190</v>
      </c>
      <c r="C4727" t="s">
        <v>5606</v>
      </c>
      <c r="D4727" s="92" t="s">
        <v>428</v>
      </c>
      <c r="E4727" s="92" t="s">
        <v>428</v>
      </c>
      <c r="F4727" t="s">
        <v>428</v>
      </c>
      <c r="G4727" t="s">
        <v>428</v>
      </c>
      <c r="H4727" t="s">
        <v>5615</v>
      </c>
      <c r="I4727">
        <v>0</v>
      </c>
      <c r="J4727" t="s">
        <v>87</v>
      </c>
      <c r="K4727">
        <v>0</v>
      </c>
      <c r="L4727">
        <v>0</v>
      </c>
    </row>
    <row r="4728" spans="1:12">
      <c r="A4728" s="93">
        <v>461281</v>
      </c>
      <c r="B4728" t="s">
        <v>5191</v>
      </c>
      <c r="C4728" t="s">
        <v>5604</v>
      </c>
      <c r="D4728" s="92" t="s">
        <v>428</v>
      </c>
      <c r="E4728" s="92" t="s">
        <v>428</v>
      </c>
      <c r="F4728" t="s">
        <v>428</v>
      </c>
      <c r="G4728" t="s">
        <v>428</v>
      </c>
      <c r="H4728" t="s">
        <v>5615</v>
      </c>
      <c r="I4728">
        <v>0</v>
      </c>
      <c r="J4728" t="s">
        <v>87</v>
      </c>
      <c r="K4728">
        <v>0</v>
      </c>
      <c r="L4728">
        <v>0</v>
      </c>
    </row>
    <row r="4729" spans="1:12">
      <c r="A4729" s="93">
        <v>461315</v>
      </c>
      <c r="B4729" t="s">
        <v>5192</v>
      </c>
      <c r="C4729" t="s">
        <v>5606</v>
      </c>
      <c r="D4729" s="92">
        <v>0.11</v>
      </c>
      <c r="E4729" s="92">
        <v>0.5</v>
      </c>
      <c r="F4729" t="s">
        <v>428</v>
      </c>
      <c r="G4729" t="s">
        <v>428</v>
      </c>
      <c r="H4729" t="s">
        <v>5615</v>
      </c>
      <c r="I4729">
        <v>0</v>
      </c>
      <c r="J4729" t="s">
        <v>87</v>
      </c>
      <c r="K4729">
        <v>0</v>
      </c>
      <c r="L4729">
        <v>0</v>
      </c>
    </row>
    <row r="4730" spans="1:12">
      <c r="A4730" s="93">
        <v>461324</v>
      </c>
      <c r="B4730" t="s">
        <v>5193</v>
      </c>
      <c r="C4730" t="s">
        <v>5606</v>
      </c>
      <c r="D4730" s="92" t="s">
        <v>428</v>
      </c>
      <c r="E4730" s="92" t="s">
        <v>428</v>
      </c>
      <c r="F4730" t="s">
        <v>428</v>
      </c>
      <c r="G4730" t="s">
        <v>428</v>
      </c>
      <c r="H4730" t="s">
        <v>5615</v>
      </c>
      <c r="I4730">
        <v>0</v>
      </c>
      <c r="J4730" t="s">
        <v>87</v>
      </c>
      <c r="K4730">
        <v>0</v>
      </c>
      <c r="L4730">
        <v>0</v>
      </c>
    </row>
    <row r="4731" spans="1:12">
      <c r="A4731" s="93">
        <v>461485</v>
      </c>
      <c r="B4731" t="s">
        <v>5194</v>
      </c>
      <c r="C4731" t="s">
        <v>5607</v>
      </c>
      <c r="D4731" s="92" t="s">
        <v>428</v>
      </c>
      <c r="E4731" s="92" t="s">
        <v>428</v>
      </c>
      <c r="F4731" t="s">
        <v>428</v>
      </c>
      <c r="G4731" t="s">
        <v>428</v>
      </c>
      <c r="H4731" t="s">
        <v>5615</v>
      </c>
      <c r="I4731">
        <v>0</v>
      </c>
      <c r="J4731" t="s">
        <v>87</v>
      </c>
      <c r="K4731">
        <v>0</v>
      </c>
      <c r="L4731">
        <v>0</v>
      </c>
    </row>
    <row r="4732" spans="1:12">
      <c r="A4732" s="93">
        <v>461528</v>
      </c>
      <c r="B4732" t="s">
        <v>5195</v>
      </c>
      <c r="C4732" t="s">
        <v>5607</v>
      </c>
      <c r="D4732" s="92">
        <v>0.33</v>
      </c>
      <c r="E4732" s="92">
        <v>0</v>
      </c>
      <c r="F4732" t="s">
        <v>428</v>
      </c>
      <c r="G4732" t="s">
        <v>428</v>
      </c>
      <c r="H4732" t="s">
        <v>5613</v>
      </c>
      <c r="I4732">
        <v>1</v>
      </c>
      <c r="J4732" t="s">
        <v>87</v>
      </c>
      <c r="K4732">
        <v>0</v>
      </c>
      <c r="L4732">
        <v>0</v>
      </c>
    </row>
    <row r="4733" spans="1:12">
      <c r="A4733" s="93">
        <v>461573</v>
      </c>
      <c r="B4733" t="s">
        <v>5196</v>
      </c>
      <c r="C4733" t="s">
        <v>5606</v>
      </c>
      <c r="D4733" s="92" t="s">
        <v>428</v>
      </c>
      <c r="E4733" s="92" t="s">
        <v>428</v>
      </c>
      <c r="F4733" t="s">
        <v>428</v>
      </c>
      <c r="G4733" t="s">
        <v>428</v>
      </c>
      <c r="H4733" t="s">
        <v>5616</v>
      </c>
      <c r="I4733">
        <v>0</v>
      </c>
      <c r="J4733" t="s">
        <v>87</v>
      </c>
      <c r="K4733">
        <v>0</v>
      </c>
      <c r="L4733">
        <v>0</v>
      </c>
    </row>
    <row r="4734" spans="1:12">
      <c r="A4734" s="93">
        <v>461591</v>
      </c>
      <c r="B4734" t="s">
        <v>5197</v>
      </c>
      <c r="C4734" t="s">
        <v>5606</v>
      </c>
      <c r="D4734" s="92" t="s">
        <v>428</v>
      </c>
      <c r="E4734" s="92" t="s">
        <v>428</v>
      </c>
      <c r="F4734" t="s">
        <v>428</v>
      </c>
      <c r="G4734" t="s">
        <v>428</v>
      </c>
      <c r="H4734" t="s">
        <v>5617</v>
      </c>
      <c r="I4734">
        <v>0</v>
      </c>
      <c r="J4734" t="s">
        <v>87</v>
      </c>
      <c r="K4734">
        <v>0</v>
      </c>
      <c r="L4734">
        <v>0</v>
      </c>
    </row>
    <row r="4735" spans="1:12">
      <c r="A4735" s="93">
        <v>461643</v>
      </c>
      <c r="B4735" t="s">
        <v>5198</v>
      </c>
      <c r="C4735" t="s">
        <v>5607</v>
      </c>
      <c r="D4735" s="92" t="s">
        <v>428</v>
      </c>
      <c r="E4735" s="92" t="s">
        <v>428</v>
      </c>
      <c r="F4735" t="s">
        <v>428</v>
      </c>
      <c r="G4735" t="s">
        <v>428</v>
      </c>
      <c r="H4735" t="s">
        <v>5615</v>
      </c>
      <c r="I4735">
        <v>0</v>
      </c>
      <c r="J4735" t="s">
        <v>87</v>
      </c>
      <c r="K4735">
        <v>0</v>
      </c>
      <c r="L4735">
        <v>0</v>
      </c>
    </row>
    <row r="4736" spans="1:12">
      <c r="A4736" s="93">
        <v>461652</v>
      </c>
      <c r="B4736" t="s">
        <v>5199</v>
      </c>
      <c r="C4736" t="s">
        <v>5606</v>
      </c>
      <c r="D4736" s="92" t="s">
        <v>428</v>
      </c>
      <c r="E4736" s="92" t="s">
        <v>428</v>
      </c>
      <c r="F4736" t="s">
        <v>428</v>
      </c>
      <c r="G4736" t="s">
        <v>428</v>
      </c>
      <c r="H4736" t="s">
        <v>5617</v>
      </c>
      <c r="I4736">
        <v>0</v>
      </c>
      <c r="J4736" t="s">
        <v>87</v>
      </c>
      <c r="K4736">
        <v>0</v>
      </c>
      <c r="L4736">
        <v>0</v>
      </c>
    </row>
    <row r="4737" spans="1:12">
      <c r="A4737" s="93">
        <v>461689</v>
      </c>
      <c r="B4737" t="s">
        <v>5200</v>
      </c>
      <c r="C4737" t="s">
        <v>5606</v>
      </c>
      <c r="D4737" s="92" t="s">
        <v>428</v>
      </c>
      <c r="E4737" s="92" t="s">
        <v>428</v>
      </c>
      <c r="F4737" t="s">
        <v>428</v>
      </c>
      <c r="G4737" t="s">
        <v>428</v>
      </c>
      <c r="H4737" t="s">
        <v>5617</v>
      </c>
      <c r="I4737">
        <v>0</v>
      </c>
      <c r="J4737" t="s">
        <v>87</v>
      </c>
      <c r="K4737">
        <v>0</v>
      </c>
      <c r="L4737">
        <v>0</v>
      </c>
    </row>
    <row r="4738" spans="1:12">
      <c r="A4738" s="93">
        <v>461722</v>
      </c>
      <c r="B4738" t="s">
        <v>5201</v>
      </c>
      <c r="C4738" t="s">
        <v>5606</v>
      </c>
      <c r="D4738" s="92" t="s">
        <v>428</v>
      </c>
      <c r="E4738" s="92" t="s">
        <v>428</v>
      </c>
      <c r="F4738" t="s">
        <v>428</v>
      </c>
      <c r="G4738" t="s">
        <v>428</v>
      </c>
      <c r="H4738" t="s">
        <v>5616</v>
      </c>
      <c r="I4738">
        <v>0</v>
      </c>
      <c r="J4738" t="s">
        <v>87</v>
      </c>
      <c r="K4738">
        <v>0</v>
      </c>
      <c r="L4738">
        <v>0</v>
      </c>
    </row>
    <row r="4739" spans="1:12">
      <c r="A4739" s="93">
        <v>461731</v>
      </c>
      <c r="B4739" t="s">
        <v>4088</v>
      </c>
      <c r="C4739" t="s">
        <v>5606</v>
      </c>
      <c r="D4739" s="92" t="s">
        <v>428</v>
      </c>
      <c r="E4739" s="92" t="s">
        <v>428</v>
      </c>
      <c r="F4739" t="s">
        <v>428</v>
      </c>
      <c r="G4739" t="s">
        <v>428</v>
      </c>
      <c r="H4739" t="s">
        <v>5624</v>
      </c>
      <c r="I4739">
        <v>1</v>
      </c>
      <c r="J4739" t="s">
        <v>87</v>
      </c>
      <c r="K4739">
        <v>0</v>
      </c>
      <c r="L4739">
        <v>0</v>
      </c>
    </row>
    <row r="4740" spans="1:12">
      <c r="A4740" s="93">
        <v>461759</v>
      </c>
      <c r="B4740" t="s">
        <v>5202</v>
      </c>
      <c r="C4740" t="s">
        <v>5604</v>
      </c>
      <c r="D4740" s="92" t="s">
        <v>428</v>
      </c>
      <c r="E4740" s="92" t="s">
        <v>428</v>
      </c>
      <c r="F4740" t="s">
        <v>428</v>
      </c>
      <c r="G4740" t="s">
        <v>428</v>
      </c>
      <c r="H4740" t="s">
        <v>5613</v>
      </c>
      <c r="I4740">
        <v>1</v>
      </c>
      <c r="J4740" t="s">
        <v>87</v>
      </c>
      <c r="K4740">
        <v>0</v>
      </c>
      <c r="L4740">
        <v>0</v>
      </c>
    </row>
    <row r="4741" spans="1:12">
      <c r="A4741" s="93">
        <v>461795</v>
      </c>
      <c r="B4741" t="s">
        <v>5203</v>
      </c>
      <c r="C4741" t="s">
        <v>5604</v>
      </c>
      <c r="D4741" s="92">
        <v>1</v>
      </c>
      <c r="E4741" s="92">
        <v>1</v>
      </c>
      <c r="F4741" t="s">
        <v>428</v>
      </c>
      <c r="G4741" t="s">
        <v>428</v>
      </c>
      <c r="H4741" t="s">
        <v>5613</v>
      </c>
      <c r="I4741">
        <v>1</v>
      </c>
      <c r="J4741" t="s">
        <v>87</v>
      </c>
      <c r="K4741">
        <v>0</v>
      </c>
      <c r="L4741">
        <v>0</v>
      </c>
    </row>
    <row r="4742" spans="1:12">
      <c r="A4742" s="93">
        <v>461810</v>
      </c>
      <c r="B4742" t="s">
        <v>5204</v>
      </c>
      <c r="C4742" t="s">
        <v>5606</v>
      </c>
      <c r="D4742" s="92" t="s">
        <v>428</v>
      </c>
      <c r="E4742" s="92" t="s">
        <v>428</v>
      </c>
      <c r="F4742" t="s">
        <v>428</v>
      </c>
      <c r="G4742" t="s">
        <v>428</v>
      </c>
      <c r="H4742" t="s">
        <v>5624</v>
      </c>
      <c r="I4742">
        <v>1</v>
      </c>
      <c r="J4742" t="s">
        <v>87</v>
      </c>
      <c r="K4742">
        <v>0</v>
      </c>
      <c r="L4742">
        <v>0</v>
      </c>
    </row>
    <row r="4743" spans="1:12">
      <c r="A4743" s="93">
        <v>461829</v>
      </c>
      <c r="B4743" t="s">
        <v>5205</v>
      </c>
      <c r="C4743" t="s">
        <v>5606</v>
      </c>
      <c r="D4743" s="92" t="s">
        <v>428</v>
      </c>
      <c r="E4743" s="92" t="s">
        <v>428</v>
      </c>
      <c r="F4743" t="s">
        <v>428</v>
      </c>
      <c r="G4743" t="s">
        <v>428</v>
      </c>
      <c r="H4743" t="s">
        <v>5617</v>
      </c>
      <c r="I4743">
        <v>0</v>
      </c>
      <c r="J4743" t="s">
        <v>87</v>
      </c>
      <c r="K4743">
        <v>0</v>
      </c>
      <c r="L4743">
        <v>0</v>
      </c>
    </row>
    <row r="4744" spans="1:12">
      <c r="A4744" s="93">
        <v>461847</v>
      </c>
      <c r="B4744" t="s">
        <v>5206</v>
      </c>
      <c r="C4744" t="s">
        <v>5607</v>
      </c>
      <c r="D4744" s="92">
        <v>0.07000000000000001</v>
      </c>
      <c r="E4744" s="92" t="s">
        <v>428</v>
      </c>
      <c r="F4744" t="s">
        <v>428</v>
      </c>
      <c r="G4744" t="s">
        <v>428</v>
      </c>
      <c r="H4744" t="s">
        <v>5616</v>
      </c>
      <c r="I4744">
        <v>0</v>
      </c>
      <c r="J4744" t="s">
        <v>87</v>
      </c>
      <c r="K4744">
        <v>0</v>
      </c>
      <c r="L4744">
        <v>0</v>
      </c>
    </row>
    <row r="4745" spans="1:12">
      <c r="A4745" s="93">
        <v>461883</v>
      </c>
      <c r="B4745" t="s">
        <v>5207</v>
      </c>
      <c r="C4745" t="s">
        <v>5604</v>
      </c>
      <c r="D4745" s="92" t="s">
        <v>428</v>
      </c>
      <c r="E4745" s="92" t="s">
        <v>428</v>
      </c>
      <c r="F4745" t="s">
        <v>428</v>
      </c>
      <c r="G4745" t="s">
        <v>428</v>
      </c>
      <c r="H4745" t="s">
        <v>5617</v>
      </c>
      <c r="I4745">
        <v>0</v>
      </c>
      <c r="J4745" t="s">
        <v>87</v>
      </c>
      <c r="K4745">
        <v>0</v>
      </c>
      <c r="L4745">
        <v>0</v>
      </c>
    </row>
    <row r="4746" spans="1:12">
      <c r="A4746" s="93">
        <v>461953</v>
      </c>
      <c r="B4746" t="s">
        <v>5208</v>
      </c>
      <c r="C4746" t="s">
        <v>5606</v>
      </c>
      <c r="D4746" s="92" t="s">
        <v>428</v>
      </c>
      <c r="E4746" s="92" t="s">
        <v>428</v>
      </c>
      <c r="F4746" t="s">
        <v>428</v>
      </c>
      <c r="G4746" t="s">
        <v>428</v>
      </c>
      <c r="H4746" t="s">
        <v>5617</v>
      </c>
      <c r="I4746">
        <v>0</v>
      </c>
      <c r="J4746" t="s">
        <v>87</v>
      </c>
      <c r="K4746">
        <v>0</v>
      </c>
      <c r="L4746">
        <v>0</v>
      </c>
    </row>
    <row r="4747" spans="1:12">
      <c r="A4747" s="93">
        <v>461999</v>
      </c>
      <c r="B4747" t="s">
        <v>5209</v>
      </c>
      <c r="C4747" t="s">
        <v>5606</v>
      </c>
      <c r="D4747" s="92" t="s">
        <v>428</v>
      </c>
      <c r="E4747" s="92" t="s">
        <v>428</v>
      </c>
      <c r="F4747" t="s">
        <v>428</v>
      </c>
      <c r="G4747" t="s">
        <v>428</v>
      </c>
      <c r="H4747" t="s">
        <v>5616</v>
      </c>
      <c r="I4747">
        <v>0</v>
      </c>
      <c r="J4747" t="s">
        <v>87</v>
      </c>
      <c r="K4747">
        <v>0</v>
      </c>
      <c r="L4747">
        <v>0</v>
      </c>
    </row>
    <row r="4748" spans="1:12">
      <c r="A4748" s="93">
        <v>462044</v>
      </c>
      <c r="B4748" t="s">
        <v>5210</v>
      </c>
      <c r="C4748" t="s">
        <v>5607</v>
      </c>
      <c r="D4748" s="92" t="s">
        <v>428</v>
      </c>
      <c r="E4748" s="92" t="s">
        <v>428</v>
      </c>
      <c r="F4748" t="s">
        <v>428</v>
      </c>
      <c r="G4748" t="s">
        <v>428</v>
      </c>
      <c r="H4748" t="s">
        <v>5615</v>
      </c>
      <c r="I4748">
        <v>0</v>
      </c>
      <c r="J4748" t="s">
        <v>87</v>
      </c>
      <c r="K4748">
        <v>0</v>
      </c>
      <c r="L4748">
        <v>0</v>
      </c>
    </row>
    <row r="4749" spans="1:12">
      <c r="A4749" s="93">
        <v>462071</v>
      </c>
      <c r="B4749" t="s">
        <v>5211</v>
      </c>
      <c r="C4749" t="s">
        <v>5606</v>
      </c>
      <c r="D4749" s="92" t="s">
        <v>428</v>
      </c>
      <c r="E4749" s="92" t="s">
        <v>428</v>
      </c>
      <c r="F4749" t="s">
        <v>428</v>
      </c>
      <c r="G4749" t="s">
        <v>428</v>
      </c>
      <c r="H4749" t="s">
        <v>5617</v>
      </c>
      <c r="I4749">
        <v>0</v>
      </c>
      <c r="J4749" t="s">
        <v>87</v>
      </c>
      <c r="K4749">
        <v>0</v>
      </c>
      <c r="L4749">
        <v>0</v>
      </c>
    </row>
    <row r="4750" spans="1:12">
      <c r="A4750" s="93">
        <v>462354</v>
      </c>
      <c r="B4750" t="s">
        <v>5212</v>
      </c>
      <c r="C4750" t="s">
        <v>5604</v>
      </c>
      <c r="D4750" s="92">
        <v>0.64</v>
      </c>
      <c r="E4750" s="92">
        <v>0.71</v>
      </c>
      <c r="F4750">
        <v>22</v>
      </c>
      <c r="G4750">
        <v>25</v>
      </c>
      <c r="H4750" t="s">
        <v>5617</v>
      </c>
      <c r="I4750">
        <v>0</v>
      </c>
      <c r="J4750" t="s">
        <v>87</v>
      </c>
      <c r="K4750">
        <v>0</v>
      </c>
      <c r="L4750">
        <v>0</v>
      </c>
    </row>
    <row r="4751" spans="1:12">
      <c r="A4751" s="93">
        <v>462363</v>
      </c>
      <c r="B4751" t="s">
        <v>5213</v>
      </c>
      <c r="C4751" t="s">
        <v>5607</v>
      </c>
      <c r="D4751" s="92" t="s">
        <v>428</v>
      </c>
      <c r="E4751" s="92" t="s">
        <v>428</v>
      </c>
      <c r="F4751" t="s">
        <v>428</v>
      </c>
      <c r="G4751" t="s">
        <v>428</v>
      </c>
      <c r="H4751" t="s">
        <v>5617</v>
      </c>
      <c r="I4751">
        <v>0</v>
      </c>
      <c r="J4751" t="s">
        <v>87</v>
      </c>
      <c r="K4751">
        <v>0</v>
      </c>
      <c r="L4751">
        <v>0</v>
      </c>
    </row>
    <row r="4752" spans="1:12">
      <c r="A4752" s="93">
        <v>462372</v>
      </c>
      <c r="B4752" t="s">
        <v>5214</v>
      </c>
      <c r="C4752" t="s">
        <v>5607</v>
      </c>
      <c r="D4752" s="92" t="s">
        <v>428</v>
      </c>
      <c r="E4752" s="92" t="s">
        <v>428</v>
      </c>
      <c r="F4752" t="s">
        <v>428</v>
      </c>
      <c r="G4752" t="s">
        <v>428</v>
      </c>
      <c r="H4752" t="s">
        <v>5617</v>
      </c>
      <c r="I4752">
        <v>0</v>
      </c>
      <c r="J4752" t="s">
        <v>87</v>
      </c>
      <c r="K4752">
        <v>0</v>
      </c>
      <c r="L4752">
        <v>0</v>
      </c>
    </row>
    <row r="4753" spans="1:12">
      <c r="A4753" s="93">
        <v>463056</v>
      </c>
      <c r="B4753" t="s">
        <v>5215</v>
      </c>
      <c r="C4753" t="s">
        <v>5607</v>
      </c>
      <c r="D4753" s="92" t="s">
        <v>428</v>
      </c>
      <c r="E4753" s="92" t="s">
        <v>428</v>
      </c>
      <c r="F4753" t="s">
        <v>428</v>
      </c>
      <c r="G4753" t="s">
        <v>428</v>
      </c>
      <c r="H4753" t="s">
        <v>5615</v>
      </c>
      <c r="I4753">
        <v>0</v>
      </c>
      <c r="J4753" t="s">
        <v>87</v>
      </c>
      <c r="K4753">
        <v>0</v>
      </c>
      <c r="L4753">
        <v>0</v>
      </c>
    </row>
    <row r="4754" spans="1:12">
      <c r="A4754" s="93">
        <v>465812</v>
      </c>
      <c r="B4754" t="s">
        <v>5216</v>
      </c>
      <c r="C4754" t="s">
        <v>5604</v>
      </c>
      <c r="D4754" s="92">
        <v>0.41</v>
      </c>
      <c r="E4754" s="92">
        <v>1</v>
      </c>
      <c r="F4754" t="s">
        <v>428</v>
      </c>
      <c r="G4754" t="s">
        <v>428</v>
      </c>
      <c r="H4754" t="s">
        <v>5617</v>
      </c>
      <c r="I4754">
        <v>0</v>
      </c>
      <c r="J4754" t="s">
        <v>87</v>
      </c>
      <c r="K4754">
        <v>0</v>
      </c>
      <c r="L4754">
        <v>0</v>
      </c>
    </row>
    <row r="4755" spans="1:12">
      <c r="A4755" s="93">
        <v>466152</v>
      </c>
      <c r="B4755" t="s">
        <v>5217</v>
      </c>
      <c r="C4755" t="s">
        <v>5604</v>
      </c>
      <c r="D4755" s="92" t="s">
        <v>428</v>
      </c>
      <c r="E4755" s="92" t="s">
        <v>428</v>
      </c>
      <c r="F4755" t="s">
        <v>428</v>
      </c>
      <c r="G4755" t="s">
        <v>428</v>
      </c>
      <c r="H4755" t="s">
        <v>5615</v>
      </c>
      <c r="I4755">
        <v>0</v>
      </c>
      <c r="J4755" t="s">
        <v>87</v>
      </c>
      <c r="K4755">
        <v>0</v>
      </c>
      <c r="L4755">
        <v>0</v>
      </c>
    </row>
    <row r="4756" spans="1:12">
      <c r="A4756" s="93">
        <v>466161</v>
      </c>
      <c r="B4756" t="s">
        <v>5218</v>
      </c>
      <c r="C4756" t="s">
        <v>5604</v>
      </c>
      <c r="D4756" s="92" t="s">
        <v>428</v>
      </c>
      <c r="E4756" s="92" t="s">
        <v>428</v>
      </c>
      <c r="F4756" t="s">
        <v>428</v>
      </c>
      <c r="G4756" t="s">
        <v>428</v>
      </c>
      <c r="H4756" t="s">
        <v>5617</v>
      </c>
      <c r="I4756">
        <v>0</v>
      </c>
      <c r="J4756" t="s">
        <v>87</v>
      </c>
      <c r="K4756">
        <v>0</v>
      </c>
      <c r="L4756">
        <v>0</v>
      </c>
    </row>
    <row r="4757" spans="1:12">
      <c r="A4757" s="93">
        <v>466170</v>
      </c>
      <c r="B4757" t="s">
        <v>5219</v>
      </c>
      <c r="C4757" t="s">
        <v>5604</v>
      </c>
      <c r="D4757" s="92" t="s">
        <v>428</v>
      </c>
      <c r="E4757" s="92" t="s">
        <v>428</v>
      </c>
      <c r="F4757" t="s">
        <v>428</v>
      </c>
      <c r="G4757" t="s">
        <v>428</v>
      </c>
      <c r="H4757" t="s">
        <v>5617</v>
      </c>
      <c r="I4757">
        <v>0</v>
      </c>
      <c r="J4757" t="s">
        <v>87</v>
      </c>
      <c r="K4757">
        <v>0</v>
      </c>
      <c r="L4757">
        <v>0</v>
      </c>
    </row>
    <row r="4758" spans="1:12">
      <c r="A4758" s="93">
        <v>466189</v>
      </c>
      <c r="B4758" t="s">
        <v>5220</v>
      </c>
      <c r="C4758" t="s">
        <v>5604</v>
      </c>
      <c r="D4758" s="92" t="s">
        <v>428</v>
      </c>
      <c r="E4758" s="92" t="s">
        <v>428</v>
      </c>
      <c r="F4758" t="s">
        <v>428</v>
      </c>
      <c r="G4758" t="s">
        <v>428</v>
      </c>
      <c r="H4758" t="s">
        <v>5617</v>
      </c>
      <c r="I4758">
        <v>0</v>
      </c>
      <c r="J4758" t="s">
        <v>87</v>
      </c>
      <c r="K4758">
        <v>0</v>
      </c>
      <c r="L4758">
        <v>0</v>
      </c>
    </row>
    <row r="4759" spans="1:12">
      <c r="A4759" s="93">
        <v>466523</v>
      </c>
      <c r="B4759" t="s">
        <v>5221</v>
      </c>
      <c r="C4759" t="s">
        <v>5606</v>
      </c>
      <c r="D4759" s="92" t="s">
        <v>428</v>
      </c>
      <c r="E4759" s="92" t="s">
        <v>428</v>
      </c>
      <c r="F4759" t="s">
        <v>428</v>
      </c>
      <c r="G4759" t="s">
        <v>428</v>
      </c>
      <c r="H4759" t="s">
        <v>5617</v>
      </c>
      <c r="I4759">
        <v>0</v>
      </c>
      <c r="J4759" t="s">
        <v>87</v>
      </c>
      <c r="K4759">
        <v>0</v>
      </c>
      <c r="L4759">
        <v>0</v>
      </c>
    </row>
    <row r="4760" spans="1:12">
      <c r="A4760" s="93">
        <v>466921</v>
      </c>
      <c r="B4760" t="s">
        <v>5222</v>
      </c>
      <c r="C4760" t="s">
        <v>5607</v>
      </c>
      <c r="D4760" s="92">
        <v>0.33</v>
      </c>
      <c r="E4760" s="92">
        <v>0</v>
      </c>
      <c r="F4760" t="s">
        <v>428</v>
      </c>
      <c r="G4760" t="s">
        <v>428</v>
      </c>
      <c r="H4760" t="s">
        <v>5617</v>
      </c>
      <c r="I4760">
        <v>0</v>
      </c>
      <c r="J4760" t="s">
        <v>87</v>
      </c>
      <c r="K4760">
        <v>0</v>
      </c>
      <c r="L4760">
        <v>0</v>
      </c>
    </row>
    <row r="4761" spans="1:12">
      <c r="A4761" s="93">
        <v>466930</v>
      </c>
      <c r="B4761" t="s">
        <v>5223</v>
      </c>
      <c r="C4761" t="s">
        <v>5607</v>
      </c>
      <c r="D4761" s="92" t="s">
        <v>428</v>
      </c>
      <c r="E4761" s="92" t="s">
        <v>428</v>
      </c>
      <c r="F4761" t="s">
        <v>428</v>
      </c>
      <c r="G4761" t="s">
        <v>428</v>
      </c>
      <c r="H4761" t="s">
        <v>5617</v>
      </c>
      <c r="I4761">
        <v>0</v>
      </c>
      <c r="J4761" t="s">
        <v>87</v>
      </c>
      <c r="K4761">
        <v>0</v>
      </c>
      <c r="L4761">
        <v>0</v>
      </c>
    </row>
    <row r="4762" spans="1:12">
      <c r="A4762" s="93">
        <v>467058</v>
      </c>
      <c r="B4762" t="s">
        <v>5224</v>
      </c>
      <c r="C4762" t="s">
        <v>5607</v>
      </c>
      <c r="D4762" s="92" t="s">
        <v>428</v>
      </c>
      <c r="E4762" s="92" t="s">
        <v>428</v>
      </c>
      <c r="F4762" t="s">
        <v>428</v>
      </c>
      <c r="G4762" t="s">
        <v>428</v>
      </c>
      <c r="H4762" t="s">
        <v>5617</v>
      </c>
      <c r="I4762">
        <v>0</v>
      </c>
      <c r="J4762" t="s">
        <v>87</v>
      </c>
      <c r="K4762">
        <v>0</v>
      </c>
      <c r="L4762">
        <v>0</v>
      </c>
    </row>
    <row r="4763" spans="1:12">
      <c r="A4763" s="93">
        <v>467368</v>
      </c>
      <c r="B4763" t="s">
        <v>5225</v>
      </c>
      <c r="C4763" t="s">
        <v>5609</v>
      </c>
      <c r="D4763" s="92">
        <v>0.5600000000000001</v>
      </c>
      <c r="E4763" s="92">
        <v>0.53</v>
      </c>
      <c r="F4763" t="s">
        <v>428</v>
      </c>
      <c r="G4763" t="s">
        <v>428</v>
      </c>
      <c r="H4763" t="s">
        <v>5617</v>
      </c>
      <c r="I4763">
        <v>0</v>
      </c>
      <c r="J4763" t="s">
        <v>87</v>
      </c>
      <c r="K4763">
        <v>0</v>
      </c>
      <c r="L4763">
        <v>0</v>
      </c>
    </row>
    <row r="4764" spans="1:12">
      <c r="A4764" s="93">
        <v>467793</v>
      </c>
      <c r="B4764" t="s">
        <v>5226</v>
      </c>
      <c r="C4764" t="s">
        <v>5604</v>
      </c>
      <c r="D4764" s="92" t="s">
        <v>428</v>
      </c>
      <c r="E4764" s="92" t="s">
        <v>428</v>
      </c>
      <c r="F4764" t="s">
        <v>428</v>
      </c>
      <c r="G4764" t="s">
        <v>428</v>
      </c>
      <c r="H4764" t="s">
        <v>5617</v>
      </c>
      <c r="I4764">
        <v>0</v>
      </c>
      <c r="J4764" t="s">
        <v>87</v>
      </c>
      <c r="K4764">
        <v>0</v>
      </c>
      <c r="L4764">
        <v>0</v>
      </c>
    </row>
    <row r="4765" spans="1:12">
      <c r="A4765" s="93">
        <v>468006</v>
      </c>
      <c r="B4765" t="s">
        <v>5227</v>
      </c>
      <c r="C4765" t="s">
        <v>5607</v>
      </c>
      <c r="D4765" s="92" t="s">
        <v>428</v>
      </c>
      <c r="E4765" s="92" t="s">
        <v>428</v>
      </c>
      <c r="F4765" t="s">
        <v>428</v>
      </c>
      <c r="G4765" t="s">
        <v>428</v>
      </c>
      <c r="H4765" t="s">
        <v>5615</v>
      </c>
      <c r="I4765">
        <v>0</v>
      </c>
      <c r="J4765" t="s">
        <v>87</v>
      </c>
      <c r="K4765">
        <v>0</v>
      </c>
      <c r="L4765">
        <v>0</v>
      </c>
    </row>
    <row r="4766" spans="1:12">
      <c r="A4766" s="93">
        <v>468015</v>
      </c>
      <c r="B4766" t="s">
        <v>5228</v>
      </c>
      <c r="C4766" t="s">
        <v>5607</v>
      </c>
      <c r="D4766" s="92">
        <v>0.16</v>
      </c>
      <c r="E4766" s="92">
        <v>0.12</v>
      </c>
      <c r="F4766" t="s">
        <v>428</v>
      </c>
      <c r="G4766" t="s">
        <v>428</v>
      </c>
      <c r="H4766" t="s">
        <v>5617</v>
      </c>
      <c r="I4766">
        <v>0</v>
      </c>
      <c r="J4766" t="s">
        <v>87</v>
      </c>
      <c r="K4766">
        <v>0</v>
      </c>
      <c r="L4766">
        <v>0</v>
      </c>
    </row>
    <row r="4767" spans="1:12">
      <c r="A4767" s="93">
        <v>468024</v>
      </c>
      <c r="B4767" t="s">
        <v>5229</v>
      </c>
      <c r="C4767" t="s">
        <v>5604</v>
      </c>
      <c r="D4767" s="92">
        <v>0.29</v>
      </c>
      <c r="E4767" s="92">
        <v>0.25</v>
      </c>
      <c r="F4767" t="s">
        <v>428</v>
      </c>
      <c r="G4767" t="s">
        <v>428</v>
      </c>
      <c r="H4767" t="s">
        <v>5617</v>
      </c>
      <c r="I4767">
        <v>0</v>
      </c>
      <c r="J4767" t="s">
        <v>87</v>
      </c>
      <c r="K4767">
        <v>0</v>
      </c>
      <c r="L4767">
        <v>0</v>
      </c>
    </row>
    <row r="4768" spans="1:12">
      <c r="A4768" s="93">
        <v>468246</v>
      </c>
      <c r="B4768" t="s">
        <v>5230</v>
      </c>
      <c r="C4768" t="s">
        <v>5606</v>
      </c>
      <c r="D4768" s="92" t="s">
        <v>428</v>
      </c>
      <c r="E4768" s="92" t="s">
        <v>428</v>
      </c>
      <c r="F4768" t="s">
        <v>428</v>
      </c>
      <c r="G4768" t="s">
        <v>428</v>
      </c>
      <c r="H4768" t="s">
        <v>5617</v>
      </c>
      <c r="I4768">
        <v>0</v>
      </c>
      <c r="J4768" t="s">
        <v>87</v>
      </c>
      <c r="K4768">
        <v>0</v>
      </c>
      <c r="L4768">
        <v>0</v>
      </c>
    </row>
    <row r="4769" spans="1:12">
      <c r="A4769" s="93">
        <v>468255</v>
      </c>
      <c r="B4769" t="s">
        <v>5231</v>
      </c>
      <c r="C4769" t="s">
        <v>5606</v>
      </c>
      <c r="D4769" s="92" t="s">
        <v>428</v>
      </c>
      <c r="E4769" s="92" t="s">
        <v>428</v>
      </c>
      <c r="F4769" t="s">
        <v>428</v>
      </c>
      <c r="G4769" t="s">
        <v>428</v>
      </c>
      <c r="H4769" t="s">
        <v>5616</v>
      </c>
      <c r="I4769">
        <v>0</v>
      </c>
      <c r="J4769" t="s">
        <v>87</v>
      </c>
      <c r="K4769">
        <v>0</v>
      </c>
      <c r="L4769">
        <v>0</v>
      </c>
    </row>
    <row r="4770" spans="1:12">
      <c r="A4770" s="93">
        <v>468398</v>
      </c>
      <c r="B4770" t="s">
        <v>5232</v>
      </c>
      <c r="C4770" t="s">
        <v>5606</v>
      </c>
      <c r="D4770" s="92" t="s">
        <v>428</v>
      </c>
      <c r="E4770" s="92" t="s">
        <v>428</v>
      </c>
      <c r="F4770" t="s">
        <v>428</v>
      </c>
      <c r="G4770" t="s">
        <v>428</v>
      </c>
      <c r="H4770" t="s">
        <v>5617</v>
      </c>
      <c r="I4770">
        <v>0</v>
      </c>
      <c r="J4770" t="s">
        <v>87</v>
      </c>
      <c r="K4770">
        <v>0</v>
      </c>
      <c r="L4770">
        <v>0</v>
      </c>
    </row>
    <row r="4771" spans="1:12">
      <c r="A4771" s="93">
        <v>468705</v>
      </c>
      <c r="B4771" t="s">
        <v>1782</v>
      </c>
      <c r="C4771" t="s">
        <v>5606</v>
      </c>
      <c r="D4771" s="92" t="s">
        <v>428</v>
      </c>
      <c r="E4771" s="92" t="s">
        <v>428</v>
      </c>
      <c r="F4771" t="s">
        <v>428</v>
      </c>
      <c r="G4771" t="s">
        <v>428</v>
      </c>
      <c r="H4771" t="s">
        <v>5624</v>
      </c>
      <c r="I4771">
        <v>1</v>
      </c>
      <c r="J4771" t="s">
        <v>87</v>
      </c>
      <c r="K4771">
        <v>0</v>
      </c>
      <c r="L4771">
        <v>0</v>
      </c>
    </row>
    <row r="4772" spans="1:12">
      <c r="A4772" s="93">
        <v>468723</v>
      </c>
      <c r="B4772" t="s">
        <v>5233</v>
      </c>
      <c r="C4772" t="s">
        <v>5607</v>
      </c>
      <c r="D4772" s="92" t="s">
        <v>428</v>
      </c>
      <c r="E4772" s="92" t="s">
        <v>428</v>
      </c>
      <c r="F4772" t="s">
        <v>428</v>
      </c>
      <c r="G4772" t="s">
        <v>428</v>
      </c>
      <c r="H4772" t="s">
        <v>5613</v>
      </c>
      <c r="I4772">
        <v>1</v>
      </c>
      <c r="J4772" t="s">
        <v>87</v>
      </c>
      <c r="K4772">
        <v>0</v>
      </c>
      <c r="L4772">
        <v>0</v>
      </c>
    </row>
    <row r="4773" spans="1:12">
      <c r="A4773" s="93">
        <v>469416</v>
      </c>
      <c r="B4773" t="s">
        <v>5234</v>
      </c>
      <c r="C4773" t="s">
        <v>5604</v>
      </c>
      <c r="D4773" s="92" t="s">
        <v>428</v>
      </c>
      <c r="E4773" s="92" t="s">
        <v>428</v>
      </c>
      <c r="F4773" t="s">
        <v>428</v>
      </c>
      <c r="G4773" t="s">
        <v>428</v>
      </c>
      <c r="H4773" t="s">
        <v>5614</v>
      </c>
      <c r="I4773">
        <v>1</v>
      </c>
      <c r="J4773" t="s">
        <v>87</v>
      </c>
      <c r="K4773">
        <v>0</v>
      </c>
      <c r="L4773">
        <v>0</v>
      </c>
    </row>
    <row r="4774" spans="1:12">
      <c r="A4774" s="93">
        <v>469638</v>
      </c>
      <c r="B4774" t="s">
        <v>5235</v>
      </c>
      <c r="C4774" t="s">
        <v>5606</v>
      </c>
      <c r="D4774" s="92" t="s">
        <v>428</v>
      </c>
      <c r="E4774" s="92" t="s">
        <v>428</v>
      </c>
      <c r="F4774" t="s">
        <v>428</v>
      </c>
      <c r="G4774" t="s">
        <v>428</v>
      </c>
      <c r="H4774" t="s">
        <v>5617</v>
      </c>
      <c r="I4774">
        <v>0</v>
      </c>
      <c r="J4774" t="s">
        <v>87</v>
      </c>
      <c r="K4774">
        <v>0</v>
      </c>
      <c r="L4774">
        <v>0</v>
      </c>
    </row>
    <row r="4775" spans="1:12">
      <c r="A4775" s="93">
        <v>470047</v>
      </c>
      <c r="B4775" t="s">
        <v>5236</v>
      </c>
      <c r="C4775" t="s">
        <v>5606</v>
      </c>
      <c r="D4775" s="92" t="s">
        <v>428</v>
      </c>
      <c r="E4775" s="92" t="s">
        <v>428</v>
      </c>
      <c r="F4775" t="s">
        <v>428</v>
      </c>
      <c r="G4775" t="s">
        <v>428</v>
      </c>
      <c r="H4775" t="s">
        <v>5616</v>
      </c>
      <c r="I4775">
        <v>0</v>
      </c>
      <c r="J4775" t="s">
        <v>87</v>
      </c>
      <c r="K4775">
        <v>0</v>
      </c>
      <c r="L4775">
        <v>0</v>
      </c>
    </row>
    <row r="4776" spans="1:12">
      <c r="A4776" s="93">
        <v>470092</v>
      </c>
      <c r="B4776" t="s">
        <v>5237</v>
      </c>
      <c r="C4776" t="s">
        <v>5607</v>
      </c>
      <c r="D4776" s="92">
        <v>0.21</v>
      </c>
      <c r="E4776" s="92">
        <v>0.08</v>
      </c>
      <c r="F4776" t="s">
        <v>428</v>
      </c>
      <c r="G4776" t="s">
        <v>428</v>
      </c>
      <c r="H4776" t="s">
        <v>5617</v>
      </c>
      <c r="I4776">
        <v>0</v>
      </c>
      <c r="J4776" t="s">
        <v>87</v>
      </c>
      <c r="K4776">
        <v>0</v>
      </c>
      <c r="L4776">
        <v>0</v>
      </c>
    </row>
    <row r="4777" spans="1:12">
      <c r="A4777" s="93">
        <v>470162</v>
      </c>
      <c r="B4777" t="s">
        <v>5238</v>
      </c>
      <c r="C4777" t="s">
        <v>5607</v>
      </c>
      <c r="D4777" s="92" t="s">
        <v>428</v>
      </c>
      <c r="E4777" s="92" t="s">
        <v>428</v>
      </c>
      <c r="F4777" t="s">
        <v>428</v>
      </c>
      <c r="G4777" t="s">
        <v>428</v>
      </c>
      <c r="H4777" t="s">
        <v>5617</v>
      </c>
      <c r="I4777">
        <v>0</v>
      </c>
      <c r="J4777" t="s">
        <v>87</v>
      </c>
      <c r="K4777">
        <v>0</v>
      </c>
      <c r="L4777">
        <v>0</v>
      </c>
    </row>
    <row r="4778" spans="1:12">
      <c r="A4778" s="93">
        <v>470861</v>
      </c>
      <c r="B4778" t="s">
        <v>5239</v>
      </c>
      <c r="C4778" t="s">
        <v>5607</v>
      </c>
      <c r="D4778" s="92" t="s">
        <v>428</v>
      </c>
      <c r="E4778" s="92" t="s">
        <v>428</v>
      </c>
      <c r="F4778" t="s">
        <v>428</v>
      </c>
      <c r="G4778" t="s">
        <v>428</v>
      </c>
      <c r="H4778" t="s">
        <v>5617</v>
      </c>
      <c r="I4778">
        <v>0</v>
      </c>
      <c r="J4778" t="s">
        <v>87</v>
      </c>
      <c r="K4778">
        <v>0</v>
      </c>
      <c r="L4778">
        <v>0</v>
      </c>
    </row>
    <row r="4779" spans="1:12">
      <c r="A4779" s="93">
        <v>470870</v>
      </c>
      <c r="B4779" t="s">
        <v>5240</v>
      </c>
      <c r="C4779" t="s">
        <v>5607</v>
      </c>
      <c r="D4779" s="92" t="s">
        <v>428</v>
      </c>
      <c r="E4779" s="92" t="s">
        <v>428</v>
      </c>
      <c r="F4779" t="s">
        <v>428</v>
      </c>
      <c r="G4779" t="s">
        <v>428</v>
      </c>
      <c r="H4779" t="s">
        <v>5617</v>
      </c>
      <c r="I4779">
        <v>0</v>
      </c>
      <c r="J4779" t="s">
        <v>87</v>
      </c>
      <c r="K4779">
        <v>0</v>
      </c>
      <c r="L4779">
        <v>0</v>
      </c>
    </row>
    <row r="4780" spans="1:12">
      <c r="A4780" s="93">
        <v>470889</v>
      </c>
      <c r="B4780" t="s">
        <v>5241</v>
      </c>
      <c r="C4780" t="s">
        <v>5607</v>
      </c>
      <c r="D4780" s="92" t="s">
        <v>428</v>
      </c>
      <c r="E4780" s="92" t="s">
        <v>428</v>
      </c>
      <c r="F4780" t="s">
        <v>428</v>
      </c>
      <c r="G4780" t="s">
        <v>428</v>
      </c>
      <c r="H4780" t="s">
        <v>5617</v>
      </c>
      <c r="I4780">
        <v>0</v>
      </c>
      <c r="J4780" t="s">
        <v>87</v>
      </c>
      <c r="K4780">
        <v>0</v>
      </c>
      <c r="L4780">
        <v>0</v>
      </c>
    </row>
    <row r="4781" spans="1:12">
      <c r="A4781" s="93">
        <v>470898</v>
      </c>
      <c r="B4781" t="s">
        <v>5242</v>
      </c>
      <c r="C4781" t="s">
        <v>5607</v>
      </c>
      <c r="D4781" s="92" t="s">
        <v>428</v>
      </c>
      <c r="E4781" s="92" t="s">
        <v>428</v>
      </c>
      <c r="F4781" t="s">
        <v>428</v>
      </c>
      <c r="G4781" t="s">
        <v>428</v>
      </c>
      <c r="H4781" t="s">
        <v>5617</v>
      </c>
      <c r="I4781">
        <v>0</v>
      </c>
      <c r="J4781" t="s">
        <v>87</v>
      </c>
      <c r="K4781">
        <v>0</v>
      </c>
      <c r="L4781">
        <v>0</v>
      </c>
    </row>
    <row r="4782" spans="1:12">
      <c r="A4782" s="93">
        <v>470904</v>
      </c>
      <c r="B4782" t="s">
        <v>5243</v>
      </c>
      <c r="C4782" t="s">
        <v>5607</v>
      </c>
      <c r="D4782" s="92" t="s">
        <v>428</v>
      </c>
      <c r="E4782" s="92" t="s">
        <v>428</v>
      </c>
      <c r="F4782" t="s">
        <v>428</v>
      </c>
      <c r="G4782" t="s">
        <v>428</v>
      </c>
      <c r="H4782" t="s">
        <v>5617</v>
      </c>
      <c r="I4782">
        <v>0</v>
      </c>
      <c r="J4782" t="s">
        <v>87</v>
      </c>
      <c r="K4782">
        <v>0</v>
      </c>
      <c r="L4782">
        <v>0</v>
      </c>
    </row>
    <row r="4783" spans="1:12">
      <c r="A4783" s="93">
        <v>474863</v>
      </c>
      <c r="B4783" t="s">
        <v>5244</v>
      </c>
      <c r="C4783" t="s">
        <v>5604</v>
      </c>
      <c r="D4783" s="92" t="s">
        <v>428</v>
      </c>
      <c r="E4783" s="92" t="s">
        <v>428</v>
      </c>
      <c r="F4783" t="s">
        <v>428</v>
      </c>
      <c r="G4783" t="s">
        <v>428</v>
      </c>
      <c r="H4783" t="s">
        <v>5617</v>
      </c>
      <c r="I4783">
        <v>0</v>
      </c>
      <c r="J4783" t="s">
        <v>87</v>
      </c>
      <c r="K4783">
        <v>0</v>
      </c>
      <c r="L4783">
        <v>0</v>
      </c>
    </row>
    <row r="4784" spans="1:12">
      <c r="A4784" s="93">
        <v>474881</v>
      </c>
      <c r="B4784" t="s">
        <v>5245</v>
      </c>
      <c r="C4784" t="s">
        <v>5604</v>
      </c>
      <c r="D4784" s="92" t="s">
        <v>428</v>
      </c>
      <c r="E4784" s="92" t="s">
        <v>428</v>
      </c>
      <c r="F4784" t="s">
        <v>428</v>
      </c>
      <c r="G4784" t="s">
        <v>428</v>
      </c>
      <c r="H4784" t="s">
        <v>5617</v>
      </c>
      <c r="I4784">
        <v>0</v>
      </c>
      <c r="J4784" t="s">
        <v>87</v>
      </c>
      <c r="K4784">
        <v>0</v>
      </c>
      <c r="L4784">
        <v>0</v>
      </c>
    </row>
    <row r="4785" spans="1:12">
      <c r="A4785" s="93">
        <v>474890</v>
      </c>
      <c r="B4785" t="s">
        <v>5246</v>
      </c>
      <c r="C4785" t="s">
        <v>5604</v>
      </c>
      <c r="D4785" s="92" t="s">
        <v>428</v>
      </c>
      <c r="E4785" s="92" t="s">
        <v>428</v>
      </c>
      <c r="F4785" t="s">
        <v>428</v>
      </c>
      <c r="G4785" t="s">
        <v>428</v>
      </c>
      <c r="H4785" t="s">
        <v>5617</v>
      </c>
      <c r="I4785">
        <v>0</v>
      </c>
      <c r="J4785" t="s">
        <v>87</v>
      </c>
      <c r="K4785">
        <v>0</v>
      </c>
      <c r="L4785">
        <v>0</v>
      </c>
    </row>
    <row r="4786" spans="1:12">
      <c r="A4786" s="93">
        <v>474906</v>
      </c>
      <c r="B4786" t="s">
        <v>3720</v>
      </c>
      <c r="C4786" t="s">
        <v>5604</v>
      </c>
      <c r="D4786" s="92" t="s">
        <v>428</v>
      </c>
      <c r="E4786" s="92" t="s">
        <v>428</v>
      </c>
      <c r="F4786" t="s">
        <v>428</v>
      </c>
      <c r="G4786" t="s">
        <v>428</v>
      </c>
      <c r="H4786" t="s">
        <v>5617</v>
      </c>
      <c r="I4786">
        <v>0</v>
      </c>
      <c r="J4786" t="s">
        <v>87</v>
      </c>
      <c r="K4786">
        <v>0</v>
      </c>
      <c r="L4786">
        <v>0</v>
      </c>
    </row>
    <row r="4787" spans="1:12">
      <c r="A4787" s="93">
        <v>474997</v>
      </c>
      <c r="B4787" t="s">
        <v>5247</v>
      </c>
      <c r="C4787" t="s">
        <v>5606</v>
      </c>
      <c r="D4787" s="92" t="s">
        <v>428</v>
      </c>
      <c r="E4787" s="92" t="s">
        <v>428</v>
      </c>
      <c r="F4787" t="s">
        <v>428</v>
      </c>
      <c r="G4787" t="s">
        <v>428</v>
      </c>
      <c r="H4787" t="s">
        <v>5617</v>
      </c>
      <c r="I4787">
        <v>0</v>
      </c>
      <c r="J4787" t="s">
        <v>87</v>
      </c>
      <c r="K4787">
        <v>0</v>
      </c>
      <c r="L4787">
        <v>0</v>
      </c>
    </row>
    <row r="4788" spans="1:12">
      <c r="A4788" s="93">
        <v>475015</v>
      </c>
      <c r="B4788" t="s">
        <v>5248</v>
      </c>
      <c r="C4788" t="s">
        <v>5606</v>
      </c>
      <c r="D4788" s="92" t="s">
        <v>428</v>
      </c>
      <c r="E4788" s="92" t="s">
        <v>428</v>
      </c>
      <c r="F4788" t="s">
        <v>428</v>
      </c>
      <c r="G4788" t="s">
        <v>428</v>
      </c>
      <c r="H4788" t="s">
        <v>5613</v>
      </c>
      <c r="I4788">
        <v>1</v>
      </c>
      <c r="J4788" t="s">
        <v>87</v>
      </c>
      <c r="K4788">
        <v>0</v>
      </c>
      <c r="L4788">
        <v>0</v>
      </c>
    </row>
    <row r="4789" spans="1:12">
      <c r="A4789" s="93">
        <v>475033</v>
      </c>
      <c r="B4789" t="s">
        <v>5249</v>
      </c>
      <c r="C4789" t="s">
        <v>5607</v>
      </c>
      <c r="D4789" s="92" t="s">
        <v>428</v>
      </c>
      <c r="E4789" s="92" t="s">
        <v>428</v>
      </c>
      <c r="F4789" t="s">
        <v>428</v>
      </c>
      <c r="G4789" t="s">
        <v>428</v>
      </c>
      <c r="H4789" t="s">
        <v>5615</v>
      </c>
      <c r="I4789">
        <v>0</v>
      </c>
      <c r="J4789" t="s">
        <v>87</v>
      </c>
      <c r="K4789">
        <v>0</v>
      </c>
      <c r="L4789">
        <v>0</v>
      </c>
    </row>
    <row r="4790" spans="1:12">
      <c r="A4790" s="93">
        <v>475042</v>
      </c>
      <c r="B4790" t="s">
        <v>5250</v>
      </c>
      <c r="C4790" t="s">
        <v>5607</v>
      </c>
      <c r="D4790" s="92" t="s">
        <v>428</v>
      </c>
      <c r="E4790" s="92" t="s">
        <v>428</v>
      </c>
      <c r="F4790" t="s">
        <v>428</v>
      </c>
      <c r="G4790" t="s">
        <v>428</v>
      </c>
      <c r="H4790" t="s">
        <v>5617</v>
      </c>
      <c r="I4790">
        <v>0</v>
      </c>
      <c r="J4790" t="s">
        <v>87</v>
      </c>
      <c r="K4790">
        <v>0</v>
      </c>
      <c r="L4790">
        <v>0</v>
      </c>
    </row>
    <row r="4791" spans="1:12">
      <c r="A4791" s="93">
        <v>475060</v>
      </c>
      <c r="B4791" t="s">
        <v>5251</v>
      </c>
      <c r="C4791" t="s">
        <v>5606</v>
      </c>
      <c r="D4791" s="92" t="s">
        <v>428</v>
      </c>
      <c r="E4791" s="92" t="s">
        <v>428</v>
      </c>
      <c r="F4791" t="s">
        <v>428</v>
      </c>
      <c r="G4791" t="s">
        <v>428</v>
      </c>
      <c r="H4791" t="s">
        <v>5617</v>
      </c>
      <c r="I4791">
        <v>0</v>
      </c>
      <c r="J4791" t="s">
        <v>87</v>
      </c>
      <c r="K4791">
        <v>0</v>
      </c>
      <c r="L4791">
        <v>0</v>
      </c>
    </row>
    <row r="4792" spans="1:12">
      <c r="A4792" s="93">
        <v>475079</v>
      </c>
      <c r="B4792" t="s">
        <v>5252</v>
      </c>
      <c r="C4792" t="s">
        <v>5606</v>
      </c>
      <c r="D4792" s="92" t="s">
        <v>428</v>
      </c>
      <c r="E4792" s="92" t="s">
        <v>428</v>
      </c>
      <c r="F4792" t="s">
        <v>428</v>
      </c>
      <c r="G4792" t="s">
        <v>428</v>
      </c>
      <c r="H4792" t="s">
        <v>5617</v>
      </c>
      <c r="I4792">
        <v>0</v>
      </c>
      <c r="J4792" t="s">
        <v>87</v>
      </c>
      <c r="K4792">
        <v>0</v>
      </c>
      <c r="L4792">
        <v>0</v>
      </c>
    </row>
    <row r="4793" spans="1:12">
      <c r="A4793" s="93">
        <v>475121</v>
      </c>
      <c r="B4793" t="s">
        <v>5253</v>
      </c>
      <c r="C4793" t="s">
        <v>5604</v>
      </c>
      <c r="D4793" s="92">
        <v>0.02</v>
      </c>
      <c r="E4793" s="92">
        <v>0.02</v>
      </c>
      <c r="F4793" t="s">
        <v>428</v>
      </c>
      <c r="G4793" t="s">
        <v>428</v>
      </c>
      <c r="H4793" t="s">
        <v>5617</v>
      </c>
      <c r="I4793">
        <v>0</v>
      </c>
      <c r="J4793" t="s">
        <v>87</v>
      </c>
      <c r="K4793">
        <v>0</v>
      </c>
      <c r="L4793">
        <v>0</v>
      </c>
    </row>
    <row r="4794" spans="1:12">
      <c r="A4794" s="93">
        <v>475130</v>
      </c>
      <c r="B4794" t="s">
        <v>5254</v>
      </c>
      <c r="C4794" t="s">
        <v>5606</v>
      </c>
      <c r="D4794" s="92" t="s">
        <v>428</v>
      </c>
      <c r="E4794" s="92" t="s">
        <v>428</v>
      </c>
      <c r="F4794" t="s">
        <v>428</v>
      </c>
      <c r="G4794" t="s">
        <v>428</v>
      </c>
      <c r="H4794" t="s">
        <v>5617</v>
      </c>
      <c r="I4794">
        <v>0</v>
      </c>
      <c r="J4794" t="s">
        <v>87</v>
      </c>
      <c r="K4794">
        <v>0</v>
      </c>
      <c r="L4794">
        <v>0</v>
      </c>
    </row>
    <row r="4795" spans="1:12">
      <c r="A4795" s="93">
        <v>475185</v>
      </c>
      <c r="B4795" t="s">
        <v>5255</v>
      </c>
      <c r="C4795" t="s">
        <v>5607</v>
      </c>
      <c r="D4795" s="92">
        <v>0.52</v>
      </c>
      <c r="E4795" s="92">
        <v>0.09</v>
      </c>
      <c r="F4795" t="s">
        <v>428</v>
      </c>
      <c r="G4795" t="s">
        <v>428</v>
      </c>
      <c r="H4795" t="s">
        <v>5615</v>
      </c>
      <c r="I4795">
        <v>0</v>
      </c>
      <c r="J4795" t="s">
        <v>87</v>
      </c>
      <c r="K4795">
        <v>0</v>
      </c>
      <c r="L4795">
        <v>0</v>
      </c>
    </row>
    <row r="4796" spans="1:12">
      <c r="A4796" s="93">
        <v>475194</v>
      </c>
      <c r="B4796" t="s">
        <v>5256</v>
      </c>
      <c r="C4796" t="s">
        <v>5606</v>
      </c>
      <c r="D4796" s="92" t="s">
        <v>428</v>
      </c>
      <c r="E4796" s="92" t="s">
        <v>428</v>
      </c>
      <c r="F4796" t="s">
        <v>428</v>
      </c>
      <c r="G4796" t="s">
        <v>428</v>
      </c>
      <c r="H4796" t="s">
        <v>5617</v>
      </c>
      <c r="I4796">
        <v>0</v>
      </c>
      <c r="J4796" t="s">
        <v>87</v>
      </c>
      <c r="K4796">
        <v>0</v>
      </c>
      <c r="L4796">
        <v>0</v>
      </c>
    </row>
    <row r="4797" spans="1:12">
      <c r="A4797" s="93">
        <v>475200</v>
      </c>
      <c r="B4797" t="s">
        <v>5257</v>
      </c>
      <c r="C4797" t="s">
        <v>5607</v>
      </c>
      <c r="D4797" s="92" t="s">
        <v>428</v>
      </c>
      <c r="E4797" s="92" t="s">
        <v>428</v>
      </c>
      <c r="F4797" t="s">
        <v>428</v>
      </c>
      <c r="G4797" t="s">
        <v>428</v>
      </c>
      <c r="H4797" t="s">
        <v>5615</v>
      </c>
      <c r="I4797">
        <v>0</v>
      </c>
      <c r="J4797" t="s">
        <v>87</v>
      </c>
      <c r="K4797">
        <v>0</v>
      </c>
      <c r="L4797">
        <v>0</v>
      </c>
    </row>
    <row r="4798" spans="1:12">
      <c r="A4798" s="93">
        <v>475228</v>
      </c>
      <c r="B4798" t="s">
        <v>5258</v>
      </c>
      <c r="C4798" t="s">
        <v>5607</v>
      </c>
      <c r="D4798" s="92" t="s">
        <v>428</v>
      </c>
      <c r="E4798" s="92" t="s">
        <v>428</v>
      </c>
      <c r="F4798" t="s">
        <v>428</v>
      </c>
      <c r="G4798" t="s">
        <v>428</v>
      </c>
      <c r="H4798" t="s">
        <v>5615</v>
      </c>
      <c r="I4798">
        <v>0</v>
      </c>
      <c r="J4798" t="s">
        <v>87</v>
      </c>
      <c r="K4798">
        <v>0</v>
      </c>
      <c r="L4798">
        <v>0</v>
      </c>
    </row>
    <row r="4799" spans="1:12">
      <c r="A4799" s="93">
        <v>475237</v>
      </c>
      <c r="B4799" t="s">
        <v>5259</v>
      </c>
      <c r="C4799" t="s">
        <v>5604</v>
      </c>
      <c r="D4799" s="92">
        <v>0.6899999999999999</v>
      </c>
      <c r="E4799" s="92">
        <v>0.64</v>
      </c>
      <c r="F4799" t="s">
        <v>428</v>
      </c>
      <c r="G4799" t="s">
        <v>428</v>
      </c>
      <c r="H4799" t="s">
        <v>5615</v>
      </c>
      <c r="I4799">
        <v>0</v>
      </c>
      <c r="J4799" t="s">
        <v>87</v>
      </c>
      <c r="K4799">
        <v>0</v>
      </c>
      <c r="L4799">
        <v>0</v>
      </c>
    </row>
    <row r="4800" spans="1:12">
      <c r="A4800" s="93">
        <v>475273</v>
      </c>
      <c r="B4800" t="s">
        <v>5260</v>
      </c>
      <c r="C4800" t="s">
        <v>5607</v>
      </c>
      <c r="D4800" s="92" t="s">
        <v>428</v>
      </c>
      <c r="E4800" s="92" t="s">
        <v>428</v>
      </c>
      <c r="F4800" t="s">
        <v>428</v>
      </c>
      <c r="G4800" t="s">
        <v>428</v>
      </c>
      <c r="H4800" t="s">
        <v>5615</v>
      </c>
      <c r="I4800">
        <v>0</v>
      </c>
      <c r="J4800" t="s">
        <v>87</v>
      </c>
      <c r="K4800">
        <v>0</v>
      </c>
      <c r="L4800">
        <v>0</v>
      </c>
    </row>
    <row r="4801" spans="1:12">
      <c r="A4801" s="93">
        <v>475291</v>
      </c>
      <c r="B4801" t="s">
        <v>5261</v>
      </c>
      <c r="C4801" t="s">
        <v>5607</v>
      </c>
      <c r="D4801" s="92">
        <v>0.28</v>
      </c>
      <c r="E4801" s="92">
        <v>0</v>
      </c>
      <c r="F4801" t="s">
        <v>428</v>
      </c>
      <c r="G4801" t="s">
        <v>428</v>
      </c>
      <c r="H4801" t="s">
        <v>5617</v>
      </c>
      <c r="I4801">
        <v>0</v>
      </c>
      <c r="J4801" t="s">
        <v>87</v>
      </c>
      <c r="K4801">
        <v>0</v>
      </c>
      <c r="L4801">
        <v>0</v>
      </c>
    </row>
    <row r="4802" spans="1:12">
      <c r="A4802" s="93">
        <v>475352</v>
      </c>
      <c r="B4802" t="s">
        <v>5262</v>
      </c>
      <c r="C4802" t="s">
        <v>5606</v>
      </c>
      <c r="D4802" s="92" t="s">
        <v>428</v>
      </c>
      <c r="E4802" s="92" t="s">
        <v>428</v>
      </c>
      <c r="F4802" t="s">
        <v>428</v>
      </c>
      <c r="G4802" t="s">
        <v>428</v>
      </c>
      <c r="H4802" t="s">
        <v>5617</v>
      </c>
      <c r="I4802">
        <v>0</v>
      </c>
      <c r="J4802" t="s">
        <v>87</v>
      </c>
      <c r="K4802">
        <v>0</v>
      </c>
      <c r="L4802">
        <v>0</v>
      </c>
    </row>
    <row r="4803" spans="1:12">
      <c r="A4803" s="93">
        <v>475370</v>
      </c>
      <c r="B4803" t="s">
        <v>5263</v>
      </c>
      <c r="C4803" t="s">
        <v>5606</v>
      </c>
      <c r="D4803" s="92" t="s">
        <v>428</v>
      </c>
      <c r="E4803" s="92" t="s">
        <v>428</v>
      </c>
      <c r="F4803" t="s">
        <v>428</v>
      </c>
      <c r="G4803" t="s">
        <v>428</v>
      </c>
      <c r="H4803" t="s">
        <v>5617</v>
      </c>
      <c r="I4803">
        <v>0</v>
      </c>
      <c r="J4803" t="s">
        <v>87</v>
      </c>
      <c r="K4803">
        <v>0</v>
      </c>
      <c r="L4803">
        <v>0</v>
      </c>
    </row>
    <row r="4804" spans="1:12">
      <c r="A4804" s="93">
        <v>475398</v>
      </c>
      <c r="B4804" t="s">
        <v>5264</v>
      </c>
      <c r="C4804" t="s">
        <v>5604</v>
      </c>
      <c r="D4804" s="92" t="s">
        <v>428</v>
      </c>
      <c r="E4804" s="92" t="s">
        <v>428</v>
      </c>
      <c r="F4804" t="s">
        <v>428</v>
      </c>
      <c r="G4804" t="s">
        <v>428</v>
      </c>
      <c r="H4804" t="s">
        <v>5615</v>
      </c>
      <c r="I4804">
        <v>0</v>
      </c>
      <c r="J4804" t="s">
        <v>87</v>
      </c>
      <c r="K4804">
        <v>0</v>
      </c>
      <c r="L4804">
        <v>0</v>
      </c>
    </row>
    <row r="4805" spans="1:12">
      <c r="A4805" s="93">
        <v>475422</v>
      </c>
      <c r="B4805" t="s">
        <v>5265</v>
      </c>
      <c r="C4805" t="s">
        <v>5606</v>
      </c>
      <c r="D4805" s="92" t="s">
        <v>428</v>
      </c>
      <c r="E4805" s="92" t="s">
        <v>428</v>
      </c>
      <c r="F4805" t="s">
        <v>428</v>
      </c>
      <c r="G4805" t="s">
        <v>428</v>
      </c>
      <c r="H4805" t="s">
        <v>5624</v>
      </c>
      <c r="I4805">
        <v>1</v>
      </c>
      <c r="J4805" t="s">
        <v>87</v>
      </c>
      <c r="K4805">
        <v>0</v>
      </c>
      <c r="L4805">
        <v>0</v>
      </c>
    </row>
    <row r="4806" spans="1:12">
      <c r="A4806" s="93">
        <v>475477</v>
      </c>
      <c r="B4806" t="s">
        <v>5266</v>
      </c>
      <c r="C4806" t="s">
        <v>5606</v>
      </c>
      <c r="D4806" s="92" t="s">
        <v>428</v>
      </c>
      <c r="E4806" s="92" t="s">
        <v>428</v>
      </c>
      <c r="F4806" t="s">
        <v>428</v>
      </c>
      <c r="G4806" t="s">
        <v>428</v>
      </c>
      <c r="H4806" t="s">
        <v>5617</v>
      </c>
      <c r="I4806">
        <v>0</v>
      </c>
      <c r="J4806" t="s">
        <v>87</v>
      </c>
      <c r="K4806">
        <v>0</v>
      </c>
      <c r="L4806">
        <v>0</v>
      </c>
    </row>
    <row r="4807" spans="1:12">
      <c r="A4807" s="93">
        <v>475495</v>
      </c>
      <c r="B4807" t="s">
        <v>5267</v>
      </c>
      <c r="C4807" t="s">
        <v>5607</v>
      </c>
      <c r="D4807" s="92" t="s">
        <v>428</v>
      </c>
      <c r="E4807" s="92" t="s">
        <v>428</v>
      </c>
      <c r="F4807" t="s">
        <v>428</v>
      </c>
      <c r="G4807" t="s">
        <v>428</v>
      </c>
      <c r="H4807" t="s">
        <v>5615</v>
      </c>
      <c r="I4807">
        <v>0</v>
      </c>
      <c r="J4807" t="s">
        <v>87</v>
      </c>
      <c r="K4807">
        <v>0</v>
      </c>
      <c r="L4807">
        <v>0</v>
      </c>
    </row>
    <row r="4808" spans="1:12">
      <c r="A4808" s="93">
        <v>475510</v>
      </c>
      <c r="B4808" t="s">
        <v>5268</v>
      </c>
      <c r="C4808" t="s">
        <v>5607</v>
      </c>
      <c r="D4808" s="92" t="s">
        <v>428</v>
      </c>
      <c r="E4808" s="92" t="s">
        <v>428</v>
      </c>
      <c r="F4808" t="s">
        <v>428</v>
      </c>
      <c r="G4808" t="s">
        <v>428</v>
      </c>
      <c r="H4808" t="s">
        <v>5615</v>
      </c>
      <c r="I4808">
        <v>0</v>
      </c>
      <c r="J4808" t="s">
        <v>87</v>
      </c>
      <c r="K4808">
        <v>0</v>
      </c>
      <c r="L4808">
        <v>0</v>
      </c>
    </row>
    <row r="4809" spans="1:12">
      <c r="A4809" s="93">
        <v>475565</v>
      </c>
      <c r="B4809" t="s">
        <v>5269</v>
      </c>
      <c r="C4809" t="s">
        <v>5606</v>
      </c>
      <c r="D4809" s="92">
        <v>0.58</v>
      </c>
      <c r="E4809" s="92">
        <v>0.57</v>
      </c>
      <c r="F4809" t="s">
        <v>428</v>
      </c>
      <c r="G4809" t="s">
        <v>428</v>
      </c>
      <c r="H4809" t="s">
        <v>5615</v>
      </c>
      <c r="I4809">
        <v>0</v>
      </c>
      <c r="J4809" t="s">
        <v>87</v>
      </c>
      <c r="K4809">
        <v>0</v>
      </c>
      <c r="L4809">
        <v>0</v>
      </c>
    </row>
    <row r="4810" spans="1:12">
      <c r="A4810" s="93">
        <v>475583</v>
      </c>
      <c r="B4810" t="s">
        <v>1669</v>
      </c>
      <c r="C4810" t="s">
        <v>5606</v>
      </c>
      <c r="D4810" s="92" t="s">
        <v>428</v>
      </c>
      <c r="E4810" s="92" t="s">
        <v>428</v>
      </c>
      <c r="F4810" t="s">
        <v>428</v>
      </c>
      <c r="G4810" t="s">
        <v>428</v>
      </c>
      <c r="H4810" t="s">
        <v>5617</v>
      </c>
      <c r="I4810">
        <v>0</v>
      </c>
      <c r="J4810" t="s">
        <v>87</v>
      </c>
      <c r="K4810">
        <v>0</v>
      </c>
      <c r="L4810">
        <v>0</v>
      </c>
    </row>
    <row r="4811" spans="1:12">
      <c r="A4811" s="93">
        <v>475592</v>
      </c>
      <c r="B4811" t="s">
        <v>5270</v>
      </c>
      <c r="C4811" t="s">
        <v>5606</v>
      </c>
      <c r="D4811" s="92" t="s">
        <v>428</v>
      </c>
      <c r="E4811" s="92" t="s">
        <v>428</v>
      </c>
      <c r="F4811" t="s">
        <v>428</v>
      </c>
      <c r="G4811" t="s">
        <v>428</v>
      </c>
      <c r="H4811" t="s">
        <v>5616</v>
      </c>
      <c r="I4811">
        <v>0</v>
      </c>
      <c r="J4811" t="s">
        <v>87</v>
      </c>
      <c r="K4811">
        <v>0</v>
      </c>
      <c r="L4811">
        <v>0</v>
      </c>
    </row>
    <row r="4812" spans="1:12">
      <c r="A4812" s="93">
        <v>475608</v>
      </c>
      <c r="B4812" t="s">
        <v>5271</v>
      </c>
      <c r="C4812" t="s">
        <v>5607</v>
      </c>
      <c r="D4812" s="92">
        <v>0.26</v>
      </c>
      <c r="E4812" s="92">
        <v>0.27</v>
      </c>
      <c r="F4812" t="s">
        <v>428</v>
      </c>
      <c r="G4812" t="s">
        <v>428</v>
      </c>
      <c r="H4812" t="s">
        <v>5617</v>
      </c>
      <c r="I4812">
        <v>0</v>
      </c>
      <c r="J4812" t="s">
        <v>87</v>
      </c>
      <c r="K4812">
        <v>0</v>
      </c>
      <c r="L4812">
        <v>0</v>
      </c>
    </row>
    <row r="4813" spans="1:12">
      <c r="A4813" s="93">
        <v>475617</v>
      </c>
      <c r="B4813" t="s">
        <v>5272</v>
      </c>
      <c r="C4813" t="s">
        <v>5606</v>
      </c>
      <c r="D4813" s="92" t="s">
        <v>428</v>
      </c>
      <c r="E4813" s="92" t="s">
        <v>428</v>
      </c>
      <c r="F4813" t="s">
        <v>428</v>
      </c>
      <c r="G4813" t="s">
        <v>428</v>
      </c>
      <c r="H4813" t="s">
        <v>5617</v>
      </c>
      <c r="I4813">
        <v>0</v>
      </c>
      <c r="J4813" t="s">
        <v>87</v>
      </c>
      <c r="K4813">
        <v>0</v>
      </c>
      <c r="L4813">
        <v>0</v>
      </c>
    </row>
    <row r="4814" spans="1:12">
      <c r="A4814" s="93">
        <v>475635</v>
      </c>
      <c r="B4814" t="s">
        <v>5273</v>
      </c>
      <c r="C4814" t="s">
        <v>5607</v>
      </c>
      <c r="D4814" s="92">
        <v>1</v>
      </c>
      <c r="E4814" s="92" t="s">
        <v>428</v>
      </c>
      <c r="F4814" t="s">
        <v>428</v>
      </c>
      <c r="G4814" t="s">
        <v>428</v>
      </c>
      <c r="H4814" t="s">
        <v>5617</v>
      </c>
      <c r="I4814">
        <v>0</v>
      </c>
      <c r="J4814" t="s">
        <v>87</v>
      </c>
      <c r="K4814">
        <v>0</v>
      </c>
      <c r="L4814">
        <v>0</v>
      </c>
    </row>
    <row r="4815" spans="1:12">
      <c r="A4815" s="93">
        <v>475699</v>
      </c>
      <c r="B4815" t="s">
        <v>5274</v>
      </c>
      <c r="C4815" t="s">
        <v>5604</v>
      </c>
      <c r="D4815" s="92" t="s">
        <v>428</v>
      </c>
      <c r="E4815" s="92" t="s">
        <v>428</v>
      </c>
      <c r="F4815" t="s">
        <v>428</v>
      </c>
      <c r="G4815" t="s">
        <v>428</v>
      </c>
      <c r="H4815" t="s">
        <v>5617</v>
      </c>
      <c r="I4815">
        <v>0</v>
      </c>
      <c r="J4815" t="s">
        <v>87</v>
      </c>
      <c r="K4815">
        <v>0</v>
      </c>
      <c r="L4815">
        <v>0</v>
      </c>
    </row>
    <row r="4816" spans="1:12">
      <c r="A4816" s="93">
        <v>475714</v>
      </c>
      <c r="B4816" t="s">
        <v>5275</v>
      </c>
      <c r="C4816" t="s">
        <v>5606</v>
      </c>
      <c r="D4816" s="92" t="s">
        <v>428</v>
      </c>
      <c r="E4816" s="92" t="s">
        <v>428</v>
      </c>
      <c r="F4816" t="s">
        <v>428</v>
      </c>
      <c r="G4816" t="s">
        <v>428</v>
      </c>
      <c r="H4816" t="s">
        <v>5615</v>
      </c>
      <c r="I4816">
        <v>0</v>
      </c>
      <c r="J4816" t="s">
        <v>87</v>
      </c>
      <c r="K4816">
        <v>0</v>
      </c>
      <c r="L4816">
        <v>0</v>
      </c>
    </row>
    <row r="4817" spans="1:12">
      <c r="A4817" s="93">
        <v>475732</v>
      </c>
      <c r="B4817" t="s">
        <v>5276</v>
      </c>
      <c r="C4817" t="s">
        <v>5607</v>
      </c>
      <c r="D4817" s="92" t="s">
        <v>428</v>
      </c>
      <c r="E4817" s="92" t="s">
        <v>428</v>
      </c>
      <c r="F4817" t="s">
        <v>428</v>
      </c>
      <c r="G4817" t="s">
        <v>428</v>
      </c>
      <c r="H4817" t="s">
        <v>5617</v>
      </c>
      <c r="I4817">
        <v>0</v>
      </c>
      <c r="J4817" t="s">
        <v>87</v>
      </c>
      <c r="K4817">
        <v>0</v>
      </c>
      <c r="L4817">
        <v>0</v>
      </c>
    </row>
    <row r="4818" spans="1:12">
      <c r="A4818" s="93">
        <v>475741</v>
      </c>
      <c r="B4818" t="s">
        <v>5277</v>
      </c>
      <c r="C4818" t="s">
        <v>5607</v>
      </c>
      <c r="D4818" s="92" t="s">
        <v>428</v>
      </c>
      <c r="E4818" s="92" t="s">
        <v>428</v>
      </c>
      <c r="F4818" t="s">
        <v>428</v>
      </c>
      <c r="G4818" t="s">
        <v>428</v>
      </c>
      <c r="H4818" t="s">
        <v>5617</v>
      </c>
      <c r="I4818">
        <v>0</v>
      </c>
      <c r="J4818" t="s">
        <v>87</v>
      </c>
      <c r="K4818">
        <v>0</v>
      </c>
      <c r="L4818">
        <v>0</v>
      </c>
    </row>
    <row r="4819" spans="1:12">
      <c r="A4819" s="93">
        <v>475750</v>
      </c>
      <c r="B4819" t="s">
        <v>5278</v>
      </c>
      <c r="C4819" t="s">
        <v>5606</v>
      </c>
      <c r="D4819" s="92">
        <v>0.73</v>
      </c>
      <c r="E4819" s="92">
        <v>0.75</v>
      </c>
      <c r="F4819" t="s">
        <v>428</v>
      </c>
      <c r="G4819" t="s">
        <v>428</v>
      </c>
      <c r="H4819" t="s">
        <v>5617</v>
      </c>
      <c r="I4819">
        <v>0</v>
      </c>
      <c r="J4819" t="s">
        <v>87</v>
      </c>
      <c r="K4819">
        <v>0</v>
      </c>
      <c r="L4819">
        <v>0</v>
      </c>
    </row>
    <row r="4820" spans="1:12">
      <c r="A4820" s="93">
        <v>475811</v>
      </c>
      <c r="B4820" t="s">
        <v>5279</v>
      </c>
      <c r="C4820" t="s">
        <v>5607</v>
      </c>
      <c r="D4820" s="92" t="s">
        <v>428</v>
      </c>
      <c r="E4820" s="92" t="s">
        <v>428</v>
      </c>
      <c r="F4820" t="s">
        <v>428</v>
      </c>
      <c r="G4820" t="s">
        <v>428</v>
      </c>
      <c r="H4820" t="s">
        <v>5615</v>
      </c>
      <c r="I4820">
        <v>0</v>
      </c>
      <c r="J4820" t="s">
        <v>87</v>
      </c>
      <c r="K4820">
        <v>0</v>
      </c>
      <c r="L4820">
        <v>0</v>
      </c>
    </row>
    <row r="4821" spans="1:12">
      <c r="A4821" s="93">
        <v>475839</v>
      </c>
      <c r="B4821" t="s">
        <v>5280</v>
      </c>
      <c r="C4821" t="s">
        <v>5606</v>
      </c>
      <c r="D4821" s="92" t="s">
        <v>428</v>
      </c>
      <c r="E4821" s="92" t="s">
        <v>428</v>
      </c>
      <c r="F4821" t="s">
        <v>428</v>
      </c>
      <c r="G4821" t="s">
        <v>428</v>
      </c>
      <c r="H4821" t="s">
        <v>5616</v>
      </c>
      <c r="I4821">
        <v>0</v>
      </c>
      <c r="J4821" t="s">
        <v>87</v>
      </c>
      <c r="K4821">
        <v>0</v>
      </c>
      <c r="L4821">
        <v>0</v>
      </c>
    </row>
    <row r="4822" spans="1:12">
      <c r="A4822" s="93">
        <v>475866</v>
      </c>
      <c r="B4822" t="s">
        <v>5281</v>
      </c>
      <c r="C4822" t="s">
        <v>5606</v>
      </c>
      <c r="D4822" s="92" t="s">
        <v>428</v>
      </c>
      <c r="E4822" s="92" t="s">
        <v>428</v>
      </c>
      <c r="F4822" t="s">
        <v>428</v>
      </c>
      <c r="G4822" t="s">
        <v>428</v>
      </c>
      <c r="H4822" t="s">
        <v>5617</v>
      </c>
      <c r="I4822">
        <v>0</v>
      </c>
      <c r="J4822" t="s">
        <v>87</v>
      </c>
      <c r="K4822">
        <v>0</v>
      </c>
      <c r="L4822">
        <v>0</v>
      </c>
    </row>
    <row r="4823" spans="1:12">
      <c r="A4823" s="93">
        <v>476337</v>
      </c>
      <c r="B4823" t="s">
        <v>5282</v>
      </c>
      <c r="C4823" t="s">
        <v>5606</v>
      </c>
      <c r="D4823" s="92" t="s">
        <v>428</v>
      </c>
      <c r="E4823" s="92" t="s">
        <v>428</v>
      </c>
      <c r="F4823" t="s">
        <v>428</v>
      </c>
      <c r="G4823" t="s">
        <v>428</v>
      </c>
      <c r="H4823" t="s">
        <v>5617</v>
      </c>
      <c r="I4823">
        <v>0</v>
      </c>
      <c r="J4823" t="s">
        <v>87</v>
      </c>
      <c r="K4823">
        <v>0</v>
      </c>
      <c r="L4823">
        <v>0</v>
      </c>
    </row>
    <row r="4824" spans="1:12">
      <c r="A4824" s="93">
        <v>476355</v>
      </c>
      <c r="B4824" t="s">
        <v>5283</v>
      </c>
      <c r="C4824" t="s">
        <v>5606</v>
      </c>
      <c r="D4824" s="92" t="s">
        <v>428</v>
      </c>
      <c r="E4824" s="92" t="s">
        <v>428</v>
      </c>
      <c r="F4824" t="s">
        <v>428</v>
      </c>
      <c r="G4824" t="s">
        <v>428</v>
      </c>
      <c r="H4824" t="s">
        <v>5615</v>
      </c>
      <c r="I4824">
        <v>0</v>
      </c>
      <c r="J4824" t="s">
        <v>87</v>
      </c>
      <c r="K4824">
        <v>0</v>
      </c>
      <c r="L4824">
        <v>0</v>
      </c>
    </row>
    <row r="4825" spans="1:12">
      <c r="A4825" s="93">
        <v>476601</v>
      </c>
      <c r="B4825" t="s">
        <v>5284</v>
      </c>
      <c r="C4825" t="s">
        <v>5607</v>
      </c>
      <c r="D4825" s="92" t="s">
        <v>428</v>
      </c>
      <c r="E4825" s="92" t="s">
        <v>428</v>
      </c>
      <c r="F4825" t="s">
        <v>428</v>
      </c>
      <c r="G4825" t="s">
        <v>428</v>
      </c>
      <c r="H4825" t="s">
        <v>5624</v>
      </c>
      <c r="I4825">
        <v>1</v>
      </c>
      <c r="J4825" t="s">
        <v>87</v>
      </c>
      <c r="K4825">
        <v>0</v>
      </c>
      <c r="L4825">
        <v>0</v>
      </c>
    </row>
    <row r="4826" spans="1:12">
      <c r="A4826" s="93">
        <v>476629</v>
      </c>
      <c r="B4826" t="s">
        <v>5285</v>
      </c>
      <c r="C4826" t="s">
        <v>5606</v>
      </c>
      <c r="D4826" s="92" t="s">
        <v>428</v>
      </c>
      <c r="E4826" s="92" t="s">
        <v>428</v>
      </c>
      <c r="F4826" t="s">
        <v>428</v>
      </c>
      <c r="G4826" t="s">
        <v>428</v>
      </c>
      <c r="H4826" t="s">
        <v>5616</v>
      </c>
      <c r="I4826">
        <v>0</v>
      </c>
      <c r="J4826" t="s">
        <v>87</v>
      </c>
      <c r="K4826">
        <v>0</v>
      </c>
      <c r="L4826">
        <v>0</v>
      </c>
    </row>
    <row r="4827" spans="1:12">
      <c r="A4827" s="93">
        <v>476692</v>
      </c>
      <c r="B4827" t="s">
        <v>5286</v>
      </c>
      <c r="C4827" t="s">
        <v>5607</v>
      </c>
      <c r="D4827" s="92">
        <v>0.4</v>
      </c>
      <c r="E4827" s="92" t="s">
        <v>428</v>
      </c>
      <c r="F4827" t="s">
        <v>428</v>
      </c>
      <c r="G4827" t="s">
        <v>428</v>
      </c>
      <c r="H4827" t="s">
        <v>5615</v>
      </c>
      <c r="I4827">
        <v>0</v>
      </c>
      <c r="J4827" t="s">
        <v>87</v>
      </c>
      <c r="K4827">
        <v>0</v>
      </c>
      <c r="L4827">
        <v>0</v>
      </c>
    </row>
    <row r="4828" spans="1:12">
      <c r="A4828" s="93">
        <v>476717</v>
      </c>
      <c r="B4828" t="s">
        <v>5287</v>
      </c>
      <c r="C4828" t="s">
        <v>5607</v>
      </c>
      <c r="D4828" s="92">
        <v>0.64</v>
      </c>
      <c r="E4828" s="92" t="s">
        <v>428</v>
      </c>
      <c r="F4828" t="s">
        <v>428</v>
      </c>
      <c r="G4828" t="s">
        <v>428</v>
      </c>
      <c r="H4828" t="s">
        <v>5614</v>
      </c>
      <c r="I4828">
        <v>1</v>
      </c>
      <c r="J4828" t="s">
        <v>87</v>
      </c>
      <c r="K4828">
        <v>0</v>
      </c>
      <c r="L4828">
        <v>0</v>
      </c>
    </row>
    <row r="4829" spans="1:12">
      <c r="A4829" s="93">
        <v>476823</v>
      </c>
      <c r="B4829" t="s">
        <v>5288</v>
      </c>
      <c r="C4829" t="s">
        <v>5606</v>
      </c>
      <c r="D4829" s="92" t="s">
        <v>428</v>
      </c>
      <c r="E4829" s="92" t="s">
        <v>428</v>
      </c>
      <c r="F4829" t="s">
        <v>428</v>
      </c>
      <c r="G4829" t="s">
        <v>428</v>
      </c>
      <c r="H4829" t="s">
        <v>5616</v>
      </c>
      <c r="I4829">
        <v>0</v>
      </c>
      <c r="J4829" t="s">
        <v>87</v>
      </c>
      <c r="K4829">
        <v>0</v>
      </c>
      <c r="L4829">
        <v>0</v>
      </c>
    </row>
    <row r="4830" spans="1:12">
      <c r="A4830" s="93">
        <v>476850</v>
      </c>
      <c r="B4830" t="s">
        <v>5289</v>
      </c>
      <c r="C4830" t="s">
        <v>5606</v>
      </c>
      <c r="D4830" s="92" t="s">
        <v>428</v>
      </c>
      <c r="E4830" s="92" t="s">
        <v>428</v>
      </c>
      <c r="F4830" t="s">
        <v>428</v>
      </c>
      <c r="G4830" t="s">
        <v>428</v>
      </c>
      <c r="H4830" t="s">
        <v>5613</v>
      </c>
      <c r="I4830">
        <v>1</v>
      </c>
      <c r="J4830" t="s">
        <v>87</v>
      </c>
      <c r="K4830">
        <v>0</v>
      </c>
      <c r="L4830">
        <v>0</v>
      </c>
    </row>
    <row r="4831" spans="1:12">
      <c r="A4831" s="93">
        <v>476869</v>
      </c>
      <c r="B4831" t="s">
        <v>5290</v>
      </c>
      <c r="C4831" t="s">
        <v>5606</v>
      </c>
      <c r="D4831" s="92" t="s">
        <v>428</v>
      </c>
      <c r="E4831" s="92" t="s">
        <v>428</v>
      </c>
      <c r="F4831" t="s">
        <v>428</v>
      </c>
      <c r="G4831" t="s">
        <v>428</v>
      </c>
      <c r="H4831" t="s">
        <v>5617</v>
      </c>
      <c r="I4831">
        <v>0</v>
      </c>
      <c r="J4831" t="s">
        <v>87</v>
      </c>
      <c r="K4831">
        <v>0</v>
      </c>
      <c r="L4831">
        <v>0</v>
      </c>
    </row>
    <row r="4832" spans="1:12">
      <c r="A4832" s="93">
        <v>476948</v>
      </c>
      <c r="B4832" t="s">
        <v>5291</v>
      </c>
      <c r="C4832" t="s">
        <v>5606</v>
      </c>
      <c r="D4832" s="92" t="s">
        <v>428</v>
      </c>
      <c r="E4832" s="92" t="s">
        <v>428</v>
      </c>
      <c r="F4832" t="s">
        <v>428</v>
      </c>
      <c r="G4832" t="s">
        <v>428</v>
      </c>
      <c r="H4832" t="s">
        <v>5617</v>
      </c>
      <c r="I4832">
        <v>0</v>
      </c>
      <c r="J4832" t="s">
        <v>87</v>
      </c>
      <c r="K4832">
        <v>0</v>
      </c>
      <c r="L4832">
        <v>0</v>
      </c>
    </row>
    <row r="4833" spans="1:12">
      <c r="A4833" s="93">
        <v>476957</v>
      </c>
      <c r="B4833" t="s">
        <v>5292</v>
      </c>
      <c r="C4833" t="s">
        <v>5606</v>
      </c>
      <c r="D4833" s="92" t="s">
        <v>428</v>
      </c>
      <c r="E4833" s="92" t="s">
        <v>428</v>
      </c>
      <c r="F4833" t="s">
        <v>428</v>
      </c>
      <c r="G4833" t="s">
        <v>428</v>
      </c>
      <c r="H4833" t="s">
        <v>5613</v>
      </c>
      <c r="I4833">
        <v>1</v>
      </c>
      <c r="J4833" t="s">
        <v>87</v>
      </c>
      <c r="K4833">
        <v>0</v>
      </c>
      <c r="L4833">
        <v>0</v>
      </c>
    </row>
    <row r="4834" spans="1:12">
      <c r="A4834" s="93">
        <v>476975</v>
      </c>
      <c r="B4834" t="s">
        <v>5293</v>
      </c>
      <c r="C4834" t="s">
        <v>5607</v>
      </c>
      <c r="D4834" s="92" t="s">
        <v>428</v>
      </c>
      <c r="E4834" s="92" t="s">
        <v>428</v>
      </c>
      <c r="F4834" t="s">
        <v>428</v>
      </c>
      <c r="G4834" t="s">
        <v>428</v>
      </c>
      <c r="H4834" t="s">
        <v>5615</v>
      </c>
      <c r="I4834">
        <v>0</v>
      </c>
      <c r="J4834" t="s">
        <v>87</v>
      </c>
      <c r="K4834">
        <v>0</v>
      </c>
      <c r="L4834">
        <v>0</v>
      </c>
    </row>
    <row r="4835" spans="1:12">
      <c r="A4835" s="93">
        <v>477039</v>
      </c>
      <c r="B4835" t="s">
        <v>5294</v>
      </c>
      <c r="C4835" t="s">
        <v>5607</v>
      </c>
      <c r="D4835" s="92" t="s">
        <v>428</v>
      </c>
      <c r="E4835" s="92" t="s">
        <v>428</v>
      </c>
      <c r="F4835" t="s">
        <v>428</v>
      </c>
      <c r="G4835" t="s">
        <v>428</v>
      </c>
      <c r="H4835" t="s">
        <v>5617</v>
      </c>
      <c r="I4835">
        <v>0</v>
      </c>
      <c r="J4835" t="s">
        <v>87</v>
      </c>
      <c r="K4835">
        <v>0</v>
      </c>
      <c r="L4835">
        <v>0</v>
      </c>
    </row>
    <row r="4836" spans="1:12">
      <c r="A4836" s="93">
        <v>477950</v>
      </c>
      <c r="B4836" t="s">
        <v>3720</v>
      </c>
      <c r="C4836" t="s">
        <v>5604</v>
      </c>
      <c r="D4836" s="92" t="s">
        <v>428</v>
      </c>
      <c r="E4836" s="92" t="s">
        <v>428</v>
      </c>
      <c r="F4836" t="s">
        <v>428</v>
      </c>
      <c r="G4836" t="s">
        <v>428</v>
      </c>
      <c r="H4836" t="s">
        <v>5617</v>
      </c>
      <c r="I4836">
        <v>0</v>
      </c>
      <c r="J4836" t="s">
        <v>87</v>
      </c>
      <c r="K4836">
        <v>0</v>
      </c>
      <c r="L4836">
        <v>0</v>
      </c>
    </row>
    <row r="4837" spans="1:12">
      <c r="A4837" s="93">
        <v>477996</v>
      </c>
      <c r="B4837" t="s">
        <v>5295</v>
      </c>
      <c r="C4837" t="s">
        <v>5604</v>
      </c>
      <c r="D4837" s="92" t="s">
        <v>428</v>
      </c>
      <c r="E4837" s="92" t="s">
        <v>428</v>
      </c>
      <c r="F4837" t="s">
        <v>428</v>
      </c>
      <c r="G4837" t="s">
        <v>428</v>
      </c>
      <c r="H4837" t="s">
        <v>5617</v>
      </c>
      <c r="I4837">
        <v>0</v>
      </c>
      <c r="J4837" t="s">
        <v>87</v>
      </c>
      <c r="K4837">
        <v>0</v>
      </c>
      <c r="L4837">
        <v>0</v>
      </c>
    </row>
    <row r="4838" spans="1:12">
      <c r="A4838" s="93">
        <v>478005</v>
      </c>
      <c r="B4838" t="s">
        <v>5296</v>
      </c>
      <c r="C4838" t="s">
        <v>5604</v>
      </c>
      <c r="D4838" s="92" t="s">
        <v>428</v>
      </c>
      <c r="E4838" s="92" t="s">
        <v>428</v>
      </c>
      <c r="F4838" t="s">
        <v>428</v>
      </c>
      <c r="G4838" t="s">
        <v>428</v>
      </c>
      <c r="H4838" t="s">
        <v>5617</v>
      </c>
      <c r="I4838">
        <v>0</v>
      </c>
      <c r="J4838" t="s">
        <v>87</v>
      </c>
      <c r="K4838">
        <v>0</v>
      </c>
      <c r="L4838">
        <v>0</v>
      </c>
    </row>
    <row r="4839" spans="1:12">
      <c r="A4839" s="93">
        <v>478014</v>
      </c>
      <c r="B4839" t="s">
        <v>5297</v>
      </c>
      <c r="C4839" t="s">
        <v>5604</v>
      </c>
      <c r="D4839" s="92" t="s">
        <v>428</v>
      </c>
      <c r="E4839" s="92" t="s">
        <v>428</v>
      </c>
      <c r="F4839" t="s">
        <v>428</v>
      </c>
      <c r="G4839" t="s">
        <v>428</v>
      </c>
      <c r="H4839" t="s">
        <v>5615</v>
      </c>
      <c r="I4839">
        <v>0</v>
      </c>
      <c r="J4839" t="s">
        <v>87</v>
      </c>
      <c r="K4839">
        <v>0</v>
      </c>
      <c r="L4839">
        <v>0</v>
      </c>
    </row>
    <row r="4840" spans="1:12">
      <c r="A4840" s="93">
        <v>478634</v>
      </c>
      <c r="B4840" t="s">
        <v>5298</v>
      </c>
      <c r="C4840" t="s">
        <v>5604</v>
      </c>
      <c r="D4840" s="92" t="s">
        <v>428</v>
      </c>
      <c r="E4840" s="92" t="s">
        <v>428</v>
      </c>
      <c r="F4840" t="s">
        <v>428</v>
      </c>
      <c r="G4840" t="s">
        <v>428</v>
      </c>
      <c r="H4840" t="s">
        <v>5617</v>
      </c>
      <c r="I4840">
        <v>0</v>
      </c>
      <c r="J4840" t="s">
        <v>87</v>
      </c>
      <c r="K4840">
        <v>0</v>
      </c>
      <c r="L4840">
        <v>0</v>
      </c>
    </row>
    <row r="4841" spans="1:12">
      <c r="A4841" s="93">
        <v>479248</v>
      </c>
      <c r="B4841" t="s">
        <v>847</v>
      </c>
      <c r="C4841" t="s">
        <v>5606</v>
      </c>
      <c r="D4841" s="92">
        <v>0.65</v>
      </c>
      <c r="E4841" s="92">
        <v>0.6</v>
      </c>
      <c r="F4841" t="s">
        <v>428</v>
      </c>
      <c r="G4841" t="s">
        <v>428</v>
      </c>
      <c r="H4841" t="s">
        <v>5613</v>
      </c>
      <c r="I4841">
        <v>1</v>
      </c>
      <c r="J4841" t="s">
        <v>87</v>
      </c>
      <c r="K4841">
        <v>0</v>
      </c>
      <c r="L4841">
        <v>0</v>
      </c>
    </row>
    <row r="4842" spans="1:12">
      <c r="A4842" s="93">
        <v>479549</v>
      </c>
      <c r="B4842" t="s">
        <v>5299</v>
      </c>
      <c r="C4842" t="s">
        <v>5606</v>
      </c>
      <c r="D4842" s="92" t="s">
        <v>428</v>
      </c>
      <c r="E4842" s="92" t="s">
        <v>428</v>
      </c>
      <c r="F4842" t="s">
        <v>428</v>
      </c>
      <c r="G4842" t="s">
        <v>428</v>
      </c>
      <c r="H4842" t="s">
        <v>5617</v>
      </c>
      <c r="I4842">
        <v>0</v>
      </c>
      <c r="J4842" t="s">
        <v>87</v>
      </c>
      <c r="K4842">
        <v>0</v>
      </c>
      <c r="L4842">
        <v>0</v>
      </c>
    </row>
    <row r="4843" spans="1:12">
      <c r="A4843" s="93">
        <v>479558</v>
      </c>
      <c r="B4843" t="s">
        <v>5300</v>
      </c>
      <c r="C4843" t="s">
        <v>5606</v>
      </c>
      <c r="D4843" s="92" t="s">
        <v>428</v>
      </c>
      <c r="E4843" s="92" t="s">
        <v>428</v>
      </c>
      <c r="F4843" t="s">
        <v>428</v>
      </c>
      <c r="G4843" t="s">
        <v>428</v>
      </c>
      <c r="H4843" t="s">
        <v>5617</v>
      </c>
      <c r="I4843">
        <v>0</v>
      </c>
      <c r="J4843" t="s">
        <v>87</v>
      </c>
      <c r="K4843">
        <v>0</v>
      </c>
      <c r="L4843">
        <v>0</v>
      </c>
    </row>
    <row r="4844" spans="1:12">
      <c r="A4844" s="93">
        <v>479594</v>
      </c>
      <c r="B4844" t="s">
        <v>5301</v>
      </c>
      <c r="C4844" t="s">
        <v>5607</v>
      </c>
      <c r="D4844" s="92" t="s">
        <v>428</v>
      </c>
      <c r="E4844" s="92" t="s">
        <v>428</v>
      </c>
      <c r="F4844" t="s">
        <v>428</v>
      </c>
      <c r="G4844" t="s">
        <v>428</v>
      </c>
      <c r="H4844" t="s">
        <v>5617</v>
      </c>
      <c r="I4844">
        <v>0</v>
      </c>
      <c r="J4844" t="s">
        <v>87</v>
      </c>
      <c r="K4844">
        <v>0</v>
      </c>
      <c r="L4844">
        <v>0</v>
      </c>
    </row>
    <row r="4845" spans="1:12">
      <c r="A4845" s="93">
        <v>479600</v>
      </c>
      <c r="B4845" t="s">
        <v>5129</v>
      </c>
      <c r="C4845" t="s">
        <v>5607</v>
      </c>
      <c r="D4845" s="92" t="s">
        <v>428</v>
      </c>
      <c r="E4845" s="92" t="s">
        <v>428</v>
      </c>
      <c r="F4845" t="s">
        <v>428</v>
      </c>
      <c r="G4845" t="s">
        <v>428</v>
      </c>
      <c r="H4845" t="s">
        <v>5617</v>
      </c>
      <c r="I4845">
        <v>0</v>
      </c>
      <c r="J4845" t="s">
        <v>87</v>
      </c>
      <c r="K4845">
        <v>0</v>
      </c>
      <c r="L4845">
        <v>0</v>
      </c>
    </row>
    <row r="4846" spans="1:12">
      <c r="A4846" s="93">
        <v>479628</v>
      </c>
      <c r="B4846" t="s">
        <v>5302</v>
      </c>
      <c r="C4846" t="s">
        <v>5607</v>
      </c>
      <c r="D4846" s="92" t="s">
        <v>428</v>
      </c>
      <c r="E4846" s="92" t="s">
        <v>428</v>
      </c>
      <c r="F4846" t="s">
        <v>428</v>
      </c>
      <c r="G4846" t="s">
        <v>428</v>
      </c>
      <c r="H4846" t="s">
        <v>5617</v>
      </c>
      <c r="I4846">
        <v>0</v>
      </c>
      <c r="J4846" t="s">
        <v>87</v>
      </c>
      <c r="K4846">
        <v>0</v>
      </c>
      <c r="L4846">
        <v>0</v>
      </c>
    </row>
    <row r="4847" spans="1:12">
      <c r="A4847" s="93">
        <v>479637</v>
      </c>
      <c r="B4847" t="s">
        <v>5303</v>
      </c>
      <c r="C4847" t="s">
        <v>5607</v>
      </c>
      <c r="D4847" s="92" t="s">
        <v>428</v>
      </c>
      <c r="E4847" s="92" t="s">
        <v>428</v>
      </c>
      <c r="F4847" t="s">
        <v>428</v>
      </c>
      <c r="G4847" t="s">
        <v>428</v>
      </c>
      <c r="H4847" t="s">
        <v>5617</v>
      </c>
      <c r="I4847">
        <v>0</v>
      </c>
      <c r="J4847" t="s">
        <v>87</v>
      </c>
      <c r="K4847">
        <v>0</v>
      </c>
      <c r="L4847">
        <v>0</v>
      </c>
    </row>
    <row r="4848" spans="1:12">
      <c r="A4848" s="93">
        <v>479646</v>
      </c>
      <c r="B4848" t="s">
        <v>5304</v>
      </c>
      <c r="C4848" t="s">
        <v>5607</v>
      </c>
      <c r="D4848" s="92" t="s">
        <v>428</v>
      </c>
      <c r="E4848" s="92" t="s">
        <v>428</v>
      </c>
      <c r="F4848" t="s">
        <v>428</v>
      </c>
      <c r="G4848" t="s">
        <v>428</v>
      </c>
      <c r="H4848" t="s">
        <v>5617</v>
      </c>
      <c r="I4848">
        <v>0</v>
      </c>
      <c r="J4848" t="s">
        <v>87</v>
      </c>
      <c r="K4848">
        <v>0</v>
      </c>
      <c r="L4848">
        <v>0</v>
      </c>
    </row>
    <row r="4849" spans="1:12">
      <c r="A4849" s="93">
        <v>479956</v>
      </c>
      <c r="B4849" t="s">
        <v>5305</v>
      </c>
      <c r="C4849" t="s">
        <v>5605</v>
      </c>
      <c r="D4849" s="92">
        <v>0.24</v>
      </c>
      <c r="E4849" s="92">
        <v>0.33</v>
      </c>
      <c r="F4849" t="s">
        <v>428</v>
      </c>
      <c r="G4849" t="s">
        <v>428</v>
      </c>
      <c r="H4849" t="s">
        <v>5615</v>
      </c>
      <c r="I4849">
        <v>0</v>
      </c>
      <c r="J4849" t="s">
        <v>87</v>
      </c>
      <c r="K4849">
        <v>0</v>
      </c>
      <c r="L4849">
        <v>0</v>
      </c>
    </row>
    <row r="4850" spans="1:12">
      <c r="A4850" s="93">
        <v>479965</v>
      </c>
      <c r="B4850" t="s">
        <v>5306</v>
      </c>
      <c r="C4850" t="s">
        <v>5606</v>
      </c>
      <c r="D4850" s="92" t="s">
        <v>428</v>
      </c>
      <c r="E4850" s="92" t="s">
        <v>428</v>
      </c>
      <c r="F4850" t="s">
        <v>428</v>
      </c>
      <c r="G4850" t="s">
        <v>428</v>
      </c>
      <c r="H4850" t="s">
        <v>5616</v>
      </c>
      <c r="I4850">
        <v>0</v>
      </c>
      <c r="J4850" t="s">
        <v>87</v>
      </c>
      <c r="K4850">
        <v>0</v>
      </c>
      <c r="L4850">
        <v>0</v>
      </c>
    </row>
    <row r="4851" spans="1:12">
      <c r="A4851" s="93">
        <v>479983</v>
      </c>
      <c r="B4851" t="s">
        <v>5307</v>
      </c>
      <c r="C4851" t="s">
        <v>5606</v>
      </c>
      <c r="D4851" s="92" t="s">
        <v>428</v>
      </c>
      <c r="E4851" s="92" t="s">
        <v>428</v>
      </c>
      <c r="F4851" t="s">
        <v>428</v>
      </c>
      <c r="G4851" t="s">
        <v>428</v>
      </c>
      <c r="H4851" t="s">
        <v>5617</v>
      </c>
      <c r="I4851">
        <v>0</v>
      </c>
      <c r="J4851" t="s">
        <v>87</v>
      </c>
      <c r="K4851">
        <v>0</v>
      </c>
      <c r="L4851">
        <v>0</v>
      </c>
    </row>
    <row r="4852" spans="1:12">
      <c r="A4852" s="93">
        <v>480064</v>
      </c>
      <c r="B4852" t="s">
        <v>5308</v>
      </c>
      <c r="C4852" t="s">
        <v>5604</v>
      </c>
      <c r="D4852" s="92" t="s">
        <v>428</v>
      </c>
      <c r="E4852" s="92" t="s">
        <v>428</v>
      </c>
      <c r="F4852" t="s">
        <v>428</v>
      </c>
      <c r="G4852" t="s">
        <v>428</v>
      </c>
      <c r="H4852" t="s">
        <v>5617</v>
      </c>
      <c r="I4852">
        <v>0</v>
      </c>
      <c r="J4852" t="s">
        <v>87</v>
      </c>
      <c r="K4852">
        <v>0</v>
      </c>
      <c r="L4852">
        <v>0</v>
      </c>
    </row>
    <row r="4853" spans="1:12">
      <c r="A4853" s="93">
        <v>480073</v>
      </c>
      <c r="B4853" t="s">
        <v>5309</v>
      </c>
      <c r="C4853" t="s">
        <v>5604</v>
      </c>
      <c r="D4853" s="92" t="s">
        <v>428</v>
      </c>
      <c r="E4853" s="92" t="s">
        <v>428</v>
      </c>
      <c r="F4853" t="s">
        <v>428</v>
      </c>
      <c r="G4853" t="s">
        <v>428</v>
      </c>
      <c r="H4853" t="s">
        <v>5617</v>
      </c>
      <c r="I4853">
        <v>0</v>
      </c>
      <c r="J4853" t="s">
        <v>87</v>
      </c>
      <c r="K4853">
        <v>0</v>
      </c>
      <c r="L4853">
        <v>0</v>
      </c>
    </row>
    <row r="4854" spans="1:12">
      <c r="A4854" s="93">
        <v>480082</v>
      </c>
      <c r="B4854" t="s">
        <v>5310</v>
      </c>
      <c r="C4854" t="s">
        <v>5604</v>
      </c>
      <c r="D4854" s="92" t="s">
        <v>428</v>
      </c>
      <c r="E4854" s="92" t="s">
        <v>428</v>
      </c>
      <c r="F4854" t="s">
        <v>428</v>
      </c>
      <c r="G4854" t="s">
        <v>428</v>
      </c>
      <c r="H4854" t="s">
        <v>5617</v>
      </c>
      <c r="I4854">
        <v>0</v>
      </c>
      <c r="J4854" t="s">
        <v>87</v>
      </c>
      <c r="K4854">
        <v>0</v>
      </c>
      <c r="L4854">
        <v>0</v>
      </c>
    </row>
    <row r="4855" spans="1:12">
      <c r="A4855" s="93">
        <v>480091</v>
      </c>
      <c r="B4855" t="s">
        <v>5311</v>
      </c>
      <c r="C4855" t="s">
        <v>5604</v>
      </c>
      <c r="D4855" s="92">
        <v>1</v>
      </c>
      <c r="E4855" s="92" t="s">
        <v>428</v>
      </c>
      <c r="F4855" t="s">
        <v>428</v>
      </c>
      <c r="G4855" t="s">
        <v>428</v>
      </c>
      <c r="H4855" t="s">
        <v>5616</v>
      </c>
      <c r="I4855">
        <v>0</v>
      </c>
      <c r="J4855" t="s">
        <v>87</v>
      </c>
      <c r="K4855">
        <v>0</v>
      </c>
      <c r="L4855">
        <v>0</v>
      </c>
    </row>
    <row r="4856" spans="1:12">
      <c r="A4856" s="93">
        <v>480107</v>
      </c>
      <c r="B4856" t="s">
        <v>5312</v>
      </c>
      <c r="C4856" t="s">
        <v>5606</v>
      </c>
      <c r="D4856" s="92" t="s">
        <v>428</v>
      </c>
      <c r="E4856" s="92" t="s">
        <v>428</v>
      </c>
      <c r="F4856" t="s">
        <v>428</v>
      </c>
      <c r="G4856" t="s">
        <v>428</v>
      </c>
      <c r="H4856" t="s">
        <v>5617</v>
      </c>
      <c r="I4856">
        <v>0</v>
      </c>
      <c r="J4856" t="s">
        <v>87</v>
      </c>
      <c r="K4856">
        <v>0</v>
      </c>
      <c r="L4856">
        <v>0</v>
      </c>
    </row>
    <row r="4857" spans="1:12">
      <c r="A4857" s="93">
        <v>480134</v>
      </c>
      <c r="B4857" t="s">
        <v>5313</v>
      </c>
      <c r="C4857" t="s">
        <v>5607</v>
      </c>
      <c r="D4857" s="92" t="s">
        <v>428</v>
      </c>
      <c r="E4857" s="92" t="s">
        <v>428</v>
      </c>
      <c r="F4857" t="s">
        <v>428</v>
      </c>
      <c r="G4857" t="s">
        <v>428</v>
      </c>
      <c r="H4857" t="s">
        <v>5615</v>
      </c>
      <c r="I4857">
        <v>0</v>
      </c>
      <c r="J4857" t="s">
        <v>87</v>
      </c>
      <c r="K4857">
        <v>0</v>
      </c>
      <c r="L4857">
        <v>0</v>
      </c>
    </row>
    <row r="4858" spans="1:12">
      <c r="A4858" s="93">
        <v>480161</v>
      </c>
      <c r="B4858" t="s">
        <v>5314</v>
      </c>
      <c r="C4858" t="s">
        <v>5606</v>
      </c>
      <c r="D4858" s="92" t="s">
        <v>428</v>
      </c>
      <c r="E4858" s="92" t="s">
        <v>428</v>
      </c>
      <c r="F4858" t="s">
        <v>428</v>
      </c>
      <c r="G4858" t="s">
        <v>428</v>
      </c>
      <c r="H4858" t="s">
        <v>5616</v>
      </c>
      <c r="I4858">
        <v>0</v>
      </c>
      <c r="J4858" t="s">
        <v>87</v>
      </c>
      <c r="K4858">
        <v>0</v>
      </c>
      <c r="L4858">
        <v>0</v>
      </c>
    </row>
    <row r="4859" spans="1:12">
      <c r="A4859" s="93">
        <v>480189</v>
      </c>
      <c r="B4859" t="s">
        <v>5315</v>
      </c>
      <c r="C4859" t="s">
        <v>5606</v>
      </c>
      <c r="D4859" s="92" t="s">
        <v>428</v>
      </c>
      <c r="E4859" s="92" t="s">
        <v>428</v>
      </c>
      <c r="F4859" t="s">
        <v>428</v>
      </c>
      <c r="G4859" t="s">
        <v>428</v>
      </c>
      <c r="H4859" t="s">
        <v>5616</v>
      </c>
      <c r="I4859">
        <v>0</v>
      </c>
      <c r="J4859" t="s">
        <v>87</v>
      </c>
      <c r="K4859">
        <v>0</v>
      </c>
      <c r="L4859">
        <v>0</v>
      </c>
    </row>
    <row r="4860" spans="1:12">
      <c r="A4860" s="93">
        <v>480198</v>
      </c>
      <c r="B4860" t="s">
        <v>5316</v>
      </c>
      <c r="C4860" t="s">
        <v>5604</v>
      </c>
      <c r="D4860" s="92">
        <v>0.39</v>
      </c>
      <c r="E4860" s="92">
        <v>0.75</v>
      </c>
      <c r="F4860" t="s">
        <v>428</v>
      </c>
      <c r="G4860" t="s">
        <v>428</v>
      </c>
      <c r="H4860" t="s">
        <v>5617</v>
      </c>
      <c r="I4860">
        <v>0</v>
      </c>
      <c r="J4860" t="s">
        <v>87</v>
      </c>
      <c r="K4860">
        <v>0</v>
      </c>
      <c r="L4860">
        <v>0</v>
      </c>
    </row>
    <row r="4861" spans="1:12">
      <c r="A4861" s="93">
        <v>480204</v>
      </c>
      <c r="B4861" t="s">
        <v>5317</v>
      </c>
      <c r="C4861" t="s">
        <v>5604</v>
      </c>
      <c r="D4861" s="92" t="s">
        <v>428</v>
      </c>
      <c r="E4861" s="92" t="s">
        <v>428</v>
      </c>
      <c r="F4861" t="s">
        <v>428</v>
      </c>
      <c r="G4861" t="s">
        <v>428</v>
      </c>
      <c r="H4861" t="s">
        <v>5617</v>
      </c>
      <c r="I4861">
        <v>0</v>
      </c>
      <c r="J4861" t="s">
        <v>87</v>
      </c>
      <c r="K4861">
        <v>0</v>
      </c>
      <c r="L4861">
        <v>0</v>
      </c>
    </row>
    <row r="4862" spans="1:12">
      <c r="A4862" s="93">
        <v>480301</v>
      </c>
      <c r="B4862" t="s">
        <v>5318</v>
      </c>
      <c r="C4862" t="s">
        <v>5607</v>
      </c>
      <c r="D4862" s="92" t="s">
        <v>428</v>
      </c>
      <c r="E4862" s="92" t="s">
        <v>428</v>
      </c>
      <c r="F4862" t="s">
        <v>428</v>
      </c>
      <c r="G4862" t="s">
        <v>428</v>
      </c>
      <c r="H4862" t="s">
        <v>5615</v>
      </c>
      <c r="I4862">
        <v>0</v>
      </c>
      <c r="J4862" t="s">
        <v>87</v>
      </c>
      <c r="K4862">
        <v>0</v>
      </c>
      <c r="L4862">
        <v>0</v>
      </c>
    </row>
    <row r="4863" spans="1:12">
      <c r="A4863" s="93">
        <v>480480</v>
      </c>
      <c r="B4863" t="s">
        <v>5319</v>
      </c>
      <c r="C4863" t="s">
        <v>5606</v>
      </c>
      <c r="D4863" s="92" t="s">
        <v>428</v>
      </c>
      <c r="E4863" s="92" t="s">
        <v>428</v>
      </c>
      <c r="F4863" t="s">
        <v>428</v>
      </c>
      <c r="G4863" t="s">
        <v>428</v>
      </c>
      <c r="H4863" t="s">
        <v>5617</v>
      </c>
      <c r="I4863">
        <v>0</v>
      </c>
      <c r="J4863" t="s">
        <v>87</v>
      </c>
      <c r="K4863">
        <v>0</v>
      </c>
      <c r="L4863">
        <v>0</v>
      </c>
    </row>
    <row r="4864" spans="1:12">
      <c r="A4864" s="93">
        <v>480499</v>
      </c>
      <c r="B4864" t="s">
        <v>5320</v>
      </c>
      <c r="C4864" t="s">
        <v>5607</v>
      </c>
      <c r="D4864" s="92" t="s">
        <v>428</v>
      </c>
      <c r="E4864" s="92" t="s">
        <v>428</v>
      </c>
      <c r="F4864" t="s">
        <v>428</v>
      </c>
      <c r="G4864" t="s">
        <v>428</v>
      </c>
      <c r="H4864" t="s">
        <v>5615</v>
      </c>
      <c r="I4864">
        <v>0</v>
      </c>
      <c r="J4864" t="s">
        <v>87</v>
      </c>
      <c r="K4864">
        <v>0</v>
      </c>
      <c r="L4864">
        <v>0</v>
      </c>
    </row>
    <row r="4865" spans="1:12">
      <c r="A4865" s="93">
        <v>480514</v>
      </c>
      <c r="B4865" t="s">
        <v>5321</v>
      </c>
      <c r="C4865" t="s">
        <v>5606</v>
      </c>
      <c r="D4865" s="92" t="s">
        <v>428</v>
      </c>
      <c r="E4865" s="92" t="s">
        <v>428</v>
      </c>
      <c r="F4865" t="s">
        <v>428</v>
      </c>
      <c r="G4865" t="s">
        <v>428</v>
      </c>
      <c r="H4865" t="s">
        <v>5617</v>
      </c>
      <c r="I4865">
        <v>0</v>
      </c>
      <c r="J4865" t="s">
        <v>87</v>
      </c>
      <c r="K4865">
        <v>0</v>
      </c>
      <c r="L4865">
        <v>0</v>
      </c>
    </row>
    <row r="4866" spans="1:12">
      <c r="A4866" s="93">
        <v>480550</v>
      </c>
      <c r="B4866" t="s">
        <v>5322</v>
      </c>
      <c r="C4866" t="s">
        <v>5606</v>
      </c>
      <c r="D4866" s="92" t="s">
        <v>428</v>
      </c>
      <c r="E4866" s="92" t="s">
        <v>428</v>
      </c>
      <c r="F4866" t="s">
        <v>428</v>
      </c>
      <c r="G4866" t="s">
        <v>428</v>
      </c>
      <c r="H4866" t="s">
        <v>5617</v>
      </c>
      <c r="I4866">
        <v>0</v>
      </c>
      <c r="J4866" t="s">
        <v>87</v>
      </c>
      <c r="K4866">
        <v>0</v>
      </c>
      <c r="L4866">
        <v>0</v>
      </c>
    </row>
    <row r="4867" spans="1:12">
      <c r="A4867" s="93">
        <v>480569</v>
      </c>
      <c r="B4867" t="s">
        <v>5323</v>
      </c>
      <c r="C4867" t="s">
        <v>5607</v>
      </c>
      <c r="D4867" s="92" t="s">
        <v>428</v>
      </c>
      <c r="E4867" s="92" t="s">
        <v>428</v>
      </c>
      <c r="F4867" t="s">
        <v>428</v>
      </c>
      <c r="G4867" t="s">
        <v>428</v>
      </c>
      <c r="H4867" t="s">
        <v>5615</v>
      </c>
      <c r="I4867">
        <v>0</v>
      </c>
      <c r="J4867" t="s">
        <v>87</v>
      </c>
      <c r="K4867">
        <v>0</v>
      </c>
      <c r="L4867">
        <v>0</v>
      </c>
    </row>
    <row r="4868" spans="1:12">
      <c r="A4868" s="93">
        <v>480657</v>
      </c>
      <c r="B4868" t="s">
        <v>5324</v>
      </c>
      <c r="C4868" t="s">
        <v>5604</v>
      </c>
      <c r="D4868" s="92" t="s">
        <v>428</v>
      </c>
      <c r="E4868" s="92" t="s">
        <v>428</v>
      </c>
      <c r="F4868" t="s">
        <v>428</v>
      </c>
      <c r="G4868" t="s">
        <v>428</v>
      </c>
      <c r="H4868" t="s">
        <v>5617</v>
      </c>
      <c r="I4868">
        <v>0</v>
      </c>
      <c r="J4868" t="s">
        <v>87</v>
      </c>
      <c r="K4868">
        <v>0</v>
      </c>
      <c r="L4868">
        <v>0</v>
      </c>
    </row>
    <row r="4869" spans="1:12">
      <c r="A4869" s="93">
        <v>480727</v>
      </c>
      <c r="B4869" t="s">
        <v>5325</v>
      </c>
      <c r="C4869" t="s">
        <v>5606</v>
      </c>
      <c r="D4869" s="92" t="s">
        <v>428</v>
      </c>
      <c r="E4869" s="92" t="s">
        <v>428</v>
      </c>
      <c r="F4869" t="s">
        <v>428</v>
      </c>
      <c r="G4869" t="s">
        <v>428</v>
      </c>
      <c r="H4869" t="s">
        <v>5616</v>
      </c>
      <c r="I4869">
        <v>0</v>
      </c>
      <c r="J4869" t="s">
        <v>87</v>
      </c>
      <c r="K4869">
        <v>0</v>
      </c>
      <c r="L4869">
        <v>0</v>
      </c>
    </row>
    <row r="4870" spans="1:12">
      <c r="A4870" s="93">
        <v>480781</v>
      </c>
      <c r="B4870" t="s">
        <v>5326</v>
      </c>
      <c r="C4870" t="s">
        <v>5604</v>
      </c>
      <c r="D4870" s="92" t="s">
        <v>428</v>
      </c>
      <c r="E4870" s="92" t="s">
        <v>428</v>
      </c>
      <c r="F4870" t="s">
        <v>428</v>
      </c>
      <c r="G4870" t="s">
        <v>428</v>
      </c>
      <c r="H4870" t="s">
        <v>5617</v>
      </c>
      <c r="I4870">
        <v>0</v>
      </c>
      <c r="J4870" t="s">
        <v>87</v>
      </c>
      <c r="K4870">
        <v>0</v>
      </c>
      <c r="L4870">
        <v>0</v>
      </c>
    </row>
    <row r="4871" spans="1:12">
      <c r="A4871" s="93">
        <v>480790</v>
      </c>
      <c r="B4871" t="s">
        <v>5327</v>
      </c>
      <c r="C4871" t="s">
        <v>5607</v>
      </c>
      <c r="D4871" s="92" t="s">
        <v>428</v>
      </c>
      <c r="E4871" s="92" t="s">
        <v>428</v>
      </c>
      <c r="F4871" t="s">
        <v>428</v>
      </c>
      <c r="G4871" t="s">
        <v>428</v>
      </c>
      <c r="H4871" t="s">
        <v>5615</v>
      </c>
      <c r="I4871">
        <v>0</v>
      </c>
      <c r="J4871" t="s">
        <v>87</v>
      </c>
      <c r="K4871">
        <v>0</v>
      </c>
      <c r="L4871">
        <v>0</v>
      </c>
    </row>
    <row r="4872" spans="1:12">
      <c r="A4872" s="93">
        <v>480815</v>
      </c>
      <c r="B4872" t="s">
        <v>5328</v>
      </c>
      <c r="C4872" t="s">
        <v>5606</v>
      </c>
      <c r="D4872" s="92" t="s">
        <v>428</v>
      </c>
      <c r="E4872" s="92" t="s">
        <v>428</v>
      </c>
      <c r="F4872" t="s">
        <v>428</v>
      </c>
      <c r="G4872" t="s">
        <v>428</v>
      </c>
      <c r="H4872" t="s">
        <v>5617</v>
      </c>
      <c r="I4872">
        <v>0</v>
      </c>
      <c r="J4872" t="s">
        <v>87</v>
      </c>
      <c r="K4872">
        <v>0</v>
      </c>
      <c r="L4872">
        <v>0</v>
      </c>
    </row>
    <row r="4873" spans="1:12">
      <c r="A4873" s="93">
        <v>480833</v>
      </c>
      <c r="B4873" t="s">
        <v>5329</v>
      </c>
      <c r="C4873" t="s">
        <v>5606</v>
      </c>
      <c r="D4873" s="92" t="s">
        <v>428</v>
      </c>
      <c r="E4873" s="92" t="s">
        <v>428</v>
      </c>
      <c r="F4873" t="s">
        <v>428</v>
      </c>
      <c r="G4873" t="s">
        <v>428</v>
      </c>
      <c r="H4873" t="s">
        <v>5617</v>
      </c>
      <c r="I4873">
        <v>0</v>
      </c>
      <c r="J4873" t="s">
        <v>87</v>
      </c>
      <c r="K4873">
        <v>0</v>
      </c>
      <c r="L4873">
        <v>0</v>
      </c>
    </row>
    <row r="4874" spans="1:12">
      <c r="A4874" s="93">
        <v>480912</v>
      </c>
      <c r="B4874" t="s">
        <v>5330</v>
      </c>
      <c r="C4874" t="s">
        <v>5607</v>
      </c>
      <c r="D4874" s="92">
        <v>0.33</v>
      </c>
      <c r="E4874" s="92" t="s">
        <v>428</v>
      </c>
      <c r="F4874" t="s">
        <v>428</v>
      </c>
      <c r="G4874" t="s">
        <v>428</v>
      </c>
      <c r="H4874" t="s">
        <v>5617</v>
      </c>
      <c r="I4874">
        <v>0</v>
      </c>
      <c r="J4874" t="s">
        <v>87</v>
      </c>
      <c r="K4874">
        <v>0</v>
      </c>
      <c r="L4874">
        <v>0</v>
      </c>
    </row>
    <row r="4875" spans="1:12">
      <c r="A4875" s="93">
        <v>480967</v>
      </c>
      <c r="B4875" t="s">
        <v>5331</v>
      </c>
      <c r="C4875" t="s">
        <v>5606</v>
      </c>
      <c r="D4875" s="92">
        <v>0.19</v>
      </c>
      <c r="E4875" s="92" t="s">
        <v>428</v>
      </c>
      <c r="F4875" t="s">
        <v>428</v>
      </c>
      <c r="G4875" t="s">
        <v>428</v>
      </c>
      <c r="H4875" t="s">
        <v>5615</v>
      </c>
      <c r="I4875">
        <v>0</v>
      </c>
      <c r="J4875" t="s">
        <v>87</v>
      </c>
      <c r="K4875">
        <v>0</v>
      </c>
      <c r="L4875">
        <v>0</v>
      </c>
    </row>
    <row r="4876" spans="1:12">
      <c r="A4876" s="93">
        <v>480985</v>
      </c>
      <c r="B4876" t="s">
        <v>5332</v>
      </c>
      <c r="C4876" t="s">
        <v>5607</v>
      </c>
      <c r="D4876" s="92" t="s">
        <v>428</v>
      </c>
      <c r="E4876" s="92" t="s">
        <v>428</v>
      </c>
      <c r="F4876" t="s">
        <v>428</v>
      </c>
      <c r="G4876" t="s">
        <v>428</v>
      </c>
      <c r="H4876" t="s">
        <v>5617</v>
      </c>
      <c r="I4876">
        <v>0</v>
      </c>
      <c r="J4876" t="s">
        <v>87</v>
      </c>
      <c r="K4876">
        <v>0</v>
      </c>
      <c r="L4876">
        <v>0</v>
      </c>
    </row>
    <row r="4877" spans="1:12">
      <c r="A4877" s="93">
        <v>481030</v>
      </c>
      <c r="B4877" t="s">
        <v>5333</v>
      </c>
      <c r="C4877" t="s">
        <v>5607</v>
      </c>
      <c r="D4877" s="92" t="s">
        <v>428</v>
      </c>
      <c r="E4877" s="92" t="s">
        <v>428</v>
      </c>
      <c r="F4877" t="s">
        <v>428</v>
      </c>
      <c r="G4877" t="s">
        <v>428</v>
      </c>
      <c r="H4877" t="s">
        <v>5615</v>
      </c>
      <c r="I4877">
        <v>0</v>
      </c>
      <c r="J4877" t="s">
        <v>87</v>
      </c>
      <c r="K4877">
        <v>0</v>
      </c>
      <c r="L4877">
        <v>0</v>
      </c>
    </row>
    <row r="4878" spans="1:12">
      <c r="A4878" s="93">
        <v>481058</v>
      </c>
      <c r="B4878" t="s">
        <v>5334</v>
      </c>
      <c r="C4878" t="s">
        <v>5607</v>
      </c>
      <c r="D4878" s="92" t="s">
        <v>428</v>
      </c>
      <c r="E4878" s="92" t="s">
        <v>428</v>
      </c>
      <c r="F4878" t="s">
        <v>428</v>
      </c>
      <c r="G4878" t="s">
        <v>428</v>
      </c>
      <c r="H4878" t="s">
        <v>5616</v>
      </c>
      <c r="I4878">
        <v>0</v>
      </c>
      <c r="J4878" t="s">
        <v>87</v>
      </c>
      <c r="K4878">
        <v>0</v>
      </c>
      <c r="L4878">
        <v>0</v>
      </c>
    </row>
    <row r="4879" spans="1:12">
      <c r="A4879" s="93">
        <v>481094</v>
      </c>
      <c r="B4879" t="s">
        <v>5335</v>
      </c>
      <c r="C4879" t="s">
        <v>5607</v>
      </c>
      <c r="D4879" s="92" t="s">
        <v>428</v>
      </c>
      <c r="E4879" s="92" t="s">
        <v>428</v>
      </c>
      <c r="F4879" t="s">
        <v>428</v>
      </c>
      <c r="G4879" t="s">
        <v>428</v>
      </c>
      <c r="H4879" t="s">
        <v>5615</v>
      </c>
      <c r="I4879">
        <v>0</v>
      </c>
      <c r="J4879" t="s">
        <v>87</v>
      </c>
      <c r="K4879">
        <v>0</v>
      </c>
      <c r="L4879">
        <v>0</v>
      </c>
    </row>
    <row r="4880" spans="1:12">
      <c r="A4880" s="93">
        <v>481137</v>
      </c>
      <c r="B4880" t="s">
        <v>5336</v>
      </c>
      <c r="C4880" t="s">
        <v>5609</v>
      </c>
      <c r="D4880" s="92" t="s">
        <v>428</v>
      </c>
      <c r="E4880" s="92" t="s">
        <v>428</v>
      </c>
      <c r="F4880" t="s">
        <v>428</v>
      </c>
      <c r="G4880" t="s">
        <v>428</v>
      </c>
      <c r="H4880" t="s">
        <v>5617</v>
      </c>
      <c r="I4880">
        <v>0</v>
      </c>
      <c r="J4880" t="s">
        <v>87</v>
      </c>
      <c r="K4880">
        <v>0</v>
      </c>
      <c r="L4880">
        <v>0</v>
      </c>
    </row>
    <row r="4881" spans="1:12">
      <c r="A4881" s="93">
        <v>481155</v>
      </c>
      <c r="B4881" t="s">
        <v>5337</v>
      </c>
      <c r="C4881" t="s">
        <v>5606</v>
      </c>
      <c r="D4881" s="92" t="s">
        <v>428</v>
      </c>
      <c r="E4881" s="92" t="s">
        <v>428</v>
      </c>
      <c r="F4881" t="s">
        <v>428</v>
      </c>
      <c r="G4881" t="s">
        <v>428</v>
      </c>
      <c r="H4881" t="s">
        <v>5617</v>
      </c>
      <c r="I4881">
        <v>0</v>
      </c>
      <c r="J4881" t="s">
        <v>87</v>
      </c>
      <c r="K4881">
        <v>0</v>
      </c>
      <c r="L4881">
        <v>0</v>
      </c>
    </row>
    <row r="4882" spans="1:12">
      <c r="A4882" s="93">
        <v>481225</v>
      </c>
      <c r="B4882" t="s">
        <v>5338</v>
      </c>
      <c r="C4882" t="s">
        <v>5607</v>
      </c>
      <c r="D4882" s="92">
        <v>0.25</v>
      </c>
      <c r="E4882" s="92">
        <v>0.5</v>
      </c>
      <c r="F4882" t="s">
        <v>428</v>
      </c>
      <c r="G4882" t="s">
        <v>428</v>
      </c>
      <c r="H4882" t="s">
        <v>5613</v>
      </c>
      <c r="I4882">
        <v>1</v>
      </c>
      <c r="J4882" t="s">
        <v>87</v>
      </c>
      <c r="K4882">
        <v>0</v>
      </c>
      <c r="L4882">
        <v>0</v>
      </c>
    </row>
    <row r="4883" spans="1:12">
      <c r="A4883" s="93">
        <v>481234</v>
      </c>
      <c r="B4883" t="s">
        <v>5339</v>
      </c>
      <c r="C4883" t="s">
        <v>5606</v>
      </c>
      <c r="D4883" s="92" t="s">
        <v>428</v>
      </c>
      <c r="E4883" s="92" t="s">
        <v>428</v>
      </c>
      <c r="F4883" t="s">
        <v>428</v>
      </c>
      <c r="G4883" t="s">
        <v>428</v>
      </c>
      <c r="H4883" t="s">
        <v>5616</v>
      </c>
      <c r="I4883">
        <v>0</v>
      </c>
      <c r="J4883" t="s">
        <v>87</v>
      </c>
      <c r="K4883">
        <v>0</v>
      </c>
      <c r="L4883">
        <v>0</v>
      </c>
    </row>
    <row r="4884" spans="1:12">
      <c r="A4884" s="93">
        <v>481252</v>
      </c>
      <c r="B4884" t="s">
        <v>5340</v>
      </c>
      <c r="C4884" t="s">
        <v>5606</v>
      </c>
      <c r="D4884" s="92" t="s">
        <v>428</v>
      </c>
      <c r="E4884" s="92" t="s">
        <v>428</v>
      </c>
      <c r="F4884" t="s">
        <v>428</v>
      </c>
      <c r="G4884" t="s">
        <v>428</v>
      </c>
      <c r="H4884" t="s">
        <v>5617</v>
      </c>
      <c r="I4884">
        <v>0</v>
      </c>
      <c r="J4884" t="s">
        <v>87</v>
      </c>
      <c r="K4884">
        <v>0</v>
      </c>
      <c r="L4884">
        <v>0</v>
      </c>
    </row>
    <row r="4885" spans="1:12">
      <c r="A4885" s="93">
        <v>481401</v>
      </c>
      <c r="B4885" t="s">
        <v>5341</v>
      </c>
      <c r="C4885" t="s">
        <v>5604</v>
      </c>
      <c r="D4885" s="92" t="s">
        <v>428</v>
      </c>
      <c r="E4885" s="92" t="s">
        <v>428</v>
      </c>
      <c r="F4885" t="s">
        <v>428</v>
      </c>
      <c r="G4885" t="s">
        <v>428</v>
      </c>
      <c r="H4885" t="s">
        <v>5615</v>
      </c>
      <c r="I4885">
        <v>0</v>
      </c>
      <c r="J4885" t="s">
        <v>87</v>
      </c>
      <c r="K4885">
        <v>0</v>
      </c>
      <c r="L4885">
        <v>0</v>
      </c>
    </row>
    <row r="4886" spans="1:12">
      <c r="A4886" s="93">
        <v>481410</v>
      </c>
      <c r="B4886" t="s">
        <v>5342</v>
      </c>
      <c r="C4886" t="s">
        <v>5607</v>
      </c>
      <c r="D4886" s="92">
        <v>0.17</v>
      </c>
      <c r="E4886" s="92" t="s">
        <v>428</v>
      </c>
      <c r="F4886" t="s">
        <v>428</v>
      </c>
      <c r="G4886" t="s">
        <v>428</v>
      </c>
      <c r="H4886" t="s">
        <v>5617</v>
      </c>
      <c r="I4886">
        <v>0</v>
      </c>
      <c r="J4886" t="s">
        <v>87</v>
      </c>
      <c r="K4886">
        <v>0</v>
      </c>
      <c r="L4886">
        <v>0</v>
      </c>
    </row>
    <row r="4887" spans="1:12">
      <c r="A4887" s="93">
        <v>481438</v>
      </c>
      <c r="B4887" t="s">
        <v>5343</v>
      </c>
      <c r="C4887" t="s">
        <v>5607</v>
      </c>
      <c r="D4887" s="92">
        <v>0.43</v>
      </c>
      <c r="E4887" s="92" t="s">
        <v>428</v>
      </c>
      <c r="F4887" t="s">
        <v>428</v>
      </c>
      <c r="G4887" t="s">
        <v>428</v>
      </c>
      <c r="H4887" t="s">
        <v>5616</v>
      </c>
      <c r="I4887">
        <v>0</v>
      </c>
      <c r="J4887" t="s">
        <v>87</v>
      </c>
      <c r="K4887">
        <v>0</v>
      </c>
      <c r="L4887">
        <v>0</v>
      </c>
    </row>
    <row r="4888" spans="1:12">
      <c r="A4888" s="93">
        <v>481465</v>
      </c>
      <c r="B4888" t="s">
        <v>4762</v>
      </c>
      <c r="C4888" t="s">
        <v>5606</v>
      </c>
      <c r="D4888" s="92" t="s">
        <v>428</v>
      </c>
      <c r="E4888" s="92" t="s">
        <v>428</v>
      </c>
      <c r="F4888" t="s">
        <v>428</v>
      </c>
      <c r="G4888" t="s">
        <v>428</v>
      </c>
      <c r="H4888" t="s">
        <v>5616</v>
      </c>
      <c r="I4888">
        <v>0</v>
      </c>
      <c r="J4888" t="s">
        <v>87</v>
      </c>
      <c r="K4888">
        <v>0</v>
      </c>
      <c r="L4888">
        <v>0</v>
      </c>
    </row>
    <row r="4889" spans="1:12">
      <c r="A4889" s="93">
        <v>481535</v>
      </c>
      <c r="B4889" t="s">
        <v>5344</v>
      </c>
      <c r="C4889" t="s">
        <v>5607</v>
      </c>
      <c r="D4889" s="92" t="s">
        <v>428</v>
      </c>
      <c r="E4889" s="92" t="s">
        <v>428</v>
      </c>
      <c r="F4889" t="s">
        <v>428</v>
      </c>
      <c r="G4889" t="s">
        <v>428</v>
      </c>
      <c r="H4889" t="s">
        <v>5615</v>
      </c>
      <c r="I4889">
        <v>0</v>
      </c>
      <c r="J4889" t="s">
        <v>87</v>
      </c>
      <c r="K4889">
        <v>0</v>
      </c>
      <c r="L4889">
        <v>0</v>
      </c>
    </row>
    <row r="4890" spans="1:12">
      <c r="A4890" s="93">
        <v>481614</v>
      </c>
      <c r="B4890" t="s">
        <v>5345</v>
      </c>
      <c r="C4890" t="s">
        <v>5607</v>
      </c>
      <c r="D4890" s="92" t="s">
        <v>428</v>
      </c>
      <c r="E4890" s="92" t="s">
        <v>428</v>
      </c>
      <c r="F4890" t="s">
        <v>428</v>
      </c>
      <c r="G4890" t="s">
        <v>428</v>
      </c>
      <c r="H4890" t="s">
        <v>5615</v>
      </c>
      <c r="I4890">
        <v>0</v>
      </c>
      <c r="J4890" t="s">
        <v>87</v>
      </c>
      <c r="K4890">
        <v>0</v>
      </c>
      <c r="L4890">
        <v>0</v>
      </c>
    </row>
    <row r="4891" spans="1:12">
      <c r="A4891" s="93">
        <v>481623</v>
      </c>
      <c r="B4891" t="s">
        <v>5346</v>
      </c>
      <c r="C4891" t="s">
        <v>5607</v>
      </c>
      <c r="D4891" s="92" t="s">
        <v>428</v>
      </c>
      <c r="E4891" s="92" t="s">
        <v>428</v>
      </c>
      <c r="F4891" t="s">
        <v>428</v>
      </c>
      <c r="G4891" t="s">
        <v>428</v>
      </c>
      <c r="H4891" t="s">
        <v>5617</v>
      </c>
      <c r="I4891">
        <v>0</v>
      </c>
      <c r="J4891" t="s">
        <v>87</v>
      </c>
      <c r="K4891">
        <v>0</v>
      </c>
      <c r="L4891">
        <v>0</v>
      </c>
    </row>
    <row r="4892" spans="1:12">
      <c r="A4892" s="93">
        <v>481720</v>
      </c>
      <c r="B4892" t="s">
        <v>5347</v>
      </c>
      <c r="C4892" t="s">
        <v>5604</v>
      </c>
      <c r="D4892" s="92" t="s">
        <v>428</v>
      </c>
      <c r="E4892" s="92" t="s">
        <v>428</v>
      </c>
      <c r="F4892" t="s">
        <v>428</v>
      </c>
      <c r="G4892" t="s">
        <v>428</v>
      </c>
      <c r="H4892" t="s">
        <v>5617</v>
      </c>
      <c r="I4892">
        <v>0</v>
      </c>
      <c r="J4892" t="s">
        <v>87</v>
      </c>
      <c r="K4892">
        <v>0</v>
      </c>
      <c r="L4892">
        <v>0</v>
      </c>
    </row>
    <row r="4893" spans="1:12">
      <c r="A4893" s="93">
        <v>481766</v>
      </c>
      <c r="B4893" t="s">
        <v>5348</v>
      </c>
      <c r="C4893" t="s">
        <v>5606</v>
      </c>
      <c r="D4893" s="92">
        <v>0.07000000000000001</v>
      </c>
      <c r="E4893" s="92">
        <v>0.05</v>
      </c>
      <c r="F4893" t="s">
        <v>428</v>
      </c>
      <c r="G4893" t="s">
        <v>428</v>
      </c>
      <c r="H4893" t="s">
        <v>5617</v>
      </c>
      <c r="I4893">
        <v>0</v>
      </c>
      <c r="J4893" t="s">
        <v>87</v>
      </c>
      <c r="K4893">
        <v>0</v>
      </c>
      <c r="L4893">
        <v>0</v>
      </c>
    </row>
    <row r="4894" spans="1:12">
      <c r="A4894" s="93">
        <v>481863</v>
      </c>
      <c r="B4894" t="s">
        <v>5349</v>
      </c>
      <c r="C4894" t="s">
        <v>5606</v>
      </c>
      <c r="D4894" s="92" t="s">
        <v>428</v>
      </c>
      <c r="E4894" s="92" t="s">
        <v>428</v>
      </c>
      <c r="F4894" t="s">
        <v>428</v>
      </c>
      <c r="G4894" t="s">
        <v>428</v>
      </c>
      <c r="H4894" t="s">
        <v>5617</v>
      </c>
      <c r="I4894">
        <v>0</v>
      </c>
      <c r="J4894" t="s">
        <v>87</v>
      </c>
      <c r="K4894">
        <v>0</v>
      </c>
      <c r="L4894">
        <v>0</v>
      </c>
    </row>
    <row r="4895" spans="1:12">
      <c r="A4895" s="93">
        <v>481915</v>
      </c>
      <c r="B4895" t="s">
        <v>5350</v>
      </c>
      <c r="C4895" t="s">
        <v>5606</v>
      </c>
      <c r="D4895" s="92">
        <v>0.51</v>
      </c>
      <c r="E4895" s="92">
        <v>0.48</v>
      </c>
      <c r="F4895" t="s">
        <v>428</v>
      </c>
      <c r="G4895" t="s">
        <v>428</v>
      </c>
      <c r="H4895" t="s">
        <v>5617</v>
      </c>
      <c r="I4895">
        <v>0</v>
      </c>
      <c r="J4895" t="s">
        <v>87</v>
      </c>
      <c r="K4895">
        <v>0</v>
      </c>
      <c r="L4895">
        <v>0</v>
      </c>
    </row>
    <row r="4896" spans="1:12">
      <c r="A4896" s="93">
        <v>481960</v>
      </c>
      <c r="B4896" t="s">
        <v>5351</v>
      </c>
      <c r="C4896" t="s">
        <v>5606</v>
      </c>
      <c r="D4896" s="92" t="s">
        <v>428</v>
      </c>
      <c r="E4896" s="92" t="s">
        <v>428</v>
      </c>
      <c r="F4896" t="s">
        <v>428</v>
      </c>
      <c r="G4896" t="s">
        <v>428</v>
      </c>
      <c r="H4896" t="s">
        <v>5617</v>
      </c>
      <c r="I4896">
        <v>0</v>
      </c>
      <c r="J4896" t="s">
        <v>87</v>
      </c>
      <c r="K4896">
        <v>0</v>
      </c>
      <c r="L4896">
        <v>0</v>
      </c>
    </row>
    <row r="4897" spans="1:12">
      <c r="A4897" s="93">
        <v>481988</v>
      </c>
      <c r="B4897" t="s">
        <v>5352</v>
      </c>
      <c r="C4897" t="s">
        <v>5606</v>
      </c>
      <c r="D4897" s="92" t="s">
        <v>428</v>
      </c>
      <c r="E4897" s="92" t="s">
        <v>428</v>
      </c>
      <c r="F4897" t="s">
        <v>428</v>
      </c>
      <c r="G4897" t="s">
        <v>428</v>
      </c>
      <c r="H4897" t="s">
        <v>5617</v>
      </c>
      <c r="I4897">
        <v>0</v>
      </c>
      <c r="J4897" t="s">
        <v>87</v>
      </c>
      <c r="K4897">
        <v>0</v>
      </c>
      <c r="L4897">
        <v>0</v>
      </c>
    </row>
    <row r="4898" spans="1:12">
      <c r="A4898" s="93">
        <v>482024</v>
      </c>
      <c r="B4898" t="s">
        <v>5353</v>
      </c>
      <c r="C4898" t="s">
        <v>5604</v>
      </c>
      <c r="D4898" s="92" t="s">
        <v>428</v>
      </c>
      <c r="E4898" s="92" t="s">
        <v>428</v>
      </c>
      <c r="F4898" t="s">
        <v>428</v>
      </c>
      <c r="G4898" t="s">
        <v>428</v>
      </c>
      <c r="H4898" t="s">
        <v>5617</v>
      </c>
      <c r="I4898">
        <v>0</v>
      </c>
      <c r="J4898" t="s">
        <v>87</v>
      </c>
      <c r="K4898">
        <v>0</v>
      </c>
      <c r="L4898">
        <v>0</v>
      </c>
    </row>
    <row r="4899" spans="1:12">
      <c r="A4899" s="93">
        <v>482149</v>
      </c>
      <c r="B4899" t="s">
        <v>5354</v>
      </c>
      <c r="C4899" t="s">
        <v>5602</v>
      </c>
      <c r="D4899" s="92">
        <v>0.26</v>
      </c>
      <c r="E4899" s="92">
        <v>0.21</v>
      </c>
      <c r="F4899">
        <v>19</v>
      </c>
      <c r="G4899">
        <v>22.5</v>
      </c>
      <c r="H4899" t="s">
        <v>5615</v>
      </c>
      <c r="I4899">
        <v>0</v>
      </c>
      <c r="J4899" t="s">
        <v>87</v>
      </c>
      <c r="K4899">
        <v>0</v>
      </c>
      <c r="L4899">
        <v>0</v>
      </c>
    </row>
    <row r="4900" spans="1:12">
      <c r="A4900" s="93">
        <v>482158</v>
      </c>
      <c r="B4900" t="s">
        <v>5355</v>
      </c>
      <c r="C4900" t="s">
        <v>5607</v>
      </c>
      <c r="D4900" s="92">
        <v>0.24</v>
      </c>
      <c r="E4900" s="92">
        <v>0.22</v>
      </c>
      <c r="F4900" t="s">
        <v>428</v>
      </c>
      <c r="G4900" t="s">
        <v>428</v>
      </c>
      <c r="H4900" t="s">
        <v>5615</v>
      </c>
      <c r="I4900">
        <v>0</v>
      </c>
      <c r="J4900" t="s">
        <v>87</v>
      </c>
      <c r="K4900">
        <v>0</v>
      </c>
      <c r="L4900">
        <v>0</v>
      </c>
    </row>
    <row r="4901" spans="1:12">
      <c r="A4901" s="93">
        <v>482176</v>
      </c>
      <c r="B4901" t="s">
        <v>5356</v>
      </c>
      <c r="C4901" t="s">
        <v>5606</v>
      </c>
      <c r="D4901" s="92" t="s">
        <v>428</v>
      </c>
      <c r="E4901" s="92" t="s">
        <v>428</v>
      </c>
      <c r="F4901" t="s">
        <v>428</v>
      </c>
      <c r="G4901" t="s">
        <v>428</v>
      </c>
      <c r="H4901" t="s">
        <v>5617</v>
      </c>
      <c r="I4901">
        <v>0</v>
      </c>
      <c r="J4901" t="s">
        <v>87</v>
      </c>
      <c r="K4901">
        <v>0</v>
      </c>
      <c r="L4901">
        <v>0</v>
      </c>
    </row>
    <row r="4902" spans="1:12">
      <c r="A4902" s="93">
        <v>482185</v>
      </c>
      <c r="B4902" t="s">
        <v>5357</v>
      </c>
      <c r="C4902" t="s">
        <v>5609</v>
      </c>
      <c r="D4902" s="92" t="s">
        <v>428</v>
      </c>
      <c r="E4902" s="92" t="s">
        <v>428</v>
      </c>
      <c r="F4902" t="s">
        <v>428</v>
      </c>
      <c r="G4902" t="s">
        <v>428</v>
      </c>
      <c r="H4902" t="s">
        <v>5617</v>
      </c>
      <c r="I4902">
        <v>0</v>
      </c>
      <c r="J4902" t="s">
        <v>87</v>
      </c>
      <c r="K4902">
        <v>0</v>
      </c>
      <c r="L4902">
        <v>0</v>
      </c>
    </row>
    <row r="4903" spans="1:12">
      <c r="A4903" s="93">
        <v>482228</v>
      </c>
      <c r="B4903" t="s">
        <v>5358</v>
      </c>
      <c r="C4903" t="s">
        <v>5607</v>
      </c>
      <c r="D4903" s="92">
        <v>1</v>
      </c>
      <c r="E4903" s="92" t="s">
        <v>428</v>
      </c>
      <c r="F4903" t="s">
        <v>428</v>
      </c>
      <c r="G4903" t="s">
        <v>428</v>
      </c>
      <c r="H4903" t="s">
        <v>5616</v>
      </c>
      <c r="I4903">
        <v>0</v>
      </c>
      <c r="J4903" t="s">
        <v>87</v>
      </c>
      <c r="K4903">
        <v>0</v>
      </c>
      <c r="L4903">
        <v>0</v>
      </c>
    </row>
    <row r="4904" spans="1:12">
      <c r="A4904" s="93">
        <v>482255</v>
      </c>
      <c r="B4904" t="s">
        <v>5359</v>
      </c>
      <c r="C4904" t="s">
        <v>5606</v>
      </c>
      <c r="D4904" s="92" t="s">
        <v>428</v>
      </c>
      <c r="E4904" s="92" t="s">
        <v>428</v>
      </c>
      <c r="F4904" t="s">
        <v>428</v>
      </c>
      <c r="G4904" t="s">
        <v>428</v>
      </c>
      <c r="H4904" t="s">
        <v>5617</v>
      </c>
      <c r="I4904">
        <v>0</v>
      </c>
      <c r="J4904" t="s">
        <v>87</v>
      </c>
      <c r="K4904">
        <v>0</v>
      </c>
      <c r="L4904">
        <v>0</v>
      </c>
    </row>
    <row r="4905" spans="1:12">
      <c r="A4905" s="93">
        <v>482307</v>
      </c>
      <c r="B4905" t="s">
        <v>5360</v>
      </c>
      <c r="C4905" t="s">
        <v>5604</v>
      </c>
      <c r="D4905" s="92" t="s">
        <v>428</v>
      </c>
      <c r="E4905" s="92" t="s">
        <v>428</v>
      </c>
      <c r="F4905" t="s">
        <v>428</v>
      </c>
      <c r="G4905" t="s">
        <v>428</v>
      </c>
      <c r="H4905" t="s">
        <v>5615</v>
      </c>
      <c r="I4905">
        <v>0</v>
      </c>
      <c r="J4905" t="s">
        <v>87</v>
      </c>
      <c r="K4905">
        <v>0</v>
      </c>
      <c r="L4905">
        <v>0</v>
      </c>
    </row>
    <row r="4906" spans="1:12">
      <c r="A4906" s="93">
        <v>482316</v>
      </c>
      <c r="B4906" t="s">
        <v>5361</v>
      </c>
      <c r="C4906" t="s">
        <v>5604</v>
      </c>
      <c r="D4906" s="92" t="s">
        <v>428</v>
      </c>
      <c r="E4906" s="92" t="s">
        <v>428</v>
      </c>
      <c r="F4906" t="s">
        <v>428</v>
      </c>
      <c r="G4906" t="s">
        <v>428</v>
      </c>
      <c r="H4906" t="s">
        <v>5615</v>
      </c>
      <c r="I4906">
        <v>0</v>
      </c>
      <c r="J4906" t="s">
        <v>87</v>
      </c>
      <c r="K4906">
        <v>0</v>
      </c>
      <c r="L4906">
        <v>0</v>
      </c>
    </row>
    <row r="4907" spans="1:12">
      <c r="A4907" s="93">
        <v>482325</v>
      </c>
      <c r="B4907" t="s">
        <v>5362</v>
      </c>
      <c r="C4907" t="s">
        <v>5604</v>
      </c>
      <c r="D4907" s="92" t="s">
        <v>428</v>
      </c>
      <c r="E4907" s="92" t="s">
        <v>428</v>
      </c>
      <c r="F4907" t="s">
        <v>428</v>
      </c>
      <c r="G4907" t="s">
        <v>428</v>
      </c>
      <c r="H4907" t="s">
        <v>5617</v>
      </c>
      <c r="I4907">
        <v>0</v>
      </c>
      <c r="J4907" t="s">
        <v>87</v>
      </c>
      <c r="K4907">
        <v>0</v>
      </c>
      <c r="L4907">
        <v>0</v>
      </c>
    </row>
    <row r="4908" spans="1:12">
      <c r="A4908" s="93">
        <v>482334</v>
      </c>
      <c r="B4908" t="s">
        <v>5363</v>
      </c>
      <c r="C4908" t="s">
        <v>5604</v>
      </c>
      <c r="D4908" s="92" t="s">
        <v>428</v>
      </c>
      <c r="E4908" s="92" t="s">
        <v>428</v>
      </c>
      <c r="F4908" t="s">
        <v>428</v>
      </c>
      <c r="G4908" t="s">
        <v>428</v>
      </c>
      <c r="H4908" t="s">
        <v>5615</v>
      </c>
      <c r="I4908">
        <v>0</v>
      </c>
      <c r="J4908" t="s">
        <v>87</v>
      </c>
      <c r="K4908">
        <v>0</v>
      </c>
      <c r="L4908">
        <v>0</v>
      </c>
    </row>
    <row r="4909" spans="1:12">
      <c r="A4909" s="93">
        <v>482343</v>
      </c>
      <c r="B4909" t="s">
        <v>5364</v>
      </c>
      <c r="C4909" t="s">
        <v>5604</v>
      </c>
      <c r="D4909" s="92" t="s">
        <v>428</v>
      </c>
      <c r="E4909" s="92" t="s">
        <v>428</v>
      </c>
      <c r="F4909" t="s">
        <v>428</v>
      </c>
      <c r="G4909" t="s">
        <v>428</v>
      </c>
      <c r="H4909" t="s">
        <v>5617</v>
      </c>
      <c r="I4909">
        <v>0</v>
      </c>
      <c r="J4909" t="s">
        <v>87</v>
      </c>
      <c r="K4909">
        <v>0</v>
      </c>
      <c r="L4909">
        <v>0</v>
      </c>
    </row>
    <row r="4910" spans="1:12">
      <c r="A4910" s="93">
        <v>482361</v>
      </c>
      <c r="B4910" t="s">
        <v>5365</v>
      </c>
      <c r="C4910" t="s">
        <v>5604</v>
      </c>
      <c r="D4910" s="92" t="s">
        <v>428</v>
      </c>
      <c r="E4910" s="92" t="s">
        <v>428</v>
      </c>
      <c r="F4910" t="s">
        <v>428</v>
      </c>
      <c r="G4910" t="s">
        <v>428</v>
      </c>
      <c r="H4910" t="s">
        <v>5615</v>
      </c>
      <c r="I4910">
        <v>0</v>
      </c>
      <c r="J4910" t="s">
        <v>87</v>
      </c>
      <c r="K4910">
        <v>0</v>
      </c>
      <c r="L4910">
        <v>0</v>
      </c>
    </row>
    <row r="4911" spans="1:12">
      <c r="A4911" s="93">
        <v>482370</v>
      </c>
      <c r="B4911" t="s">
        <v>5366</v>
      </c>
      <c r="C4911" t="s">
        <v>5604</v>
      </c>
      <c r="D4911" s="92" t="s">
        <v>428</v>
      </c>
      <c r="E4911" s="92" t="s">
        <v>428</v>
      </c>
      <c r="F4911" t="s">
        <v>428</v>
      </c>
      <c r="G4911" t="s">
        <v>428</v>
      </c>
      <c r="H4911" t="s">
        <v>5616</v>
      </c>
      <c r="I4911">
        <v>0</v>
      </c>
      <c r="J4911" t="s">
        <v>87</v>
      </c>
      <c r="K4911">
        <v>0</v>
      </c>
      <c r="L4911">
        <v>0</v>
      </c>
    </row>
    <row r="4912" spans="1:12">
      <c r="A4912" s="93">
        <v>482398</v>
      </c>
      <c r="B4912" t="s">
        <v>5367</v>
      </c>
      <c r="C4912" t="s">
        <v>5607</v>
      </c>
      <c r="D4912" s="92" t="s">
        <v>428</v>
      </c>
      <c r="E4912" s="92" t="s">
        <v>428</v>
      </c>
      <c r="F4912" t="s">
        <v>428</v>
      </c>
      <c r="G4912" t="s">
        <v>428</v>
      </c>
      <c r="H4912" t="s">
        <v>5617</v>
      </c>
      <c r="I4912">
        <v>0</v>
      </c>
      <c r="J4912" t="s">
        <v>87</v>
      </c>
      <c r="K4912">
        <v>0</v>
      </c>
      <c r="L4912">
        <v>0</v>
      </c>
    </row>
    <row r="4913" spans="1:12">
      <c r="A4913" s="93">
        <v>482413</v>
      </c>
      <c r="B4913" t="s">
        <v>5368</v>
      </c>
      <c r="C4913" t="s">
        <v>5607</v>
      </c>
      <c r="D4913" s="92">
        <v>0.23</v>
      </c>
      <c r="E4913" s="92">
        <v>0.2</v>
      </c>
      <c r="F4913" t="s">
        <v>428</v>
      </c>
      <c r="G4913" t="s">
        <v>428</v>
      </c>
      <c r="H4913" t="s">
        <v>5617</v>
      </c>
      <c r="I4913">
        <v>0</v>
      </c>
      <c r="J4913" t="s">
        <v>87</v>
      </c>
      <c r="K4913">
        <v>0</v>
      </c>
      <c r="L4913">
        <v>0</v>
      </c>
    </row>
    <row r="4914" spans="1:12">
      <c r="A4914" s="93">
        <v>482422</v>
      </c>
      <c r="B4914" t="s">
        <v>5369</v>
      </c>
      <c r="C4914" t="s">
        <v>5607</v>
      </c>
      <c r="D4914" s="92">
        <v>0.3</v>
      </c>
      <c r="E4914" s="92">
        <v>0.28</v>
      </c>
      <c r="F4914" t="s">
        <v>428</v>
      </c>
      <c r="G4914" t="s">
        <v>428</v>
      </c>
      <c r="H4914" t="s">
        <v>5617</v>
      </c>
      <c r="I4914">
        <v>0</v>
      </c>
      <c r="J4914" t="s">
        <v>87</v>
      </c>
      <c r="K4914">
        <v>0</v>
      </c>
      <c r="L4914">
        <v>0</v>
      </c>
    </row>
    <row r="4915" spans="1:12">
      <c r="A4915" s="93">
        <v>482431</v>
      </c>
      <c r="B4915" t="s">
        <v>5370</v>
      </c>
      <c r="C4915" t="s">
        <v>5607</v>
      </c>
      <c r="D4915" s="92">
        <v>0.3</v>
      </c>
      <c r="E4915" s="92">
        <v>0.25</v>
      </c>
      <c r="F4915" t="s">
        <v>428</v>
      </c>
      <c r="G4915" t="s">
        <v>428</v>
      </c>
      <c r="H4915" t="s">
        <v>5617</v>
      </c>
      <c r="I4915">
        <v>0</v>
      </c>
      <c r="J4915" t="s">
        <v>87</v>
      </c>
      <c r="K4915">
        <v>0</v>
      </c>
      <c r="L4915">
        <v>0</v>
      </c>
    </row>
    <row r="4916" spans="1:12">
      <c r="A4916" s="93">
        <v>482440</v>
      </c>
      <c r="B4916" t="s">
        <v>5371</v>
      </c>
      <c r="C4916" t="s">
        <v>5607</v>
      </c>
      <c r="D4916" s="92">
        <v>0.19</v>
      </c>
      <c r="E4916" s="92">
        <v>0.21</v>
      </c>
      <c r="F4916" t="s">
        <v>428</v>
      </c>
      <c r="G4916" t="s">
        <v>428</v>
      </c>
      <c r="H4916" t="s">
        <v>5617</v>
      </c>
      <c r="I4916">
        <v>0</v>
      </c>
      <c r="J4916" t="s">
        <v>87</v>
      </c>
      <c r="K4916">
        <v>0</v>
      </c>
      <c r="L4916">
        <v>0</v>
      </c>
    </row>
    <row r="4917" spans="1:12">
      <c r="A4917" s="93">
        <v>482459</v>
      </c>
      <c r="B4917" t="s">
        <v>5372</v>
      </c>
      <c r="C4917" t="s">
        <v>5607</v>
      </c>
      <c r="D4917" s="92">
        <v>0.3</v>
      </c>
      <c r="E4917" s="92">
        <v>0.31</v>
      </c>
      <c r="F4917" t="s">
        <v>428</v>
      </c>
      <c r="G4917" t="s">
        <v>428</v>
      </c>
      <c r="H4917" t="s">
        <v>5617</v>
      </c>
      <c r="I4917">
        <v>0</v>
      </c>
      <c r="J4917" t="s">
        <v>87</v>
      </c>
      <c r="K4917">
        <v>0</v>
      </c>
      <c r="L4917">
        <v>0</v>
      </c>
    </row>
    <row r="4918" spans="1:12">
      <c r="A4918" s="93">
        <v>482468</v>
      </c>
      <c r="B4918" t="s">
        <v>5373</v>
      </c>
      <c r="C4918" t="s">
        <v>5607</v>
      </c>
      <c r="D4918" s="92">
        <v>0.21</v>
      </c>
      <c r="E4918" s="92">
        <v>0.19</v>
      </c>
      <c r="F4918" t="s">
        <v>428</v>
      </c>
      <c r="G4918" t="s">
        <v>428</v>
      </c>
      <c r="H4918" t="s">
        <v>5617</v>
      </c>
      <c r="I4918">
        <v>0</v>
      </c>
      <c r="J4918" t="s">
        <v>87</v>
      </c>
      <c r="K4918">
        <v>0</v>
      </c>
      <c r="L4918">
        <v>0</v>
      </c>
    </row>
    <row r="4919" spans="1:12">
      <c r="A4919" s="93">
        <v>482477</v>
      </c>
      <c r="B4919" t="s">
        <v>5374</v>
      </c>
      <c r="C4919" t="s">
        <v>5607</v>
      </c>
      <c r="D4919" s="92">
        <v>0.24</v>
      </c>
      <c r="E4919" s="92">
        <v>0.2</v>
      </c>
      <c r="F4919" t="s">
        <v>428</v>
      </c>
      <c r="G4919" t="s">
        <v>428</v>
      </c>
      <c r="H4919" t="s">
        <v>5617</v>
      </c>
      <c r="I4919">
        <v>0</v>
      </c>
      <c r="J4919" t="s">
        <v>87</v>
      </c>
      <c r="K4919">
        <v>0</v>
      </c>
      <c r="L4919">
        <v>1</v>
      </c>
    </row>
    <row r="4920" spans="1:12">
      <c r="A4920" s="93">
        <v>482486</v>
      </c>
      <c r="B4920" t="s">
        <v>5375</v>
      </c>
      <c r="C4920" t="s">
        <v>5607</v>
      </c>
      <c r="D4920" s="92">
        <v>0.18</v>
      </c>
      <c r="E4920" s="92">
        <v>0.12</v>
      </c>
      <c r="F4920" t="s">
        <v>428</v>
      </c>
      <c r="G4920" t="s">
        <v>428</v>
      </c>
      <c r="H4920" t="s">
        <v>5617</v>
      </c>
      <c r="I4920">
        <v>0</v>
      </c>
      <c r="J4920" t="s">
        <v>87</v>
      </c>
      <c r="K4920">
        <v>0</v>
      </c>
      <c r="L4920">
        <v>0</v>
      </c>
    </row>
    <row r="4921" spans="1:12">
      <c r="A4921" s="93">
        <v>482538</v>
      </c>
      <c r="B4921" t="s">
        <v>5376</v>
      </c>
      <c r="C4921" t="s">
        <v>5607</v>
      </c>
      <c r="D4921" s="92">
        <v>0.28</v>
      </c>
      <c r="E4921" s="92">
        <v>0.18</v>
      </c>
      <c r="F4921" t="s">
        <v>428</v>
      </c>
      <c r="G4921" t="s">
        <v>428</v>
      </c>
      <c r="H4921" t="s">
        <v>5617</v>
      </c>
      <c r="I4921">
        <v>0</v>
      </c>
      <c r="J4921" t="s">
        <v>87</v>
      </c>
      <c r="K4921">
        <v>0</v>
      </c>
      <c r="L4921">
        <v>0</v>
      </c>
    </row>
    <row r="4922" spans="1:12">
      <c r="A4922" s="93">
        <v>482547</v>
      </c>
      <c r="B4922" t="s">
        <v>5377</v>
      </c>
      <c r="C4922" t="s">
        <v>5607</v>
      </c>
      <c r="D4922" s="92">
        <v>0.11</v>
      </c>
      <c r="E4922" s="92">
        <v>0.09</v>
      </c>
      <c r="F4922" t="s">
        <v>428</v>
      </c>
      <c r="G4922" t="s">
        <v>428</v>
      </c>
      <c r="H4922" t="s">
        <v>5617</v>
      </c>
      <c r="I4922">
        <v>0</v>
      </c>
      <c r="J4922" t="s">
        <v>87</v>
      </c>
      <c r="K4922">
        <v>0</v>
      </c>
      <c r="L4922">
        <v>0</v>
      </c>
    </row>
    <row r="4923" spans="1:12">
      <c r="A4923" s="93">
        <v>482556</v>
      </c>
      <c r="B4923" t="s">
        <v>5378</v>
      </c>
      <c r="C4923" t="s">
        <v>5607</v>
      </c>
      <c r="D4923" s="92">
        <v>0.25</v>
      </c>
      <c r="E4923" s="92">
        <v>0.17</v>
      </c>
      <c r="F4923" t="s">
        <v>428</v>
      </c>
      <c r="G4923" t="s">
        <v>428</v>
      </c>
      <c r="H4923" t="s">
        <v>5617</v>
      </c>
      <c r="I4923">
        <v>0</v>
      </c>
      <c r="J4923" t="s">
        <v>87</v>
      </c>
      <c r="K4923">
        <v>0</v>
      </c>
      <c r="L4923">
        <v>0</v>
      </c>
    </row>
    <row r="4924" spans="1:12">
      <c r="A4924" s="93">
        <v>482565</v>
      </c>
      <c r="B4924" t="s">
        <v>5379</v>
      </c>
      <c r="C4924" t="s">
        <v>5607</v>
      </c>
      <c r="D4924" s="92">
        <v>0.13</v>
      </c>
      <c r="E4924" s="92">
        <v>0.07000000000000001</v>
      </c>
      <c r="F4924" t="s">
        <v>428</v>
      </c>
      <c r="G4924" t="s">
        <v>428</v>
      </c>
      <c r="H4924" t="s">
        <v>5617</v>
      </c>
      <c r="I4924">
        <v>0</v>
      </c>
      <c r="J4924" t="s">
        <v>87</v>
      </c>
      <c r="K4924">
        <v>0</v>
      </c>
      <c r="L4924">
        <v>0</v>
      </c>
    </row>
    <row r="4925" spans="1:12">
      <c r="A4925" s="93">
        <v>482574</v>
      </c>
      <c r="B4925" t="s">
        <v>5380</v>
      </c>
      <c r="C4925" t="s">
        <v>5607</v>
      </c>
      <c r="D4925" s="92">
        <v>0.29</v>
      </c>
      <c r="E4925" s="92">
        <v>0.18</v>
      </c>
      <c r="F4925" t="s">
        <v>428</v>
      </c>
      <c r="G4925" t="s">
        <v>428</v>
      </c>
      <c r="H4925" t="s">
        <v>5617</v>
      </c>
      <c r="I4925">
        <v>0</v>
      </c>
      <c r="J4925" t="s">
        <v>87</v>
      </c>
      <c r="K4925">
        <v>0</v>
      </c>
      <c r="L4925">
        <v>0</v>
      </c>
    </row>
    <row r="4926" spans="1:12">
      <c r="A4926" s="93">
        <v>482583</v>
      </c>
      <c r="B4926" t="s">
        <v>5381</v>
      </c>
      <c r="C4926" t="s">
        <v>5607</v>
      </c>
      <c r="D4926" s="92">
        <v>0.2</v>
      </c>
      <c r="E4926" s="92">
        <v>0.25</v>
      </c>
      <c r="F4926" t="s">
        <v>428</v>
      </c>
      <c r="G4926" t="s">
        <v>428</v>
      </c>
      <c r="H4926" t="s">
        <v>5617</v>
      </c>
      <c r="I4926">
        <v>0</v>
      </c>
      <c r="J4926" t="s">
        <v>87</v>
      </c>
      <c r="K4926">
        <v>0</v>
      </c>
      <c r="L4926">
        <v>0</v>
      </c>
    </row>
    <row r="4927" spans="1:12">
      <c r="A4927" s="93">
        <v>482608</v>
      </c>
      <c r="B4927" t="s">
        <v>5382</v>
      </c>
      <c r="C4927" t="s">
        <v>5607</v>
      </c>
      <c r="D4927" s="92">
        <v>0.25</v>
      </c>
      <c r="E4927" s="92">
        <v>0.12</v>
      </c>
      <c r="F4927" t="s">
        <v>428</v>
      </c>
      <c r="G4927" t="s">
        <v>428</v>
      </c>
      <c r="H4927" t="s">
        <v>5617</v>
      </c>
      <c r="I4927">
        <v>0</v>
      </c>
      <c r="J4927" t="s">
        <v>87</v>
      </c>
      <c r="K4927">
        <v>0</v>
      </c>
      <c r="L4927">
        <v>0</v>
      </c>
    </row>
    <row r="4928" spans="1:12">
      <c r="A4928" s="93">
        <v>482617</v>
      </c>
      <c r="B4928" t="s">
        <v>5383</v>
      </c>
      <c r="C4928" t="s">
        <v>5607</v>
      </c>
      <c r="D4928" s="92">
        <v>0.26</v>
      </c>
      <c r="E4928" s="92">
        <v>0.33</v>
      </c>
      <c r="F4928" t="s">
        <v>428</v>
      </c>
      <c r="G4928" t="s">
        <v>428</v>
      </c>
      <c r="H4928" t="s">
        <v>5617</v>
      </c>
      <c r="I4928">
        <v>0</v>
      </c>
      <c r="J4928" t="s">
        <v>87</v>
      </c>
      <c r="K4928">
        <v>0</v>
      </c>
      <c r="L4928">
        <v>0</v>
      </c>
    </row>
    <row r="4929" spans="1:12">
      <c r="A4929" s="93">
        <v>482635</v>
      </c>
      <c r="B4929" t="s">
        <v>5384</v>
      </c>
      <c r="C4929" t="s">
        <v>5607</v>
      </c>
      <c r="D4929" s="92">
        <v>0.17</v>
      </c>
      <c r="E4929" s="92">
        <v>0.16</v>
      </c>
      <c r="F4929" t="s">
        <v>428</v>
      </c>
      <c r="G4929" t="s">
        <v>428</v>
      </c>
      <c r="H4929" t="s">
        <v>5617</v>
      </c>
      <c r="I4929">
        <v>0</v>
      </c>
      <c r="J4929" t="s">
        <v>87</v>
      </c>
      <c r="K4929">
        <v>0</v>
      </c>
      <c r="L4929">
        <v>0</v>
      </c>
    </row>
    <row r="4930" spans="1:12">
      <c r="A4930" s="93">
        <v>482653</v>
      </c>
      <c r="B4930" t="s">
        <v>5385</v>
      </c>
      <c r="C4930" t="s">
        <v>5607</v>
      </c>
      <c r="D4930" s="92">
        <v>0.22</v>
      </c>
      <c r="E4930" s="92">
        <v>0.16</v>
      </c>
      <c r="F4930" t="s">
        <v>428</v>
      </c>
      <c r="G4930" t="s">
        <v>428</v>
      </c>
      <c r="H4930" t="s">
        <v>5617</v>
      </c>
      <c r="I4930">
        <v>0</v>
      </c>
      <c r="J4930" t="s">
        <v>87</v>
      </c>
      <c r="K4930">
        <v>0</v>
      </c>
      <c r="L4930">
        <v>0</v>
      </c>
    </row>
    <row r="4931" spans="1:12">
      <c r="A4931" s="93">
        <v>482680</v>
      </c>
      <c r="B4931" t="s">
        <v>5386</v>
      </c>
      <c r="C4931" t="s">
        <v>5602</v>
      </c>
      <c r="D4931" s="92">
        <v>0.53</v>
      </c>
      <c r="E4931" s="92">
        <v>0.39</v>
      </c>
      <c r="F4931">
        <v>19</v>
      </c>
      <c r="G4931">
        <v>22</v>
      </c>
      <c r="H4931" t="s">
        <v>5615</v>
      </c>
      <c r="I4931">
        <v>0</v>
      </c>
      <c r="J4931" t="s">
        <v>87</v>
      </c>
      <c r="K4931">
        <v>0</v>
      </c>
      <c r="L4931">
        <v>0</v>
      </c>
    </row>
    <row r="4932" spans="1:12">
      <c r="A4932" s="93">
        <v>482699</v>
      </c>
      <c r="B4932" t="s">
        <v>5387</v>
      </c>
      <c r="C4932" t="s">
        <v>5604</v>
      </c>
      <c r="D4932" s="92" t="s">
        <v>428</v>
      </c>
      <c r="E4932" s="92" t="s">
        <v>428</v>
      </c>
      <c r="F4932" t="s">
        <v>428</v>
      </c>
      <c r="G4932" t="s">
        <v>428</v>
      </c>
      <c r="H4932" t="s">
        <v>5615</v>
      </c>
      <c r="I4932">
        <v>0</v>
      </c>
      <c r="J4932" t="s">
        <v>87</v>
      </c>
      <c r="K4932">
        <v>0</v>
      </c>
      <c r="L4932">
        <v>0</v>
      </c>
    </row>
    <row r="4933" spans="1:12">
      <c r="A4933" s="93">
        <v>482705</v>
      </c>
      <c r="B4933" t="s">
        <v>5388</v>
      </c>
      <c r="C4933" t="s">
        <v>5607</v>
      </c>
      <c r="D4933" s="92" t="s">
        <v>428</v>
      </c>
      <c r="E4933" s="92" t="s">
        <v>428</v>
      </c>
      <c r="F4933" t="s">
        <v>428</v>
      </c>
      <c r="G4933" t="s">
        <v>428</v>
      </c>
      <c r="H4933" t="s">
        <v>5615</v>
      </c>
      <c r="I4933">
        <v>0</v>
      </c>
      <c r="J4933" t="s">
        <v>87</v>
      </c>
      <c r="K4933">
        <v>0</v>
      </c>
      <c r="L4933">
        <v>0</v>
      </c>
    </row>
    <row r="4934" spans="1:12">
      <c r="A4934" s="93">
        <v>482927</v>
      </c>
      <c r="B4934" t="s">
        <v>3245</v>
      </c>
      <c r="C4934" t="s">
        <v>5606</v>
      </c>
      <c r="D4934" s="92" t="s">
        <v>428</v>
      </c>
      <c r="E4934" s="92" t="s">
        <v>428</v>
      </c>
      <c r="F4934" t="s">
        <v>428</v>
      </c>
      <c r="G4934" t="s">
        <v>428</v>
      </c>
      <c r="H4934" t="s">
        <v>5617</v>
      </c>
      <c r="I4934">
        <v>0</v>
      </c>
      <c r="J4934" t="s">
        <v>87</v>
      </c>
      <c r="K4934">
        <v>0</v>
      </c>
      <c r="L4934">
        <v>0</v>
      </c>
    </row>
    <row r="4935" spans="1:12">
      <c r="A4935" s="93">
        <v>482936</v>
      </c>
      <c r="B4935" t="s">
        <v>5389</v>
      </c>
      <c r="C4935" t="s">
        <v>5603</v>
      </c>
      <c r="D4935" s="92" t="s">
        <v>428</v>
      </c>
      <c r="E4935" s="92" t="s">
        <v>428</v>
      </c>
      <c r="F4935">
        <v>23</v>
      </c>
      <c r="G4935">
        <v>25.5</v>
      </c>
      <c r="H4935" t="s">
        <v>5615</v>
      </c>
      <c r="I4935">
        <v>0</v>
      </c>
      <c r="J4935" t="s">
        <v>87</v>
      </c>
      <c r="K4935">
        <v>0</v>
      </c>
      <c r="L4935">
        <v>0</v>
      </c>
    </row>
    <row r="4936" spans="1:12">
      <c r="A4936" s="93">
        <v>482954</v>
      </c>
      <c r="B4936" t="s">
        <v>5390</v>
      </c>
      <c r="C4936" t="s">
        <v>5607</v>
      </c>
      <c r="D4936" s="92" t="s">
        <v>428</v>
      </c>
      <c r="E4936" s="92" t="s">
        <v>428</v>
      </c>
      <c r="F4936" t="s">
        <v>428</v>
      </c>
      <c r="G4936" t="s">
        <v>428</v>
      </c>
      <c r="H4936" t="s">
        <v>5617</v>
      </c>
      <c r="I4936">
        <v>0</v>
      </c>
      <c r="J4936" t="s">
        <v>87</v>
      </c>
      <c r="K4936">
        <v>0</v>
      </c>
      <c r="L4936">
        <v>0</v>
      </c>
    </row>
    <row r="4937" spans="1:12">
      <c r="A4937" s="93">
        <v>482963</v>
      </c>
      <c r="B4937" t="s">
        <v>5391</v>
      </c>
      <c r="C4937" t="s">
        <v>5606</v>
      </c>
      <c r="D4937" s="92" t="s">
        <v>428</v>
      </c>
      <c r="E4937" s="92" t="s">
        <v>428</v>
      </c>
      <c r="F4937" t="s">
        <v>428</v>
      </c>
      <c r="G4937" t="s">
        <v>428</v>
      </c>
      <c r="H4937" t="s">
        <v>5616</v>
      </c>
      <c r="I4937">
        <v>0</v>
      </c>
      <c r="J4937" t="s">
        <v>87</v>
      </c>
      <c r="K4937">
        <v>0</v>
      </c>
      <c r="L4937">
        <v>0</v>
      </c>
    </row>
    <row r="4938" spans="1:12">
      <c r="A4938" s="93">
        <v>482990</v>
      </c>
      <c r="B4938" t="s">
        <v>5392</v>
      </c>
      <c r="C4938" t="s">
        <v>5604</v>
      </c>
      <c r="D4938" s="92" t="s">
        <v>428</v>
      </c>
      <c r="E4938" s="92" t="s">
        <v>428</v>
      </c>
      <c r="F4938" t="s">
        <v>428</v>
      </c>
      <c r="G4938" t="s">
        <v>428</v>
      </c>
      <c r="H4938" t="s">
        <v>5617</v>
      </c>
      <c r="I4938">
        <v>0</v>
      </c>
      <c r="J4938" t="s">
        <v>87</v>
      </c>
      <c r="K4938">
        <v>0</v>
      </c>
      <c r="L4938">
        <v>0</v>
      </c>
    </row>
    <row r="4939" spans="1:12">
      <c r="A4939" s="93">
        <v>483009</v>
      </c>
      <c r="B4939" t="s">
        <v>4419</v>
      </c>
      <c r="C4939" t="s">
        <v>5606</v>
      </c>
      <c r="D4939" s="92" t="s">
        <v>428</v>
      </c>
      <c r="E4939" s="92" t="s">
        <v>428</v>
      </c>
      <c r="F4939" t="s">
        <v>428</v>
      </c>
      <c r="G4939" t="s">
        <v>428</v>
      </c>
      <c r="H4939" t="s">
        <v>5616</v>
      </c>
      <c r="I4939">
        <v>0</v>
      </c>
      <c r="J4939" t="s">
        <v>87</v>
      </c>
      <c r="K4939">
        <v>0</v>
      </c>
      <c r="L4939">
        <v>0</v>
      </c>
    </row>
    <row r="4940" spans="1:12">
      <c r="A4940" s="93">
        <v>483018</v>
      </c>
      <c r="B4940" t="s">
        <v>5393</v>
      </c>
      <c r="C4940" t="s">
        <v>5607</v>
      </c>
      <c r="D4940" s="92" t="s">
        <v>428</v>
      </c>
      <c r="E4940" s="92" t="s">
        <v>428</v>
      </c>
      <c r="F4940" t="s">
        <v>428</v>
      </c>
      <c r="G4940" t="s">
        <v>428</v>
      </c>
      <c r="H4940" t="s">
        <v>5613</v>
      </c>
      <c r="I4940">
        <v>1</v>
      </c>
      <c r="J4940" t="s">
        <v>87</v>
      </c>
      <c r="K4940">
        <v>0</v>
      </c>
      <c r="L4940">
        <v>0</v>
      </c>
    </row>
    <row r="4941" spans="1:12">
      <c r="A4941" s="93">
        <v>483036</v>
      </c>
      <c r="B4941" t="s">
        <v>5394</v>
      </c>
      <c r="C4941" t="s">
        <v>5607</v>
      </c>
      <c r="D4941" s="92" t="s">
        <v>428</v>
      </c>
      <c r="E4941" s="92" t="s">
        <v>428</v>
      </c>
      <c r="F4941" t="s">
        <v>428</v>
      </c>
      <c r="G4941" t="s">
        <v>428</v>
      </c>
      <c r="H4941" t="s">
        <v>5615</v>
      </c>
      <c r="I4941">
        <v>0</v>
      </c>
      <c r="J4941" t="s">
        <v>87</v>
      </c>
      <c r="K4941">
        <v>0</v>
      </c>
      <c r="L4941">
        <v>0</v>
      </c>
    </row>
    <row r="4942" spans="1:12">
      <c r="A4942" s="93">
        <v>483045</v>
      </c>
      <c r="B4942" t="s">
        <v>5395</v>
      </c>
      <c r="C4942" t="s">
        <v>5606</v>
      </c>
      <c r="D4942" s="92" t="s">
        <v>428</v>
      </c>
      <c r="E4942" s="92" t="s">
        <v>428</v>
      </c>
      <c r="F4942" t="s">
        <v>428</v>
      </c>
      <c r="G4942" t="s">
        <v>428</v>
      </c>
      <c r="H4942" t="s">
        <v>5615</v>
      </c>
      <c r="I4942">
        <v>0</v>
      </c>
      <c r="J4942" t="s">
        <v>87</v>
      </c>
      <c r="K4942">
        <v>0</v>
      </c>
      <c r="L4942">
        <v>0</v>
      </c>
    </row>
    <row r="4943" spans="1:12">
      <c r="A4943" s="93">
        <v>483124</v>
      </c>
      <c r="B4943" t="s">
        <v>5396</v>
      </c>
      <c r="C4943" t="s">
        <v>5607</v>
      </c>
      <c r="D4943" s="92">
        <v>0.2</v>
      </c>
      <c r="E4943" s="92">
        <v>0.33</v>
      </c>
      <c r="F4943" t="s">
        <v>428</v>
      </c>
      <c r="G4943" t="s">
        <v>428</v>
      </c>
      <c r="H4943" t="s">
        <v>5615</v>
      </c>
      <c r="I4943">
        <v>0</v>
      </c>
      <c r="J4943" t="s">
        <v>87</v>
      </c>
      <c r="K4943">
        <v>0</v>
      </c>
      <c r="L4943">
        <v>0</v>
      </c>
    </row>
    <row r="4944" spans="1:12">
      <c r="A4944" s="93">
        <v>483212</v>
      </c>
      <c r="B4944" t="s">
        <v>5397</v>
      </c>
      <c r="C4944" t="s">
        <v>5606</v>
      </c>
      <c r="D4944" s="92">
        <v>0.21</v>
      </c>
      <c r="E4944" s="92">
        <v>0.18</v>
      </c>
      <c r="F4944" t="s">
        <v>428</v>
      </c>
      <c r="G4944" t="s">
        <v>428</v>
      </c>
      <c r="H4944" t="s">
        <v>5615</v>
      </c>
      <c r="I4944">
        <v>0</v>
      </c>
      <c r="J4944" t="s">
        <v>87</v>
      </c>
      <c r="K4944">
        <v>0</v>
      </c>
      <c r="L4944">
        <v>0</v>
      </c>
    </row>
    <row r="4945" spans="1:12">
      <c r="A4945" s="93">
        <v>483221</v>
      </c>
      <c r="B4945" t="s">
        <v>5398</v>
      </c>
      <c r="C4945" t="s">
        <v>5606</v>
      </c>
      <c r="D4945" s="92" t="s">
        <v>428</v>
      </c>
      <c r="E4945" s="92" t="s">
        <v>428</v>
      </c>
      <c r="F4945" t="s">
        <v>428</v>
      </c>
      <c r="G4945" t="s">
        <v>428</v>
      </c>
      <c r="H4945" t="s">
        <v>5615</v>
      </c>
      <c r="I4945">
        <v>0</v>
      </c>
      <c r="J4945" t="s">
        <v>87</v>
      </c>
      <c r="K4945">
        <v>0</v>
      </c>
      <c r="L4945">
        <v>0</v>
      </c>
    </row>
    <row r="4946" spans="1:12">
      <c r="A4946" s="93">
        <v>483319</v>
      </c>
      <c r="B4946" t="s">
        <v>5399</v>
      </c>
      <c r="C4946" t="s">
        <v>5606</v>
      </c>
      <c r="D4946" s="92" t="s">
        <v>428</v>
      </c>
      <c r="E4946" s="92" t="s">
        <v>428</v>
      </c>
      <c r="F4946" t="s">
        <v>428</v>
      </c>
      <c r="G4946" t="s">
        <v>428</v>
      </c>
      <c r="H4946" t="s">
        <v>5617</v>
      </c>
      <c r="I4946">
        <v>0</v>
      </c>
      <c r="J4946" t="s">
        <v>87</v>
      </c>
      <c r="K4946">
        <v>0</v>
      </c>
      <c r="L4946">
        <v>0</v>
      </c>
    </row>
    <row r="4947" spans="1:12">
      <c r="A4947" s="93">
        <v>483364</v>
      </c>
      <c r="B4947" t="s">
        <v>5400</v>
      </c>
      <c r="C4947" t="s">
        <v>5606</v>
      </c>
      <c r="D4947" s="92" t="s">
        <v>428</v>
      </c>
      <c r="E4947" s="92" t="s">
        <v>428</v>
      </c>
      <c r="F4947" t="s">
        <v>428</v>
      </c>
      <c r="G4947" t="s">
        <v>428</v>
      </c>
      <c r="H4947" t="s">
        <v>5617</v>
      </c>
      <c r="I4947">
        <v>0</v>
      </c>
      <c r="J4947" t="s">
        <v>87</v>
      </c>
      <c r="K4947">
        <v>0</v>
      </c>
      <c r="L4947">
        <v>0</v>
      </c>
    </row>
    <row r="4948" spans="1:12">
      <c r="A4948" s="93">
        <v>483586</v>
      </c>
      <c r="B4948" t="s">
        <v>5401</v>
      </c>
      <c r="C4948" t="s">
        <v>5604</v>
      </c>
      <c r="D4948" s="92" t="s">
        <v>428</v>
      </c>
      <c r="E4948" s="92" t="s">
        <v>428</v>
      </c>
      <c r="F4948" t="s">
        <v>428</v>
      </c>
      <c r="G4948" t="s">
        <v>428</v>
      </c>
      <c r="H4948" t="s">
        <v>5615</v>
      </c>
      <c r="I4948">
        <v>0</v>
      </c>
      <c r="J4948" t="s">
        <v>87</v>
      </c>
      <c r="K4948">
        <v>0</v>
      </c>
      <c r="L4948">
        <v>0</v>
      </c>
    </row>
    <row r="4949" spans="1:12">
      <c r="A4949" s="93">
        <v>483595</v>
      </c>
      <c r="B4949" t="s">
        <v>5402</v>
      </c>
      <c r="C4949" t="s">
        <v>5607</v>
      </c>
      <c r="D4949" s="92" t="s">
        <v>428</v>
      </c>
      <c r="E4949" s="92" t="s">
        <v>428</v>
      </c>
      <c r="F4949" t="s">
        <v>428</v>
      </c>
      <c r="G4949" t="s">
        <v>428</v>
      </c>
      <c r="H4949" t="s">
        <v>5615</v>
      </c>
      <c r="I4949">
        <v>0</v>
      </c>
      <c r="J4949" t="s">
        <v>87</v>
      </c>
      <c r="K4949">
        <v>0</v>
      </c>
      <c r="L4949">
        <v>0</v>
      </c>
    </row>
    <row r="4950" spans="1:12">
      <c r="A4950" s="93">
        <v>483638</v>
      </c>
      <c r="B4950" t="s">
        <v>5403</v>
      </c>
      <c r="C4950" t="s">
        <v>5606</v>
      </c>
      <c r="D4950" s="92" t="s">
        <v>428</v>
      </c>
      <c r="E4950" s="92" t="s">
        <v>428</v>
      </c>
      <c r="F4950" t="s">
        <v>428</v>
      </c>
      <c r="G4950" t="s">
        <v>428</v>
      </c>
      <c r="H4950" t="s">
        <v>5615</v>
      </c>
      <c r="I4950">
        <v>0</v>
      </c>
      <c r="J4950" t="s">
        <v>87</v>
      </c>
      <c r="K4950">
        <v>0</v>
      </c>
      <c r="L4950">
        <v>0</v>
      </c>
    </row>
    <row r="4951" spans="1:12">
      <c r="A4951" s="93">
        <v>483780</v>
      </c>
      <c r="B4951" t="s">
        <v>5404</v>
      </c>
      <c r="C4951" t="s">
        <v>5604</v>
      </c>
      <c r="D4951" s="92" t="s">
        <v>428</v>
      </c>
      <c r="E4951" s="92" t="s">
        <v>428</v>
      </c>
      <c r="F4951" t="s">
        <v>428</v>
      </c>
      <c r="G4951" t="s">
        <v>428</v>
      </c>
      <c r="H4951" t="s">
        <v>5615</v>
      </c>
      <c r="I4951">
        <v>0</v>
      </c>
      <c r="J4951" t="s">
        <v>87</v>
      </c>
      <c r="K4951">
        <v>0</v>
      </c>
      <c r="L4951">
        <v>0</v>
      </c>
    </row>
    <row r="4952" spans="1:12">
      <c r="A4952" s="93">
        <v>483814</v>
      </c>
      <c r="B4952" t="s">
        <v>5405</v>
      </c>
      <c r="C4952" t="s">
        <v>5609</v>
      </c>
      <c r="D4952" s="92" t="s">
        <v>428</v>
      </c>
      <c r="E4952" s="92" t="s">
        <v>428</v>
      </c>
      <c r="F4952" t="s">
        <v>428</v>
      </c>
      <c r="G4952" t="s">
        <v>428</v>
      </c>
      <c r="H4952" t="s">
        <v>5617</v>
      </c>
      <c r="I4952">
        <v>0</v>
      </c>
      <c r="J4952" t="s">
        <v>87</v>
      </c>
      <c r="K4952">
        <v>0</v>
      </c>
      <c r="L4952">
        <v>0</v>
      </c>
    </row>
    <row r="4953" spans="1:12">
      <c r="A4953" s="93">
        <v>483920</v>
      </c>
      <c r="B4953" t="s">
        <v>5406</v>
      </c>
      <c r="C4953" t="s">
        <v>5606</v>
      </c>
      <c r="D4953" s="92" t="s">
        <v>428</v>
      </c>
      <c r="E4953" s="92" t="s">
        <v>428</v>
      </c>
      <c r="F4953" t="s">
        <v>428</v>
      </c>
      <c r="G4953" t="s">
        <v>428</v>
      </c>
      <c r="H4953" t="s">
        <v>5617</v>
      </c>
      <c r="I4953">
        <v>0</v>
      </c>
      <c r="J4953" t="s">
        <v>87</v>
      </c>
      <c r="K4953">
        <v>0</v>
      </c>
      <c r="L4953">
        <v>0</v>
      </c>
    </row>
    <row r="4954" spans="1:12">
      <c r="A4954" s="93">
        <v>483975</v>
      </c>
      <c r="B4954" t="s">
        <v>5407</v>
      </c>
      <c r="C4954" t="s">
        <v>5607</v>
      </c>
      <c r="D4954" s="92" t="s">
        <v>428</v>
      </c>
      <c r="E4954" s="92" t="s">
        <v>428</v>
      </c>
      <c r="F4954" t="s">
        <v>428</v>
      </c>
      <c r="G4954" t="s">
        <v>428</v>
      </c>
      <c r="H4954" t="s">
        <v>5615</v>
      </c>
      <c r="I4954">
        <v>0</v>
      </c>
      <c r="J4954" t="s">
        <v>87</v>
      </c>
      <c r="K4954">
        <v>0</v>
      </c>
      <c r="L4954">
        <v>0</v>
      </c>
    </row>
    <row r="4955" spans="1:12">
      <c r="A4955" s="93">
        <v>483984</v>
      </c>
      <c r="B4955" t="s">
        <v>5408</v>
      </c>
      <c r="C4955" t="s">
        <v>5608</v>
      </c>
      <c r="D4955" s="92" t="s">
        <v>428</v>
      </c>
      <c r="E4955" s="92" t="s">
        <v>428</v>
      </c>
      <c r="F4955">
        <v>17</v>
      </c>
      <c r="G4955">
        <v>20</v>
      </c>
      <c r="H4955" t="s">
        <v>5617</v>
      </c>
      <c r="I4955">
        <v>0</v>
      </c>
      <c r="J4955" t="s">
        <v>87</v>
      </c>
      <c r="K4955">
        <v>0</v>
      </c>
      <c r="L4955">
        <v>0</v>
      </c>
    </row>
    <row r="4956" spans="1:12">
      <c r="A4956" s="93">
        <v>484002</v>
      </c>
      <c r="B4956" t="s">
        <v>5409</v>
      </c>
      <c r="C4956" t="s">
        <v>5606</v>
      </c>
      <c r="D4956" s="92" t="s">
        <v>428</v>
      </c>
      <c r="E4956" s="92" t="s">
        <v>428</v>
      </c>
      <c r="F4956" t="s">
        <v>428</v>
      </c>
      <c r="G4956" t="s">
        <v>428</v>
      </c>
      <c r="H4956" t="s">
        <v>5617</v>
      </c>
      <c r="I4956">
        <v>0</v>
      </c>
      <c r="J4956" t="s">
        <v>87</v>
      </c>
      <c r="K4956">
        <v>0</v>
      </c>
      <c r="L4956">
        <v>0</v>
      </c>
    </row>
    <row r="4957" spans="1:12">
      <c r="A4957" s="93">
        <v>484066</v>
      </c>
      <c r="B4957" t="s">
        <v>5410</v>
      </c>
      <c r="C4957" t="s">
        <v>5606</v>
      </c>
      <c r="D4957" s="92" t="s">
        <v>428</v>
      </c>
      <c r="E4957" s="92" t="s">
        <v>428</v>
      </c>
      <c r="F4957" t="s">
        <v>428</v>
      </c>
      <c r="G4957" t="s">
        <v>428</v>
      </c>
      <c r="H4957" t="s">
        <v>5617</v>
      </c>
      <c r="I4957">
        <v>0</v>
      </c>
      <c r="J4957" t="s">
        <v>87</v>
      </c>
      <c r="K4957">
        <v>0</v>
      </c>
      <c r="L4957">
        <v>0</v>
      </c>
    </row>
    <row r="4958" spans="1:12">
      <c r="A4958" s="93">
        <v>484233</v>
      </c>
      <c r="B4958" t="s">
        <v>5411</v>
      </c>
      <c r="C4958" t="s">
        <v>5606</v>
      </c>
      <c r="D4958" s="92" t="s">
        <v>428</v>
      </c>
      <c r="E4958" s="92" t="s">
        <v>428</v>
      </c>
      <c r="F4958" t="s">
        <v>428</v>
      </c>
      <c r="G4958" t="s">
        <v>428</v>
      </c>
      <c r="H4958" t="s">
        <v>5615</v>
      </c>
      <c r="I4958">
        <v>0</v>
      </c>
      <c r="J4958" t="s">
        <v>87</v>
      </c>
      <c r="K4958">
        <v>0</v>
      </c>
      <c r="L4958">
        <v>0</v>
      </c>
    </row>
    <row r="4959" spans="1:12">
      <c r="A4959" s="93">
        <v>484303</v>
      </c>
      <c r="B4959" t="s">
        <v>5412</v>
      </c>
      <c r="C4959" t="s">
        <v>5606</v>
      </c>
      <c r="D4959" s="92" t="s">
        <v>428</v>
      </c>
      <c r="E4959" s="92" t="s">
        <v>428</v>
      </c>
      <c r="F4959" t="s">
        <v>428</v>
      </c>
      <c r="G4959" t="s">
        <v>428</v>
      </c>
      <c r="H4959" t="s">
        <v>5615</v>
      </c>
      <c r="I4959">
        <v>0</v>
      </c>
      <c r="J4959" t="s">
        <v>87</v>
      </c>
      <c r="K4959">
        <v>0</v>
      </c>
      <c r="L4959">
        <v>0</v>
      </c>
    </row>
    <row r="4960" spans="1:12">
      <c r="A4960" s="93">
        <v>484349</v>
      </c>
      <c r="B4960" t="s">
        <v>5413</v>
      </c>
      <c r="C4960" t="s">
        <v>5606</v>
      </c>
      <c r="D4960" s="92" t="s">
        <v>428</v>
      </c>
      <c r="E4960" s="92" t="s">
        <v>428</v>
      </c>
      <c r="F4960" t="s">
        <v>428</v>
      </c>
      <c r="G4960" t="s">
        <v>428</v>
      </c>
      <c r="H4960" t="s">
        <v>5617</v>
      </c>
      <c r="I4960">
        <v>0</v>
      </c>
      <c r="J4960" t="s">
        <v>87</v>
      </c>
      <c r="K4960">
        <v>0</v>
      </c>
      <c r="L4960">
        <v>0</v>
      </c>
    </row>
    <row r="4961" spans="1:12">
      <c r="A4961" s="93">
        <v>484367</v>
      </c>
      <c r="B4961" t="s">
        <v>5414</v>
      </c>
      <c r="C4961" t="s">
        <v>5606</v>
      </c>
      <c r="D4961" s="92" t="s">
        <v>428</v>
      </c>
      <c r="E4961" s="92" t="s">
        <v>428</v>
      </c>
      <c r="F4961" t="s">
        <v>428</v>
      </c>
      <c r="G4961" t="s">
        <v>428</v>
      </c>
      <c r="H4961" t="s">
        <v>5617</v>
      </c>
      <c r="I4961">
        <v>0</v>
      </c>
      <c r="J4961" t="s">
        <v>87</v>
      </c>
      <c r="K4961">
        <v>0</v>
      </c>
      <c r="L4961">
        <v>0</v>
      </c>
    </row>
    <row r="4962" spans="1:12">
      <c r="A4962" s="93">
        <v>484376</v>
      </c>
      <c r="B4962" t="s">
        <v>5415</v>
      </c>
      <c r="C4962" t="s">
        <v>5606</v>
      </c>
      <c r="D4962" s="92" t="s">
        <v>428</v>
      </c>
      <c r="E4962" s="92" t="s">
        <v>428</v>
      </c>
      <c r="F4962" t="s">
        <v>428</v>
      </c>
      <c r="G4962" t="s">
        <v>428</v>
      </c>
      <c r="H4962" t="s">
        <v>5617</v>
      </c>
      <c r="I4962">
        <v>0</v>
      </c>
      <c r="J4962" t="s">
        <v>87</v>
      </c>
      <c r="K4962">
        <v>0</v>
      </c>
      <c r="L4962">
        <v>0</v>
      </c>
    </row>
    <row r="4963" spans="1:12">
      <c r="A4963" s="93">
        <v>484473</v>
      </c>
      <c r="B4963" t="s">
        <v>5416</v>
      </c>
      <c r="C4963" t="s">
        <v>5603</v>
      </c>
      <c r="D4963" s="92" t="s">
        <v>428</v>
      </c>
      <c r="E4963" s="92" t="s">
        <v>428</v>
      </c>
      <c r="F4963">
        <v>23</v>
      </c>
      <c r="G4963">
        <v>25.5</v>
      </c>
      <c r="H4963" t="s">
        <v>5615</v>
      </c>
      <c r="I4963">
        <v>0</v>
      </c>
      <c r="J4963" t="s">
        <v>87</v>
      </c>
      <c r="K4963">
        <v>0</v>
      </c>
      <c r="L4963">
        <v>0</v>
      </c>
    </row>
    <row r="4964" spans="1:12">
      <c r="A4964" s="93">
        <v>484613</v>
      </c>
      <c r="B4964" t="s">
        <v>5417</v>
      </c>
      <c r="C4964" t="s">
        <v>5604</v>
      </c>
      <c r="D4964" s="92">
        <v>0.11</v>
      </c>
      <c r="E4964" s="92">
        <v>0.15</v>
      </c>
      <c r="F4964" t="s">
        <v>428</v>
      </c>
      <c r="G4964" t="s">
        <v>428</v>
      </c>
      <c r="H4964" t="s">
        <v>5617</v>
      </c>
      <c r="I4964">
        <v>0</v>
      </c>
      <c r="J4964" t="s">
        <v>87</v>
      </c>
      <c r="K4964">
        <v>0</v>
      </c>
      <c r="L4964">
        <v>0</v>
      </c>
    </row>
    <row r="4965" spans="1:12">
      <c r="A4965" s="93">
        <v>484622</v>
      </c>
      <c r="B4965" t="s">
        <v>5418</v>
      </c>
      <c r="C4965" t="s">
        <v>5607</v>
      </c>
      <c r="D4965" s="92">
        <v>0.1</v>
      </c>
      <c r="E4965" s="92">
        <v>0.1</v>
      </c>
      <c r="F4965" t="s">
        <v>428</v>
      </c>
      <c r="G4965" t="s">
        <v>428</v>
      </c>
      <c r="H4965" t="s">
        <v>5617</v>
      </c>
      <c r="I4965">
        <v>0</v>
      </c>
      <c r="J4965" t="s">
        <v>87</v>
      </c>
      <c r="K4965">
        <v>0</v>
      </c>
      <c r="L4965">
        <v>0</v>
      </c>
    </row>
    <row r="4966" spans="1:12">
      <c r="A4966" s="93">
        <v>484631</v>
      </c>
      <c r="B4966" t="s">
        <v>5419</v>
      </c>
      <c r="C4966" t="s">
        <v>5604</v>
      </c>
      <c r="D4966" s="92">
        <v>0.18</v>
      </c>
      <c r="E4966" s="92">
        <v>0.22</v>
      </c>
      <c r="F4966" t="s">
        <v>428</v>
      </c>
      <c r="G4966" t="s">
        <v>428</v>
      </c>
      <c r="H4966" t="s">
        <v>5617</v>
      </c>
      <c r="I4966">
        <v>0</v>
      </c>
      <c r="J4966" t="s">
        <v>87</v>
      </c>
      <c r="K4966">
        <v>0</v>
      </c>
      <c r="L4966">
        <v>0</v>
      </c>
    </row>
    <row r="4967" spans="1:12">
      <c r="A4967" s="93">
        <v>484640</v>
      </c>
      <c r="B4967" t="s">
        <v>5420</v>
      </c>
      <c r="C4967" t="s">
        <v>5604</v>
      </c>
      <c r="D4967" s="92">
        <v>0.17</v>
      </c>
      <c r="E4967" s="92">
        <v>0.2</v>
      </c>
      <c r="F4967" t="s">
        <v>428</v>
      </c>
      <c r="G4967" t="s">
        <v>428</v>
      </c>
      <c r="H4967" t="s">
        <v>5617</v>
      </c>
      <c r="I4967">
        <v>0</v>
      </c>
      <c r="J4967" t="s">
        <v>87</v>
      </c>
      <c r="K4967">
        <v>0</v>
      </c>
      <c r="L4967">
        <v>0</v>
      </c>
    </row>
    <row r="4968" spans="1:12">
      <c r="A4968" s="93">
        <v>484668</v>
      </c>
      <c r="B4968" t="s">
        <v>5421</v>
      </c>
      <c r="C4968" t="s">
        <v>5604</v>
      </c>
      <c r="D4968" s="92">
        <v>0.15</v>
      </c>
      <c r="E4968" s="92">
        <v>0.29</v>
      </c>
      <c r="F4968" t="s">
        <v>428</v>
      </c>
      <c r="G4968" t="s">
        <v>428</v>
      </c>
      <c r="H4968" t="s">
        <v>5617</v>
      </c>
      <c r="I4968">
        <v>0</v>
      </c>
      <c r="J4968" t="s">
        <v>87</v>
      </c>
      <c r="K4968">
        <v>0</v>
      </c>
      <c r="L4968">
        <v>0</v>
      </c>
    </row>
    <row r="4969" spans="1:12">
      <c r="A4969" s="93">
        <v>484677</v>
      </c>
      <c r="B4969" t="s">
        <v>5422</v>
      </c>
      <c r="C4969" t="s">
        <v>5604</v>
      </c>
      <c r="D4969" s="92">
        <v>0.14</v>
      </c>
      <c r="E4969" s="92">
        <v>0.17</v>
      </c>
      <c r="F4969" t="s">
        <v>428</v>
      </c>
      <c r="G4969" t="s">
        <v>428</v>
      </c>
      <c r="H4969" t="s">
        <v>5617</v>
      </c>
      <c r="I4969">
        <v>0</v>
      </c>
      <c r="J4969" t="s">
        <v>87</v>
      </c>
      <c r="K4969">
        <v>0</v>
      </c>
      <c r="L4969">
        <v>0</v>
      </c>
    </row>
    <row r="4970" spans="1:12">
      <c r="A4970" s="93">
        <v>484686</v>
      </c>
      <c r="B4970" t="s">
        <v>5423</v>
      </c>
      <c r="C4970" t="s">
        <v>5607</v>
      </c>
      <c r="D4970" s="92">
        <v>0.13</v>
      </c>
      <c r="E4970" s="92">
        <v>0.15</v>
      </c>
      <c r="F4970" t="s">
        <v>428</v>
      </c>
      <c r="G4970" t="s">
        <v>428</v>
      </c>
      <c r="H4970" t="s">
        <v>5617</v>
      </c>
      <c r="I4970">
        <v>0</v>
      </c>
      <c r="J4970" t="s">
        <v>87</v>
      </c>
      <c r="K4970">
        <v>0</v>
      </c>
      <c r="L4970">
        <v>0</v>
      </c>
    </row>
    <row r="4971" spans="1:12">
      <c r="A4971" s="93">
        <v>484695</v>
      </c>
      <c r="B4971" t="s">
        <v>5424</v>
      </c>
      <c r="C4971" t="s">
        <v>5604</v>
      </c>
      <c r="D4971" s="92">
        <v>0.09</v>
      </c>
      <c r="E4971" s="92">
        <v>0.12</v>
      </c>
      <c r="F4971" t="s">
        <v>428</v>
      </c>
      <c r="G4971" t="s">
        <v>428</v>
      </c>
      <c r="H4971" t="s">
        <v>5617</v>
      </c>
      <c r="I4971">
        <v>0</v>
      </c>
      <c r="J4971" t="s">
        <v>87</v>
      </c>
      <c r="K4971">
        <v>0</v>
      </c>
      <c r="L4971">
        <v>0</v>
      </c>
    </row>
    <row r="4972" spans="1:12">
      <c r="A4972" s="93">
        <v>484701</v>
      </c>
      <c r="B4972" t="s">
        <v>5425</v>
      </c>
      <c r="C4972" t="s">
        <v>5607</v>
      </c>
      <c r="D4972" s="92">
        <v>0.09</v>
      </c>
      <c r="E4972" s="92">
        <v>0.12</v>
      </c>
      <c r="F4972" t="s">
        <v>428</v>
      </c>
      <c r="G4972" t="s">
        <v>428</v>
      </c>
      <c r="H4972" t="s">
        <v>5617</v>
      </c>
      <c r="I4972">
        <v>0</v>
      </c>
      <c r="J4972" t="s">
        <v>87</v>
      </c>
      <c r="K4972">
        <v>0</v>
      </c>
      <c r="L4972">
        <v>0</v>
      </c>
    </row>
    <row r="4973" spans="1:12">
      <c r="A4973" s="93">
        <v>484710</v>
      </c>
      <c r="B4973" t="s">
        <v>5426</v>
      </c>
      <c r="C4973" t="s">
        <v>5604</v>
      </c>
      <c r="D4973" s="92">
        <v>0.17</v>
      </c>
      <c r="E4973" s="92">
        <v>0.2</v>
      </c>
      <c r="F4973" t="s">
        <v>428</v>
      </c>
      <c r="G4973" t="s">
        <v>428</v>
      </c>
      <c r="H4973" t="s">
        <v>5617</v>
      </c>
      <c r="I4973">
        <v>0</v>
      </c>
      <c r="J4973" t="s">
        <v>87</v>
      </c>
      <c r="K4973">
        <v>0</v>
      </c>
      <c r="L4973">
        <v>0</v>
      </c>
    </row>
    <row r="4974" spans="1:12">
      <c r="A4974" s="93">
        <v>484729</v>
      </c>
      <c r="B4974" t="s">
        <v>5427</v>
      </c>
      <c r="C4974" t="s">
        <v>5604</v>
      </c>
      <c r="D4974" s="92">
        <v>0.12</v>
      </c>
      <c r="E4974" s="92">
        <v>0.15</v>
      </c>
      <c r="F4974" t="s">
        <v>428</v>
      </c>
      <c r="G4974" t="s">
        <v>428</v>
      </c>
      <c r="H4974" t="s">
        <v>5617</v>
      </c>
      <c r="I4974">
        <v>0</v>
      </c>
      <c r="J4974" t="s">
        <v>87</v>
      </c>
      <c r="K4974">
        <v>0</v>
      </c>
      <c r="L4974">
        <v>0</v>
      </c>
    </row>
    <row r="4975" spans="1:12">
      <c r="A4975" s="93">
        <v>484738</v>
      </c>
      <c r="B4975" t="s">
        <v>5428</v>
      </c>
      <c r="C4975" t="s">
        <v>5607</v>
      </c>
      <c r="D4975" s="92">
        <v>0.12</v>
      </c>
      <c r="E4975" s="92">
        <v>0.14</v>
      </c>
      <c r="F4975" t="s">
        <v>428</v>
      </c>
      <c r="G4975" t="s">
        <v>428</v>
      </c>
      <c r="H4975" t="s">
        <v>5617</v>
      </c>
      <c r="I4975">
        <v>0</v>
      </c>
      <c r="J4975" t="s">
        <v>87</v>
      </c>
      <c r="K4975">
        <v>0</v>
      </c>
      <c r="L4975">
        <v>0</v>
      </c>
    </row>
    <row r="4976" spans="1:12">
      <c r="A4976" s="93">
        <v>484747</v>
      </c>
      <c r="B4976" t="s">
        <v>5429</v>
      </c>
      <c r="C4976" t="s">
        <v>5607</v>
      </c>
      <c r="D4976" s="92">
        <v>0.15</v>
      </c>
      <c r="E4976" s="92">
        <v>0.19</v>
      </c>
      <c r="F4976" t="s">
        <v>428</v>
      </c>
      <c r="G4976" t="s">
        <v>428</v>
      </c>
      <c r="H4976" t="s">
        <v>5617</v>
      </c>
      <c r="I4976">
        <v>0</v>
      </c>
      <c r="J4976" t="s">
        <v>87</v>
      </c>
      <c r="K4976">
        <v>0</v>
      </c>
      <c r="L4976">
        <v>0</v>
      </c>
    </row>
    <row r="4977" spans="1:12">
      <c r="A4977" s="93">
        <v>484756</v>
      </c>
      <c r="B4977" t="s">
        <v>5430</v>
      </c>
      <c r="C4977" t="s">
        <v>5604</v>
      </c>
      <c r="D4977" s="92">
        <v>0.17</v>
      </c>
      <c r="E4977" s="92">
        <v>0.25</v>
      </c>
      <c r="F4977" t="s">
        <v>428</v>
      </c>
      <c r="G4977" t="s">
        <v>428</v>
      </c>
      <c r="H4977" t="s">
        <v>5617</v>
      </c>
      <c r="I4977">
        <v>0</v>
      </c>
      <c r="J4977" t="s">
        <v>87</v>
      </c>
      <c r="K4977">
        <v>0</v>
      </c>
      <c r="L4977">
        <v>0</v>
      </c>
    </row>
    <row r="4978" spans="1:12">
      <c r="A4978" s="93">
        <v>484765</v>
      </c>
      <c r="B4978" t="s">
        <v>5431</v>
      </c>
      <c r="C4978" t="s">
        <v>5604</v>
      </c>
      <c r="D4978" s="92">
        <v>0.09</v>
      </c>
      <c r="E4978" s="92">
        <v>0.09</v>
      </c>
      <c r="F4978" t="s">
        <v>428</v>
      </c>
      <c r="G4978" t="s">
        <v>428</v>
      </c>
      <c r="H4978" t="s">
        <v>5617</v>
      </c>
      <c r="I4978">
        <v>0</v>
      </c>
      <c r="J4978" t="s">
        <v>87</v>
      </c>
      <c r="K4978">
        <v>0</v>
      </c>
      <c r="L4978">
        <v>0</v>
      </c>
    </row>
    <row r="4979" spans="1:12">
      <c r="A4979" s="93">
        <v>484783</v>
      </c>
      <c r="B4979" t="s">
        <v>5432</v>
      </c>
      <c r="C4979" t="s">
        <v>5604</v>
      </c>
      <c r="D4979" s="92">
        <v>0.08</v>
      </c>
      <c r="E4979" s="92">
        <v>0.12</v>
      </c>
      <c r="F4979" t="s">
        <v>428</v>
      </c>
      <c r="G4979" t="s">
        <v>428</v>
      </c>
      <c r="H4979" t="s">
        <v>5617</v>
      </c>
      <c r="I4979">
        <v>0</v>
      </c>
      <c r="J4979" t="s">
        <v>87</v>
      </c>
      <c r="K4979">
        <v>0</v>
      </c>
      <c r="L4979">
        <v>0</v>
      </c>
    </row>
    <row r="4980" spans="1:12">
      <c r="A4980" s="93">
        <v>484835</v>
      </c>
      <c r="B4980" t="s">
        <v>5433</v>
      </c>
      <c r="C4980" t="s">
        <v>5604</v>
      </c>
      <c r="D4980" s="92" t="s">
        <v>428</v>
      </c>
      <c r="E4980" s="92" t="s">
        <v>428</v>
      </c>
      <c r="F4980" t="s">
        <v>428</v>
      </c>
      <c r="G4980" t="s">
        <v>428</v>
      </c>
      <c r="H4980" t="s">
        <v>5624</v>
      </c>
      <c r="I4980">
        <v>1</v>
      </c>
      <c r="J4980" t="s">
        <v>87</v>
      </c>
      <c r="K4980">
        <v>0</v>
      </c>
      <c r="L4980">
        <v>0</v>
      </c>
    </row>
    <row r="4981" spans="1:12">
      <c r="A4981" s="93">
        <v>484844</v>
      </c>
      <c r="B4981" t="s">
        <v>5434</v>
      </c>
      <c r="C4981" t="s">
        <v>5607</v>
      </c>
      <c r="D4981" s="92" t="s">
        <v>428</v>
      </c>
      <c r="E4981" s="92" t="s">
        <v>428</v>
      </c>
      <c r="F4981" t="s">
        <v>428</v>
      </c>
      <c r="G4981" t="s">
        <v>428</v>
      </c>
      <c r="H4981" t="s">
        <v>5615</v>
      </c>
      <c r="I4981">
        <v>0</v>
      </c>
      <c r="J4981" t="s">
        <v>87</v>
      </c>
      <c r="K4981">
        <v>0</v>
      </c>
      <c r="L4981">
        <v>0</v>
      </c>
    </row>
    <row r="4982" spans="1:12">
      <c r="A4982" s="93">
        <v>484862</v>
      </c>
      <c r="B4982" t="s">
        <v>5435</v>
      </c>
      <c r="C4982" t="s">
        <v>5607</v>
      </c>
      <c r="D4982" s="92" t="s">
        <v>428</v>
      </c>
      <c r="E4982" s="92" t="s">
        <v>428</v>
      </c>
      <c r="F4982" t="s">
        <v>428</v>
      </c>
      <c r="G4982" t="s">
        <v>428</v>
      </c>
      <c r="H4982" t="s">
        <v>5615</v>
      </c>
      <c r="I4982">
        <v>0</v>
      </c>
      <c r="J4982" t="s">
        <v>87</v>
      </c>
      <c r="K4982">
        <v>0</v>
      </c>
      <c r="L4982">
        <v>0</v>
      </c>
    </row>
    <row r="4983" spans="1:12">
      <c r="A4983" s="93">
        <v>484871</v>
      </c>
      <c r="B4983" t="s">
        <v>5436</v>
      </c>
      <c r="C4983" t="s">
        <v>5604</v>
      </c>
      <c r="D4983" s="92" t="s">
        <v>428</v>
      </c>
      <c r="E4983" s="92" t="s">
        <v>428</v>
      </c>
      <c r="F4983" t="s">
        <v>428</v>
      </c>
      <c r="G4983" t="s">
        <v>428</v>
      </c>
      <c r="H4983" t="s">
        <v>5614</v>
      </c>
      <c r="I4983">
        <v>1</v>
      </c>
      <c r="J4983" t="s">
        <v>87</v>
      </c>
      <c r="K4983">
        <v>0</v>
      </c>
      <c r="L4983">
        <v>0</v>
      </c>
    </row>
    <row r="4984" spans="1:12">
      <c r="A4984" s="93">
        <v>484905</v>
      </c>
      <c r="B4984" t="s">
        <v>5437</v>
      </c>
      <c r="C4984" t="s">
        <v>5608</v>
      </c>
      <c r="D4984" s="92">
        <v>0.33</v>
      </c>
      <c r="E4984" s="92">
        <v>0.34</v>
      </c>
      <c r="F4984">
        <v>17</v>
      </c>
      <c r="G4984">
        <v>19.5</v>
      </c>
      <c r="H4984" t="s">
        <v>5615</v>
      </c>
      <c r="I4984">
        <v>0</v>
      </c>
      <c r="J4984" t="s">
        <v>87</v>
      </c>
      <c r="K4984">
        <v>0</v>
      </c>
      <c r="L4984">
        <v>0</v>
      </c>
    </row>
    <row r="4985" spans="1:12">
      <c r="A4985" s="93">
        <v>484932</v>
      </c>
      <c r="B4985" t="s">
        <v>5438</v>
      </c>
      <c r="C4985" t="s">
        <v>5606</v>
      </c>
      <c r="D4985" s="92" t="s">
        <v>428</v>
      </c>
      <c r="E4985" s="92" t="s">
        <v>428</v>
      </c>
      <c r="F4985" t="s">
        <v>428</v>
      </c>
      <c r="G4985" t="s">
        <v>428</v>
      </c>
      <c r="H4985" t="s">
        <v>5615</v>
      </c>
      <c r="I4985">
        <v>0</v>
      </c>
      <c r="J4985" t="s">
        <v>87</v>
      </c>
      <c r="K4985">
        <v>0</v>
      </c>
      <c r="L4985">
        <v>0</v>
      </c>
    </row>
    <row r="4986" spans="1:12">
      <c r="A4986" s="93">
        <v>484950</v>
      </c>
      <c r="B4986" t="s">
        <v>5439</v>
      </c>
      <c r="C4986" t="s">
        <v>5606</v>
      </c>
      <c r="D4986" s="92">
        <v>0.68</v>
      </c>
      <c r="E4986" s="92">
        <v>0.89</v>
      </c>
      <c r="F4986" t="s">
        <v>428</v>
      </c>
      <c r="G4986" t="s">
        <v>428</v>
      </c>
      <c r="H4986" t="s">
        <v>5616</v>
      </c>
      <c r="I4986">
        <v>0</v>
      </c>
      <c r="J4986" t="s">
        <v>87</v>
      </c>
      <c r="K4986">
        <v>0</v>
      </c>
      <c r="L4986">
        <v>0</v>
      </c>
    </row>
    <row r="4987" spans="1:12">
      <c r="A4987" s="93">
        <v>484978</v>
      </c>
      <c r="B4987" t="s">
        <v>5440</v>
      </c>
      <c r="C4987" t="s">
        <v>5606</v>
      </c>
      <c r="D4987" s="92" t="s">
        <v>428</v>
      </c>
      <c r="E4987" s="92" t="s">
        <v>428</v>
      </c>
      <c r="F4987" t="s">
        <v>428</v>
      </c>
      <c r="G4987" t="s">
        <v>428</v>
      </c>
      <c r="H4987" t="s">
        <v>5617</v>
      </c>
      <c r="I4987">
        <v>0</v>
      </c>
      <c r="J4987" t="s">
        <v>87</v>
      </c>
      <c r="K4987">
        <v>0</v>
      </c>
      <c r="L4987">
        <v>0</v>
      </c>
    </row>
    <row r="4988" spans="1:12">
      <c r="A4988" s="93">
        <v>485078</v>
      </c>
      <c r="B4988" t="s">
        <v>5441</v>
      </c>
      <c r="C4988" t="s">
        <v>5607</v>
      </c>
      <c r="D4988" s="92" t="s">
        <v>428</v>
      </c>
      <c r="E4988" s="92" t="s">
        <v>428</v>
      </c>
      <c r="F4988" t="s">
        <v>428</v>
      </c>
      <c r="G4988" t="s">
        <v>428</v>
      </c>
      <c r="H4988" t="s">
        <v>5615</v>
      </c>
      <c r="I4988">
        <v>0</v>
      </c>
      <c r="J4988" t="s">
        <v>87</v>
      </c>
      <c r="K4988">
        <v>0</v>
      </c>
      <c r="L4988">
        <v>0</v>
      </c>
    </row>
    <row r="4989" spans="1:12">
      <c r="A4989" s="93">
        <v>485111</v>
      </c>
      <c r="B4989" t="s">
        <v>5442</v>
      </c>
      <c r="C4989" t="s">
        <v>5604</v>
      </c>
      <c r="D4989" s="92">
        <v>0.27</v>
      </c>
      <c r="E4989" s="92">
        <v>0.21</v>
      </c>
      <c r="F4989" t="s">
        <v>428</v>
      </c>
      <c r="G4989" t="s">
        <v>428</v>
      </c>
      <c r="H4989" t="s">
        <v>5615</v>
      </c>
      <c r="I4989">
        <v>0</v>
      </c>
      <c r="J4989" t="s">
        <v>87</v>
      </c>
      <c r="K4989">
        <v>0</v>
      </c>
      <c r="L4989">
        <v>0</v>
      </c>
    </row>
    <row r="4990" spans="1:12">
      <c r="A4990" s="93">
        <v>485120</v>
      </c>
      <c r="B4990" t="s">
        <v>5443</v>
      </c>
      <c r="C4990" t="s">
        <v>5606</v>
      </c>
      <c r="D4990" s="92" t="s">
        <v>428</v>
      </c>
      <c r="E4990" s="92" t="s">
        <v>428</v>
      </c>
      <c r="F4990" t="s">
        <v>428</v>
      </c>
      <c r="G4990" t="s">
        <v>428</v>
      </c>
      <c r="H4990" t="s">
        <v>5615</v>
      </c>
      <c r="I4990">
        <v>0</v>
      </c>
      <c r="J4990" t="s">
        <v>87</v>
      </c>
      <c r="K4990">
        <v>0</v>
      </c>
      <c r="L4990">
        <v>0</v>
      </c>
    </row>
    <row r="4991" spans="1:12">
      <c r="A4991" s="93">
        <v>485139</v>
      </c>
      <c r="B4991" t="s">
        <v>5444</v>
      </c>
      <c r="C4991" t="s">
        <v>5606</v>
      </c>
      <c r="D4991" s="92" t="s">
        <v>428</v>
      </c>
      <c r="E4991" s="92" t="s">
        <v>428</v>
      </c>
      <c r="F4991" t="s">
        <v>428</v>
      </c>
      <c r="G4991" t="s">
        <v>428</v>
      </c>
      <c r="H4991" t="s">
        <v>5617</v>
      </c>
      <c r="I4991">
        <v>0</v>
      </c>
      <c r="J4991" t="s">
        <v>87</v>
      </c>
      <c r="K4991">
        <v>0</v>
      </c>
      <c r="L4991">
        <v>1</v>
      </c>
    </row>
    <row r="4992" spans="1:12">
      <c r="A4992" s="93">
        <v>485263</v>
      </c>
      <c r="B4992" t="s">
        <v>5298</v>
      </c>
      <c r="C4992" t="s">
        <v>5604</v>
      </c>
      <c r="D4992" s="92">
        <v>0.2</v>
      </c>
      <c r="E4992" s="92">
        <v>0.17</v>
      </c>
      <c r="F4992" t="s">
        <v>428</v>
      </c>
      <c r="G4992" t="s">
        <v>428</v>
      </c>
      <c r="H4992" t="s">
        <v>5617</v>
      </c>
      <c r="I4992">
        <v>0</v>
      </c>
      <c r="J4992" t="s">
        <v>87</v>
      </c>
      <c r="K4992">
        <v>0</v>
      </c>
      <c r="L4992">
        <v>0</v>
      </c>
    </row>
    <row r="4993" spans="1:12">
      <c r="A4993" s="93">
        <v>485272</v>
      </c>
      <c r="B4993" t="s">
        <v>5445</v>
      </c>
      <c r="C4993" t="s">
        <v>5607</v>
      </c>
      <c r="D4993" s="92" t="s">
        <v>428</v>
      </c>
      <c r="E4993" s="92" t="s">
        <v>428</v>
      </c>
      <c r="F4993" t="s">
        <v>428</v>
      </c>
      <c r="G4993" t="s">
        <v>428</v>
      </c>
      <c r="H4993" t="s">
        <v>5617</v>
      </c>
      <c r="I4993">
        <v>0</v>
      </c>
      <c r="J4993" t="s">
        <v>87</v>
      </c>
      <c r="K4993">
        <v>0</v>
      </c>
      <c r="L4993">
        <v>0</v>
      </c>
    </row>
    <row r="4994" spans="1:12">
      <c r="A4994" s="93">
        <v>485281</v>
      </c>
      <c r="B4994" t="s">
        <v>5446</v>
      </c>
      <c r="C4994" t="s">
        <v>5604</v>
      </c>
      <c r="D4994" s="92" t="s">
        <v>428</v>
      </c>
      <c r="E4994" s="92" t="s">
        <v>428</v>
      </c>
      <c r="F4994" t="s">
        <v>428</v>
      </c>
      <c r="G4994" t="s">
        <v>428</v>
      </c>
      <c r="H4994" t="s">
        <v>5615</v>
      </c>
      <c r="I4994">
        <v>0</v>
      </c>
      <c r="J4994" t="s">
        <v>87</v>
      </c>
      <c r="K4994">
        <v>0</v>
      </c>
      <c r="L4994">
        <v>0</v>
      </c>
    </row>
    <row r="4995" spans="1:12">
      <c r="A4995" s="93">
        <v>485290</v>
      </c>
      <c r="B4995" t="s">
        <v>5447</v>
      </c>
      <c r="C4995" t="s">
        <v>5607</v>
      </c>
      <c r="D4995" s="92" t="s">
        <v>428</v>
      </c>
      <c r="E4995" s="92" t="s">
        <v>428</v>
      </c>
      <c r="F4995" t="s">
        <v>428</v>
      </c>
      <c r="G4995" t="s">
        <v>428</v>
      </c>
      <c r="H4995" t="s">
        <v>5615</v>
      </c>
      <c r="I4995">
        <v>0</v>
      </c>
      <c r="J4995" t="s">
        <v>87</v>
      </c>
      <c r="K4995">
        <v>0</v>
      </c>
      <c r="L4995">
        <v>0</v>
      </c>
    </row>
    <row r="4996" spans="1:12">
      <c r="A4996" s="93">
        <v>485403</v>
      </c>
      <c r="B4996" t="s">
        <v>5448</v>
      </c>
      <c r="C4996" t="s">
        <v>5607</v>
      </c>
      <c r="D4996" s="92" t="s">
        <v>428</v>
      </c>
      <c r="E4996" s="92" t="s">
        <v>428</v>
      </c>
      <c r="F4996" t="s">
        <v>428</v>
      </c>
      <c r="G4996" t="s">
        <v>428</v>
      </c>
      <c r="H4996" t="s">
        <v>5615</v>
      </c>
      <c r="I4996">
        <v>0</v>
      </c>
      <c r="J4996" t="s">
        <v>87</v>
      </c>
      <c r="K4996">
        <v>0</v>
      </c>
      <c r="L4996">
        <v>0</v>
      </c>
    </row>
    <row r="4997" spans="1:12">
      <c r="A4997" s="93">
        <v>485421</v>
      </c>
      <c r="B4997" t="s">
        <v>5449</v>
      </c>
      <c r="C4997" t="s">
        <v>5606</v>
      </c>
      <c r="D4997" s="92" t="s">
        <v>428</v>
      </c>
      <c r="E4997" s="92" t="s">
        <v>428</v>
      </c>
      <c r="F4997" t="s">
        <v>428</v>
      </c>
      <c r="G4997" t="s">
        <v>428</v>
      </c>
      <c r="H4997" t="s">
        <v>5614</v>
      </c>
      <c r="I4997">
        <v>1</v>
      </c>
      <c r="J4997" t="s">
        <v>87</v>
      </c>
      <c r="K4997">
        <v>0</v>
      </c>
      <c r="L4997">
        <v>0</v>
      </c>
    </row>
    <row r="4998" spans="1:12">
      <c r="A4998" s="93">
        <v>485458</v>
      </c>
      <c r="B4998" t="s">
        <v>5450</v>
      </c>
      <c r="C4998" t="s">
        <v>5606</v>
      </c>
      <c r="D4998" s="92" t="s">
        <v>428</v>
      </c>
      <c r="E4998" s="92" t="s">
        <v>428</v>
      </c>
      <c r="F4998" t="s">
        <v>428</v>
      </c>
      <c r="G4998" t="s">
        <v>428</v>
      </c>
      <c r="H4998" t="s">
        <v>5615</v>
      </c>
      <c r="I4998">
        <v>0</v>
      </c>
      <c r="J4998" t="s">
        <v>87</v>
      </c>
      <c r="K4998">
        <v>0</v>
      </c>
      <c r="L4998">
        <v>0</v>
      </c>
    </row>
    <row r="4999" spans="1:12">
      <c r="A4999" s="93">
        <v>485519</v>
      </c>
      <c r="B4999" t="s">
        <v>5451</v>
      </c>
      <c r="C4999" t="s">
        <v>5606</v>
      </c>
      <c r="D4999" s="92">
        <v>0.38</v>
      </c>
      <c r="E4999" s="92">
        <v>0.17</v>
      </c>
      <c r="F4999" t="s">
        <v>428</v>
      </c>
      <c r="G4999" t="s">
        <v>428</v>
      </c>
      <c r="H4999" t="s">
        <v>5615</v>
      </c>
      <c r="I4999">
        <v>0</v>
      </c>
      <c r="J4999" t="s">
        <v>87</v>
      </c>
      <c r="K4999">
        <v>0</v>
      </c>
      <c r="L4999">
        <v>0</v>
      </c>
    </row>
    <row r="5000" spans="1:12">
      <c r="A5000" s="93">
        <v>485537</v>
      </c>
      <c r="B5000" t="s">
        <v>5452</v>
      </c>
      <c r="C5000" t="s">
        <v>5607</v>
      </c>
      <c r="D5000" s="92" t="s">
        <v>428</v>
      </c>
      <c r="E5000" s="92" t="s">
        <v>428</v>
      </c>
      <c r="F5000" t="s">
        <v>428</v>
      </c>
      <c r="G5000" t="s">
        <v>428</v>
      </c>
      <c r="H5000" t="s">
        <v>5615</v>
      </c>
      <c r="I5000">
        <v>0</v>
      </c>
      <c r="J5000" t="s">
        <v>87</v>
      </c>
      <c r="K5000">
        <v>0</v>
      </c>
      <c r="L5000">
        <v>0</v>
      </c>
    </row>
    <row r="5001" spans="1:12">
      <c r="A5001" s="93">
        <v>485546</v>
      </c>
      <c r="B5001" t="s">
        <v>5453</v>
      </c>
      <c r="C5001" t="s">
        <v>5604</v>
      </c>
      <c r="D5001" s="92">
        <v>0.46</v>
      </c>
      <c r="E5001" s="92">
        <v>0.83</v>
      </c>
      <c r="F5001" t="s">
        <v>428</v>
      </c>
      <c r="G5001" t="s">
        <v>428</v>
      </c>
      <c r="H5001" t="s">
        <v>5615</v>
      </c>
      <c r="I5001">
        <v>0</v>
      </c>
      <c r="J5001" t="s">
        <v>87</v>
      </c>
      <c r="K5001">
        <v>0</v>
      </c>
      <c r="L5001">
        <v>0</v>
      </c>
    </row>
    <row r="5002" spans="1:12">
      <c r="A5002" s="93">
        <v>485768</v>
      </c>
      <c r="B5002" t="s">
        <v>5454</v>
      </c>
      <c r="C5002" t="s">
        <v>5604</v>
      </c>
      <c r="D5002" s="92" t="s">
        <v>428</v>
      </c>
      <c r="E5002" s="92" t="s">
        <v>428</v>
      </c>
      <c r="F5002" t="s">
        <v>428</v>
      </c>
      <c r="G5002" t="s">
        <v>428</v>
      </c>
      <c r="H5002" t="s">
        <v>5613</v>
      </c>
      <c r="I5002">
        <v>1</v>
      </c>
      <c r="J5002" t="s">
        <v>87</v>
      </c>
      <c r="K5002">
        <v>0</v>
      </c>
      <c r="L5002">
        <v>0</v>
      </c>
    </row>
    <row r="5003" spans="1:12">
      <c r="A5003" s="93">
        <v>485856</v>
      </c>
      <c r="B5003" t="s">
        <v>5455</v>
      </c>
      <c r="C5003" t="s">
        <v>5606</v>
      </c>
      <c r="D5003" s="92" t="s">
        <v>428</v>
      </c>
      <c r="E5003" s="92" t="s">
        <v>428</v>
      </c>
      <c r="F5003" t="s">
        <v>428</v>
      </c>
      <c r="G5003" t="s">
        <v>428</v>
      </c>
      <c r="H5003" t="s">
        <v>5615</v>
      </c>
      <c r="I5003">
        <v>0</v>
      </c>
      <c r="J5003" t="s">
        <v>87</v>
      </c>
      <c r="K5003">
        <v>0</v>
      </c>
      <c r="L5003">
        <v>0</v>
      </c>
    </row>
    <row r="5004" spans="1:12">
      <c r="A5004" s="93">
        <v>485908</v>
      </c>
      <c r="B5004" t="s">
        <v>5456</v>
      </c>
      <c r="C5004" t="s">
        <v>5607</v>
      </c>
      <c r="D5004" s="92" t="s">
        <v>428</v>
      </c>
      <c r="E5004" s="92" t="s">
        <v>428</v>
      </c>
      <c r="F5004" t="s">
        <v>428</v>
      </c>
      <c r="G5004" t="s">
        <v>428</v>
      </c>
      <c r="H5004" t="s">
        <v>5615</v>
      </c>
      <c r="I5004">
        <v>0</v>
      </c>
      <c r="J5004" t="s">
        <v>87</v>
      </c>
      <c r="K5004">
        <v>0</v>
      </c>
      <c r="L5004">
        <v>0</v>
      </c>
    </row>
    <row r="5005" spans="1:12">
      <c r="A5005" s="93">
        <v>485999</v>
      </c>
      <c r="B5005" t="s">
        <v>5457</v>
      </c>
      <c r="C5005" t="s">
        <v>5607</v>
      </c>
      <c r="D5005" s="92">
        <v>0.45</v>
      </c>
      <c r="E5005" s="92" t="s">
        <v>428</v>
      </c>
      <c r="F5005" t="s">
        <v>428</v>
      </c>
      <c r="G5005" t="s">
        <v>428</v>
      </c>
      <c r="H5005" t="s">
        <v>5614</v>
      </c>
      <c r="I5005">
        <v>1</v>
      </c>
      <c r="J5005" t="s">
        <v>87</v>
      </c>
      <c r="K5005">
        <v>0</v>
      </c>
      <c r="L5005">
        <v>0</v>
      </c>
    </row>
    <row r="5006" spans="1:12">
      <c r="A5006" s="93">
        <v>486017</v>
      </c>
      <c r="B5006" t="s">
        <v>5458</v>
      </c>
      <c r="C5006" t="s">
        <v>5607</v>
      </c>
      <c r="D5006" s="92">
        <v>0.57</v>
      </c>
      <c r="E5006" s="92" t="s">
        <v>428</v>
      </c>
      <c r="F5006" t="s">
        <v>428</v>
      </c>
      <c r="G5006" t="s">
        <v>428</v>
      </c>
      <c r="H5006" t="s">
        <v>5615</v>
      </c>
      <c r="I5006">
        <v>0</v>
      </c>
      <c r="J5006" t="s">
        <v>87</v>
      </c>
      <c r="K5006">
        <v>0</v>
      </c>
      <c r="L5006">
        <v>0</v>
      </c>
    </row>
    <row r="5007" spans="1:12">
      <c r="A5007" s="93">
        <v>486026</v>
      </c>
      <c r="B5007" t="s">
        <v>5459</v>
      </c>
      <c r="C5007" t="s">
        <v>5607</v>
      </c>
      <c r="D5007" s="92">
        <v>0.2</v>
      </c>
      <c r="E5007" s="92" t="s">
        <v>428</v>
      </c>
      <c r="F5007" t="s">
        <v>428</v>
      </c>
      <c r="G5007" t="s">
        <v>428</v>
      </c>
      <c r="H5007" t="s">
        <v>5624</v>
      </c>
      <c r="I5007">
        <v>1</v>
      </c>
      <c r="J5007" t="s">
        <v>87</v>
      </c>
      <c r="K5007">
        <v>0</v>
      </c>
      <c r="L5007">
        <v>0</v>
      </c>
    </row>
    <row r="5008" spans="1:12">
      <c r="A5008" s="93">
        <v>486053</v>
      </c>
      <c r="B5008" t="s">
        <v>5460</v>
      </c>
      <c r="C5008" t="s">
        <v>5604</v>
      </c>
      <c r="D5008" s="92">
        <v>0.85</v>
      </c>
      <c r="E5008" s="92" t="s">
        <v>428</v>
      </c>
      <c r="F5008">
        <v>21</v>
      </c>
      <c r="G5008">
        <v>24.5</v>
      </c>
      <c r="H5008" t="s">
        <v>5615</v>
      </c>
      <c r="I5008">
        <v>0</v>
      </c>
      <c r="J5008" t="s">
        <v>87</v>
      </c>
      <c r="K5008">
        <v>0</v>
      </c>
      <c r="L5008">
        <v>0</v>
      </c>
    </row>
    <row r="5009" spans="1:12">
      <c r="A5009" s="93">
        <v>486080</v>
      </c>
      <c r="B5009" t="s">
        <v>5461</v>
      </c>
      <c r="C5009" t="s">
        <v>5607</v>
      </c>
      <c r="D5009" s="92" t="s">
        <v>428</v>
      </c>
      <c r="E5009" s="92" t="s">
        <v>428</v>
      </c>
      <c r="F5009" t="s">
        <v>428</v>
      </c>
      <c r="G5009" t="s">
        <v>428</v>
      </c>
      <c r="H5009" t="s">
        <v>5615</v>
      </c>
      <c r="I5009">
        <v>0</v>
      </c>
      <c r="J5009" t="s">
        <v>87</v>
      </c>
      <c r="K5009">
        <v>0</v>
      </c>
      <c r="L5009">
        <v>0</v>
      </c>
    </row>
    <row r="5010" spans="1:12">
      <c r="A5010" s="93">
        <v>486114</v>
      </c>
      <c r="B5010" t="s">
        <v>5462</v>
      </c>
      <c r="C5010" t="s">
        <v>5607</v>
      </c>
      <c r="D5010" s="92" t="s">
        <v>428</v>
      </c>
      <c r="E5010" s="92" t="s">
        <v>428</v>
      </c>
      <c r="F5010" t="s">
        <v>428</v>
      </c>
      <c r="G5010" t="s">
        <v>428</v>
      </c>
      <c r="H5010" t="s">
        <v>5615</v>
      </c>
      <c r="I5010">
        <v>0</v>
      </c>
      <c r="J5010" t="s">
        <v>87</v>
      </c>
      <c r="K5010">
        <v>0</v>
      </c>
      <c r="L5010">
        <v>0</v>
      </c>
    </row>
    <row r="5011" spans="1:12">
      <c r="A5011" s="93">
        <v>486123</v>
      </c>
      <c r="B5011" t="s">
        <v>5463</v>
      </c>
      <c r="C5011" t="s">
        <v>5609</v>
      </c>
      <c r="D5011" s="92" t="s">
        <v>428</v>
      </c>
      <c r="E5011" s="92" t="s">
        <v>428</v>
      </c>
      <c r="F5011" t="s">
        <v>428</v>
      </c>
      <c r="G5011" t="s">
        <v>428</v>
      </c>
      <c r="H5011" t="s">
        <v>5615</v>
      </c>
      <c r="I5011">
        <v>0</v>
      </c>
      <c r="J5011" t="s">
        <v>87</v>
      </c>
      <c r="K5011">
        <v>0</v>
      </c>
      <c r="L5011">
        <v>0</v>
      </c>
    </row>
    <row r="5012" spans="1:12">
      <c r="A5012" s="93">
        <v>486196</v>
      </c>
      <c r="B5012" t="s">
        <v>5464</v>
      </c>
      <c r="C5012" t="s">
        <v>5607</v>
      </c>
      <c r="D5012" s="92">
        <v>0.02</v>
      </c>
      <c r="E5012" s="92" t="s">
        <v>428</v>
      </c>
      <c r="F5012" t="s">
        <v>428</v>
      </c>
      <c r="G5012" t="s">
        <v>428</v>
      </c>
      <c r="H5012" t="s">
        <v>5613</v>
      </c>
      <c r="I5012">
        <v>1</v>
      </c>
      <c r="J5012" t="s">
        <v>87</v>
      </c>
      <c r="K5012">
        <v>0</v>
      </c>
      <c r="L5012">
        <v>0</v>
      </c>
    </row>
    <row r="5013" spans="1:12">
      <c r="A5013" s="93">
        <v>486239</v>
      </c>
      <c r="B5013" t="s">
        <v>5465</v>
      </c>
      <c r="C5013" t="s">
        <v>5604</v>
      </c>
      <c r="D5013" s="92" t="s">
        <v>428</v>
      </c>
      <c r="E5013" s="92" t="s">
        <v>428</v>
      </c>
      <c r="F5013" t="s">
        <v>428</v>
      </c>
      <c r="G5013" t="s">
        <v>428</v>
      </c>
      <c r="H5013" t="s">
        <v>5613</v>
      </c>
      <c r="I5013">
        <v>1</v>
      </c>
      <c r="J5013" t="s">
        <v>87</v>
      </c>
      <c r="K5013">
        <v>0</v>
      </c>
      <c r="L5013">
        <v>0</v>
      </c>
    </row>
    <row r="5014" spans="1:12">
      <c r="A5014" s="93">
        <v>486257</v>
      </c>
      <c r="B5014" t="s">
        <v>5466</v>
      </c>
      <c r="C5014" t="s">
        <v>5606</v>
      </c>
      <c r="D5014" s="92" t="s">
        <v>428</v>
      </c>
      <c r="E5014" s="92" t="s">
        <v>428</v>
      </c>
      <c r="F5014" t="s">
        <v>428</v>
      </c>
      <c r="G5014" t="s">
        <v>428</v>
      </c>
      <c r="H5014" t="s">
        <v>5624</v>
      </c>
      <c r="I5014">
        <v>1</v>
      </c>
      <c r="J5014" t="s">
        <v>87</v>
      </c>
      <c r="K5014">
        <v>0</v>
      </c>
      <c r="L5014">
        <v>0</v>
      </c>
    </row>
    <row r="5015" spans="1:12">
      <c r="A5015" s="93">
        <v>486284</v>
      </c>
      <c r="B5015" t="s">
        <v>5467</v>
      </c>
      <c r="C5015" t="s">
        <v>5607</v>
      </c>
      <c r="D5015" s="92">
        <v>0.29</v>
      </c>
      <c r="E5015" s="92">
        <v>0</v>
      </c>
      <c r="F5015" t="s">
        <v>428</v>
      </c>
      <c r="G5015" t="s">
        <v>428</v>
      </c>
      <c r="H5015" t="s">
        <v>5616</v>
      </c>
      <c r="I5015">
        <v>0</v>
      </c>
      <c r="J5015" t="s">
        <v>87</v>
      </c>
      <c r="K5015">
        <v>0</v>
      </c>
      <c r="L5015">
        <v>0</v>
      </c>
    </row>
    <row r="5016" spans="1:12">
      <c r="A5016" s="93">
        <v>486354</v>
      </c>
      <c r="B5016" t="s">
        <v>5468</v>
      </c>
      <c r="C5016" t="s">
        <v>5604</v>
      </c>
      <c r="D5016" s="92" t="s">
        <v>428</v>
      </c>
      <c r="E5016" s="92" t="s">
        <v>428</v>
      </c>
      <c r="F5016" t="s">
        <v>428</v>
      </c>
      <c r="G5016" t="s">
        <v>428</v>
      </c>
      <c r="H5016" t="s">
        <v>5615</v>
      </c>
      <c r="I5016">
        <v>0</v>
      </c>
      <c r="J5016" t="s">
        <v>87</v>
      </c>
      <c r="K5016">
        <v>0</v>
      </c>
      <c r="L5016">
        <v>0</v>
      </c>
    </row>
    <row r="5017" spans="1:12">
      <c r="A5017" s="93">
        <v>486381</v>
      </c>
      <c r="B5017" t="s">
        <v>5469</v>
      </c>
      <c r="C5017" t="s">
        <v>5606</v>
      </c>
      <c r="D5017" s="92" t="s">
        <v>428</v>
      </c>
      <c r="E5017" s="92" t="s">
        <v>428</v>
      </c>
      <c r="F5017" t="s">
        <v>428</v>
      </c>
      <c r="G5017" t="s">
        <v>428</v>
      </c>
      <c r="H5017" t="s">
        <v>5615</v>
      </c>
      <c r="I5017">
        <v>0</v>
      </c>
      <c r="J5017" t="s">
        <v>87</v>
      </c>
      <c r="K5017">
        <v>0</v>
      </c>
      <c r="L5017">
        <v>0</v>
      </c>
    </row>
    <row r="5018" spans="1:12">
      <c r="A5018" s="93">
        <v>486424</v>
      </c>
      <c r="B5018" t="s">
        <v>5470</v>
      </c>
      <c r="C5018" t="s">
        <v>5606</v>
      </c>
      <c r="D5018" s="92" t="s">
        <v>428</v>
      </c>
      <c r="E5018" s="92" t="s">
        <v>428</v>
      </c>
      <c r="F5018" t="s">
        <v>428</v>
      </c>
      <c r="G5018" t="s">
        <v>428</v>
      </c>
      <c r="H5018" t="s">
        <v>5617</v>
      </c>
      <c r="I5018">
        <v>0</v>
      </c>
      <c r="J5018" t="s">
        <v>87</v>
      </c>
      <c r="K5018">
        <v>0</v>
      </c>
      <c r="L5018">
        <v>0</v>
      </c>
    </row>
    <row r="5019" spans="1:12">
      <c r="A5019" s="93">
        <v>486433</v>
      </c>
      <c r="B5019" t="s">
        <v>5471</v>
      </c>
      <c r="C5019" t="s">
        <v>5607</v>
      </c>
      <c r="D5019" s="92" t="s">
        <v>428</v>
      </c>
      <c r="E5019" s="92" t="s">
        <v>428</v>
      </c>
      <c r="F5019" t="s">
        <v>428</v>
      </c>
      <c r="G5019" t="s">
        <v>428</v>
      </c>
      <c r="H5019" t="s">
        <v>5615</v>
      </c>
      <c r="I5019">
        <v>0</v>
      </c>
      <c r="J5019" t="s">
        <v>87</v>
      </c>
      <c r="K5019">
        <v>0</v>
      </c>
      <c r="L5019">
        <v>0</v>
      </c>
    </row>
    <row r="5020" spans="1:12">
      <c r="A5020" s="93">
        <v>486460</v>
      </c>
      <c r="B5020" t="s">
        <v>5472</v>
      </c>
      <c r="C5020" t="s">
        <v>5607</v>
      </c>
      <c r="D5020" s="92" t="s">
        <v>428</v>
      </c>
      <c r="E5020" s="92" t="s">
        <v>428</v>
      </c>
      <c r="F5020" t="s">
        <v>428</v>
      </c>
      <c r="G5020" t="s">
        <v>428</v>
      </c>
      <c r="H5020" t="s">
        <v>5615</v>
      </c>
      <c r="I5020">
        <v>0</v>
      </c>
      <c r="J5020" t="s">
        <v>87</v>
      </c>
      <c r="K5020">
        <v>0</v>
      </c>
      <c r="L5020">
        <v>0</v>
      </c>
    </row>
    <row r="5021" spans="1:12">
      <c r="A5021" s="93">
        <v>486488</v>
      </c>
      <c r="B5021" t="s">
        <v>5473</v>
      </c>
      <c r="C5021" t="s">
        <v>5607</v>
      </c>
      <c r="D5021" s="92" t="s">
        <v>428</v>
      </c>
      <c r="E5021" s="92" t="s">
        <v>428</v>
      </c>
      <c r="F5021" t="s">
        <v>428</v>
      </c>
      <c r="G5021" t="s">
        <v>428</v>
      </c>
      <c r="H5021" t="s">
        <v>5617</v>
      </c>
      <c r="I5021">
        <v>0</v>
      </c>
      <c r="J5021" t="s">
        <v>87</v>
      </c>
      <c r="K5021">
        <v>0</v>
      </c>
      <c r="L5021">
        <v>0</v>
      </c>
    </row>
    <row r="5022" spans="1:12">
      <c r="A5022" s="93">
        <v>486558</v>
      </c>
      <c r="B5022" t="s">
        <v>5474</v>
      </c>
      <c r="C5022" t="s">
        <v>5606</v>
      </c>
      <c r="D5022" s="92" t="s">
        <v>428</v>
      </c>
      <c r="E5022" s="92" t="s">
        <v>428</v>
      </c>
      <c r="F5022" t="s">
        <v>428</v>
      </c>
      <c r="G5022" t="s">
        <v>428</v>
      </c>
      <c r="H5022" t="s">
        <v>5617</v>
      </c>
      <c r="I5022">
        <v>0</v>
      </c>
      <c r="J5022" t="s">
        <v>87</v>
      </c>
      <c r="K5022">
        <v>0</v>
      </c>
      <c r="L5022">
        <v>0</v>
      </c>
    </row>
    <row r="5023" spans="1:12">
      <c r="A5023" s="93">
        <v>486594</v>
      </c>
      <c r="B5023" t="s">
        <v>5475</v>
      </c>
      <c r="C5023" t="s">
        <v>5606</v>
      </c>
      <c r="D5023" s="92" t="s">
        <v>428</v>
      </c>
      <c r="E5023" s="92" t="s">
        <v>428</v>
      </c>
      <c r="F5023" t="s">
        <v>428</v>
      </c>
      <c r="G5023" t="s">
        <v>428</v>
      </c>
      <c r="H5023" t="s">
        <v>5613</v>
      </c>
      <c r="I5023">
        <v>1</v>
      </c>
      <c r="J5023" t="s">
        <v>87</v>
      </c>
      <c r="K5023">
        <v>0</v>
      </c>
      <c r="L5023">
        <v>0</v>
      </c>
    </row>
    <row r="5024" spans="1:12">
      <c r="A5024" s="93">
        <v>486752</v>
      </c>
      <c r="B5024" t="s">
        <v>5476</v>
      </c>
      <c r="C5024" t="s">
        <v>5606</v>
      </c>
      <c r="D5024" s="92" t="s">
        <v>428</v>
      </c>
      <c r="E5024" s="92" t="s">
        <v>428</v>
      </c>
      <c r="F5024" t="s">
        <v>428</v>
      </c>
      <c r="G5024" t="s">
        <v>428</v>
      </c>
      <c r="H5024" t="s">
        <v>5617</v>
      </c>
      <c r="I5024">
        <v>0</v>
      </c>
      <c r="J5024" t="s">
        <v>87</v>
      </c>
      <c r="K5024">
        <v>0</v>
      </c>
      <c r="L5024">
        <v>0</v>
      </c>
    </row>
    <row r="5025" spans="1:12">
      <c r="A5025" s="93">
        <v>486813</v>
      </c>
      <c r="B5025" t="s">
        <v>5477</v>
      </c>
      <c r="C5025" t="s">
        <v>5606</v>
      </c>
      <c r="D5025" s="92" t="s">
        <v>428</v>
      </c>
      <c r="E5025" s="92" t="s">
        <v>428</v>
      </c>
      <c r="F5025" t="s">
        <v>428</v>
      </c>
      <c r="G5025" t="s">
        <v>428</v>
      </c>
      <c r="H5025" t="s">
        <v>5617</v>
      </c>
      <c r="I5025">
        <v>0</v>
      </c>
      <c r="J5025" t="s">
        <v>87</v>
      </c>
      <c r="K5025">
        <v>0</v>
      </c>
      <c r="L5025">
        <v>0</v>
      </c>
    </row>
    <row r="5026" spans="1:12">
      <c r="A5026" s="93">
        <v>486822</v>
      </c>
      <c r="B5026" t="s">
        <v>5478</v>
      </c>
      <c r="C5026" t="s">
        <v>5606</v>
      </c>
      <c r="D5026" s="92" t="s">
        <v>428</v>
      </c>
      <c r="E5026" s="92" t="s">
        <v>428</v>
      </c>
      <c r="F5026" t="s">
        <v>428</v>
      </c>
      <c r="G5026" t="s">
        <v>428</v>
      </c>
      <c r="H5026" t="s">
        <v>5617</v>
      </c>
      <c r="I5026">
        <v>0</v>
      </c>
      <c r="J5026" t="s">
        <v>87</v>
      </c>
      <c r="K5026">
        <v>0</v>
      </c>
      <c r="L5026">
        <v>0</v>
      </c>
    </row>
    <row r="5027" spans="1:12">
      <c r="A5027" s="93">
        <v>486840</v>
      </c>
      <c r="B5027" t="s">
        <v>5479</v>
      </c>
      <c r="C5027" t="s">
        <v>5603</v>
      </c>
      <c r="D5027" s="92">
        <v>0.42</v>
      </c>
      <c r="E5027" s="92">
        <v>0.37</v>
      </c>
      <c r="F5027">
        <v>21</v>
      </c>
      <c r="G5027">
        <v>23.5</v>
      </c>
      <c r="H5027" t="s">
        <v>5615</v>
      </c>
      <c r="I5027">
        <v>0</v>
      </c>
      <c r="J5027" t="s">
        <v>87</v>
      </c>
      <c r="K5027">
        <v>0</v>
      </c>
      <c r="L5027">
        <v>0</v>
      </c>
    </row>
    <row r="5028" spans="1:12">
      <c r="A5028" s="93">
        <v>486859</v>
      </c>
      <c r="B5028" t="s">
        <v>5480</v>
      </c>
      <c r="C5028" t="s">
        <v>5606</v>
      </c>
      <c r="D5028" s="92" t="s">
        <v>428</v>
      </c>
      <c r="E5028" s="92" t="s">
        <v>428</v>
      </c>
      <c r="F5028" t="s">
        <v>428</v>
      </c>
      <c r="G5028" t="s">
        <v>428</v>
      </c>
      <c r="H5028" t="s">
        <v>5617</v>
      </c>
      <c r="I5028">
        <v>0</v>
      </c>
      <c r="J5028" t="s">
        <v>87</v>
      </c>
      <c r="K5028">
        <v>0</v>
      </c>
      <c r="L5028">
        <v>0</v>
      </c>
    </row>
    <row r="5029" spans="1:12">
      <c r="A5029" s="93">
        <v>486901</v>
      </c>
      <c r="B5029" t="s">
        <v>5481</v>
      </c>
      <c r="C5029" t="s">
        <v>5602</v>
      </c>
      <c r="D5029" s="92">
        <v>0.63</v>
      </c>
      <c r="E5029" s="92">
        <v>0.61</v>
      </c>
      <c r="F5029">
        <v>22</v>
      </c>
      <c r="G5029">
        <v>24.5</v>
      </c>
      <c r="H5029" t="s">
        <v>5616</v>
      </c>
      <c r="I5029">
        <v>0</v>
      </c>
      <c r="J5029" t="s">
        <v>87</v>
      </c>
      <c r="K5029">
        <v>0</v>
      </c>
      <c r="L5029">
        <v>0</v>
      </c>
    </row>
    <row r="5030" spans="1:12">
      <c r="A5030" s="93">
        <v>486938</v>
      </c>
      <c r="B5030" t="s">
        <v>5482</v>
      </c>
      <c r="C5030" t="s">
        <v>5607</v>
      </c>
      <c r="D5030" s="92" t="s">
        <v>428</v>
      </c>
      <c r="E5030" s="92" t="s">
        <v>428</v>
      </c>
      <c r="F5030" t="s">
        <v>428</v>
      </c>
      <c r="G5030" t="s">
        <v>428</v>
      </c>
      <c r="H5030" t="s">
        <v>5617</v>
      </c>
      <c r="I5030">
        <v>0</v>
      </c>
      <c r="J5030" t="s">
        <v>87</v>
      </c>
      <c r="K5030">
        <v>0</v>
      </c>
      <c r="L5030">
        <v>0</v>
      </c>
    </row>
    <row r="5031" spans="1:12">
      <c r="A5031" s="93">
        <v>486947</v>
      </c>
      <c r="B5031" t="s">
        <v>5483</v>
      </c>
      <c r="C5031" t="s">
        <v>5607</v>
      </c>
      <c r="D5031" s="92" t="s">
        <v>428</v>
      </c>
      <c r="E5031" s="92" t="s">
        <v>428</v>
      </c>
      <c r="F5031" t="s">
        <v>428</v>
      </c>
      <c r="G5031" t="s">
        <v>428</v>
      </c>
      <c r="H5031" t="s">
        <v>5615</v>
      </c>
      <c r="I5031">
        <v>0</v>
      </c>
      <c r="J5031" t="s">
        <v>87</v>
      </c>
      <c r="K5031">
        <v>0</v>
      </c>
      <c r="L5031">
        <v>0</v>
      </c>
    </row>
    <row r="5032" spans="1:12">
      <c r="A5032" s="93">
        <v>486956</v>
      </c>
      <c r="B5032" t="s">
        <v>5484</v>
      </c>
      <c r="C5032" t="s">
        <v>5607</v>
      </c>
      <c r="D5032" s="92" t="s">
        <v>428</v>
      </c>
      <c r="E5032" s="92" t="s">
        <v>428</v>
      </c>
      <c r="F5032" t="s">
        <v>428</v>
      </c>
      <c r="G5032" t="s">
        <v>428</v>
      </c>
      <c r="H5032" t="s">
        <v>5615</v>
      </c>
      <c r="I5032">
        <v>0</v>
      </c>
      <c r="J5032" t="s">
        <v>87</v>
      </c>
      <c r="K5032">
        <v>0</v>
      </c>
      <c r="L5032">
        <v>0</v>
      </c>
    </row>
    <row r="5033" spans="1:12">
      <c r="A5033" s="93">
        <v>486965</v>
      </c>
      <c r="B5033" t="s">
        <v>5485</v>
      </c>
      <c r="C5033" t="s">
        <v>5607</v>
      </c>
      <c r="D5033" s="92" t="s">
        <v>428</v>
      </c>
      <c r="E5033" s="92" t="s">
        <v>428</v>
      </c>
      <c r="F5033" t="s">
        <v>428</v>
      </c>
      <c r="G5033" t="s">
        <v>428</v>
      </c>
      <c r="H5033" t="s">
        <v>5617</v>
      </c>
      <c r="I5033">
        <v>0</v>
      </c>
      <c r="J5033" t="s">
        <v>87</v>
      </c>
      <c r="K5033">
        <v>0</v>
      </c>
      <c r="L5033">
        <v>0</v>
      </c>
    </row>
    <row r="5034" spans="1:12">
      <c r="A5034" s="93">
        <v>487010</v>
      </c>
      <c r="B5034" t="s">
        <v>5486</v>
      </c>
      <c r="C5034" t="s">
        <v>5607</v>
      </c>
      <c r="D5034" s="92" t="s">
        <v>428</v>
      </c>
      <c r="E5034" s="92" t="s">
        <v>428</v>
      </c>
      <c r="F5034" t="s">
        <v>428</v>
      </c>
      <c r="G5034" t="s">
        <v>428</v>
      </c>
      <c r="H5034" t="s">
        <v>5615</v>
      </c>
      <c r="I5034">
        <v>0</v>
      </c>
      <c r="J5034" t="s">
        <v>87</v>
      </c>
      <c r="K5034">
        <v>0</v>
      </c>
      <c r="L5034">
        <v>0</v>
      </c>
    </row>
    <row r="5035" spans="1:12">
      <c r="A5035" s="93">
        <v>487047</v>
      </c>
      <c r="B5035" t="s">
        <v>5487</v>
      </c>
      <c r="C5035" t="s">
        <v>5606</v>
      </c>
      <c r="D5035" s="92" t="s">
        <v>428</v>
      </c>
      <c r="E5035" s="92" t="s">
        <v>428</v>
      </c>
      <c r="F5035" t="s">
        <v>428</v>
      </c>
      <c r="G5035" t="s">
        <v>428</v>
      </c>
      <c r="H5035" t="s">
        <v>5617</v>
      </c>
      <c r="I5035">
        <v>0</v>
      </c>
      <c r="J5035" t="s">
        <v>87</v>
      </c>
      <c r="K5035">
        <v>0</v>
      </c>
      <c r="L5035">
        <v>0</v>
      </c>
    </row>
    <row r="5036" spans="1:12">
      <c r="A5036" s="93">
        <v>487092</v>
      </c>
      <c r="B5036" t="s">
        <v>5488</v>
      </c>
      <c r="C5036" t="s">
        <v>5609</v>
      </c>
      <c r="D5036" s="92" t="s">
        <v>428</v>
      </c>
      <c r="E5036" s="92" t="s">
        <v>428</v>
      </c>
      <c r="F5036">
        <v>28</v>
      </c>
      <c r="G5036">
        <v>30</v>
      </c>
      <c r="H5036" t="s">
        <v>5617</v>
      </c>
      <c r="I5036">
        <v>0</v>
      </c>
      <c r="J5036" t="s">
        <v>87</v>
      </c>
      <c r="K5036">
        <v>0</v>
      </c>
      <c r="L5036">
        <v>0</v>
      </c>
    </row>
    <row r="5037" spans="1:12">
      <c r="A5037" s="93">
        <v>487153</v>
      </c>
      <c r="B5037" t="s">
        <v>5489</v>
      </c>
      <c r="C5037" t="s">
        <v>5607</v>
      </c>
      <c r="D5037" s="92" t="s">
        <v>428</v>
      </c>
      <c r="E5037" s="92" t="s">
        <v>428</v>
      </c>
      <c r="F5037" t="s">
        <v>428</v>
      </c>
      <c r="G5037" t="s">
        <v>428</v>
      </c>
      <c r="H5037" t="s">
        <v>5615</v>
      </c>
      <c r="I5037">
        <v>0</v>
      </c>
      <c r="J5037" t="s">
        <v>87</v>
      </c>
      <c r="K5037">
        <v>0</v>
      </c>
      <c r="L5037">
        <v>0</v>
      </c>
    </row>
    <row r="5038" spans="1:12">
      <c r="A5038" s="93">
        <v>487162</v>
      </c>
      <c r="B5038" t="s">
        <v>5490</v>
      </c>
      <c r="C5038" t="s">
        <v>5606</v>
      </c>
      <c r="D5038" s="92" t="s">
        <v>428</v>
      </c>
      <c r="E5038" s="92" t="s">
        <v>428</v>
      </c>
      <c r="F5038" t="s">
        <v>428</v>
      </c>
      <c r="G5038" t="s">
        <v>428</v>
      </c>
      <c r="H5038" t="s">
        <v>5615</v>
      </c>
      <c r="I5038">
        <v>0</v>
      </c>
      <c r="J5038" t="s">
        <v>87</v>
      </c>
      <c r="K5038">
        <v>0</v>
      </c>
      <c r="L5038">
        <v>0</v>
      </c>
    </row>
    <row r="5039" spans="1:12">
      <c r="A5039" s="93">
        <v>487296</v>
      </c>
      <c r="B5039" t="s">
        <v>5491</v>
      </c>
      <c r="C5039" t="s">
        <v>5607</v>
      </c>
      <c r="D5039" s="92" t="s">
        <v>428</v>
      </c>
      <c r="E5039" s="92" t="s">
        <v>428</v>
      </c>
      <c r="F5039" t="s">
        <v>428</v>
      </c>
      <c r="G5039" t="s">
        <v>428</v>
      </c>
      <c r="H5039" t="s">
        <v>5615</v>
      </c>
      <c r="I5039">
        <v>0</v>
      </c>
      <c r="J5039" t="s">
        <v>87</v>
      </c>
      <c r="K5039">
        <v>0</v>
      </c>
      <c r="L5039">
        <v>0</v>
      </c>
    </row>
    <row r="5040" spans="1:12">
      <c r="A5040" s="93">
        <v>487302</v>
      </c>
      <c r="B5040" t="s">
        <v>5492</v>
      </c>
      <c r="C5040" t="s">
        <v>5606</v>
      </c>
      <c r="D5040" s="92" t="s">
        <v>428</v>
      </c>
      <c r="E5040" s="92" t="s">
        <v>428</v>
      </c>
      <c r="F5040" t="s">
        <v>428</v>
      </c>
      <c r="G5040" t="s">
        <v>428</v>
      </c>
      <c r="H5040" t="s">
        <v>5617</v>
      </c>
      <c r="I5040">
        <v>0</v>
      </c>
      <c r="J5040" t="s">
        <v>87</v>
      </c>
      <c r="K5040">
        <v>0</v>
      </c>
      <c r="L5040">
        <v>0</v>
      </c>
    </row>
    <row r="5041" spans="1:12">
      <c r="A5041" s="93">
        <v>487311</v>
      </c>
      <c r="B5041" t="s">
        <v>5493</v>
      </c>
      <c r="C5041" t="s">
        <v>5606</v>
      </c>
      <c r="D5041" s="92" t="s">
        <v>428</v>
      </c>
      <c r="E5041" s="92" t="s">
        <v>428</v>
      </c>
      <c r="F5041" t="s">
        <v>428</v>
      </c>
      <c r="G5041" t="s">
        <v>428</v>
      </c>
      <c r="H5041" t="s">
        <v>5617</v>
      </c>
      <c r="I5041">
        <v>0</v>
      </c>
      <c r="J5041" t="s">
        <v>87</v>
      </c>
      <c r="K5041">
        <v>0</v>
      </c>
      <c r="L5041">
        <v>0</v>
      </c>
    </row>
    <row r="5042" spans="1:12">
      <c r="A5042" s="93">
        <v>487320</v>
      </c>
      <c r="B5042" t="s">
        <v>5494</v>
      </c>
      <c r="C5042" t="s">
        <v>5606</v>
      </c>
      <c r="D5042" s="92">
        <v>0.33</v>
      </c>
      <c r="E5042" s="92">
        <v>0.28</v>
      </c>
      <c r="F5042" t="s">
        <v>428</v>
      </c>
      <c r="G5042" t="s">
        <v>428</v>
      </c>
      <c r="H5042" t="s">
        <v>5615</v>
      </c>
      <c r="I5042">
        <v>0</v>
      </c>
      <c r="J5042" t="s">
        <v>87</v>
      </c>
      <c r="K5042">
        <v>0</v>
      </c>
      <c r="L5042">
        <v>0</v>
      </c>
    </row>
    <row r="5043" spans="1:12">
      <c r="A5043" s="93">
        <v>487357</v>
      </c>
      <c r="B5043" t="s">
        <v>5495</v>
      </c>
      <c r="C5043" t="s">
        <v>5606</v>
      </c>
      <c r="D5043" s="92" t="s">
        <v>428</v>
      </c>
      <c r="E5043" s="92" t="s">
        <v>428</v>
      </c>
      <c r="F5043" t="s">
        <v>428</v>
      </c>
      <c r="G5043" t="s">
        <v>428</v>
      </c>
      <c r="H5043" t="s">
        <v>5617</v>
      </c>
      <c r="I5043">
        <v>0</v>
      </c>
      <c r="J5043" t="s">
        <v>87</v>
      </c>
      <c r="K5043">
        <v>0</v>
      </c>
      <c r="L5043">
        <v>0</v>
      </c>
    </row>
    <row r="5044" spans="1:12">
      <c r="A5044" s="93">
        <v>487366</v>
      </c>
      <c r="B5044" t="s">
        <v>5496</v>
      </c>
      <c r="C5044" t="s">
        <v>5606</v>
      </c>
      <c r="D5044" s="92" t="s">
        <v>428</v>
      </c>
      <c r="E5044" s="92" t="s">
        <v>428</v>
      </c>
      <c r="F5044" t="s">
        <v>428</v>
      </c>
      <c r="G5044" t="s">
        <v>428</v>
      </c>
      <c r="H5044" t="s">
        <v>5615</v>
      </c>
      <c r="I5044">
        <v>0</v>
      </c>
      <c r="J5044" t="s">
        <v>87</v>
      </c>
      <c r="K5044">
        <v>0</v>
      </c>
      <c r="L5044">
        <v>0</v>
      </c>
    </row>
    <row r="5045" spans="1:12">
      <c r="A5045" s="93">
        <v>487375</v>
      </c>
      <c r="B5045" t="s">
        <v>5497</v>
      </c>
      <c r="C5045" t="s">
        <v>5607</v>
      </c>
      <c r="D5045" s="92" t="s">
        <v>428</v>
      </c>
      <c r="E5045" s="92" t="s">
        <v>428</v>
      </c>
      <c r="F5045" t="s">
        <v>428</v>
      </c>
      <c r="G5045" t="s">
        <v>428</v>
      </c>
      <c r="H5045" t="s">
        <v>5617</v>
      </c>
      <c r="I5045">
        <v>0</v>
      </c>
      <c r="J5045" t="s">
        <v>87</v>
      </c>
      <c r="K5045">
        <v>0</v>
      </c>
      <c r="L5045">
        <v>0</v>
      </c>
    </row>
    <row r="5046" spans="1:12">
      <c r="A5046" s="93">
        <v>487384</v>
      </c>
      <c r="B5046" t="s">
        <v>5498</v>
      </c>
      <c r="C5046" t="s">
        <v>5606</v>
      </c>
      <c r="D5046" s="92" t="s">
        <v>428</v>
      </c>
      <c r="E5046" s="92" t="s">
        <v>428</v>
      </c>
      <c r="F5046" t="s">
        <v>428</v>
      </c>
      <c r="G5046" t="s">
        <v>428</v>
      </c>
      <c r="H5046" t="s">
        <v>5617</v>
      </c>
      <c r="I5046">
        <v>0</v>
      </c>
      <c r="J5046" t="s">
        <v>87</v>
      </c>
      <c r="K5046">
        <v>0</v>
      </c>
      <c r="L5046">
        <v>0</v>
      </c>
    </row>
    <row r="5047" spans="1:12">
      <c r="A5047" s="93">
        <v>487393</v>
      </c>
      <c r="B5047" t="s">
        <v>5499</v>
      </c>
      <c r="C5047" t="s">
        <v>5606</v>
      </c>
      <c r="D5047" s="92" t="s">
        <v>428</v>
      </c>
      <c r="E5047" s="92" t="s">
        <v>428</v>
      </c>
      <c r="F5047" t="s">
        <v>428</v>
      </c>
      <c r="G5047" t="s">
        <v>428</v>
      </c>
      <c r="H5047" t="s">
        <v>5617</v>
      </c>
      <c r="I5047">
        <v>0</v>
      </c>
      <c r="J5047" t="s">
        <v>87</v>
      </c>
      <c r="K5047">
        <v>0</v>
      </c>
      <c r="L5047">
        <v>0</v>
      </c>
    </row>
    <row r="5048" spans="1:12">
      <c r="A5048" s="93">
        <v>487409</v>
      </c>
      <c r="B5048" t="s">
        <v>5500</v>
      </c>
      <c r="C5048" t="s">
        <v>5606</v>
      </c>
      <c r="D5048" s="92" t="s">
        <v>428</v>
      </c>
      <c r="E5048" s="92" t="s">
        <v>428</v>
      </c>
      <c r="F5048" t="s">
        <v>428</v>
      </c>
      <c r="G5048" t="s">
        <v>428</v>
      </c>
      <c r="H5048" t="s">
        <v>5617</v>
      </c>
      <c r="I5048">
        <v>0</v>
      </c>
      <c r="J5048" t="s">
        <v>87</v>
      </c>
      <c r="K5048">
        <v>0</v>
      </c>
      <c r="L5048">
        <v>0</v>
      </c>
    </row>
    <row r="5049" spans="1:12">
      <c r="A5049" s="93">
        <v>487418</v>
      </c>
      <c r="B5049" t="s">
        <v>5501</v>
      </c>
      <c r="C5049" t="s">
        <v>5606</v>
      </c>
      <c r="D5049" s="92" t="s">
        <v>428</v>
      </c>
      <c r="E5049" s="92" t="s">
        <v>428</v>
      </c>
      <c r="F5049" t="s">
        <v>428</v>
      </c>
      <c r="G5049" t="s">
        <v>428</v>
      </c>
      <c r="H5049" t="s">
        <v>5617</v>
      </c>
      <c r="I5049">
        <v>0</v>
      </c>
      <c r="J5049" t="s">
        <v>87</v>
      </c>
      <c r="K5049">
        <v>0</v>
      </c>
      <c r="L5049">
        <v>0</v>
      </c>
    </row>
    <row r="5050" spans="1:12">
      <c r="A5050" s="93">
        <v>487427</v>
      </c>
      <c r="B5050" t="s">
        <v>5502</v>
      </c>
      <c r="C5050" t="s">
        <v>5606</v>
      </c>
      <c r="D5050" s="92" t="s">
        <v>428</v>
      </c>
      <c r="E5050" s="92" t="s">
        <v>428</v>
      </c>
      <c r="F5050" t="s">
        <v>428</v>
      </c>
      <c r="G5050" t="s">
        <v>428</v>
      </c>
      <c r="H5050" t="s">
        <v>5617</v>
      </c>
      <c r="I5050">
        <v>0</v>
      </c>
      <c r="J5050" t="s">
        <v>87</v>
      </c>
      <c r="K5050">
        <v>0</v>
      </c>
      <c r="L5050">
        <v>0</v>
      </c>
    </row>
    <row r="5051" spans="1:12">
      <c r="A5051" s="93">
        <v>487436</v>
      </c>
      <c r="B5051" t="s">
        <v>5503</v>
      </c>
      <c r="C5051" t="s">
        <v>5606</v>
      </c>
      <c r="D5051" s="92" t="s">
        <v>428</v>
      </c>
      <c r="E5051" s="92" t="s">
        <v>428</v>
      </c>
      <c r="F5051" t="s">
        <v>428</v>
      </c>
      <c r="G5051" t="s">
        <v>428</v>
      </c>
      <c r="H5051" t="s">
        <v>5617</v>
      </c>
      <c r="I5051">
        <v>0</v>
      </c>
      <c r="J5051" t="s">
        <v>87</v>
      </c>
      <c r="K5051">
        <v>0</v>
      </c>
      <c r="L5051">
        <v>0</v>
      </c>
    </row>
    <row r="5052" spans="1:12">
      <c r="A5052" s="93">
        <v>487445</v>
      </c>
      <c r="B5052" t="s">
        <v>5504</v>
      </c>
      <c r="C5052" t="s">
        <v>5606</v>
      </c>
      <c r="D5052" s="92" t="s">
        <v>428</v>
      </c>
      <c r="E5052" s="92" t="s">
        <v>428</v>
      </c>
      <c r="F5052" t="s">
        <v>428</v>
      </c>
      <c r="G5052" t="s">
        <v>428</v>
      </c>
      <c r="H5052" t="s">
        <v>5617</v>
      </c>
      <c r="I5052">
        <v>0</v>
      </c>
      <c r="J5052" t="s">
        <v>87</v>
      </c>
      <c r="K5052">
        <v>0</v>
      </c>
      <c r="L5052">
        <v>0</v>
      </c>
    </row>
    <row r="5053" spans="1:12">
      <c r="A5053" s="93">
        <v>487454</v>
      </c>
      <c r="B5053" t="s">
        <v>5505</v>
      </c>
      <c r="C5053" t="s">
        <v>5606</v>
      </c>
      <c r="D5053" s="92" t="s">
        <v>428</v>
      </c>
      <c r="E5053" s="92" t="s">
        <v>428</v>
      </c>
      <c r="F5053" t="s">
        <v>428</v>
      </c>
      <c r="G5053" t="s">
        <v>428</v>
      </c>
      <c r="H5053" t="s">
        <v>5617</v>
      </c>
      <c r="I5053">
        <v>0</v>
      </c>
      <c r="J5053" t="s">
        <v>87</v>
      </c>
      <c r="K5053">
        <v>0</v>
      </c>
      <c r="L5053">
        <v>0</v>
      </c>
    </row>
    <row r="5054" spans="1:12">
      <c r="A5054" s="93">
        <v>487463</v>
      </c>
      <c r="B5054" t="s">
        <v>5506</v>
      </c>
      <c r="C5054" t="s">
        <v>5606</v>
      </c>
      <c r="D5054" s="92" t="s">
        <v>428</v>
      </c>
      <c r="E5054" s="92" t="s">
        <v>428</v>
      </c>
      <c r="F5054" t="s">
        <v>428</v>
      </c>
      <c r="G5054" t="s">
        <v>428</v>
      </c>
      <c r="H5054" t="s">
        <v>5617</v>
      </c>
      <c r="I5054">
        <v>0</v>
      </c>
      <c r="J5054" t="s">
        <v>87</v>
      </c>
      <c r="K5054">
        <v>0</v>
      </c>
      <c r="L5054">
        <v>0</v>
      </c>
    </row>
    <row r="5055" spans="1:12">
      <c r="A5055" s="93">
        <v>487472</v>
      </c>
      <c r="B5055" t="s">
        <v>5507</v>
      </c>
      <c r="C5055" t="s">
        <v>5606</v>
      </c>
      <c r="D5055" s="92" t="s">
        <v>428</v>
      </c>
      <c r="E5055" s="92" t="s">
        <v>428</v>
      </c>
      <c r="F5055" t="s">
        <v>428</v>
      </c>
      <c r="G5055" t="s">
        <v>428</v>
      </c>
      <c r="H5055" t="s">
        <v>5617</v>
      </c>
      <c r="I5055">
        <v>0</v>
      </c>
      <c r="J5055" t="s">
        <v>87</v>
      </c>
      <c r="K5055">
        <v>0</v>
      </c>
      <c r="L5055">
        <v>0</v>
      </c>
    </row>
    <row r="5056" spans="1:12">
      <c r="A5056" s="93">
        <v>487490</v>
      </c>
      <c r="B5056" t="s">
        <v>5508</v>
      </c>
      <c r="C5056" t="s">
        <v>5606</v>
      </c>
      <c r="D5056" s="92" t="s">
        <v>428</v>
      </c>
      <c r="E5056" s="92" t="s">
        <v>428</v>
      </c>
      <c r="F5056" t="s">
        <v>428</v>
      </c>
      <c r="G5056" t="s">
        <v>428</v>
      </c>
      <c r="H5056" t="s">
        <v>5617</v>
      </c>
      <c r="I5056">
        <v>0</v>
      </c>
      <c r="J5056" t="s">
        <v>87</v>
      </c>
      <c r="K5056">
        <v>0</v>
      </c>
      <c r="L5056">
        <v>0</v>
      </c>
    </row>
    <row r="5057" spans="1:12">
      <c r="A5057" s="93">
        <v>487506</v>
      </c>
      <c r="B5057" t="s">
        <v>5509</v>
      </c>
      <c r="C5057" t="s">
        <v>5606</v>
      </c>
      <c r="D5057" s="92">
        <v>0.63</v>
      </c>
      <c r="E5057" s="92">
        <v>0.38</v>
      </c>
      <c r="F5057" t="s">
        <v>428</v>
      </c>
      <c r="G5057" t="s">
        <v>428</v>
      </c>
      <c r="H5057" t="s">
        <v>5616</v>
      </c>
      <c r="I5057">
        <v>0</v>
      </c>
      <c r="J5057" t="s">
        <v>87</v>
      </c>
      <c r="K5057">
        <v>0</v>
      </c>
      <c r="L5057">
        <v>0</v>
      </c>
    </row>
    <row r="5058" spans="1:12">
      <c r="A5058" s="93">
        <v>487524</v>
      </c>
      <c r="B5058" t="s">
        <v>5510</v>
      </c>
      <c r="C5058" t="s">
        <v>5608</v>
      </c>
      <c r="D5058" s="92">
        <v>0.49</v>
      </c>
      <c r="E5058" s="92">
        <v>0.28</v>
      </c>
      <c r="F5058">
        <v>15</v>
      </c>
      <c r="G5058">
        <v>18</v>
      </c>
      <c r="H5058" t="s">
        <v>5617</v>
      </c>
      <c r="I5058">
        <v>0</v>
      </c>
      <c r="J5058" t="s">
        <v>87</v>
      </c>
      <c r="K5058">
        <v>0</v>
      </c>
      <c r="L5058">
        <v>0</v>
      </c>
    </row>
    <row r="5059" spans="1:12">
      <c r="A5059" s="93">
        <v>487588</v>
      </c>
      <c r="B5059" t="s">
        <v>5511</v>
      </c>
      <c r="C5059" t="s">
        <v>5606</v>
      </c>
      <c r="D5059" s="92" t="s">
        <v>428</v>
      </c>
      <c r="E5059" s="92" t="s">
        <v>428</v>
      </c>
      <c r="F5059" t="s">
        <v>428</v>
      </c>
      <c r="G5059" t="s">
        <v>428</v>
      </c>
      <c r="H5059" t="s">
        <v>5617</v>
      </c>
      <c r="I5059">
        <v>0</v>
      </c>
      <c r="J5059" t="s">
        <v>87</v>
      </c>
      <c r="K5059">
        <v>0</v>
      </c>
      <c r="L5059">
        <v>0</v>
      </c>
    </row>
    <row r="5060" spans="1:12">
      <c r="A5060" s="93">
        <v>487597</v>
      </c>
      <c r="B5060" t="s">
        <v>5512</v>
      </c>
      <c r="C5060" t="s">
        <v>5606</v>
      </c>
      <c r="D5060" s="92" t="s">
        <v>428</v>
      </c>
      <c r="E5060" s="92" t="s">
        <v>428</v>
      </c>
      <c r="F5060" t="s">
        <v>428</v>
      </c>
      <c r="G5060" t="s">
        <v>428</v>
      </c>
      <c r="H5060" t="s">
        <v>5617</v>
      </c>
      <c r="I5060">
        <v>0</v>
      </c>
      <c r="J5060" t="s">
        <v>87</v>
      </c>
      <c r="K5060">
        <v>0</v>
      </c>
      <c r="L5060">
        <v>0</v>
      </c>
    </row>
    <row r="5061" spans="1:12">
      <c r="A5061" s="93">
        <v>487603</v>
      </c>
      <c r="B5061" t="s">
        <v>5513</v>
      </c>
      <c r="C5061" t="s">
        <v>5604</v>
      </c>
      <c r="D5061" s="92" t="s">
        <v>428</v>
      </c>
      <c r="E5061" s="92" t="s">
        <v>428</v>
      </c>
      <c r="F5061" t="s">
        <v>428</v>
      </c>
      <c r="G5061" t="s">
        <v>428</v>
      </c>
      <c r="H5061" t="s">
        <v>5616</v>
      </c>
      <c r="I5061">
        <v>0</v>
      </c>
      <c r="J5061" t="s">
        <v>87</v>
      </c>
      <c r="K5061">
        <v>0</v>
      </c>
      <c r="L5061">
        <v>0</v>
      </c>
    </row>
    <row r="5062" spans="1:12">
      <c r="A5062" s="93">
        <v>487649</v>
      </c>
      <c r="B5062" t="s">
        <v>5514</v>
      </c>
      <c r="C5062" t="s">
        <v>5607</v>
      </c>
      <c r="D5062" s="92" t="s">
        <v>428</v>
      </c>
      <c r="E5062" s="92" t="s">
        <v>428</v>
      </c>
      <c r="F5062" t="s">
        <v>428</v>
      </c>
      <c r="G5062" t="s">
        <v>428</v>
      </c>
      <c r="H5062" t="s">
        <v>5615</v>
      </c>
      <c r="I5062">
        <v>0</v>
      </c>
      <c r="J5062" t="s">
        <v>87</v>
      </c>
      <c r="K5062">
        <v>0</v>
      </c>
      <c r="L5062">
        <v>0</v>
      </c>
    </row>
    <row r="5063" spans="1:12">
      <c r="A5063" s="93">
        <v>487658</v>
      </c>
      <c r="B5063" t="s">
        <v>5357</v>
      </c>
      <c r="C5063" t="s">
        <v>5609</v>
      </c>
      <c r="D5063" s="92" t="s">
        <v>428</v>
      </c>
      <c r="E5063" s="92" t="s">
        <v>428</v>
      </c>
      <c r="F5063" t="s">
        <v>428</v>
      </c>
      <c r="G5063" t="s">
        <v>428</v>
      </c>
      <c r="H5063" t="s">
        <v>5617</v>
      </c>
      <c r="I5063">
        <v>0</v>
      </c>
      <c r="J5063" t="s">
        <v>87</v>
      </c>
      <c r="K5063">
        <v>0</v>
      </c>
      <c r="L5063">
        <v>0</v>
      </c>
    </row>
    <row r="5064" spans="1:12">
      <c r="A5064" s="93">
        <v>487667</v>
      </c>
      <c r="B5064" t="s">
        <v>3904</v>
      </c>
      <c r="C5064" t="s">
        <v>5604</v>
      </c>
      <c r="D5064" s="92">
        <v>0.2</v>
      </c>
      <c r="E5064" s="92">
        <v>0</v>
      </c>
      <c r="F5064" t="s">
        <v>428</v>
      </c>
      <c r="G5064" t="s">
        <v>428</v>
      </c>
      <c r="H5064" t="s">
        <v>5617</v>
      </c>
      <c r="I5064">
        <v>0</v>
      </c>
      <c r="J5064" t="s">
        <v>87</v>
      </c>
      <c r="K5064">
        <v>0</v>
      </c>
      <c r="L5064">
        <v>0</v>
      </c>
    </row>
    <row r="5065" spans="1:12">
      <c r="A5065" s="93">
        <v>487746</v>
      </c>
      <c r="B5065" t="s">
        <v>5515</v>
      </c>
      <c r="C5065" t="s">
        <v>5607</v>
      </c>
      <c r="D5065" s="92" t="s">
        <v>428</v>
      </c>
      <c r="E5065" s="92" t="s">
        <v>428</v>
      </c>
      <c r="F5065" t="s">
        <v>428</v>
      </c>
      <c r="G5065" t="s">
        <v>428</v>
      </c>
      <c r="H5065" t="s">
        <v>5615</v>
      </c>
      <c r="I5065">
        <v>0</v>
      </c>
      <c r="J5065" t="s">
        <v>87</v>
      </c>
      <c r="K5065">
        <v>0</v>
      </c>
      <c r="L5065">
        <v>0</v>
      </c>
    </row>
    <row r="5066" spans="1:12">
      <c r="A5066" s="93">
        <v>487834</v>
      </c>
      <c r="B5066" t="s">
        <v>5516</v>
      </c>
      <c r="C5066" t="s">
        <v>5606</v>
      </c>
      <c r="D5066" s="92" t="s">
        <v>428</v>
      </c>
      <c r="E5066" s="92" t="s">
        <v>428</v>
      </c>
      <c r="F5066" t="s">
        <v>428</v>
      </c>
      <c r="G5066" t="s">
        <v>428</v>
      </c>
      <c r="H5066" t="s">
        <v>5615</v>
      </c>
      <c r="I5066">
        <v>0</v>
      </c>
      <c r="J5066" t="s">
        <v>87</v>
      </c>
      <c r="K5066">
        <v>0</v>
      </c>
      <c r="L5066">
        <v>0</v>
      </c>
    </row>
    <row r="5067" spans="1:12">
      <c r="A5067" s="93">
        <v>487843</v>
      </c>
      <c r="B5067" t="s">
        <v>5517</v>
      </c>
      <c r="C5067" t="s">
        <v>5609</v>
      </c>
      <c r="D5067" s="92" t="s">
        <v>428</v>
      </c>
      <c r="E5067" s="92" t="s">
        <v>428</v>
      </c>
      <c r="F5067" t="s">
        <v>428</v>
      </c>
      <c r="G5067" t="s">
        <v>428</v>
      </c>
      <c r="H5067" t="s">
        <v>5615</v>
      </c>
      <c r="I5067">
        <v>0</v>
      </c>
      <c r="J5067" t="s">
        <v>87</v>
      </c>
      <c r="K5067">
        <v>0</v>
      </c>
      <c r="L5067">
        <v>0</v>
      </c>
    </row>
    <row r="5068" spans="1:12">
      <c r="A5068" s="93">
        <v>487861</v>
      </c>
      <c r="B5068" t="s">
        <v>5518</v>
      </c>
      <c r="C5068" t="s">
        <v>5606</v>
      </c>
      <c r="D5068" s="92" t="s">
        <v>428</v>
      </c>
      <c r="E5068" s="92" t="s">
        <v>428</v>
      </c>
      <c r="F5068" t="s">
        <v>428</v>
      </c>
      <c r="G5068" t="s">
        <v>428</v>
      </c>
      <c r="H5068" t="s">
        <v>5617</v>
      </c>
      <c r="I5068">
        <v>0</v>
      </c>
      <c r="J5068" t="s">
        <v>87</v>
      </c>
      <c r="K5068">
        <v>0</v>
      </c>
      <c r="L5068">
        <v>0</v>
      </c>
    </row>
    <row r="5069" spans="1:12">
      <c r="A5069" s="93">
        <v>487977</v>
      </c>
      <c r="B5069" t="s">
        <v>5519</v>
      </c>
      <c r="C5069" t="s">
        <v>5606</v>
      </c>
      <c r="D5069" s="92" t="s">
        <v>428</v>
      </c>
      <c r="E5069" s="92" t="s">
        <v>428</v>
      </c>
      <c r="F5069" t="s">
        <v>428</v>
      </c>
      <c r="G5069" t="s">
        <v>428</v>
      </c>
      <c r="H5069" t="s">
        <v>5615</v>
      </c>
      <c r="I5069">
        <v>0</v>
      </c>
      <c r="J5069" t="s">
        <v>87</v>
      </c>
      <c r="K5069">
        <v>0</v>
      </c>
      <c r="L5069">
        <v>0</v>
      </c>
    </row>
    <row r="5070" spans="1:12">
      <c r="A5070" s="93">
        <v>487995</v>
      </c>
      <c r="B5070" t="s">
        <v>5520</v>
      </c>
      <c r="C5070" t="s">
        <v>5607</v>
      </c>
      <c r="D5070" s="92" t="s">
        <v>428</v>
      </c>
      <c r="E5070" s="92" t="s">
        <v>428</v>
      </c>
      <c r="F5070" t="s">
        <v>428</v>
      </c>
      <c r="G5070" t="s">
        <v>428</v>
      </c>
      <c r="H5070" t="s">
        <v>5615</v>
      </c>
      <c r="I5070">
        <v>0</v>
      </c>
      <c r="J5070" t="s">
        <v>87</v>
      </c>
      <c r="K5070">
        <v>0</v>
      </c>
      <c r="L5070">
        <v>0</v>
      </c>
    </row>
    <row r="5071" spans="1:12">
      <c r="A5071" s="93">
        <v>488004</v>
      </c>
      <c r="B5071" t="s">
        <v>5521</v>
      </c>
      <c r="C5071" t="s">
        <v>5607</v>
      </c>
      <c r="D5071" s="92" t="s">
        <v>428</v>
      </c>
      <c r="E5071" s="92" t="s">
        <v>428</v>
      </c>
      <c r="F5071" t="s">
        <v>428</v>
      </c>
      <c r="G5071" t="s">
        <v>428</v>
      </c>
      <c r="H5071" t="s">
        <v>5615</v>
      </c>
      <c r="I5071">
        <v>0</v>
      </c>
      <c r="J5071" t="s">
        <v>87</v>
      </c>
      <c r="K5071">
        <v>0</v>
      </c>
      <c r="L5071">
        <v>0</v>
      </c>
    </row>
    <row r="5072" spans="1:12">
      <c r="A5072" s="93">
        <v>488031</v>
      </c>
      <c r="B5072" t="s">
        <v>5522</v>
      </c>
      <c r="C5072" t="s">
        <v>5604</v>
      </c>
      <c r="D5072" s="92" t="s">
        <v>428</v>
      </c>
      <c r="E5072" s="92" t="s">
        <v>428</v>
      </c>
      <c r="F5072" t="s">
        <v>428</v>
      </c>
      <c r="G5072" t="s">
        <v>428</v>
      </c>
      <c r="H5072" t="s">
        <v>5615</v>
      </c>
      <c r="I5072">
        <v>0</v>
      </c>
      <c r="J5072" t="s">
        <v>87</v>
      </c>
      <c r="K5072">
        <v>0</v>
      </c>
      <c r="L5072">
        <v>0</v>
      </c>
    </row>
    <row r="5073" spans="1:12">
      <c r="A5073" s="93">
        <v>488068</v>
      </c>
      <c r="B5073" t="s">
        <v>5523</v>
      </c>
      <c r="C5073" t="s">
        <v>5604</v>
      </c>
      <c r="D5073" s="92" t="s">
        <v>428</v>
      </c>
      <c r="E5073" s="92" t="s">
        <v>428</v>
      </c>
      <c r="F5073" t="s">
        <v>428</v>
      </c>
      <c r="G5073" t="s">
        <v>428</v>
      </c>
      <c r="H5073" t="s">
        <v>5615</v>
      </c>
      <c r="I5073">
        <v>0</v>
      </c>
      <c r="J5073" t="s">
        <v>87</v>
      </c>
      <c r="K5073">
        <v>0</v>
      </c>
      <c r="L5073">
        <v>0</v>
      </c>
    </row>
    <row r="5074" spans="1:12">
      <c r="A5074" s="93">
        <v>488077</v>
      </c>
      <c r="B5074" t="s">
        <v>5524</v>
      </c>
      <c r="C5074" t="s">
        <v>5606</v>
      </c>
      <c r="D5074" s="92" t="s">
        <v>428</v>
      </c>
      <c r="E5074" s="92" t="s">
        <v>428</v>
      </c>
      <c r="F5074" t="s">
        <v>428</v>
      </c>
      <c r="G5074" t="s">
        <v>428</v>
      </c>
      <c r="H5074" t="s">
        <v>5615</v>
      </c>
      <c r="I5074">
        <v>0</v>
      </c>
      <c r="J5074" t="s">
        <v>87</v>
      </c>
      <c r="K5074">
        <v>0</v>
      </c>
      <c r="L5074">
        <v>0</v>
      </c>
    </row>
    <row r="5075" spans="1:12">
      <c r="A5075" s="93">
        <v>488086</v>
      </c>
      <c r="B5075" t="s">
        <v>5525</v>
      </c>
      <c r="C5075" t="s">
        <v>5606</v>
      </c>
      <c r="D5075" s="92" t="s">
        <v>428</v>
      </c>
      <c r="E5075" s="92" t="s">
        <v>428</v>
      </c>
      <c r="F5075" t="s">
        <v>428</v>
      </c>
      <c r="G5075" t="s">
        <v>428</v>
      </c>
      <c r="H5075" t="s">
        <v>5615</v>
      </c>
      <c r="I5075">
        <v>0</v>
      </c>
      <c r="J5075" t="s">
        <v>87</v>
      </c>
      <c r="K5075">
        <v>0</v>
      </c>
      <c r="L5075">
        <v>1</v>
      </c>
    </row>
    <row r="5076" spans="1:12">
      <c r="A5076" s="93">
        <v>488101</v>
      </c>
      <c r="B5076" t="s">
        <v>5526</v>
      </c>
      <c r="C5076" t="s">
        <v>5604</v>
      </c>
      <c r="D5076" s="92" t="s">
        <v>428</v>
      </c>
      <c r="E5076" s="92" t="s">
        <v>428</v>
      </c>
      <c r="F5076" t="s">
        <v>428</v>
      </c>
      <c r="G5076" t="s">
        <v>428</v>
      </c>
      <c r="H5076" t="s">
        <v>5616</v>
      </c>
      <c r="I5076">
        <v>0</v>
      </c>
      <c r="J5076" t="s">
        <v>87</v>
      </c>
      <c r="K5076">
        <v>0</v>
      </c>
      <c r="L5076">
        <v>0</v>
      </c>
    </row>
    <row r="5077" spans="1:12">
      <c r="A5077" s="93">
        <v>488183</v>
      </c>
      <c r="B5077" t="s">
        <v>5527</v>
      </c>
      <c r="C5077" t="s">
        <v>5606</v>
      </c>
      <c r="D5077" s="92" t="s">
        <v>428</v>
      </c>
      <c r="E5077" s="92" t="s">
        <v>428</v>
      </c>
      <c r="F5077" t="s">
        <v>428</v>
      </c>
      <c r="G5077" t="s">
        <v>428</v>
      </c>
      <c r="H5077" t="s">
        <v>5617</v>
      </c>
      <c r="I5077">
        <v>0</v>
      </c>
      <c r="J5077" t="s">
        <v>87</v>
      </c>
      <c r="K5077">
        <v>0</v>
      </c>
      <c r="L5077">
        <v>0</v>
      </c>
    </row>
    <row r="5078" spans="1:12">
      <c r="A5078" s="93">
        <v>488305</v>
      </c>
      <c r="B5078" t="s">
        <v>5528</v>
      </c>
      <c r="C5078" t="s">
        <v>5606</v>
      </c>
      <c r="D5078" s="92" t="s">
        <v>428</v>
      </c>
      <c r="E5078" s="92" t="s">
        <v>428</v>
      </c>
      <c r="F5078">
        <v>19</v>
      </c>
      <c r="G5078">
        <v>21.5</v>
      </c>
      <c r="H5078" t="s">
        <v>5615</v>
      </c>
      <c r="I5078">
        <v>0</v>
      </c>
      <c r="J5078" t="s">
        <v>87</v>
      </c>
      <c r="K5078">
        <v>0</v>
      </c>
      <c r="L5078">
        <v>0</v>
      </c>
    </row>
    <row r="5079" spans="1:12">
      <c r="A5079" s="93">
        <v>488314</v>
      </c>
      <c r="B5079" t="s">
        <v>5529</v>
      </c>
      <c r="C5079" t="s">
        <v>5607</v>
      </c>
      <c r="D5079" s="92" t="s">
        <v>428</v>
      </c>
      <c r="E5079" s="92" t="s">
        <v>428</v>
      </c>
      <c r="F5079" t="s">
        <v>428</v>
      </c>
      <c r="G5079" t="s">
        <v>428</v>
      </c>
      <c r="H5079" t="s">
        <v>5615</v>
      </c>
      <c r="I5079">
        <v>0</v>
      </c>
      <c r="J5079" t="s">
        <v>87</v>
      </c>
      <c r="K5079">
        <v>0</v>
      </c>
      <c r="L5079">
        <v>0</v>
      </c>
    </row>
    <row r="5080" spans="1:12">
      <c r="A5080" s="93">
        <v>488332</v>
      </c>
      <c r="B5080" t="s">
        <v>5530</v>
      </c>
      <c r="C5080" t="s">
        <v>5604</v>
      </c>
      <c r="D5080" s="92" t="s">
        <v>428</v>
      </c>
      <c r="E5080" s="92" t="s">
        <v>428</v>
      </c>
      <c r="F5080" t="s">
        <v>428</v>
      </c>
      <c r="G5080" t="s">
        <v>428</v>
      </c>
      <c r="H5080" t="s">
        <v>5615</v>
      </c>
      <c r="I5080">
        <v>0</v>
      </c>
      <c r="J5080" t="s">
        <v>87</v>
      </c>
      <c r="K5080">
        <v>0</v>
      </c>
      <c r="L5080">
        <v>0</v>
      </c>
    </row>
    <row r="5081" spans="1:12">
      <c r="A5081" s="93">
        <v>488350</v>
      </c>
      <c r="B5081" t="s">
        <v>5531</v>
      </c>
      <c r="C5081" t="s">
        <v>5607</v>
      </c>
      <c r="D5081" s="92" t="s">
        <v>428</v>
      </c>
      <c r="E5081" s="92" t="s">
        <v>428</v>
      </c>
      <c r="F5081" t="s">
        <v>428</v>
      </c>
      <c r="G5081" t="s">
        <v>428</v>
      </c>
      <c r="H5081" t="s">
        <v>5624</v>
      </c>
      <c r="I5081">
        <v>1</v>
      </c>
      <c r="J5081" t="s">
        <v>87</v>
      </c>
      <c r="K5081">
        <v>0</v>
      </c>
      <c r="L5081">
        <v>0</v>
      </c>
    </row>
    <row r="5082" spans="1:12">
      <c r="A5082" s="93">
        <v>488387</v>
      </c>
      <c r="B5082" t="s">
        <v>5532</v>
      </c>
      <c r="C5082" t="s">
        <v>5607</v>
      </c>
      <c r="D5082" s="92" t="s">
        <v>428</v>
      </c>
      <c r="E5082" s="92" t="s">
        <v>428</v>
      </c>
      <c r="F5082" t="s">
        <v>428</v>
      </c>
      <c r="G5082" t="s">
        <v>428</v>
      </c>
      <c r="H5082" t="s">
        <v>5615</v>
      </c>
      <c r="I5082">
        <v>0</v>
      </c>
      <c r="J5082" t="s">
        <v>87</v>
      </c>
      <c r="K5082">
        <v>0</v>
      </c>
      <c r="L5082">
        <v>0</v>
      </c>
    </row>
    <row r="5083" spans="1:12">
      <c r="A5083" s="93">
        <v>488448</v>
      </c>
      <c r="B5083" t="s">
        <v>5533</v>
      </c>
      <c r="C5083" t="s">
        <v>5604</v>
      </c>
      <c r="D5083" s="92" t="s">
        <v>428</v>
      </c>
      <c r="E5083" s="92" t="s">
        <v>428</v>
      </c>
      <c r="F5083" t="s">
        <v>428</v>
      </c>
      <c r="G5083" t="s">
        <v>428</v>
      </c>
      <c r="H5083" t="s">
        <v>5615</v>
      </c>
      <c r="I5083">
        <v>0</v>
      </c>
      <c r="J5083" t="s">
        <v>87</v>
      </c>
      <c r="K5083">
        <v>0</v>
      </c>
      <c r="L5083">
        <v>0</v>
      </c>
    </row>
    <row r="5084" spans="1:12">
      <c r="A5084" s="93">
        <v>488527</v>
      </c>
      <c r="B5084" t="s">
        <v>5534</v>
      </c>
      <c r="C5084" t="s">
        <v>5607</v>
      </c>
      <c r="D5084" s="92" t="s">
        <v>428</v>
      </c>
      <c r="E5084" s="92" t="s">
        <v>428</v>
      </c>
      <c r="F5084" t="s">
        <v>428</v>
      </c>
      <c r="G5084" t="s">
        <v>428</v>
      </c>
      <c r="H5084" t="s">
        <v>5615</v>
      </c>
      <c r="I5084">
        <v>0</v>
      </c>
      <c r="J5084" t="s">
        <v>87</v>
      </c>
      <c r="K5084">
        <v>0</v>
      </c>
      <c r="L5084">
        <v>0</v>
      </c>
    </row>
    <row r="5085" spans="1:12">
      <c r="A5085" s="93">
        <v>488554</v>
      </c>
      <c r="B5085" t="s">
        <v>5535</v>
      </c>
      <c r="C5085" t="s">
        <v>5607</v>
      </c>
      <c r="D5085" s="92" t="s">
        <v>428</v>
      </c>
      <c r="E5085" s="92" t="s">
        <v>428</v>
      </c>
      <c r="F5085" t="s">
        <v>428</v>
      </c>
      <c r="G5085" t="s">
        <v>428</v>
      </c>
      <c r="H5085" t="s">
        <v>5615</v>
      </c>
      <c r="I5085">
        <v>0</v>
      </c>
      <c r="J5085" t="s">
        <v>87</v>
      </c>
      <c r="K5085">
        <v>0</v>
      </c>
      <c r="L5085">
        <v>0</v>
      </c>
    </row>
    <row r="5086" spans="1:12">
      <c r="A5086" s="93">
        <v>488572</v>
      </c>
      <c r="B5086" t="s">
        <v>5536</v>
      </c>
      <c r="C5086" t="s">
        <v>5607</v>
      </c>
      <c r="D5086" s="92" t="s">
        <v>428</v>
      </c>
      <c r="E5086" s="92" t="s">
        <v>428</v>
      </c>
      <c r="F5086" t="s">
        <v>428</v>
      </c>
      <c r="G5086" t="s">
        <v>428</v>
      </c>
      <c r="H5086" t="s">
        <v>5615</v>
      </c>
      <c r="I5086">
        <v>0</v>
      </c>
      <c r="J5086" t="s">
        <v>87</v>
      </c>
      <c r="K5086">
        <v>0</v>
      </c>
      <c r="L5086">
        <v>0</v>
      </c>
    </row>
    <row r="5087" spans="1:12">
      <c r="A5087" s="93">
        <v>488679</v>
      </c>
      <c r="B5087" t="s">
        <v>5537</v>
      </c>
      <c r="C5087" t="s">
        <v>5604</v>
      </c>
      <c r="D5087" s="92" t="s">
        <v>428</v>
      </c>
      <c r="E5087" s="92" t="s">
        <v>428</v>
      </c>
      <c r="F5087" t="s">
        <v>428</v>
      </c>
      <c r="G5087" t="s">
        <v>428</v>
      </c>
      <c r="H5087" t="s">
        <v>5617</v>
      </c>
      <c r="I5087">
        <v>0</v>
      </c>
      <c r="J5087" t="s">
        <v>87</v>
      </c>
      <c r="K5087">
        <v>0</v>
      </c>
      <c r="L5087">
        <v>0</v>
      </c>
    </row>
    <row r="5088" spans="1:12">
      <c r="A5088" s="93">
        <v>488730</v>
      </c>
      <c r="B5088" t="s">
        <v>5538</v>
      </c>
      <c r="C5088" t="s">
        <v>5606</v>
      </c>
      <c r="D5088" s="92">
        <v>0.41</v>
      </c>
      <c r="E5088" s="92">
        <v>0.44</v>
      </c>
      <c r="F5088" t="s">
        <v>428</v>
      </c>
      <c r="G5088" t="s">
        <v>428</v>
      </c>
      <c r="H5088" t="s">
        <v>5615</v>
      </c>
      <c r="I5088">
        <v>0</v>
      </c>
      <c r="J5088" t="s">
        <v>87</v>
      </c>
      <c r="K5088">
        <v>0</v>
      </c>
      <c r="L5088">
        <v>0</v>
      </c>
    </row>
    <row r="5089" spans="1:12">
      <c r="A5089" s="93">
        <v>488776</v>
      </c>
      <c r="B5089" t="s">
        <v>5539</v>
      </c>
      <c r="C5089" t="s">
        <v>5607</v>
      </c>
      <c r="D5089" s="92" t="s">
        <v>428</v>
      </c>
      <c r="E5089" s="92" t="s">
        <v>428</v>
      </c>
      <c r="F5089" t="s">
        <v>428</v>
      </c>
      <c r="G5089" t="s">
        <v>428</v>
      </c>
      <c r="H5089" t="s">
        <v>5615</v>
      </c>
      <c r="I5089">
        <v>0</v>
      </c>
      <c r="J5089" t="s">
        <v>87</v>
      </c>
      <c r="K5089">
        <v>0</v>
      </c>
      <c r="L5089">
        <v>0</v>
      </c>
    </row>
    <row r="5090" spans="1:12">
      <c r="A5090" s="93">
        <v>488785</v>
      </c>
      <c r="B5090" t="s">
        <v>5540</v>
      </c>
      <c r="C5090" t="s">
        <v>5607</v>
      </c>
      <c r="D5090" s="92" t="s">
        <v>428</v>
      </c>
      <c r="E5090" s="92" t="s">
        <v>428</v>
      </c>
      <c r="F5090" t="s">
        <v>428</v>
      </c>
      <c r="G5090" t="s">
        <v>428</v>
      </c>
      <c r="H5090" t="s">
        <v>5615</v>
      </c>
      <c r="I5090">
        <v>0</v>
      </c>
      <c r="J5090" t="s">
        <v>87</v>
      </c>
      <c r="K5090">
        <v>0</v>
      </c>
      <c r="L5090">
        <v>0</v>
      </c>
    </row>
    <row r="5091" spans="1:12">
      <c r="A5091" s="93">
        <v>488800</v>
      </c>
      <c r="B5091" t="s">
        <v>5541</v>
      </c>
      <c r="C5091" t="s">
        <v>5607</v>
      </c>
      <c r="D5091" s="92" t="s">
        <v>428</v>
      </c>
      <c r="E5091" s="92" t="s">
        <v>428</v>
      </c>
      <c r="F5091" t="s">
        <v>428</v>
      </c>
      <c r="G5091" t="s">
        <v>428</v>
      </c>
      <c r="H5091" t="s">
        <v>5615</v>
      </c>
      <c r="I5091">
        <v>0</v>
      </c>
      <c r="J5091" t="s">
        <v>87</v>
      </c>
      <c r="K5091">
        <v>0</v>
      </c>
      <c r="L5091">
        <v>0</v>
      </c>
    </row>
    <row r="5092" spans="1:12">
      <c r="A5092" s="93">
        <v>488819</v>
      </c>
      <c r="B5092" t="s">
        <v>5542</v>
      </c>
      <c r="C5092" t="s">
        <v>5607</v>
      </c>
      <c r="D5092" s="92">
        <v>0.75</v>
      </c>
      <c r="E5092" s="92" t="s">
        <v>428</v>
      </c>
      <c r="F5092" t="s">
        <v>428</v>
      </c>
      <c r="G5092" t="s">
        <v>428</v>
      </c>
      <c r="H5092" t="s">
        <v>5615</v>
      </c>
      <c r="I5092">
        <v>0</v>
      </c>
      <c r="J5092" t="s">
        <v>87</v>
      </c>
      <c r="K5092">
        <v>0</v>
      </c>
      <c r="L5092">
        <v>0</v>
      </c>
    </row>
    <row r="5093" spans="1:12">
      <c r="A5093" s="93">
        <v>488846</v>
      </c>
      <c r="B5093" t="s">
        <v>5543</v>
      </c>
      <c r="C5093" t="s">
        <v>5604</v>
      </c>
      <c r="D5093" s="92">
        <v>0.04</v>
      </c>
      <c r="E5093" s="92" t="s">
        <v>428</v>
      </c>
      <c r="F5093" t="s">
        <v>428</v>
      </c>
      <c r="G5093" t="s">
        <v>428</v>
      </c>
      <c r="H5093" t="s">
        <v>5615</v>
      </c>
      <c r="I5093">
        <v>0</v>
      </c>
      <c r="J5093" t="s">
        <v>87</v>
      </c>
      <c r="K5093">
        <v>0</v>
      </c>
      <c r="L5093">
        <v>0</v>
      </c>
    </row>
    <row r="5094" spans="1:12">
      <c r="A5094" s="93">
        <v>488907</v>
      </c>
      <c r="B5094" t="s">
        <v>5544</v>
      </c>
      <c r="C5094" t="s">
        <v>5607</v>
      </c>
      <c r="D5094" s="92" t="s">
        <v>428</v>
      </c>
      <c r="E5094" s="92" t="s">
        <v>428</v>
      </c>
      <c r="F5094" t="s">
        <v>428</v>
      </c>
      <c r="G5094" t="s">
        <v>428</v>
      </c>
      <c r="H5094" t="s">
        <v>5615</v>
      </c>
      <c r="I5094">
        <v>0</v>
      </c>
      <c r="J5094" t="s">
        <v>87</v>
      </c>
      <c r="K5094">
        <v>0</v>
      </c>
      <c r="L5094">
        <v>0</v>
      </c>
    </row>
    <row r="5095" spans="1:12">
      <c r="A5095" s="93">
        <v>488934</v>
      </c>
      <c r="B5095" t="s">
        <v>5545</v>
      </c>
      <c r="C5095" t="s">
        <v>5606</v>
      </c>
      <c r="D5095" s="92" t="s">
        <v>428</v>
      </c>
      <c r="E5095" s="92" t="s">
        <v>428</v>
      </c>
      <c r="F5095" t="s">
        <v>428</v>
      </c>
      <c r="G5095" t="s">
        <v>428</v>
      </c>
      <c r="H5095" t="s">
        <v>5615</v>
      </c>
      <c r="I5095">
        <v>0</v>
      </c>
      <c r="J5095" t="s">
        <v>87</v>
      </c>
      <c r="K5095">
        <v>0</v>
      </c>
      <c r="L5095">
        <v>0</v>
      </c>
    </row>
    <row r="5096" spans="1:12">
      <c r="A5096" s="93">
        <v>488943</v>
      </c>
      <c r="B5096" t="s">
        <v>5546</v>
      </c>
      <c r="C5096" t="s">
        <v>5606</v>
      </c>
      <c r="D5096" s="92" t="s">
        <v>428</v>
      </c>
      <c r="E5096" s="92" t="s">
        <v>428</v>
      </c>
      <c r="F5096" t="s">
        <v>428</v>
      </c>
      <c r="G5096" t="s">
        <v>428</v>
      </c>
      <c r="H5096" t="s">
        <v>5615</v>
      </c>
      <c r="I5096">
        <v>0</v>
      </c>
      <c r="J5096" t="s">
        <v>87</v>
      </c>
      <c r="K5096">
        <v>0</v>
      </c>
      <c r="L5096">
        <v>0</v>
      </c>
    </row>
    <row r="5097" spans="1:12">
      <c r="A5097" s="93">
        <v>488961</v>
      </c>
      <c r="B5097" t="s">
        <v>5547</v>
      </c>
      <c r="C5097" t="s">
        <v>5606</v>
      </c>
      <c r="D5097" s="92" t="s">
        <v>428</v>
      </c>
      <c r="E5097" s="92" t="s">
        <v>428</v>
      </c>
      <c r="F5097" t="s">
        <v>428</v>
      </c>
      <c r="G5097" t="s">
        <v>428</v>
      </c>
      <c r="H5097" t="s">
        <v>5617</v>
      </c>
      <c r="I5097">
        <v>0</v>
      </c>
      <c r="J5097" t="s">
        <v>87</v>
      </c>
      <c r="K5097">
        <v>0</v>
      </c>
      <c r="L5097">
        <v>0</v>
      </c>
    </row>
    <row r="5098" spans="1:12">
      <c r="A5098" s="93">
        <v>488998</v>
      </c>
      <c r="B5098" t="s">
        <v>5548</v>
      </c>
      <c r="C5098" t="s">
        <v>5606</v>
      </c>
      <c r="D5098" s="92" t="s">
        <v>428</v>
      </c>
      <c r="E5098" s="92" t="s">
        <v>428</v>
      </c>
      <c r="F5098" t="s">
        <v>428</v>
      </c>
      <c r="G5098" t="s">
        <v>428</v>
      </c>
      <c r="H5098" t="s">
        <v>5616</v>
      </c>
      <c r="I5098">
        <v>0</v>
      </c>
      <c r="J5098" t="s">
        <v>87</v>
      </c>
      <c r="K5098">
        <v>0</v>
      </c>
      <c r="L5098">
        <v>0</v>
      </c>
    </row>
    <row r="5099" spans="1:12">
      <c r="A5099" s="93">
        <v>489104</v>
      </c>
      <c r="B5099" t="s">
        <v>5549</v>
      </c>
      <c r="C5099" t="s">
        <v>5607</v>
      </c>
      <c r="D5099" s="92" t="s">
        <v>428</v>
      </c>
      <c r="E5099" s="92" t="s">
        <v>428</v>
      </c>
      <c r="F5099" t="s">
        <v>428</v>
      </c>
      <c r="G5099" t="s">
        <v>428</v>
      </c>
      <c r="H5099" t="s">
        <v>5615</v>
      </c>
      <c r="I5099">
        <v>0</v>
      </c>
      <c r="J5099" t="s">
        <v>87</v>
      </c>
      <c r="K5099">
        <v>0</v>
      </c>
      <c r="L5099">
        <v>0</v>
      </c>
    </row>
    <row r="5100" spans="1:12">
      <c r="A5100" s="93">
        <v>489201</v>
      </c>
      <c r="B5100" t="s">
        <v>2450</v>
      </c>
      <c r="C5100" t="s">
        <v>5606</v>
      </c>
      <c r="D5100" s="92" t="s">
        <v>428</v>
      </c>
      <c r="E5100" s="92" t="s">
        <v>428</v>
      </c>
      <c r="F5100" t="s">
        <v>428</v>
      </c>
      <c r="G5100" t="s">
        <v>428</v>
      </c>
      <c r="H5100" t="s">
        <v>5615</v>
      </c>
      <c r="I5100">
        <v>0</v>
      </c>
      <c r="J5100" t="s">
        <v>87</v>
      </c>
      <c r="K5100">
        <v>0</v>
      </c>
      <c r="L5100">
        <v>0</v>
      </c>
    </row>
    <row r="5101" spans="1:12">
      <c r="A5101" s="93">
        <v>489283</v>
      </c>
      <c r="B5101" t="s">
        <v>5550</v>
      </c>
      <c r="C5101" t="s">
        <v>5606</v>
      </c>
      <c r="D5101" s="92" t="s">
        <v>428</v>
      </c>
      <c r="E5101" s="92" t="s">
        <v>428</v>
      </c>
      <c r="F5101" t="s">
        <v>428</v>
      </c>
      <c r="G5101" t="s">
        <v>428</v>
      </c>
      <c r="H5101" t="s">
        <v>5617</v>
      </c>
      <c r="I5101">
        <v>0</v>
      </c>
      <c r="J5101" t="s">
        <v>87</v>
      </c>
      <c r="K5101">
        <v>0</v>
      </c>
      <c r="L5101">
        <v>0</v>
      </c>
    </row>
    <row r="5102" spans="1:12">
      <c r="A5102" s="93">
        <v>489344</v>
      </c>
      <c r="B5102" t="s">
        <v>5551</v>
      </c>
      <c r="C5102" t="s">
        <v>5607</v>
      </c>
      <c r="D5102" s="92" t="s">
        <v>428</v>
      </c>
      <c r="E5102" s="92" t="s">
        <v>428</v>
      </c>
      <c r="F5102" t="s">
        <v>428</v>
      </c>
      <c r="G5102" t="s">
        <v>428</v>
      </c>
      <c r="H5102" t="s">
        <v>5615</v>
      </c>
      <c r="I5102">
        <v>0</v>
      </c>
      <c r="J5102" t="s">
        <v>87</v>
      </c>
      <c r="K5102">
        <v>0</v>
      </c>
      <c r="L5102">
        <v>0</v>
      </c>
    </row>
    <row r="5103" spans="1:12">
      <c r="A5103" s="93">
        <v>489353</v>
      </c>
      <c r="B5103" t="s">
        <v>5552</v>
      </c>
      <c r="C5103" t="s">
        <v>5607</v>
      </c>
      <c r="D5103" s="92" t="s">
        <v>428</v>
      </c>
      <c r="E5103" s="92" t="s">
        <v>428</v>
      </c>
      <c r="F5103" t="s">
        <v>428</v>
      </c>
      <c r="G5103" t="s">
        <v>428</v>
      </c>
      <c r="H5103" t="s">
        <v>5615</v>
      </c>
      <c r="I5103">
        <v>0</v>
      </c>
      <c r="J5103" t="s">
        <v>87</v>
      </c>
      <c r="K5103">
        <v>0</v>
      </c>
      <c r="L5103">
        <v>0</v>
      </c>
    </row>
    <row r="5104" spans="1:12">
      <c r="A5104" s="93">
        <v>489371</v>
      </c>
      <c r="B5104" t="s">
        <v>1068</v>
      </c>
      <c r="C5104" t="s">
        <v>5606</v>
      </c>
      <c r="D5104" s="92" t="s">
        <v>428</v>
      </c>
      <c r="E5104" s="92" t="s">
        <v>428</v>
      </c>
      <c r="F5104" t="s">
        <v>428</v>
      </c>
      <c r="G5104" t="s">
        <v>428</v>
      </c>
      <c r="H5104" t="s">
        <v>5617</v>
      </c>
      <c r="I5104">
        <v>0</v>
      </c>
      <c r="J5104" t="s">
        <v>87</v>
      </c>
      <c r="K5104">
        <v>0</v>
      </c>
      <c r="L5104">
        <v>0</v>
      </c>
    </row>
    <row r="5105" spans="1:12">
      <c r="A5105" s="93">
        <v>489760</v>
      </c>
      <c r="B5105" t="s">
        <v>5553</v>
      </c>
      <c r="C5105" t="s">
        <v>5606</v>
      </c>
      <c r="D5105" s="92" t="s">
        <v>428</v>
      </c>
      <c r="E5105" s="92" t="s">
        <v>428</v>
      </c>
      <c r="F5105" t="s">
        <v>428</v>
      </c>
      <c r="G5105" t="s">
        <v>428</v>
      </c>
      <c r="H5105" t="s">
        <v>5617</v>
      </c>
      <c r="I5105">
        <v>0</v>
      </c>
      <c r="J5105" t="s">
        <v>87</v>
      </c>
      <c r="K5105">
        <v>0</v>
      </c>
      <c r="L5105">
        <v>0</v>
      </c>
    </row>
    <row r="5106" spans="1:12">
      <c r="A5106" s="93">
        <v>489779</v>
      </c>
      <c r="B5106" t="s">
        <v>5554</v>
      </c>
      <c r="C5106" t="s">
        <v>5604</v>
      </c>
      <c r="D5106" s="92" t="s">
        <v>428</v>
      </c>
      <c r="E5106" s="92" t="s">
        <v>428</v>
      </c>
      <c r="F5106" t="s">
        <v>428</v>
      </c>
      <c r="G5106" t="s">
        <v>428</v>
      </c>
      <c r="H5106" t="s">
        <v>5615</v>
      </c>
      <c r="I5106">
        <v>0</v>
      </c>
      <c r="J5106" t="s">
        <v>87</v>
      </c>
      <c r="K5106">
        <v>0</v>
      </c>
      <c r="L5106">
        <v>0</v>
      </c>
    </row>
    <row r="5107" spans="1:12">
      <c r="A5107" s="93">
        <v>489788</v>
      </c>
      <c r="B5107" t="s">
        <v>5555</v>
      </c>
      <c r="C5107" t="s">
        <v>5604</v>
      </c>
      <c r="D5107" s="92" t="s">
        <v>428</v>
      </c>
      <c r="E5107" s="92" t="s">
        <v>428</v>
      </c>
      <c r="F5107" t="s">
        <v>428</v>
      </c>
      <c r="G5107" t="s">
        <v>428</v>
      </c>
      <c r="H5107" t="s">
        <v>5615</v>
      </c>
      <c r="I5107">
        <v>0</v>
      </c>
      <c r="J5107" t="s">
        <v>87</v>
      </c>
      <c r="K5107">
        <v>0</v>
      </c>
      <c r="L5107">
        <v>0</v>
      </c>
    </row>
    <row r="5108" spans="1:12">
      <c r="A5108" s="93">
        <v>489812</v>
      </c>
      <c r="B5108" t="s">
        <v>5556</v>
      </c>
      <c r="C5108" t="s">
        <v>5606</v>
      </c>
      <c r="D5108" s="92" t="s">
        <v>428</v>
      </c>
      <c r="E5108" s="92" t="s">
        <v>428</v>
      </c>
      <c r="F5108" t="s">
        <v>428</v>
      </c>
      <c r="G5108" t="s">
        <v>428</v>
      </c>
      <c r="H5108" t="s">
        <v>5617</v>
      </c>
      <c r="I5108">
        <v>0</v>
      </c>
      <c r="J5108" t="s">
        <v>87</v>
      </c>
      <c r="K5108">
        <v>0</v>
      </c>
      <c r="L5108">
        <v>0</v>
      </c>
    </row>
    <row r="5109" spans="1:12">
      <c r="A5109" s="93">
        <v>489821</v>
      </c>
      <c r="B5109" t="s">
        <v>5557</v>
      </c>
      <c r="C5109" t="s">
        <v>5609</v>
      </c>
      <c r="D5109" s="92" t="s">
        <v>428</v>
      </c>
      <c r="E5109" s="92" t="s">
        <v>428</v>
      </c>
      <c r="F5109" t="s">
        <v>428</v>
      </c>
      <c r="G5109" t="s">
        <v>428</v>
      </c>
      <c r="H5109" t="s">
        <v>5615</v>
      </c>
      <c r="I5109">
        <v>0</v>
      </c>
      <c r="J5109" t="s">
        <v>87</v>
      </c>
      <c r="K5109">
        <v>0</v>
      </c>
      <c r="L5109">
        <v>0</v>
      </c>
    </row>
    <row r="5110" spans="1:12">
      <c r="A5110" s="93">
        <v>489858</v>
      </c>
      <c r="B5110" t="s">
        <v>5558</v>
      </c>
      <c r="C5110" t="s">
        <v>5607</v>
      </c>
      <c r="D5110" s="92" t="s">
        <v>428</v>
      </c>
      <c r="E5110" s="92" t="s">
        <v>428</v>
      </c>
      <c r="F5110" t="s">
        <v>428</v>
      </c>
      <c r="G5110" t="s">
        <v>428</v>
      </c>
      <c r="H5110" t="s">
        <v>5615</v>
      </c>
      <c r="I5110">
        <v>0</v>
      </c>
      <c r="J5110" t="s">
        <v>87</v>
      </c>
      <c r="K5110">
        <v>0</v>
      </c>
      <c r="L5110">
        <v>0</v>
      </c>
    </row>
    <row r="5111" spans="1:12">
      <c r="A5111" s="93">
        <v>489937</v>
      </c>
      <c r="B5111" t="s">
        <v>5559</v>
      </c>
      <c r="C5111" t="s">
        <v>5608</v>
      </c>
      <c r="D5111" s="92">
        <v>0.5</v>
      </c>
      <c r="E5111" s="92">
        <v>0</v>
      </c>
      <c r="F5111">
        <v>15</v>
      </c>
      <c r="G5111">
        <v>16.5</v>
      </c>
      <c r="H5111" t="s">
        <v>5617</v>
      </c>
      <c r="I5111">
        <v>0</v>
      </c>
      <c r="J5111" t="s">
        <v>87</v>
      </c>
      <c r="K5111">
        <v>0</v>
      </c>
      <c r="L5111">
        <v>0</v>
      </c>
    </row>
    <row r="5112" spans="1:12">
      <c r="A5112" s="93">
        <v>490009</v>
      </c>
      <c r="B5112" t="s">
        <v>1068</v>
      </c>
      <c r="C5112" t="s">
        <v>5606</v>
      </c>
      <c r="D5112" s="92" t="s">
        <v>428</v>
      </c>
      <c r="E5112" s="92" t="s">
        <v>428</v>
      </c>
      <c r="F5112" t="s">
        <v>428</v>
      </c>
      <c r="G5112" t="s">
        <v>428</v>
      </c>
      <c r="H5112" t="s">
        <v>5617</v>
      </c>
      <c r="I5112">
        <v>0</v>
      </c>
      <c r="J5112" t="s">
        <v>87</v>
      </c>
      <c r="K5112">
        <v>0</v>
      </c>
      <c r="L5112">
        <v>0</v>
      </c>
    </row>
    <row r="5113" spans="1:12">
      <c r="A5113" s="93">
        <v>490045</v>
      </c>
      <c r="B5113" t="s">
        <v>5560</v>
      </c>
      <c r="C5113" t="s">
        <v>5604</v>
      </c>
      <c r="D5113" s="92" t="s">
        <v>428</v>
      </c>
      <c r="E5113" s="92" t="s">
        <v>428</v>
      </c>
      <c r="F5113" t="s">
        <v>428</v>
      </c>
      <c r="G5113" t="s">
        <v>428</v>
      </c>
      <c r="H5113" t="s">
        <v>5615</v>
      </c>
      <c r="I5113">
        <v>0</v>
      </c>
      <c r="J5113" t="s">
        <v>87</v>
      </c>
      <c r="K5113">
        <v>0</v>
      </c>
      <c r="L5113">
        <v>0</v>
      </c>
    </row>
    <row r="5114" spans="1:12">
      <c r="A5114" s="93">
        <v>490054</v>
      </c>
      <c r="B5114" t="s">
        <v>5561</v>
      </c>
      <c r="C5114" t="s">
        <v>5606</v>
      </c>
      <c r="D5114" s="92" t="s">
        <v>428</v>
      </c>
      <c r="E5114" s="92" t="s">
        <v>428</v>
      </c>
      <c r="F5114" t="s">
        <v>428</v>
      </c>
      <c r="G5114" t="s">
        <v>428</v>
      </c>
      <c r="H5114" t="s">
        <v>5615</v>
      </c>
      <c r="I5114">
        <v>0</v>
      </c>
      <c r="J5114" t="s">
        <v>87</v>
      </c>
      <c r="K5114">
        <v>0</v>
      </c>
      <c r="L5114">
        <v>0</v>
      </c>
    </row>
    <row r="5115" spans="1:12">
      <c r="A5115" s="93">
        <v>490063</v>
      </c>
      <c r="B5115" t="s">
        <v>5562</v>
      </c>
      <c r="C5115" t="s">
        <v>5607</v>
      </c>
      <c r="D5115" s="92" t="s">
        <v>428</v>
      </c>
      <c r="E5115" s="92" t="s">
        <v>428</v>
      </c>
      <c r="F5115" t="s">
        <v>428</v>
      </c>
      <c r="G5115" t="s">
        <v>428</v>
      </c>
      <c r="H5115" t="s">
        <v>5615</v>
      </c>
      <c r="I5115">
        <v>0</v>
      </c>
      <c r="J5115" t="s">
        <v>87</v>
      </c>
      <c r="K5115">
        <v>0</v>
      </c>
      <c r="L5115">
        <v>0</v>
      </c>
    </row>
    <row r="5116" spans="1:12">
      <c r="A5116" s="93">
        <v>490081</v>
      </c>
      <c r="B5116" t="s">
        <v>5563</v>
      </c>
      <c r="C5116" t="s">
        <v>5604</v>
      </c>
      <c r="D5116" s="92" t="s">
        <v>428</v>
      </c>
      <c r="E5116" s="92" t="s">
        <v>428</v>
      </c>
      <c r="F5116" t="s">
        <v>428</v>
      </c>
      <c r="G5116" t="s">
        <v>428</v>
      </c>
      <c r="H5116" t="s">
        <v>5615</v>
      </c>
      <c r="I5116">
        <v>0</v>
      </c>
      <c r="J5116" t="s">
        <v>87</v>
      </c>
      <c r="K5116">
        <v>0</v>
      </c>
      <c r="L5116">
        <v>0</v>
      </c>
    </row>
    <row r="5117" spans="1:12">
      <c r="A5117" s="93">
        <v>490090</v>
      </c>
      <c r="B5117" t="s">
        <v>5564</v>
      </c>
      <c r="C5117" t="s">
        <v>5606</v>
      </c>
      <c r="D5117" s="92" t="s">
        <v>428</v>
      </c>
      <c r="E5117" s="92" t="s">
        <v>428</v>
      </c>
      <c r="F5117" t="s">
        <v>428</v>
      </c>
      <c r="G5117" t="s">
        <v>428</v>
      </c>
      <c r="H5117" t="s">
        <v>5615</v>
      </c>
      <c r="I5117">
        <v>0</v>
      </c>
      <c r="J5117" t="s">
        <v>87</v>
      </c>
      <c r="K5117">
        <v>0</v>
      </c>
      <c r="L5117">
        <v>0</v>
      </c>
    </row>
    <row r="5118" spans="1:12">
      <c r="A5118" s="93">
        <v>490106</v>
      </c>
      <c r="B5118" t="s">
        <v>5565</v>
      </c>
      <c r="C5118" t="s">
        <v>5607</v>
      </c>
      <c r="D5118" s="92" t="s">
        <v>428</v>
      </c>
      <c r="E5118" s="92" t="s">
        <v>428</v>
      </c>
      <c r="F5118" t="s">
        <v>428</v>
      </c>
      <c r="G5118" t="s">
        <v>428</v>
      </c>
      <c r="H5118" t="s">
        <v>5615</v>
      </c>
      <c r="I5118">
        <v>0</v>
      </c>
      <c r="J5118" t="s">
        <v>87</v>
      </c>
      <c r="K5118">
        <v>0</v>
      </c>
      <c r="L5118">
        <v>0</v>
      </c>
    </row>
    <row r="5119" spans="1:12">
      <c r="A5119" s="93">
        <v>490124</v>
      </c>
      <c r="B5119" t="s">
        <v>5566</v>
      </c>
      <c r="C5119" t="s">
        <v>5604</v>
      </c>
      <c r="D5119" s="92" t="s">
        <v>428</v>
      </c>
      <c r="E5119" s="92" t="s">
        <v>428</v>
      </c>
      <c r="F5119" t="s">
        <v>428</v>
      </c>
      <c r="G5119" t="s">
        <v>428</v>
      </c>
      <c r="H5119" t="s">
        <v>5615</v>
      </c>
      <c r="I5119">
        <v>0</v>
      </c>
      <c r="J5119" t="s">
        <v>87</v>
      </c>
      <c r="K5119">
        <v>0</v>
      </c>
      <c r="L5119">
        <v>0</v>
      </c>
    </row>
    <row r="5120" spans="1:12">
      <c r="A5120" s="93">
        <v>490133</v>
      </c>
      <c r="B5120" t="s">
        <v>5567</v>
      </c>
      <c r="C5120" t="s">
        <v>5607</v>
      </c>
      <c r="D5120" s="92" t="s">
        <v>428</v>
      </c>
      <c r="E5120" s="92" t="s">
        <v>428</v>
      </c>
      <c r="F5120" t="s">
        <v>428</v>
      </c>
      <c r="G5120" t="s">
        <v>428</v>
      </c>
      <c r="H5120" t="s">
        <v>5615</v>
      </c>
      <c r="I5120">
        <v>0</v>
      </c>
      <c r="J5120" t="s">
        <v>87</v>
      </c>
      <c r="K5120">
        <v>0</v>
      </c>
      <c r="L5120">
        <v>0</v>
      </c>
    </row>
    <row r="5121" spans="1:12">
      <c r="A5121" s="93">
        <v>490160</v>
      </c>
      <c r="B5121" t="s">
        <v>5568</v>
      </c>
      <c r="C5121" t="s">
        <v>5606</v>
      </c>
      <c r="D5121" s="92" t="s">
        <v>428</v>
      </c>
      <c r="E5121" s="92" t="s">
        <v>428</v>
      </c>
      <c r="F5121" t="s">
        <v>428</v>
      </c>
      <c r="G5121" t="s">
        <v>428</v>
      </c>
      <c r="H5121" t="s">
        <v>5615</v>
      </c>
      <c r="I5121">
        <v>0</v>
      </c>
      <c r="J5121" t="s">
        <v>87</v>
      </c>
      <c r="K5121">
        <v>0</v>
      </c>
      <c r="L5121">
        <v>0</v>
      </c>
    </row>
    <row r="5122" spans="1:12">
      <c r="A5122" s="93">
        <v>490179</v>
      </c>
      <c r="B5122" t="s">
        <v>5569</v>
      </c>
      <c r="C5122" t="s">
        <v>5607</v>
      </c>
      <c r="D5122" s="92" t="s">
        <v>428</v>
      </c>
      <c r="E5122" s="92" t="s">
        <v>428</v>
      </c>
      <c r="F5122" t="s">
        <v>428</v>
      </c>
      <c r="G5122" t="s">
        <v>428</v>
      </c>
      <c r="H5122" t="s">
        <v>5615</v>
      </c>
      <c r="I5122">
        <v>0</v>
      </c>
      <c r="J5122" t="s">
        <v>87</v>
      </c>
      <c r="K5122">
        <v>0</v>
      </c>
      <c r="L5122">
        <v>0</v>
      </c>
    </row>
    <row r="5123" spans="1:12">
      <c r="A5123" s="93">
        <v>490188</v>
      </c>
      <c r="B5123" t="s">
        <v>5570</v>
      </c>
      <c r="C5123" t="s">
        <v>5606</v>
      </c>
      <c r="D5123" s="92" t="s">
        <v>428</v>
      </c>
      <c r="E5123" s="92" t="s">
        <v>428</v>
      </c>
      <c r="F5123" t="s">
        <v>428</v>
      </c>
      <c r="G5123" t="s">
        <v>428</v>
      </c>
      <c r="H5123" t="s">
        <v>5615</v>
      </c>
      <c r="I5123">
        <v>0</v>
      </c>
      <c r="J5123" t="s">
        <v>87</v>
      </c>
      <c r="K5123">
        <v>0</v>
      </c>
      <c r="L5123">
        <v>0</v>
      </c>
    </row>
    <row r="5124" spans="1:12">
      <c r="A5124" s="93">
        <v>490203</v>
      </c>
      <c r="B5124" t="s">
        <v>5571</v>
      </c>
      <c r="C5124" t="s">
        <v>5606</v>
      </c>
      <c r="D5124" s="92" t="s">
        <v>428</v>
      </c>
      <c r="E5124" s="92" t="s">
        <v>428</v>
      </c>
      <c r="F5124" t="s">
        <v>428</v>
      </c>
      <c r="G5124" t="s">
        <v>428</v>
      </c>
      <c r="H5124" t="s">
        <v>5615</v>
      </c>
      <c r="I5124">
        <v>0</v>
      </c>
      <c r="J5124" t="s">
        <v>87</v>
      </c>
      <c r="K5124">
        <v>0</v>
      </c>
      <c r="L5124">
        <v>0</v>
      </c>
    </row>
    <row r="5125" spans="1:12">
      <c r="A5125" s="93">
        <v>490230</v>
      </c>
      <c r="B5125" t="s">
        <v>5572</v>
      </c>
      <c r="C5125" t="s">
        <v>5604</v>
      </c>
      <c r="D5125" s="92" t="s">
        <v>428</v>
      </c>
      <c r="E5125" s="92" t="s">
        <v>428</v>
      </c>
      <c r="F5125" t="s">
        <v>428</v>
      </c>
      <c r="G5125" t="s">
        <v>428</v>
      </c>
      <c r="H5125" t="s">
        <v>5615</v>
      </c>
      <c r="I5125">
        <v>0</v>
      </c>
      <c r="J5125" t="s">
        <v>87</v>
      </c>
      <c r="K5125">
        <v>0</v>
      </c>
      <c r="L5125">
        <v>0</v>
      </c>
    </row>
    <row r="5126" spans="1:12">
      <c r="A5126" s="93">
        <v>490276</v>
      </c>
      <c r="B5126" t="s">
        <v>5573</v>
      </c>
      <c r="C5126" t="s">
        <v>5604</v>
      </c>
      <c r="D5126" s="92" t="s">
        <v>428</v>
      </c>
      <c r="E5126" s="92" t="s">
        <v>428</v>
      </c>
      <c r="F5126" t="s">
        <v>428</v>
      </c>
      <c r="G5126" t="s">
        <v>428</v>
      </c>
      <c r="H5126" t="s">
        <v>5615</v>
      </c>
      <c r="I5126">
        <v>0</v>
      </c>
      <c r="J5126" t="s">
        <v>87</v>
      </c>
      <c r="K5126">
        <v>0</v>
      </c>
      <c r="L5126">
        <v>0</v>
      </c>
    </row>
    <row r="5127" spans="1:12">
      <c r="A5127" s="93">
        <v>490285</v>
      </c>
      <c r="B5127" t="s">
        <v>5574</v>
      </c>
      <c r="C5127" t="s">
        <v>5606</v>
      </c>
      <c r="D5127" s="92" t="s">
        <v>428</v>
      </c>
      <c r="E5127" s="92" t="s">
        <v>428</v>
      </c>
      <c r="F5127" t="s">
        <v>428</v>
      </c>
      <c r="G5127" t="s">
        <v>428</v>
      </c>
      <c r="H5127" t="s">
        <v>5615</v>
      </c>
      <c r="I5127">
        <v>0</v>
      </c>
      <c r="J5127" t="s">
        <v>87</v>
      </c>
      <c r="K5127">
        <v>0</v>
      </c>
      <c r="L5127">
        <v>0</v>
      </c>
    </row>
    <row r="5128" spans="1:12">
      <c r="A5128" s="93">
        <v>490319</v>
      </c>
      <c r="B5128" t="s">
        <v>5575</v>
      </c>
      <c r="C5128" t="s">
        <v>5607</v>
      </c>
      <c r="D5128" s="92" t="s">
        <v>428</v>
      </c>
      <c r="E5128" s="92" t="s">
        <v>428</v>
      </c>
      <c r="F5128" t="s">
        <v>428</v>
      </c>
      <c r="G5128" t="s">
        <v>428</v>
      </c>
      <c r="H5128" t="s">
        <v>5615</v>
      </c>
      <c r="I5128">
        <v>0</v>
      </c>
      <c r="J5128" t="s">
        <v>87</v>
      </c>
      <c r="K5128">
        <v>0</v>
      </c>
      <c r="L5128">
        <v>0</v>
      </c>
    </row>
    <row r="5129" spans="1:12">
      <c r="A5129" s="93">
        <v>490328</v>
      </c>
      <c r="B5129" t="s">
        <v>5576</v>
      </c>
      <c r="C5129" t="s">
        <v>5607</v>
      </c>
      <c r="D5129" s="92" t="s">
        <v>428</v>
      </c>
      <c r="E5129" s="92" t="s">
        <v>428</v>
      </c>
      <c r="F5129" t="s">
        <v>428</v>
      </c>
      <c r="G5129" t="s">
        <v>428</v>
      </c>
      <c r="H5129" t="s">
        <v>5615</v>
      </c>
      <c r="I5129">
        <v>0</v>
      </c>
      <c r="J5129" t="s">
        <v>87</v>
      </c>
      <c r="K5129">
        <v>0</v>
      </c>
      <c r="L5129">
        <v>0</v>
      </c>
    </row>
    <row r="5130" spans="1:12">
      <c r="A5130" s="93">
        <v>490346</v>
      </c>
      <c r="B5130" t="s">
        <v>5577</v>
      </c>
      <c r="C5130" t="s">
        <v>5606</v>
      </c>
      <c r="D5130" s="92" t="s">
        <v>428</v>
      </c>
      <c r="E5130" s="92" t="s">
        <v>428</v>
      </c>
      <c r="F5130" t="s">
        <v>428</v>
      </c>
      <c r="G5130" t="s">
        <v>428</v>
      </c>
      <c r="H5130" t="s">
        <v>5615</v>
      </c>
      <c r="I5130">
        <v>0</v>
      </c>
      <c r="J5130" t="s">
        <v>87</v>
      </c>
      <c r="K5130">
        <v>0</v>
      </c>
      <c r="L5130">
        <v>0</v>
      </c>
    </row>
    <row r="5131" spans="1:12">
      <c r="A5131" s="93">
        <v>490373</v>
      </c>
      <c r="B5131" t="s">
        <v>5578</v>
      </c>
      <c r="C5131" t="s">
        <v>5607</v>
      </c>
      <c r="D5131" s="92" t="s">
        <v>428</v>
      </c>
      <c r="E5131" s="92" t="s">
        <v>428</v>
      </c>
      <c r="F5131" t="s">
        <v>428</v>
      </c>
      <c r="G5131" t="s">
        <v>428</v>
      </c>
      <c r="H5131" t="s">
        <v>5615</v>
      </c>
      <c r="I5131">
        <v>0</v>
      </c>
      <c r="J5131" t="s">
        <v>87</v>
      </c>
      <c r="K5131">
        <v>0</v>
      </c>
      <c r="L5131">
        <v>0</v>
      </c>
    </row>
    <row r="5132" spans="1:12">
      <c r="A5132" s="93">
        <v>490489</v>
      </c>
      <c r="B5132" t="s">
        <v>5579</v>
      </c>
      <c r="C5132" t="s">
        <v>5606</v>
      </c>
      <c r="D5132" s="92" t="s">
        <v>428</v>
      </c>
      <c r="E5132" s="92" t="s">
        <v>428</v>
      </c>
      <c r="F5132" t="s">
        <v>428</v>
      </c>
      <c r="G5132" t="s">
        <v>428</v>
      </c>
      <c r="H5132" t="s">
        <v>5615</v>
      </c>
      <c r="I5132">
        <v>0</v>
      </c>
      <c r="J5132" t="s">
        <v>87</v>
      </c>
      <c r="K5132">
        <v>0</v>
      </c>
      <c r="L5132">
        <v>0</v>
      </c>
    </row>
    <row r="5133" spans="1:12">
      <c r="A5133" s="93">
        <v>490504</v>
      </c>
      <c r="B5133" t="s">
        <v>5580</v>
      </c>
      <c r="C5133" t="s">
        <v>5607</v>
      </c>
      <c r="D5133" s="92" t="s">
        <v>428</v>
      </c>
      <c r="E5133" s="92" t="s">
        <v>428</v>
      </c>
      <c r="F5133" t="s">
        <v>428</v>
      </c>
      <c r="G5133" t="s">
        <v>428</v>
      </c>
      <c r="H5133" t="s">
        <v>5615</v>
      </c>
      <c r="I5133">
        <v>0</v>
      </c>
      <c r="J5133" t="s">
        <v>87</v>
      </c>
      <c r="K5133">
        <v>0</v>
      </c>
      <c r="L5133">
        <v>0</v>
      </c>
    </row>
    <row r="5134" spans="1:12">
      <c r="A5134" s="93">
        <v>490513</v>
      </c>
      <c r="B5134" t="s">
        <v>5581</v>
      </c>
      <c r="C5134" t="s">
        <v>5607</v>
      </c>
      <c r="D5134" s="92" t="s">
        <v>428</v>
      </c>
      <c r="E5134" s="92" t="s">
        <v>428</v>
      </c>
      <c r="F5134" t="s">
        <v>428</v>
      </c>
      <c r="G5134" t="s">
        <v>428</v>
      </c>
      <c r="H5134" t="s">
        <v>5615</v>
      </c>
      <c r="I5134">
        <v>0</v>
      </c>
      <c r="J5134" t="s">
        <v>87</v>
      </c>
      <c r="K5134">
        <v>0</v>
      </c>
      <c r="L5134">
        <v>0</v>
      </c>
    </row>
    <row r="5135" spans="1:12">
      <c r="A5135" s="93">
        <v>490559</v>
      </c>
      <c r="B5135" t="s">
        <v>5582</v>
      </c>
      <c r="C5135" t="s">
        <v>5606</v>
      </c>
      <c r="D5135" s="92" t="s">
        <v>428</v>
      </c>
      <c r="E5135" s="92" t="s">
        <v>428</v>
      </c>
      <c r="F5135" t="s">
        <v>428</v>
      </c>
      <c r="G5135" t="s">
        <v>428</v>
      </c>
      <c r="H5135" t="s">
        <v>5615</v>
      </c>
      <c r="I5135">
        <v>0</v>
      </c>
      <c r="J5135" t="s">
        <v>87</v>
      </c>
      <c r="K5135">
        <v>0</v>
      </c>
      <c r="L5135">
        <v>0</v>
      </c>
    </row>
    <row r="5136" spans="1:12">
      <c r="A5136" s="93">
        <v>490568</v>
      </c>
      <c r="B5136" t="s">
        <v>5583</v>
      </c>
      <c r="C5136" t="s">
        <v>5606</v>
      </c>
      <c r="D5136" s="92" t="s">
        <v>428</v>
      </c>
      <c r="E5136" s="92" t="s">
        <v>428</v>
      </c>
      <c r="F5136" t="s">
        <v>428</v>
      </c>
      <c r="G5136" t="s">
        <v>428</v>
      </c>
      <c r="H5136" t="s">
        <v>5615</v>
      </c>
      <c r="I5136">
        <v>0</v>
      </c>
      <c r="J5136" t="s">
        <v>87</v>
      </c>
      <c r="K5136">
        <v>0</v>
      </c>
      <c r="L5136">
        <v>0</v>
      </c>
    </row>
    <row r="5137" spans="1:12">
      <c r="A5137" s="93">
        <v>490601</v>
      </c>
      <c r="B5137" t="s">
        <v>5584</v>
      </c>
      <c r="C5137" t="s">
        <v>5607</v>
      </c>
      <c r="D5137" s="92" t="s">
        <v>428</v>
      </c>
      <c r="E5137" s="92" t="s">
        <v>428</v>
      </c>
      <c r="F5137" t="s">
        <v>428</v>
      </c>
      <c r="G5137" t="s">
        <v>428</v>
      </c>
      <c r="H5137" t="s">
        <v>5615</v>
      </c>
      <c r="I5137">
        <v>0</v>
      </c>
      <c r="J5137" t="s">
        <v>87</v>
      </c>
      <c r="K5137">
        <v>0</v>
      </c>
      <c r="L5137">
        <v>0</v>
      </c>
    </row>
    <row r="5138" spans="1:12">
      <c r="A5138" s="93">
        <v>490692</v>
      </c>
      <c r="B5138" t="s">
        <v>5585</v>
      </c>
      <c r="C5138" t="s">
        <v>5606</v>
      </c>
      <c r="D5138" s="92" t="s">
        <v>428</v>
      </c>
      <c r="E5138" s="92" t="s">
        <v>428</v>
      </c>
      <c r="F5138" t="s">
        <v>428</v>
      </c>
      <c r="G5138" t="s">
        <v>428</v>
      </c>
      <c r="H5138" t="s">
        <v>5615</v>
      </c>
      <c r="I5138">
        <v>0</v>
      </c>
      <c r="J5138" t="s">
        <v>87</v>
      </c>
      <c r="K5138">
        <v>0</v>
      </c>
      <c r="L5138">
        <v>0</v>
      </c>
    </row>
    <row r="5139" spans="1:12">
      <c r="A5139" s="93">
        <v>490771</v>
      </c>
      <c r="B5139" t="s">
        <v>5586</v>
      </c>
      <c r="C5139" t="s">
        <v>5604</v>
      </c>
      <c r="D5139" s="92" t="s">
        <v>428</v>
      </c>
      <c r="E5139" s="92" t="s">
        <v>428</v>
      </c>
      <c r="F5139" t="s">
        <v>428</v>
      </c>
      <c r="G5139" t="s">
        <v>428</v>
      </c>
      <c r="H5139" t="s">
        <v>5615</v>
      </c>
      <c r="I5139">
        <v>0</v>
      </c>
      <c r="J5139" t="s">
        <v>87</v>
      </c>
      <c r="K5139">
        <v>0</v>
      </c>
      <c r="L5139">
        <v>0</v>
      </c>
    </row>
    <row r="5140" spans="1:12">
      <c r="A5140" s="93">
        <v>490805</v>
      </c>
      <c r="B5140" t="s">
        <v>5587</v>
      </c>
      <c r="C5140" t="s">
        <v>5602</v>
      </c>
      <c r="D5140" s="92" t="s">
        <v>428</v>
      </c>
      <c r="E5140" s="92" t="s">
        <v>428</v>
      </c>
      <c r="F5140" t="s">
        <v>428</v>
      </c>
      <c r="G5140" t="s">
        <v>428</v>
      </c>
      <c r="H5140" t="s">
        <v>5615</v>
      </c>
      <c r="I5140">
        <v>0</v>
      </c>
      <c r="J5140" t="s">
        <v>87</v>
      </c>
      <c r="K5140">
        <v>0</v>
      </c>
      <c r="L5140">
        <v>0</v>
      </c>
    </row>
    <row r="5141" spans="1:12">
      <c r="A5141" s="93">
        <v>490832</v>
      </c>
      <c r="B5141" t="s">
        <v>5588</v>
      </c>
      <c r="C5141" t="s">
        <v>5606</v>
      </c>
      <c r="D5141" s="92" t="s">
        <v>428</v>
      </c>
      <c r="E5141" s="92" t="s">
        <v>428</v>
      </c>
      <c r="F5141" t="s">
        <v>428</v>
      </c>
      <c r="G5141" t="s">
        <v>428</v>
      </c>
      <c r="H5141" t="s">
        <v>5615</v>
      </c>
      <c r="I5141">
        <v>0</v>
      </c>
      <c r="J5141" t="s">
        <v>87</v>
      </c>
      <c r="K5141">
        <v>0</v>
      </c>
      <c r="L5141">
        <v>0</v>
      </c>
    </row>
    <row r="5142" spans="1:12">
      <c r="A5142" s="93">
        <v>490850</v>
      </c>
      <c r="B5142" t="s">
        <v>1432</v>
      </c>
      <c r="C5142" t="s">
        <v>5604</v>
      </c>
      <c r="D5142" s="92" t="s">
        <v>428</v>
      </c>
      <c r="E5142" s="92" t="s">
        <v>428</v>
      </c>
      <c r="F5142" t="s">
        <v>428</v>
      </c>
      <c r="G5142" t="s">
        <v>428</v>
      </c>
      <c r="H5142" t="s">
        <v>5615</v>
      </c>
      <c r="I5142">
        <v>0</v>
      </c>
      <c r="J5142" t="s">
        <v>87</v>
      </c>
      <c r="K5142">
        <v>0</v>
      </c>
      <c r="L5142">
        <v>0</v>
      </c>
    </row>
    <row r="5143" spans="1:12">
      <c r="A5143" s="93">
        <v>490878</v>
      </c>
      <c r="B5143" t="s">
        <v>5589</v>
      </c>
      <c r="C5143" t="s">
        <v>5604</v>
      </c>
      <c r="D5143" s="92" t="s">
        <v>428</v>
      </c>
      <c r="E5143" s="92" t="s">
        <v>428</v>
      </c>
      <c r="F5143" t="s">
        <v>428</v>
      </c>
      <c r="G5143" t="s">
        <v>428</v>
      </c>
      <c r="H5143" t="s">
        <v>5615</v>
      </c>
      <c r="I5143">
        <v>0</v>
      </c>
      <c r="J5143" t="s">
        <v>87</v>
      </c>
      <c r="K5143">
        <v>0</v>
      </c>
      <c r="L5143">
        <v>0</v>
      </c>
    </row>
    <row r="5144" spans="1:12">
      <c r="A5144" s="93">
        <v>490975</v>
      </c>
      <c r="B5144" t="s">
        <v>5590</v>
      </c>
      <c r="C5144" t="s">
        <v>5606</v>
      </c>
      <c r="D5144" s="92" t="s">
        <v>428</v>
      </c>
      <c r="E5144" s="92" t="s">
        <v>428</v>
      </c>
      <c r="F5144" t="s">
        <v>428</v>
      </c>
      <c r="G5144" t="s">
        <v>428</v>
      </c>
      <c r="H5144" t="s">
        <v>5615</v>
      </c>
      <c r="I5144">
        <v>0</v>
      </c>
      <c r="J5144" t="s">
        <v>87</v>
      </c>
      <c r="K5144">
        <v>0</v>
      </c>
      <c r="L5144">
        <v>0</v>
      </c>
    </row>
    <row r="5145" spans="1:12">
      <c r="A5145" s="93">
        <v>491057</v>
      </c>
      <c r="B5145" t="s">
        <v>5591</v>
      </c>
      <c r="C5145" t="s">
        <v>5607</v>
      </c>
      <c r="D5145" s="92" t="s">
        <v>428</v>
      </c>
      <c r="E5145" s="92" t="s">
        <v>428</v>
      </c>
      <c r="F5145" t="s">
        <v>428</v>
      </c>
      <c r="G5145" t="s">
        <v>428</v>
      </c>
      <c r="H5145" t="s">
        <v>5615</v>
      </c>
      <c r="I5145">
        <v>0</v>
      </c>
      <c r="J5145" t="s">
        <v>87</v>
      </c>
      <c r="K5145">
        <v>0</v>
      </c>
      <c r="L5145">
        <v>0</v>
      </c>
    </row>
    <row r="5146" spans="1:12">
      <c r="A5146" s="93">
        <v>491093</v>
      </c>
      <c r="B5146" t="s">
        <v>5592</v>
      </c>
      <c r="C5146" t="s">
        <v>5604</v>
      </c>
      <c r="D5146" s="92" t="s">
        <v>428</v>
      </c>
      <c r="E5146" s="92" t="s">
        <v>428</v>
      </c>
      <c r="F5146" t="s">
        <v>428</v>
      </c>
      <c r="G5146" t="s">
        <v>428</v>
      </c>
      <c r="H5146" t="s">
        <v>5615</v>
      </c>
      <c r="I5146">
        <v>0</v>
      </c>
      <c r="J5146" t="s">
        <v>87</v>
      </c>
      <c r="K5146">
        <v>0</v>
      </c>
      <c r="L5146">
        <v>0</v>
      </c>
    </row>
    <row r="5147" spans="1:12">
      <c r="A5147" s="93">
        <v>491109</v>
      </c>
      <c r="B5147" t="s">
        <v>5593</v>
      </c>
      <c r="C5147" t="s">
        <v>5604</v>
      </c>
      <c r="D5147" s="92" t="s">
        <v>428</v>
      </c>
      <c r="E5147" s="92" t="s">
        <v>428</v>
      </c>
      <c r="F5147" t="s">
        <v>428</v>
      </c>
      <c r="G5147" t="s">
        <v>428</v>
      </c>
      <c r="H5147" t="s">
        <v>5615</v>
      </c>
      <c r="I5147">
        <v>0</v>
      </c>
      <c r="J5147" t="s">
        <v>87</v>
      </c>
      <c r="K5147">
        <v>0</v>
      </c>
      <c r="L5147">
        <v>0</v>
      </c>
    </row>
    <row r="5148" spans="1:12">
      <c r="A5148" s="93">
        <v>491118</v>
      </c>
      <c r="B5148" t="s">
        <v>5594</v>
      </c>
      <c r="C5148" t="s">
        <v>5604</v>
      </c>
      <c r="D5148" s="92" t="s">
        <v>428</v>
      </c>
      <c r="E5148" s="92" t="s">
        <v>428</v>
      </c>
      <c r="F5148" t="s">
        <v>428</v>
      </c>
      <c r="G5148" t="s">
        <v>428</v>
      </c>
      <c r="H5148" t="s">
        <v>5615</v>
      </c>
      <c r="I5148">
        <v>0</v>
      </c>
      <c r="J5148" t="s">
        <v>87</v>
      </c>
      <c r="K5148">
        <v>0</v>
      </c>
      <c r="L5148">
        <v>0</v>
      </c>
    </row>
    <row r="5149" spans="1:12">
      <c r="A5149" s="93">
        <v>491163</v>
      </c>
      <c r="B5149" t="s">
        <v>5595</v>
      </c>
      <c r="C5149" t="s">
        <v>5606</v>
      </c>
      <c r="D5149" s="92" t="s">
        <v>428</v>
      </c>
      <c r="E5149" s="92" t="s">
        <v>428</v>
      </c>
      <c r="F5149" t="s">
        <v>428</v>
      </c>
      <c r="G5149" t="s">
        <v>428</v>
      </c>
      <c r="H5149" t="s">
        <v>5615</v>
      </c>
      <c r="I5149">
        <v>0</v>
      </c>
      <c r="J5149" t="s">
        <v>87</v>
      </c>
      <c r="K5149">
        <v>0</v>
      </c>
      <c r="L5149">
        <v>0</v>
      </c>
    </row>
    <row r="5150" spans="1:12">
      <c r="A5150" s="93">
        <v>491181</v>
      </c>
      <c r="B5150" t="s">
        <v>5596</v>
      </c>
      <c r="C5150" t="s">
        <v>5606</v>
      </c>
      <c r="D5150" s="92" t="s">
        <v>428</v>
      </c>
      <c r="E5150" s="92" t="s">
        <v>428</v>
      </c>
      <c r="F5150" t="s">
        <v>428</v>
      </c>
      <c r="G5150" t="s">
        <v>428</v>
      </c>
      <c r="H5150" t="s">
        <v>5615</v>
      </c>
      <c r="I5150">
        <v>0</v>
      </c>
      <c r="J5150" t="s">
        <v>87</v>
      </c>
      <c r="K5150">
        <v>0</v>
      </c>
      <c r="L5150">
        <v>0</v>
      </c>
    </row>
    <row r="5151" spans="1:12">
      <c r="A5151" s="93">
        <v>491190</v>
      </c>
      <c r="B5151" t="s">
        <v>5597</v>
      </c>
      <c r="C5151" t="s">
        <v>5607</v>
      </c>
      <c r="D5151" s="92" t="s">
        <v>428</v>
      </c>
      <c r="E5151" s="92" t="s">
        <v>428</v>
      </c>
      <c r="F5151" t="s">
        <v>428</v>
      </c>
      <c r="G5151" t="s">
        <v>428</v>
      </c>
      <c r="H5151" t="s">
        <v>5615</v>
      </c>
      <c r="I5151">
        <v>0</v>
      </c>
      <c r="J5151" t="s">
        <v>87</v>
      </c>
      <c r="K5151">
        <v>0</v>
      </c>
      <c r="L5151">
        <v>0</v>
      </c>
    </row>
    <row r="5152" spans="1:12">
      <c r="A5152" s="93">
        <v>491224</v>
      </c>
      <c r="B5152" t="s">
        <v>5598</v>
      </c>
      <c r="C5152" t="s">
        <v>5606</v>
      </c>
      <c r="D5152" s="92" t="s">
        <v>428</v>
      </c>
      <c r="E5152" s="92" t="s">
        <v>428</v>
      </c>
      <c r="F5152" t="s">
        <v>428</v>
      </c>
      <c r="G5152" t="s">
        <v>428</v>
      </c>
      <c r="H5152" t="s">
        <v>5615</v>
      </c>
      <c r="I5152">
        <v>0</v>
      </c>
      <c r="J5152" t="s">
        <v>87</v>
      </c>
      <c r="K5152">
        <v>0</v>
      </c>
      <c r="L5152">
        <v>0</v>
      </c>
    </row>
    <row r="5153" spans="1:12">
      <c r="A5153" s="93">
        <v>491288</v>
      </c>
      <c r="B5153" t="s">
        <v>5599</v>
      </c>
      <c r="C5153" t="s">
        <v>5607</v>
      </c>
      <c r="D5153" s="92" t="s">
        <v>428</v>
      </c>
      <c r="E5153" s="92" t="s">
        <v>428</v>
      </c>
      <c r="F5153" t="s">
        <v>428</v>
      </c>
      <c r="G5153" t="s">
        <v>428</v>
      </c>
      <c r="H5153" t="s">
        <v>5615</v>
      </c>
      <c r="I5153">
        <v>0</v>
      </c>
      <c r="J5153" t="s">
        <v>87</v>
      </c>
      <c r="K5153">
        <v>0</v>
      </c>
      <c r="L5153">
        <v>0</v>
      </c>
    </row>
    <row r="5154" spans="1:12">
      <c r="A5154" s="93">
        <v>491297</v>
      </c>
      <c r="B5154" t="s">
        <v>5600</v>
      </c>
      <c r="C5154" t="s">
        <v>5607</v>
      </c>
      <c r="D5154" s="92" t="s">
        <v>428</v>
      </c>
      <c r="E5154" s="92" t="s">
        <v>428</v>
      </c>
      <c r="F5154" t="s">
        <v>428</v>
      </c>
      <c r="G5154" t="s">
        <v>428</v>
      </c>
      <c r="H5154" t="s">
        <v>5615</v>
      </c>
      <c r="I5154">
        <v>0</v>
      </c>
      <c r="J5154" t="s">
        <v>87</v>
      </c>
      <c r="K5154">
        <v>0</v>
      </c>
      <c r="L5154">
        <v>0</v>
      </c>
    </row>
    <row r="5155" spans="1:12">
      <c r="A5155" s="93">
        <v>491303</v>
      </c>
      <c r="B5155" t="s">
        <v>5601</v>
      </c>
      <c r="C5155" t="s">
        <v>5606</v>
      </c>
      <c r="D5155" s="92" t="s">
        <v>428</v>
      </c>
      <c r="E5155" s="92" t="s">
        <v>428</v>
      </c>
      <c r="F5155" t="s">
        <v>428</v>
      </c>
      <c r="G5155" t="s">
        <v>428</v>
      </c>
      <c r="H5155" t="s">
        <v>5615</v>
      </c>
      <c r="I5155">
        <v>0</v>
      </c>
      <c r="J5155" t="s">
        <v>87</v>
      </c>
      <c r="K5155">
        <v>0</v>
      </c>
      <c r="L5155">
        <v>0</v>
      </c>
    </row>
  </sheetData>
  <autoFilter ref="A1:L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373"/>
  <sheetViews>
    <sheetView workbookViewId="0"/>
  </sheetViews>
  <sheetFormatPr defaultRowHeight="15"/>
  <cols>
    <col min="1" max="1" width="40.7109375" style="19" customWidth="1"/>
  </cols>
  <sheetData>
    <row r="1" spans="1:3">
      <c r="A1" s="93" t="s">
        <v>602</v>
      </c>
      <c r="B1" s="93" t="s">
        <v>611</v>
      </c>
      <c r="C1" s="93" t="s">
        <v>608</v>
      </c>
    </row>
    <row r="2" spans="1:3">
      <c r="A2" s="93"/>
    </row>
    <row r="3" spans="1:3">
      <c r="A3" s="93" t="s">
        <v>3545</v>
      </c>
      <c r="B3">
        <v>222178</v>
      </c>
      <c r="C3" t="s">
        <v>87</v>
      </c>
    </row>
    <row r="4" spans="1:3">
      <c r="A4" s="93" t="s">
        <v>5628</v>
      </c>
      <c r="B4">
        <v>126182</v>
      </c>
      <c r="C4" t="s">
        <v>87</v>
      </c>
    </row>
    <row r="5" spans="1:3">
      <c r="A5" s="93" t="s">
        <v>2476</v>
      </c>
      <c r="B5">
        <v>188429</v>
      </c>
      <c r="C5" t="s">
        <v>87</v>
      </c>
    </row>
    <row r="6" spans="1:3">
      <c r="A6" s="93" t="s">
        <v>2012</v>
      </c>
      <c r="B6">
        <v>168528</v>
      </c>
      <c r="C6" t="s">
        <v>87</v>
      </c>
    </row>
    <row r="7" spans="1:3">
      <c r="A7" s="93" t="s">
        <v>5629</v>
      </c>
      <c r="B7">
        <v>138600</v>
      </c>
      <c r="C7" t="s">
        <v>87</v>
      </c>
    </row>
    <row r="8" spans="1:3">
      <c r="A8" s="93" t="s">
        <v>614</v>
      </c>
      <c r="B8">
        <v>100654</v>
      </c>
      <c r="C8" t="s">
        <v>138</v>
      </c>
    </row>
    <row r="9" spans="1:3">
      <c r="A9" s="93" t="s">
        <v>620</v>
      </c>
      <c r="B9">
        <v>100724</v>
      </c>
      <c r="C9" t="s">
        <v>138</v>
      </c>
    </row>
    <row r="10" spans="1:3">
      <c r="A10" s="93" t="s">
        <v>680</v>
      </c>
      <c r="B10">
        <v>102669</v>
      </c>
      <c r="C10" t="s">
        <v>87</v>
      </c>
    </row>
    <row r="11" spans="1:3">
      <c r="A11" s="93" t="s">
        <v>1302</v>
      </c>
      <c r="B11">
        <v>138716</v>
      </c>
      <c r="C11" t="s">
        <v>138</v>
      </c>
    </row>
    <row r="12" spans="1:3">
      <c r="A12" s="93" t="s">
        <v>1119</v>
      </c>
      <c r="B12">
        <v>128498</v>
      </c>
      <c r="C12" t="s">
        <v>87</v>
      </c>
    </row>
    <row r="13" spans="1:3">
      <c r="A13" s="93" t="s">
        <v>462</v>
      </c>
      <c r="B13">
        <v>168546</v>
      </c>
      <c r="C13" t="s">
        <v>87</v>
      </c>
    </row>
    <row r="14" spans="1:3">
      <c r="A14" s="93" t="s">
        <v>3151</v>
      </c>
      <c r="B14">
        <v>210571</v>
      </c>
      <c r="C14" t="s">
        <v>87</v>
      </c>
    </row>
    <row r="15" spans="1:3">
      <c r="A15" s="93" t="s">
        <v>2166</v>
      </c>
      <c r="B15">
        <v>175342</v>
      </c>
      <c r="C15" t="s">
        <v>138</v>
      </c>
    </row>
    <row r="16" spans="1:3">
      <c r="A16" s="93" t="s">
        <v>5630</v>
      </c>
      <c r="B16">
        <v>237118</v>
      </c>
      <c r="C16" t="s">
        <v>87</v>
      </c>
    </row>
    <row r="17" spans="1:3">
      <c r="A17" s="93" t="s">
        <v>2482</v>
      </c>
      <c r="B17">
        <v>188641</v>
      </c>
      <c r="C17" t="s">
        <v>87</v>
      </c>
    </row>
    <row r="18" spans="1:3">
      <c r="A18" s="93" t="s">
        <v>1720</v>
      </c>
      <c r="B18">
        <v>156189</v>
      </c>
      <c r="C18" t="s">
        <v>87</v>
      </c>
    </row>
    <row r="19" spans="1:3">
      <c r="A19" s="93" t="s">
        <v>3153</v>
      </c>
      <c r="B19">
        <v>210669</v>
      </c>
      <c r="C19" t="s">
        <v>87</v>
      </c>
    </row>
    <row r="20" spans="1:3">
      <c r="A20" s="93" t="s">
        <v>2013</v>
      </c>
      <c r="B20">
        <v>168591</v>
      </c>
      <c r="C20" t="s">
        <v>87</v>
      </c>
    </row>
    <row r="21" spans="1:3">
      <c r="A21" s="93" t="s">
        <v>3155</v>
      </c>
      <c r="B21">
        <v>210775</v>
      </c>
      <c r="C21" t="s">
        <v>87</v>
      </c>
    </row>
    <row r="22" spans="1:3">
      <c r="A22" s="93" t="s">
        <v>5631</v>
      </c>
      <c r="B22">
        <v>238193</v>
      </c>
      <c r="C22" t="s">
        <v>87</v>
      </c>
    </row>
    <row r="23" spans="1:3">
      <c r="A23" s="93" t="s">
        <v>5632</v>
      </c>
      <c r="B23">
        <v>103787</v>
      </c>
      <c r="C23" t="s">
        <v>87</v>
      </c>
    </row>
    <row r="24" spans="1:3">
      <c r="A24" s="93" t="s">
        <v>1906</v>
      </c>
      <c r="B24">
        <v>164447</v>
      </c>
      <c r="C24" t="s">
        <v>87</v>
      </c>
    </row>
    <row r="25" spans="1:3">
      <c r="A25" s="93" t="s">
        <v>900</v>
      </c>
      <c r="B25">
        <v>116846</v>
      </c>
      <c r="C25" t="s">
        <v>87</v>
      </c>
    </row>
    <row r="26" spans="1:3">
      <c r="A26" s="93" t="s">
        <v>1169</v>
      </c>
      <c r="B26">
        <v>131159</v>
      </c>
      <c r="C26" t="s">
        <v>87</v>
      </c>
    </row>
    <row r="27" spans="1:3">
      <c r="A27" s="93" t="s">
        <v>1907</v>
      </c>
      <c r="B27">
        <v>164465</v>
      </c>
      <c r="C27" t="s">
        <v>87</v>
      </c>
    </row>
    <row r="28" spans="1:3">
      <c r="A28" s="93" t="s">
        <v>1529</v>
      </c>
      <c r="B28">
        <v>150066</v>
      </c>
      <c r="C28" t="s">
        <v>87</v>
      </c>
    </row>
    <row r="29" spans="1:3">
      <c r="A29" s="93" t="s">
        <v>1529</v>
      </c>
      <c r="B29">
        <v>217633</v>
      </c>
      <c r="C29" t="s">
        <v>87</v>
      </c>
    </row>
    <row r="30" spans="1:3">
      <c r="A30" s="93" t="s">
        <v>2015</v>
      </c>
      <c r="B30">
        <v>168740</v>
      </c>
      <c r="C30" t="s">
        <v>87</v>
      </c>
    </row>
    <row r="31" spans="1:3">
      <c r="A31" s="93" t="s">
        <v>1909</v>
      </c>
      <c r="B31">
        <v>164492</v>
      </c>
      <c r="C31" t="s">
        <v>87</v>
      </c>
    </row>
    <row r="32" spans="1:3">
      <c r="A32" s="93" t="s">
        <v>2735</v>
      </c>
      <c r="B32">
        <v>197869</v>
      </c>
      <c r="C32" t="s">
        <v>87</v>
      </c>
    </row>
    <row r="33" spans="1:3">
      <c r="A33" s="93" t="s">
        <v>2016</v>
      </c>
      <c r="B33">
        <v>168786</v>
      </c>
      <c r="C33" t="s">
        <v>87</v>
      </c>
    </row>
    <row r="34" spans="1:3">
      <c r="A34" s="93" t="s">
        <v>3165</v>
      </c>
      <c r="B34">
        <v>211088</v>
      </c>
      <c r="C34" t="s">
        <v>87</v>
      </c>
    </row>
    <row r="35" spans="1:3">
      <c r="A35" s="93" t="s">
        <v>720</v>
      </c>
      <c r="B35">
        <v>105899</v>
      </c>
      <c r="C35" t="s">
        <v>87</v>
      </c>
    </row>
    <row r="36" spans="1:3">
      <c r="A36" s="93" t="s">
        <v>5633</v>
      </c>
      <c r="B36">
        <v>104151</v>
      </c>
      <c r="C36" t="s">
        <v>87</v>
      </c>
    </row>
    <row r="37" spans="1:3">
      <c r="A37" s="93" t="s">
        <v>731</v>
      </c>
      <c r="B37">
        <v>106458</v>
      </c>
      <c r="C37" t="s">
        <v>87</v>
      </c>
    </row>
    <row r="38" spans="1:3">
      <c r="A38" s="93" t="s">
        <v>732</v>
      </c>
      <c r="B38">
        <v>106467</v>
      </c>
      <c r="C38" t="s">
        <v>87</v>
      </c>
    </row>
    <row r="39" spans="1:3">
      <c r="A39" s="93" t="s">
        <v>5634</v>
      </c>
      <c r="B39">
        <v>138789</v>
      </c>
      <c r="C39" t="s">
        <v>87</v>
      </c>
    </row>
    <row r="40" spans="1:3">
      <c r="A40" s="93" t="s">
        <v>448</v>
      </c>
      <c r="B40" t="s">
        <v>449</v>
      </c>
      <c r="C40" t="s">
        <v>87</v>
      </c>
    </row>
    <row r="41" spans="1:3">
      <c r="A41" s="93" t="s">
        <v>1721</v>
      </c>
      <c r="B41">
        <v>156213</v>
      </c>
      <c r="C41" t="s">
        <v>87</v>
      </c>
    </row>
    <row r="42" spans="1:3">
      <c r="A42" s="93" t="s">
        <v>1635</v>
      </c>
      <c r="B42">
        <v>154022</v>
      </c>
      <c r="C42" t="s">
        <v>87</v>
      </c>
    </row>
    <row r="43" spans="1:3">
      <c r="A43" s="93" t="s">
        <v>2878</v>
      </c>
      <c r="B43">
        <v>201104</v>
      </c>
      <c r="C43" t="s">
        <v>87</v>
      </c>
    </row>
    <row r="44" spans="1:3">
      <c r="A44" s="93" t="s">
        <v>1910</v>
      </c>
      <c r="B44">
        <v>164562</v>
      </c>
      <c r="C44" t="s">
        <v>87</v>
      </c>
    </row>
    <row r="45" spans="1:3">
      <c r="A45" s="93" t="s">
        <v>5635</v>
      </c>
      <c r="B45">
        <v>138868</v>
      </c>
      <c r="C45" t="s">
        <v>87</v>
      </c>
    </row>
    <row r="46" spans="1:3">
      <c r="A46" s="93" t="s">
        <v>5636</v>
      </c>
      <c r="B46">
        <v>164571</v>
      </c>
    </row>
    <row r="47" spans="1:3">
      <c r="A47" s="93" t="s">
        <v>625</v>
      </c>
      <c r="B47">
        <v>100858</v>
      </c>
      <c r="C47" t="s">
        <v>87</v>
      </c>
    </row>
    <row r="48" spans="1:3">
      <c r="A48" s="93" t="s">
        <v>624</v>
      </c>
      <c r="B48">
        <v>100830</v>
      </c>
      <c r="C48" t="s">
        <v>87</v>
      </c>
    </row>
    <row r="49" spans="1:3">
      <c r="A49" s="93" t="s">
        <v>5637</v>
      </c>
      <c r="B49">
        <v>173045</v>
      </c>
      <c r="C49" t="s">
        <v>87</v>
      </c>
    </row>
    <row r="50" spans="1:3">
      <c r="A50" s="93" t="s">
        <v>5638</v>
      </c>
      <c r="B50">
        <v>138983</v>
      </c>
    </row>
    <row r="51" spans="1:3">
      <c r="A51" s="93" t="s">
        <v>1406</v>
      </c>
      <c r="B51">
        <v>143084</v>
      </c>
      <c r="C51" t="s">
        <v>87</v>
      </c>
    </row>
    <row r="52" spans="1:3">
      <c r="A52" s="93" t="s">
        <v>1406</v>
      </c>
      <c r="B52">
        <v>219000</v>
      </c>
      <c r="C52" t="s">
        <v>87</v>
      </c>
    </row>
    <row r="53" spans="1:3">
      <c r="A53" s="93" t="s">
        <v>434</v>
      </c>
      <c r="B53">
        <v>143118</v>
      </c>
      <c r="C53" t="s">
        <v>87</v>
      </c>
    </row>
    <row r="54" spans="1:3">
      <c r="A54" s="93" t="s">
        <v>3554</v>
      </c>
      <c r="B54">
        <v>222983</v>
      </c>
      <c r="C54" t="s">
        <v>87</v>
      </c>
    </row>
    <row r="55" spans="1:3">
      <c r="A55" s="93" t="s">
        <v>3459</v>
      </c>
      <c r="B55">
        <v>219602</v>
      </c>
      <c r="C55" t="s">
        <v>87</v>
      </c>
    </row>
    <row r="56" spans="1:3">
      <c r="A56" s="93" t="s">
        <v>4754</v>
      </c>
      <c r="B56">
        <v>446048</v>
      </c>
      <c r="C56" t="s">
        <v>87</v>
      </c>
    </row>
    <row r="57" spans="1:3">
      <c r="A57" s="93" t="s">
        <v>3746</v>
      </c>
      <c r="B57">
        <v>231420</v>
      </c>
      <c r="C57" t="s">
        <v>87</v>
      </c>
    </row>
    <row r="58" spans="1:3">
      <c r="A58" s="93" t="s">
        <v>2204</v>
      </c>
      <c r="B58">
        <v>176628</v>
      </c>
      <c r="C58" t="s">
        <v>87</v>
      </c>
    </row>
    <row r="59" spans="1:3">
      <c r="A59" s="93" t="s">
        <v>781</v>
      </c>
      <c r="B59">
        <v>109785</v>
      </c>
      <c r="C59" t="s">
        <v>87</v>
      </c>
    </row>
    <row r="60" spans="1:3">
      <c r="A60" s="93" t="s">
        <v>1911</v>
      </c>
      <c r="B60">
        <v>164580</v>
      </c>
      <c r="C60" t="s">
        <v>87</v>
      </c>
    </row>
    <row r="61" spans="1:3">
      <c r="A61" s="93" t="s">
        <v>3043</v>
      </c>
      <c r="B61">
        <v>206817</v>
      </c>
      <c r="C61" t="s">
        <v>87</v>
      </c>
    </row>
    <row r="62" spans="1:3">
      <c r="A62" s="93" t="s">
        <v>1662</v>
      </c>
      <c r="B62">
        <v>154688</v>
      </c>
      <c r="C62" t="s">
        <v>87</v>
      </c>
    </row>
    <row r="63" spans="1:3">
      <c r="A63" s="93" t="s">
        <v>5639</v>
      </c>
      <c r="B63">
        <v>201195</v>
      </c>
      <c r="C63" t="s">
        <v>87</v>
      </c>
    </row>
    <row r="64" spans="1:3">
      <c r="A64" s="93" t="s">
        <v>1530</v>
      </c>
      <c r="B64">
        <v>150136</v>
      </c>
      <c r="C64" t="s">
        <v>87</v>
      </c>
    </row>
    <row r="65" spans="1:3">
      <c r="A65" s="93" t="s">
        <v>3460</v>
      </c>
      <c r="B65">
        <v>219639</v>
      </c>
      <c r="C65" t="s">
        <v>87</v>
      </c>
    </row>
    <row r="66" spans="1:3">
      <c r="A66" s="93" t="s">
        <v>2491</v>
      </c>
      <c r="B66">
        <v>189088</v>
      </c>
      <c r="C66" t="s">
        <v>87</v>
      </c>
    </row>
    <row r="67" spans="1:3">
      <c r="A67" s="93" t="s">
        <v>5640</v>
      </c>
      <c r="B67">
        <v>189097</v>
      </c>
      <c r="C67" t="s">
        <v>87</v>
      </c>
    </row>
    <row r="68" spans="1:3">
      <c r="A68" s="93" t="s">
        <v>1184</v>
      </c>
      <c r="B68">
        <v>132471</v>
      </c>
      <c r="C68" t="s">
        <v>87</v>
      </c>
    </row>
    <row r="69" spans="1:3">
      <c r="A69" s="93" t="s">
        <v>2737</v>
      </c>
      <c r="B69">
        <v>197911</v>
      </c>
      <c r="C69" t="s">
        <v>87</v>
      </c>
    </row>
    <row r="70" spans="1:3">
      <c r="A70" s="93" t="s">
        <v>1831</v>
      </c>
      <c r="B70">
        <v>160977</v>
      </c>
      <c r="C70" t="s">
        <v>87</v>
      </c>
    </row>
    <row r="71" spans="1:3">
      <c r="A71" s="93" t="s">
        <v>5641</v>
      </c>
      <c r="B71">
        <v>164632</v>
      </c>
      <c r="C71" t="s">
        <v>87</v>
      </c>
    </row>
    <row r="72" spans="1:3">
      <c r="A72" s="93" t="s">
        <v>3560</v>
      </c>
      <c r="B72">
        <v>223232</v>
      </c>
      <c r="C72" t="s">
        <v>87</v>
      </c>
    </row>
    <row r="73" spans="1:3">
      <c r="A73" s="93" t="s">
        <v>4275</v>
      </c>
      <c r="B73">
        <v>384254</v>
      </c>
      <c r="C73" t="s">
        <v>87</v>
      </c>
    </row>
    <row r="74" spans="1:3">
      <c r="A74" s="93" t="s">
        <v>1915</v>
      </c>
      <c r="B74">
        <v>164720</v>
      </c>
      <c r="C74" t="s">
        <v>87</v>
      </c>
    </row>
    <row r="75" spans="1:3">
      <c r="A75" s="93" t="s">
        <v>1725</v>
      </c>
      <c r="B75">
        <v>156286</v>
      </c>
      <c r="C75" t="s">
        <v>87</v>
      </c>
    </row>
    <row r="76" spans="1:3">
      <c r="A76" s="93" t="s">
        <v>513</v>
      </c>
      <c r="B76">
        <v>197984</v>
      </c>
      <c r="C76" t="s">
        <v>87</v>
      </c>
    </row>
    <row r="77" spans="1:3">
      <c r="A77" s="93" t="s">
        <v>3461</v>
      </c>
      <c r="B77">
        <v>219709</v>
      </c>
      <c r="C77" t="s">
        <v>87</v>
      </c>
    </row>
    <row r="78" spans="1:3">
      <c r="A78" s="93" t="s">
        <v>486</v>
      </c>
      <c r="B78">
        <v>238333</v>
      </c>
      <c r="C78" t="s">
        <v>87</v>
      </c>
    </row>
    <row r="79" spans="1:3">
      <c r="A79" s="93" t="s">
        <v>2095</v>
      </c>
      <c r="B79">
        <v>173124</v>
      </c>
      <c r="C79" t="s">
        <v>87</v>
      </c>
    </row>
    <row r="80" spans="1:3">
      <c r="A80" s="93" t="s">
        <v>1664</v>
      </c>
      <c r="B80">
        <v>154712</v>
      </c>
      <c r="C80" t="s">
        <v>87</v>
      </c>
    </row>
    <row r="81" spans="1:3">
      <c r="A81" s="93" t="s">
        <v>1444</v>
      </c>
      <c r="B81">
        <v>145619</v>
      </c>
      <c r="C81" t="s">
        <v>87</v>
      </c>
    </row>
    <row r="82" spans="1:3">
      <c r="A82" s="93" t="s">
        <v>5642</v>
      </c>
      <c r="B82">
        <v>197993</v>
      </c>
      <c r="C82" t="s">
        <v>138</v>
      </c>
    </row>
    <row r="83" spans="1:3">
      <c r="A83" s="93" t="s">
        <v>3726</v>
      </c>
      <c r="B83">
        <v>230816</v>
      </c>
      <c r="C83" t="s">
        <v>87</v>
      </c>
    </row>
    <row r="84" spans="1:3">
      <c r="A84" s="93" t="s">
        <v>1916</v>
      </c>
      <c r="B84">
        <v>164739</v>
      </c>
      <c r="C84" t="s">
        <v>87</v>
      </c>
    </row>
    <row r="85" spans="1:3">
      <c r="A85" s="93" t="s">
        <v>1726</v>
      </c>
      <c r="B85">
        <v>156295</v>
      </c>
      <c r="C85" t="s">
        <v>87</v>
      </c>
    </row>
    <row r="86" spans="1:3">
      <c r="A86" s="93" t="s">
        <v>2493</v>
      </c>
      <c r="B86">
        <v>189228</v>
      </c>
      <c r="C86" t="s">
        <v>87</v>
      </c>
    </row>
    <row r="87" spans="1:3">
      <c r="A87" s="93" t="s">
        <v>1313</v>
      </c>
      <c r="B87">
        <v>139144</v>
      </c>
      <c r="C87" t="s">
        <v>87</v>
      </c>
    </row>
    <row r="88" spans="1:3">
      <c r="A88" s="93" t="s">
        <v>1665</v>
      </c>
      <c r="B88">
        <v>154721</v>
      </c>
      <c r="C88" t="s">
        <v>87</v>
      </c>
    </row>
    <row r="89" spans="1:3">
      <c r="A89" s="93" t="s">
        <v>1665</v>
      </c>
      <c r="B89">
        <v>237181</v>
      </c>
      <c r="C89" t="s">
        <v>87</v>
      </c>
    </row>
    <row r="90" spans="1:3">
      <c r="A90" s="93" t="s">
        <v>2096</v>
      </c>
      <c r="B90">
        <v>173142</v>
      </c>
      <c r="C90" t="s">
        <v>87</v>
      </c>
    </row>
    <row r="91" spans="1:3">
      <c r="A91" s="93" t="s">
        <v>5643</v>
      </c>
      <c r="B91">
        <v>150145</v>
      </c>
      <c r="C91" t="s">
        <v>87</v>
      </c>
    </row>
    <row r="92" spans="1:3">
      <c r="A92" s="93" t="s">
        <v>1666</v>
      </c>
      <c r="B92">
        <v>154749</v>
      </c>
      <c r="C92" t="s">
        <v>87</v>
      </c>
    </row>
    <row r="93" spans="1:3">
      <c r="A93" s="93" t="s">
        <v>2097</v>
      </c>
      <c r="B93">
        <v>173160</v>
      </c>
      <c r="C93" t="s">
        <v>87</v>
      </c>
    </row>
    <row r="94" spans="1:3">
      <c r="A94" s="93" t="s">
        <v>1185</v>
      </c>
      <c r="B94">
        <v>132602</v>
      </c>
      <c r="C94" t="s">
        <v>138</v>
      </c>
    </row>
    <row r="95" spans="1:3">
      <c r="A95" s="93" t="s">
        <v>786</v>
      </c>
      <c r="B95">
        <v>110097</v>
      </c>
      <c r="C95" t="s">
        <v>87</v>
      </c>
    </row>
    <row r="96" spans="1:3">
      <c r="A96" s="93" t="s">
        <v>626</v>
      </c>
      <c r="B96">
        <v>100937</v>
      </c>
      <c r="C96" t="s">
        <v>87</v>
      </c>
    </row>
    <row r="97" spans="1:3">
      <c r="A97" s="93" t="s">
        <v>3432</v>
      </c>
      <c r="B97">
        <v>219046</v>
      </c>
      <c r="C97" t="s">
        <v>87</v>
      </c>
    </row>
    <row r="98" spans="1:3">
      <c r="A98" s="93" t="s">
        <v>1410</v>
      </c>
      <c r="B98">
        <v>143288</v>
      </c>
      <c r="C98" t="s">
        <v>87</v>
      </c>
    </row>
    <row r="99" spans="1:3">
      <c r="A99" s="93" t="s">
        <v>2388</v>
      </c>
      <c r="B99">
        <v>183822</v>
      </c>
      <c r="C99" t="s">
        <v>87</v>
      </c>
    </row>
    <row r="100" spans="1:3">
      <c r="A100" s="93" t="s">
        <v>3168</v>
      </c>
      <c r="B100">
        <v>211158</v>
      </c>
      <c r="C100" t="s">
        <v>87</v>
      </c>
    </row>
    <row r="101" spans="1:3">
      <c r="A101" s="93" t="s">
        <v>2168</v>
      </c>
      <c r="B101">
        <v>175430</v>
      </c>
      <c r="C101" t="s">
        <v>87</v>
      </c>
    </row>
    <row r="102" spans="1:3">
      <c r="A102" s="93" t="s">
        <v>3747</v>
      </c>
      <c r="B102">
        <v>231554</v>
      </c>
      <c r="C102" t="s">
        <v>87</v>
      </c>
    </row>
    <row r="103" spans="1:3">
      <c r="A103" s="93" t="s">
        <v>2883</v>
      </c>
      <c r="B103">
        <v>201371</v>
      </c>
      <c r="C103" t="s">
        <v>87</v>
      </c>
    </row>
    <row r="104" spans="1:3">
      <c r="A104" s="93" t="s">
        <v>1390</v>
      </c>
      <c r="B104">
        <v>142115</v>
      </c>
      <c r="C104" t="s">
        <v>87</v>
      </c>
    </row>
    <row r="105" spans="1:3">
      <c r="A105" s="93" t="s">
        <v>2497</v>
      </c>
      <c r="B105">
        <v>189413</v>
      </c>
      <c r="C105" t="s">
        <v>87</v>
      </c>
    </row>
    <row r="106" spans="1:3">
      <c r="A106" s="93" t="s">
        <v>1921</v>
      </c>
      <c r="B106">
        <v>164924</v>
      </c>
      <c r="C106" t="s">
        <v>87</v>
      </c>
    </row>
    <row r="107" spans="1:3">
      <c r="A107" s="93" t="s">
        <v>1922</v>
      </c>
      <c r="B107">
        <v>164988</v>
      </c>
      <c r="C107" t="s">
        <v>87</v>
      </c>
    </row>
    <row r="108" spans="1:3">
      <c r="A108" s="93" t="s">
        <v>1833</v>
      </c>
      <c r="B108">
        <v>161004</v>
      </c>
      <c r="C108" t="s">
        <v>87</v>
      </c>
    </row>
    <row r="109" spans="1:3">
      <c r="A109" s="93" t="s">
        <v>1861</v>
      </c>
      <c r="B109">
        <v>162007</v>
      </c>
      <c r="C109" t="s">
        <v>138</v>
      </c>
    </row>
    <row r="110" spans="1:3">
      <c r="A110" s="93" t="s">
        <v>2886</v>
      </c>
      <c r="B110">
        <v>201441</v>
      </c>
      <c r="C110" t="s">
        <v>87</v>
      </c>
    </row>
    <row r="111" spans="1:3">
      <c r="A111" s="93" t="s">
        <v>1413</v>
      </c>
      <c r="B111">
        <v>143358</v>
      </c>
      <c r="C111" t="s">
        <v>87</v>
      </c>
    </row>
    <row r="112" spans="1:3">
      <c r="A112" s="93" t="s">
        <v>1923</v>
      </c>
      <c r="B112">
        <v>165015</v>
      </c>
      <c r="C112" t="s">
        <v>87</v>
      </c>
    </row>
    <row r="113" spans="1:3">
      <c r="A113" s="93" t="s">
        <v>1315</v>
      </c>
      <c r="B113">
        <v>139199</v>
      </c>
      <c r="C113" t="s">
        <v>87</v>
      </c>
    </row>
    <row r="114" spans="1:3">
      <c r="A114" s="93" t="s">
        <v>1729</v>
      </c>
      <c r="B114">
        <v>156356</v>
      </c>
      <c r="C114" t="s">
        <v>87</v>
      </c>
    </row>
    <row r="115" spans="1:3">
      <c r="A115" s="93" t="s">
        <v>2742</v>
      </c>
      <c r="B115">
        <v>198066</v>
      </c>
      <c r="C115" t="s">
        <v>87</v>
      </c>
    </row>
    <row r="116" spans="1:3">
      <c r="A116" s="93" t="s">
        <v>1316</v>
      </c>
      <c r="B116">
        <v>139205</v>
      </c>
      <c r="C116" t="s">
        <v>87</v>
      </c>
    </row>
    <row r="117" spans="1:3">
      <c r="A117" s="93" t="s">
        <v>1588</v>
      </c>
      <c r="B117">
        <v>152992</v>
      </c>
      <c r="C117" t="s">
        <v>87</v>
      </c>
    </row>
    <row r="118" spans="1:3">
      <c r="A118" s="93" t="s">
        <v>3748</v>
      </c>
      <c r="B118">
        <v>231581</v>
      </c>
      <c r="C118" t="s">
        <v>87</v>
      </c>
    </row>
    <row r="119" spans="1:3">
      <c r="A119" s="93" t="s">
        <v>1924</v>
      </c>
      <c r="B119">
        <v>165024</v>
      </c>
      <c r="C119" t="s">
        <v>87</v>
      </c>
    </row>
    <row r="120" spans="1:3">
      <c r="A120" s="93" t="s">
        <v>1402</v>
      </c>
      <c r="B120">
        <v>142522</v>
      </c>
      <c r="C120" t="s">
        <v>87</v>
      </c>
    </row>
    <row r="121" spans="1:3">
      <c r="A121" s="93" t="s">
        <v>3708</v>
      </c>
      <c r="B121">
        <v>230038</v>
      </c>
      <c r="C121" t="s">
        <v>87</v>
      </c>
    </row>
    <row r="122" spans="1:3">
      <c r="A122" s="93" t="s">
        <v>3363</v>
      </c>
      <c r="B122">
        <v>217156</v>
      </c>
      <c r="C122" t="s">
        <v>87</v>
      </c>
    </row>
    <row r="123" spans="1:3">
      <c r="A123" s="93" t="s">
        <v>3462</v>
      </c>
      <c r="B123">
        <v>219790</v>
      </c>
      <c r="C123" t="s">
        <v>87</v>
      </c>
    </row>
    <row r="124" spans="1:3">
      <c r="A124" s="93" t="s">
        <v>3364</v>
      </c>
      <c r="B124">
        <v>217165</v>
      </c>
      <c r="C124" t="s">
        <v>87</v>
      </c>
    </row>
    <row r="125" spans="1:3">
      <c r="A125" s="93" t="s">
        <v>591</v>
      </c>
      <c r="B125">
        <v>211273</v>
      </c>
      <c r="C125" t="s">
        <v>87</v>
      </c>
    </row>
    <row r="126" spans="1:3">
      <c r="A126" s="93" t="s">
        <v>536</v>
      </c>
      <c r="B126">
        <v>211291</v>
      </c>
      <c r="C126" t="s">
        <v>87</v>
      </c>
    </row>
    <row r="127" spans="1:3">
      <c r="A127" s="93" t="s">
        <v>1589</v>
      </c>
      <c r="B127">
        <v>153001</v>
      </c>
      <c r="C127" t="s">
        <v>87</v>
      </c>
    </row>
    <row r="128" spans="1:3">
      <c r="A128" s="93" t="s">
        <v>600</v>
      </c>
      <c r="B128">
        <v>150163</v>
      </c>
      <c r="C128" t="s">
        <v>87</v>
      </c>
    </row>
    <row r="129" spans="1:3">
      <c r="A129" s="93" t="s">
        <v>5644</v>
      </c>
      <c r="B129">
        <v>211352</v>
      </c>
      <c r="C129" t="s">
        <v>87</v>
      </c>
    </row>
    <row r="130" spans="1:3">
      <c r="A130" s="93" t="s">
        <v>5645</v>
      </c>
      <c r="B130">
        <v>183910</v>
      </c>
      <c r="C130" t="s">
        <v>87</v>
      </c>
    </row>
    <row r="131" spans="1:3">
      <c r="A131" s="93" t="s">
        <v>792</v>
      </c>
      <c r="B131">
        <v>110361</v>
      </c>
      <c r="C131" t="s">
        <v>87</v>
      </c>
    </row>
    <row r="132" spans="1:3">
      <c r="A132" s="93" t="s">
        <v>795</v>
      </c>
      <c r="B132">
        <v>110404</v>
      </c>
      <c r="C132" t="s">
        <v>87</v>
      </c>
    </row>
    <row r="133" spans="1:3">
      <c r="A133" s="93" t="s">
        <v>796</v>
      </c>
      <c r="B133">
        <v>110413</v>
      </c>
      <c r="C133" t="s">
        <v>87</v>
      </c>
    </row>
    <row r="134" spans="1:3">
      <c r="A134" s="93" t="s">
        <v>5646</v>
      </c>
      <c r="B134">
        <v>111188</v>
      </c>
      <c r="C134" t="s">
        <v>87</v>
      </c>
    </row>
    <row r="135" spans="1:3">
      <c r="A135" s="93" t="s">
        <v>797</v>
      </c>
      <c r="B135">
        <v>110422</v>
      </c>
      <c r="C135" t="s">
        <v>87</v>
      </c>
    </row>
    <row r="136" spans="1:3">
      <c r="A136" s="93" t="s">
        <v>802</v>
      </c>
      <c r="B136">
        <v>110529</v>
      </c>
      <c r="C136" t="s">
        <v>87</v>
      </c>
    </row>
    <row r="137" spans="1:3">
      <c r="A137" s="93" t="s">
        <v>799</v>
      </c>
      <c r="B137">
        <v>110486</v>
      </c>
      <c r="C137" t="s">
        <v>87</v>
      </c>
    </row>
    <row r="138" spans="1:3">
      <c r="A138" s="93" t="s">
        <v>4630</v>
      </c>
      <c r="B138">
        <v>441937</v>
      </c>
      <c r="C138" t="s">
        <v>87</v>
      </c>
    </row>
    <row r="139" spans="1:3">
      <c r="A139" s="93" t="s">
        <v>803</v>
      </c>
      <c r="B139">
        <v>110538</v>
      </c>
      <c r="C139" t="s">
        <v>87</v>
      </c>
    </row>
    <row r="140" spans="1:3">
      <c r="A140" s="93" t="s">
        <v>804</v>
      </c>
      <c r="B140">
        <v>110547</v>
      </c>
      <c r="C140" t="s">
        <v>87</v>
      </c>
    </row>
    <row r="141" spans="1:3">
      <c r="A141" s="93" t="s">
        <v>807</v>
      </c>
      <c r="B141">
        <v>110574</v>
      </c>
      <c r="C141" t="s">
        <v>87</v>
      </c>
    </row>
    <row r="142" spans="1:3">
      <c r="A142" s="93" t="s">
        <v>805</v>
      </c>
      <c r="B142">
        <v>110556</v>
      </c>
      <c r="C142" t="s">
        <v>87</v>
      </c>
    </row>
    <row r="143" spans="1:3">
      <c r="A143" s="93" t="s">
        <v>806</v>
      </c>
      <c r="B143">
        <v>110565</v>
      </c>
      <c r="C143" t="s">
        <v>87</v>
      </c>
    </row>
    <row r="144" spans="1:3">
      <c r="A144" s="93" t="s">
        <v>808</v>
      </c>
      <c r="B144">
        <v>110583</v>
      </c>
      <c r="C144" t="s">
        <v>87</v>
      </c>
    </row>
    <row r="145" spans="1:3">
      <c r="A145" s="93" t="s">
        <v>809</v>
      </c>
      <c r="B145">
        <v>110592</v>
      </c>
      <c r="C145" t="s">
        <v>87</v>
      </c>
    </row>
    <row r="146" spans="1:3">
      <c r="A146" s="93" t="s">
        <v>4344</v>
      </c>
      <c r="B146">
        <v>409698</v>
      </c>
      <c r="C146" t="s">
        <v>87</v>
      </c>
    </row>
    <row r="147" spans="1:3">
      <c r="A147" s="93" t="s">
        <v>810</v>
      </c>
      <c r="B147">
        <v>110608</v>
      </c>
      <c r="C147" t="s">
        <v>87</v>
      </c>
    </row>
    <row r="148" spans="1:3">
      <c r="A148" s="93" t="s">
        <v>811</v>
      </c>
      <c r="B148">
        <v>110617</v>
      </c>
      <c r="C148" t="s">
        <v>87</v>
      </c>
    </row>
    <row r="149" spans="1:3">
      <c r="A149" s="93" t="s">
        <v>801</v>
      </c>
      <c r="B149">
        <v>110510</v>
      </c>
      <c r="C149" t="s">
        <v>87</v>
      </c>
    </row>
    <row r="150" spans="1:3">
      <c r="A150" s="93" t="s">
        <v>4176</v>
      </c>
      <c r="B150">
        <v>366711</v>
      </c>
      <c r="C150" t="s">
        <v>87</v>
      </c>
    </row>
    <row r="151" spans="1:3">
      <c r="A151" s="93" t="s">
        <v>800</v>
      </c>
      <c r="B151">
        <v>110495</v>
      </c>
      <c r="C151" t="s">
        <v>87</v>
      </c>
    </row>
    <row r="152" spans="1:3">
      <c r="A152" s="93" t="s">
        <v>3174</v>
      </c>
      <c r="B152">
        <v>211361</v>
      </c>
      <c r="C152" t="s">
        <v>87</v>
      </c>
    </row>
    <row r="153" spans="1:3">
      <c r="A153" s="93" t="s">
        <v>1532</v>
      </c>
      <c r="B153">
        <v>150172</v>
      </c>
      <c r="C153" t="s">
        <v>87</v>
      </c>
    </row>
    <row r="154" spans="1:3">
      <c r="A154" s="93" t="s">
        <v>2019</v>
      </c>
      <c r="B154">
        <v>169080</v>
      </c>
      <c r="C154" t="s">
        <v>87</v>
      </c>
    </row>
    <row r="155" spans="1:3">
      <c r="A155" s="93" t="s">
        <v>2746</v>
      </c>
      <c r="B155">
        <v>198136</v>
      </c>
      <c r="C155" t="s">
        <v>87</v>
      </c>
    </row>
    <row r="156" spans="1:3">
      <c r="A156" s="93" t="s">
        <v>1730</v>
      </c>
      <c r="B156">
        <v>156365</v>
      </c>
      <c r="C156" t="s">
        <v>87</v>
      </c>
    </row>
    <row r="157" spans="1:3">
      <c r="A157" s="93" t="s">
        <v>2507</v>
      </c>
      <c r="B157">
        <v>189705</v>
      </c>
      <c r="C157" t="s">
        <v>87</v>
      </c>
    </row>
    <row r="158" spans="1:3">
      <c r="A158" s="93" t="s">
        <v>2888</v>
      </c>
      <c r="B158">
        <v>201548</v>
      </c>
      <c r="C158" t="s">
        <v>87</v>
      </c>
    </row>
    <row r="159" spans="1:3">
      <c r="A159" s="93" t="s">
        <v>5647</v>
      </c>
      <c r="B159">
        <v>162061</v>
      </c>
      <c r="C159" t="s">
        <v>87</v>
      </c>
    </row>
    <row r="160" spans="1:3">
      <c r="A160" s="93" t="s">
        <v>3925</v>
      </c>
      <c r="B160">
        <v>238430</v>
      </c>
      <c r="C160" t="s">
        <v>87</v>
      </c>
    </row>
    <row r="161" spans="1:3">
      <c r="A161" s="93" t="s">
        <v>522</v>
      </c>
      <c r="B161">
        <v>173258</v>
      </c>
      <c r="C161" t="s">
        <v>87</v>
      </c>
    </row>
    <row r="162" spans="1:3">
      <c r="A162" s="93" t="s">
        <v>1190</v>
      </c>
      <c r="B162">
        <v>132842</v>
      </c>
      <c r="C162" t="s">
        <v>87</v>
      </c>
    </row>
    <row r="163" spans="1:3">
      <c r="A163" s="93" t="s">
        <v>3175</v>
      </c>
      <c r="B163">
        <v>211431</v>
      </c>
      <c r="C163" t="s">
        <v>87</v>
      </c>
    </row>
    <row r="164" spans="1:3">
      <c r="A164" s="93" t="s">
        <v>3176</v>
      </c>
      <c r="B164">
        <v>211440</v>
      </c>
      <c r="C164" t="s">
        <v>87</v>
      </c>
    </row>
    <row r="165" spans="1:3">
      <c r="A165" s="93" t="s">
        <v>2295</v>
      </c>
      <c r="B165">
        <v>180106</v>
      </c>
      <c r="C165" t="s">
        <v>87</v>
      </c>
    </row>
    <row r="166" spans="1:3">
      <c r="A166" s="93" t="s">
        <v>3926</v>
      </c>
      <c r="B166">
        <v>238458</v>
      </c>
      <c r="C166" t="s">
        <v>87</v>
      </c>
    </row>
    <row r="167" spans="1:3">
      <c r="A167" s="93" t="s">
        <v>5648</v>
      </c>
      <c r="B167">
        <v>219806</v>
      </c>
      <c r="C167" t="s">
        <v>87</v>
      </c>
    </row>
    <row r="168" spans="1:3">
      <c r="A168" s="93" t="s">
        <v>601</v>
      </c>
      <c r="B168">
        <v>238476</v>
      </c>
      <c r="C168" t="s">
        <v>87</v>
      </c>
    </row>
    <row r="169" spans="1:3">
      <c r="A169" s="93" t="s">
        <v>2889</v>
      </c>
      <c r="B169">
        <v>201645</v>
      </c>
      <c r="C169" t="s">
        <v>87</v>
      </c>
    </row>
    <row r="170" spans="1:3">
      <c r="A170" s="93" t="s">
        <v>5649</v>
      </c>
      <c r="B170">
        <v>230834</v>
      </c>
      <c r="C170" t="s">
        <v>87</v>
      </c>
    </row>
    <row r="171" spans="1:3">
      <c r="A171" s="93" t="s">
        <v>514</v>
      </c>
      <c r="B171">
        <v>198215</v>
      </c>
      <c r="C171" t="s">
        <v>87</v>
      </c>
    </row>
    <row r="172" spans="1:3">
      <c r="A172" s="93" t="s">
        <v>1170</v>
      </c>
      <c r="B172">
        <v>131283</v>
      </c>
      <c r="C172" t="s">
        <v>87</v>
      </c>
    </row>
    <row r="173" spans="1:3">
      <c r="A173" s="93" t="s">
        <v>2510</v>
      </c>
      <c r="B173">
        <v>189848</v>
      </c>
      <c r="C173" t="s">
        <v>87</v>
      </c>
    </row>
    <row r="174" spans="1:3">
      <c r="A174" s="93" t="s">
        <v>3177</v>
      </c>
      <c r="B174">
        <v>211468</v>
      </c>
      <c r="C174" t="s">
        <v>87</v>
      </c>
    </row>
    <row r="175" spans="1:3">
      <c r="A175" s="93" t="s">
        <v>2890</v>
      </c>
      <c r="B175">
        <v>201654</v>
      </c>
      <c r="C175" t="s">
        <v>87</v>
      </c>
    </row>
    <row r="176" spans="1:3">
      <c r="A176" s="93" t="s">
        <v>5650</v>
      </c>
      <c r="B176">
        <v>183974</v>
      </c>
      <c r="C176" t="s">
        <v>87</v>
      </c>
    </row>
    <row r="177" spans="1:3">
      <c r="A177" s="93" t="s">
        <v>1791</v>
      </c>
      <c r="B177">
        <v>158477</v>
      </c>
      <c r="C177" t="s">
        <v>87</v>
      </c>
    </row>
    <row r="178" spans="1:3">
      <c r="A178" s="93" t="s">
        <v>737</v>
      </c>
      <c r="B178">
        <v>106713</v>
      </c>
      <c r="C178" t="s">
        <v>87</v>
      </c>
    </row>
    <row r="179" spans="1:3">
      <c r="A179" s="93" t="s">
        <v>1592</v>
      </c>
      <c r="B179">
        <v>153108</v>
      </c>
      <c r="C179" t="s">
        <v>87</v>
      </c>
    </row>
    <row r="180" spans="1:3">
      <c r="A180" s="93" t="s">
        <v>1124</v>
      </c>
      <c r="B180">
        <v>128771</v>
      </c>
      <c r="C180" t="s">
        <v>87</v>
      </c>
    </row>
    <row r="181" spans="1:3">
      <c r="A181" s="93" t="s">
        <v>5651</v>
      </c>
      <c r="B181">
        <v>176947</v>
      </c>
      <c r="C181" t="s">
        <v>87</v>
      </c>
    </row>
    <row r="182" spans="1:3">
      <c r="A182" s="93" t="s">
        <v>464</v>
      </c>
      <c r="B182">
        <v>169248</v>
      </c>
      <c r="C182" t="s">
        <v>87</v>
      </c>
    </row>
    <row r="183" spans="1:3">
      <c r="A183" s="93" t="s">
        <v>2892</v>
      </c>
      <c r="B183">
        <v>201690</v>
      </c>
      <c r="C183" t="s">
        <v>138</v>
      </c>
    </row>
    <row r="184" spans="1:3">
      <c r="A184" s="93" t="s">
        <v>3831</v>
      </c>
      <c r="B184">
        <v>234827</v>
      </c>
      <c r="C184" t="s">
        <v>87</v>
      </c>
    </row>
    <row r="185" spans="1:3">
      <c r="A185" s="93" t="s">
        <v>1732</v>
      </c>
      <c r="B185">
        <v>156408</v>
      </c>
      <c r="C185" t="s">
        <v>87</v>
      </c>
    </row>
    <row r="186" spans="1:3">
      <c r="A186" s="93" t="s">
        <v>1376</v>
      </c>
      <c r="B186">
        <v>141486</v>
      </c>
      <c r="C186" t="s">
        <v>87</v>
      </c>
    </row>
    <row r="187" spans="1:3">
      <c r="A187" s="93" t="s">
        <v>3728</v>
      </c>
      <c r="B187">
        <v>230852</v>
      </c>
      <c r="C187" t="s">
        <v>87</v>
      </c>
    </row>
    <row r="188" spans="1:3">
      <c r="A188" s="93" t="s">
        <v>834</v>
      </c>
      <c r="B188">
        <v>111948</v>
      </c>
      <c r="C188" t="s">
        <v>87</v>
      </c>
    </row>
    <row r="189" spans="1:3">
      <c r="A189" s="93" t="s">
        <v>3377</v>
      </c>
      <c r="B189">
        <v>217688</v>
      </c>
      <c r="C189" t="s">
        <v>87</v>
      </c>
    </row>
    <row r="190" spans="1:3">
      <c r="A190" s="93" t="s">
        <v>3179</v>
      </c>
      <c r="B190">
        <v>211556</v>
      </c>
      <c r="C190" t="s">
        <v>87</v>
      </c>
    </row>
    <row r="191" spans="1:3">
      <c r="A191" s="93" t="s">
        <v>3180</v>
      </c>
      <c r="B191">
        <v>211583</v>
      </c>
      <c r="C191" t="s">
        <v>87</v>
      </c>
    </row>
    <row r="192" spans="1:3">
      <c r="A192" s="93" t="s">
        <v>3181</v>
      </c>
      <c r="B192">
        <v>211608</v>
      </c>
      <c r="C192" t="s">
        <v>138</v>
      </c>
    </row>
    <row r="193" spans="1:3">
      <c r="A193" s="93" t="s">
        <v>1418</v>
      </c>
      <c r="B193">
        <v>144005</v>
      </c>
      <c r="C193" t="s">
        <v>87</v>
      </c>
    </row>
    <row r="194" spans="1:3">
      <c r="A194" s="93" t="s">
        <v>2752</v>
      </c>
      <c r="B194">
        <v>198303</v>
      </c>
      <c r="C194" t="s">
        <v>87</v>
      </c>
    </row>
    <row r="195" spans="1:3">
      <c r="A195" s="93" t="s">
        <v>3465</v>
      </c>
      <c r="B195">
        <v>219833</v>
      </c>
      <c r="C195" t="s">
        <v>87</v>
      </c>
    </row>
    <row r="196" spans="1:3">
      <c r="A196" s="93" t="s">
        <v>3752</v>
      </c>
      <c r="B196">
        <v>231712</v>
      </c>
      <c r="C196" t="s">
        <v>87</v>
      </c>
    </row>
    <row r="197" spans="1:3">
      <c r="A197" s="93" t="s">
        <v>3384</v>
      </c>
      <c r="B197">
        <v>217864</v>
      </c>
      <c r="C197" t="s">
        <v>87</v>
      </c>
    </row>
    <row r="198" spans="1:3">
      <c r="A198" s="93" t="s">
        <v>3385</v>
      </c>
      <c r="B198">
        <v>217873</v>
      </c>
      <c r="C198" t="s">
        <v>138</v>
      </c>
    </row>
    <row r="199" spans="1:3">
      <c r="A199" s="93" t="s">
        <v>842</v>
      </c>
      <c r="B199">
        <v>112260</v>
      </c>
      <c r="C199" t="s">
        <v>87</v>
      </c>
    </row>
    <row r="200" spans="1:3">
      <c r="A200" s="93" t="s">
        <v>3184</v>
      </c>
      <c r="B200">
        <v>211644</v>
      </c>
      <c r="C200" t="s">
        <v>87</v>
      </c>
    </row>
    <row r="201" spans="1:3">
      <c r="A201" s="93" t="s">
        <v>1310</v>
      </c>
      <c r="B201">
        <v>138947</v>
      </c>
      <c r="C201" t="s">
        <v>138</v>
      </c>
    </row>
    <row r="202" spans="1:3">
      <c r="A202" s="93" t="s">
        <v>1931</v>
      </c>
      <c r="B202">
        <v>165334</v>
      </c>
      <c r="C202" t="s">
        <v>87</v>
      </c>
    </row>
    <row r="203" spans="1:3">
      <c r="A203" s="93" t="s">
        <v>1593</v>
      </c>
      <c r="B203">
        <v>153126</v>
      </c>
      <c r="C203" t="s">
        <v>87</v>
      </c>
    </row>
    <row r="204" spans="1:3">
      <c r="A204" s="93" t="s">
        <v>2316</v>
      </c>
      <c r="B204">
        <v>180832</v>
      </c>
      <c r="C204" t="s">
        <v>87</v>
      </c>
    </row>
    <row r="205" spans="1:3">
      <c r="A205" s="93" t="s">
        <v>2514</v>
      </c>
      <c r="B205">
        <v>190044</v>
      </c>
      <c r="C205" t="s">
        <v>87</v>
      </c>
    </row>
    <row r="206" spans="1:3">
      <c r="A206" s="93" t="s">
        <v>1321</v>
      </c>
      <c r="B206">
        <v>139311</v>
      </c>
      <c r="C206" t="s">
        <v>87</v>
      </c>
    </row>
    <row r="207" spans="1:3">
      <c r="A207" s="93" t="s">
        <v>5652</v>
      </c>
      <c r="B207">
        <v>133085</v>
      </c>
      <c r="C207" t="s">
        <v>87</v>
      </c>
    </row>
    <row r="208" spans="1:3">
      <c r="A208" s="93" t="s">
        <v>2024</v>
      </c>
      <c r="B208">
        <v>169327</v>
      </c>
      <c r="C208" t="s">
        <v>87</v>
      </c>
    </row>
    <row r="209" spans="1:3">
      <c r="A209" s="93" t="s">
        <v>3386</v>
      </c>
      <c r="B209">
        <v>217882</v>
      </c>
      <c r="C209" t="s">
        <v>87</v>
      </c>
    </row>
    <row r="210" spans="1:3">
      <c r="A210" s="93" t="s">
        <v>3416</v>
      </c>
      <c r="B210">
        <v>218724</v>
      </c>
      <c r="C210" t="s">
        <v>87</v>
      </c>
    </row>
    <row r="211" spans="1:3">
      <c r="A211" s="93" t="s">
        <v>1594</v>
      </c>
      <c r="B211">
        <v>153144</v>
      </c>
      <c r="C211" t="s">
        <v>87</v>
      </c>
    </row>
    <row r="212" spans="1:3">
      <c r="A212" s="93" t="s">
        <v>5653</v>
      </c>
      <c r="B212">
        <v>112394</v>
      </c>
      <c r="C212" t="s">
        <v>87</v>
      </c>
    </row>
    <row r="213" spans="1:3">
      <c r="A213" s="93" t="s">
        <v>3388</v>
      </c>
      <c r="B213">
        <v>217907</v>
      </c>
      <c r="C213" t="s">
        <v>87</v>
      </c>
    </row>
    <row r="214" spans="1:3">
      <c r="A214" s="93" t="s">
        <v>1836</v>
      </c>
      <c r="B214">
        <v>161086</v>
      </c>
      <c r="C214" t="s">
        <v>87</v>
      </c>
    </row>
    <row r="215" spans="1:3">
      <c r="A215" s="93" t="s">
        <v>2360</v>
      </c>
      <c r="B215">
        <v>182634</v>
      </c>
      <c r="C215" t="s">
        <v>87</v>
      </c>
    </row>
    <row r="216" spans="1:3">
      <c r="A216" s="93" t="s">
        <v>481</v>
      </c>
      <c r="B216">
        <v>190099</v>
      </c>
      <c r="C216" t="s">
        <v>87</v>
      </c>
    </row>
    <row r="217" spans="1:3">
      <c r="A217" s="93" t="s">
        <v>3382</v>
      </c>
      <c r="B217">
        <v>217819</v>
      </c>
      <c r="C217" t="s">
        <v>87</v>
      </c>
    </row>
    <row r="218" spans="1:3">
      <c r="A218" s="93" t="s">
        <v>2611</v>
      </c>
      <c r="B218">
        <v>193399</v>
      </c>
      <c r="C218" t="s">
        <v>87</v>
      </c>
    </row>
    <row r="219" spans="1:3">
      <c r="A219" s="93" t="s">
        <v>5654</v>
      </c>
      <c r="B219">
        <v>204200</v>
      </c>
      <c r="C219" t="s">
        <v>87</v>
      </c>
    </row>
    <row r="220" spans="1:3">
      <c r="A220" s="93" t="s">
        <v>5655</v>
      </c>
      <c r="B220">
        <v>163578</v>
      </c>
      <c r="C220" t="s">
        <v>87</v>
      </c>
    </row>
    <row r="221" spans="1:3">
      <c r="A221" s="93" t="s">
        <v>1985</v>
      </c>
      <c r="B221">
        <v>167394</v>
      </c>
      <c r="C221" t="s">
        <v>87</v>
      </c>
    </row>
    <row r="222" spans="1:3">
      <c r="A222" s="93" t="s">
        <v>5656</v>
      </c>
      <c r="B222">
        <v>174747</v>
      </c>
      <c r="C222" t="s">
        <v>87</v>
      </c>
    </row>
    <row r="223" spans="1:3">
      <c r="A223" s="93" t="s">
        <v>2437</v>
      </c>
      <c r="B223">
        <v>186618</v>
      </c>
      <c r="C223" t="s">
        <v>87</v>
      </c>
    </row>
    <row r="224" spans="1:3">
      <c r="A224" s="93" t="s">
        <v>5657</v>
      </c>
      <c r="B224">
        <v>181604</v>
      </c>
      <c r="C224" t="s">
        <v>87</v>
      </c>
    </row>
    <row r="225" spans="1:3">
      <c r="A225" s="93" t="s">
        <v>3740</v>
      </c>
      <c r="B225">
        <v>231077</v>
      </c>
      <c r="C225" t="s">
        <v>87</v>
      </c>
    </row>
    <row r="226" spans="1:3">
      <c r="A226" s="93" t="s">
        <v>510</v>
      </c>
      <c r="B226">
        <v>166124</v>
      </c>
      <c r="C226" t="s">
        <v>87</v>
      </c>
    </row>
    <row r="227" spans="1:3">
      <c r="A227" s="93" t="s">
        <v>2261</v>
      </c>
      <c r="B227">
        <v>178697</v>
      </c>
      <c r="C227" t="s">
        <v>87</v>
      </c>
    </row>
    <row r="228" spans="1:3">
      <c r="A228" s="93" t="s">
        <v>3749</v>
      </c>
      <c r="B228">
        <v>231624</v>
      </c>
      <c r="C228" t="s">
        <v>87</v>
      </c>
    </row>
    <row r="229" spans="1:3">
      <c r="A229" s="93" t="s">
        <v>1070</v>
      </c>
      <c r="B229">
        <v>126669</v>
      </c>
      <c r="C229" t="s">
        <v>87</v>
      </c>
    </row>
    <row r="230" spans="1:3">
      <c r="A230" s="93" t="s">
        <v>1071</v>
      </c>
      <c r="B230">
        <v>126678</v>
      </c>
      <c r="C230" t="s">
        <v>87</v>
      </c>
    </row>
    <row r="231" spans="1:3">
      <c r="A231" s="93" t="s">
        <v>1076</v>
      </c>
      <c r="B231">
        <v>126775</v>
      </c>
      <c r="C231" t="s">
        <v>87</v>
      </c>
    </row>
    <row r="232" spans="1:3">
      <c r="A232" s="93" t="s">
        <v>1078</v>
      </c>
      <c r="B232">
        <v>126818</v>
      </c>
      <c r="C232" t="s">
        <v>87</v>
      </c>
    </row>
    <row r="233" spans="1:3">
      <c r="A233" s="93" t="s">
        <v>1111</v>
      </c>
      <c r="B233">
        <v>128106</v>
      </c>
      <c r="C233" t="s">
        <v>87</v>
      </c>
    </row>
    <row r="234" spans="1:3">
      <c r="A234" s="93" t="s">
        <v>1079</v>
      </c>
      <c r="B234">
        <v>126827</v>
      </c>
      <c r="C234" t="s">
        <v>87</v>
      </c>
    </row>
    <row r="235" spans="1:3">
      <c r="A235" s="93" t="s">
        <v>2214</v>
      </c>
      <c r="B235">
        <v>177065</v>
      </c>
      <c r="C235" t="s">
        <v>87</v>
      </c>
    </row>
    <row r="236" spans="1:3">
      <c r="A236" s="93" t="s">
        <v>2214</v>
      </c>
      <c r="B236">
        <v>217934</v>
      </c>
      <c r="C236" t="s">
        <v>87</v>
      </c>
    </row>
    <row r="237" spans="1:3">
      <c r="A237" s="93" t="s">
        <v>5658</v>
      </c>
      <c r="B237">
        <v>144281</v>
      </c>
      <c r="C237" t="s">
        <v>87</v>
      </c>
    </row>
    <row r="238" spans="1:3">
      <c r="A238" s="93" t="s">
        <v>3389</v>
      </c>
      <c r="B238">
        <v>217925</v>
      </c>
      <c r="C238" t="s">
        <v>87</v>
      </c>
    </row>
    <row r="239" spans="1:3">
      <c r="A239" s="93" t="s">
        <v>2519</v>
      </c>
      <c r="B239">
        <v>190150</v>
      </c>
      <c r="C239" t="s">
        <v>87</v>
      </c>
    </row>
    <row r="240" spans="1:3">
      <c r="A240" s="93" t="s">
        <v>1324</v>
      </c>
      <c r="B240">
        <v>139366</v>
      </c>
      <c r="C240" t="s">
        <v>87</v>
      </c>
    </row>
    <row r="241" spans="1:3">
      <c r="A241" s="93" t="s">
        <v>3890</v>
      </c>
      <c r="B241">
        <v>237330</v>
      </c>
      <c r="C241" t="s">
        <v>87</v>
      </c>
    </row>
    <row r="242" spans="1:3">
      <c r="A242" s="93" t="s">
        <v>2100</v>
      </c>
      <c r="B242">
        <v>173300</v>
      </c>
      <c r="C242" t="s">
        <v>87</v>
      </c>
    </row>
    <row r="243" spans="1:3">
      <c r="A243" s="93" t="s">
        <v>2521</v>
      </c>
      <c r="B243">
        <v>190248</v>
      </c>
      <c r="C243" t="s">
        <v>87</v>
      </c>
    </row>
    <row r="244" spans="1:3">
      <c r="A244" s="93" t="s">
        <v>1427</v>
      </c>
      <c r="B244">
        <v>144351</v>
      </c>
      <c r="C244" t="s">
        <v>87</v>
      </c>
    </row>
    <row r="245" spans="1:3">
      <c r="A245" s="93" t="s">
        <v>836</v>
      </c>
      <c r="B245">
        <v>112075</v>
      </c>
      <c r="C245" t="s">
        <v>87</v>
      </c>
    </row>
    <row r="246" spans="1:3">
      <c r="A246" s="93" t="s">
        <v>3097</v>
      </c>
      <c r="B246">
        <v>208488</v>
      </c>
      <c r="C246" t="s">
        <v>87</v>
      </c>
    </row>
    <row r="247" spans="1:3">
      <c r="A247" s="93" t="s">
        <v>2101</v>
      </c>
      <c r="B247">
        <v>173328</v>
      </c>
      <c r="C247" t="s">
        <v>87</v>
      </c>
    </row>
    <row r="248" spans="1:3">
      <c r="A248" s="93" t="s">
        <v>5659</v>
      </c>
      <c r="B248">
        <v>180984</v>
      </c>
      <c r="C248" t="s">
        <v>87</v>
      </c>
    </row>
    <row r="249" spans="1:3">
      <c r="A249" s="93" t="s">
        <v>3571</v>
      </c>
      <c r="B249">
        <v>224004</v>
      </c>
      <c r="C249" t="s">
        <v>87</v>
      </c>
    </row>
    <row r="250" spans="1:3">
      <c r="A250" s="93" t="s">
        <v>3928</v>
      </c>
      <c r="B250">
        <v>238616</v>
      </c>
      <c r="C250" t="s">
        <v>87</v>
      </c>
    </row>
    <row r="251" spans="1:3">
      <c r="A251" s="93" t="s">
        <v>568</v>
      </c>
      <c r="B251">
        <v>128902</v>
      </c>
      <c r="C251" t="s">
        <v>87</v>
      </c>
    </row>
    <row r="252" spans="1:3">
      <c r="A252" s="93" t="s">
        <v>3390</v>
      </c>
      <c r="B252">
        <v>217961</v>
      </c>
      <c r="C252" t="s">
        <v>87</v>
      </c>
    </row>
    <row r="253" spans="1:3">
      <c r="A253" s="93" t="s">
        <v>2522</v>
      </c>
      <c r="B253">
        <v>190372</v>
      </c>
      <c r="C253" t="s">
        <v>87</v>
      </c>
    </row>
    <row r="254" spans="1:3">
      <c r="A254" s="93" t="s">
        <v>1867</v>
      </c>
      <c r="B254">
        <v>162283</v>
      </c>
      <c r="C254" t="s">
        <v>138</v>
      </c>
    </row>
    <row r="255" spans="1:3">
      <c r="A255" s="93" t="s">
        <v>3141</v>
      </c>
      <c r="B255">
        <v>210331</v>
      </c>
      <c r="C255" t="s">
        <v>87</v>
      </c>
    </row>
    <row r="256" spans="1:3">
      <c r="A256" s="93" t="s">
        <v>1595</v>
      </c>
      <c r="B256">
        <v>153162</v>
      </c>
      <c r="C256" t="s">
        <v>87</v>
      </c>
    </row>
    <row r="257" spans="1:3">
      <c r="A257" s="93" t="s">
        <v>505</v>
      </c>
      <c r="B257">
        <v>190415</v>
      </c>
      <c r="C257" t="s">
        <v>87</v>
      </c>
    </row>
    <row r="258" spans="1:3">
      <c r="A258" s="93" t="s">
        <v>581</v>
      </c>
      <c r="B258">
        <v>170037</v>
      </c>
      <c r="C258" t="s">
        <v>87</v>
      </c>
    </row>
    <row r="259" spans="1:3">
      <c r="A259" s="93" t="s">
        <v>1326</v>
      </c>
      <c r="B259">
        <v>139393</v>
      </c>
      <c r="C259" t="s">
        <v>87</v>
      </c>
    </row>
    <row r="260" spans="1:3">
      <c r="A260" s="93" t="s">
        <v>2322</v>
      </c>
      <c r="B260">
        <v>181002</v>
      </c>
      <c r="C260" t="s">
        <v>87</v>
      </c>
    </row>
    <row r="261" spans="1:3">
      <c r="A261" s="93" t="s">
        <v>2151</v>
      </c>
      <c r="B261">
        <v>174862</v>
      </c>
      <c r="C261" t="s">
        <v>87</v>
      </c>
    </row>
    <row r="262" spans="1:3">
      <c r="A262" s="93" t="s">
        <v>2220</v>
      </c>
      <c r="B262">
        <v>177144</v>
      </c>
      <c r="C262" t="s">
        <v>87</v>
      </c>
    </row>
    <row r="263" spans="1:3">
      <c r="A263" s="93" t="s">
        <v>3471</v>
      </c>
      <c r="B263">
        <v>219949</v>
      </c>
      <c r="C263" t="s">
        <v>87</v>
      </c>
    </row>
    <row r="264" spans="1:3">
      <c r="A264" s="93" t="s">
        <v>2527</v>
      </c>
      <c r="B264">
        <v>190512</v>
      </c>
      <c r="C264" t="s">
        <v>87</v>
      </c>
    </row>
    <row r="265" spans="1:3">
      <c r="A265" s="93" t="s">
        <v>2530</v>
      </c>
      <c r="B265">
        <v>190549</v>
      </c>
      <c r="C265" t="s">
        <v>87</v>
      </c>
    </row>
    <row r="266" spans="1:3">
      <c r="A266" s="93" t="s">
        <v>2532</v>
      </c>
      <c r="B266">
        <v>190567</v>
      </c>
      <c r="C266" t="s">
        <v>87</v>
      </c>
    </row>
    <row r="267" spans="1:3">
      <c r="A267" s="93" t="s">
        <v>2535</v>
      </c>
      <c r="B267">
        <v>190594</v>
      </c>
      <c r="C267" t="s">
        <v>87</v>
      </c>
    </row>
    <row r="268" spans="1:3">
      <c r="A268" s="93" t="s">
        <v>2536</v>
      </c>
      <c r="B268">
        <v>190600</v>
      </c>
      <c r="C268" t="s">
        <v>87</v>
      </c>
    </row>
    <row r="269" spans="1:3">
      <c r="A269" s="93" t="s">
        <v>2539</v>
      </c>
      <c r="B269">
        <v>190637</v>
      </c>
      <c r="C269" t="s">
        <v>87</v>
      </c>
    </row>
    <row r="270" spans="1:3">
      <c r="A270" s="93" t="s">
        <v>2542</v>
      </c>
      <c r="B270">
        <v>190664</v>
      </c>
      <c r="C270" t="s">
        <v>87</v>
      </c>
    </row>
    <row r="271" spans="1:3">
      <c r="A271" s="93" t="s">
        <v>1933</v>
      </c>
      <c r="B271">
        <v>165529</v>
      </c>
      <c r="C271" t="s">
        <v>87</v>
      </c>
    </row>
    <row r="272" spans="1:3">
      <c r="A272" s="93" t="s">
        <v>2548</v>
      </c>
      <c r="B272">
        <v>190725</v>
      </c>
      <c r="C272" t="s">
        <v>87</v>
      </c>
    </row>
    <row r="273" spans="1:3">
      <c r="A273" s="93" t="s">
        <v>3433</v>
      </c>
      <c r="B273">
        <v>219082</v>
      </c>
      <c r="C273" t="s">
        <v>87</v>
      </c>
    </row>
    <row r="274" spans="1:3">
      <c r="A274" s="93" t="s">
        <v>3434</v>
      </c>
      <c r="B274">
        <v>219091</v>
      </c>
      <c r="C274" t="s">
        <v>87</v>
      </c>
    </row>
    <row r="275" spans="1:3">
      <c r="A275" s="93" t="s">
        <v>3574</v>
      </c>
      <c r="B275">
        <v>224226</v>
      </c>
      <c r="C275" t="s">
        <v>87</v>
      </c>
    </row>
    <row r="276" spans="1:3">
      <c r="A276" s="93" t="s">
        <v>5660</v>
      </c>
      <c r="B276">
        <v>182661</v>
      </c>
      <c r="C276" t="s">
        <v>87</v>
      </c>
    </row>
    <row r="277" spans="1:3">
      <c r="A277" s="93" t="s">
        <v>2361</v>
      </c>
      <c r="B277">
        <v>182670</v>
      </c>
      <c r="C277" t="s">
        <v>87</v>
      </c>
    </row>
    <row r="278" spans="1:3">
      <c r="A278" s="93" t="s">
        <v>555</v>
      </c>
      <c r="B278">
        <v>198385</v>
      </c>
      <c r="C278" t="s">
        <v>87</v>
      </c>
    </row>
    <row r="279" spans="1:3">
      <c r="A279" s="93" t="s">
        <v>3891</v>
      </c>
      <c r="B279">
        <v>237358</v>
      </c>
      <c r="C279" t="s">
        <v>87</v>
      </c>
    </row>
    <row r="280" spans="1:3">
      <c r="A280" s="93" t="s">
        <v>1934</v>
      </c>
      <c r="B280">
        <v>165574</v>
      </c>
      <c r="C280" t="s">
        <v>87</v>
      </c>
    </row>
    <row r="281" spans="1:3">
      <c r="A281" s="93" t="s">
        <v>2913</v>
      </c>
      <c r="B281">
        <v>202514</v>
      </c>
      <c r="C281" t="s">
        <v>87</v>
      </c>
    </row>
    <row r="282" spans="1:3">
      <c r="A282" s="93" t="s">
        <v>1164</v>
      </c>
      <c r="B282">
        <v>130934</v>
      </c>
      <c r="C282" t="s">
        <v>138</v>
      </c>
    </row>
    <row r="283" spans="1:3">
      <c r="A283" s="93" t="s">
        <v>5661</v>
      </c>
      <c r="B283">
        <v>211981</v>
      </c>
      <c r="C283" t="s">
        <v>87</v>
      </c>
    </row>
    <row r="284" spans="1:3">
      <c r="A284" s="93" t="s">
        <v>2174</v>
      </c>
      <c r="B284">
        <v>175616</v>
      </c>
      <c r="C284" t="s">
        <v>87</v>
      </c>
    </row>
    <row r="285" spans="1:3">
      <c r="A285" s="93" t="s">
        <v>458</v>
      </c>
      <c r="B285">
        <v>202523</v>
      </c>
      <c r="C285" t="s">
        <v>87</v>
      </c>
    </row>
    <row r="286" spans="1:3">
      <c r="A286" s="93" t="s">
        <v>484</v>
      </c>
      <c r="B286">
        <v>144740</v>
      </c>
      <c r="C286" t="s">
        <v>87</v>
      </c>
    </row>
    <row r="287" spans="1:3">
      <c r="A287" s="93" t="s">
        <v>496</v>
      </c>
      <c r="B287">
        <v>150400</v>
      </c>
      <c r="C287" t="s">
        <v>87</v>
      </c>
    </row>
    <row r="288" spans="1:3">
      <c r="A288" s="93" t="s">
        <v>3154</v>
      </c>
      <c r="B288">
        <v>210739</v>
      </c>
      <c r="C288" t="s">
        <v>87</v>
      </c>
    </row>
    <row r="289" spans="1:3">
      <c r="A289" s="93" t="s">
        <v>5368</v>
      </c>
      <c r="B289">
        <v>432199</v>
      </c>
    </row>
    <row r="290" spans="1:3">
      <c r="A290" s="93" t="s">
        <v>5369</v>
      </c>
      <c r="B290">
        <v>104531</v>
      </c>
    </row>
    <row r="291" spans="1:3">
      <c r="A291" s="93" t="s">
        <v>5370</v>
      </c>
      <c r="B291">
        <v>113607</v>
      </c>
    </row>
    <row r="292" spans="1:3">
      <c r="A292" s="93" t="s">
        <v>5373</v>
      </c>
      <c r="B292">
        <v>139533</v>
      </c>
    </row>
    <row r="293" spans="1:3">
      <c r="A293" s="93" t="s">
        <v>5374</v>
      </c>
      <c r="B293">
        <v>144759</v>
      </c>
    </row>
    <row r="294" spans="1:3">
      <c r="A294" s="93" t="s">
        <v>5376</v>
      </c>
      <c r="B294">
        <v>177162</v>
      </c>
    </row>
    <row r="295" spans="1:3">
      <c r="A295" s="93" t="s">
        <v>5380</v>
      </c>
      <c r="B295">
        <v>202541</v>
      </c>
    </row>
    <row r="296" spans="1:3">
      <c r="A296" s="93" t="s">
        <v>5384</v>
      </c>
      <c r="B296">
        <v>224402</v>
      </c>
    </row>
    <row r="297" spans="1:3">
      <c r="A297" s="93" t="s">
        <v>468</v>
      </c>
      <c r="B297">
        <v>212009</v>
      </c>
      <c r="C297" t="s">
        <v>87</v>
      </c>
    </row>
    <row r="298" spans="1:3">
      <c r="A298" s="93" t="s">
        <v>4677</v>
      </c>
      <c r="B298">
        <v>443410</v>
      </c>
      <c r="C298" t="s">
        <v>87</v>
      </c>
    </row>
    <row r="299" spans="1:3">
      <c r="A299" s="93" t="s">
        <v>1794</v>
      </c>
      <c r="B299">
        <v>158802</v>
      </c>
      <c r="C299" t="s">
        <v>138</v>
      </c>
    </row>
    <row r="300" spans="1:3">
      <c r="A300" s="93" t="s">
        <v>5662</v>
      </c>
      <c r="B300">
        <v>181020</v>
      </c>
      <c r="C300" t="s">
        <v>87</v>
      </c>
    </row>
    <row r="301" spans="1:3">
      <c r="A301" s="93" t="s">
        <v>2550</v>
      </c>
      <c r="B301">
        <v>190761</v>
      </c>
      <c r="C301" t="s">
        <v>87</v>
      </c>
    </row>
    <row r="302" spans="1:3">
      <c r="A302" s="93" t="s">
        <v>433</v>
      </c>
      <c r="B302">
        <v>148496</v>
      </c>
      <c r="C302" t="s">
        <v>87</v>
      </c>
    </row>
    <row r="303" spans="1:3">
      <c r="A303" s="93" t="s">
        <v>564</v>
      </c>
      <c r="B303">
        <v>113698</v>
      </c>
      <c r="C303" t="s">
        <v>87</v>
      </c>
    </row>
    <row r="304" spans="1:3">
      <c r="A304" s="93" t="s">
        <v>1599</v>
      </c>
      <c r="B304">
        <v>153250</v>
      </c>
      <c r="C304" t="s">
        <v>87</v>
      </c>
    </row>
    <row r="305" spans="1:3">
      <c r="A305" s="93" t="s">
        <v>5663</v>
      </c>
      <c r="B305">
        <v>190770</v>
      </c>
      <c r="C305" t="s">
        <v>87</v>
      </c>
    </row>
    <row r="306" spans="1:3">
      <c r="A306" s="93" t="s">
        <v>1600</v>
      </c>
      <c r="B306">
        <v>153269</v>
      </c>
      <c r="C306" t="s">
        <v>87</v>
      </c>
    </row>
    <row r="307" spans="1:3">
      <c r="A307" s="93" t="s">
        <v>2397</v>
      </c>
      <c r="B307">
        <v>184348</v>
      </c>
      <c r="C307" t="s">
        <v>87</v>
      </c>
    </row>
    <row r="308" spans="1:3">
      <c r="A308" s="93" t="s">
        <v>3193</v>
      </c>
      <c r="B308">
        <v>212054</v>
      </c>
      <c r="C308" t="s">
        <v>87</v>
      </c>
    </row>
    <row r="309" spans="1:3">
      <c r="A309" s="93" t="s">
        <v>2221</v>
      </c>
      <c r="B309">
        <v>177214</v>
      </c>
      <c r="C309" t="s">
        <v>87</v>
      </c>
    </row>
    <row r="310" spans="1:3">
      <c r="A310" s="93" t="s">
        <v>473</v>
      </c>
      <c r="B310">
        <v>198419</v>
      </c>
      <c r="C310" t="s">
        <v>87</v>
      </c>
    </row>
    <row r="311" spans="1:3">
      <c r="A311" s="93" t="s">
        <v>3194</v>
      </c>
      <c r="B311">
        <v>212106</v>
      </c>
      <c r="C311" t="s">
        <v>87</v>
      </c>
    </row>
    <row r="312" spans="1:3">
      <c r="A312" s="93" t="s">
        <v>2547</v>
      </c>
      <c r="B312">
        <v>190716</v>
      </c>
      <c r="C312" t="s">
        <v>87</v>
      </c>
    </row>
    <row r="313" spans="1:3">
      <c r="A313" s="93" t="s">
        <v>1536</v>
      </c>
      <c r="B313">
        <v>150455</v>
      </c>
      <c r="C313" t="s">
        <v>87</v>
      </c>
    </row>
    <row r="314" spans="1:3">
      <c r="A314" s="93" t="s">
        <v>2758</v>
      </c>
      <c r="B314">
        <v>198464</v>
      </c>
      <c r="C314" t="s">
        <v>87</v>
      </c>
    </row>
    <row r="315" spans="1:3">
      <c r="A315" s="93" t="s">
        <v>3050</v>
      </c>
      <c r="B315">
        <v>207041</v>
      </c>
      <c r="C315" t="s">
        <v>87</v>
      </c>
    </row>
    <row r="316" spans="1:3">
      <c r="A316" s="93" t="s">
        <v>3195</v>
      </c>
      <c r="B316">
        <v>212115</v>
      </c>
      <c r="C316" t="s">
        <v>87</v>
      </c>
    </row>
    <row r="317" spans="1:3">
      <c r="A317" s="93" t="s">
        <v>3476</v>
      </c>
      <c r="B317">
        <v>220075</v>
      </c>
      <c r="C317" t="s">
        <v>87</v>
      </c>
    </row>
    <row r="318" spans="1:3">
      <c r="A318" s="93" t="s">
        <v>3580</v>
      </c>
      <c r="B318">
        <v>224527</v>
      </c>
      <c r="C318" t="s">
        <v>87</v>
      </c>
    </row>
    <row r="319" spans="1:3">
      <c r="A319" s="93" t="s">
        <v>1129</v>
      </c>
      <c r="B319">
        <v>129215</v>
      </c>
      <c r="C319" t="s">
        <v>87</v>
      </c>
    </row>
    <row r="320" spans="1:3">
      <c r="A320" s="93" t="s">
        <v>435</v>
      </c>
      <c r="B320">
        <v>144892</v>
      </c>
      <c r="C320" t="s">
        <v>87</v>
      </c>
    </row>
    <row r="321" spans="1:3">
      <c r="A321" s="93" t="s">
        <v>1737</v>
      </c>
      <c r="B321">
        <v>156620</v>
      </c>
      <c r="C321" t="s">
        <v>87</v>
      </c>
    </row>
    <row r="322" spans="1:3">
      <c r="A322" s="93" t="s">
        <v>3761</v>
      </c>
      <c r="B322">
        <v>232043</v>
      </c>
      <c r="C322" t="s">
        <v>87</v>
      </c>
    </row>
    <row r="323" spans="1:3">
      <c r="A323" s="93" t="s">
        <v>2033</v>
      </c>
      <c r="B323">
        <v>169798</v>
      </c>
      <c r="C323" t="s">
        <v>87</v>
      </c>
    </row>
    <row r="324" spans="1:3">
      <c r="A324" s="93" t="s">
        <v>1936</v>
      </c>
      <c r="B324">
        <v>165644</v>
      </c>
      <c r="C324" t="s">
        <v>87</v>
      </c>
    </row>
    <row r="325" spans="1:3">
      <c r="A325" s="93" t="s">
        <v>2451</v>
      </c>
      <c r="B325">
        <v>187648</v>
      </c>
      <c r="C325" t="s">
        <v>87</v>
      </c>
    </row>
    <row r="326" spans="1:3">
      <c r="A326" s="93" t="s">
        <v>3099</v>
      </c>
      <c r="B326">
        <v>208646</v>
      </c>
      <c r="C326" t="s">
        <v>87</v>
      </c>
    </row>
    <row r="327" spans="1:3">
      <c r="A327" s="93" t="s">
        <v>3196</v>
      </c>
      <c r="B327">
        <v>212133</v>
      </c>
      <c r="C327" t="s">
        <v>87</v>
      </c>
    </row>
    <row r="328" spans="1:3">
      <c r="A328" s="93" t="s">
        <v>3838</v>
      </c>
      <c r="B328">
        <v>235097</v>
      </c>
      <c r="C328" t="s">
        <v>87</v>
      </c>
    </row>
    <row r="329" spans="1:3">
      <c r="A329" s="93" t="s">
        <v>1432</v>
      </c>
      <c r="B329">
        <v>144883</v>
      </c>
      <c r="C329" t="s">
        <v>87</v>
      </c>
    </row>
    <row r="330" spans="1:3">
      <c r="A330" s="93" t="s">
        <v>1199</v>
      </c>
      <c r="B330">
        <v>133492</v>
      </c>
      <c r="C330" t="s">
        <v>87</v>
      </c>
    </row>
    <row r="331" spans="1:3">
      <c r="A331" s="93" t="s">
        <v>3929</v>
      </c>
      <c r="B331">
        <v>238661</v>
      </c>
      <c r="C331" t="s">
        <v>87</v>
      </c>
    </row>
    <row r="332" spans="1:3">
      <c r="A332" s="93" t="s">
        <v>3197</v>
      </c>
      <c r="B332">
        <v>212160</v>
      </c>
      <c r="C332" t="s">
        <v>87</v>
      </c>
    </row>
    <row r="333" spans="1:3">
      <c r="A333" s="93" t="s">
        <v>2760</v>
      </c>
      <c r="B333">
        <v>198507</v>
      </c>
      <c r="C333" t="s">
        <v>138</v>
      </c>
    </row>
    <row r="334" spans="1:3">
      <c r="A334" s="93" t="s">
        <v>3198</v>
      </c>
      <c r="B334">
        <v>212197</v>
      </c>
      <c r="C334" t="s">
        <v>87</v>
      </c>
    </row>
    <row r="335" spans="1:3">
      <c r="A335" s="93" t="s">
        <v>429</v>
      </c>
      <c r="B335">
        <v>144962</v>
      </c>
      <c r="C335" t="s">
        <v>87</v>
      </c>
    </row>
    <row r="336" spans="1:3">
      <c r="A336" s="93" t="s">
        <v>2554</v>
      </c>
      <c r="B336">
        <v>190983</v>
      </c>
      <c r="C336" t="s">
        <v>87</v>
      </c>
    </row>
    <row r="337" spans="1:3">
      <c r="A337" s="93" t="s">
        <v>2761</v>
      </c>
      <c r="B337">
        <v>198516</v>
      </c>
      <c r="C337" t="s">
        <v>87</v>
      </c>
    </row>
    <row r="338" spans="1:3">
      <c r="A338" s="93" t="s">
        <v>5664</v>
      </c>
      <c r="B338">
        <v>133553</v>
      </c>
      <c r="C338" t="s">
        <v>87</v>
      </c>
    </row>
    <row r="339" spans="1:3">
      <c r="A339" s="93" t="s">
        <v>5665</v>
      </c>
      <c r="B339">
        <v>104586</v>
      </c>
      <c r="C339" t="s">
        <v>87</v>
      </c>
    </row>
    <row r="340" spans="1:3">
      <c r="A340" s="93" t="s">
        <v>1937</v>
      </c>
      <c r="B340">
        <v>165662</v>
      </c>
      <c r="C340" t="s">
        <v>87</v>
      </c>
    </row>
    <row r="341" spans="1:3">
      <c r="A341" s="93" t="s">
        <v>1330</v>
      </c>
      <c r="B341">
        <v>165671</v>
      </c>
      <c r="C341" t="s">
        <v>87</v>
      </c>
    </row>
    <row r="342" spans="1:3">
      <c r="A342" s="93" t="s">
        <v>5666</v>
      </c>
      <c r="B342">
        <v>232025</v>
      </c>
      <c r="C342" t="s">
        <v>87</v>
      </c>
    </row>
    <row r="343" spans="1:3">
      <c r="A343" s="93" t="s">
        <v>1331</v>
      </c>
      <c r="B343">
        <v>139658</v>
      </c>
      <c r="C343" t="s">
        <v>87</v>
      </c>
    </row>
    <row r="344" spans="1:3">
      <c r="A344" s="93" t="s">
        <v>1679</v>
      </c>
      <c r="B344">
        <v>155025</v>
      </c>
      <c r="C344" t="s">
        <v>87</v>
      </c>
    </row>
    <row r="345" spans="1:3">
      <c r="A345" s="93" t="s">
        <v>1938</v>
      </c>
      <c r="B345">
        <v>165699</v>
      </c>
      <c r="C345" t="s">
        <v>87</v>
      </c>
    </row>
    <row r="346" spans="1:3">
      <c r="A346" s="93" t="s">
        <v>5667</v>
      </c>
      <c r="B346">
        <v>217998</v>
      </c>
      <c r="C346" t="s">
        <v>87</v>
      </c>
    </row>
    <row r="347" spans="1:3">
      <c r="A347" s="93" t="s">
        <v>2225</v>
      </c>
      <c r="B347">
        <v>177339</v>
      </c>
      <c r="C347" t="s">
        <v>87</v>
      </c>
    </row>
    <row r="348" spans="1:3">
      <c r="A348" s="93" t="s">
        <v>1130</v>
      </c>
      <c r="B348">
        <v>129242</v>
      </c>
      <c r="C348" t="s">
        <v>87</v>
      </c>
    </row>
    <row r="349" spans="1:3">
      <c r="A349" s="93" t="s">
        <v>5668</v>
      </c>
      <c r="B349">
        <v>184694</v>
      </c>
      <c r="C349" t="s">
        <v>87</v>
      </c>
    </row>
    <row r="350" spans="1:3">
      <c r="A350" s="93" t="s">
        <v>2400</v>
      </c>
      <c r="B350">
        <v>184603</v>
      </c>
      <c r="C350" t="s">
        <v>87</v>
      </c>
    </row>
    <row r="351" spans="1:3">
      <c r="A351" s="93" t="s">
        <v>3892</v>
      </c>
      <c r="B351">
        <v>237367</v>
      </c>
      <c r="C351" t="s">
        <v>87</v>
      </c>
    </row>
    <row r="352" spans="1:3">
      <c r="A352" s="93" t="s">
        <v>2674</v>
      </c>
      <c r="B352">
        <v>196042</v>
      </c>
      <c r="C352" t="s">
        <v>87</v>
      </c>
    </row>
    <row r="353" spans="1:3">
      <c r="A353" s="93" t="s">
        <v>632</v>
      </c>
      <c r="B353">
        <v>101189</v>
      </c>
      <c r="C353" t="s">
        <v>87</v>
      </c>
    </row>
    <row r="354" spans="1:3">
      <c r="A354" s="93" t="s">
        <v>2763</v>
      </c>
      <c r="B354">
        <v>198543</v>
      </c>
      <c r="C354" t="s">
        <v>138</v>
      </c>
    </row>
    <row r="355" spans="1:3">
      <c r="A355" s="93" t="s">
        <v>5669</v>
      </c>
      <c r="B355">
        <v>184612</v>
      </c>
      <c r="C355" t="s">
        <v>87</v>
      </c>
    </row>
    <row r="356" spans="1:3">
      <c r="A356" s="93" t="s">
        <v>2034</v>
      </c>
      <c r="B356">
        <v>169910</v>
      </c>
      <c r="C356" t="s">
        <v>87</v>
      </c>
    </row>
    <row r="357" spans="1:3">
      <c r="A357" s="93" t="s">
        <v>3763</v>
      </c>
      <c r="B357">
        <v>232089</v>
      </c>
      <c r="C357" t="s">
        <v>87</v>
      </c>
    </row>
    <row r="358" spans="1:3">
      <c r="A358" s="93" t="s">
        <v>1940</v>
      </c>
      <c r="B358">
        <v>165802</v>
      </c>
      <c r="C358" t="s">
        <v>87</v>
      </c>
    </row>
    <row r="359" spans="1:3">
      <c r="A359" s="93" t="s">
        <v>3479</v>
      </c>
      <c r="B359">
        <v>220181</v>
      </c>
      <c r="C359" t="s">
        <v>138</v>
      </c>
    </row>
    <row r="360" spans="1:3">
      <c r="A360" s="93" t="s">
        <v>1941</v>
      </c>
      <c r="B360">
        <v>165820</v>
      </c>
      <c r="C360" t="s">
        <v>87</v>
      </c>
    </row>
    <row r="361" spans="1:3">
      <c r="A361" s="93" t="s">
        <v>1206</v>
      </c>
      <c r="B361">
        <v>133711</v>
      </c>
      <c r="C361" t="s">
        <v>87</v>
      </c>
    </row>
    <row r="362" spans="1:3">
      <c r="A362" s="93" t="s">
        <v>1203</v>
      </c>
      <c r="B362">
        <v>133650</v>
      </c>
      <c r="C362" t="s">
        <v>138</v>
      </c>
    </row>
    <row r="363" spans="1:3">
      <c r="A363" s="93" t="s">
        <v>1204</v>
      </c>
      <c r="B363">
        <v>133669</v>
      </c>
      <c r="C363" t="s">
        <v>87</v>
      </c>
    </row>
    <row r="364" spans="1:3">
      <c r="A364" s="93" t="s">
        <v>1207</v>
      </c>
      <c r="B364">
        <v>133809</v>
      </c>
      <c r="C364" t="s">
        <v>87</v>
      </c>
    </row>
    <row r="365" spans="1:3">
      <c r="A365" s="93" t="s">
        <v>4481</v>
      </c>
      <c r="B365">
        <v>433660</v>
      </c>
      <c r="C365" t="s">
        <v>87</v>
      </c>
    </row>
    <row r="366" spans="1:3">
      <c r="A366" s="93" t="s">
        <v>5670</v>
      </c>
      <c r="B366">
        <v>133872</v>
      </c>
      <c r="C366" t="s">
        <v>87</v>
      </c>
    </row>
    <row r="367" spans="1:3">
      <c r="A367" s="93" t="s">
        <v>1212</v>
      </c>
      <c r="B367">
        <v>133881</v>
      </c>
      <c r="C367" t="s">
        <v>87</v>
      </c>
    </row>
    <row r="368" spans="1:3">
      <c r="A368" s="93" t="s">
        <v>1214</v>
      </c>
      <c r="B368">
        <v>133951</v>
      </c>
      <c r="C368" t="s">
        <v>87</v>
      </c>
    </row>
    <row r="369" spans="1:3">
      <c r="A369" s="93" t="s">
        <v>1216</v>
      </c>
      <c r="B369">
        <v>133979</v>
      </c>
      <c r="C369" t="s">
        <v>138</v>
      </c>
    </row>
    <row r="370" spans="1:3">
      <c r="A370" s="93" t="s">
        <v>1218</v>
      </c>
      <c r="B370">
        <v>134079</v>
      </c>
      <c r="C370" t="s">
        <v>87</v>
      </c>
    </row>
    <row r="371" spans="1:3">
      <c r="A371" s="93" t="s">
        <v>1219</v>
      </c>
      <c r="B371">
        <v>134097</v>
      </c>
      <c r="C371" t="s">
        <v>87</v>
      </c>
    </row>
    <row r="372" spans="1:3">
      <c r="A372" s="93" t="s">
        <v>2226</v>
      </c>
      <c r="B372">
        <v>177418</v>
      </c>
      <c r="C372" t="s">
        <v>87</v>
      </c>
    </row>
    <row r="373" spans="1:3">
      <c r="A373" s="93" t="s">
        <v>2559</v>
      </c>
      <c r="B373">
        <v>191241</v>
      </c>
      <c r="C373" t="s">
        <v>87</v>
      </c>
    </row>
    <row r="374" spans="1:3">
      <c r="A374" s="93" t="s">
        <v>1681</v>
      </c>
      <c r="B374">
        <v>155061</v>
      </c>
      <c r="C374" t="s">
        <v>87</v>
      </c>
    </row>
    <row r="375" spans="1:3">
      <c r="A375" s="93" t="s">
        <v>1087</v>
      </c>
      <c r="B375">
        <v>127185</v>
      </c>
      <c r="C375" t="s">
        <v>87</v>
      </c>
    </row>
    <row r="376" spans="1:3">
      <c r="A376" s="93" t="s">
        <v>1333</v>
      </c>
      <c r="B376">
        <v>139719</v>
      </c>
      <c r="C376" t="s">
        <v>138</v>
      </c>
    </row>
    <row r="377" spans="1:3">
      <c r="A377" s="93" t="s">
        <v>1942</v>
      </c>
      <c r="B377">
        <v>165866</v>
      </c>
      <c r="C377" t="s">
        <v>87</v>
      </c>
    </row>
    <row r="378" spans="1:3">
      <c r="A378" s="93" t="s">
        <v>3395</v>
      </c>
      <c r="B378">
        <v>218061</v>
      </c>
      <c r="C378" t="s">
        <v>87</v>
      </c>
    </row>
    <row r="379" spans="1:3">
      <c r="A379" s="93" t="s">
        <v>3017</v>
      </c>
      <c r="B379">
        <v>205957</v>
      </c>
      <c r="C379" t="s">
        <v>87</v>
      </c>
    </row>
    <row r="380" spans="1:3">
      <c r="A380" s="93" t="s">
        <v>3203</v>
      </c>
      <c r="B380">
        <v>212577</v>
      </c>
      <c r="C380" t="s">
        <v>87</v>
      </c>
    </row>
    <row r="381" spans="1:3">
      <c r="A381" s="93" t="s">
        <v>1538</v>
      </c>
      <c r="B381">
        <v>150604</v>
      </c>
      <c r="C381" t="s">
        <v>87</v>
      </c>
    </row>
    <row r="382" spans="1:3">
      <c r="A382" s="93" t="s">
        <v>2362</v>
      </c>
      <c r="B382">
        <v>182795</v>
      </c>
      <c r="C382" t="s">
        <v>87</v>
      </c>
    </row>
    <row r="383" spans="1:3">
      <c r="A383" s="93" t="s">
        <v>5671</v>
      </c>
      <c r="B383">
        <v>441982</v>
      </c>
      <c r="C383" t="s">
        <v>87</v>
      </c>
    </row>
    <row r="384" spans="1:3">
      <c r="A384" s="93" t="s">
        <v>3481</v>
      </c>
      <c r="B384">
        <v>220215</v>
      </c>
      <c r="C384" t="s">
        <v>87</v>
      </c>
    </row>
    <row r="385" spans="1:3">
      <c r="A385" s="93" t="s">
        <v>876</v>
      </c>
      <c r="B385">
        <v>114813</v>
      </c>
      <c r="C385" t="s">
        <v>87</v>
      </c>
    </row>
    <row r="386" spans="1:3">
      <c r="A386" s="93" t="s">
        <v>1683</v>
      </c>
      <c r="B386">
        <v>155089</v>
      </c>
      <c r="C386" t="s">
        <v>87</v>
      </c>
    </row>
    <row r="387" spans="1:3">
      <c r="A387" s="93" t="s">
        <v>1869</v>
      </c>
      <c r="B387">
        <v>162584</v>
      </c>
      <c r="C387" t="s">
        <v>87</v>
      </c>
    </row>
    <row r="388" spans="1:3">
      <c r="A388" s="93" t="s">
        <v>5672</v>
      </c>
      <c r="B388">
        <v>218070</v>
      </c>
      <c r="C388" t="s">
        <v>87</v>
      </c>
    </row>
    <row r="389" spans="1:3">
      <c r="A389" s="93" t="s">
        <v>3204</v>
      </c>
      <c r="B389">
        <v>212601</v>
      </c>
      <c r="C389" t="s">
        <v>87</v>
      </c>
    </row>
    <row r="390" spans="1:3">
      <c r="A390" s="93" t="s">
        <v>2765</v>
      </c>
      <c r="B390">
        <v>198561</v>
      </c>
      <c r="C390" t="s">
        <v>87</v>
      </c>
    </row>
    <row r="391" spans="1:3">
      <c r="A391" s="93" t="s">
        <v>3205</v>
      </c>
      <c r="B391">
        <v>212656</v>
      </c>
      <c r="C391" t="s">
        <v>87</v>
      </c>
    </row>
    <row r="392" spans="1:3">
      <c r="A392" s="93" t="s">
        <v>3102</v>
      </c>
      <c r="B392">
        <v>208822</v>
      </c>
      <c r="C392" t="s">
        <v>87</v>
      </c>
    </row>
    <row r="393" spans="1:3">
      <c r="A393" s="93" t="s">
        <v>3764</v>
      </c>
      <c r="B393">
        <v>232186</v>
      </c>
      <c r="C393" t="s">
        <v>87</v>
      </c>
    </row>
    <row r="394" spans="1:3">
      <c r="A394" s="93" t="s">
        <v>1174</v>
      </c>
      <c r="B394">
        <v>131469</v>
      </c>
      <c r="C394" t="s">
        <v>87</v>
      </c>
    </row>
    <row r="395" spans="1:3">
      <c r="A395" s="93" t="s">
        <v>1740</v>
      </c>
      <c r="B395">
        <v>156745</v>
      </c>
      <c r="C395" t="s">
        <v>87</v>
      </c>
    </row>
    <row r="396" spans="1:3">
      <c r="A396" s="93" t="s">
        <v>474</v>
      </c>
      <c r="B396">
        <v>131496</v>
      </c>
      <c r="C396" t="s">
        <v>87</v>
      </c>
    </row>
    <row r="397" spans="1:3">
      <c r="A397" s="93" t="s">
        <v>1337</v>
      </c>
      <c r="B397">
        <v>139861</v>
      </c>
      <c r="C397" t="s">
        <v>87</v>
      </c>
    </row>
    <row r="398" spans="1:3">
      <c r="A398" s="93" t="s">
        <v>1335</v>
      </c>
      <c r="B398">
        <v>139755</v>
      </c>
      <c r="C398" t="s">
        <v>87</v>
      </c>
    </row>
    <row r="399" spans="1:3">
      <c r="A399" s="93" t="s">
        <v>1338</v>
      </c>
      <c r="B399">
        <v>139931</v>
      </c>
      <c r="C399" t="s">
        <v>87</v>
      </c>
    </row>
    <row r="400" spans="1:3">
      <c r="A400" s="93" t="s">
        <v>1336</v>
      </c>
      <c r="B400">
        <v>139764</v>
      </c>
      <c r="C400" t="s">
        <v>87</v>
      </c>
    </row>
    <row r="401" spans="1:3">
      <c r="A401" s="93" t="s">
        <v>1339</v>
      </c>
      <c r="B401">
        <v>139940</v>
      </c>
      <c r="C401" t="s">
        <v>87</v>
      </c>
    </row>
    <row r="402" spans="1:3">
      <c r="A402" s="93" t="s">
        <v>2403</v>
      </c>
      <c r="B402">
        <v>184773</v>
      </c>
      <c r="C402" t="s">
        <v>87</v>
      </c>
    </row>
    <row r="403" spans="1:3">
      <c r="A403" s="93" t="s">
        <v>453</v>
      </c>
      <c r="B403">
        <v>212674</v>
      </c>
      <c r="C403" t="s">
        <v>87</v>
      </c>
    </row>
    <row r="404" spans="1:3">
      <c r="A404" s="93" t="s">
        <v>3730</v>
      </c>
      <c r="B404">
        <v>230889</v>
      </c>
      <c r="C404" t="s">
        <v>87</v>
      </c>
    </row>
    <row r="405" spans="1:3">
      <c r="A405" s="93" t="s">
        <v>1166</v>
      </c>
      <c r="B405">
        <v>130989</v>
      </c>
      <c r="C405" t="s">
        <v>87</v>
      </c>
    </row>
    <row r="406" spans="1:3">
      <c r="A406" s="93" t="s">
        <v>3843</v>
      </c>
      <c r="B406">
        <v>235316</v>
      </c>
      <c r="C406" t="s">
        <v>87</v>
      </c>
    </row>
    <row r="407" spans="1:3">
      <c r="A407" s="93" t="s">
        <v>1944</v>
      </c>
      <c r="B407">
        <v>165936</v>
      </c>
      <c r="C407" t="s">
        <v>87</v>
      </c>
    </row>
    <row r="408" spans="1:3">
      <c r="A408" s="93" t="s">
        <v>1539</v>
      </c>
      <c r="B408">
        <v>150668</v>
      </c>
      <c r="C408" t="s">
        <v>87</v>
      </c>
    </row>
    <row r="409" spans="1:3">
      <c r="A409" s="93" t="s">
        <v>1871</v>
      </c>
      <c r="B409">
        <v>162654</v>
      </c>
      <c r="C409" t="s">
        <v>87</v>
      </c>
    </row>
    <row r="410" spans="1:3">
      <c r="A410" s="93" t="s">
        <v>1540</v>
      </c>
      <c r="B410">
        <v>150677</v>
      </c>
      <c r="C410" t="s">
        <v>87</v>
      </c>
    </row>
    <row r="411" spans="1:3">
      <c r="A411" s="93" t="s">
        <v>2324</v>
      </c>
      <c r="B411">
        <v>181093</v>
      </c>
      <c r="C411" t="s">
        <v>87</v>
      </c>
    </row>
    <row r="412" spans="1:3">
      <c r="A412" s="93" t="s">
        <v>1607</v>
      </c>
      <c r="B412">
        <v>153366</v>
      </c>
      <c r="C412" t="s">
        <v>87</v>
      </c>
    </row>
    <row r="413" spans="1:3">
      <c r="A413" s="93" t="s">
        <v>700</v>
      </c>
      <c r="B413">
        <v>104717</v>
      </c>
      <c r="C413" t="s">
        <v>87</v>
      </c>
    </row>
    <row r="414" spans="1:3">
      <c r="A414" s="93" t="s">
        <v>485</v>
      </c>
      <c r="B414">
        <v>170082</v>
      </c>
      <c r="C414" t="s">
        <v>87</v>
      </c>
    </row>
    <row r="415" spans="1:3">
      <c r="A415" s="93" t="s">
        <v>1608</v>
      </c>
      <c r="B415">
        <v>153375</v>
      </c>
      <c r="C415" t="s">
        <v>87</v>
      </c>
    </row>
    <row r="416" spans="1:3">
      <c r="A416" s="93" t="s">
        <v>3731</v>
      </c>
      <c r="B416">
        <v>230898</v>
      </c>
      <c r="C416" t="s">
        <v>87</v>
      </c>
    </row>
    <row r="417" spans="1:3">
      <c r="A417" s="93" t="s">
        <v>2767</v>
      </c>
      <c r="B417">
        <v>198598</v>
      </c>
      <c r="C417" t="s">
        <v>87</v>
      </c>
    </row>
    <row r="418" spans="1:3">
      <c r="A418" s="93" t="s">
        <v>5673</v>
      </c>
      <c r="B418">
        <v>145372</v>
      </c>
      <c r="C418" t="s">
        <v>87</v>
      </c>
    </row>
    <row r="419" spans="1:3">
      <c r="A419" s="93" t="s">
        <v>483</v>
      </c>
      <c r="B419">
        <v>153384</v>
      </c>
      <c r="C419" t="s">
        <v>87</v>
      </c>
    </row>
    <row r="420" spans="1:3">
      <c r="A420" s="93" t="s">
        <v>3207</v>
      </c>
      <c r="B420">
        <v>212805</v>
      </c>
      <c r="C420" t="s">
        <v>87</v>
      </c>
    </row>
    <row r="421" spans="1:3">
      <c r="A421" s="93" t="s">
        <v>2768</v>
      </c>
      <c r="B421">
        <v>198613</v>
      </c>
      <c r="C421" t="s">
        <v>87</v>
      </c>
    </row>
    <row r="422" spans="1:3">
      <c r="A422" s="93" t="s">
        <v>2108</v>
      </c>
      <c r="B422">
        <v>173647</v>
      </c>
      <c r="C422" t="s">
        <v>87</v>
      </c>
    </row>
    <row r="423" spans="1:3">
      <c r="A423" s="93" t="s">
        <v>5674</v>
      </c>
      <c r="B423">
        <v>212832</v>
      </c>
      <c r="C423" t="s">
        <v>87</v>
      </c>
    </row>
    <row r="424" spans="1:3">
      <c r="A424" s="93" t="s">
        <v>2563</v>
      </c>
      <c r="B424">
        <v>191515</v>
      </c>
      <c r="C424" t="s">
        <v>87</v>
      </c>
    </row>
    <row r="425" spans="1:3">
      <c r="A425" s="93" t="s">
        <v>2109</v>
      </c>
      <c r="B425">
        <v>173665</v>
      </c>
      <c r="C425" t="s">
        <v>87</v>
      </c>
    </row>
    <row r="426" spans="1:3">
      <c r="A426" s="93" t="s">
        <v>5675</v>
      </c>
      <c r="B426">
        <v>232256</v>
      </c>
      <c r="C426" t="s">
        <v>87</v>
      </c>
    </row>
    <row r="427" spans="1:3">
      <c r="A427" s="93" t="s">
        <v>1947</v>
      </c>
      <c r="B427">
        <v>166018</v>
      </c>
      <c r="C427" t="s">
        <v>87</v>
      </c>
    </row>
    <row r="428" spans="1:3">
      <c r="A428" s="93" t="s">
        <v>3767</v>
      </c>
      <c r="B428">
        <v>232265</v>
      </c>
      <c r="C428" t="s">
        <v>138</v>
      </c>
    </row>
    <row r="429" spans="1:3">
      <c r="A429" s="93" t="s">
        <v>5676</v>
      </c>
      <c r="B429">
        <v>177542</v>
      </c>
      <c r="C429" t="s">
        <v>87</v>
      </c>
    </row>
    <row r="430" spans="1:3">
      <c r="A430" s="93" t="s">
        <v>1541</v>
      </c>
      <c r="B430">
        <v>150756</v>
      </c>
      <c r="C430" t="s">
        <v>87</v>
      </c>
    </row>
    <row r="431" spans="1:3">
      <c r="A431" s="93" t="s">
        <v>743</v>
      </c>
      <c r="B431">
        <v>107044</v>
      </c>
      <c r="C431" t="s">
        <v>87</v>
      </c>
    </row>
    <row r="432" spans="1:3">
      <c r="A432" s="93" t="s">
        <v>3593</v>
      </c>
      <c r="B432">
        <v>225247</v>
      </c>
      <c r="C432" t="s">
        <v>87</v>
      </c>
    </row>
    <row r="433" spans="1:3">
      <c r="A433" s="93" t="s">
        <v>2564</v>
      </c>
      <c r="B433">
        <v>191533</v>
      </c>
      <c r="C433" t="s">
        <v>87</v>
      </c>
    </row>
    <row r="434" spans="1:3">
      <c r="A434" s="93" t="s">
        <v>1948</v>
      </c>
      <c r="B434">
        <v>166027</v>
      </c>
      <c r="C434" t="s">
        <v>87</v>
      </c>
    </row>
    <row r="435" spans="1:3">
      <c r="A435" s="93" t="s">
        <v>886</v>
      </c>
      <c r="B435">
        <v>115409</v>
      </c>
      <c r="C435" t="s">
        <v>87</v>
      </c>
    </row>
    <row r="436" spans="1:3">
      <c r="A436" s="93" t="s">
        <v>2325</v>
      </c>
      <c r="B436">
        <v>181127</v>
      </c>
      <c r="C436" t="s">
        <v>87</v>
      </c>
    </row>
    <row r="437" spans="1:3">
      <c r="A437" s="93" t="s">
        <v>3211</v>
      </c>
      <c r="B437">
        <v>212911</v>
      </c>
      <c r="C437" t="s">
        <v>87</v>
      </c>
    </row>
    <row r="438" spans="1:3">
      <c r="A438" s="93" t="s">
        <v>1379</v>
      </c>
      <c r="B438">
        <v>141644</v>
      </c>
      <c r="C438" t="s">
        <v>87</v>
      </c>
    </row>
    <row r="439" spans="1:3">
      <c r="A439" s="93" t="s">
        <v>2922</v>
      </c>
      <c r="B439">
        <v>203085</v>
      </c>
      <c r="C439" t="s">
        <v>87</v>
      </c>
    </row>
    <row r="440" spans="1:3">
      <c r="A440" s="93" t="s">
        <v>744</v>
      </c>
      <c r="B440">
        <v>107071</v>
      </c>
      <c r="C440" t="s">
        <v>87</v>
      </c>
    </row>
    <row r="441" spans="1:3">
      <c r="A441" s="93" t="s">
        <v>745</v>
      </c>
      <c r="B441">
        <v>107080</v>
      </c>
      <c r="C441" t="s">
        <v>87</v>
      </c>
    </row>
    <row r="442" spans="1:3">
      <c r="A442" s="93" t="s">
        <v>2773</v>
      </c>
      <c r="B442">
        <v>198695</v>
      </c>
      <c r="C442" t="s">
        <v>87</v>
      </c>
    </row>
    <row r="443" spans="1:3">
      <c r="A443" s="93" t="s">
        <v>2567</v>
      </c>
      <c r="B443">
        <v>191621</v>
      </c>
      <c r="C443" t="s">
        <v>87</v>
      </c>
    </row>
    <row r="444" spans="1:3">
      <c r="A444" s="93" t="s">
        <v>2923</v>
      </c>
      <c r="B444">
        <v>203128</v>
      </c>
      <c r="C444" t="s">
        <v>87</v>
      </c>
    </row>
    <row r="445" spans="1:3">
      <c r="A445" s="93" t="s">
        <v>2568</v>
      </c>
      <c r="B445">
        <v>191630</v>
      </c>
      <c r="C445" t="s">
        <v>87</v>
      </c>
    </row>
    <row r="446" spans="1:3">
      <c r="A446" s="93" t="s">
        <v>4188</v>
      </c>
      <c r="B446">
        <v>367884</v>
      </c>
      <c r="C446" t="s">
        <v>87</v>
      </c>
    </row>
    <row r="447" spans="1:3">
      <c r="A447" s="93" t="s">
        <v>2569</v>
      </c>
      <c r="B447">
        <v>191649</v>
      </c>
      <c r="C447" t="s">
        <v>87</v>
      </c>
    </row>
    <row r="448" spans="1:3">
      <c r="A448" s="93" t="s">
        <v>5677</v>
      </c>
      <c r="B448">
        <v>232308</v>
      </c>
      <c r="C448" t="s">
        <v>87</v>
      </c>
    </row>
    <row r="449" spans="1:3">
      <c r="A449" s="93" t="s">
        <v>1542</v>
      </c>
      <c r="B449">
        <v>150774</v>
      </c>
      <c r="C449" t="s">
        <v>87</v>
      </c>
    </row>
    <row r="450" spans="1:3">
      <c r="A450" s="93" t="s">
        <v>3213</v>
      </c>
      <c r="B450">
        <v>212984</v>
      </c>
      <c r="C450" t="s">
        <v>87</v>
      </c>
    </row>
    <row r="451" spans="1:3">
      <c r="A451" s="93" t="s">
        <v>1875</v>
      </c>
      <c r="B451">
        <v>162760</v>
      </c>
      <c r="C451" t="s">
        <v>87</v>
      </c>
    </row>
    <row r="452" spans="1:3">
      <c r="A452" s="93" t="s">
        <v>471</v>
      </c>
      <c r="B452">
        <v>170301</v>
      </c>
      <c r="C452" t="s">
        <v>87</v>
      </c>
    </row>
    <row r="453" spans="1:3">
      <c r="A453" s="93" t="s">
        <v>960</v>
      </c>
      <c r="B453">
        <v>120537</v>
      </c>
      <c r="C453" t="s">
        <v>87</v>
      </c>
    </row>
    <row r="454" spans="1:3">
      <c r="A454" s="93" t="s">
        <v>2570</v>
      </c>
      <c r="B454">
        <v>191676</v>
      </c>
      <c r="C454" t="s">
        <v>87</v>
      </c>
    </row>
    <row r="455" spans="1:3">
      <c r="A455" s="93" t="s">
        <v>3596</v>
      </c>
      <c r="B455">
        <v>225399</v>
      </c>
      <c r="C455" t="s">
        <v>87</v>
      </c>
    </row>
    <row r="456" spans="1:3">
      <c r="A456" s="93" t="s">
        <v>3603</v>
      </c>
      <c r="B456">
        <v>225548</v>
      </c>
      <c r="C456" t="s">
        <v>87</v>
      </c>
    </row>
    <row r="457" spans="1:3">
      <c r="A457" s="93" t="s">
        <v>1175</v>
      </c>
      <c r="B457">
        <v>131520</v>
      </c>
      <c r="C457" t="s">
        <v>138</v>
      </c>
    </row>
    <row r="458" spans="1:3">
      <c r="A458" s="93" t="s">
        <v>889</v>
      </c>
      <c r="B458">
        <v>115755</v>
      </c>
      <c r="C458" t="s">
        <v>87</v>
      </c>
    </row>
    <row r="459" spans="1:3">
      <c r="A459" s="93" t="s">
        <v>638</v>
      </c>
      <c r="B459">
        <v>101435</v>
      </c>
      <c r="C459" t="s">
        <v>87</v>
      </c>
    </row>
    <row r="460" spans="1:3">
      <c r="A460" s="93" t="s">
        <v>1544</v>
      </c>
      <c r="B460">
        <v>150941</v>
      </c>
      <c r="C460" t="s">
        <v>87</v>
      </c>
    </row>
    <row r="461" spans="1:3">
      <c r="A461" s="93" t="s">
        <v>5510</v>
      </c>
      <c r="B461">
        <v>161165</v>
      </c>
      <c r="C461" t="s">
        <v>87</v>
      </c>
    </row>
    <row r="462" spans="1:3">
      <c r="A462" s="93" t="s">
        <v>3604</v>
      </c>
      <c r="B462">
        <v>225575</v>
      </c>
      <c r="C462" t="s">
        <v>138</v>
      </c>
    </row>
    <row r="463" spans="1:3">
      <c r="A463" s="93" t="s">
        <v>1392</v>
      </c>
      <c r="B463">
        <v>142276</v>
      </c>
      <c r="C463" t="s">
        <v>87</v>
      </c>
    </row>
    <row r="464" spans="1:3">
      <c r="A464" s="93" t="s">
        <v>512</v>
      </c>
      <c r="B464">
        <v>145691</v>
      </c>
      <c r="C464" t="s">
        <v>87</v>
      </c>
    </row>
    <row r="465" spans="1:3">
      <c r="A465" s="93" t="s">
        <v>501</v>
      </c>
      <c r="B465">
        <v>145725</v>
      </c>
      <c r="C465" t="s">
        <v>87</v>
      </c>
    </row>
    <row r="466" spans="1:3">
      <c r="A466" s="93" t="s">
        <v>502</v>
      </c>
      <c r="B466">
        <v>145813</v>
      </c>
      <c r="C466" t="s">
        <v>87</v>
      </c>
    </row>
    <row r="467" spans="1:3">
      <c r="A467" s="93" t="s">
        <v>1446</v>
      </c>
      <c r="B467">
        <v>145646</v>
      </c>
      <c r="C467" t="s">
        <v>87</v>
      </c>
    </row>
    <row r="468" spans="1:3">
      <c r="A468" s="93" t="s">
        <v>3216</v>
      </c>
      <c r="B468">
        <v>213011</v>
      </c>
      <c r="C468" t="s">
        <v>87</v>
      </c>
    </row>
    <row r="469" spans="1:3">
      <c r="A469" s="93" t="s">
        <v>1550</v>
      </c>
      <c r="B469">
        <v>151290</v>
      </c>
      <c r="C469" t="s">
        <v>87</v>
      </c>
    </row>
    <row r="470" spans="1:3">
      <c r="A470" s="93" t="s">
        <v>1552</v>
      </c>
      <c r="B470">
        <v>151324</v>
      </c>
      <c r="C470" t="s">
        <v>87</v>
      </c>
    </row>
    <row r="471" spans="1:3">
      <c r="A471" s="93" t="s">
        <v>3217</v>
      </c>
      <c r="B471">
        <v>213020</v>
      </c>
      <c r="C471" t="s">
        <v>87</v>
      </c>
    </row>
    <row r="472" spans="1:3">
      <c r="A472" s="93" t="s">
        <v>1555</v>
      </c>
      <c r="B472">
        <v>151351</v>
      </c>
      <c r="C472" t="s">
        <v>87</v>
      </c>
    </row>
    <row r="473" spans="1:3">
      <c r="A473" s="93" t="s">
        <v>1558</v>
      </c>
      <c r="B473">
        <v>151388</v>
      </c>
      <c r="C473" t="s">
        <v>87</v>
      </c>
    </row>
    <row r="474" spans="1:3">
      <c r="A474" s="93" t="s">
        <v>1556</v>
      </c>
      <c r="B474">
        <v>151360</v>
      </c>
      <c r="C474" t="s">
        <v>87</v>
      </c>
    </row>
    <row r="475" spans="1:3">
      <c r="A475" s="93" t="s">
        <v>1546</v>
      </c>
      <c r="B475">
        <v>151102</v>
      </c>
      <c r="C475" t="s">
        <v>87</v>
      </c>
    </row>
    <row r="476" spans="1:3">
      <c r="A476" s="93" t="s">
        <v>1547</v>
      </c>
      <c r="B476">
        <v>151111</v>
      </c>
      <c r="C476" t="s">
        <v>87</v>
      </c>
    </row>
    <row r="477" spans="1:3">
      <c r="A477" s="93" t="s">
        <v>1554</v>
      </c>
      <c r="B477">
        <v>151342</v>
      </c>
      <c r="C477" t="s">
        <v>87</v>
      </c>
    </row>
    <row r="478" spans="1:3">
      <c r="A478" s="93" t="s">
        <v>1557</v>
      </c>
      <c r="B478">
        <v>151379</v>
      </c>
      <c r="C478" t="s">
        <v>87</v>
      </c>
    </row>
    <row r="479" spans="1:3">
      <c r="A479" s="93" t="s">
        <v>5678</v>
      </c>
      <c r="B479">
        <v>151801</v>
      </c>
      <c r="C479" t="s">
        <v>87</v>
      </c>
    </row>
    <row r="480" spans="1:3">
      <c r="A480" s="93" t="s">
        <v>2573</v>
      </c>
      <c r="B480">
        <v>191931</v>
      </c>
      <c r="C480" t="s">
        <v>87</v>
      </c>
    </row>
    <row r="481" spans="1:3">
      <c r="A481" s="93" t="s">
        <v>1620</v>
      </c>
      <c r="B481">
        <v>153603</v>
      </c>
      <c r="C481" t="s">
        <v>87</v>
      </c>
    </row>
    <row r="482" spans="1:3">
      <c r="A482" s="93" t="s">
        <v>2575</v>
      </c>
      <c r="B482">
        <v>191968</v>
      </c>
      <c r="C482" t="s">
        <v>87</v>
      </c>
    </row>
    <row r="483" spans="1:3">
      <c r="A483" s="93" t="s">
        <v>2181</v>
      </c>
      <c r="B483">
        <v>175856</v>
      </c>
      <c r="C483" t="s">
        <v>138</v>
      </c>
    </row>
    <row r="484" spans="1:3">
      <c r="A484" s="93" t="s">
        <v>642</v>
      </c>
      <c r="B484">
        <v>101480</v>
      </c>
      <c r="C484" t="s">
        <v>87</v>
      </c>
    </row>
    <row r="485" spans="1:3">
      <c r="A485" s="93" t="s">
        <v>1234</v>
      </c>
      <c r="B485">
        <v>134945</v>
      </c>
      <c r="C485" t="s">
        <v>87</v>
      </c>
    </row>
    <row r="486" spans="1:3">
      <c r="A486" s="93" t="s">
        <v>3770</v>
      </c>
      <c r="B486">
        <v>232423</v>
      </c>
      <c r="C486" t="s">
        <v>87</v>
      </c>
    </row>
    <row r="487" spans="1:3">
      <c r="A487" s="93" t="s">
        <v>5679</v>
      </c>
      <c r="B487">
        <v>200156</v>
      </c>
      <c r="C487" t="s">
        <v>87</v>
      </c>
    </row>
    <row r="488" spans="1:3">
      <c r="A488" s="93" t="s">
        <v>3755</v>
      </c>
      <c r="B488">
        <v>231837</v>
      </c>
      <c r="C488" t="s">
        <v>87</v>
      </c>
    </row>
    <row r="489" spans="1:3">
      <c r="A489" s="93" t="s">
        <v>747</v>
      </c>
      <c r="B489">
        <v>107141</v>
      </c>
      <c r="C489" t="s">
        <v>87</v>
      </c>
    </row>
    <row r="490" spans="1:3">
      <c r="A490" s="93" t="s">
        <v>2928</v>
      </c>
      <c r="B490">
        <v>203368</v>
      </c>
      <c r="C490" t="s">
        <v>87</v>
      </c>
    </row>
    <row r="491" spans="1:3">
      <c r="A491" s="93" t="s">
        <v>1877</v>
      </c>
      <c r="B491">
        <v>162928</v>
      </c>
      <c r="C491" t="s">
        <v>87</v>
      </c>
    </row>
    <row r="492" spans="1:3">
      <c r="A492" s="93" t="s">
        <v>2777</v>
      </c>
      <c r="B492">
        <v>198756</v>
      </c>
      <c r="C492" t="s">
        <v>138</v>
      </c>
    </row>
    <row r="493" spans="1:3">
      <c r="A493" s="93" t="s">
        <v>3732</v>
      </c>
      <c r="B493">
        <v>230913</v>
      </c>
      <c r="C493" t="s">
        <v>87</v>
      </c>
    </row>
    <row r="494" spans="1:3">
      <c r="A494" s="93" t="s">
        <v>5680</v>
      </c>
      <c r="B494">
        <v>101541</v>
      </c>
      <c r="C494" t="s">
        <v>87</v>
      </c>
    </row>
    <row r="495" spans="1:3">
      <c r="A495" s="93" t="s">
        <v>1457</v>
      </c>
      <c r="B495">
        <v>146339</v>
      </c>
      <c r="C495" t="s">
        <v>87</v>
      </c>
    </row>
    <row r="496" spans="1:3">
      <c r="A496" s="93" t="s">
        <v>3221</v>
      </c>
      <c r="B496">
        <v>213251</v>
      </c>
      <c r="C496" t="s">
        <v>87</v>
      </c>
    </row>
    <row r="497" spans="1:3">
      <c r="A497" s="93" t="s">
        <v>454</v>
      </c>
      <c r="B497">
        <v>170532</v>
      </c>
      <c r="C497" t="s">
        <v>87</v>
      </c>
    </row>
    <row r="498" spans="1:3">
      <c r="A498" s="93" t="s">
        <v>1696</v>
      </c>
      <c r="B498">
        <v>155399</v>
      </c>
      <c r="C498" t="s">
        <v>87</v>
      </c>
    </row>
    <row r="499" spans="1:3">
      <c r="A499" s="93" t="s">
        <v>1697</v>
      </c>
      <c r="B499">
        <v>155414</v>
      </c>
      <c r="C499" t="s">
        <v>87</v>
      </c>
    </row>
    <row r="500" spans="1:3">
      <c r="A500" s="93" t="s">
        <v>2411</v>
      </c>
      <c r="B500">
        <v>185262</v>
      </c>
      <c r="C500" t="s">
        <v>87</v>
      </c>
    </row>
    <row r="501" spans="1:3">
      <c r="A501" s="93" t="s">
        <v>2368</v>
      </c>
      <c r="B501">
        <v>183062</v>
      </c>
      <c r="C501" t="s">
        <v>87</v>
      </c>
    </row>
    <row r="502" spans="1:3">
      <c r="A502" s="93" t="s">
        <v>5479</v>
      </c>
      <c r="B502">
        <v>140164</v>
      </c>
      <c r="C502" t="s">
        <v>87</v>
      </c>
    </row>
    <row r="503" spans="1:3">
      <c r="A503" s="93" t="s">
        <v>2937</v>
      </c>
      <c r="B503">
        <v>203517</v>
      </c>
      <c r="C503" t="s">
        <v>87</v>
      </c>
    </row>
    <row r="504" spans="1:3">
      <c r="A504" s="93" t="s">
        <v>1753</v>
      </c>
      <c r="B504">
        <v>157100</v>
      </c>
      <c r="C504" t="s">
        <v>87</v>
      </c>
    </row>
    <row r="505" spans="1:3">
      <c r="A505" s="93" t="s">
        <v>1750</v>
      </c>
      <c r="B505">
        <v>157058</v>
      </c>
      <c r="C505" t="s">
        <v>138</v>
      </c>
    </row>
    <row r="506" spans="1:3">
      <c r="A506" s="93" t="s">
        <v>1751</v>
      </c>
      <c r="B506">
        <v>157076</v>
      </c>
      <c r="C506" t="s">
        <v>87</v>
      </c>
    </row>
    <row r="507" spans="1:3">
      <c r="A507" s="93" t="s">
        <v>2939</v>
      </c>
      <c r="B507">
        <v>203535</v>
      </c>
      <c r="C507" t="s">
        <v>87</v>
      </c>
    </row>
    <row r="508" spans="1:3">
      <c r="A508" s="93" t="s">
        <v>2037</v>
      </c>
      <c r="B508">
        <v>169983</v>
      </c>
      <c r="C508" t="s">
        <v>87</v>
      </c>
    </row>
    <row r="509" spans="1:3">
      <c r="A509" s="93" t="s">
        <v>2582</v>
      </c>
      <c r="B509">
        <v>192192</v>
      </c>
      <c r="C509" t="s">
        <v>87</v>
      </c>
    </row>
    <row r="510" spans="1:3">
      <c r="A510" s="93" t="s">
        <v>3222</v>
      </c>
      <c r="B510">
        <v>213303</v>
      </c>
      <c r="C510" t="s">
        <v>87</v>
      </c>
    </row>
    <row r="511" spans="1:3">
      <c r="A511" s="93" t="s">
        <v>5681</v>
      </c>
      <c r="B511">
        <v>220516</v>
      </c>
      <c r="C511" t="s">
        <v>87</v>
      </c>
    </row>
    <row r="512" spans="1:3">
      <c r="A512" s="93" t="s">
        <v>3223</v>
      </c>
      <c r="B512">
        <v>213321</v>
      </c>
      <c r="C512" t="s">
        <v>87</v>
      </c>
    </row>
    <row r="513" spans="1:3">
      <c r="A513" s="93" t="s">
        <v>459</v>
      </c>
      <c r="B513">
        <v>146427</v>
      </c>
      <c r="C513" t="s">
        <v>87</v>
      </c>
    </row>
    <row r="514" spans="1:3">
      <c r="A514" s="93" t="s">
        <v>3224</v>
      </c>
      <c r="B514">
        <v>213349</v>
      </c>
      <c r="C514" t="s">
        <v>87</v>
      </c>
    </row>
    <row r="515" spans="1:3">
      <c r="A515" s="93" t="s">
        <v>2072</v>
      </c>
      <c r="B515">
        <v>171881</v>
      </c>
      <c r="C515" t="s">
        <v>87</v>
      </c>
    </row>
    <row r="516" spans="1:3">
      <c r="A516" s="93" t="s">
        <v>3225</v>
      </c>
      <c r="B516">
        <v>213358</v>
      </c>
      <c r="C516" t="s">
        <v>87</v>
      </c>
    </row>
    <row r="517" spans="1:3">
      <c r="A517" s="93" t="s">
        <v>3226</v>
      </c>
      <c r="B517">
        <v>213367</v>
      </c>
      <c r="C517" t="s">
        <v>87</v>
      </c>
    </row>
    <row r="518" spans="1:3">
      <c r="A518" s="93" t="s">
        <v>913</v>
      </c>
      <c r="B518">
        <v>117627</v>
      </c>
      <c r="C518" t="s">
        <v>87</v>
      </c>
    </row>
    <row r="519" spans="1:3">
      <c r="A519" s="93" t="s">
        <v>466</v>
      </c>
      <c r="B519">
        <v>213385</v>
      </c>
      <c r="C519" t="s">
        <v>87</v>
      </c>
    </row>
    <row r="520" spans="1:3">
      <c r="A520" s="93" t="s">
        <v>1347</v>
      </c>
      <c r="B520">
        <v>140234</v>
      </c>
      <c r="C520" t="s">
        <v>87</v>
      </c>
    </row>
    <row r="521" spans="1:3">
      <c r="A521" s="93" t="s">
        <v>2941</v>
      </c>
      <c r="B521">
        <v>203580</v>
      </c>
      <c r="C521" t="s">
        <v>87</v>
      </c>
    </row>
    <row r="522" spans="1:3">
      <c r="A522" s="93" t="s">
        <v>540</v>
      </c>
      <c r="B522">
        <v>146481</v>
      </c>
      <c r="C522" t="s">
        <v>87</v>
      </c>
    </row>
    <row r="523" spans="1:3">
      <c r="A523" s="93" t="s">
        <v>2050</v>
      </c>
      <c r="B523">
        <v>170639</v>
      </c>
      <c r="C523" t="s">
        <v>87</v>
      </c>
    </row>
    <row r="524" spans="1:3">
      <c r="A524" s="93" t="s">
        <v>5682</v>
      </c>
      <c r="B524">
        <v>238980</v>
      </c>
      <c r="C524" t="s">
        <v>87</v>
      </c>
    </row>
    <row r="525" spans="1:3">
      <c r="A525" s="93" t="s">
        <v>3613</v>
      </c>
      <c r="B525">
        <v>226091</v>
      </c>
      <c r="C525" t="s">
        <v>87</v>
      </c>
    </row>
    <row r="526" spans="1:3">
      <c r="A526" s="93" t="s">
        <v>5683</v>
      </c>
      <c r="B526">
        <v>220589</v>
      </c>
    </row>
    <row r="527" spans="1:3">
      <c r="A527" s="93" t="s">
        <v>3399</v>
      </c>
      <c r="B527">
        <v>218229</v>
      </c>
      <c r="C527" t="s">
        <v>87</v>
      </c>
    </row>
    <row r="528" spans="1:3">
      <c r="A528" s="93" t="s">
        <v>3492</v>
      </c>
      <c r="B528">
        <v>220598</v>
      </c>
      <c r="C528" t="s">
        <v>138</v>
      </c>
    </row>
    <row r="529" spans="1:3">
      <c r="A529" s="93" t="s">
        <v>3054</v>
      </c>
      <c r="B529">
        <v>207209</v>
      </c>
      <c r="C529" t="s">
        <v>138</v>
      </c>
    </row>
    <row r="530" spans="1:3">
      <c r="A530" s="93" t="s">
        <v>1952</v>
      </c>
      <c r="B530">
        <v>166391</v>
      </c>
      <c r="C530" t="s">
        <v>87</v>
      </c>
    </row>
    <row r="531" spans="1:3">
      <c r="A531" s="93" t="s">
        <v>3937</v>
      </c>
      <c r="B531">
        <v>239017</v>
      </c>
      <c r="C531" t="s">
        <v>87</v>
      </c>
    </row>
    <row r="532" spans="1:3">
      <c r="A532" s="93" t="s">
        <v>2584</v>
      </c>
      <c r="B532">
        <v>192323</v>
      </c>
      <c r="C532" t="s">
        <v>87</v>
      </c>
    </row>
    <row r="533" spans="1:3">
      <c r="A533" s="93" t="s">
        <v>3493</v>
      </c>
      <c r="B533">
        <v>220604</v>
      </c>
      <c r="C533" t="s">
        <v>138</v>
      </c>
    </row>
    <row r="534" spans="1:3">
      <c r="A534" s="93" t="s">
        <v>3231</v>
      </c>
      <c r="B534">
        <v>213507</v>
      </c>
      <c r="C534" t="s">
        <v>87</v>
      </c>
    </row>
    <row r="535" spans="1:3">
      <c r="A535" s="93" t="s">
        <v>3494</v>
      </c>
      <c r="B535">
        <v>220613</v>
      </c>
      <c r="C535" t="s">
        <v>87</v>
      </c>
    </row>
    <row r="536" spans="1:3">
      <c r="A536" s="93" t="s">
        <v>2779</v>
      </c>
      <c r="B536">
        <v>198808</v>
      </c>
      <c r="C536" t="s">
        <v>87</v>
      </c>
    </row>
    <row r="537" spans="1:3">
      <c r="A537" s="93" t="s">
        <v>3234</v>
      </c>
      <c r="B537">
        <v>213543</v>
      </c>
      <c r="C537" t="s">
        <v>87</v>
      </c>
    </row>
    <row r="538" spans="1:3">
      <c r="A538" s="93" t="s">
        <v>2781</v>
      </c>
      <c r="B538">
        <v>198835</v>
      </c>
      <c r="C538" t="s">
        <v>87</v>
      </c>
    </row>
    <row r="539" spans="1:3">
      <c r="A539" s="93" t="s">
        <v>1954</v>
      </c>
      <c r="B539">
        <v>166452</v>
      </c>
      <c r="C539" t="s">
        <v>87</v>
      </c>
    </row>
    <row r="540" spans="1:3">
      <c r="A540" s="93" t="s">
        <v>3619</v>
      </c>
      <c r="B540">
        <v>226231</v>
      </c>
      <c r="C540" t="s">
        <v>87</v>
      </c>
    </row>
    <row r="541" spans="1:3">
      <c r="A541" s="93" t="s">
        <v>508</v>
      </c>
      <c r="B541">
        <v>209056</v>
      </c>
      <c r="C541" t="s">
        <v>87</v>
      </c>
    </row>
    <row r="542" spans="1:3">
      <c r="A542" s="93" t="s">
        <v>554</v>
      </c>
      <c r="B542">
        <v>146612</v>
      </c>
      <c r="C542" t="s">
        <v>87</v>
      </c>
    </row>
    <row r="543" spans="1:3">
      <c r="A543" s="93" t="s">
        <v>1395</v>
      </c>
      <c r="B543">
        <v>142328</v>
      </c>
      <c r="C543" t="s">
        <v>87</v>
      </c>
    </row>
    <row r="544" spans="1:3">
      <c r="A544" s="93" t="s">
        <v>5684</v>
      </c>
      <c r="B544">
        <v>146621</v>
      </c>
      <c r="C544" t="s">
        <v>87</v>
      </c>
    </row>
    <row r="545" spans="1:3">
      <c r="A545" s="93" t="s">
        <v>3773</v>
      </c>
      <c r="B545">
        <v>232557</v>
      </c>
      <c r="C545" t="s">
        <v>87</v>
      </c>
    </row>
    <row r="546" spans="1:3">
      <c r="A546" s="93" t="s">
        <v>1349</v>
      </c>
      <c r="B546">
        <v>140252</v>
      </c>
      <c r="C546" t="s">
        <v>87</v>
      </c>
    </row>
    <row r="547" spans="1:3">
      <c r="A547" s="93" t="s">
        <v>2583</v>
      </c>
      <c r="B547">
        <v>192271</v>
      </c>
      <c r="C547" t="s">
        <v>87</v>
      </c>
    </row>
    <row r="548" spans="1:3">
      <c r="A548" s="93" t="s">
        <v>3400</v>
      </c>
      <c r="B548">
        <v>218238</v>
      </c>
      <c r="C548" t="s">
        <v>87</v>
      </c>
    </row>
    <row r="549" spans="1:3">
      <c r="A549" s="93" t="s">
        <v>1467</v>
      </c>
      <c r="B549">
        <v>146676</v>
      </c>
      <c r="C549" t="s">
        <v>87</v>
      </c>
    </row>
    <row r="550" spans="1:3">
      <c r="A550" s="93" t="s">
        <v>3495</v>
      </c>
      <c r="B550">
        <v>220631</v>
      </c>
      <c r="C550" t="s">
        <v>87</v>
      </c>
    </row>
    <row r="551" spans="1:3">
      <c r="A551" s="93" t="s">
        <v>5685</v>
      </c>
      <c r="B551">
        <v>213598</v>
      </c>
      <c r="C551" t="s">
        <v>138</v>
      </c>
    </row>
    <row r="552" spans="1:3">
      <c r="A552" s="93" t="s">
        <v>2237</v>
      </c>
      <c r="B552">
        <v>177968</v>
      </c>
      <c r="C552" t="s">
        <v>87</v>
      </c>
    </row>
    <row r="553" spans="1:3">
      <c r="A553" s="93" t="s">
        <v>1755</v>
      </c>
      <c r="B553">
        <v>157216</v>
      </c>
      <c r="C553" t="s">
        <v>87</v>
      </c>
    </row>
    <row r="554" spans="1:3">
      <c r="A554" s="93" t="s">
        <v>5686</v>
      </c>
      <c r="B554">
        <v>209065</v>
      </c>
      <c r="C554" t="s">
        <v>87</v>
      </c>
    </row>
    <row r="555" spans="1:3">
      <c r="A555" s="93" t="s">
        <v>3472</v>
      </c>
      <c r="B555">
        <v>219976</v>
      </c>
      <c r="C555" t="s">
        <v>87</v>
      </c>
    </row>
    <row r="556" spans="1:3">
      <c r="A556" s="93" t="s">
        <v>2782</v>
      </c>
      <c r="B556">
        <v>198862</v>
      </c>
      <c r="C556" t="s">
        <v>138</v>
      </c>
    </row>
    <row r="557" spans="1:3">
      <c r="A557" s="93" t="s">
        <v>3237</v>
      </c>
      <c r="B557">
        <v>213613</v>
      </c>
      <c r="C557" t="s">
        <v>87</v>
      </c>
    </row>
    <row r="558" spans="1:3">
      <c r="A558" s="93" t="s">
        <v>5687</v>
      </c>
      <c r="B558">
        <v>192439</v>
      </c>
      <c r="C558" t="s">
        <v>87</v>
      </c>
    </row>
    <row r="559" spans="1:3">
      <c r="A559" s="93" t="s">
        <v>5688</v>
      </c>
      <c r="B559">
        <v>192448</v>
      </c>
      <c r="C559" t="s">
        <v>87</v>
      </c>
    </row>
    <row r="560" spans="1:3">
      <c r="A560" s="93" t="s">
        <v>3774</v>
      </c>
      <c r="B560">
        <v>232566</v>
      </c>
      <c r="C560" t="s">
        <v>87</v>
      </c>
    </row>
    <row r="561" spans="1:3">
      <c r="A561" s="93" t="s">
        <v>1629</v>
      </c>
      <c r="B561">
        <v>153825</v>
      </c>
      <c r="C561" t="s">
        <v>87</v>
      </c>
    </row>
    <row r="562" spans="1:3">
      <c r="A562" s="93" t="s">
        <v>1803</v>
      </c>
      <c r="B562">
        <v>159568</v>
      </c>
      <c r="C562" t="s">
        <v>87</v>
      </c>
    </row>
    <row r="563" spans="1:3">
      <c r="A563" s="93" t="s">
        <v>1800</v>
      </c>
      <c r="B563">
        <v>159391</v>
      </c>
      <c r="C563" t="s">
        <v>87</v>
      </c>
    </row>
    <row r="564" spans="1:3">
      <c r="A564" s="93" t="s">
        <v>1804</v>
      </c>
      <c r="B564">
        <v>159647</v>
      </c>
      <c r="C564" t="s">
        <v>87</v>
      </c>
    </row>
    <row r="565" spans="1:3">
      <c r="A565" s="93" t="s">
        <v>5689</v>
      </c>
      <c r="B565">
        <v>203757</v>
      </c>
      <c r="C565" t="s">
        <v>87</v>
      </c>
    </row>
    <row r="566" spans="1:3">
      <c r="A566" s="93" t="s">
        <v>499</v>
      </c>
      <c r="B566">
        <v>117946</v>
      </c>
      <c r="C566" t="s">
        <v>87</v>
      </c>
    </row>
    <row r="567" spans="1:3">
      <c r="A567" s="93" t="s">
        <v>5690</v>
      </c>
      <c r="B567">
        <v>163046</v>
      </c>
      <c r="C567" t="s">
        <v>87</v>
      </c>
    </row>
    <row r="568" spans="1:3">
      <c r="A568" s="93" t="s">
        <v>5691</v>
      </c>
      <c r="B568">
        <v>146719</v>
      </c>
      <c r="C568" t="s">
        <v>87</v>
      </c>
    </row>
    <row r="569" spans="1:3">
      <c r="A569" s="93" t="s">
        <v>5692</v>
      </c>
      <c r="B569">
        <v>159656</v>
      </c>
      <c r="C569" t="s">
        <v>87</v>
      </c>
    </row>
    <row r="570" spans="1:3">
      <c r="A570" s="93" t="s">
        <v>3621</v>
      </c>
      <c r="B570">
        <v>226383</v>
      </c>
      <c r="C570" t="s">
        <v>87</v>
      </c>
    </row>
    <row r="571" spans="1:3">
      <c r="A571" s="93" t="s">
        <v>461</v>
      </c>
      <c r="B571">
        <v>153834</v>
      </c>
      <c r="C571" t="s">
        <v>87</v>
      </c>
    </row>
    <row r="572" spans="1:3">
      <c r="A572" s="93" t="s">
        <v>456</v>
      </c>
      <c r="B572">
        <v>213668</v>
      </c>
      <c r="C572" t="s">
        <v>87</v>
      </c>
    </row>
    <row r="573" spans="1:3">
      <c r="A573" s="93" t="s">
        <v>5693</v>
      </c>
      <c r="B573">
        <v>129686</v>
      </c>
      <c r="C573" t="s">
        <v>87</v>
      </c>
    </row>
    <row r="574" spans="1:3">
      <c r="A574" s="93" t="s">
        <v>3776</v>
      </c>
      <c r="B574">
        <v>232609</v>
      </c>
      <c r="C574" t="s">
        <v>87</v>
      </c>
    </row>
    <row r="575" spans="1:3">
      <c r="A575" s="93" t="s">
        <v>3733</v>
      </c>
      <c r="B575">
        <v>230931</v>
      </c>
      <c r="C575" t="s">
        <v>87</v>
      </c>
    </row>
    <row r="576" spans="1:3">
      <c r="A576" s="93" t="s">
        <v>1186</v>
      </c>
      <c r="B576">
        <v>132657</v>
      </c>
      <c r="C576" t="s">
        <v>87</v>
      </c>
    </row>
    <row r="577" spans="1:3">
      <c r="A577" s="93" t="s">
        <v>727</v>
      </c>
      <c r="B577">
        <v>106342</v>
      </c>
      <c r="C577" t="s">
        <v>87</v>
      </c>
    </row>
    <row r="578" spans="1:3">
      <c r="A578" s="93" t="s">
        <v>482</v>
      </c>
      <c r="B578">
        <v>173902</v>
      </c>
      <c r="C578" t="s">
        <v>87</v>
      </c>
    </row>
    <row r="579" spans="1:3">
      <c r="A579" s="93" t="s">
        <v>1473</v>
      </c>
      <c r="B579">
        <v>146825</v>
      </c>
      <c r="C579" t="s">
        <v>87</v>
      </c>
    </row>
    <row r="580" spans="1:3">
      <c r="A580" s="93" t="s">
        <v>5694</v>
      </c>
      <c r="B580">
        <v>140322</v>
      </c>
    </row>
    <row r="581" spans="1:3">
      <c r="A581" s="93" t="s">
        <v>2054</v>
      </c>
      <c r="B581">
        <v>170806</v>
      </c>
      <c r="C581" t="s">
        <v>87</v>
      </c>
    </row>
    <row r="582" spans="1:3">
      <c r="A582" s="93" t="s">
        <v>1630</v>
      </c>
      <c r="B582">
        <v>153861</v>
      </c>
      <c r="C582" t="s">
        <v>87</v>
      </c>
    </row>
    <row r="583" spans="1:3">
      <c r="A583" s="93" t="s">
        <v>1845</v>
      </c>
      <c r="B583">
        <v>161299</v>
      </c>
      <c r="C583" t="s">
        <v>87</v>
      </c>
    </row>
    <row r="584" spans="1:3">
      <c r="A584" s="93" t="s">
        <v>2949</v>
      </c>
      <c r="B584">
        <v>203775</v>
      </c>
      <c r="C584" t="s">
        <v>87</v>
      </c>
    </row>
    <row r="585" spans="1:3">
      <c r="A585" s="93" t="s">
        <v>5695</v>
      </c>
      <c r="B585">
        <v>151777</v>
      </c>
      <c r="C585" t="s">
        <v>87</v>
      </c>
    </row>
    <row r="586" spans="1:3">
      <c r="A586" s="93" t="s">
        <v>2592</v>
      </c>
      <c r="B586">
        <v>192703</v>
      </c>
      <c r="C586" t="s">
        <v>87</v>
      </c>
    </row>
    <row r="587" spans="1:3">
      <c r="A587" s="93" t="s">
        <v>2594</v>
      </c>
      <c r="B587">
        <v>192749</v>
      </c>
      <c r="C587" t="s">
        <v>87</v>
      </c>
    </row>
    <row r="588" spans="1:3">
      <c r="A588" s="93" t="s">
        <v>3243</v>
      </c>
      <c r="B588">
        <v>213783</v>
      </c>
      <c r="C588" t="s">
        <v>87</v>
      </c>
    </row>
    <row r="589" spans="1:3">
      <c r="A589" s="93" t="s">
        <v>5696</v>
      </c>
      <c r="B589">
        <v>239071</v>
      </c>
      <c r="C589" t="s">
        <v>87</v>
      </c>
    </row>
    <row r="590" spans="1:3">
      <c r="A590" s="93" t="s">
        <v>551</v>
      </c>
      <c r="B590">
        <v>151786</v>
      </c>
      <c r="C590" t="s">
        <v>87</v>
      </c>
    </row>
    <row r="591" spans="1:3">
      <c r="A591" s="93" t="s">
        <v>551</v>
      </c>
      <c r="B591">
        <v>239080</v>
      </c>
      <c r="C591" t="s">
        <v>87</v>
      </c>
    </row>
    <row r="592" spans="1:3">
      <c r="A592" s="93" t="s">
        <v>2950</v>
      </c>
      <c r="B592">
        <v>203845</v>
      </c>
      <c r="C592" t="s">
        <v>87</v>
      </c>
    </row>
    <row r="593" spans="1:3">
      <c r="A593" s="93" t="s">
        <v>580</v>
      </c>
      <c r="B593">
        <v>192819</v>
      </c>
      <c r="C593" t="s">
        <v>87</v>
      </c>
    </row>
    <row r="594" spans="1:3">
      <c r="A594" s="93" t="s">
        <v>3734</v>
      </c>
      <c r="B594">
        <v>230940</v>
      </c>
      <c r="C594" t="s">
        <v>87</v>
      </c>
    </row>
    <row r="595" spans="1:3">
      <c r="A595" s="93" t="s">
        <v>3939</v>
      </c>
      <c r="B595">
        <v>239105</v>
      </c>
      <c r="C595" t="s">
        <v>87</v>
      </c>
    </row>
    <row r="596" spans="1:3">
      <c r="A596" s="93" t="s">
        <v>5697</v>
      </c>
      <c r="B596">
        <v>198899</v>
      </c>
      <c r="C596" t="s">
        <v>87</v>
      </c>
    </row>
    <row r="597" spans="1:3">
      <c r="A597" s="93" t="s">
        <v>3895</v>
      </c>
      <c r="B597">
        <v>237525</v>
      </c>
      <c r="C597" t="s">
        <v>87</v>
      </c>
    </row>
    <row r="598" spans="1:3">
      <c r="A598" s="93" t="s">
        <v>2103</v>
      </c>
      <c r="B598">
        <v>173452</v>
      </c>
      <c r="C598" t="s">
        <v>87</v>
      </c>
    </row>
    <row r="599" spans="1:3">
      <c r="A599" s="93" t="s">
        <v>5698</v>
      </c>
      <c r="B599">
        <v>232672</v>
      </c>
      <c r="C599" t="s">
        <v>87</v>
      </c>
    </row>
    <row r="600" spans="1:3">
      <c r="A600" s="93" t="s">
        <v>2055</v>
      </c>
      <c r="B600">
        <v>170842</v>
      </c>
      <c r="C600" t="s">
        <v>87</v>
      </c>
    </row>
    <row r="601" spans="1:3">
      <c r="A601" s="93" t="s">
        <v>2596</v>
      </c>
      <c r="B601">
        <v>192864</v>
      </c>
      <c r="C601" t="s">
        <v>87</v>
      </c>
    </row>
    <row r="602" spans="1:3">
      <c r="A602" s="93" t="s">
        <v>3780</v>
      </c>
      <c r="B602">
        <v>232706</v>
      </c>
      <c r="C602" t="s">
        <v>87</v>
      </c>
    </row>
    <row r="603" spans="1:3">
      <c r="A603" s="93" t="s">
        <v>3498</v>
      </c>
      <c r="B603">
        <v>220710</v>
      </c>
      <c r="C603" t="s">
        <v>87</v>
      </c>
    </row>
    <row r="604" spans="1:3">
      <c r="A604" s="93" t="s">
        <v>2242</v>
      </c>
      <c r="B604">
        <v>178059</v>
      </c>
      <c r="C604" t="s">
        <v>87</v>
      </c>
    </row>
    <row r="605" spans="1:3">
      <c r="A605" s="93" t="s">
        <v>3244</v>
      </c>
      <c r="B605">
        <v>213826</v>
      </c>
      <c r="C605" t="s">
        <v>87</v>
      </c>
    </row>
    <row r="606" spans="1:3">
      <c r="A606" s="93" t="s">
        <v>1979</v>
      </c>
      <c r="B606">
        <v>167288</v>
      </c>
      <c r="C606" t="s">
        <v>87</v>
      </c>
    </row>
    <row r="607" spans="1:3">
      <c r="A607" s="93" t="s">
        <v>1962</v>
      </c>
      <c r="B607">
        <v>166683</v>
      </c>
      <c r="C607" t="s">
        <v>87</v>
      </c>
    </row>
    <row r="608" spans="1:3">
      <c r="A608" s="93" t="s">
        <v>1963</v>
      </c>
      <c r="B608">
        <v>166692</v>
      </c>
      <c r="C608" t="s">
        <v>87</v>
      </c>
    </row>
    <row r="609" spans="1:3">
      <c r="A609" s="93" t="s">
        <v>1902</v>
      </c>
      <c r="B609">
        <v>164270</v>
      </c>
      <c r="C609" t="s">
        <v>87</v>
      </c>
    </row>
    <row r="610" spans="1:3">
      <c r="A610" s="93" t="s">
        <v>1476</v>
      </c>
      <c r="B610">
        <v>147013</v>
      </c>
      <c r="C610" t="s">
        <v>87</v>
      </c>
    </row>
    <row r="611" spans="1:3">
      <c r="A611" s="93" t="s">
        <v>3625</v>
      </c>
      <c r="B611">
        <v>226587</v>
      </c>
      <c r="C611" t="s">
        <v>87</v>
      </c>
    </row>
    <row r="612" spans="1:3">
      <c r="A612" s="93" t="s">
        <v>1806</v>
      </c>
      <c r="B612">
        <v>159717</v>
      </c>
      <c r="C612" t="s">
        <v>87</v>
      </c>
    </row>
    <row r="613" spans="1:3">
      <c r="A613" s="93" t="s">
        <v>1701</v>
      </c>
      <c r="B613">
        <v>155511</v>
      </c>
      <c r="C613" t="s">
        <v>87</v>
      </c>
    </row>
    <row r="614" spans="1:3">
      <c r="A614" s="93" t="s">
        <v>2597</v>
      </c>
      <c r="B614">
        <v>192925</v>
      </c>
      <c r="C614" t="s">
        <v>87</v>
      </c>
    </row>
    <row r="615" spans="1:3">
      <c r="A615" s="93" t="s">
        <v>935</v>
      </c>
      <c r="B615">
        <v>118693</v>
      </c>
      <c r="C615" t="s">
        <v>87</v>
      </c>
    </row>
    <row r="616" spans="1:3">
      <c r="A616" s="93" t="s">
        <v>1352</v>
      </c>
      <c r="B616">
        <v>140447</v>
      </c>
      <c r="C616" t="s">
        <v>87</v>
      </c>
    </row>
    <row r="617" spans="1:3">
      <c r="A617" s="93" t="s">
        <v>5699</v>
      </c>
      <c r="B617">
        <v>213987</v>
      </c>
      <c r="C617" t="s">
        <v>87</v>
      </c>
    </row>
    <row r="618" spans="1:3">
      <c r="A618" s="93" t="s">
        <v>5700</v>
      </c>
      <c r="B618">
        <v>198950</v>
      </c>
      <c r="C618" t="s">
        <v>87</v>
      </c>
    </row>
    <row r="619" spans="1:3">
      <c r="A619" s="93" t="s">
        <v>1967</v>
      </c>
      <c r="B619">
        <v>166850</v>
      </c>
      <c r="C619" t="s">
        <v>87</v>
      </c>
    </row>
    <row r="620" spans="1:3">
      <c r="A620" s="93" t="s">
        <v>5701</v>
      </c>
      <c r="B620">
        <v>127556</v>
      </c>
      <c r="C620" t="s">
        <v>87</v>
      </c>
    </row>
    <row r="621" spans="1:3">
      <c r="A621" s="93" t="s">
        <v>3249</v>
      </c>
      <c r="B621">
        <v>213996</v>
      </c>
      <c r="C621" t="s">
        <v>87</v>
      </c>
    </row>
    <row r="622" spans="1:3">
      <c r="A622" s="93" t="s">
        <v>2790</v>
      </c>
      <c r="B622">
        <v>198969</v>
      </c>
      <c r="C622" t="s">
        <v>87</v>
      </c>
    </row>
    <row r="623" spans="1:3">
      <c r="A623" s="93" t="s">
        <v>2518</v>
      </c>
      <c r="B623">
        <v>190114</v>
      </c>
      <c r="C623" t="s">
        <v>87</v>
      </c>
    </row>
    <row r="624" spans="1:3">
      <c r="A624" s="93" t="s">
        <v>5702</v>
      </c>
      <c r="B624">
        <v>127565</v>
      </c>
      <c r="C624" t="s">
        <v>87</v>
      </c>
    </row>
    <row r="625" spans="1:3">
      <c r="A625" s="93" t="s">
        <v>2956</v>
      </c>
      <c r="B625">
        <v>204024</v>
      </c>
      <c r="C625" t="s">
        <v>87</v>
      </c>
    </row>
    <row r="626" spans="1:3">
      <c r="A626" s="93" t="s">
        <v>552</v>
      </c>
      <c r="B626">
        <v>171100</v>
      </c>
      <c r="C626" t="s">
        <v>87</v>
      </c>
    </row>
    <row r="627" spans="1:3">
      <c r="A627" s="93" t="s">
        <v>2059</v>
      </c>
      <c r="B627">
        <v>171128</v>
      </c>
      <c r="C627" t="s">
        <v>87</v>
      </c>
    </row>
    <row r="628" spans="1:3">
      <c r="A628" s="93" t="s">
        <v>1702</v>
      </c>
      <c r="B628">
        <v>155520</v>
      </c>
      <c r="C628" t="s">
        <v>87</v>
      </c>
    </row>
    <row r="629" spans="1:3">
      <c r="A629" s="93" t="s">
        <v>2816</v>
      </c>
      <c r="B629">
        <v>199458</v>
      </c>
      <c r="C629" t="s">
        <v>87</v>
      </c>
    </row>
    <row r="630" spans="1:3">
      <c r="A630" s="93" t="s">
        <v>3505</v>
      </c>
      <c r="B630">
        <v>220978</v>
      </c>
      <c r="C630" t="s">
        <v>87</v>
      </c>
    </row>
    <row r="631" spans="1:3">
      <c r="A631" s="93" t="s">
        <v>3735</v>
      </c>
      <c r="B631">
        <v>230959</v>
      </c>
      <c r="C631" t="s">
        <v>87</v>
      </c>
    </row>
    <row r="632" spans="1:3">
      <c r="A632" s="93" t="s">
        <v>2333</v>
      </c>
      <c r="B632">
        <v>181330</v>
      </c>
      <c r="C632" t="s">
        <v>87</v>
      </c>
    </row>
    <row r="633" spans="1:3">
      <c r="A633" s="93" t="s">
        <v>5703</v>
      </c>
      <c r="B633">
        <v>157377</v>
      </c>
      <c r="C633" t="s">
        <v>87</v>
      </c>
    </row>
    <row r="634" spans="1:3">
      <c r="A634" s="93" t="s">
        <v>3628</v>
      </c>
      <c r="B634">
        <v>226833</v>
      </c>
      <c r="C634" t="s">
        <v>87</v>
      </c>
    </row>
    <row r="635" spans="1:3">
      <c r="A635" s="93" t="s">
        <v>3251</v>
      </c>
      <c r="B635">
        <v>214041</v>
      </c>
      <c r="C635" t="s">
        <v>87</v>
      </c>
    </row>
    <row r="636" spans="1:3">
      <c r="A636" s="93" t="s">
        <v>5481</v>
      </c>
      <c r="B636">
        <v>221014</v>
      </c>
      <c r="C636" t="s">
        <v>87</v>
      </c>
    </row>
    <row r="637" spans="1:3">
      <c r="A637" s="93" t="s">
        <v>549</v>
      </c>
      <c r="B637">
        <v>147244</v>
      </c>
      <c r="C637" t="s">
        <v>87</v>
      </c>
    </row>
    <row r="638" spans="1:3">
      <c r="A638" s="93" t="s">
        <v>938</v>
      </c>
      <c r="B638">
        <v>118888</v>
      </c>
      <c r="C638" t="s">
        <v>87</v>
      </c>
    </row>
    <row r="639" spans="1:3">
      <c r="A639" s="93" t="s">
        <v>2184</v>
      </c>
      <c r="B639">
        <v>175980</v>
      </c>
      <c r="C639" t="s">
        <v>87</v>
      </c>
    </row>
    <row r="640" spans="1:3">
      <c r="A640" s="93" t="s">
        <v>3944</v>
      </c>
      <c r="B640">
        <v>239318</v>
      </c>
      <c r="C640" t="s">
        <v>87</v>
      </c>
    </row>
    <row r="641" spans="1:3">
      <c r="A641" s="93" t="s">
        <v>2118</v>
      </c>
      <c r="B641">
        <v>173920</v>
      </c>
      <c r="C641" t="s">
        <v>87</v>
      </c>
    </row>
    <row r="642" spans="1:3">
      <c r="A642" s="93" t="s">
        <v>5704</v>
      </c>
      <c r="B642">
        <v>174358</v>
      </c>
      <c r="C642" t="s">
        <v>87</v>
      </c>
    </row>
    <row r="643" spans="1:3">
      <c r="A643" s="93" t="s">
        <v>2856</v>
      </c>
      <c r="B643">
        <v>200253</v>
      </c>
      <c r="C643" t="s">
        <v>87</v>
      </c>
    </row>
    <row r="644" spans="1:3">
      <c r="A644" s="93" t="s">
        <v>3252</v>
      </c>
      <c r="B644">
        <v>214069</v>
      </c>
      <c r="C644" t="s">
        <v>87</v>
      </c>
    </row>
    <row r="645" spans="1:3">
      <c r="A645" s="93" t="s">
        <v>2189</v>
      </c>
      <c r="B645">
        <v>176053</v>
      </c>
      <c r="C645" t="s">
        <v>87</v>
      </c>
    </row>
    <row r="646" spans="1:3">
      <c r="A646" s="93" t="s">
        <v>2191</v>
      </c>
      <c r="B646">
        <v>176080</v>
      </c>
      <c r="C646" t="s">
        <v>87</v>
      </c>
    </row>
    <row r="647" spans="1:3">
      <c r="A647" s="93" t="s">
        <v>2187</v>
      </c>
      <c r="B647">
        <v>176035</v>
      </c>
      <c r="C647" t="s">
        <v>87</v>
      </c>
    </row>
    <row r="648" spans="1:3">
      <c r="A648" s="93" t="s">
        <v>2188</v>
      </c>
      <c r="B648">
        <v>176044</v>
      </c>
      <c r="C648" t="s">
        <v>138</v>
      </c>
    </row>
    <row r="649" spans="1:3">
      <c r="A649" s="93" t="s">
        <v>2247</v>
      </c>
      <c r="B649">
        <v>178244</v>
      </c>
      <c r="C649" t="s">
        <v>87</v>
      </c>
    </row>
    <row r="650" spans="1:3">
      <c r="A650" s="93" t="s">
        <v>2248</v>
      </c>
      <c r="B650">
        <v>178341</v>
      </c>
      <c r="C650" t="s">
        <v>87</v>
      </c>
    </row>
    <row r="651" spans="1:3">
      <c r="A651" s="93" t="s">
        <v>2281</v>
      </c>
      <c r="B651">
        <v>179566</v>
      </c>
      <c r="C651" t="s">
        <v>87</v>
      </c>
    </row>
    <row r="652" spans="1:3">
      <c r="A652" s="93" t="s">
        <v>2253</v>
      </c>
      <c r="B652">
        <v>178411</v>
      </c>
      <c r="C652" t="s">
        <v>87</v>
      </c>
    </row>
    <row r="653" spans="1:3">
      <c r="A653" s="93" t="s">
        <v>2249</v>
      </c>
      <c r="B653">
        <v>178369</v>
      </c>
      <c r="C653" t="s">
        <v>87</v>
      </c>
    </row>
    <row r="654" spans="1:3">
      <c r="A654" s="93" t="s">
        <v>1141</v>
      </c>
      <c r="B654">
        <v>129774</v>
      </c>
      <c r="C654" t="s">
        <v>87</v>
      </c>
    </row>
    <row r="655" spans="1:3">
      <c r="A655" s="93" t="s">
        <v>2607</v>
      </c>
      <c r="B655">
        <v>193292</v>
      </c>
      <c r="C655" t="s">
        <v>87</v>
      </c>
    </row>
    <row r="656" spans="1:3">
      <c r="A656" s="93" t="s">
        <v>509</v>
      </c>
      <c r="B656">
        <v>147341</v>
      </c>
      <c r="C656" t="s">
        <v>87</v>
      </c>
    </row>
    <row r="657" spans="1:3">
      <c r="A657" s="93" t="s">
        <v>2414</v>
      </c>
      <c r="B657">
        <v>185572</v>
      </c>
      <c r="C657" t="s">
        <v>87</v>
      </c>
    </row>
    <row r="658" spans="1:3">
      <c r="A658" s="93" t="s">
        <v>5705</v>
      </c>
      <c r="B658">
        <v>193308</v>
      </c>
      <c r="C658" t="s">
        <v>87</v>
      </c>
    </row>
    <row r="659" spans="1:3">
      <c r="A659" s="93" t="s">
        <v>2308</v>
      </c>
      <c r="B659">
        <v>180461</v>
      </c>
      <c r="C659" t="s">
        <v>87</v>
      </c>
    </row>
    <row r="660" spans="1:3">
      <c r="A660" s="93" t="s">
        <v>2298</v>
      </c>
      <c r="B660">
        <v>180179</v>
      </c>
      <c r="C660" t="s">
        <v>87</v>
      </c>
    </row>
    <row r="661" spans="1:3">
      <c r="A661" s="93" t="s">
        <v>2307</v>
      </c>
      <c r="B661">
        <v>180416</v>
      </c>
      <c r="C661" t="s">
        <v>87</v>
      </c>
    </row>
    <row r="662" spans="1:3">
      <c r="A662" s="93" t="s">
        <v>2415</v>
      </c>
      <c r="B662">
        <v>185590</v>
      </c>
      <c r="C662" t="s">
        <v>87</v>
      </c>
    </row>
    <row r="663" spans="1:3">
      <c r="A663" s="93" t="s">
        <v>2794</v>
      </c>
      <c r="B663">
        <v>199032</v>
      </c>
      <c r="C663" t="s">
        <v>87</v>
      </c>
    </row>
    <row r="664" spans="1:3">
      <c r="A664" s="93" t="s">
        <v>5706</v>
      </c>
      <c r="B664">
        <v>214157</v>
      </c>
      <c r="C664" t="s">
        <v>87</v>
      </c>
    </row>
    <row r="665" spans="1:3">
      <c r="A665" s="93" t="s">
        <v>1761</v>
      </c>
      <c r="B665">
        <v>157386</v>
      </c>
      <c r="C665" t="s">
        <v>87</v>
      </c>
    </row>
    <row r="666" spans="1:3">
      <c r="A666" s="93" t="s">
        <v>5707</v>
      </c>
      <c r="B666">
        <v>140553</v>
      </c>
      <c r="C666" t="s">
        <v>138</v>
      </c>
    </row>
    <row r="667" spans="1:3">
      <c r="A667" s="93" t="s">
        <v>1886</v>
      </c>
      <c r="B667">
        <v>163453</v>
      </c>
      <c r="C667" t="s">
        <v>138</v>
      </c>
    </row>
    <row r="668" spans="1:3">
      <c r="A668" s="93" t="s">
        <v>1633</v>
      </c>
      <c r="B668">
        <v>154004</v>
      </c>
      <c r="C668" t="s">
        <v>87</v>
      </c>
    </row>
    <row r="669" spans="1:3">
      <c r="A669" s="93" t="s">
        <v>3403</v>
      </c>
      <c r="B669">
        <v>218399</v>
      </c>
      <c r="C669" t="s">
        <v>138</v>
      </c>
    </row>
    <row r="670" spans="1:3">
      <c r="A670" s="93" t="s">
        <v>2675</v>
      </c>
      <c r="B670">
        <v>196051</v>
      </c>
      <c r="C670" t="s">
        <v>87</v>
      </c>
    </row>
    <row r="671" spans="1:3">
      <c r="A671" s="93" t="s">
        <v>3256</v>
      </c>
      <c r="B671">
        <v>214166</v>
      </c>
      <c r="C671" t="s">
        <v>87</v>
      </c>
    </row>
    <row r="672" spans="1:3">
      <c r="A672" s="93" t="s">
        <v>2959</v>
      </c>
      <c r="B672">
        <v>204176</v>
      </c>
      <c r="C672" t="s">
        <v>87</v>
      </c>
    </row>
    <row r="673" spans="1:3">
      <c r="A673" s="93" t="s">
        <v>5708</v>
      </c>
      <c r="B673">
        <v>166939</v>
      </c>
      <c r="C673" t="s">
        <v>87</v>
      </c>
    </row>
    <row r="674" spans="1:3">
      <c r="A674" s="93" t="s">
        <v>1971</v>
      </c>
      <c r="B674">
        <v>166948</v>
      </c>
      <c r="C674" t="s">
        <v>87</v>
      </c>
    </row>
    <row r="675" spans="1:3">
      <c r="A675" s="93" t="s">
        <v>3439</v>
      </c>
      <c r="B675">
        <v>219198</v>
      </c>
      <c r="C675" t="s">
        <v>87</v>
      </c>
    </row>
    <row r="676" spans="1:3">
      <c r="A676" s="93" t="s">
        <v>5709</v>
      </c>
      <c r="B676">
        <v>239390</v>
      </c>
      <c r="C676" t="s">
        <v>87</v>
      </c>
    </row>
    <row r="677" spans="1:3">
      <c r="A677" s="93" t="s">
        <v>1634</v>
      </c>
      <c r="B677">
        <v>154013</v>
      </c>
      <c r="C677" t="s">
        <v>87</v>
      </c>
    </row>
    <row r="678" spans="1:3">
      <c r="A678" s="93" t="s">
        <v>5710</v>
      </c>
      <c r="B678">
        <v>199069</v>
      </c>
      <c r="C678" t="s">
        <v>87</v>
      </c>
    </row>
    <row r="679" spans="1:3">
      <c r="A679" s="93" t="s">
        <v>2610</v>
      </c>
      <c r="B679">
        <v>193353</v>
      </c>
      <c r="C679" t="s">
        <v>87</v>
      </c>
    </row>
    <row r="680" spans="1:3">
      <c r="A680" s="93" t="s">
        <v>5711</v>
      </c>
      <c r="B680">
        <v>119173</v>
      </c>
      <c r="C680" t="s">
        <v>87</v>
      </c>
    </row>
    <row r="681" spans="1:3">
      <c r="A681" s="93" t="s">
        <v>5712</v>
      </c>
      <c r="B681">
        <v>163462</v>
      </c>
      <c r="C681" t="s">
        <v>87</v>
      </c>
    </row>
    <row r="682" spans="1:3">
      <c r="A682" s="93" t="s">
        <v>2961</v>
      </c>
      <c r="B682">
        <v>204194</v>
      </c>
      <c r="C682" t="s">
        <v>87</v>
      </c>
    </row>
    <row r="683" spans="1:3">
      <c r="A683" s="93" t="s">
        <v>3257</v>
      </c>
      <c r="B683">
        <v>214175</v>
      </c>
      <c r="C683" t="s">
        <v>87</v>
      </c>
    </row>
    <row r="684" spans="1:3">
      <c r="A684" s="93" t="s">
        <v>1762</v>
      </c>
      <c r="B684">
        <v>157401</v>
      </c>
      <c r="C684" t="s">
        <v>87</v>
      </c>
    </row>
    <row r="685" spans="1:3">
      <c r="A685" s="93" t="s">
        <v>949</v>
      </c>
      <c r="B685">
        <v>119270</v>
      </c>
      <c r="C685" t="s">
        <v>87</v>
      </c>
    </row>
    <row r="686" spans="1:3">
      <c r="A686" s="93" t="s">
        <v>2964</v>
      </c>
      <c r="B686">
        <v>204264</v>
      </c>
      <c r="C686" t="s">
        <v>87</v>
      </c>
    </row>
    <row r="687" spans="1:3">
      <c r="A687" s="93" t="s">
        <v>5713</v>
      </c>
      <c r="B687">
        <v>147536</v>
      </c>
      <c r="C687" t="s">
        <v>87</v>
      </c>
    </row>
    <row r="688" spans="1:3">
      <c r="A688" s="93" t="s">
        <v>2614</v>
      </c>
      <c r="B688">
        <v>193584</v>
      </c>
      <c r="C688" t="s">
        <v>87</v>
      </c>
    </row>
    <row r="689" spans="1:3">
      <c r="A689" s="93" t="s">
        <v>2339</v>
      </c>
      <c r="B689">
        <v>181446</v>
      </c>
      <c r="C689" t="s">
        <v>87</v>
      </c>
    </row>
    <row r="690" spans="1:3">
      <c r="A690" s="93" t="s">
        <v>3259</v>
      </c>
      <c r="B690">
        <v>214272</v>
      </c>
      <c r="C690" t="s">
        <v>87</v>
      </c>
    </row>
    <row r="691" spans="1:3">
      <c r="A691" s="93" t="s">
        <v>4130</v>
      </c>
      <c r="B691">
        <v>262129</v>
      </c>
      <c r="C691" t="s">
        <v>87</v>
      </c>
    </row>
    <row r="692" spans="1:3">
      <c r="A692" s="93" t="s">
        <v>2365</v>
      </c>
      <c r="B692">
        <v>182980</v>
      </c>
      <c r="C692" t="s">
        <v>87</v>
      </c>
    </row>
    <row r="693" spans="1:3">
      <c r="A693" s="93" t="s">
        <v>2409</v>
      </c>
      <c r="B693">
        <v>185129</v>
      </c>
      <c r="C693" t="s">
        <v>87</v>
      </c>
    </row>
    <row r="694" spans="1:3">
      <c r="A694" s="93" t="s">
        <v>2420</v>
      </c>
      <c r="B694">
        <v>185828</v>
      </c>
      <c r="C694" t="s">
        <v>87</v>
      </c>
    </row>
    <row r="695" spans="1:3">
      <c r="A695" s="93" t="s">
        <v>2458</v>
      </c>
      <c r="B695">
        <v>187967</v>
      </c>
      <c r="C695" t="s">
        <v>87</v>
      </c>
    </row>
    <row r="696" spans="1:3">
      <c r="A696" s="93" t="s">
        <v>2464</v>
      </c>
      <c r="B696">
        <v>188030</v>
      </c>
      <c r="C696" t="s">
        <v>87</v>
      </c>
    </row>
    <row r="697" spans="1:3">
      <c r="A697" s="93" t="s">
        <v>4583</v>
      </c>
      <c r="B697">
        <v>440396</v>
      </c>
      <c r="C697" t="s">
        <v>87</v>
      </c>
    </row>
    <row r="698" spans="1:3">
      <c r="A698" s="93" t="s">
        <v>2627</v>
      </c>
      <c r="B698">
        <v>194091</v>
      </c>
      <c r="C698" t="s">
        <v>87</v>
      </c>
    </row>
    <row r="699" spans="1:3">
      <c r="A699" s="93" t="s">
        <v>2628</v>
      </c>
      <c r="B699">
        <v>194116</v>
      </c>
      <c r="C699" t="s">
        <v>87</v>
      </c>
    </row>
    <row r="700" spans="1:3">
      <c r="A700" s="93" t="s">
        <v>2622</v>
      </c>
      <c r="B700">
        <v>193900</v>
      </c>
      <c r="C700" t="s">
        <v>87</v>
      </c>
    </row>
    <row r="701" spans="1:3">
      <c r="A701" s="93" t="s">
        <v>3404</v>
      </c>
      <c r="B701">
        <v>218414</v>
      </c>
      <c r="C701" t="s">
        <v>87</v>
      </c>
    </row>
    <row r="702" spans="1:3">
      <c r="A702" s="93" t="s">
        <v>5714</v>
      </c>
      <c r="B702">
        <v>167251</v>
      </c>
      <c r="C702" t="s">
        <v>87</v>
      </c>
    </row>
    <row r="703" spans="1:3">
      <c r="A703" s="93" t="s">
        <v>1695</v>
      </c>
      <c r="B703">
        <v>155335</v>
      </c>
      <c r="C703" t="s">
        <v>87</v>
      </c>
    </row>
    <row r="704" spans="1:3">
      <c r="A704" s="93" t="s">
        <v>2624</v>
      </c>
      <c r="B704">
        <v>193973</v>
      </c>
      <c r="C704" t="s">
        <v>87</v>
      </c>
    </row>
    <row r="705" spans="1:3">
      <c r="A705" s="93" t="s">
        <v>1809</v>
      </c>
      <c r="B705">
        <v>159966</v>
      </c>
      <c r="C705" t="s">
        <v>87</v>
      </c>
    </row>
    <row r="706" spans="1:3">
      <c r="A706" s="93" t="s">
        <v>1978</v>
      </c>
      <c r="B706">
        <v>167260</v>
      </c>
      <c r="C706" t="s">
        <v>87</v>
      </c>
    </row>
    <row r="707" spans="1:3">
      <c r="A707" s="93" t="s">
        <v>3786</v>
      </c>
      <c r="B707">
        <v>232937</v>
      </c>
      <c r="C707" t="s">
        <v>138</v>
      </c>
    </row>
    <row r="708" spans="1:3">
      <c r="A708" s="93" t="s">
        <v>2797</v>
      </c>
      <c r="B708">
        <v>199102</v>
      </c>
      <c r="C708" t="s">
        <v>138</v>
      </c>
    </row>
    <row r="709" spans="1:3">
      <c r="A709" s="93" t="s">
        <v>2802</v>
      </c>
      <c r="B709">
        <v>199157</v>
      </c>
      <c r="C709" t="s">
        <v>138</v>
      </c>
    </row>
    <row r="710" spans="1:3">
      <c r="A710" s="93" t="s">
        <v>2804</v>
      </c>
      <c r="B710">
        <v>199193</v>
      </c>
      <c r="C710" t="s">
        <v>87</v>
      </c>
    </row>
    <row r="711" spans="1:3">
      <c r="A711" s="93" t="s">
        <v>2805</v>
      </c>
      <c r="B711">
        <v>199209</v>
      </c>
      <c r="C711" t="s">
        <v>87</v>
      </c>
    </row>
    <row r="712" spans="1:3">
      <c r="A712" s="93" t="s">
        <v>1487</v>
      </c>
      <c r="B712">
        <v>147660</v>
      </c>
      <c r="C712" t="s">
        <v>87</v>
      </c>
    </row>
    <row r="713" spans="1:3">
      <c r="A713" s="93" t="s">
        <v>2137</v>
      </c>
      <c r="B713">
        <v>174437</v>
      </c>
      <c r="C713" t="s">
        <v>87</v>
      </c>
    </row>
    <row r="714" spans="1:3">
      <c r="A714" s="93" t="s">
        <v>2860</v>
      </c>
      <c r="B714">
        <v>200332</v>
      </c>
      <c r="C714" t="s">
        <v>87</v>
      </c>
    </row>
    <row r="715" spans="1:3">
      <c r="A715" s="93" t="s">
        <v>5715</v>
      </c>
      <c r="B715">
        <v>140669</v>
      </c>
    </row>
    <row r="716" spans="1:3">
      <c r="A716" s="93" t="s">
        <v>3405</v>
      </c>
      <c r="B716">
        <v>218441</v>
      </c>
      <c r="C716" t="s">
        <v>87</v>
      </c>
    </row>
    <row r="717" spans="1:3">
      <c r="A717" s="93" t="s">
        <v>489</v>
      </c>
      <c r="B717">
        <v>147679</v>
      </c>
      <c r="C717" t="s">
        <v>87</v>
      </c>
    </row>
    <row r="718" spans="1:3">
      <c r="A718" s="93" t="s">
        <v>445</v>
      </c>
      <c r="B718">
        <v>147776</v>
      </c>
      <c r="C718" t="s">
        <v>87</v>
      </c>
    </row>
    <row r="719" spans="1:3">
      <c r="A719" s="93" t="s">
        <v>3057</v>
      </c>
      <c r="B719">
        <v>207263</v>
      </c>
      <c r="C719" t="s">
        <v>87</v>
      </c>
    </row>
    <row r="720" spans="1:3">
      <c r="A720" s="93" t="s">
        <v>1983</v>
      </c>
      <c r="B720">
        <v>167358</v>
      </c>
      <c r="C720" t="s">
        <v>87</v>
      </c>
    </row>
    <row r="721" spans="1:3">
      <c r="A721" s="93" t="s">
        <v>708</v>
      </c>
      <c r="B721">
        <v>105330</v>
      </c>
      <c r="C721" t="s">
        <v>87</v>
      </c>
    </row>
    <row r="722" spans="1:3">
      <c r="A722" s="93" t="s">
        <v>440</v>
      </c>
      <c r="B722">
        <v>147703</v>
      </c>
      <c r="C722" t="s">
        <v>87</v>
      </c>
    </row>
    <row r="723" spans="1:3">
      <c r="A723" s="93" t="s">
        <v>553</v>
      </c>
      <c r="B723">
        <v>171456</v>
      </c>
      <c r="C723" t="s">
        <v>87</v>
      </c>
    </row>
    <row r="724" spans="1:3">
      <c r="A724" s="93" t="s">
        <v>3443</v>
      </c>
      <c r="B724">
        <v>219259</v>
      </c>
      <c r="C724" t="s">
        <v>87</v>
      </c>
    </row>
    <row r="725" spans="1:3">
      <c r="A725" s="93" t="s">
        <v>3951</v>
      </c>
      <c r="B725">
        <v>239512</v>
      </c>
      <c r="C725" t="s">
        <v>87</v>
      </c>
    </row>
    <row r="726" spans="1:3">
      <c r="A726" s="93" t="s">
        <v>3116</v>
      </c>
      <c r="B726">
        <v>209409</v>
      </c>
      <c r="C726" t="s">
        <v>87</v>
      </c>
    </row>
    <row r="727" spans="1:3">
      <c r="A727" s="93" t="s">
        <v>2259</v>
      </c>
      <c r="B727">
        <v>178624</v>
      </c>
      <c r="C727" t="s">
        <v>87</v>
      </c>
    </row>
    <row r="728" spans="1:3">
      <c r="A728" s="93" t="s">
        <v>3857</v>
      </c>
      <c r="B728">
        <v>236133</v>
      </c>
      <c r="C728" t="s">
        <v>87</v>
      </c>
    </row>
    <row r="729" spans="1:3">
      <c r="A729" s="93" t="s">
        <v>1637</v>
      </c>
      <c r="B729">
        <v>154101</v>
      </c>
      <c r="C729" t="s">
        <v>87</v>
      </c>
    </row>
    <row r="730" spans="1:3">
      <c r="A730" s="93" t="s">
        <v>1637</v>
      </c>
      <c r="B730">
        <v>174491</v>
      </c>
      <c r="C730" t="s">
        <v>87</v>
      </c>
    </row>
    <row r="731" spans="1:3">
      <c r="A731" s="93" t="s">
        <v>1813</v>
      </c>
      <c r="B731">
        <v>160038</v>
      </c>
      <c r="C731" t="s">
        <v>87</v>
      </c>
    </row>
    <row r="732" spans="1:3">
      <c r="A732" s="93" t="s">
        <v>477</v>
      </c>
      <c r="B732">
        <v>147767</v>
      </c>
      <c r="C732" t="s">
        <v>87</v>
      </c>
    </row>
    <row r="733" spans="1:3">
      <c r="A733" s="93" t="s">
        <v>5716</v>
      </c>
      <c r="B733">
        <v>136206</v>
      </c>
      <c r="C733" t="s">
        <v>87</v>
      </c>
    </row>
    <row r="734" spans="1:3">
      <c r="A734" s="93" t="s">
        <v>5717</v>
      </c>
      <c r="B734">
        <v>171492</v>
      </c>
      <c r="C734" t="s">
        <v>87</v>
      </c>
    </row>
    <row r="735" spans="1:3">
      <c r="A735" s="93" t="s">
        <v>5718</v>
      </c>
      <c r="B735">
        <v>227243</v>
      </c>
      <c r="C735" t="s">
        <v>87</v>
      </c>
    </row>
    <row r="736" spans="1:3">
      <c r="A736" s="93" t="s">
        <v>3737</v>
      </c>
      <c r="B736">
        <v>230995</v>
      </c>
      <c r="C736" t="s">
        <v>87</v>
      </c>
    </row>
    <row r="737" spans="1:3">
      <c r="A737" s="93" t="s">
        <v>2969</v>
      </c>
      <c r="B737">
        <v>204468</v>
      </c>
      <c r="C737" t="s">
        <v>87</v>
      </c>
    </row>
    <row r="738" spans="1:3">
      <c r="A738" s="93" t="s">
        <v>955</v>
      </c>
      <c r="B738">
        <v>120184</v>
      </c>
      <c r="C738" t="s">
        <v>87</v>
      </c>
    </row>
    <row r="739" spans="1:3">
      <c r="A739" s="93" t="s">
        <v>1252</v>
      </c>
      <c r="B739">
        <v>136215</v>
      </c>
      <c r="C739" t="s">
        <v>87</v>
      </c>
    </row>
    <row r="740" spans="1:3">
      <c r="A740" s="93" t="s">
        <v>2629</v>
      </c>
      <c r="B740">
        <v>194161</v>
      </c>
      <c r="C740" t="s">
        <v>87</v>
      </c>
    </row>
    <row r="741" spans="1:3">
      <c r="A741" s="93" t="s">
        <v>2070</v>
      </c>
      <c r="B741">
        <v>171571</v>
      </c>
      <c r="C741" t="s">
        <v>87</v>
      </c>
    </row>
    <row r="742" spans="1:3">
      <c r="A742" s="93" t="s">
        <v>657</v>
      </c>
      <c r="B742">
        <v>101912</v>
      </c>
      <c r="C742" t="s">
        <v>138</v>
      </c>
    </row>
    <row r="743" spans="1:3">
      <c r="A743" s="93" t="s">
        <v>2972</v>
      </c>
      <c r="B743">
        <v>204501</v>
      </c>
      <c r="C743" t="s">
        <v>87</v>
      </c>
    </row>
    <row r="744" spans="1:3">
      <c r="A744" s="93" t="s">
        <v>506</v>
      </c>
      <c r="B744">
        <v>120254</v>
      </c>
      <c r="C744" t="s">
        <v>87</v>
      </c>
    </row>
    <row r="745" spans="1:3">
      <c r="A745" s="93" t="s">
        <v>1356</v>
      </c>
      <c r="B745">
        <v>140696</v>
      </c>
      <c r="C745" t="s">
        <v>87</v>
      </c>
    </row>
    <row r="746" spans="1:3">
      <c r="A746" s="93" t="s">
        <v>2901</v>
      </c>
      <c r="B746">
        <v>201964</v>
      </c>
      <c r="C746" t="s">
        <v>87</v>
      </c>
    </row>
    <row r="747" spans="1:3">
      <c r="A747" s="93" t="s">
        <v>2974</v>
      </c>
      <c r="B747">
        <v>204617</v>
      </c>
      <c r="C747" t="s">
        <v>87</v>
      </c>
    </row>
    <row r="748" spans="1:3">
      <c r="A748" s="93" t="s">
        <v>2976</v>
      </c>
      <c r="B748">
        <v>204635</v>
      </c>
      <c r="C748" t="s">
        <v>87</v>
      </c>
    </row>
    <row r="749" spans="1:3">
      <c r="A749" s="93" t="s">
        <v>2978</v>
      </c>
      <c r="B749">
        <v>204671</v>
      </c>
      <c r="C749" t="s">
        <v>87</v>
      </c>
    </row>
    <row r="750" spans="1:3">
      <c r="A750" s="93" t="s">
        <v>2986</v>
      </c>
      <c r="B750">
        <v>204796</v>
      </c>
      <c r="C750" t="s">
        <v>87</v>
      </c>
    </row>
    <row r="751" spans="1:3">
      <c r="A751" s="93" t="s">
        <v>2980</v>
      </c>
      <c r="B751">
        <v>204699</v>
      </c>
      <c r="C751" t="s">
        <v>87</v>
      </c>
    </row>
    <row r="752" spans="1:3">
      <c r="A752" s="93" t="s">
        <v>2981</v>
      </c>
      <c r="B752">
        <v>204705</v>
      </c>
      <c r="C752" t="s">
        <v>87</v>
      </c>
    </row>
    <row r="753" spans="1:3">
      <c r="A753" s="93" t="s">
        <v>2991</v>
      </c>
      <c r="B753">
        <v>204857</v>
      </c>
      <c r="C753" t="s">
        <v>87</v>
      </c>
    </row>
    <row r="754" spans="1:3">
      <c r="A754" s="93" t="s">
        <v>3900</v>
      </c>
      <c r="B754">
        <v>237640</v>
      </c>
      <c r="C754" t="s">
        <v>87</v>
      </c>
    </row>
    <row r="755" spans="1:3">
      <c r="A755" s="93" t="s">
        <v>2995</v>
      </c>
      <c r="B755">
        <v>204909</v>
      </c>
      <c r="C755" t="s">
        <v>87</v>
      </c>
    </row>
    <row r="756" spans="1:3">
      <c r="A756" s="93" t="s">
        <v>3067</v>
      </c>
      <c r="B756">
        <v>207403</v>
      </c>
      <c r="C756" t="s">
        <v>87</v>
      </c>
    </row>
    <row r="757" spans="1:3">
      <c r="A757" s="93" t="s">
        <v>3062</v>
      </c>
      <c r="B757">
        <v>207324</v>
      </c>
      <c r="C757" t="s">
        <v>87</v>
      </c>
    </row>
    <row r="758" spans="1:3">
      <c r="A758" s="93" t="s">
        <v>3069</v>
      </c>
      <c r="B758">
        <v>207458</v>
      </c>
      <c r="C758" t="s">
        <v>87</v>
      </c>
    </row>
    <row r="759" spans="1:3">
      <c r="A759" s="93" t="s">
        <v>3065</v>
      </c>
      <c r="B759">
        <v>207388</v>
      </c>
      <c r="C759" t="s">
        <v>87</v>
      </c>
    </row>
    <row r="760" spans="1:3">
      <c r="A760" s="93" t="s">
        <v>3044</v>
      </c>
      <c r="B760">
        <v>206835</v>
      </c>
      <c r="C760" t="s">
        <v>87</v>
      </c>
    </row>
    <row r="761" spans="1:3">
      <c r="A761" s="93" t="s">
        <v>3788</v>
      </c>
      <c r="B761">
        <v>232982</v>
      </c>
      <c r="C761" t="s">
        <v>87</v>
      </c>
    </row>
    <row r="762" spans="1:3">
      <c r="A762" s="93" t="s">
        <v>2071</v>
      </c>
      <c r="B762">
        <v>171599</v>
      </c>
      <c r="C762" t="s">
        <v>87</v>
      </c>
    </row>
    <row r="763" spans="1:3">
      <c r="A763" s="93" t="s">
        <v>441</v>
      </c>
      <c r="B763">
        <v>147828</v>
      </c>
      <c r="C763" t="s">
        <v>87</v>
      </c>
    </row>
    <row r="764" spans="1:3">
      <c r="A764" s="93" t="s">
        <v>3513</v>
      </c>
      <c r="B764">
        <v>221254</v>
      </c>
      <c r="C764" t="s">
        <v>87</v>
      </c>
    </row>
    <row r="765" spans="1:3">
      <c r="A765" s="93" t="s">
        <v>3072</v>
      </c>
      <c r="B765">
        <v>207582</v>
      </c>
      <c r="C765" t="s">
        <v>87</v>
      </c>
    </row>
    <row r="766" spans="1:3">
      <c r="A766" s="93" t="s">
        <v>3118</v>
      </c>
      <c r="B766">
        <v>209506</v>
      </c>
      <c r="C766" t="s">
        <v>87</v>
      </c>
    </row>
    <row r="767" spans="1:3">
      <c r="A767" s="93" t="s">
        <v>3120</v>
      </c>
      <c r="B767">
        <v>209542</v>
      </c>
      <c r="C767" t="s">
        <v>87</v>
      </c>
    </row>
    <row r="768" spans="1:3">
      <c r="A768" s="93" t="s">
        <v>1706</v>
      </c>
      <c r="B768">
        <v>155627</v>
      </c>
      <c r="C768" t="s">
        <v>87</v>
      </c>
    </row>
    <row r="769" spans="1:3">
      <c r="A769" s="93" t="s">
        <v>2996</v>
      </c>
      <c r="B769">
        <v>204936</v>
      </c>
      <c r="C769" t="s">
        <v>87</v>
      </c>
    </row>
    <row r="770" spans="1:3">
      <c r="A770" s="93" t="s">
        <v>751</v>
      </c>
      <c r="B770">
        <v>107512</v>
      </c>
      <c r="C770" t="s">
        <v>87</v>
      </c>
    </row>
    <row r="771" spans="1:3">
      <c r="A771" s="93" t="s">
        <v>5719</v>
      </c>
      <c r="B771">
        <v>227331</v>
      </c>
      <c r="C771" t="s">
        <v>87</v>
      </c>
    </row>
    <row r="772" spans="1:3">
      <c r="A772" s="93" t="s">
        <v>2633</v>
      </c>
      <c r="B772">
        <v>194310</v>
      </c>
      <c r="C772" t="s">
        <v>87</v>
      </c>
    </row>
    <row r="773" spans="1:3">
      <c r="A773" s="93" t="s">
        <v>3860</v>
      </c>
      <c r="B773">
        <v>236230</v>
      </c>
      <c r="C773" t="s">
        <v>87</v>
      </c>
    </row>
    <row r="774" spans="1:3">
      <c r="A774" s="93" t="s">
        <v>966</v>
      </c>
      <c r="B774">
        <v>120865</v>
      </c>
      <c r="C774" t="s">
        <v>87</v>
      </c>
    </row>
    <row r="775" spans="1:3">
      <c r="A775" s="93" t="s">
        <v>3122</v>
      </c>
      <c r="B775">
        <v>209612</v>
      </c>
      <c r="C775" t="s">
        <v>87</v>
      </c>
    </row>
    <row r="776" spans="1:3">
      <c r="A776" s="93" t="s">
        <v>1357</v>
      </c>
      <c r="B776">
        <v>140720</v>
      </c>
      <c r="C776" t="s">
        <v>138</v>
      </c>
    </row>
    <row r="777" spans="1:3">
      <c r="A777" s="93" t="s">
        <v>5720</v>
      </c>
      <c r="B777">
        <v>136330</v>
      </c>
      <c r="C777" t="s">
        <v>87</v>
      </c>
    </row>
    <row r="778" spans="1:3">
      <c r="A778" s="93" t="s">
        <v>2262</v>
      </c>
      <c r="B778">
        <v>178721</v>
      </c>
      <c r="C778" t="s">
        <v>87</v>
      </c>
    </row>
    <row r="779" spans="1:3">
      <c r="A779" s="93" t="s">
        <v>2634</v>
      </c>
      <c r="B779">
        <v>194392</v>
      </c>
      <c r="C779" t="s">
        <v>87</v>
      </c>
    </row>
    <row r="780" spans="1:3">
      <c r="A780" s="93" t="s">
        <v>5721</v>
      </c>
      <c r="B780">
        <v>199272</v>
      </c>
      <c r="C780" t="s">
        <v>87</v>
      </c>
    </row>
    <row r="781" spans="1:3">
      <c r="A781" s="93" t="s">
        <v>5722</v>
      </c>
      <c r="B781">
        <v>214731</v>
      </c>
      <c r="C781" t="s">
        <v>87</v>
      </c>
    </row>
    <row r="782" spans="1:3">
      <c r="A782" s="93" t="s">
        <v>3281</v>
      </c>
      <c r="B782">
        <v>214777</v>
      </c>
      <c r="C782" t="s">
        <v>87</v>
      </c>
    </row>
    <row r="783" spans="1:3">
      <c r="A783" s="93" t="s">
        <v>3284</v>
      </c>
      <c r="B783">
        <v>214801</v>
      </c>
      <c r="C783" t="s">
        <v>87</v>
      </c>
    </row>
    <row r="784" spans="1:3">
      <c r="A784" s="93" t="s">
        <v>3273</v>
      </c>
      <c r="B784">
        <v>214689</v>
      </c>
      <c r="C784" t="s">
        <v>87</v>
      </c>
    </row>
    <row r="785" spans="1:3">
      <c r="A785" s="93" t="s">
        <v>3274</v>
      </c>
      <c r="B785">
        <v>214698</v>
      </c>
      <c r="C785" t="s">
        <v>87</v>
      </c>
    </row>
    <row r="786" spans="1:3">
      <c r="A786" s="93" t="s">
        <v>3275</v>
      </c>
      <c r="B786">
        <v>214704</v>
      </c>
      <c r="C786" t="s">
        <v>87</v>
      </c>
    </row>
    <row r="787" spans="1:3">
      <c r="A787" s="93" t="s">
        <v>5723</v>
      </c>
      <c r="B787">
        <v>214740</v>
      </c>
      <c r="C787" t="s">
        <v>87</v>
      </c>
    </row>
    <row r="788" spans="1:3">
      <c r="A788" s="93" t="s">
        <v>3265</v>
      </c>
      <c r="B788">
        <v>214591</v>
      </c>
      <c r="C788" t="s">
        <v>87</v>
      </c>
    </row>
    <row r="789" spans="1:3">
      <c r="A789" s="93" t="s">
        <v>3282</v>
      </c>
      <c r="B789">
        <v>214786</v>
      </c>
      <c r="C789" t="s">
        <v>87</v>
      </c>
    </row>
    <row r="790" spans="1:3">
      <c r="A790" s="93" t="s">
        <v>3276</v>
      </c>
      <c r="B790">
        <v>214713</v>
      </c>
      <c r="C790" t="s">
        <v>87</v>
      </c>
    </row>
    <row r="791" spans="1:3">
      <c r="A791" s="93" t="s">
        <v>3280</v>
      </c>
      <c r="B791">
        <v>214768</v>
      </c>
      <c r="C791" t="s">
        <v>87</v>
      </c>
    </row>
    <row r="792" spans="1:3">
      <c r="A792" s="93" t="s">
        <v>3272</v>
      </c>
      <c r="B792">
        <v>214670</v>
      </c>
      <c r="C792" t="s">
        <v>87</v>
      </c>
    </row>
    <row r="793" spans="1:3">
      <c r="A793" s="93" t="s">
        <v>3283</v>
      </c>
      <c r="B793">
        <v>214795</v>
      </c>
      <c r="C793" t="s">
        <v>87</v>
      </c>
    </row>
    <row r="794" spans="1:3">
      <c r="A794" s="93" t="s">
        <v>3268</v>
      </c>
      <c r="B794">
        <v>214625</v>
      </c>
      <c r="C794" t="s">
        <v>87</v>
      </c>
    </row>
    <row r="795" spans="1:3">
      <c r="A795" s="93" t="s">
        <v>3285</v>
      </c>
      <c r="B795">
        <v>214810</v>
      </c>
      <c r="C795" t="s">
        <v>87</v>
      </c>
    </row>
    <row r="796" spans="1:3">
      <c r="A796" s="93" t="s">
        <v>3269</v>
      </c>
      <c r="B796">
        <v>214634</v>
      </c>
      <c r="C796" t="s">
        <v>87</v>
      </c>
    </row>
    <row r="797" spans="1:3">
      <c r="A797" s="93" t="s">
        <v>3270</v>
      </c>
      <c r="B797">
        <v>214643</v>
      </c>
      <c r="C797" t="s">
        <v>87</v>
      </c>
    </row>
    <row r="798" spans="1:3">
      <c r="A798" s="93" t="s">
        <v>3271</v>
      </c>
      <c r="B798">
        <v>214652</v>
      </c>
      <c r="C798" t="s">
        <v>87</v>
      </c>
    </row>
    <row r="799" spans="1:3">
      <c r="A799" s="93" t="s">
        <v>3286</v>
      </c>
      <c r="B799">
        <v>214829</v>
      </c>
      <c r="C799" t="s">
        <v>87</v>
      </c>
    </row>
    <row r="800" spans="1:3">
      <c r="A800" s="93" t="s">
        <v>971</v>
      </c>
      <c r="B800">
        <v>121150</v>
      </c>
      <c r="C800" t="s">
        <v>87</v>
      </c>
    </row>
    <row r="801" spans="1:3">
      <c r="A801" s="93" t="s">
        <v>2810</v>
      </c>
      <c r="B801">
        <v>199306</v>
      </c>
      <c r="C801" t="s">
        <v>87</v>
      </c>
    </row>
    <row r="802" spans="1:3">
      <c r="A802" s="93" t="s">
        <v>5724</v>
      </c>
      <c r="B802">
        <v>215114</v>
      </c>
      <c r="C802" t="s">
        <v>87</v>
      </c>
    </row>
    <row r="803" spans="1:3">
      <c r="A803" s="93" t="s">
        <v>5725</v>
      </c>
      <c r="B803">
        <v>215099</v>
      </c>
      <c r="C803" t="s">
        <v>87</v>
      </c>
    </row>
    <row r="804" spans="1:3">
      <c r="A804" s="93" t="s">
        <v>756</v>
      </c>
      <c r="B804">
        <v>107600</v>
      </c>
      <c r="C804" t="s">
        <v>138</v>
      </c>
    </row>
    <row r="805" spans="1:3">
      <c r="A805" s="93" t="s">
        <v>1358</v>
      </c>
      <c r="B805">
        <v>140818</v>
      </c>
      <c r="C805" t="s">
        <v>87</v>
      </c>
    </row>
    <row r="806" spans="1:3">
      <c r="A806" s="93" t="s">
        <v>1986</v>
      </c>
      <c r="B806">
        <v>167455</v>
      </c>
      <c r="C806" t="s">
        <v>87</v>
      </c>
    </row>
    <row r="807" spans="1:3">
      <c r="A807" s="93" t="s">
        <v>1708</v>
      </c>
      <c r="B807">
        <v>155681</v>
      </c>
      <c r="C807" t="s">
        <v>87</v>
      </c>
    </row>
    <row r="808" spans="1:3">
      <c r="A808" s="93" t="s">
        <v>972</v>
      </c>
      <c r="B808">
        <v>121257</v>
      </c>
      <c r="C808" t="s">
        <v>87</v>
      </c>
    </row>
    <row r="809" spans="1:3">
      <c r="A809" s="93" t="s">
        <v>2370</v>
      </c>
      <c r="B809">
        <v>183080</v>
      </c>
      <c r="C809" t="s">
        <v>87</v>
      </c>
    </row>
    <row r="810" spans="1:3">
      <c r="A810" s="93" t="s">
        <v>974</v>
      </c>
      <c r="B810">
        <v>121309</v>
      </c>
      <c r="C810" t="s">
        <v>87</v>
      </c>
    </row>
    <row r="811" spans="1:3">
      <c r="A811" s="93" t="s">
        <v>3309</v>
      </c>
      <c r="B811">
        <v>215442</v>
      </c>
      <c r="C811" t="s">
        <v>87</v>
      </c>
    </row>
    <row r="812" spans="1:3">
      <c r="A812" s="93" t="s">
        <v>5726</v>
      </c>
      <c r="B812">
        <v>194541</v>
      </c>
      <c r="C812" t="s">
        <v>87</v>
      </c>
    </row>
    <row r="813" spans="1:3">
      <c r="A813" s="93" t="s">
        <v>503</v>
      </c>
      <c r="B813">
        <v>121345</v>
      </c>
      <c r="C813" t="s">
        <v>87</v>
      </c>
    </row>
    <row r="814" spans="1:3">
      <c r="A814" s="93" t="s">
        <v>3129</v>
      </c>
      <c r="B814">
        <v>209807</v>
      </c>
      <c r="C814" t="s">
        <v>87</v>
      </c>
    </row>
    <row r="815" spans="1:3">
      <c r="A815" s="93" t="s">
        <v>1147</v>
      </c>
      <c r="B815">
        <v>130183</v>
      </c>
      <c r="C815" t="s">
        <v>87</v>
      </c>
    </row>
    <row r="816" spans="1:3">
      <c r="A816" s="93" t="s">
        <v>3644</v>
      </c>
      <c r="B816">
        <v>227526</v>
      </c>
      <c r="C816" t="s">
        <v>138</v>
      </c>
    </row>
    <row r="817" spans="1:3">
      <c r="A817" s="93" t="s">
        <v>3408</v>
      </c>
      <c r="B817">
        <v>218539</v>
      </c>
      <c r="C817" t="s">
        <v>87</v>
      </c>
    </row>
    <row r="818" spans="1:3">
      <c r="A818" s="93" t="s">
        <v>3445</v>
      </c>
      <c r="B818">
        <v>219295</v>
      </c>
      <c r="C818" t="s">
        <v>87</v>
      </c>
    </row>
    <row r="819" spans="1:3">
      <c r="A819" s="93" t="s">
        <v>2425</v>
      </c>
      <c r="B819">
        <v>186131</v>
      </c>
      <c r="C819" t="s">
        <v>87</v>
      </c>
    </row>
    <row r="820" spans="1:3">
      <c r="A820" s="93" t="s">
        <v>1493</v>
      </c>
      <c r="B820">
        <v>148016</v>
      </c>
      <c r="C820" t="s">
        <v>87</v>
      </c>
    </row>
    <row r="821" spans="1:3">
      <c r="A821" s="93" t="s">
        <v>3367</v>
      </c>
      <c r="B821">
        <v>217402</v>
      </c>
      <c r="C821" t="s">
        <v>87</v>
      </c>
    </row>
    <row r="822" spans="1:3">
      <c r="A822" s="93" t="s">
        <v>1574</v>
      </c>
      <c r="B822">
        <v>152248</v>
      </c>
      <c r="C822" t="s">
        <v>87</v>
      </c>
    </row>
    <row r="823" spans="1:3">
      <c r="A823" s="93" t="s">
        <v>4056</v>
      </c>
      <c r="B823">
        <v>243780</v>
      </c>
      <c r="C823" t="s">
        <v>87</v>
      </c>
    </row>
    <row r="824" spans="1:3">
      <c r="A824" s="93" t="s">
        <v>1575</v>
      </c>
      <c r="B824">
        <v>152266</v>
      </c>
      <c r="C824" t="s">
        <v>87</v>
      </c>
    </row>
    <row r="825" spans="1:3">
      <c r="A825" s="93" t="s">
        <v>2813</v>
      </c>
      <c r="B825">
        <v>199412</v>
      </c>
      <c r="C825" t="s">
        <v>87</v>
      </c>
    </row>
    <row r="826" spans="1:3">
      <c r="A826" s="93" t="s">
        <v>1494</v>
      </c>
      <c r="B826">
        <v>148131</v>
      </c>
      <c r="C826" t="s">
        <v>87</v>
      </c>
    </row>
    <row r="827" spans="1:3">
      <c r="A827" s="93" t="s">
        <v>1149</v>
      </c>
      <c r="B827">
        <v>130226</v>
      </c>
      <c r="C827" t="s">
        <v>87</v>
      </c>
    </row>
    <row r="828" spans="1:3">
      <c r="A828" s="93" t="s">
        <v>3794</v>
      </c>
      <c r="B828">
        <v>233277</v>
      </c>
      <c r="C828" t="s">
        <v>87</v>
      </c>
    </row>
    <row r="829" spans="1:3">
      <c r="A829" s="93" t="s">
        <v>2427</v>
      </c>
      <c r="B829">
        <v>186201</v>
      </c>
      <c r="C829" t="s">
        <v>87</v>
      </c>
    </row>
    <row r="830" spans="1:3">
      <c r="A830" s="93" t="s">
        <v>3796</v>
      </c>
      <c r="B830">
        <v>233301</v>
      </c>
      <c r="C830" t="s">
        <v>87</v>
      </c>
    </row>
    <row r="831" spans="1:3">
      <c r="A831" s="93" t="s">
        <v>3795</v>
      </c>
      <c r="B831">
        <v>233295</v>
      </c>
      <c r="C831" t="s">
        <v>87</v>
      </c>
    </row>
    <row r="832" spans="1:3">
      <c r="A832" s="93" t="s">
        <v>3131</v>
      </c>
      <c r="B832">
        <v>209922</v>
      </c>
      <c r="C832" t="s">
        <v>87</v>
      </c>
    </row>
    <row r="833" spans="1:3">
      <c r="A833" s="93" t="s">
        <v>1990</v>
      </c>
      <c r="B833">
        <v>167598</v>
      </c>
      <c r="C833" t="s">
        <v>87</v>
      </c>
    </row>
    <row r="834" spans="1:3">
      <c r="A834" s="93" t="s">
        <v>1108</v>
      </c>
      <c r="B834">
        <v>127918</v>
      </c>
      <c r="C834" t="s">
        <v>87</v>
      </c>
    </row>
    <row r="835" spans="1:3">
      <c r="A835" s="93" t="s">
        <v>1360</v>
      </c>
      <c r="B835">
        <v>140872</v>
      </c>
      <c r="C835" t="s">
        <v>87</v>
      </c>
    </row>
    <row r="836" spans="1:3">
      <c r="A836" s="93" t="s">
        <v>2643</v>
      </c>
      <c r="B836">
        <v>194824</v>
      </c>
      <c r="C836" t="s">
        <v>87</v>
      </c>
    </row>
    <row r="837" spans="1:3">
      <c r="A837" s="93" t="s">
        <v>3368</v>
      </c>
      <c r="B837">
        <v>217420</v>
      </c>
      <c r="C837" t="s">
        <v>87</v>
      </c>
    </row>
    <row r="838" spans="1:3">
      <c r="A838" s="93" t="s">
        <v>590</v>
      </c>
      <c r="B838">
        <v>221351</v>
      </c>
      <c r="C838" t="s">
        <v>87</v>
      </c>
    </row>
    <row r="839" spans="1:3">
      <c r="A839" s="93" t="s">
        <v>3647</v>
      </c>
      <c r="B839">
        <v>227757</v>
      </c>
      <c r="C839" t="s">
        <v>87</v>
      </c>
    </row>
    <row r="840" spans="1:3">
      <c r="A840" s="93" t="s">
        <v>2428</v>
      </c>
      <c r="B840">
        <v>186283</v>
      </c>
      <c r="C840" t="s">
        <v>87</v>
      </c>
    </row>
    <row r="841" spans="1:3">
      <c r="A841" s="93" t="s">
        <v>519</v>
      </c>
      <c r="B841">
        <v>239628</v>
      </c>
      <c r="C841" t="s">
        <v>87</v>
      </c>
    </row>
    <row r="842" spans="1:3">
      <c r="A842" s="93" t="s">
        <v>5727</v>
      </c>
      <c r="B842">
        <v>183211</v>
      </c>
      <c r="C842" t="s">
        <v>87</v>
      </c>
    </row>
    <row r="843" spans="1:3">
      <c r="A843" s="93" t="s">
        <v>3803</v>
      </c>
      <c r="B843">
        <v>233426</v>
      </c>
      <c r="C843" t="s">
        <v>87</v>
      </c>
    </row>
    <row r="844" spans="1:3">
      <c r="A844" s="93" t="s">
        <v>3317</v>
      </c>
      <c r="B844">
        <v>215655</v>
      </c>
      <c r="C844" t="s">
        <v>87</v>
      </c>
    </row>
    <row r="845" spans="1:3">
      <c r="A845" s="93" t="s">
        <v>2644</v>
      </c>
      <c r="B845">
        <v>194958</v>
      </c>
      <c r="C845" t="s">
        <v>87</v>
      </c>
    </row>
    <row r="846" spans="1:3">
      <c r="A846" s="93" t="s">
        <v>2056</v>
      </c>
      <c r="B846">
        <v>170967</v>
      </c>
      <c r="C846" t="s">
        <v>87</v>
      </c>
    </row>
    <row r="847" spans="1:3">
      <c r="A847" s="93" t="s">
        <v>2645</v>
      </c>
      <c r="B847">
        <v>195003</v>
      </c>
      <c r="C847" t="s">
        <v>87</v>
      </c>
    </row>
    <row r="848" spans="1:3">
      <c r="A848" s="93" t="s">
        <v>5728</v>
      </c>
      <c r="B848">
        <v>148405</v>
      </c>
      <c r="C848" t="s">
        <v>87</v>
      </c>
    </row>
    <row r="849" spans="1:3">
      <c r="A849" s="93" t="s">
        <v>2266</v>
      </c>
      <c r="B849">
        <v>179043</v>
      </c>
      <c r="C849" t="s">
        <v>87</v>
      </c>
    </row>
    <row r="850" spans="1:3">
      <c r="A850" s="93" t="s">
        <v>2311</v>
      </c>
      <c r="B850">
        <v>180595</v>
      </c>
      <c r="C850" t="s">
        <v>87</v>
      </c>
    </row>
    <row r="851" spans="1:3">
      <c r="A851" s="93" t="s">
        <v>3372</v>
      </c>
      <c r="B851">
        <v>217518</v>
      </c>
      <c r="C851" t="s">
        <v>87</v>
      </c>
    </row>
    <row r="852" spans="1:3">
      <c r="A852" s="93" t="s">
        <v>3074</v>
      </c>
      <c r="B852">
        <v>207661</v>
      </c>
      <c r="C852" t="s">
        <v>87</v>
      </c>
    </row>
    <row r="853" spans="1:3">
      <c r="A853" s="93" t="s">
        <v>1265</v>
      </c>
      <c r="B853">
        <v>136950</v>
      </c>
      <c r="C853" t="s">
        <v>87</v>
      </c>
    </row>
    <row r="854" spans="1:3">
      <c r="A854" s="93" t="s">
        <v>1502</v>
      </c>
      <c r="B854">
        <v>148487</v>
      </c>
      <c r="C854" t="s">
        <v>87</v>
      </c>
    </row>
    <row r="855" spans="1:3">
      <c r="A855" s="93" t="s">
        <v>1576</v>
      </c>
      <c r="B855">
        <v>152318</v>
      </c>
      <c r="C855" t="s">
        <v>87</v>
      </c>
    </row>
    <row r="856" spans="1:3">
      <c r="A856" s="93" t="s">
        <v>3319</v>
      </c>
      <c r="B856">
        <v>215691</v>
      </c>
      <c r="C856" t="s">
        <v>87</v>
      </c>
    </row>
    <row r="857" spans="1:3">
      <c r="A857" s="93" t="s">
        <v>2404</v>
      </c>
      <c r="B857">
        <v>184782</v>
      </c>
      <c r="C857" t="s">
        <v>87</v>
      </c>
    </row>
    <row r="858" spans="1:3">
      <c r="A858" s="93" t="s">
        <v>2195</v>
      </c>
      <c r="B858">
        <v>176318</v>
      </c>
      <c r="C858" t="s">
        <v>138</v>
      </c>
    </row>
    <row r="859" spans="1:3">
      <c r="A859" s="93" t="s">
        <v>2429</v>
      </c>
      <c r="B859">
        <v>186371</v>
      </c>
      <c r="C859" t="s">
        <v>87</v>
      </c>
    </row>
    <row r="860" spans="1:3">
      <c r="A860" s="93" t="s">
        <v>2430</v>
      </c>
      <c r="B860">
        <v>186380</v>
      </c>
      <c r="C860" t="s">
        <v>87</v>
      </c>
    </row>
    <row r="861" spans="1:3">
      <c r="A861" s="93" t="s">
        <v>2431</v>
      </c>
      <c r="B861">
        <v>186399</v>
      </c>
      <c r="C861" t="s">
        <v>87</v>
      </c>
    </row>
    <row r="862" spans="1:3">
      <c r="A862" s="93" t="s">
        <v>1150</v>
      </c>
      <c r="B862">
        <v>130253</v>
      </c>
      <c r="C862" t="s">
        <v>87</v>
      </c>
    </row>
    <row r="863" spans="1:3">
      <c r="A863" s="93" t="s">
        <v>2074</v>
      </c>
      <c r="B863">
        <v>172051</v>
      </c>
      <c r="C863" t="s">
        <v>87</v>
      </c>
    </row>
    <row r="864" spans="1:3">
      <c r="A864" s="93" t="s">
        <v>1644</v>
      </c>
      <c r="B864">
        <v>154235</v>
      </c>
      <c r="C864" t="s">
        <v>87</v>
      </c>
    </row>
    <row r="865" spans="1:3">
      <c r="A865" s="93" t="s">
        <v>2378</v>
      </c>
      <c r="B865">
        <v>183239</v>
      </c>
      <c r="C865" t="s">
        <v>87</v>
      </c>
    </row>
    <row r="866" spans="1:3">
      <c r="A866" s="93" t="s">
        <v>5729</v>
      </c>
      <c r="B866">
        <v>199582</v>
      </c>
      <c r="C866" t="s">
        <v>138</v>
      </c>
    </row>
    <row r="867" spans="1:3">
      <c r="A867" s="93" t="s">
        <v>5730</v>
      </c>
      <c r="B867">
        <v>195164</v>
      </c>
      <c r="C867" t="s">
        <v>87</v>
      </c>
    </row>
    <row r="868" spans="1:3">
      <c r="A868" s="93" t="s">
        <v>2147</v>
      </c>
      <c r="B868">
        <v>174783</v>
      </c>
      <c r="C868" t="s">
        <v>87</v>
      </c>
    </row>
    <row r="869" spans="1:3">
      <c r="A869" s="93" t="s">
        <v>3650</v>
      </c>
      <c r="B869">
        <v>227845</v>
      </c>
      <c r="C869" t="s">
        <v>87</v>
      </c>
    </row>
    <row r="870" spans="1:3">
      <c r="A870" s="93" t="s">
        <v>3320</v>
      </c>
      <c r="B870">
        <v>215743</v>
      </c>
      <c r="C870" t="s">
        <v>87</v>
      </c>
    </row>
    <row r="871" spans="1:3">
      <c r="A871" s="93" t="s">
        <v>2665</v>
      </c>
      <c r="B871">
        <v>195720</v>
      </c>
      <c r="C871" t="s">
        <v>87</v>
      </c>
    </row>
    <row r="872" spans="1:3">
      <c r="A872" s="93" t="s">
        <v>5731</v>
      </c>
      <c r="B872">
        <v>174792</v>
      </c>
      <c r="C872" t="s">
        <v>87</v>
      </c>
    </row>
    <row r="873" spans="1:3">
      <c r="A873" s="93" t="s">
        <v>5732</v>
      </c>
      <c r="B873">
        <v>130314</v>
      </c>
      <c r="C873" t="s">
        <v>87</v>
      </c>
    </row>
    <row r="874" spans="1:3">
      <c r="A874" s="93" t="s">
        <v>1578</v>
      </c>
      <c r="B874">
        <v>152363</v>
      </c>
      <c r="C874" t="s">
        <v>87</v>
      </c>
    </row>
    <row r="875" spans="1:3">
      <c r="A875" s="93" t="s">
        <v>1850</v>
      </c>
      <c r="B875">
        <v>161518</v>
      </c>
      <c r="C875" t="s">
        <v>87</v>
      </c>
    </row>
    <row r="876" spans="1:3">
      <c r="A876" s="93" t="s">
        <v>5733</v>
      </c>
      <c r="B876">
        <v>195544</v>
      </c>
      <c r="C876" t="s">
        <v>87</v>
      </c>
    </row>
    <row r="877" spans="1:3">
      <c r="A877" s="93" t="s">
        <v>3321</v>
      </c>
      <c r="B877">
        <v>215770</v>
      </c>
      <c r="C877" t="s">
        <v>87</v>
      </c>
    </row>
    <row r="878" spans="1:3">
      <c r="A878" s="93" t="s">
        <v>1266</v>
      </c>
      <c r="B878">
        <v>137032</v>
      </c>
      <c r="C878" t="s">
        <v>87</v>
      </c>
    </row>
    <row r="879" spans="1:3">
      <c r="A879" s="93" t="s">
        <v>5734</v>
      </c>
      <c r="B879">
        <v>179159</v>
      </c>
      <c r="C879" t="s">
        <v>87</v>
      </c>
    </row>
    <row r="880" spans="1:3">
      <c r="A880" s="93" t="s">
        <v>3864</v>
      </c>
      <c r="B880">
        <v>236452</v>
      </c>
      <c r="C880" t="s">
        <v>87</v>
      </c>
    </row>
    <row r="881" spans="1:3">
      <c r="A881" s="93" t="s">
        <v>1579</v>
      </c>
      <c r="B881">
        <v>152381</v>
      </c>
      <c r="C881" t="s">
        <v>87</v>
      </c>
    </row>
    <row r="882" spans="1:3">
      <c r="A882" s="93" t="s">
        <v>523</v>
      </c>
      <c r="B882">
        <v>152390</v>
      </c>
      <c r="C882" t="s">
        <v>87</v>
      </c>
    </row>
    <row r="883" spans="1:3">
      <c r="A883" s="93" t="s">
        <v>5735</v>
      </c>
      <c r="B883">
        <v>123554</v>
      </c>
      <c r="C883" t="s">
        <v>87</v>
      </c>
    </row>
    <row r="884" spans="1:3">
      <c r="A884" s="93" t="s">
        <v>2149</v>
      </c>
      <c r="B884">
        <v>174817</v>
      </c>
      <c r="C884" t="s">
        <v>87</v>
      </c>
    </row>
    <row r="885" spans="1:3">
      <c r="A885" s="93" t="s">
        <v>3738</v>
      </c>
      <c r="B885">
        <v>231059</v>
      </c>
      <c r="C885" t="s">
        <v>87</v>
      </c>
    </row>
    <row r="886" spans="1:3">
      <c r="A886" s="93" t="s">
        <v>3953</v>
      </c>
      <c r="B886">
        <v>239716</v>
      </c>
      <c r="C886" t="s">
        <v>87</v>
      </c>
    </row>
    <row r="887" spans="1:3">
      <c r="A887" s="93" t="s">
        <v>5736</v>
      </c>
      <c r="B887">
        <v>186432</v>
      </c>
      <c r="C887" t="s">
        <v>87</v>
      </c>
    </row>
    <row r="888" spans="1:3">
      <c r="A888" s="93" t="s">
        <v>5737</v>
      </c>
      <c r="B888">
        <v>195243</v>
      </c>
      <c r="C888" t="s">
        <v>87</v>
      </c>
    </row>
    <row r="889" spans="1:3">
      <c r="A889" s="93" t="s">
        <v>5738</v>
      </c>
      <c r="B889">
        <v>137476</v>
      </c>
      <c r="C889" t="s">
        <v>87</v>
      </c>
    </row>
    <row r="890" spans="1:3">
      <c r="A890" s="93" t="s">
        <v>3322</v>
      </c>
      <c r="B890">
        <v>215798</v>
      </c>
      <c r="C890" t="s">
        <v>87</v>
      </c>
    </row>
    <row r="891" spans="1:3">
      <c r="A891" s="93" t="s">
        <v>524</v>
      </c>
      <c r="B891">
        <v>148627</v>
      </c>
      <c r="C891" t="s">
        <v>87</v>
      </c>
    </row>
    <row r="892" spans="1:3">
      <c r="A892" s="93" t="s">
        <v>5739</v>
      </c>
      <c r="B892">
        <v>199607</v>
      </c>
      <c r="C892" t="s">
        <v>87</v>
      </c>
    </row>
    <row r="893" spans="1:3">
      <c r="A893" s="93" t="s">
        <v>3903</v>
      </c>
      <c r="B893">
        <v>237783</v>
      </c>
      <c r="C893" t="s">
        <v>87</v>
      </c>
    </row>
    <row r="894" spans="1:3">
      <c r="A894" s="93" t="s">
        <v>1993</v>
      </c>
      <c r="B894">
        <v>167729</v>
      </c>
      <c r="C894" t="s">
        <v>87</v>
      </c>
    </row>
    <row r="895" spans="1:3">
      <c r="A895" s="93" t="s">
        <v>1892</v>
      </c>
      <c r="B895">
        <v>163851</v>
      </c>
      <c r="C895" t="s">
        <v>87</v>
      </c>
    </row>
    <row r="896" spans="1:3">
      <c r="A896" s="93" t="s">
        <v>3373</v>
      </c>
      <c r="B896">
        <v>217536</v>
      </c>
      <c r="C896" t="s">
        <v>87</v>
      </c>
    </row>
    <row r="897" spans="1:3">
      <c r="A897" s="93" t="s">
        <v>3652</v>
      </c>
      <c r="B897">
        <v>227881</v>
      </c>
      <c r="C897" t="s">
        <v>87</v>
      </c>
    </row>
    <row r="898" spans="1:3">
      <c r="A898" s="93" t="s">
        <v>662</v>
      </c>
      <c r="B898">
        <v>102049</v>
      </c>
      <c r="C898" t="s">
        <v>87</v>
      </c>
    </row>
    <row r="899" spans="1:3">
      <c r="A899" s="93" t="s">
        <v>837</v>
      </c>
      <c r="B899">
        <v>112084</v>
      </c>
      <c r="C899" t="s">
        <v>87</v>
      </c>
    </row>
    <row r="900" spans="1:3">
      <c r="A900" s="93" t="s">
        <v>991</v>
      </c>
      <c r="B900">
        <v>122409</v>
      </c>
      <c r="C900" t="s">
        <v>87</v>
      </c>
    </row>
    <row r="901" spans="1:3">
      <c r="A901" s="93" t="s">
        <v>995</v>
      </c>
      <c r="B901">
        <v>122597</v>
      </c>
      <c r="C901" t="s">
        <v>87</v>
      </c>
    </row>
    <row r="902" spans="1:3">
      <c r="A902" s="93" t="s">
        <v>1002</v>
      </c>
      <c r="B902">
        <v>122755</v>
      </c>
      <c r="C902" t="s">
        <v>87</v>
      </c>
    </row>
    <row r="903" spans="1:3">
      <c r="A903" s="93" t="s">
        <v>1007</v>
      </c>
      <c r="B903">
        <v>122931</v>
      </c>
      <c r="C903" t="s">
        <v>87</v>
      </c>
    </row>
    <row r="904" spans="1:3">
      <c r="A904" s="93" t="s">
        <v>2469</v>
      </c>
      <c r="B904">
        <v>188146</v>
      </c>
      <c r="C904" t="s">
        <v>87</v>
      </c>
    </row>
    <row r="905" spans="1:3">
      <c r="A905" s="93" t="s">
        <v>2657</v>
      </c>
      <c r="B905">
        <v>195304</v>
      </c>
      <c r="C905" t="s">
        <v>87</v>
      </c>
    </row>
    <row r="906" spans="1:3">
      <c r="A906" s="93" t="s">
        <v>1363</v>
      </c>
      <c r="B906">
        <v>140960</v>
      </c>
      <c r="C906" t="s">
        <v>138</v>
      </c>
    </row>
    <row r="907" spans="1:3">
      <c r="A907" s="93" t="s">
        <v>3655</v>
      </c>
      <c r="B907">
        <v>228042</v>
      </c>
      <c r="C907" t="s">
        <v>87</v>
      </c>
    </row>
    <row r="908" spans="1:3">
      <c r="A908" s="93" t="s">
        <v>5740</v>
      </c>
      <c r="B908">
        <v>123165</v>
      </c>
      <c r="C908" t="s">
        <v>87</v>
      </c>
    </row>
    <row r="909" spans="1:3">
      <c r="A909" s="93" t="s">
        <v>3867</v>
      </c>
      <c r="B909">
        <v>236577</v>
      </c>
      <c r="C909" t="s">
        <v>87</v>
      </c>
    </row>
    <row r="910" spans="1:3">
      <c r="A910" s="93" t="s">
        <v>507</v>
      </c>
      <c r="B910">
        <v>236595</v>
      </c>
      <c r="C910" t="s">
        <v>87</v>
      </c>
    </row>
    <row r="911" spans="1:3">
      <c r="A911" s="93" t="s">
        <v>2436</v>
      </c>
      <c r="B911">
        <v>186584</v>
      </c>
      <c r="C911" t="s">
        <v>87</v>
      </c>
    </row>
    <row r="912" spans="1:3">
      <c r="A912" s="93" t="s">
        <v>3325</v>
      </c>
      <c r="B912">
        <v>215947</v>
      </c>
      <c r="C912" t="s">
        <v>87</v>
      </c>
    </row>
    <row r="913" spans="1:3">
      <c r="A913" s="93" t="s">
        <v>3521</v>
      </c>
      <c r="B913">
        <v>221519</v>
      </c>
      <c r="C913" t="s">
        <v>87</v>
      </c>
    </row>
    <row r="914" spans="1:3">
      <c r="A914" s="93" t="s">
        <v>2825</v>
      </c>
      <c r="B914">
        <v>199643</v>
      </c>
      <c r="C914" t="s">
        <v>138</v>
      </c>
    </row>
    <row r="915" spans="1:3">
      <c r="A915" s="93" t="s">
        <v>3805</v>
      </c>
      <c r="B915">
        <v>233541</v>
      </c>
      <c r="C915" t="s">
        <v>87</v>
      </c>
    </row>
    <row r="916" spans="1:3">
      <c r="A916" s="93" t="s">
        <v>3904</v>
      </c>
      <c r="B916">
        <v>237792</v>
      </c>
      <c r="C916" t="s">
        <v>87</v>
      </c>
    </row>
    <row r="917" spans="1:3">
      <c r="A917" s="93" t="s">
        <v>5741</v>
      </c>
      <c r="B917">
        <v>148849</v>
      </c>
      <c r="C917" t="s">
        <v>87</v>
      </c>
    </row>
    <row r="918" spans="1:3">
      <c r="A918" s="93" t="s">
        <v>3328</v>
      </c>
      <c r="B918">
        <v>216010</v>
      </c>
      <c r="C918" t="s">
        <v>87</v>
      </c>
    </row>
    <row r="919" spans="1:3">
      <c r="A919" s="93" t="s">
        <v>1364</v>
      </c>
      <c r="B919">
        <v>140988</v>
      </c>
      <c r="C919" t="s">
        <v>87</v>
      </c>
    </row>
    <row r="920" spans="1:3">
      <c r="A920" s="93" t="s">
        <v>2660</v>
      </c>
      <c r="B920">
        <v>195474</v>
      </c>
      <c r="C920" t="s">
        <v>87</v>
      </c>
    </row>
    <row r="921" spans="1:3">
      <c r="A921" s="93" t="s">
        <v>2076</v>
      </c>
      <c r="B921">
        <v>172264</v>
      </c>
      <c r="C921" t="s">
        <v>87</v>
      </c>
    </row>
    <row r="922" spans="1:3">
      <c r="A922" s="93" t="s">
        <v>1995</v>
      </c>
      <c r="B922">
        <v>167783</v>
      </c>
      <c r="C922" t="s">
        <v>87</v>
      </c>
    </row>
    <row r="923" spans="1:3">
      <c r="A923" s="93" t="s">
        <v>1648</v>
      </c>
      <c r="B923">
        <v>154350</v>
      </c>
      <c r="C923" t="s">
        <v>87</v>
      </c>
    </row>
    <row r="924" spans="1:3">
      <c r="A924" s="93" t="s">
        <v>1017</v>
      </c>
      <c r="B924">
        <v>123457</v>
      </c>
      <c r="C924" t="s">
        <v>87</v>
      </c>
    </row>
    <row r="925" spans="1:3">
      <c r="A925" s="93" t="s">
        <v>495</v>
      </c>
      <c r="B925">
        <v>195526</v>
      </c>
      <c r="C925" t="s">
        <v>87</v>
      </c>
    </row>
    <row r="926" spans="1:3">
      <c r="A926" s="93" t="s">
        <v>3329</v>
      </c>
      <c r="B926">
        <v>216038</v>
      </c>
      <c r="C926" t="s">
        <v>87</v>
      </c>
    </row>
    <row r="927" spans="1:3">
      <c r="A927" s="93" t="s">
        <v>565</v>
      </c>
      <c r="B927">
        <v>167835</v>
      </c>
      <c r="C927" t="s">
        <v>87</v>
      </c>
    </row>
    <row r="928" spans="1:3">
      <c r="A928" s="93" t="s">
        <v>1894</v>
      </c>
      <c r="B928">
        <v>163921</v>
      </c>
      <c r="C928" t="s">
        <v>87</v>
      </c>
    </row>
    <row r="929" spans="1:3">
      <c r="A929" s="93" t="s">
        <v>4301</v>
      </c>
      <c r="B929">
        <v>399911</v>
      </c>
      <c r="C929" t="s">
        <v>87</v>
      </c>
    </row>
    <row r="930" spans="1:3">
      <c r="A930" s="93" t="s">
        <v>1024</v>
      </c>
      <c r="B930">
        <v>123572</v>
      </c>
      <c r="C930" t="s">
        <v>87</v>
      </c>
    </row>
    <row r="931" spans="1:3">
      <c r="A931" s="93" t="s">
        <v>3417</v>
      </c>
      <c r="B931">
        <v>218733</v>
      </c>
      <c r="C931" t="s">
        <v>138</v>
      </c>
    </row>
    <row r="932" spans="1:3">
      <c r="A932" s="93" t="s">
        <v>3448</v>
      </c>
      <c r="B932">
        <v>219356</v>
      </c>
      <c r="C932" t="s">
        <v>87</v>
      </c>
    </row>
    <row r="933" spans="1:3">
      <c r="A933" s="93" t="s">
        <v>1328</v>
      </c>
      <c r="B933">
        <v>139579</v>
      </c>
      <c r="C933" t="s">
        <v>87</v>
      </c>
    </row>
    <row r="934" spans="1:3">
      <c r="A934" s="93" t="s">
        <v>2280</v>
      </c>
      <c r="B934">
        <v>179557</v>
      </c>
      <c r="C934" t="s">
        <v>87</v>
      </c>
    </row>
    <row r="935" spans="1:3">
      <c r="A935" s="93" t="s">
        <v>1820</v>
      </c>
      <c r="B935">
        <v>160612</v>
      </c>
      <c r="C935" t="s">
        <v>87</v>
      </c>
    </row>
    <row r="936" spans="1:3">
      <c r="A936" s="93" t="s">
        <v>3079</v>
      </c>
      <c r="B936">
        <v>207847</v>
      </c>
      <c r="C936" t="s">
        <v>87</v>
      </c>
    </row>
    <row r="937" spans="1:3">
      <c r="A937" s="93" t="s">
        <v>1279</v>
      </c>
      <c r="B937">
        <v>137564</v>
      </c>
      <c r="C937" t="s">
        <v>87</v>
      </c>
    </row>
    <row r="938" spans="1:3">
      <c r="A938" s="93" t="s">
        <v>3529</v>
      </c>
      <c r="B938">
        <v>221661</v>
      </c>
      <c r="C938" t="s">
        <v>87</v>
      </c>
    </row>
    <row r="939" spans="1:3">
      <c r="A939" s="93" t="s">
        <v>765</v>
      </c>
      <c r="B939">
        <v>107983</v>
      </c>
      <c r="C939" t="s">
        <v>87</v>
      </c>
    </row>
    <row r="940" spans="1:3">
      <c r="A940" s="93" t="s">
        <v>1033</v>
      </c>
      <c r="B940">
        <v>123952</v>
      </c>
      <c r="C940" t="s">
        <v>87</v>
      </c>
    </row>
    <row r="941" spans="1:3">
      <c r="A941" s="93" t="s">
        <v>1154</v>
      </c>
      <c r="B941">
        <v>130493</v>
      </c>
      <c r="C941" t="s">
        <v>87</v>
      </c>
    </row>
    <row r="942" spans="1:3">
      <c r="A942" s="93" t="s">
        <v>5742</v>
      </c>
      <c r="B942">
        <v>149222</v>
      </c>
      <c r="C942" t="s">
        <v>87</v>
      </c>
    </row>
    <row r="943" spans="1:3">
      <c r="A943" s="93" t="s">
        <v>5743</v>
      </c>
      <c r="B943">
        <v>149231</v>
      </c>
      <c r="C943" t="s">
        <v>87</v>
      </c>
    </row>
    <row r="944" spans="1:3">
      <c r="A944" s="93" t="s">
        <v>3659</v>
      </c>
      <c r="B944">
        <v>228246</v>
      </c>
      <c r="C944" t="s">
        <v>87</v>
      </c>
    </row>
    <row r="945" spans="1:3">
      <c r="A945" s="93" t="s">
        <v>2366</v>
      </c>
      <c r="B945">
        <v>183026</v>
      </c>
      <c r="C945" t="s">
        <v>87</v>
      </c>
    </row>
    <row r="946" spans="1:3">
      <c r="A946" s="93" t="s">
        <v>3136</v>
      </c>
      <c r="B946">
        <v>210146</v>
      </c>
      <c r="C946" t="s">
        <v>87</v>
      </c>
    </row>
    <row r="947" spans="1:3">
      <c r="A947" s="93" t="s">
        <v>5744</v>
      </c>
      <c r="B947">
        <v>141097</v>
      </c>
      <c r="C947" t="s">
        <v>87</v>
      </c>
    </row>
    <row r="948" spans="1:3">
      <c r="A948" s="93" t="s">
        <v>1821</v>
      </c>
      <c r="B948">
        <v>160621</v>
      </c>
      <c r="C948" t="s">
        <v>138</v>
      </c>
    </row>
    <row r="949" spans="1:3">
      <c r="A949" s="93" t="s">
        <v>3719</v>
      </c>
      <c r="B949">
        <v>230603</v>
      </c>
      <c r="C949" t="s">
        <v>87</v>
      </c>
    </row>
    <row r="950" spans="1:3">
      <c r="A950" s="93" t="s">
        <v>3741</v>
      </c>
      <c r="B950">
        <v>231086</v>
      </c>
      <c r="C950" t="s">
        <v>87</v>
      </c>
    </row>
    <row r="951" spans="1:3">
      <c r="A951" s="93" t="s">
        <v>3806</v>
      </c>
      <c r="B951">
        <v>233611</v>
      </c>
      <c r="C951" t="s">
        <v>87</v>
      </c>
    </row>
    <row r="952" spans="1:3">
      <c r="A952" s="93" t="s">
        <v>3381</v>
      </c>
      <c r="B952">
        <v>217776</v>
      </c>
      <c r="C952" t="s">
        <v>87</v>
      </c>
    </row>
    <row r="953" spans="1:3">
      <c r="A953" s="93" t="s">
        <v>2274</v>
      </c>
      <c r="B953">
        <v>179326</v>
      </c>
      <c r="C953" t="s">
        <v>87</v>
      </c>
    </row>
    <row r="954" spans="1:3">
      <c r="A954" s="93" t="s">
        <v>2157</v>
      </c>
      <c r="B954">
        <v>175078</v>
      </c>
      <c r="C954" t="s">
        <v>87</v>
      </c>
    </row>
    <row r="955" spans="1:3">
      <c r="A955" s="93" t="s">
        <v>3665</v>
      </c>
      <c r="B955">
        <v>228468</v>
      </c>
      <c r="C955" t="s">
        <v>87</v>
      </c>
    </row>
    <row r="956" spans="1:3">
      <c r="A956" s="93" t="s">
        <v>3080</v>
      </c>
      <c r="B956">
        <v>207856</v>
      </c>
      <c r="C956" t="s">
        <v>87</v>
      </c>
    </row>
    <row r="957" spans="1:3">
      <c r="A957" s="93" t="s">
        <v>1713</v>
      </c>
      <c r="B957">
        <v>155900</v>
      </c>
      <c r="C957" t="s">
        <v>87</v>
      </c>
    </row>
    <row r="958" spans="1:3">
      <c r="A958" s="93" t="s">
        <v>3081</v>
      </c>
      <c r="B958">
        <v>207865</v>
      </c>
      <c r="C958" t="s">
        <v>87</v>
      </c>
    </row>
    <row r="959" spans="1:3">
      <c r="A959" s="93" t="s">
        <v>3662</v>
      </c>
      <c r="B959">
        <v>228343</v>
      </c>
      <c r="C959" t="s">
        <v>87</v>
      </c>
    </row>
    <row r="960" spans="1:3">
      <c r="A960" s="93" t="s">
        <v>1777</v>
      </c>
      <c r="B960">
        <v>157757</v>
      </c>
      <c r="C960" t="s">
        <v>87</v>
      </c>
    </row>
    <row r="961" spans="1:3">
      <c r="A961" s="93" t="s">
        <v>5745</v>
      </c>
      <c r="B961">
        <v>141060</v>
      </c>
      <c r="C961" t="s">
        <v>138</v>
      </c>
    </row>
    <row r="962" spans="1:3">
      <c r="A962" s="93" t="s">
        <v>2079</v>
      </c>
      <c r="B962">
        <v>172334</v>
      </c>
      <c r="C962" t="s">
        <v>87</v>
      </c>
    </row>
    <row r="963" spans="1:3">
      <c r="A963" s="93" t="s">
        <v>667</v>
      </c>
      <c r="B963">
        <v>102234</v>
      </c>
      <c r="C963" t="s">
        <v>87</v>
      </c>
    </row>
    <row r="964" spans="1:3">
      <c r="A964" s="93" t="s">
        <v>1998</v>
      </c>
      <c r="B964">
        <v>167899</v>
      </c>
      <c r="C964" t="s">
        <v>87</v>
      </c>
    </row>
    <row r="965" spans="1:3">
      <c r="A965" s="93" t="s">
        <v>5746</v>
      </c>
      <c r="B965">
        <v>199698</v>
      </c>
      <c r="C965" t="s">
        <v>87</v>
      </c>
    </row>
    <row r="966" spans="1:3">
      <c r="A966" s="93" t="s">
        <v>2154</v>
      </c>
      <c r="B966">
        <v>175005</v>
      </c>
      <c r="C966" t="s">
        <v>87</v>
      </c>
    </row>
    <row r="967" spans="1:3">
      <c r="A967" s="93" t="s">
        <v>5747</v>
      </c>
      <c r="B967">
        <v>163976</v>
      </c>
      <c r="C967" t="s">
        <v>87</v>
      </c>
    </row>
    <row r="968" spans="1:3">
      <c r="A968" s="93" t="s">
        <v>5747</v>
      </c>
      <c r="B968">
        <v>245652</v>
      </c>
      <c r="C968" t="s">
        <v>87</v>
      </c>
    </row>
    <row r="969" spans="1:3">
      <c r="A969" s="93" t="s">
        <v>2667</v>
      </c>
      <c r="B969">
        <v>195809</v>
      </c>
      <c r="C969" t="s">
        <v>87</v>
      </c>
    </row>
    <row r="970" spans="1:3">
      <c r="A970" s="93" t="s">
        <v>2653</v>
      </c>
      <c r="B970">
        <v>195216</v>
      </c>
      <c r="C970" t="s">
        <v>87</v>
      </c>
    </row>
    <row r="971" spans="1:3">
      <c r="A971" s="93" t="s">
        <v>1893</v>
      </c>
      <c r="B971">
        <v>163912</v>
      </c>
      <c r="C971" t="s">
        <v>87</v>
      </c>
    </row>
    <row r="972" spans="1:3">
      <c r="A972" s="93" t="s">
        <v>5748</v>
      </c>
      <c r="B972">
        <v>228149</v>
      </c>
      <c r="C972" t="s">
        <v>87</v>
      </c>
    </row>
    <row r="973" spans="1:3">
      <c r="A973" s="93" t="s">
        <v>2150</v>
      </c>
      <c r="B973">
        <v>174844</v>
      </c>
      <c r="C973" t="s">
        <v>87</v>
      </c>
    </row>
    <row r="974" spans="1:3">
      <c r="A974" s="93" t="s">
        <v>5749</v>
      </c>
      <c r="B974">
        <v>195173</v>
      </c>
      <c r="C974" t="s">
        <v>87</v>
      </c>
    </row>
    <row r="975" spans="1:3">
      <c r="A975" s="93" t="s">
        <v>504</v>
      </c>
      <c r="B975">
        <v>243744</v>
      </c>
      <c r="C975" t="s">
        <v>87</v>
      </c>
    </row>
    <row r="976" spans="1:3">
      <c r="A976" s="93" t="s">
        <v>2687</v>
      </c>
      <c r="B976">
        <v>196176</v>
      </c>
      <c r="C976" t="s">
        <v>87</v>
      </c>
    </row>
    <row r="977" spans="1:3">
      <c r="A977" s="93" t="s">
        <v>3663</v>
      </c>
      <c r="B977">
        <v>228431</v>
      </c>
      <c r="C977" t="s">
        <v>87</v>
      </c>
    </row>
    <row r="978" spans="1:3">
      <c r="A978" s="93" t="s">
        <v>5750</v>
      </c>
      <c r="B978">
        <v>179548</v>
      </c>
      <c r="C978" t="s">
        <v>87</v>
      </c>
    </row>
    <row r="979" spans="1:3">
      <c r="A979" s="93" t="s">
        <v>1714</v>
      </c>
      <c r="B979">
        <v>155937</v>
      </c>
      <c r="C979" t="s">
        <v>87</v>
      </c>
    </row>
    <row r="980" spans="1:3">
      <c r="A980" s="93" t="s">
        <v>1714</v>
      </c>
      <c r="B980">
        <v>231095</v>
      </c>
      <c r="C980" t="s">
        <v>87</v>
      </c>
    </row>
    <row r="981" spans="1:3">
      <c r="A981" s="93" t="s">
        <v>1278</v>
      </c>
      <c r="B981">
        <v>137546</v>
      </c>
      <c r="C981" t="s">
        <v>87</v>
      </c>
    </row>
    <row r="982" spans="1:3">
      <c r="A982" s="93" t="s">
        <v>2439</v>
      </c>
      <c r="B982">
        <v>186867</v>
      </c>
      <c r="C982" t="s">
        <v>87</v>
      </c>
    </row>
    <row r="983" spans="1:3">
      <c r="A983" s="93" t="s">
        <v>1900</v>
      </c>
      <c r="B983">
        <v>164173</v>
      </c>
      <c r="C983" t="s">
        <v>87</v>
      </c>
    </row>
    <row r="984" spans="1:3">
      <c r="A984" s="93" t="s">
        <v>669</v>
      </c>
      <c r="B984">
        <v>102270</v>
      </c>
      <c r="C984" t="s">
        <v>138</v>
      </c>
    </row>
    <row r="985" spans="1:3">
      <c r="A985" s="93" t="s">
        <v>2001</v>
      </c>
      <c r="B985">
        <v>167996</v>
      </c>
      <c r="C985" t="s">
        <v>87</v>
      </c>
    </row>
    <row r="986" spans="1:3">
      <c r="A986" s="93" t="s">
        <v>2679</v>
      </c>
      <c r="B986">
        <v>196097</v>
      </c>
      <c r="C986" t="s">
        <v>87</v>
      </c>
    </row>
    <row r="987" spans="1:3">
      <c r="A987" s="93" t="s">
        <v>2002</v>
      </c>
      <c r="B987">
        <v>168005</v>
      </c>
      <c r="C987" t="s">
        <v>87</v>
      </c>
    </row>
    <row r="988" spans="1:3">
      <c r="A988" s="93" t="s">
        <v>3667</v>
      </c>
      <c r="B988">
        <v>228501</v>
      </c>
      <c r="C988" t="s">
        <v>87</v>
      </c>
    </row>
    <row r="989" spans="1:3">
      <c r="A989" s="93" t="s">
        <v>2343</v>
      </c>
      <c r="B989">
        <v>181543</v>
      </c>
      <c r="C989" t="s">
        <v>87</v>
      </c>
    </row>
    <row r="990" spans="1:3">
      <c r="A990" s="93" t="s">
        <v>2676</v>
      </c>
      <c r="B990">
        <v>196060</v>
      </c>
      <c r="C990" t="s">
        <v>87</v>
      </c>
    </row>
    <row r="991" spans="1:3">
      <c r="A991" s="93" t="s">
        <v>5751</v>
      </c>
      <c r="B991">
        <v>196079</v>
      </c>
      <c r="C991" t="s">
        <v>87</v>
      </c>
    </row>
    <row r="992" spans="1:3">
      <c r="A992" s="93" t="s">
        <v>2685</v>
      </c>
      <c r="B992">
        <v>196158</v>
      </c>
      <c r="C992" t="s">
        <v>87</v>
      </c>
    </row>
    <row r="993" spans="1:3">
      <c r="A993" s="93" t="s">
        <v>5752</v>
      </c>
      <c r="B993">
        <v>196167</v>
      </c>
      <c r="C993" t="s">
        <v>87</v>
      </c>
    </row>
    <row r="994" spans="1:3">
      <c r="A994" s="93" t="s">
        <v>2691</v>
      </c>
      <c r="B994">
        <v>196219</v>
      </c>
      <c r="C994" t="s">
        <v>87</v>
      </c>
    </row>
    <row r="995" spans="1:3">
      <c r="A995" s="93" t="s">
        <v>2682</v>
      </c>
      <c r="B995">
        <v>196121</v>
      </c>
      <c r="C995" t="s">
        <v>87</v>
      </c>
    </row>
    <row r="996" spans="1:3">
      <c r="A996" s="93" t="s">
        <v>5753</v>
      </c>
      <c r="B996">
        <v>196130</v>
      </c>
      <c r="C996" t="s">
        <v>87</v>
      </c>
    </row>
    <row r="997" spans="1:3">
      <c r="A997" s="93" t="s">
        <v>5754</v>
      </c>
      <c r="B997">
        <v>196149</v>
      </c>
      <c r="C997" t="s">
        <v>87</v>
      </c>
    </row>
    <row r="998" spans="1:3">
      <c r="A998" s="93" t="s">
        <v>2693</v>
      </c>
      <c r="B998">
        <v>196237</v>
      </c>
      <c r="C998" t="s">
        <v>87</v>
      </c>
    </row>
    <row r="999" spans="1:3">
      <c r="A999" s="93" t="s">
        <v>5755</v>
      </c>
      <c r="B999">
        <v>196185</v>
      </c>
      <c r="C999" t="s">
        <v>87</v>
      </c>
    </row>
    <row r="1000" spans="1:3">
      <c r="A1000" s="93" t="s">
        <v>2689</v>
      </c>
      <c r="B1000">
        <v>196194</v>
      </c>
      <c r="C1000" t="s">
        <v>87</v>
      </c>
    </row>
    <row r="1001" spans="1:3">
      <c r="A1001" s="93" t="s">
        <v>2694</v>
      </c>
      <c r="B1001">
        <v>196246</v>
      </c>
      <c r="C1001" t="s">
        <v>87</v>
      </c>
    </row>
    <row r="1002" spans="1:3">
      <c r="A1002" s="93" t="s">
        <v>2690</v>
      </c>
      <c r="B1002">
        <v>196200</v>
      </c>
      <c r="C1002" t="s">
        <v>87</v>
      </c>
    </row>
    <row r="1003" spans="1:3">
      <c r="A1003" s="93" t="s">
        <v>2673</v>
      </c>
      <c r="B1003">
        <v>196033</v>
      </c>
      <c r="C1003" t="s">
        <v>87</v>
      </c>
    </row>
    <row r="1004" spans="1:3">
      <c r="A1004" s="93" t="s">
        <v>2680</v>
      </c>
      <c r="B1004">
        <v>196103</v>
      </c>
      <c r="C1004" t="s">
        <v>87</v>
      </c>
    </row>
    <row r="1005" spans="1:3">
      <c r="A1005" s="93" t="s">
        <v>2670</v>
      </c>
      <c r="B1005">
        <v>196006</v>
      </c>
      <c r="C1005" t="s">
        <v>87</v>
      </c>
    </row>
    <row r="1006" spans="1:3">
      <c r="A1006" s="93" t="s">
        <v>5756</v>
      </c>
      <c r="B1006">
        <v>196112</v>
      </c>
      <c r="C1006" t="s">
        <v>87</v>
      </c>
    </row>
    <row r="1007" spans="1:3">
      <c r="A1007" s="93" t="s">
        <v>2697</v>
      </c>
      <c r="B1007">
        <v>196291</v>
      </c>
      <c r="C1007" t="s">
        <v>87</v>
      </c>
    </row>
    <row r="1008" spans="1:3">
      <c r="A1008" s="93" t="s">
        <v>3332</v>
      </c>
      <c r="B1008">
        <v>216278</v>
      </c>
      <c r="C1008" t="s">
        <v>87</v>
      </c>
    </row>
    <row r="1009" spans="1:3">
      <c r="A1009" s="93" t="s">
        <v>479</v>
      </c>
      <c r="B1009">
        <v>216287</v>
      </c>
      <c r="C1009" t="s">
        <v>87</v>
      </c>
    </row>
    <row r="1010" spans="1:3">
      <c r="A1010" s="93" t="s">
        <v>5757</v>
      </c>
      <c r="B1010">
        <v>233718</v>
      </c>
      <c r="C1010" t="s">
        <v>87</v>
      </c>
    </row>
    <row r="1011" spans="1:3">
      <c r="A1011" s="93" t="s">
        <v>599</v>
      </c>
      <c r="B1011">
        <v>196413</v>
      </c>
      <c r="C1011" t="s">
        <v>87</v>
      </c>
    </row>
    <row r="1012" spans="1:3">
      <c r="A1012" s="93" t="s">
        <v>1715</v>
      </c>
      <c r="B1012">
        <v>155973</v>
      </c>
      <c r="C1012" t="s">
        <v>87</v>
      </c>
    </row>
    <row r="1013" spans="1:3">
      <c r="A1013" s="93" t="s">
        <v>670</v>
      </c>
      <c r="B1013">
        <v>102298</v>
      </c>
      <c r="C1013" t="s">
        <v>138</v>
      </c>
    </row>
    <row r="1014" spans="1:3">
      <c r="A1014" s="93" t="s">
        <v>3668</v>
      </c>
      <c r="B1014">
        <v>228529</v>
      </c>
      <c r="C1014" t="s">
        <v>87</v>
      </c>
    </row>
    <row r="1015" spans="1:3">
      <c r="A1015" s="93" t="s">
        <v>1583</v>
      </c>
      <c r="B1015">
        <v>152530</v>
      </c>
      <c r="C1015" t="s">
        <v>87</v>
      </c>
    </row>
    <row r="1016" spans="1:3">
      <c r="A1016" s="93" t="s">
        <v>3335</v>
      </c>
      <c r="B1016">
        <v>216339</v>
      </c>
      <c r="C1016" t="s">
        <v>87</v>
      </c>
    </row>
    <row r="1017" spans="1:3">
      <c r="A1017" s="93" t="s">
        <v>3536</v>
      </c>
      <c r="B1017">
        <v>221838</v>
      </c>
      <c r="C1017" t="s">
        <v>138</v>
      </c>
    </row>
    <row r="1018" spans="1:3">
      <c r="A1018" s="93" t="s">
        <v>3537</v>
      </c>
      <c r="B1018">
        <v>221847</v>
      </c>
      <c r="C1018" t="s">
        <v>87</v>
      </c>
    </row>
    <row r="1019" spans="1:3">
      <c r="A1019" s="93" t="s">
        <v>5758</v>
      </c>
      <c r="B1019">
        <v>221731</v>
      </c>
      <c r="C1019" t="s">
        <v>87</v>
      </c>
    </row>
    <row r="1020" spans="1:3">
      <c r="A1020" s="93" t="s">
        <v>3617</v>
      </c>
      <c r="B1020">
        <v>226152</v>
      </c>
      <c r="C1020" t="s">
        <v>87</v>
      </c>
    </row>
    <row r="1021" spans="1:3">
      <c r="A1021" s="93" t="s">
        <v>3676</v>
      </c>
      <c r="B1021">
        <v>228723</v>
      </c>
      <c r="C1021" t="s">
        <v>87</v>
      </c>
    </row>
    <row r="1022" spans="1:3">
      <c r="A1022" s="93" t="s">
        <v>3582</v>
      </c>
      <c r="B1022">
        <v>224554</v>
      </c>
      <c r="C1022" t="s">
        <v>87</v>
      </c>
    </row>
    <row r="1023" spans="1:3">
      <c r="A1023" s="93" t="s">
        <v>3573</v>
      </c>
      <c r="B1023">
        <v>224147</v>
      </c>
      <c r="C1023" t="s">
        <v>87</v>
      </c>
    </row>
    <row r="1024" spans="1:3">
      <c r="A1024" s="93" t="s">
        <v>5759</v>
      </c>
      <c r="B1024">
        <v>228714</v>
      </c>
    </row>
    <row r="1025" spans="1:3">
      <c r="A1025" s="93" t="s">
        <v>3675</v>
      </c>
      <c r="B1025">
        <v>228705</v>
      </c>
      <c r="C1025" t="s">
        <v>87</v>
      </c>
    </row>
    <row r="1026" spans="1:3">
      <c r="A1026" s="93" t="s">
        <v>3683</v>
      </c>
      <c r="B1026">
        <v>228875</v>
      </c>
      <c r="C1026" t="s">
        <v>87</v>
      </c>
    </row>
    <row r="1027" spans="1:3">
      <c r="A1027" s="93" t="s">
        <v>3686</v>
      </c>
      <c r="B1027">
        <v>228981</v>
      </c>
      <c r="C1027" t="s">
        <v>87</v>
      </c>
    </row>
    <row r="1028" spans="1:3">
      <c r="A1028" s="93" t="s">
        <v>5760</v>
      </c>
      <c r="B1028">
        <v>228459</v>
      </c>
      <c r="C1028" t="s">
        <v>87</v>
      </c>
    </row>
    <row r="1029" spans="1:3">
      <c r="A1029" s="93" t="s">
        <v>3691</v>
      </c>
      <c r="B1029">
        <v>229115</v>
      </c>
      <c r="C1029" t="s">
        <v>87</v>
      </c>
    </row>
    <row r="1030" spans="1:3">
      <c r="A1030" s="93" t="s">
        <v>3692</v>
      </c>
      <c r="B1030">
        <v>229160</v>
      </c>
      <c r="C1030" t="s">
        <v>87</v>
      </c>
    </row>
    <row r="1031" spans="1:3">
      <c r="A1031" s="93" t="s">
        <v>3693</v>
      </c>
      <c r="B1031">
        <v>229179</v>
      </c>
      <c r="C1031" t="s">
        <v>87</v>
      </c>
    </row>
    <row r="1032" spans="1:3">
      <c r="A1032" s="93" t="s">
        <v>1394</v>
      </c>
      <c r="B1032">
        <v>142294</v>
      </c>
      <c r="C1032" t="s">
        <v>87</v>
      </c>
    </row>
    <row r="1033" spans="1:3">
      <c r="A1033" s="93" t="s">
        <v>2444</v>
      </c>
      <c r="B1033">
        <v>187134</v>
      </c>
      <c r="C1033" t="s">
        <v>87</v>
      </c>
    </row>
    <row r="1034" spans="1:3">
      <c r="A1034" s="93" t="s">
        <v>2616</v>
      </c>
      <c r="B1034">
        <v>193645</v>
      </c>
      <c r="C1034" t="s">
        <v>87</v>
      </c>
    </row>
    <row r="1035" spans="1:3">
      <c r="A1035" s="93" t="s">
        <v>2654</v>
      </c>
      <c r="B1035">
        <v>195234</v>
      </c>
      <c r="C1035" t="s">
        <v>87</v>
      </c>
    </row>
    <row r="1036" spans="1:3">
      <c r="A1036" s="93" t="s">
        <v>2152</v>
      </c>
      <c r="B1036">
        <v>174899</v>
      </c>
      <c r="C1036" t="s">
        <v>87</v>
      </c>
    </row>
    <row r="1037" spans="1:3">
      <c r="A1037" s="93" t="s">
        <v>470</v>
      </c>
      <c r="B1037">
        <v>206589</v>
      </c>
      <c r="C1037" t="s">
        <v>87</v>
      </c>
    </row>
    <row r="1038" spans="1:3">
      <c r="A1038" s="93" t="s">
        <v>3841</v>
      </c>
      <c r="B1038">
        <v>235167</v>
      </c>
      <c r="C1038" t="s">
        <v>87</v>
      </c>
    </row>
    <row r="1039" spans="1:3">
      <c r="A1039" s="93" t="s">
        <v>5761</v>
      </c>
      <c r="B1039">
        <v>454184</v>
      </c>
      <c r="C1039" t="s">
        <v>87</v>
      </c>
    </row>
    <row r="1040" spans="1:3">
      <c r="A1040" s="93" t="s">
        <v>5762</v>
      </c>
      <c r="B1040">
        <v>117751</v>
      </c>
      <c r="C1040" t="s">
        <v>87</v>
      </c>
    </row>
    <row r="1041" spans="1:3">
      <c r="A1041" s="93" t="s">
        <v>2617</v>
      </c>
      <c r="B1041">
        <v>193654</v>
      </c>
      <c r="C1041" t="s">
        <v>87</v>
      </c>
    </row>
    <row r="1042" spans="1:3">
      <c r="A1042" s="93" t="s">
        <v>5763</v>
      </c>
      <c r="B1042">
        <v>186876</v>
      </c>
      <c r="C1042" t="s">
        <v>87</v>
      </c>
    </row>
    <row r="1043" spans="1:3">
      <c r="A1043" s="93" t="s">
        <v>621</v>
      </c>
      <c r="B1043">
        <v>100751</v>
      </c>
      <c r="C1043" t="s">
        <v>87</v>
      </c>
    </row>
    <row r="1044" spans="1:3">
      <c r="A1044" s="93" t="s">
        <v>2917</v>
      </c>
      <c r="B1044">
        <v>202763</v>
      </c>
      <c r="C1044" t="s">
        <v>87</v>
      </c>
    </row>
    <row r="1045" spans="1:3">
      <c r="A1045" s="93" t="s">
        <v>2309</v>
      </c>
      <c r="B1045">
        <v>180489</v>
      </c>
      <c r="C1045" t="s">
        <v>87</v>
      </c>
    </row>
    <row r="1046" spans="1:3">
      <c r="A1046" s="93" t="s">
        <v>2313</v>
      </c>
      <c r="B1046">
        <v>180692</v>
      </c>
      <c r="C1046" t="s">
        <v>87</v>
      </c>
    </row>
    <row r="1047" spans="1:3">
      <c r="A1047" s="93" t="s">
        <v>586</v>
      </c>
      <c r="B1047">
        <v>137847</v>
      </c>
      <c r="C1047" t="s">
        <v>87</v>
      </c>
    </row>
    <row r="1048" spans="1:3">
      <c r="A1048" s="93" t="s">
        <v>5764</v>
      </c>
      <c r="B1048">
        <v>221759</v>
      </c>
      <c r="C1048" t="s">
        <v>87</v>
      </c>
    </row>
    <row r="1049" spans="1:3">
      <c r="A1049" s="93" t="s">
        <v>5765</v>
      </c>
      <c r="B1049">
        <v>221740</v>
      </c>
      <c r="C1049" t="s">
        <v>87</v>
      </c>
    </row>
    <row r="1050" spans="1:3">
      <c r="A1050" s="93" t="s">
        <v>3534</v>
      </c>
      <c r="B1050">
        <v>221768</v>
      </c>
      <c r="C1050" t="s">
        <v>87</v>
      </c>
    </row>
    <row r="1051" spans="1:3">
      <c r="A1051" s="93" t="s">
        <v>3677</v>
      </c>
      <c r="B1051">
        <v>228769</v>
      </c>
      <c r="C1051" t="s">
        <v>87</v>
      </c>
    </row>
    <row r="1052" spans="1:3">
      <c r="A1052" s="93" t="s">
        <v>3678</v>
      </c>
      <c r="B1052">
        <v>228778</v>
      </c>
      <c r="C1052" t="s">
        <v>87</v>
      </c>
    </row>
    <row r="1053" spans="1:3">
      <c r="A1053" s="93" t="s">
        <v>3679</v>
      </c>
      <c r="B1053">
        <v>228787</v>
      </c>
      <c r="C1053" t="s">
        <v>87</v>
      </c>
    </row>
    <row r="1054" spans="1:3">
      <c r="A1054" s="93" t="s">
        <v>3688</v>
      </c>
      <c r="B1054">
        <v>229027</v>
      </c>
      <c r="C1054" t="s">
        <v>87</v>
      </c>
    </row>
    <row r="1055" spans="1:3">
      <c r="A1055" s="93" t="s">
        <v>3681</v>
      </c>
      <c r="B1055">
        <v>228802</v>
      </c>
      <c r="C1055" t="s">
        <v>87</v>
      </c>
    </row>
    <row r="1056" spans="1:3">
      <c r="A1056" s="93" t="s">
        <v>3687</v>
      </c>
      <c r="B1056">
        <v>229018</v>
      </c>
      <c r="C1056" t="s">
        <v>87</v>
      </c>
    </row>
    <row r="1057" spans="1:3">
      <c r="A1057" s="93" t="s">
        <v>5766</v>
      </c>
      <c r="B1057">
        <v>227368</v>
      </c>
      <c r="C1057" t="s">
        <v>87</v>
      </c>
    </row>
    <row r="1058" spans="1:3">
      <c r="A1058" s="93" t="s">
        <v>3814</v>
      </c>
      <c r="B1058">
        <v>233897</v>
      </c>
      <c r="C1058" t="s">
        <v>87</v>
      </c>
    </row>
    <row r="1059" spans="1:3">
      <c r="A1059" s="93" t="s">
        <v>1292</v>
      </c>
      <c r="B1059">
        <v>138354</v>
      </c>
      <c r="C1059" t="s">
        <v>87</v>
      </c>
    </row>
    <row r="1060" spans="1:3">
      <c r="A1060" s="93" t="s">
        <v>3337</v>
      </c>
      <c r="B1060">
        <v>216357</v>
      </c>
      <c r="C1060" t="s">
        <v>87</v>
      </c>
    </row>
    <row r="1061" spans="1:3">
      <c r="A1061" s="93" t="s">
        <v>1038</v>
      </c>
      <c r="B1061">
        <v>124292</v>
      </c>
      <c r="C1061" t="s">
        <v>87</v>
      </c>
    </row>
    <row r="1062" spans="1:3">
      <c r="A1062" s="93" t="s">
        <v>1780</v>
      </c>
      <c r="B1062">
        <v>157809</v>
      </c>
      <c r="C1062" t="s">
        <v>87</v>
      </c>
    </row>
    <row r="1063" spans="1:3">
      <c r="A1063" s="93" t="s">
        <v>2381</v>
      </c>
      <c r="B1063">
        <v>183275</v>
      </c>
      <c r="C1063" t="s">
        <v>87</v>
      </c>
    </row>
    <row r="1064" spans="1:3">
      <c r="A1064" s="93" t="s">
        <v>3021</v>
      </c>
      <c r="B1064">
        <v>206048</v>
      </c>
      <c r="C1064" t="s">
        <v>87</v>
      </c>
    </row>
    <row r="1065" spans="1:3">
      <c r="A1065" s="93" t="s">
        <v>1369</v>
      </c>
      <c r="B1065">
        <v>141185</v>
      </c>
      <c r="C1065" t="s">
        <v>87</v>
      </c>
    </row>
    <row r="1066" spans="1:3">
      <c r="A1066" s="93" t="s">
        <v>1897</v>
      </c>
      <c r="B1066">
        <v>164076</v>
      </c>
      <c r="C1066" t="s">
        <v>87</v>
      </c>
    </row>
    <row r="1067" spans="1:3">
      <c r="A1067" s="93" t="s">
        <v>1781</v>
      </c>
      <c r="B1067">
        <v>157818</v>
      </c>
      <c r="C1067" t="s">
        <v>87</v>
      </c>
    </row>
    <row r="1068" spans="1:3">
      <c r="A1068" s="93" t="s">
        <v>3538</v>
      </c>
      <c r="B1068">
        <v>221892</v>
      </c>
      <c r="C1068" t="s">
        <v>87</v>
      </c>
    </row>
    <row r="1069" spans="1:3">
      <c r="A1069" s="93" t="s">
        <v>1584</v>
      </c>
      <c r="B1069">
        <v>152567</v>
      </c>
      <c r="C1069" t="s">
        <v>87</v>
      </c>
    </row>
    <row r="1070" spans="1:3">
      <c r="A1070" s="93" t="s">
        <v>1520</v>
      </c>
      <c r="B1070">
        <v>149505</v>
      </c>
      <c r="C1070" t="s">
        <v>87</v>
      </c>
    </row>
    <row r="1071" spans="1:3">
      <c r="A1071" s="93" t="s">
        <v>566</v>
      </c>
      <c r="B1071">
        <v>130590</v>
      </c>
      <c r="C1071" t="s">
        <v>87</v>
      </c>
    </row>
    <row r="1072" spans="1:3">
      <c r="A1072" s="93" t="s">
        <v>1521</v>
      </c>
      <c r="B1072">
        <v>149514</v>
      </c>
      <c r="C1072" t="s">
        <v>87</v>
      </c>
    </row>
    <row r="1073" spans="1:3">
      <c r="A1073" s="93" t="s">
        <v>3694</v>
      </c>
      <c r="B1073">
        <v>229267</v>
      </c>
      <c r="C1073" t="s">
        <v>87</v>
      </c>
    </row>
    <row r="1074" spans="1:3">
      <c r="A1074" s="93" t="s">
        <v>1178</v>
      </c>
      <c r="B1074">
        <v>131876</v>
      </c>
      <c r="C1074" t="s">
        <v>87</v>
      </c>
    </row>
    <row r="1075" spans="1:3">
      <c r="A1075" s="93" t="s">
        <v>672</v>
      </c>
      <c r="B1075">
        <v>102368</v>
      </c>
      <c r="C1075" t="s">
        <v>87</v>
      </c>
    </row>
    <row r="1076" spans="1:3">
      <c r="A1076" s="93" t="s">
        <v>2258</v>
      </c>
      <c r="B1076">
        <v>178615</v>
      </c>
      <c r="C1076" t="s">
        <v>87</v>
      </c>
    </row>
    <row r="1077" spans="1:3">
      <c r="A1077" s="93" t="s">
        <v>2003</v>
      </c>
      <c r="B1077">
        <v>168148</v>
      </c>
      <c r="C1077" t="s">
        <v>87</v>
      </c>
    </row>
    <row r="1078" spans="1:3">
      <c r="A1078" s="93" t="s">
        <v>1826</v>
      </c>
      <c r="B1078">
        <v>160755</v>
      </c>
      <c r="C1078" t="s">
        <v>87</v>
      </c>
    </row>
    <row r="1079" spans="1:3">
      <c r="A1079" s="93" t="s">
        <v>3540</v>
      </c>
      <c r="B1079">
        <v>221953</v>
      </c>
      <c r="C1079" t="s">
        <v>87</v>
      </c>
    </row>
    <row r="1080" spans="1:3">
      <c r="A1080" s="93" t="s">
        <v>673</v>
      </c>
      <c r="B1080">
        <v>102377</v>
      </c>
      <c r="C1080" t="s">
        <v>138</v>
      </c>
    </row>
    <row r="1081" spans="1:3">
      <c r="A1081" s="93" t="s">
        <v>1783</v>
      </c>
      <c r="B1081">
        <v>157863</v>
      </c>
      <c r="C1081" t="s">
        <v>87</v>
      </c>
    </row>
    <row r="1082" spans="1:3">
      <c r="A1082" s="93" t="s">
        <v>1783</v>
      </c>
      <c r="B1082">
        <v>181738</v>
      </c>
      <c r="C1082" t="s">
        <v>87</v>
      </c>
    </row>
    <row r="1083" spans="1:3">
      <c r="A1083" s="93" t="s">
        <v>1783</v>
      </c>
      <c r="B1083">
        <v>196866</v>
      </c>
      <c r="C1083" t="s">
        <v>87</v>
      </c>
    </row>
    <row r="1084" spans="1:3">
      <c r="A1084" s="93" t="s">
        <v>3541</v>
      </c>
      <c r="B1084">
        <v>221971</v>
      </c>
      <c r="C1084" t="s">
        <v>87</v>
      </c>
    </row>
    <row r="1085" spans="1:3">
      <c r="A1085" s="93" t="s">
        <v>1116</v>
      </c>
      <c r="B1085">
        <v>128328</v>
      </c>
      <c r="C1085" t="s">
        <v>87</v>
      </c>
    </row>
    <row r="1086" spans="1:3">
      <c r="A1086" s="93" t="s">
        <v>1158</v>
      </c>
      <c r="B1086">
        <v>130624</v>
      </c>
      <c r="C1086" t="s">
        <v>87</v>
      </c>
    </row>
    <row r="1087" spans="1:3">
      <c r="A1087" s="93" t="s">
        <v>2712</v>
      </c>
      <c r="B1087">
        <v>197027</v>
      </c>
      <c r="C1087" t="s">
        <v>87</v>
      </c>
    </row>
    <row r="1088" spans="1:3">
      <c r="A1088" s="93" t="s">
        <v>2713</v>
      </c>
      <c r="B1088">
        <v>197036</v>
      </c>
      <c r="C1088" t="s">
        <v>87</v>
      </c>
    </row>
    <row r="1089" spans="1:3">
      <c r="A1089" s="93" t="s">
        <v>1899</v>
      </c>
      <c r="B1089">
        <v>164155</v>
      </c>
      <c r="C1089" t="s">
        <v>87</v>
      </c>
    </row>
    <row r="1090" spans="1:3">
      <c r="A1090" s="93" t="s">
        <v>1854</v>
      </c>
      <c r="B1090">
        <v>161572</v>
      </c>
      <c r="C1090" t="s">
        <v>87</v>
      </c>
    </row>
    <row r="1091" spans="1:3">
      <c r="A1091" s="93" t="s">
        <v>2678</v>
      </c>
      <c r="B1091">
        <v>196088</v>
      </c>
      <c r="C1091" t="s">
        <v>87</v>
      </c>
    </row>
    <row r="1092" spans="1:3">
      <c r="A1092" s="93" t="s">
        <v>4143</v>
      </c>
      <c r="B1092">
        <v>363934</v>
      </c>
      <c r="C1092" t="s">
        <v>87</v>
      </c>
    </row>
    <row r="1093" spans="1:3">
      <c r="A1093" s="93" t="s">
        <v>617</v>
      </c>
      <c r="B1093">
        <v>100663</v>
      </c>
      <c r="C1093" t="s">
        <v>87</v>
      </c>
    </row>
    <row r="1094" spans="1:3">
      <c r="A1094" s="93" t="s">
        <v>5767</v>
      </c>
      <c r="B1094">
        <v>100706</v>
      </c>
      <c r="C1094" t="s">
        <v>87</v>
      </c>
    </row>
    <row r="1095" spans="1:3">
      <c r="A1095" s="93" t="s">
        <v>678</v>
      </c>
      <c r="B1095">
        <v>102614</v>
      </c>
      <c r="C1095" t="s">
        <v>87</v>
      </c>
    </row>
    <row r="1096" spans="1:3">
      <c r="A1096" s="93" t="s">
        <v>679</v>
      </c>
      <c r="B1096">
        <v>102632</v>
      </c>
      <c r="C1096" t="s">
        <v>87</v>
      </c>
    </row>
    <row r="1097" spans="1:3">
      <c r="A1097" s="93" t="s">
        <v>691</v>
      </c>
      <c r="B1097">
        <v>104179</v>
      </c>
      <c r="C1097" t="s">
        <v>87</v>
      </c>
    </row>
    <row r="1098" spans="1:3">
      <c r="A1098" s="93" t="s">
        <v>728</v>
      </c>
      <c r="B1098">
        <v>106397</v>
      </c>
      <c r="C1098" t="s">
        <v>87</v>
      </c>
    </row>
    <row r="1099" spans="1:3">
      <c r="A1099" s="93" t="s">
        <v>729</v>
      </c>
      <c r="B1099">
        <v>106412</v>
      </c>
      <c r="C1099" t="s">
        <v>138</v>
      </c>
    </row>
    <row r="1100" spans="1:3">
      <c r="A1100" s="93" t="s">
        <v>767</v>
      </c>
      <c r="B1100">
        <v>108092</v>
      </c>
      <c r="C1100" t="s">
        <v>87</v>
      </c>
    </row>
    <row r="1101" spans="1:3">
      <c r="A1101" s="93" t="s">
        <v>1123</v>
      </c>
      <c r="B1101">
        <v>128744</v>
      </c>
      <c r="C1101" t="s">
        <v>87</v>
      </c>
    </row>
    <row r="1102" spans="1:3">
      <c r="A1102" s="93" t="s">
        <v>812</v>
      </c>
      <c r="B1102">
        <v>110635</v>
      </c>
      <c r="C1102" t="s">
        <v>87</v>
      </c>
    </row>
    <row r="1103" spans="1:3">
      <c r="A1103" s="93" t="s">
        <v>813</v>
      </c>
      <c r="B1103">
        <v>110644</v>
      </c>
      <c r="C1103" t="s">
        <v>87</v>
      </c>
    </row>
    <row r="1104" spans="1:3">
      <c r="A1104" s="93" t="s">
        <v>814</v>
      </c>
      <c r="B1104">
        <v>110653</v>
      </c>
      <c r="C1104" t="s">
        <v>87</v>
      </c>
    </row>
    <row r="1105" spans="1:3">
      <c r="A1105" s="93" t="s">
        <v>815</v>
      </c>
      <c r="B1105">
        <v>110662</v>
      </c>
      <c r="C1105" t="s">
        <v>87</v>
      </c>
    </row>
    <row r="1106" spans="1:3">
      <c r="A1106" s="93" t="s">
        <v>816</v>
      </c>
      <c r="B1106">
        <v>110671</v>
      </c>
      <c r="C1106" t="s">
        <v>87</v>
      </c>
    </row>
    <row r="1107" spans="1:3">
      <c r="A1107" s="93" t="s">
        <v>817</v>
      </c>
      <c r="B1107">
        <v>110680</v>
      </c>
      <c r="C1107" t="s">
        <v>87</v>
      </c>
    </row>
    <row r="1108" spans="1:3">
      <c r="A1108" s="93" t="s">
        <v>819</v>
      </c>
      <c r="B1108">
        <v>110705</v>
      </c>
      <c r="C1108" t="s">
        <v>87</v>
      </c>
    </row>
    <row r="1109" spans="1:3">
      <c r="A1109" s="93" t="s">
        <v>820</v>
      </c>
      <c r="B1109">
        <v>110714</v>
      </c>
      <c r="C1109" t="s">
        <v>87</v>
      </c>
    </row>
    <row r="1110" spans="1:3">
      <c r="A1110" s="93" t="s">
        <v>736</v>
      </c>
      <c r="B1110">
        <v>106704</v>
      </c>
      <c r="C1110" t="s">
        <v>87</v>
      </c>
    </row>
    <row r="1111" spans="1:3">
      <c r="A1111" s="93" t="s">
        <v>1193</v>
      </c>
      <c r="B1111">
        <v>132903</v>
      </c>
      <c r="C1111" t="s">
        <v>87</v>
      </c>
    </row>
    <row r="1112" spans="1:3">
      <c r="A1112" s="93" t="s">
        <v>2212</v>
      </c>
      <c r="B1112">
        <v>176965</v>
      </c>
      <c r="C1112" t="s">
        <v>87</v>
      </c>
    </row>
    <row r="1113" spans="1:3">
      <c r="A1113" s="93" t="s">
        <v>3048</v>
      </c>
      <c r="B1113">
        <v>206941</v>
      </c>
      <c r="C1113" t="s">
        <v>87</v>
      </c>
    </row>
    <row r="1114" spans="1:3">
      <c r="A1114" s="93" t="s">
        <v>3888</v>
      </c>
      <c r="B1114">
        <v>237312</v>
      </c>
      <c r="C1114" t="s">
        <v>87</v>
      </c>
    </row>
    <row r="1115" spans="1:3">
      <c r="A1115" s="93" t="s">
        <v>480</v>
      </c>
      <c r="B1115">
        <v>144050</v>
      </c>
      <c r="C1115" t="s">
        <v>87</v>
      </c>
    </row>
    <row r="1116" spans="1:3">
      <c r="A1116" s="93" t="s">
        <v>2897</v>
      </c>
      <c r="B1116">
        <v>201885</v>
      </c>
      <c r="C1116" t="s">
        <v>87</v>
      </c>
    </row>
    <row r="1117" spans="1:3">
      <c r="A1117" s="93" t="s">
        <v>5768</v>
      </c>
      <c r="B1117">
        <v>126580</v>
      </c>
      <c r="C1117" t="s">
        <v>87</v>
      </c>
    </row>
    <row r="1118" spans="1:3">
      <c r="A1118" s="93" t="s">
        <v>1069</v>
      </c>
      <c r="B1118">
        <v>126614</v>
      </c>
      <c r="C1118" t="s">
        <v>87</v>
      </c>
    </row>
    <row r="1119" spans="1:3">
      <c r="A1119" s="93" t="s">
        <v>5769</v>
      </c>
      <c r="B1119">
        <v>126562</v>
      </c>
      <c r="C1119" t="s">
        <v>87</v>
      </c>
    </row>
    <row r="1120" spans="1:3">
      <c r="A1120" s="93" t="s">
        <v>1126</v>
      </c>
      <c r="B1120">
        <v>129020</v>
      </c>
      <c r="C1120" t="s">
        <v>87</v>
      </c>
    </row>
    <row r="1121" spans="1:3">
      <c r="A1121" s="93" t="s">
        <v>4519</v>
      </c>
      <c r="B1121">
        <v>436827</v>
      </c>
      <c r="C1121" t="s">
        <v>87</v>
      </c>
    </row>
    <row r="1122" spans="1:3">
      <c r="A1122" s="93" t="s">
        <v>4520</v>
      </c>
      <c r="B1122">
        <v>436836</v>
      </c>
      <c r="C1122" t="s">
        <v>87</v>
      </c>
    </row>
    <row r="1123" spans="1:3">
      <c r="A1123" s="93" t="s">
        <v>5770</v>
      </c>
      <c r="B1123">
        <v>436818</v>
      </c>
      <c r="C1123" t="s">
        <v>87</v>
      </c>
    </row>
    <row r="1124" spans="1:3">
      <c r="A1124" s="93" t="s">
        <v>3578</v>
      </c>
      <c r="B1124">
        <v>224323</v>
      </c>
      <c r="C1124" t="s">
        <v>87</v>
      </c>
    </row>
    <row r="1125" spans="1:3">
      <c r="A1125" s="93" t="s">
        <v>472</v>
      </c>
      <c r="B1125">
        <v>202480</v>
      </c>
      <c r="C1125" t="s">
        <v>87</v>
      </c>
    </row>
    <row r="1126" spans="1:3">
      <c r="A1126" s="93" t="s">
        <v>1165</v>
      </c>
      <c r="B1126">
        <v>130943</v>
      </c>
      <c r="C1126" t="s">
        <v>87</v>
      </c>
    </row>
    <row r="1127" spans="1:3">
      <c r="A1127" s="93" t="s">
        <v>1086</v>
      </c>
      <c r="B1127">
        <v>127060</v>
      </c>
      <c r="C1127" t="s">
        <v>87</v>
      </c>
    </row>
    <row r="1128" spans="1:3">
      <c r="A1128" s="93" t="s">
        <v>2032</v>
      </c>
      <c r="B1128">
        <v>169716</v>
      </c>
      <c r="C1128" t="s">
        <v>87</v>
      </c>
    </row>
    <row r="1129" spans="1:3">
      <c r="A1129" s="93" t="s">
        <v>1601</v>
      </c>
      <c r="B1129">
        <v>153278</v>
      </c>
      <c r="C1129" t="s">
        <v>87</v>
      </c>
    </row>
    <row r="1130" spans="1:3">
      <c r="A1130" s="93" t="s">
        <v>1537</v>
      </c>
      <c r="B1130">
        <v>150534</v>
      </c>
      <c r="C1130" t="s">
        <v>87</v>
      </c>
    </row>
    <row r="1131" spans="1:3">
      <c r="A1131" s="93" t="s">
        <v>1221</v>
      </c>
      <c r="B1131">
        <v>134130</v>
      </c>
      <c r="C1131" t="s">
        <v>87</v>
      </c>
    </row>
    <row r="1132" spans="1:3">
      <c r="A1132" s="93" t="s">
        <v>1340</v>
      </c>
      <c r="B1132">
        <v>139959</v>
      </c>
      <c r="C1132" t="s">
        <v>87</v>
      </c>
    </row>
    <row r="1133" spans="1:3">
      <c r="A1133" s="93" t="s">
        <v>5771</v>
      </c>
      <c r="B1133">
        <v>180258</v>
      </c>
      <c r="C1133" t="s">
        <v>87</v>
      </c>
    </row>
    <row r="1134" spans="1:3">
      <c r="A1134" s="93" t="s">
        <v>1135</v>
      </c>
      <c r="B1134">
        <v>129525</v>
      </c>
      <c r="C1134" t="s">
        <v>87</v>
      </c>
    </row>
    <row r="1135" spans="1:3">
      <c r="A1135" s="93" t="s">
        <v>1377</v>
      </c>
      <c r="B1135">
        <v>141565</v>
      </c>
      <c r="C1135" t="s">
        <v>87</v>
      </c>
    </row>
    <row r="1136" spans="1:3">
      <c r="A1136" s="93" t="s">
        <v>1378</v>
      </c>
      <c r="B1136">
        <v>141574</v>
      </c>
      <c r="C1136" t="s">
        <v>87</v>
      </c>
    </row>
    <row r="1137" spans="1:3">
      <c r="A1137" s="93" t="s">
        <v>3601</v>
      </c>
      <c r="B1137">
        <v>225511</v>
      </c>
      <c r="C1137" t="s">
        <v>87</v>
      </c>
    </row>
    <row r="1138" spans="1:3">
      <c r="A1138" s="93" t="s">
        <v>1393</v>
      </c>
      <c r="B1138">
        <v>142285</v>
      </c>
      <c r="C1138" t="s">
        <v>87</v>
      </c>
    </row>
    <row r="1139" spans="1:3">
      <c r="A1139" s="93" t="s">
        <v>447</v>
      </c>
      <c r="B1139">
        <v>145600</v>
      </c>
      <c r="C1139" t="s">
        <v>87</v>
      </c>
    </row>
    <row r="1140" spans="1:3">
      <c r="A1140" s="93" t="s">
        <v>616</v>
      </c>
      <c r="B1140" t="s">
        <v>613</v>
      </c>
      <c r="C1140" t="s">
        <v>87</v>
      </c>
    </row>
    <row r="1141" spans="1:3">
      <c r="A1141" s="93" t="s">
        <v>493</v>
      </c>
      <c r="B1141">
        <v>148654</v>
      </c>
      <c r="C1141" t="s">
        <v>87</v>
      </c>
    </row>
    <row r="1142" spans="1:3">
      <c r="A1142" s="93" t="s">
        <v>457</v>
      </c>
      <c r="B1142">
        <v>145637</v>
      </c>
      <c r="C1142" t="s">
        <v>87</v>
      </c>
    </row>
    <row r="1143" spans="1:3">
      <c r="A1143" s="93" t="s">
        <v>1549</v>
      </c>
      <c r="B1143">
        <v>151263</v>
      </c>
      <c r="C1143" t="s">
        <v>87</v>
      </c>
    </row>
    <row r="1144" spans="1:3">
      <c r="A1144" s="93" t="s">
        <v>1623</v>
      </c>
      <c r="B1144">
        <v>153658</v>
      </c>
      <c r="C1144" t="s">
        <v>87</v>
      </c>
    </row>
    <row r="1145" spans="1:3">
      <c r="A1145" s="93" t="s">
        <v>1694</v>
      </c>
      <c r="B1145">
        <v>155317</v>
      </c>
      <c r="C1145" t="s">
        <v>87</v>
      </c>
    </row>
    <row r="1146" spans="1:3">
      <c r="A1146" s="93" t="s">
        <v>1752</v>
      </c>
      <c r="B1146">
        <v>157085</v>
      </c>
      <c r="C1146" t="s">
        <v>87</v>
      </c>
    </row>
    <row r="1147" spans="1:3">
      <c r="A1147" s="93" t="s">
        <v>904</v>
      </c>
      <c r="B1147">
        <v>117140</v>
      </c>
      <c r="C1147" t="s">
        <v>87</v>
      </c>
    </row>
    <row r="1148" spans="1:3">
      <c r="A1148" s="93" t="s">
        <v>5772</v>
      </c>
      <c r="B1148">
        <v>160658</v>
      </c>
      <c r="C1148" t="s">
        <v>87</v>
      </c>
    </row>
    <row r="1149" spans="1:3">
      <c r="A1149" s="93" t="s">
        <v>5773</v>
      </c>
      <c r="B1149">
        <v>159993</v>
      </c>
      <c r="C1149" t="s">
        <v>87</v>
      </c>
    </row>
    <row r="1150" spans="1:3">
      <c r="A1150" s="93" t="s">
        <v>593</v>
      </c>
      <c r="B1150">
        <v>157289</v>
      </c>
      <c r="C1150" t="s">
        <v>87</v>
      </c>
    </row>
    <row r="1151" spans="1:3">
      <c r="A1151" s="93" t="s">
        <v>1844</v>
      </c>
      <c r="B1151">
        <v>161253</v>
      </c>
      <c r="C1151" t="s">
        <v>87</v>
      </c>
    </row>
    <row r="1152" spans="1:3">
      <c r="A1152" s="93" t="s">
        <v>1841</v>
      </c>
      <c r="B1152">
        <v>161226</v>
      </c>
      <c r="C1152" t="s">
        <v>87</v>
      </c>
    </row>
    <row r="1153" spans="1:3">
      <c r="A1153" s="93" t="s">
        <v>1843</v>
      </c>
      <c r="B1153">
        <v>161244</v>
      </c>
      <c r="C1153" t="s">
        <v>87</v>
      </c>
    </row>
    <row r="1154" spans="1:3">
      <c r="A1154" s="93" t="s">
        <v>1846</v>
      </c>
      <c r="B1154">
        <v>161341</v>
      </c>
      <c r="C1154" t="s">
        <v>87</v>
      </c>
    </row>
    <row r="1155" spans="1:3">
      <c r="A1155" s="93" t="s">
        <v>2854</v>
      </c>
      <c r="B1155">
        <v>200217</v>
      </c>
      <c r="C1155" t="s">
        <v>87</v>
      </c>
    </row>
    <row r="1156" spans="1:3">
      <c r="A1156" s="93" t="s">
        <v>3623</v>
      </c>
      <c r="B1156">
        <v>226471</v>
      </c>
      <c r="C1156" t="s">
        <v>87</v>
      </c>
    </row>
    <row r="1157" spans="1:3">
      <c r="A1157" s="93" t="s">
        <v>3779</v>
      </c>
      <c r="B1157">
        <v>232681</v>
      </c>
      <c r="C1157" t="s">
        <v>87</v>
      </c>
    </row>
    <row r="1158" spans="1:3">
      <c r="A1158" s="93" t="s">
        <v>1884</v>
      </c>
      <c r="B1158">
        <v>163338</v>
      </c>
      <c r="C1158" t="s">
        <v>138</v>
      </c>
    </row>
    <row r="1159" spans="1:3">
      <c r="A1159" s="93" t="s">
        <v>1882</v>
      </c>
      <c r="B1159">
        <v>163268</v>
      </c>
      <c r="C1159" t="s">
        <v>87</v>
      </c>
    </row>
    <row r="1160" spans="1:3">
      <c r="A1160" s="93" t="s">
        <v>1883</v>
      </c>
      <c r="B1160">
        <v>163286</v>
      </c>
      <c r="C1160" t="s">
        <v>87</v>
      </c>
    </row>
    <row r="1161" spans="1:3">
      <c r="A1161" s="93" t="s">
        <v>5774</v>
      </c>
      <c r="B1161">
        <v>166629</v>
      </c>
      <c r="C1161" t="s">
        <v>87</v>
      </c>
    </row>
    <row r="1162" spans="1:3">
      <c r="A1162" s="93" t="s">
        <v>1958</v>
      </c>
      <c r="B1162">
        <v>166638</v>
      </c>
      <c r="C1162" t="s">
        <v>87</v>
      </c>
    </row>
    <row r="1163" spans="1:3">
      <c r="A1163" s="93" t="s">
        <v>2000</v>
      </c>
      <c r="B1163">
        <v>167987</v>
      </c>
      <c r="C1163" t="s">
        <v>87</v>
      </c>
    </row>
    <row r="1164" spans="1:3">
      <c r="A1164" s="93" t="s">
        <v>1956</v>
      </c>
      <c r="B1164">
        <v>166513</v>
      </c>
      <c r="C1164" t="s">
        <v>87</v>
      </c>
    </row>
    <row r="1165" spans="1:3">
      <c r="A1165" s="93" t="s">
        <v>3503</v>
      </c>
      <c r="B1165">
        <v>220862</v>
      </c>
      <c r="C1165" t="s">
        <v>87</v>
      </c>
    </row>
    <row r="1166" spans="1:3">
      <c r="A1166" s="93" t="s">
        <v>1247</v>
      </c>
      <c r="B1166">
        <v>135726</v>
      </c>
      <c r="C1166" t="s">
        <v>87</v>
      </c>
    </row>
    <row r="1167" spans="1:3">
      <c r="A1167" s="93" t="s">
        <v>2057</v>
      </c>
      <c r="B1167">
        <v>170976</v>
      </c>
      <c r="C1167" t="s">
        <v>87</v>
      </c>
    </row>
    <row r="1168" spans="1:3">
      <c r="A1168" s="93" t="s">
        <v>2060</v>
      </c>
      <c r="B1168">
        <v>171137</v>
      </c>
      <c r="C1168" t="s">
        <v>87</v>
      </c>
    </row>
    <row r="1169" spans="1:3">
      <c r="A1169" s="93" t="s">
        <v>2061</v>
      </c>
      <c r="B1169">
        <v>171146</v>
      </c>
      <c r="C1169" t="s">
        <v>87</v>
      </c>
    </row>
    <row r="1170" spans="1:3">
      <c r="A1170" s="93" t="s">
        <v>2125</v>
      </c>
      <c r="B1170">
        <v>174075</v>
      </c>
      <c r="C1170" t="s">
        <v>87</v>
      </c>
    </row>
    <row r="1171" spans="1:3">
      <c r="A1171" s="93" t="s">
        <v>2130</v>
      </c>
      <c r="B1171">
        <v>174233</v>
      </c>
      <c r="C1171" t="s">
        <v>87</v>
      </c>
    </row>
    <row r="1172" spans="1:3">
      <c r="A1172" s="93" t="s">
        <v>2131</v>
      </c>
      <c r="B1172">
        <v>174251</v>
      </c>
      <c r="C1172" t="s">
        <v>87</v>
      </c>
    </row>
    <row r="1173" spans="1:3">
      <c r="A1173" s="93" t="s">
        <v>2124</v>
      </c>
      <c r="B1173">
        <v>174066</v>
      </c>
      <c r="C1173" t="s">
        <v>87</v>
      </c>
    </row>
    <row r="1174" spans="1:3">
      <c r="A1174" s="93" t="s">
        <v>5775</v>
      </c>
      <c r="B1174">
        <v>176017</v>
      </c>
      <c r="C1174" t="s">
        <v>87</v>
      </c>
    </row>
    <row r="1175" spans="1:3">
      <c r="A1175" s="93" t="s">
        <v>2251</v>
      </c>
      <c r="B1175">
        <v>178396</v>
      </c>
      <c r="C1175" t="s">
        <v>87</v>
      </c>
    </row>
    <row r="1176" spans="1:3">
      <c r="A1176" s="93" t="s">
        <v>2252</v>
      </c>
      <c r="B1176">
        <v>178402</v>
      </c>
      <c r="C1176" t="s">
        <v>87</v>
      </c>
    </row>
    <row r="1177" spans="1:3">
      <c r="A1177" s="93" t="s">
        <v>2254</v>
      </c>
      <c r="B1177">
        <v>178420</v>
      </c>
      <c r="C1177" t="s">
        <v>87</v>
      </c>
    </row>
    <row r="1178" spans="1:3">
      <c r="A1178" s="93" t="s">
        <v>652</v>
      </c>
      <c r="B1178">
        <v>101693</v>
      </c>
      <c r="C1178" t="s">
        <v>87</v>
      </c>
    </row>
    <row r="1179" spans="1:3">
      <c r="A1179" s="93" t="s">
        <v>653</v>
      </c>
      <c r="B1179">
        <v>101709</v>
      </c>
      <c r="C1179" t="s">
        <v>87</v>
      </c>
    </row>
    <row r="1180" spans="1:3">
      <c r="A1180" s="93" t="s">
        <v>2960</v>
      </c>
      <c r="B1180">
        <v>204185</v>
      </c>
      <c r="C1180" t="s">
        <v>87</v>
      </c>
    </row>
    <row r="1181" spans="1:3">
      <c r="A1181" s="93" t="s">
        <v>2328</v>
      </c>
      <c r="B1181">
        <v>181215</v>
      </c>
      <c r="C1181" t="s">
        <v>87</v>
      </c>
    </row>
    <row r="1182" spans="1:3">
      <c r="A1182" s="93" t="s">
        <v>2335</v>
      </c>
      <c r="B1182">
        <v>181394</v>
      </c>
      <c r="C1182" t="s">
        <v>87</v>
      </c>
    </row>
    <row r="1183" spans="1:3">
      <c r="A1183" s="93" t="s">
        <v>2340</v>
      </c>
      <c r="B1183">
        <v>181464</v>
      </c>
      <c r="C1183" t="s">
        <v>87</v>
      </c>
    </row>
    <row r="1184" spans="1:3">
      <c r="A1184" s="93" t="s">
        <v>2354</v>
      </c>
      <c r="B1184">
        <v>182281</v>
      </c>
      <c r="C1184" t="s">
        <v>87</v>
      </c>
    </row>
    <row r="1185" spans="1:3">
      <c r="A1185" s="93" t="s">
        <v>1847</v>
      </c>
      <c r="B1185">
        <v>161457</v>
      </c>
      <c r="C1185" t="s">
        <v>87</v>
      </c>
    </row>
    <row r="1186" spans="1:3">
      <c r="A1186" s="93" t="s">
        <v>2369</v>
      </c>
      <c r="B1186">
        <v>183071</v>
      </c>
      <c r="C1186" t="s">
        <v>87</v>
      </c>
    </row>
    <row r="1187" spans="1:3">
      <c r="A1187" s="93" t="s">
        <v>2367</v>
      </c>
      <c r="B1187">
        <v>183044</v>
      </c>
      <c r="C1187" t="s">
        <v>87</v>
      </c>
    </row>
    <row r="1188" spans="1:3">
      <c r="A1188" s="93" t="s">
        <v>1143</v>
      </c>
      <c r="B1188">
        <v>129941</v>
      </c>
      <c r="C1188" t="s">
        <v>87</v>
      </c>
    </row>
    <row r="1189" spans="1:3">
      <c r="A1189" s="93" t="s">
        <v>2460</v>
      </c>
      <c r="B1189">
        <v>187985</v>
      </c>
      <c r="C1189" t="s">
        <v>87</v>
      </c>
    </row>
    <row r="1190" spans="1:3">
      <c r="A1190" s="93" t="s">
        <v>1807</v>
      </c>
      <c r="B1190">
        <v>159939</v>
      </c>
      <c r="C1190" t="s">
        <v>87</v>
      </c>
    </row>
    <row r="1191" spans="1:3">
      <c r="A1191" s="93" t="s">
        <v>655</v>
      </c>
      <c r="B1191">
        <v>101879</v>
      </c>
      <c r="C1191" t="s">
        <v>87</v>
      </c>
    </row>
    <row r="1192" spans="1:3">
      <c r="A1192" s="93" t="s">
        <v>2798</v>
      </c>
      <c r="B1192">
        <v>199111</v>
      </c>
      <c r="C1192" t="s">
        <v>87</v>
      </c>
    </row>
    <row r="1193" spans="1:3">
      <c r="A1193" s="93" t="s">
        <v>2799</v>
      </c>
      <c r="B1193">
        <v>199120</v>
      </c>
      <c r="C1193" t="s">
        <v>87</v>
      </c>
    </row>
    <row r="1194" spans="1:3">
      <c r="A1194" s="93" t="s">
        <v>2800</v>
      </c>
      <c r="B1194">
        <v>199139</v>
      </c>
      <c r="C1194" t="s">
        <v>87</v>
      </c>
    </row>
    <row r="1195" spans="1:3">
      <c r="A1195" s="93" t="s">
        <v>2801</v>
      </c>
      <c r="B1195">
        <v>199148</v>
      </c>
      <c r="C1195" t="s">
        <v>87</v>
      </c>
    </row>
    <row r="1196" spans="1:3">
      <c r="A1196" s="93" t="s">
        <v>2809</v>
      </c>
      <c r="B1196">
        <v>199281</v>
      </c>
      <c r="C1196" t="s">
        <v>87</v>
      </c>
    </row>
    <row r="1197" spans="1:3">
      <c r="A1197" s="93" t="s">
        <v>5776</v>
      </c>
      <c r="B1197">
        <v>199218</v>
      </c>
      <c r="C1197" t="s">
        <v>87</v>
      </c>
    </row>
    <row r="1198" spans="1:3">
      <c r="A1198" s="93" t="s">
        <v>2857</v>
      </c>
      <c r="B1198">
        <v>200280</v>
      </c>
      <c r="C1198" t="s">
        <v>87</v>
      </c>
    </row>
    <row r="1199" spans="1:3">
      <c r="A1199" s="93" t="s">
        <v>1251</v>
      </c>
      <c r="B1199">
        <v>136172</v>
      </c>
      <c r="C1199" t="s">
        <v>87</v>
      </c>
    </row>
    <row r="1200" spans="1:3">
      <c r="A1200" s="93" t="s">
        <v>3634</v>
      </c>
      <c r="B1200">
        <v>227216</v>
      </c>
      <c r="C1200" t="s">
        <v>87</v>
      </c>
    </row>
    <row r="1201" spans="1:3">
      <c r="A1201" s="93" t="s">
        <v>1101</v>
      </c>
      <c r="B1201">
        <v>127741</v>
      </c>
      <c r="C1201" t="s">
        <v>87</v>
      </c>
    </row>
    <row r="1202" spans="1:3">
      <c r="A1202" s="93" t="s">
        <v>594</v>
      </c>
      <c r="B1202">
        <v>154095</v>
      </c>
      <c r="C1202" t="s">
        <v>87</v>
      </c>
    </row>
    <row r="1203" spans="1:3">
      <c r="A1203" s="93" t="s">
        <v>476</v>
      </c>
      <c r="B1203">
        <v>152080</v>
      </c>
      <c r="C1203" t="s">
        <v>87</v>
      </c>
    </row>
    <row r="1204" spans="1:3">
      <c r="A1204" s="93" t="s">
        <v>5777</v>
      </c>
      <c r="B1204">
        <v>207500</v>
      </c>
      <c r="C1204" t="s">
        <v>87</v>
      </c>
    </row>
    <row r="1205" spans="1:3">
      <c r="A1205" s="93" t="s">
        <v>585</v>
      </c>
      <c r="B1205">
        <v>209551</v>
      </c>
      <c r="C1205" t="s">
        <v>87</v>
      </c>
    </row>
    <row r="1206" spans="1:3">
      <c r="A1206" s="93" t="s">
        <v>3293</v>
      </c>
      <c r="B1206">
        <v>215062</v>
      </c>
      <c r="C1206" t="s">
        <v>87</v>
      </c>
    </row>
    <row r="1207" spans="1:3">
      <c r="A1207" s="93" t="s">
        <v>3300</v>
      </c>
      <c r="B1207">
        <v>215266</v>
      </c>
      <c r="C1207" t="s">
        <v>87</v>
      </c>
    </row>
    <row r="1208" spans="1:3">
      <c r="A1208" s="93" t="s">
        <v>3301</v>
      </c>
      <c r="B1208">
        <v>215275</v>
      </c>
      <c r="C1208" t="s">
        <v>87</v>
      </c>
    </row>
    <row r="1209" spans="1:3">
      <c r="A1209" s="93" t="s">
        <v>3302</v>
      </c>
      <c r="B1209">
        <v>215284</v>
      </c>
      <c r="C1209" t="s">
        <v>87</v>
      </c>
    </row>
    <row r="1210" spans="1:3">
      <c r="A1210" s="93" t="s">
        <v>3303</v>
      </c>
      <c r="B1210">
        <v>215293</v>
      </c>
      <c r="C1210" t="s">
        <v>87</v>
      </c>
    </row>
    <row r="1211" spans="1:3">
      <c r="A1211" s="93" t="s">
        <v>3130</v>
      </c>
      <c r="B1211">
        <v>209825</v>
      </c>
      <c r="C1211" t="s">
        <v>87</v>
      </c>
    </row>
    <row r="1212" spans="1:3">
      <c r="A1212" s="93" t="s">
        <v>3862</v>
      </c>
      <c r="B1212">
        <v>236328</v>
      </c>
      <c r="C1212" t="s">
        <v>87</v>
      </c>
    </row>
    <row r="1213" spans="1:3">
      <c r="A1213" s="93" t="s">
        <v>978</v>
      </c>
      <c r="B1213">
        <v>121691</v>
      </c>
      <c r="C1213" t="s">
        <v>87</v>
      </c>
    </row>
    <row r="1214" spans="1:3">
      <c r="A1214" s="93" t="s">
        <v>3370</v>
      </c>
      <c r="B1214">
        <v>217484</v>
      </c>
      <c r="C1214" t="s">
        <v>87</v>
      </c>
    </row>
    <row r="1215" spans="1:3">
      <c r="A1215" s="93" t="s">
        <v>3801</v>
      </c>
      <c r="B1215">
        <v>233374</v>
      </c>
      <c r="C1215" t="s">
        <v>87</v>
      </c>
    </row>
    <row r="1216" spans="1:3">
      <c r="A1216" s="93" t="s">
        <v>583</v>
      </c>
      <c r="B1216">
        <v>195030</v>
      </c>
      <c r="C1216" t="s">
        <v>87</v>
      </c>
    </row>
    <row r="1217" spans="1:3">
      <c r="A1217" s="93" t="s">
        <v>1577</v>
      </c>
      <c r="B1217">
        <v>152336</v>
      </c>
      <c r="C1217" t="s">
        <v>87</v>
      </c>
    </row>
    <row r="1218" spans="1:3">
      <c r="A1218" s="93" t="s">
        <v>1710</v>
      </c>
      <c r="B1218">
        <v>155812</v>
      </c>
      <c r="C1218" t="s">
        <v>87</v>
      </c>
    </row>
    <row r="1219" spans="1:3">
      <c r="A1219" s="93" t="s">
        <v>992</v>
      </c>
      <c r="B1219">
        <v>122436</v>
      </c>
      <c r="C1219" t="s">
        <v>87</v>
      </c>
    </row>
    <row r="1220" spans="1:3">
      <c r="A1220" s="93" t="s">
        <v>584</v>
      </c>
      <c r="B1220">
        <v>122612</v>
      </c>
      <c r="C1220" t="s">
        <v>87</v>
      </c>
    </row>
    <row r="1221" spans="1:3">
      <c r="A1221" s="93" t="s">
        <v>3077</v>
      </c>
      <c r="B1221">
        <v>207722</v>
      </c>
      <c r="C1221" t="s">
        <v>87</v>
      </c>
    </row>
    <row r="1222" spans="1:3">
      <c r="A1222" s="93" t="s">
        <v>3324</v>
      </c>
      <c r="B1222">
        <v>215929</v>
      </c>
      <c r="C1222" t="s">
        <v>87</v>
      </c>
    </row>
    <row r="1223" spans="1:3">
      <c r="A1223" s="93" t="s">
        <v>3450</v>
      </c>
      <c r="B1223">
        <v>219383</v>
      </c>
      <c r="C1223" t="s">
        <v>87</v>
      </c>
    </row>
    <row r="1224" spans="1:3">
      <c r="A1224" s="93" t="s">
        <v>666</v>
      </c>
      <c r="B1224">
        <v>102094</v>
      </c>
      <c r="C1224" t="s">
        <v>87</v>
      </c>
    </row>
    <row r="1225" spans="1:3">
      <c r="A1225" s="93" t="s">
        <v>3409</v>
      </c>
      <c r="B1225">
        <v>218645</v>
      </c>
      <c r="C1225" t="s">
        <v>87</v>
      </c>
    </row>
    <row r="1226" spans="1:3">
      <c r="A1226" s="93" t="s">
        <v>3410</v>
      </c>
      <c r="B1226">
        <v>218654</v>
      </c>
      <c r="C1226" t="s">
        <v>87</v>
      </c>
    </row>
    <row r="1227" spans="1:3">
      <c r="A1227" s="93" t="s">
        <v>3411</v>
      </c>
      <c r="B1227">
        <v>218663</v>
      </c>
      <c r="C1227" t="s">
        <v>87</v>
      </c>
    </row>
    <row r="1228" spans="1:3">
      <c r="A1228" s="93" t="s">
        <v>3418</v>
      </c>
      <c r="B1228">
        <v>218742</v>
      </c>
      <c r="C1228" t="s">
        <v>87</v>
      </c>
    </row>
    <row r="1229" spans="1:3">
      <c r="A1229" s="93" t="s">
        <v>3455</v>
      </c>
      <c r="B1229">
        <v>219471</v>
      </c>
      <c r="C1229" t="s">
        <v>87</v>
      </c>
    </row>
    <row r="1230" spans="1:3">
      <c r="A1230" s="93" t="s">
        <v>1276</v>
      </c>
      <c r="B1230">
        <v>137351</v>
      </c>
      <c r="C1230" t="s">
        <v>87</v>
      </c>
    </row>
    <row r="1231" spans="1:3">
      <c r="A1231" s="93" t="s">
        <v>5778</v>
      </c>
      <c r="B1231">
        <v>448840</v>
      </c>
      <c r="C1231" t="s">
        <v>87</v>
      </c>
    </row>
    <row r="1232" spans="1:3">
      <c r="A1232" s="93" t="s">
        <v>1034</v>
      </c>
      <c r="B1232">
        <v>123961</v>
      </c>
      <c r="C1232" t="s">
        <v>87</v>
      </c>
    </row>
    <row r="1233" spans="1:3">
      <c r="A1233" s="93" t="s">
        <v>1551</v>
      </c>
      <c r="B1233">
        <v>151306</v>
      </c>
      <c r="C1233" t="s">
        <v>87</v>
      </c>
    </row>
    <row r="1234" spans="1:3">
      <c r="A1234" s="93" t="s">
        <v>1852</v>
      </c>
      <c r="B1234">
        <v>161554</v>
      </c>
      <c r="C1234" t="s">
        <v>87</v>
      </c>
    </row>
    <row r="1235" spans="1:3">
      <c r="A1235" s="93" t="s">
        <v>2198</v>
      </c>
      <c r="B1235">
        <v>176372</v>
      </c>
      <c r="C1235" t="s">
        <v>87</v>
      </c>
    </row>
    <row r="1236" spans="1:3">
      <c r="A1236" s="93" t="s">
        <v>1505</v>
      </c>
      <c r="B1236">
        <v>148584</v>
      </c>
      <c r="C1236" t="s">
        <v>87</v>
      </c>
    </row>
    <row r="1237" spans="1:3">
      <c r="A1237" s="93" t="s">
        <v>2153</v>
      </c>
      <c r="B1237">
        <v>174914</v>
      </c>
      <c r="C1237" t="s">
        <v>87</v>
      </c>
    </row>
    <row r="1238" spans="1:3">
      <c r="A1238" s="93" t="s">
        <v>2153</v>
      </c>
      <c r="B1238">
        <v>227863</v>
      </c>
      <c r="C1238" t="s">
        <v>87</v>
      </c>
    </row>
    <row r="1239" spans="1:3">
      <c r="A1239" s="93" t="s">
        <v>1736</v>
      </c>
      <c r="B1239">
        <v>156541</v>
      </c>
      <c r="C1239" t="s">
        <v>87</v>
      </c>
    </row>
    <row r="1240" spans="1:3">
      <c r="A1240" s="93" t="s">
        <v>3605</v>
      </c>
      <c r="B1240">
        <v>225627</v>
      </c>
      <c r="C1240" t="s">
        <v>87</v>
      </c>
    </row>
    <row r="1241" spans="1:3">
      <c r="A1241" s="93" t="s">
        <v>754</v>
      </c>
      <c r="B1241">
        <v>107558</v>
      </c>
      <c r="C1241" t="s">
        <v>87</v>
      </c>
    </row>
    <row r="1242" spans="1:3">
      <c r="A1242" s="93" t="s">
        <v>967</v>
      </c>
      <c r="B1242">
        <v>120883</v>
      </c>
      <c r="C1242" t="s">
        <v>87</v>
      </c>
    </row>
    <row r="1243" spans="1:3">
      <c r="A1243" s="93" t="s">
        <v>3298</v>
      </c>
      <c r="B1243">
        <v>215132</v>
      </c>
      <c r="C1243" t="s">
        <v>87</v>
      </c>
    </row>
    <row r="1244" spans="1:3">
      <c r="A1244" s="93" t="s">
        <v>2470</v>
      </c>
      <c r="B1244">
        <v>188182</v>
      </c>
      <c r="C1244" t="s">
        <v>87</v>
      </c>
    </row>
    <row r="1245" spans="1:3">
      <c r="A1245" s="93" t="s">
        <v>4055</v>
      </c>
      <c r="B1245">
        <v>243665</v>
      </c>
      <c r="C1245" t="s">
        <v>138</v>
      </c>
    </row>
    <row r="1246" spans="1:3">
      <c r="A1246" s="93" t="s">
        <v>3084</v>
      </c>
      <c r="B1246">
        <v>207971</v>
      </c>
      <c r="C1246" t="s">
        <v>87</v>
      </c>
    </row>
    <row r="1247" spans="1:3">
      <c r="A1247" s="93" t="s">
        <v>3724</v>
      </c>
      <c r="B1247">
        <v>230764</v>
      </c>
      <c r="C1247" t="s">
        <v>87</v>
      </c>
    </row>
    <row r="1248" spans="1:3">
      <c r="A1248" s="93" t="s">
        <v>3744</v>
      </c>
      <c r="B1248">
        <v>231174</v>
      </c>
      <c r="C1248" t="s">
        <v>87</v>
      </c>
    </row>
    <row r="1249" spans="1:3">
      <c r="A1249" s="93" t="s">
        <v>3819</v>
      </c>
      <c r="B1249">
        <v>234076</v>
      </c>
      <c r="C1249" t="s">
        <v>87</v>
      </c>
    </row>
    <row r="1250" spans="1:3">
      <c r="A1250" s="93" t="s">
        <v>3877</v>
      </c>
      <c r="B1250">
        <v>236948</v>
      </c>
      <c r="C1250" t="s">
        <v>87</v>
      </c>
    </row>
    <row r="1251" spans="1:3">
      <c r="A1251" s="93" t="s">
        <v>648</v>
      </c>
      <c r="B1251">
        <v>101587</v>
      </c>
      <c r="C1251" t="s">
        <v>87</v>
      </c>
    </row>
    <row r="1252" spans="1:3">
      <c r="A1252" s="93" t="s">
        <v>1374</v>
      </c>
      <c r="B1252">
        <v>141334</v>
      </c>
      <c r="C1252" t="s">
        <v>87</v>
      </c>
    </row>
    <row r="1253" spans="1:3">
      <c r="A1253" s="93" t="s">
        <v>3964</v>
      </c>
      <c r="B1253">
        <v>240268</v>
      </c>
      <c r="C1253" t="s">
        <v>87</v>
      </c>
    </row>
    <row r="1254" spans="1:3">
      <c r="A1254" s="93" t="s">
        <v>3965</v>
      </c>
      <c r="B1254">
        <v>240277</v>
      </c>
      <c r="C1254" t="s">
        <v>87</v>
      </c>
    </row>
    <row r="1255" spans="1:3">
      <c r="A1255" s="93" t="s">
        <v>3966</v>
      </c>
      <c r="B1255">
        <v>240329</v>
      </c>
      <c r="C1255" t="s">
        <v>87</v>
      </c>
    </row>
    <row r="1256" spans="1:3">
      <c r="A1256" s="93" t="s">
        <v>3973</v>
      </c>
      <c r="B1256">
        <v>240444</v>
      </c>
      <c r="C1256" t="s">
        <v>87</v>
      </c>
    </row>
    <row r="1257" spans="1:3">
      <c r="A1257" s="93" t="s">
        <v>3974</v>
      </c>
      <c r="B1257">
        <v>240453</v>
      </c>
      <c r="C1257" t="s">
        <v>87</v>
      </c>
    </row>
    <row r="1258" spans="1:3">
      <c r="A1258" s="93" t="s">
        <v>3968</v>
      </c>
      <c r="B1258">
        <v>240365</v>
      </c>
      <c r="C1258" t="s">
        <v>87</v>
      </c>
    </row>
    <row r="1259" spans="1:3">
      <c r="A1259" s="93" t="s">
        <v>3969</v>
      </c>
      <c r="B1259">
        <v>240374</v>
      </c>
      <c r="C1259" t="s">
        <v>87</v>
      </c>
    </row>
    <row r="1260" spans="1:3">
      <c r="A1260" s="93" t="s">
        <v>3975</v>
      </c>
      <c r="B1260">
        <v>240462</v>
      </c>
      <c r="C1260" t="s">
        <v>87</v>
      </c>
    </row>
    <row r="1261" spans="1:3">
      <c r="A1261" s="93" t="s">
        <v>3976</v>
      </c>
      <c r="B1261">
        <v>240471</v>
      </c>
      <c r="C1261" t="s">
        <v>87</v>
      </c>
    </row>
    <row r="1262" spans="1:3">
      <c r="A1262" s="93" t="s">
        <v>3977</v>
      </c>
      <c r="B1262">
        <v>240480</v>
      </c>
      <c r="C1262" t="s">
        <v>87</v>
      </c>
    </row>
    <row r="1263" spans="1:3">
      <c r="A1263" s="93" t="s">
        <v>3971</v>
      </c>
      <c r="B1263">
        <v>240417</v>
      </c>
      <c r="C1263" t="s">
        <v>87</v>
      </c>
    </row>
    <row r="1264" spans="1:3">
      <c r="A1264" s="93" t="s">
        <v>3972</v>
      </c>
      <c r="B1264">
        <v>240426</v>
      </c>
      <c r="C1264" t="s">
        <v>87</v>
      </c>
    </row>
    <row r="1265" spans="1:3">
      <c r="A1265" s="93" t="s">
        <v>3961</v>
      </c>
      <c r="B1265">
        <v>240189</v>
      </c>
      <c r="C1265" t="s">
        <v>87</v>
      </c>
    </row>
    <row r="1266" spans="1:3">
      <c r="A1266" s="93" t="s">
        <v>3986</v>
      </c>
      <c r="B1266">
        <v>240727</v>
      </c>
      <c r="C1266" t="s">
        <v>87</v>
      </c>
    </row>
    <row r="1267" spans="1:3">
      <c r="A1267" s="93" t="s">
        <v>3029</v>
      </c>
      <c r="B1267">
        <v>206330</v>
      </c>
      <c r="C1267" t="s">
        <v>87</v>
      </c>
    </row>
    <row r="1268" spans="1:3">
      <c r="A1268" s="93" t="s">
        <v>3345</v>
      </c>
      <c r="B1268">
        <v>216524</v>
      </c>
      <c r="C1268" t="s">
        <v>87</v>
      </c>
    </row>
    <row r="1269" spans="1:3">
      <c r="A1269" s="93" t="s">
        <v>3030</v>
      </c>
      <c r="B1269">
        <v>206349</v>
      </c>
      <c r="C1269" t="s">
        <v>87</v>
      </c>
    </row>
    <row r="1270" spans="1:3">
      <c r="A1270" s="93" t="s">
        <v>3721</v>
      </c>
      <c r="B1270">
        <v>230728</v>
      </c>
      <c r="C1270" t="s">
        <v>87</v>
      </c>
    </row>
    <row r="1271" spans="1:3">
      <c r="A1271" s="93" t="s">
        <v>2714</v>
      </c>
      <c r="B1271">
        <v>197045</v>
      </c>
      <c r="C1271" t="s">
        <v>87</v>
      </c>
    </row>
    <row r="1272" spans="1:3">
      <c r="A1272" s="93" t="s">
        <v>1372</v>
      </c>
      <c r="B1272">
        <v>141264</v>
      </c>
      <c r="C1272" t="s">
        <v>87</v>
      </c>
    </row>
    <row r="1273" spans="1:3">
      <c r="A1273" s="93" t="s">
        <v>5779</v>
      </c>
      <c r="B1273">
        <v>216542</v>
      </c>
      <c r="C1273" t="s">
        <v>87</v>
      </c>
    </row>
    <row r="1274" spans="1:3">
      <c r="A1274" s="93" t="s">
        <v>595</v>
      </c>
      <c r="B1274">
        <v>152600</v>
      </c>
      <c r="C1274" t="s">
        <v>87</v>
      </c>
    </row>
    <row r="1275" spans="1:3">
      <c r="A1275" s="93" t="s">
        <v>478</v>
      </c>
      <c r="B1275">
        <v>221999</v>
      </c>
      <c r="C1275" t="s">
        <v>87</v>
      </c>
    </row>
    <row r="1276" spans="1:3">
      <c r="A1276" s="93" t="s">
        <v>1027</v>
      </c>
      <c r="B1276">
        <v>123651</v>
      </c>
      <c r="C1276" t="s">
        <v>87</v>
      </c>
    </row>
    <row r="1277" spans="1:3">
      <c r="A1277" s="93" t="s">
        <v>2715</v>
      </c>
      <c r="B1277">
        <v>197133</v>
      </c>
      <c r="C1277" t="s">
        <v>87</v>
      </c>
    </row>
    <row r="1278" spans="1:3">
      <c r="A1278" s="93" t="s">
        <v>5780</v>
      </c>
      <c r="B1278">
        <v>220941</v>
      </c>
      <c r="C1278" t="s">
        <v>87</v>
      </c>
    </row>
    <row r="1279" spans="1:3">
      <c r="A1279" s="93" t="s">
        <v>494</v>
      </c>
      <c r="B1279">
        <v>216597</v>
      </c>
      <c r="C1279" t="s">
        <v>87</v>
      </c>
    </row>
    <row r="1280" spans="1:3">
      <c r="A1280" s="93" t="s">
        <v>3818</v>
      </c>
      <c r="B1280">
        <v>234030</v>
      </c>
      <c r="C1280" t="s">
        <v>87</v>
      </c>
    </row>
    <row r="1281" spans="1:3">
      <c r="A1281" s="93" t="s">
        <v>5781</v>
      </c>
      <c r="B1281">
        <v>233912</v>
      </c>
      <c r="C1281" t="s">
        <v>87</v>
      </c>
    </row>
    <row r="1282" spans="1:3">
      <c r="A1282" s="93" t="s">
        <v>3820</v>
      </c>
      <c r="B1282">
        <v>234085</v>
      </c>
      <c r="C1282" t="s">
        <v>87</v>
      </c>
    </row>
    <row r="1283" spans="1:3">
      <c r="A1283" s="93" t="s">
        <v>3816</v>
      </c>
      <c r="B1283">
        <v>233921</v>
      </c>
      <c r="C1283" t="s">
        <v>87</v>
      </c>
    </row>
    <row r="1284" spans="1:3">
      <c r="A1284" s="93" t="s">
        <v>3822</v>
      </c>
      <c r="B1284">
        <v>234155</v>
      </c>
      <c r="C1284" t="s">
        <v>138</v>
      </c>
    </row>
    <row r="1285" spans="1:3">
      <c r="A1285" s="93" t="s">
        <v>3823</v>
      </c>
      <c r="B1285">
        <v>234164</v>
      </c>
      <c r="C1285" t="s">
        <v>138</v>
      </c>
    </row>
    <row r="1286" spans="1:3">
      <c r="A1286" s="93" t="s">
        <v>5782</v>
      </c>
      <c r="B1286">
        <v>234173</v>
      </c>
      <c r="C1286" t="s">
        <v>87</v>
      </c>
    </row>
    <row r="1287" spans="1:3">
      <c r="A1287" s="93" t="s">
        <v>3958</v>
      </c>
      <c r="B1287">
        <v>240107</v>
      </c>
      <c r="C1287" t="s">
        <v>87</v>
      </c>
    </row>
    <row r="1288" spans="1:3">
      <c r="A1288" s="93" t="s">
        <v>3425</v>
      </c>
      <c r="B1288">
        <v>218919</v>
      </c>
      <c r="C1288" t="s">
        <v>138</v>
      </c>
    </row>
    <row r="1289" spans="1:3">
      <c r="A1289" s="93" t="s">
        <v>539</v>
      </c>
      <c r="B1289">
        <v>152673</v>
      </c>
      <c r="C1289" t="s">
        <v>87</v>
      </c>
    </row>
    <row r="1290" spans="1:3">
      <c r="A1290" s="93" t="s">
        <v>2718</v>
      </c>
      <c r="B1290">
        <v>197197</v>
      </c>
      <c r="C1290" t="s">
        <v>87</v>
      </c>
    </row>
    <row r="1291" spans="1:3">
      <c r="A1291" s="93" t="s">
        <v>511</v>
      </c>
      <c r="B1291">
        <v>199847</v>
      </c>
      <c r="C1291" t="s">
        <v>87</v>
      </c>
    </row>
    <row r="1292" spans="1:3">
      <c r="A1292" s="93" t="s">
        <v>550</v>
      </c>
      <c r="B1292">
        <v>206437</v>
      </c>
      <c r="C1292" t="s">
        <v>87</v>
      </c>
    </row>
    <row r="1293" spans="1:3">
      <c r="A1293" s="93" t="s">
        <v>3140</v>
      </c>
      <c r="B1293">
        <v>210304</v>
      </c>
      <c r="C1293" t="s">
        <v>87</v>
      </c>
    </row>
    <row r="1294" spans="1:3">
      <c r="A1294" s="93" t="s">
        <v>1288</v>
      </c>
      <c r="B1294">
        <v>138275</v>
      </c>
      <c r="C1294" t="s">
        <v>87</v>
      </c>
    </row>
    <row r="1295" spans="1:3">
      <c r="A1295" s="93" t="s">
        <v>2834</v>
      </c>
      <c r="B1295">
        <v>199865</v>
      </c>
      <c r="C1295" t="s">
        <v>87</v>
      </c>
    </row>
    <row r="1296" spans="1:3">
      <c r="A1296" s="93" t="s">
        <v>1656</v>
      </c>
      <c r="B1296">
        <v>154527</v>
      </c>
      <c r="C1296" t="s">
        <v>87</v>
      </c>
    </row>
    <row r="1297" spans="1:3">
      <c r="A1297" s="93" t="s">
        <v>3350</v>
      </c>
      <c r="B1297">
        <v>216667</v>
      </c>
      <c r="C1297" t="s">
        <v>87</v>
      </c>
    </row>
    <row r="1298" spans="1:3">
      <c r="A1298" s="93" t="s">
        <v>1866</v>
      </c>
      <c r="B1298">
        <v>162210</v>
      </c>
      <c r="C1298" t="s">
        <v>87</v>
      </c>
    </row>
    <row r="1299" spans="1:3">
      <c r="A1299" s="93" t="s">
        <v>3825</v>
      </c>
      <c r="B1299">
        <v>234207</v>
      </c>
      <c r="C1299" t="s">
        <v>87</v>
      </c>
    </row>
    <row r="1300" spans="1:3">
      <c r="A1300" s="93" t="s">
        <v>1901</v>
      </c>
      <c r="B1300">
        <v>164216</v>
      </c>
      <c r="C1300" t="s">
        <v>87</v>
      </c>
    </row>
    <row r="1301" spans="1:3">
      <c r="A1301" s="93" t="s">
        <v>3876</v>
      </c>
      <c r="B1301">
        <v>236939</v>
      </c>
      <c r="C1301" t="s">
        <v>87</v>
      </c>
    </row>
    <row r="1302" spans="1:3">
      <c r="A1302" s="93" t="s">
        <v>2285</v>
      </c>
      <c r="B1302">
        <v>179867</v>
      </c>
      <c r="C1302" t="s">
        <v>87</v>
      </c>
    </row>
    <row r="1303" spans="1:3">
      <c r="A1303" s="93" t="s">
        <v>4295</v>
      </c>
      <c r="B1303">
        <v>392840</v>
      </c>
      <c r="C1303" t="s">
        <v>87</v>
      </c>
    </row>
    <row r="1304" spans="1:3">
      <c r="A1304" s="93" t="s">
        <v>3701</v>
      </c>
      <c r="B1304">
        <v>229780</v>
      </c>
      <c r="C1304" t="s">
        <v>87</v>
      </c>
    </row>
    <row r="1305" spans="1:3">
      <c r="A1305" s="93" t="s">
        <v>3351</v>
      </c>
      <c r="B1305">
        <v>216694</v>
      </c>
      <c r="C1305" t="s">
        <v>87</v>
      </c>
    </row>
    <row r="1306" spans="1:3">
      <c r="A1306" s="93" t="s">
        <v>2719</v>
      </c>
      <c r="B1306">
        <v>197221</v>
      </c>
      <c r="C1306" t="s">
        <v>87</v>
      </c>
    </row>
    <row r="1307" spans="1:3">
      <c r="A1307" s="93" t="s">
        <v>1290</v>
      </c>
      <c r="B1307">
        <v>138293</v>
      </c>
      <c r="C1307" t="s">
        <v>87</v>
      </c>
    </row>
    <row r="1308" spans="1:3">
      <c r="A1308" s="93" t="s">
        <v>2286</v>
      </c>
      <c r="B1308">
        <v>179894</v>
      </c>
      <c r="C1308" t="s">
        <v>87</v>
      </c>
    </row>
    <row r="1309" spans="1:3">
      <c r="A1309" s="93" t="s">
        <v>5783</v>
      </c>
      <c r="B1309">
        <v>168218</v>
      </c>
      <c r="C1309" t="s">
        <v>87</v>
      </c>
    </row>
    <row r="1310" spans="1:3">
      <c r="A1310" s="93" t="s">
        <v>516</v>
      </c>
      <c r="B1310">
        <v>197230</v>
      </c>
      <c r="C1310" t="s">
        <v>87</v>
      </c>
    </row>
    <row r="1311" spans="1:3">
      <c r="A1311" s="93" t="s">
        <v>2005</v>
      </c>
      <c r="B1311">
        <v>168227</v>
      </c>
      <c r="C1311" t="s">
        <v>87</v>
      </c>
    </row>
    <row r="1312" spans="1:3">
      <c r="A1312" s="93" t="s">
        <v>1167</v>
      </c>
      <c r="B1312">
        <v>131098</v>
      </c>
      <c r="C1312" t="s">
        <v>87</v>
      </c>
    </row>
    <row r="1313" spans="1:3">
      <c r="A1313" s="93" t="s">
        <v>5784</v>
      </c>
      <c r="B1313">
        <v>141325</v>
      </c>
      <c r="C1313" t="s">
        <v>87</v>
      </c>
    </row>
    <row r="1314" spans="1:3">
      <c r="A1314" s="93" t="s">
        <v>582</v>
      </c>
      <c r="B1314">
        <v>130697</v>
      </c>
      <c r="C1314" t="s">
        <v>87</v>
      </c>
    </row>
    <row r="1315" spans="1:3">
      <c r="A1315" s="93" t="s">
        <v>3352</v>
      </c>
      <c r="B1315">
        <v>216764</v>
      </c>
      <c r="C1315" t="s">
        <v>87</v>
      </c>
    </row>
    <row r="1316" spans="1:3">
      <c r="A1316" s="93" t="s">
        <v>3909</v>
      </c>
      <c r="B1316">
        <v>237932</v>
      </c>
      <c r="C1316" t="s">
        <v>87</v>
      </c>
    </row>
    <row r="1317" spans="1:3">
      <c r="A1317" s="93" t="s">
        <v>3703</v>
      </c>
      <c r="B1317">
        <v>229814</v>
      </c>
      <c r="C1317" t="s">
        <v>87</v>
      </c>
    </row>
    <row r="1318" spans="1:3">
      <c r="A1318" s="93" t="s">
        <v>3917</v>
      </c>
      <c r="B1318">
        <v>238032</v>
      </c>
      <c r="C1318" t="s">
        <v>87</v>
      </c>
    </row>
    <row r="1319" spans="1:3">
      <c r="A1319" s="93" t="s">
        <v>3911</v>
      </c>
      <c r="B1319">
        <v>237969</v>
      </c>
      <c r="C1319" t="s">
        <v>87</v>
      </c>
    </row>
    <row r="1320" spans="1:3">
      <c r="A1320" s="93" t="s">
        <v>2843</v>
      </c>
      <c r="B1320">
        <v>200004</v>
      </c>
      <c r="C1320" t="s">
        <v>87</v>
      </c>
    </row>
    <row r="1321" spans="1:3">
      <c r="A1321" s="93" t="s">
        <v>1159</v>
      </c>
      <c r="B1321">
        <v>130776</v>
      </c>
      <c r="C1321" t="s">
        <v>87</v>
      </c>
    </row>
    <row r="1322" spans="1:3">
      <c r="A1322" s="93" t="s">
        <v>437</v>
      </c>
      <c r="B1322">
        <v>149772</v>
      </c>
      <c r="C1322" t="s">
        <v>87</v>
      </c>
    </row>
    <row r="1323" spans="1:3">
      <c r="A1323" s="93" t="s">
        <v>1784</v>
      </c>
      <c r="B1323">
        <v>157951</v>
      </c>
      <c r="C1323" t="s">
        <v>87</v>
      </c>
    </row>
    <row r="1324" spans="1:3">
      <c r="A1324" s="93" t="s">
        <v>596</v>
      </c>
      <c r="B1324">
        <v>172699</v>
      </c>
      <c r="C1324" t="s">
        <v>87</v>
      </c>
    </row>
    <row r="1325" spans="1:3">
      <c r="A1325" s="93" t="s">
        <v>2006</v>
      </c>
      <c r="B1325">
        <v>168254</v>
      </c>
      <c r="C1325" t="s">
        <v>87</v>
      </c>
    </row>
    <row r="1326" spans="1:3">
      <c r="A1326" s="93" t="s">
        <v>2474</v>
      </c>
      <c r="B1326">
        <v>188304</v>
      </c>
      <c r="C1326" t="s">
        <v>87</v>
      </c>
    </row>
    <row r="1327" spans="1:3">
      <c r="A1327" s="93" t="s">
        <v>3145</v>
      </c>
      <c r="B1327">
        <v>210429</v>
      </c>
      <c r="C1327" t="s">
        <v>87</v>
      </c>
    </row>
    <row r="1328" spans="1:3">
      <c r="A1328" s="93" t="s">
        <v>5785</v>
      </c>
      <c r="B1328">
        <v>128391</v>
      </c>
      <c r="C1328" t="s">
        <v>87</v>
      </c>
    </row>
    <row r="1329" spans="1:3">
      <c r="A1329" s="93" t="s">
        <v>3879</v>
      </c>
      <c r="B1329">
        <v>237011</v>
      </c>
      <c r="C1329" t="s">
        <v>87</v>
      </c>
    </row>
    <row r="1330" spans="1:3">
      <c r="A1330" s="93" t="s">
        <v>2007</v>
      </c>
      <c r="B1330">
        <v>168263</v>
      </c>
      <c r="C1330" t="s">
        <v>87</v>
      </c>
    </row>
    <row r="1331" spans="1:3">
      <c r="A1331" s="93" t="s">
        <v>2287</v>
      </c>
      <c r="B1331">
        <v>179946</v>
      </c>
      <c r="C1331" t="s">
        <v>87</v>
      </c>
    </row>
    <row r="1332" spans="1:3">
      <c r="A1332" s="93" t="s">
        <v>2287</v>
      </c>
      <c r="B1332">
        <v>216807</v>
      </c>
      <c r="C1332" t="s">
        <v>87</v>
      </c>
    </row>
    <row r="1333" spans="1:3">
      <c r="A1333" s="93" t="s">
        <v>2287</v>
      </c>
      <c r="B1333">
        <v>230807</v>
      </c>
      <c r="C1333" t="s">
        <v>87</v>
      </c>
    </row>
    <row r="1334" spans="1:3">
      <c r="A1334" s="93" t="s">
        <v>1052</v>
      </c>
      <c r="B1334">
        <v>125727</v>
      </c>
      <c r="C1334" t="s">
        <v>87</v>
      </c>
    </row>
    <row r="1335" spans="1:3">
      <c r="A1335" s="93" t="s">
        <v>1526</v>
      </c>
      <c r="B1335">
        <v>149781</v>
      </c>
      <c r="C1335" t="s">
        <v>87</v>
      </c>
    </row>
    <row r="1336" spans="1:3">
      <c r="A1336" s="93" t="s">
        <v>1526</v>
      </c>
      <c r="B1336">
        <v>168281</v>
      </c>
      <c r="C1336" t="s">
        <v>87</v>
      </c>
    </row>
    <row r="1337" spans="1:3">
      <c r="A1337" s="93" t="s">
        <v>3918</v>
      </c>
      <c r="B1337">
        <v>238078</v>
      </c>
      <c r="C1337" t="s">
        <v>87</v>
      </c>
    </row>
    <row r="1338" spans="1:3">
      <c r="A1338" s="93" t="s">
        <v>2008</v>
      </c>
      <c r="B1338">
        <v>168290</v>
      </c>
      <c r="C1338" t="s">
        <v>87</v>
      </c>
    </row>
    <row r="1339" spans="1:3">
      <c r="A1339" s="93" t="s">
        <v>3881</v>
      </c>
      <c r="B1339">
        <v>237057</v>
      </c>
      <c r="C1339" t="s">
        <v>87</v>
      </c>
    </row>
    <row r="1340" spans="1:3">
      <c r="A1340" s="93" t="s">
        <v>1053</v>
      </c>
      <c r="B1340">
        <v>125763</v>
      </c>
      <c r="C1340" t="s">
        <v>87</v>
      </c>
    </row>
    <row r="1341" spans="1:3">
      <c r="A1341" s="93" t="s">
        <v>3882</v>
      </c>
      <c r="B1341">
        <v>237066</v>
      </c>
      <c r="C1341" t="s">
        <v>87</v>
      </c>
    </row>
    <row r="1342" spans="1:3">
      <c r="A1342" s="93" t="s">
        <v>1718</v>
      </c>
      <c r="B1342">
        <v>156125</v>
      </c>
      <c r="C1342" t="s">
        <v>87</v>
      </c>
    </row>
    <row r="1343" spans="1:3">
      <c r="A1343" s="93" t="s">
        <v>5786</v>
      </c>
      <c r="B1343">
        <v>216852</v>
      </c>
      <c r="C1343" t="s">
        <v>87</v>
      </c>
    </row>
    <row r="1344" spans="1:3">
      <c r="A1344" s="93" t="s">
        <v>3034</v>
      </c>
      <c r="B1344">
        <v>206491</v>
      </c>
      <c r="C1344" t="s">
        <v>138</v>
      </c>
    </row>
    <row r="1345" spans="1:3">
      <c r="A1345" s="93" t="s">
        <v>3706</v>
      </c>
      <c r="B1345">
        <v>229887</v>
      </c>
      <c r="C1345" t="s">
        <v>138</v>
      </c>
    </row>
    <row r="1346" spans="1:3">
      <c r="A1346" s="93" t="s">
        <v>3358</v>
      </c>
      <c r="B1346">
        <v>216931</v>
      </c>
      <c r="C1346" t="s">
        <v>87</v>
      </c>
    </row>
    <row r="1347" spans="1:3">
      <c r="A1347" s="93" t="s">
        <v>3144</v>
      </c>
      <c r="B1347">
        <v>210401</v>
      </c>
      <c r="C1347" t="s">
        <v>87</v>
      </c>
    </row>
    <row r="1348" spans="1:3">
      <c r="A1348" s="93" t="s">
        <v>2201</v>
      </c>
      <c r="B1348">
        <v>176479</v>
      </c>
      <c r="C1348" t="s">
        <v>87</v>
      </c>
    </row>
    <row r="1349" spans="1:3">
      <c r="A1349" s="93" t="s">
        <v>2288</v>
      </c>
      <c r="B1349">
        <v>179955</v>
      </c>
      <c r="C1349" t="s">
        <v>87</v>
      </c>
    </row>
    <row r="1350" spans="1:3">
      <c r="A1350" s="93" t="s">
        <v>2446</v>
      </c>
      <c r="B1350">
        <v>187444</v>
      </c>
      <c r="C1350" t="s">
        <v>87</v>
      </c>
    </row>
    <row r="1351" spans="1:3">
      <c r="A1351" s="93" t="s">
        <v>1660</v>
      </c>
      <c r="B1351">
        <v>154590</v>
      </c>
      <c r="C1351" t="s">
        <v>87</v>
      </c>
    </row>
    <row r="1352" spans="1:3">
      <c r="A1352" s="93" t="s">
        <v>2289</v>
      </c>
      <c r="B1352">
        <v>179964</v>
      </c>
      <c r="C1352" t="s">
        <v>87</v>
      </c>
    </row>
    <row r="1353" spans="1:3">
      <c r="A1353" s="93" t="s">
        <v>763</v>
      </c>
      <c r="B1353">
        <v>107877</v>
      </c>
      <c r="C1353" t="s">
        <v>87</v>
      </c>
    </row>
    <row r="1354" spans="1:3">
      <c r="A1354" s="93" t="s">
        <v>2009</v>
      </c>
      <c r="B1354">
        <v>168342</v>
      </c>
      <c r="C1354" t="s">
        <v>87</v>
      </c>
    </row>
    <row r="1355" spans="1:3">
      <c r="A1355" s="93" t="s">
        <v>3035</v>
      </c>
      <c r="B1355">
        <v>206507</v>
      </c>
      <c r="C1355" t="s">
        <v>87</v>
      </c>
    </row>
    <row r="1356" spans="1:3">
      <c r="A1356" s="93" t="s">
        <v>3359</v>
      </c>
      <c r="B1356">
        <v>217013</v>
      </c>
      <c r="C1356" t="s">
        <v>87</v>
      </c>
    </row>
    <row r="1357" spans="1:3">
      <c r="A1357" s="93" t="s">
        <v>2840</v>
      </c>
      <c r="B1357">
        <v>199962</v>
      </c>
      <c r="C1357" t="s">
        <v>87</v>
      </c>
    </row>
    <row r="1358" spans="1:3">
      <c r="A1358" s="93" t="s">
        <v>2163</v>
      </c>
      <c r="B1358">
        <v>175272</v>
      </c>
      <c r="C1358" t="s">
        <v>87</v>
      </c>
    </row>
    <row r="1359" spans="1:3">
      <c r="A1359" s="93" t="s">
        <v>2842</v>
      </c>
      <c r="B1359">
        <v>199999</v>
      </c>
      <c r="C1359" t="s">
        <v>138</v>
      </c>
    </row>
    <row r="1360" spans="1:3">
      <c r="A1360" s="93" t="s">
        <v>3427</v>
      </c>
      <c r="B1360">
        <v>218964</v>
      </c>
      <c r="C1360" t="s">
        <v>87</v>
      </c>
    </row>
    <row r="1361" spans="1:3">
      <c r="A1361" s="93" t="s">
        <v>3967</v>
      </c>
      <c r="B1361">
        <v>240338</v>
      </c>
      <c r="C1361" t="s">
        <v>87</v>
      </c>
    </row>
    <row r="1362" spans="1:3">
      <c r="A1362" s="93" t="s">
        <v>3037</v>
      </c>
      <c r="B1362">
        <v>206525</v>
      </c>
      <c r="C1362" t="s">
        <v>87</v>
      </c>
    </row>
    <row r="1363" spans="1:3">
      <c r="A1363" s="93" t="s">
        <v>3428</v>
      </c>
      <c r="B1363">
        <v>218973</v>
      </c>
      <c r="C1363" t="s">
        <v>87</v>
      </c>
    </row>
    <row r="1364" spans="1:3">
      <c r="A1364" s="93" t="s">
        <v>1054</v>
      </c>
      <c r="B1364">
        <v>125897</v>
      </c>
      <c r="C1364" t="s">
        <v>87</v>
      </c>
    </row>
    <row r="1365" spans="1:3">
      <c r="A1365" s="93" t="s">
        <v>2010</v>
      </c>
      <c r="B1365">
        <v>168421</v>
      </c>
      <c r="C1365" t="s">
        <v>87</v>
      </c>
    </row>
    <row r="1366" spans="1:3">
      <c r="A1366" s="93" t="s">
        <v>2011</v>
      </c>
      <c r="B1366">
        <v>168430</v>
      </c>
      <c r="C1366" t="s">
        <v>87</v>
      </c>
    </row>
    <row r="1367" spans="1:3">
      <c r="A1367" s="93" t="s">
        <v>3038</v>
      </c>
      <c r="B1367">
        <v>206604</v>
      </c>
      <c r="C1367" t="s">
        <v>87</v>
      </c>
    </row>
    <row r="1368" spans="1:3">
      <c r="A1368" s="93" t="s">
        <v>3040</v>
      </c>
      <c r="B1368">
        <v>206622</v>
      </c>
      <c r="C1368" t="s">
        <v>87</v>
      </c>
    </row>
    <row r="1369" spans="1:3">
      <c r="A1369" s="93" t="s">
        <v>1827</v>
      </c>
      <c r="B1369">
        <v>160904</v>
      </c>
      <c r="C1369" t="s">
        <v>138</v>
      </c>
    </row>
    <row r="1370" spans="1:3">
      <c r="A1370" s="93" t="s">
        <v>1161</v>
      </c>
      <c r="B1370">
        <v>130794</v>
      </c>
      <c r="C1370" t="s">
        <v>87</v>
      </c>
    </row>
    <row r="1371" spans="1:3">
      <c r="A1371" s="93" t="s">
        <v>2729</v>
      </c>
      <c r="B1371">
        <v>197708</v>
      </c>
      <c r="C1371" t="s">
        <v>87</v>
      </c>
    </row>
    <row r="1372" spans="1:3">
      <c r="A1372" s="93" t="s">
        <v>2349</v>
      </c>
      <c r="B1372">
        <v>181853</v>
      </c>
      <c r="C1372" t="s">
        <v>87</v>
      </c>
    </row>
    <row r="1373" spans="1:3">
      <c r="A1373" s="93" t="s">
        <v>5787</v>
      </c>
      <c r="B1373">
        <v>217059</v>
      </c>
      <c r="C1373" t="s">
        <v>87</v>
      </c>
    </row>
  </sheetData>
  <autoFilter ref="A1:C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41"/>
  <sheetViews>
    <sheetView workbookViewId="0"/>
  </sheetViews>
  <sheetFormatPr defaultRowHeight="15"/>
  <cols>
    <col min="6" max="6" width="100.7109375" style="19" customWidth="1"/>
  </cols>
  <sheetData>
    <row r="1" spans="1:6">
      <c r="A1" s="93" t="s">
        <v>5793</v>
      </c>
      <c r="B1" s="93" t="s">
        <v>5788</v>
      </c>
      <c r="C1" s="93" t="s">
        <v>5789</v>
      </c>
      <c r="D1" s="93" t="s">
        <v>5790</v>
      </c>
      <c r="E1" s="93" t="s">
        <v>5791</v>
      </c>
      <c r="F1" s="93" t="s">
        <v>5792</v>
      </c>
    </row>
    <row r="2" spans="1:6">
      <c r="A2" s="93" t="s">
        <v>5794</v>
      </c>
      <c r="B2">
        <v>8.390164523999999</v>
      </c>
      <c r="C2">
        <v>0.532666538</v>
      </c>
      <c r="D2">
        <v>-39.89276424</v>
      </c>
      <c r="E2">
        <v>1</v>
      </c>
      <c r="F2" s="19" t="s">
        <v>457</v>
      </c>
    </row>
    <row r="3" spans="1:6">
      <c r="A3" s="93" t="s">
        <v>5795</v>
      </c>
      <c r="B3">
        <v>17.14745529</v>
      </c>
      <c r="C3">
        <v>1.613839531</v>
      </c>
      <c r="D3">
        <v>-88.88817197</v>
      </c>
      <c r="E3">
        <v>1</v>
      </c>
      <c r="F3" s="19" t="s">
        <v>459</v>
      </c>
    </row>
    <row r="4" spans="1:6">
      <c r="A4" s="93" t="s">
        <v>5796</v>
      </c>
      <c r="B4">
        <v>5.318948885</v>
      </c>
      <c r="C4">
        <v>0.5433738060000001</v>
      </c>
      <c r="D4">
        <v>-29.81422429</v>
      </c>
      <c r="E4">
        <v>1</v>
      </c>
      <c r="F4" s="19" t="s">
        <v>471</v>
      </c>
    </row>
    <row r="5" spans="1:6">
      <c r="A5" s="93" t="s">
        <v>5797</v>
      </c>
      <c r="B5">
        <v>7.872230692</v>
      </c>
      <c r="C5">
        <v>0.522551998</v>
      </c>
      <c r="D5">
        <v>-40.03955146</v>
      </c>
      <c r="E5">
        <v>1</v>
      </c>
      <c r="F5" s="19" t="s">
        <v>454</v>
      </c>
    </row>
    <row r="6" spans="1:6">
      <c r="A6" s="93" t="s">
        <v>5798</v>
      </c>
      <c r="B6">
        <v>2.747919393</v>
      </c>
      <c r="C6">
        <v>0.246898527</v>
      </c>
      <c r="D6">
        <v>-17.27024321</v>
      </c>
      <c r="E6">
        <v>1</v>
      </c>
      <c r="F6" s="19" t="s">
        <v>2057</v>
      </c>
    </row>
    <row r="7" spans="1:6">
      <c r="A7" s="93" t="s">
        <v>5799</v>
      </c>
      <c r="B7">
        <v>0.645618389</v>
      </c>
      <c r="C7">
        <v>0.450766207</v>
      </c>
      <c r="D7">
        <v>-13.52602374</v>
      </c>
      <c r="E7">
        <v>1</v>
      </c>
      <c r="F7" s="19" t="s">
        <v>2150</v>
      </c>
    </row>
    <row r="8" spans="1:6">
      <c r="A8" s="93" t="s">
        <v>5800</v>
      </c>
      <c r="B8">
        <v>3.797439131</v>
      </c>
      <c r="C8">
        <v>0.193207132</v>
      </c>
      <c r="D8">
        <v>-17.70245053</v>
      </c>
      <c r="E8">
        <v>1</v>
      </c>
      <c r="F8" s="19" t="s">
        <v>458</v>
      </c>
    </row>
    <row r="9" spans="1:6">
      <c r="A9" s="93" t="s">
        <v>5801</v>
      </c>
      <c r="B9">
        <v>6.522263382</v>
      </c>
      <c r="C9">
        <v>0.375000495</v>
      </c>
      <c r="D9">
        <v>-17.50444612</v>
      </c>
      <c r="E9">
        <v>1</v>
      </c>
      <c r="F9" s="19" t="s">
        <v>614</v>
      </c>
    </row>
    <row r="10" spans="1:6">
      <c r="A10" s="93" t="s">
        <v>5802</v>
      </c>
      <c r="B10">
        <v>2.469068594</v>
      </c>
      <c r="C10">
        <v>0.15790604</v>
      </c>
      <c r="D10">
        <v>-7.013204464</v>
      </c>
      <c r="E10">
        <v>1</v>
      </c>
      <c r="F10" s="19" t="s">
        <v>620</v>
      </c>
    </row>
    <row r="11" spans="1:6">
      <c r="A11" s="93" t="s">
        <v>5803</v>
      </c>
      <c r="B11">
        <v>3.418525377</v>
      </c>
      <c r="C11">
        <v>0.630827543</v>
      </c>
      <c r="D11">
        <v>-17.85044447</v>
      </c>
      <c r="E11">
        <v>1</v>
      </c>
      <c r="F11" s="19" t="s">
        <v>673</v>
      </c>
    </row>
    <row r="12" spans="1:6">
      <c r="A12" s="93" t="s">
        <v>5804</v>
      </c>
      <c r="B12">
        <v>5.841274123</v>
      </c>
      <c r="C12">
        <v>0.041857612</v>
      </c>
      <c r="D12">
        <v>-17.2024007</v>
      </c>
      <c r="E12">
        <v>1</v>
      </c>
      <c r="F12" s="19" t="s">
        <v>564</v>
      </c>
    </row>
    <row r="13" spans="1:6">
      <c r="A13" s="93" t="s">
        <v>5805</v>
      </c>
      <c r="B13">
        <v>8.616475164000001</v>
      </c>
      <c r="C13">
        <v>1.272044654</v>
      </c>
      <c r="D13">
        <v>-65.56019078</v>
      </c>
      <c r="E13">
        <v>1</v>
      </c>
      <c r="F13" s="19" t="s">
        <v>506</v>
      </c>
    </row>
    <row r="14" spans="1:6">
      <c r="A14" s="93" t="s">
        <v>5806</v>
      </c>
      <c r="B14">
        <v>5.436739403</v>
      </c>
      <c r="C14">
        <v>1.082871169</v>
      </c>
      <c r="D14">
        <v>-41.73618054</v>
      </c>
      <c r="E14">
        <v>1</v>
      </c>
      <c r="F14" s="19" t="s">
        <v>584</v>
      </c>
    </row>
    <row r="15" spans="1:6">
      <c r="A15" s="93" t="s">
        <v>5807</v>
      </c>
      <c r="B15">
        <v>4.517252533</v>
      </c>
      <c r="C15">
        <v>0.4984772</v>
      </c>
      <c r="D15">
        <v>-26.85920347</v>
      </c>
      <c r="E15">
        <v>1</v>
      </c>
      <c r="F15" s="19" t="s">
        <v>1086</v>
      </c>
    </row>
    <row r="16" spans="1:6">
      <c r="A16" s="93" t="s">
        <v>5808</v>
      </c>
      <c r="B16">
        <v>2.114866676</v>
      </c>
      <c r="C16">
        <v>0.488525211</v>
      </c>
      <c r="D16">
        <v>-17.30995704</v>
      </c>
      <c r="E16">
        <v>1</v>
      </c>
      <c r="F16" s="19" t="s">
        <v>1175</v>
      </c>
    </row>
    <row r="17" spans="1:6">
      <c r="A17" s="93" t="s">
        <v>5809</v>
      </c>
      <c r="B17">
        <v>0.18038423</v>
      </c>
      <c r="C17">
        <v>1.380250232</v>
      </c>
      <c r="D17">
        <v>-28.15905214</v>
      </c>
      <c r="E17">
        <v>1</v>
      </c>
      <c r="F17" s="19" t="s">
        <v>1203</v>
      </c>
    </row>
    <row r="18" spans="1:6">
      <c r="A18" s="93" t="s">
        <v>5810</v>
      </c>
      <c r="B18">
        <v>10.82679018</v>
      </c>
      <c r="C18">
        <v>0.7608634470000001</v>
      </c>
      <c r="D18">
        <v>-56.65400822</v>
      </c>
      <c r="E18">
        <v>1</v>
      </c>
      <c r="F18" s="19" t="s">
        <v>1247</v>
      </c>
    </row>
    <row r="19" spans="1:6">
      <c r="A19" s="93" t="s">
        <v>5811</v>
      </c>
      <c r="B19">
        <v>4.040584806</v>
      </c>
      <c r="C19">
        <v>0.821512508</v>
      </c>
      <c r="D19">
        <v>-24.33356198</v>
      </c>
      <c r="E19">
        <v>1</v>
      </c>
      <c r="F19" s="19" t="s">
        <v>1310</v>
      </c>
    </row>
    <row r="20" spans="1:6">
      <c r="A20" s="93" t="s">
        <v>5812</v>
      </c>
      <c r="B20">
        <v>6.31105554</v>
      </c>
      <c r="C20">
        <v>0.533740974</v>
      </c>
      <c r="D20">
        <v>-37.95928957</v>
      </c>
      <c r="E20">
        <v>1</v>
      </c>
      <c r="F20" s="19" t="s">
        <v>1331</v>
      </c>
    </row>
    <row r="21" spans="1:6">
      <c r="A21" s="93" t="s">
        <v>5813</v>
      </c>
      <c r="B21">
        <v>5.867562377</v>
      </c>
      <c r="C21">
        <v>0.438145888</v>
      </c>
      <c r="D21">
        <v>-21.18625341</v>
      </c>
      <c r="E21">
        <v>1</v>
      </c>
      <c r="F21" s="19" t="s">
        <v>1353</v>
      </c>
    </row>
    <row r="22" spans="1:6">
      <c r="A22" s="93" t="s">
        <v>5814</v>
      </c>
      <c r="B22">
        <v>4.00776294</v>
      </c>
      <c r="C22">
        <v>0.9052851129999999</v>
      </c>
      <c r="D22">
        <v>-32.32474545</v>
      </c>
      <c r="E22">
        <v>1</v>
      </c>
      <c r="F22" s="19" t="s">
        <v>1367</v>
      </c>
    </row>
    <row r="23" spans="1:6">
      <c r="A23" s="93" t="s">
        <v>5815</v>
      </c>
      <c r="B23">
        <v>5.781614206</v>
      </c>
      <c r="C23">
        <v>0.369980079</v>
      </c>
      <c r="D23">
        <v>-23.7125738</v>
      </c>
      <c r="E23">
        <v>1</v>
      </c>
      <c r="F23" s="19" t="s">
        <v>1406</v>
      </c>
    </row>
    <row r="24" spans="1:6">
      <c r="A24" s="93" t="s">
        <v>5816</v>
      </c>
      <c r="B24">
        <v>5.019473403</v>
      </c>
      <c r="C24">
        <v>1.305983666</v>
      </c>
      <c r="D24">
        <v>-37.48093342</v>
      </c>
      <c r="E24">
        <v>1</v>
      </c>
      <c r="F24" s="19" t="s">
        <v>434</v>
      </c>
    </row>
    <row r="25" spans="1:6">
      <c r="A25" s="93" t="s">
        <v>5817</v>
      </c>
      <c r="B25">
        <v>8.415586245</v>
      </c>
      <c r="C25">
        <v>0.656334771</v>
      </c>
      <c r="D25">
        <v>-32.85761395</v>
      </c>
      <c r="E25">
        <v>1</v>
      </c>
      <c r="F25" s="19" t="s">
        <v>1410</v>
      </c>
    </row>
    <row r="26" spans="1:6">
      <c r="A26" s="93" t="s">
        <v>5818</v>
      </c>
      <c r="B26">
        <v>3.597668695</v>
      </c>
      <c r="C26">
        <v>0.323697363</v>
      </c>
      <c r="D26">
        <v>-17.26673107</v>
      </c>
      <c r="E26">
        <v>1</v>
      </c>
      <c r="F26" s="19" t="s">
        <v>1413</v>
      </c>
    </row>
    <row r="27" spans="1:6">
      <c r="A27" s="93" t="s">
        <v>5819</v>
      </c>
      <c r="B27">
        <v>3.156962877</v>
      </c>
      <c r="C27">
        <v>0.3192116</v>
      </c>
      <c r="D27">
        <v>-11.4970859</v>
      </c>
      <c r="E27">
        <v>1</v>
      </c>
      <c r="F27" s="19" t="s">
        <v>1418</v>
      </c>
    </row>
    <row r="28" spans="1:6">
      <c r="A28" s="93" t="s">
        <v>5820</v>
      </c>
      <c r="B28">
        <v>1.481818192</v>
      </c>
      <c r="C28">
        <v>0.537842076</v>
      </c>
      <c r="D28">
        <v>-20.80897733</v>
      </c>
      <c r="E28">
        <v>1</v>
      </c>
      <c r="F28" s="19" t="s">
        <v>480</v>
      </c>
    </row>
    <row r="29" spans="1:6">
      <c r="A29" s="93" t="s">
        <v>5821</v>
      </c>
      <c r="B29">
        <v>10.08157048</v>
      </c>
      <c r="C29">
        <v>0.583395349</v>
      </c>
      <c r="D29">
        <v>-35.13327971</v>
      </c>
      <c r="E29">
        <v>1</v>
      </c>
      <c r="F29" s="19" t="s">
        <v>545</v>
      </c>
    </row>
    <row r="30" spans="1:6">
      <c r="A30" s="93" t="s">
        <v>5822</v>
      </c>
      <c r="B30">
        <v>4.827315978000001</v>
      </c>
      <c r="C30">
        <v>1.107049189</v>
      </c>
      <c r="D30">
        <v>-30.59407969</v>
      </c>
      <c r="E30">
        <v>1</v>
      </c>
      <c r="F30" s="19" t="s">
        <v>1427</v>
      </c>
    </row>
    <row r="31" spans="1:6">
      <c r="A31" s="93" t="s">
        <v>5823</v>
      </c>
      <c r="B31">
        <v>5.471803859</v>
      </c>
      <c r="C31">
        <v>0.583671779</v>
      </c>
      <c r="D31">
        <v>-26.18170623</v>
      </c>
      <c r="E31">
        <v>1</v>
      </c>
      <c r="F31" s="19" t="s">
        <v>484</v>
      </c>
    </row>
    <row r="32" spans="1:6">
      <c r="A32" s="93" t="s">
        <v>5824</v>
      </c>
      <c r="B32">
        <v>4.912490346</v>
      </c>
      <c r="C32">
        <v>1.028237108</v>
      </c>
      <c r="D32">
        <v>-29.27783546</v>
      </c>
      <c r="E32">
        <v>1</v>
      </c>
      <c r="F32" s="19" t="s">
        <v>435</v>
      </c>
    </row>
    <row r="33" spans="1:6">
      <c r="A33" s="93" t="s">
        <v>5825</v>
      </c>
      <c r="B33">
        <v>3.988011591</v>
      </c>
      <c r="C33">
        <v>0.824258853</v>
      </c>
      <c r="D33">
        <v>-24.08102519</v>
      </c>
      <c r="E33">
        <v>1</v>
      </c>
      <c r="F33" s="19" t="s">
        <v>429</v>
      </c>
    </row>
    <row r="34" spans="1:6">
      <c r="A34" s="93" t="s">
        <v>5826</v>
      </c>
      <c r="B34">
        <v>3.454356292</v>
      </c>
      <c r="C34">
        <v>0.346724045</v>
      </c>
      <c r="D34">
        <v>-13.36876957</v>
      </c>
      <c r="E34">
        <v>1</v>
      </c>
      <c r="F34" s="19" t="s">
        <v>1437</v>
      </c>
    </row>
    <row r="35" spans="1:6">
      <c r="A35" s="93" t="s">
        <v>5827</v>
      </c>
      <c r="B35">
        <v>8.401267065000001</v>
      </c>
      <c r="C35">
        <v>1.13666001</v>
      </c>
      <c r="D35">
        <v>-45.13092881</v>
      </c>
      <c r="E35">
        <v>1</v>
      </c>
      <c r="F35" s="19" t="s">
        <v>447</v>
      </c>
    </row>
    <row r="36" spans="1:6">
      <c r="A36" s="93" t="s">
        <v>5828</v>
      </c>
      <c r="B36">
        <v>7.782286008</v>
      </c>
      <c r="C36">
        <v>0.543425676</v>
      </c>
      <c r="D36">
        <v>-36.6466309</v>
      </c>
      <c r="E36">
        <v>1</v>
      </c>
      <c r="F36" s="19" t="s">
        <v>457</v>
      </c>
    </row>
    <row r="37" spans="1:6">
      <c r="A37" s="93" t="s">
        <v>5829</v>
      </c>
      <c r="B37">
        <v>3.640597004</v>
      </c>
      <c r="C37">
        <v>0.438104841</v>
      </c>
      <c r="D37">
        <v>-20.42534959</v>
      </c>
      <c r="E37">
        <v>1</v>
      </c>
      <c r="F37" s="19" t="s">
        <v>1446</v>
      </c>
    </row>
    <row r="38" spans="1:6">
      <c r="A38" s="93" t="s">
        <v>5830</v>
      </c>
      <c r="B38">
        <v>6.308057196</v>
      </c>
      <c r="C38">
        <v>0.384097776</v>
      </c>
      <c r="D38">
        <v>-23.9802415</v>
      </c>
      <c r="E38">
        <v>1</v>
      </c>
      <c r="F38" s="19" t="s">
        <v>512</v>
      </c>
    </row>
    <row r="39" spans="1:6">
      <c r="A39" s="93" t="s">
        <v>5831</v>
      </c>
      <c r="B39">
        <v>6.020024217</v>
      </c>
      <c r="C39">
        <v>0.84542111</v>
      </c>
      <c r="D39">
        <v>-39.05467933</v>
      </c>
      <c r="E39">
        <v>1</v>
      </c>
      <c r="F39" s="19" t="s">
        <v>501</v>
      </c>
    </row>
    <row r="40" spans="1:6">
      <c r="A40" s="93" t="s">
        <v>5832</v>
      </c>
      <c r="B40">
        <v>2.996825337</v>
      </c>
      <c r="C40">
        <v>1.173814243</v>
      </c>
      <c r="D40">
        <v>-28.62998178</v>
      </c>
      <c r="E40">
        <v>1</v>
      </c>
      <c r="F40" s="19" t="s">
        <v>502</v>
      </c>
    </row>
    <row r="41" spans="1:6">
      <c r="A41" s="93" t="s">
        <v>5833</v>
      </c>
      <c r="B41">
        <v>6.568887442</v>
      </c>
      <c r="C41">
        <v>0.7335364679999999</v>
      </c>
      <c r="D41">
        <v>-36.20422665</v>
      </c>
      <c r="E41">
        <v>1</v>
      </c>
      <c r="F41" s="19" t="s">
        <v>459</v>
      </c>
    </row>
    <row r="42" spans="1:6">
      <c r="A42" s="93" t="s">
        <v>5834</v>
      </c>
      <c r="B42">
        <v>7.749376809</v>
      </c>
      <c r="C42">
        <v>0.553048271</v>
      </c>
      <c r="D42">
        <v>-37.55737716</v>
      </c>
      <c r="E42">
        <v>1</v>
      </c>
      <c r="F42" s="19" t="s">
        <v>540</v>
      </c>
    </row>
    <row r="43" spans="1:6">
      <c r="A43" s="93" t="s">
        <v>5835</v>
      </c>
      <c r="B43">
        <v>4.777257253</v>
      </c>
      <c r="C43">
        <v>0.623637111</v>
      </c>
      <c r="D43">
        <v>-23.26943667</v>
      </c>
      <c r="E43">
        <v>1</v>
      </c>
      <c r="F43" s="19" t="s">
        <v>554</v>
      </c>
    </row>
    <row r="44" spans="1:6">
      <c r="A44" s="93" t="s">
        <v>5836</v>
      </c>
      <c r="B44">
        <v>5.455062569</v>
      </c>
      <c r="C44">
        <v>0.9677755220000001</v>
      </c>
      <c r="D44">
        <v>-25.44582091</v>
      </c>
      <c r="E44">
        <v>1</v>
      </c>
      <c r="F44" s="19" t="s">
        <v>1467</v>
      </c>
    </row>
    <row r="45" spans="1:6">
      <c r="A45" s="93" t="s">
        <v>5837</v>
      </c>
      <c r="B45">
        <v>1.126598228</v>
      </c>
      <c r="C45">
        <v>0.244389243</v>
      </c>
      <c r="D45">
        <v>-7.364766905</v>
      </c>
      <c r="E45">
        <v>1</v>
      </c>
      <c r="F45" s="19" t="s">
        <v>518</v>
      </c>
    </row>
    <row r="46" spans="1:6">
      <c r="A46" s="93" t="s">
        <v>5838</v>
      </c>
      <c r="B46">
        <v>7.717800531</v>
      </c>
      <c r="C46">
        <v>1.399365985</v>
      </c>
      <c r="D46">
        <v>-44.60876885</v>
      </c>
      <c r="E46">
        <v>1</v>
      </c>
      <c r="F46" s="19" t="s">
        <v>1476</v>
      </c>
    </row>
    <row r="47" spans="1:6">
      <c r="A47" s="93" t="s">
        <v>5839</v>
      </c>
      <c r="B47">
        <v>5.718734952</v>
      </c>
      <c r="C47">
        <v>0.8267155079999999</v>
      </c>
      <c r="D47">
        <v>-28.44779838</v>
      </c>
      <c r="E47">
        <v>1</v>
      </c>
      <c r="F47" s="19" t="s">
        <v>549</v>
      </c>
    </row>
    <row r="48" spans="1:6">
      <c r="A48" s="93" t="s">
        <v>5840</v>
      </c>
      <c r="B48">
        <v>7.791319113999999</v>
      </c>
      <c r="C48">
        <v>0.5457441120000001</v>
      </c>
      <c r="D48">
        <v>-30.23246302</v>
      </c>
      <c r="E48">
        <v>1</v>
      </c>
      <c r="F48" s="19" t="s">
        <v>509</v>
      </c>
    </row>
    <row r="49" spans="1:6">
      <c r="A49" s="93" t="s">
        <v>5841</v>
      </c>
      <c r="B49">
        <v>4.103870117</v>
      </c>
      <c r="C49">
        <v>0.044878172</v>
      </c>
      <c r="D49">
        <v>-6.675383825</v>
      </c>
      <c r="E49">
        <v>1</v>
      </c>
      <c r="F49" s="19" t="s">
        <v>1485</v>
      </c>
    </row>
    <row r="50" spans="1:6">
      <c r="A50" s="93" t="s">
        <v>5842</v>
      </c>
      <c r="B50">
        <v>4.380177835</v>
      </c>
      <c r="C50">
        <v>0.8746291490000001</v>
      </c>
      <c r="D50">
        <v>-29.53637333</v>
      </c>
      <c r="E50">
        <v>1</v>
      </c>
      <c r="F50" s="19" t="s">
        <v>1487</v>
      </c>
    </row>
    <row r="51" spans="1:6">
      <c r="A51" s="93" t="s">
        <v>5843</v>
      </c>
      <c r="B51">
        <v>4.371959188</v>
      </c>
      <c r="C51">
        <v>0.493538356</v>
      </c>
      <c r="D51">
        <v>-18.7937245</v>
      </c>
      <c r="E51">
        <v>1</v>
      </c>
      <c r="F51" s="19" t="s">
        <v>489</v>
      </c>
    </row>
    <row r="52" spans="1:6">
      <c r="A52" s="93" t="s">
        <v>5844</v>
      </c>
      <c r="B52">
        <v>2.614773085</v>
      </c>
      <c r="C52">
        <v>0.354864164</v>
      </c>
      <c r="D52">
        <v>-12.54471143</v>
      </c>
      <c r="E52">
        <v>1</v>
      </c>
      <c r="F52" s="19" t="s">
        <v>440</v>
      </c>
    </row>
    <row r="53" spans="1:6">
      <c r="A53" s="93" t="s">
        <v>5845</v>
      </c>
      <c r="B53">
        <v>3.95506943</v>
      </c>
      <c r="C53">
        <v>0.635911035</v>
      </c>
      <c r="D53">
        <v>-33.49026428</v>
      </c>
      <c r="E53">
        <v>1</v>
      </c>
      <c r="F53" s="19" t="s">
        <v>477</v>
      </c>
    </row>
    <row r="54" spans="1:6">
      <c r="A54" s="93" t="s">
        <v>5846</v>
      </c>
      <c r="B54">
        <v>10.55603427</v>
      </c>
      <c r="C54">
        <v>0.393922269</v>
      </c>
      <c r="D54">
        <v>-31.58683898</v>
      </c>
      <c r="E54">
        <v>1</v>
      </c>
      <c r="F54" s="19" t="s">
        <v>445</v>
      </c>
    </row>
    <row r="55" spans="1:6">
      <c r="A55" s="93" t="s">
        <v>5847</v>
      </c>
      <c r="B55">
        <v>2.903401653</v>
      </c>
      <c r="C55">
        <v>1.561714312</v>
      </c>
      <c r="D55">
        <v>-32.20098155</v>
      </c>
      <c r="E55">
        <v>1</v>
      </c>
      <c r="F55" s="19" t="s">
        <v>1494</v>
      </c>
    </row>
    <row r="56" spans="1:6">
      <c r="A56" s="93" t="s">
        <v>5848</v>
      </c>
      <c r="B56">
        <v>2.984490439</v>
      </c>
      <c r="C56">
        <v>1.173278259</v>
      </c>
      <c r="D56">
        <v>-28.35829694</v>
      </c>
      <c r="E56">
        <v>1</v>
      </c>
      <c r="F56" s="19" t="s">
        <v>1502</v>
      </c>
    </row>
    <row r="57" spans="1:6">
      <c r="A57" s="93" t="s">
        <v>5849</v>
      </c>
      <c r="B57">
        <v>5.679988283999999</v>
      </c>
      <c r="C57">
        <v>0.7735745070000001</v>
      </c>
      <c r="D57">
        <v>-29.12597988</v>
      </c>
      <c r="E57">
        <v>1</v>
      </c>
      <c r="F57" s="19" t="s">
        <v>433</v>
      </c>
    </row>
    <row r="58" spans="1:6">
      <c r="A58" s="93" t="s">
        <v>5850</v>
      </c>
      <c r="B58">
        <v>6.174564611</v>
      </c>
      <c r="C58">
        <v>0.732597075</v>
      </c>
      <c r="D58">
        <v>-30.09926634</v>
      </c>
      <c r="E58">
        <v>1</v>
      </c>
      <c r="F58" s="19" t="s">
        <v>1505</v>
      </c>
    </row>
    <row r="59" spans="1:6">
      <c r="A59" s="93" t="s">
        <v>5851</v>
      </c>
      <c r="B59">
        <v>4.46302519</v>
      </c>
      <c r="C59">
        <v>0.721579568</v>
      </c>
      <c r="D59">
        <v>-23.79879086</v>
      </c>
      <c r="E59">
        <v>1</v>
      </c>
      <c r="F59" s="19" t="s">
        <v>524</v>
      </c>
    </row>
    <row r="60" spans="1:6">
      <c r="A60" s="93" t="s">
        <v>5852</v>
      </c>
      <c r="B60">
        <v>4.76384408</v>
      </c>
      <c r="C60">
        <v>0.929088723</v>
      </c>
      <c r="D60">
        <v>-27.22467691</v>
      </c>
      <c r="E60">
        <v>1</v>
      </c>
      <c r="F60" s="19" t="s">
        <v>493</v>
      </c>
    </row>
    <row r="61" spans="1:6">
      <c r="A61" s="93" t="s">
        <v>5853</v>
      </c>
      <c r="B61">
        <v>1.515192153</v>
      </c>
      <c r="C61">
        <v>0.280706682</v>
      </c>
      <c r="D61">
        <v>-7.473798567</v>
      </c>
      <c r="E61">
        <v>1</v>
      </c>
      <c r="F61" s="19" t="s">
        <v>1515</v>
      </c>
    </row>
    <row r="62" spans="1:6">
      <c r="A62" s="93" t="s">
        <v>5854</v>
      </c>
      <c r="B62">
        <v>4.699025154</v>
      </c>
      <c r="C62">
        <v>1.127331234</v>
      </c>
      <c r="D62">
        <v>-30.42711681</v>
      </c>
      <c r="E62">
        <v>1</v>
      </c>
      <c r="F62" s="19" t="s">
        <v>1516</v>
      </c>
    </row>
    <row r="63" spans="1:6">
      <c r="A63" s="93" t="s">
        <v>5855</v>
      </c>
      <c r="B63">
        <v>7.378279431</v>
      </c>
      <c r="C63">
        <v>0.8909358059999999</v>
      </c>
      <c r="D63">
        <v>-34.47981493</v>
      </c>
      <c r="E63">
        <v>1</v>
      </c>
      <c r="F63" s="19" t="s">
        <v>1520</v>
      </c>
    </row>
    <row r="64" spans="1:6">
      <c r="A64" s="93" t="s">
        <v>5856</v>
      </c>
      <c r="B64">
        <v>5.66091988</v>
      </c>
      <c r="C64">
        <v>1.478311422</v>
      </c>
      <c r="D64">
        <v>-38.3616692</v>
      </c>
      <c r="E64">
        <v>1</v>
      </c>
      <c r="F64" s="19" t="s">
        <v>437</v>
      </c>
    </row>
    <row r="65" spans="1:6">
      <c r="A65" s="93" t="s">
        <v>5857</v>
      </c>
      <c r="B65">
        <v>4.178863688</v>
      </c>
      <c r="C65">
        <v>0.85166942</v>
      </c>
      <c r="D65">
        <v>-26.59276456</v>
      </c>
      <c r="E65">
        <v>1</v>
      </c>
      <c r="F65" s="19" t="s">
        <v>1530</v>
      </c>
    </row>
    <row r="66" spans="1:6">
      <c r="A66" s="93" t="s">
        <v>5858</v>
      </c>
      <c r="B66">
        <v>1.268404472</v>
      </c>
      <c r="C66">
        <v>0.59995484</v>
      </c>
      <c r="D66">
        <v>-16.9048042</v>
      </c>
      <c r="E66">
        <v>1</v>
      </c>
      <c r="F66" s="19" t="s">
        <v>600</v>
      </c>
    </row>
    <row r="67" spans="1:6">
      <c r="A67" s="93" t="s">
        <v>5859</v>
      </c>
      <c r="B67">
        <v>0.210839016</v>
      </c>
      <c r="C67">
        <v>0.530629504</v>
      </c>
      <c r="D67">
        <v>-11.51604669</v>
      </c>
      <c r="E67">
        <v>1</v>
      </c>
      <c r="F67" s="19" t="s">
        <v>496</v>
      </c>
    </row>
    <row r="68" spans="1:6">
      <c r="A68" s="93" t="s">
        <v>5860</v>
      </c>
      <c r="B68">
        <v>5.163893369</v>
      </c>
      <c r="C68">
        <v>0.6925227140000001</v>
      </c>
      <c r="D68">
        <v>-24.68714553</v>
      </c>
      <c r="E68">
        <v>1</v>
      </c>
      <c r="F68" s="19" t="s">
        <v>1542</v>
      </c>
    </row>
    <row r="69" spans="1:6">
      <c r="A69" s="93" t="s">
        <v>5861</v>
      </c>
      <c r="B69">
        <v>11.92724803</v>
      </c>
      <c r="C69">
        <v>0.982294962</v>
      </c>
      <c r="D69">
        <v>-41.44218301</v>
      </c>
      <c r="E69">
        <v>1</v>
      </c>
      <c r="F69" s="19" t="s">
        <v>1574</v>
      </c>
    </row>
    <row r="70" spans="1:6">
      <c r="A70" s="93" t="s">
        <v>5862</v>
      </c>
      <c r="B70">
        <v>7.277945718</v>
      </c>
      <c r="C70">
        <v>0.634775248</v>
      </c>
      <c r="D70">
        <v>-33.40713177</v>
      </c>
      <c r="E70">
        <v>1</v>
      </c>
      <c r="F70" s="19" t="s">
        <v>595</v>
      </c>
    </row>
    <row r="71" spans="1:6">
      <c r="A71" s="93" t="s">
        <v>5863</v>
      </c>
      <c r="B71">
        <v>9.865180348999999</v>
      </c>
      <c r="C71">
        <v>0.600569103</v>
      </c>
      <c r="D71">
        <v>-43.16906106</v>
      </c>
      <c r="E71">
        <v>1</v>
      </c>
      <c r="F71" s="19" t="s">
        <v>1586</v>
      </c>
    </row>
    <row r="72" spans="1:6">
      <c r="A72" s="93" t="s">
        <v>5864</v>
      </c>
      <c r="B72">
        <v>7.203610082999999</v>
      </c>
      <c r="C72">
        <v>1.214618541</v>
      </c>
      <c r="D72">
        <v>-43.26455029</v>
      </c>
      <c r="E72">
        <v>1</v>
      </c>
      <c r="F72" s="19" t="s">
        <v>1594</v>
      </c>
    </row>
    <row r="73" spans="1:6">
      <c r="A73" s="93" t="s">
        <v>5865</v>
      </c>
      <c r="B73">
        <v>3.921032186</v>
      </c>
      <c r="C73">
        <v>0.250774574</v>
      </c>
      <c r="D73">
        <v>-21.96123187</v>
      </c>
      <c r="E73">
        <v>1</v>
      </c>
      <c r="F73" s="19" t="s">
        <v>483</v>
      </c>
    </row>
    <row r="74" spans="1:6">
      <c r="A74" s="93" t="s">
        <v>5866</v>
      </c>
      <c r="B74">
        <v>6.751126291</v>
      </c>
      <c r="C74">
        <v>0.411444286</v>
      </c>
      <c r="D74">
        <v>-25.92909044</v>
      </c>
      <c r="E74">
        <v>1</v>
      </c>
      <c r="F74" s="19" t="s">
        <v>1620</v>
      </c>
    </row>
    <row r="75" spans="1:6">
      <c r="A75" s="93" t="s">
        <v>5867</v>
      </c>
      <c r="B75">
        <v>8.386990986000001</v>
      </c>
      <c r="C75">
        <v>0.8122469490000001</v>
      </c>
      <c r="D75">
        <v>-39.84187854</v>
      </c>
      <c r="E75">
        <v>1</v>
      </c>
      <c r="F75" s="19" t="s">
        <v>1623</v>
      </c>
    </row>
    <row r="76" spans="1:6">
      <c r="A76" s="93" t="s">
        <v>5868</v>
      </c>
      <c r="B76">
        <v>8.787665634</v>
      </c>
      <c r="C76">
        <v>0.750357197</v>
      </c>
      <c r="D76">
        <v>-38.36328187</v>
      </c>
      <c r="E76">
        <v>1</v>
      </c>
      <c r="F76" s="19" t="s">
        <v>461</v>
      </c>
    </row>
    <row r="77" spans="1:6">
      <c r="A77" s="93" t="s">
        <v>5869</v>
      </c>
      <c r="B77">
        <v>8.209490964</v>
      </c>
      <c r="C77">
        <v>0.575155369</v>
      </c>
      <c r="D77">
        <v>-32.8384879</v>
      </c>
      <c r="E77">
        <v>1</v>
      </c>
      <c r="F77" s="19" t="s">
        <v>594</v>
      </c>
    </row>
    <row r="78" spans="1:6">
      <c r="A78" s="93" t="s">
        <v>5870</v>
      </c>
      <c r="B78">
        <v>2.688724034</v>
      </c>
      <c r="C78">
        <v>0.5122022479999999</v>
      </c>
      <c r="D78">
        <v>-12.04683335</v>
      </c>
      <c r="E78">
        <v>1</v>
      </c>
      <c r="F78" s="19" t="s">
        <v>1654</v>
      </c>
    </row>
    <row r="79" spans="1:6">
      <c r="A79" s="93" t="s">
        <v>5871</v>
      </c>
      <c r="B79">
        <v>4.085823012</v>
      </c>
      <c r="C79">
        <v>0.351321383</v>
      </c>
      <c r="D79">
        <v>-16.27352905</v>
      </c>
      <c r="E79">
        <v>1</v>
      </c>
      <c r="F79" s="19" t="s">
        <v>1656</v>
      </c>
    </row>
    <row r="80" spans="1:6">
      <c r="A80" s="93" t="s">
        <v>5872</v>
      </c>
      <c r="B80">
        <v>4.288233204</v>
      </c>
      <c r="C80">
        <v>0.176200853</v>
      </c>
      <c r="D80">
        <v>-17.09811788</v>
      </c>
      <c r="E80">
        <v>1</v>
      </c>
      <c r="F80" s="19" t="s">
        <v>1726</v>
      </c>
    </row>
    <row r="81" spans="1:6">
      <c r="A81" s="93" t="s">
        <v>5873</v>
      </c>
      <c r="B81">
        <v>8.076855318</v>
      </c>
      <c r="C81">
        <v>0.441028095</v>
      </c>
      <c r="D81">
        <v>-41.20811569</v>
      </c>
      <c r="E81">
        <v>1</v>
      </c>
      <c r="F81" s="19" t="s">
        <v>1921</v>
      </c>
    </row>
    <row r="82" spans="1:6">
      <c r="A82" s="93" t="s">
        <v>5874</v>
      </c>
      <c r="B82">
        <v>4.421264696000001</v>
      </c>
      <c r="C82">
        <v>0.8656940609999999</v>
      </c>
      <c r="D82">
        <v>-28.83720209</v>
      </c>
      <c r="E82">
        <v>1</v>
      </c>
      <c r="F82" s="19" t="s">
        <v>462</v>
      </c>
    </row>
    <row r="83" spans="1:6">
      <c r="A83" s="93" t="s">
        <v>5875</v>
      </c>
      <c r="B83">
        <v>5.138063151</v>
      </c>
      <c r="C83">
        <v>0.757463702</v>
      </c>
      <c r="D83">
        <v>-27.76372762</v>
      </c>
      <c r="E83">
        <v>1</v>
      </c>
      <c r="F83" s="19" t="s">
        <v>2019</v>
      </c>
    </row>
    <row r="84" spans="1:6">
      <c r="A84" s="93" t="s">
        <v>5876</v>
      </c>
      <c r="B84">
        <v>7.890675241</v>
      </c>
      <c r="C84">
        <v>0.586480408</v>
      </c>
      <c r="D84">
        <v>-28.60022329</v>
      </c>
      <c r="E84">
        <v>1</v>
      </c>
      <c r="F84" s="19" t="s">
        <v>464</v>
      </c>
    </row>
    <row r="85" spans="1:6">
      <c r="A85" s="93" t="s">
        <v>5877</v>
      </c>
      <c r="B85">
        <v>10.1171367</v>
      </c>
      <c r="C85">
        <v>0.7031784870000001</v>
      </c>
      <c r="D85">
        <v>-41.93547955</v>
      </c>
      <c r="E85">
        <v>1</v>
      </c>
      <c r="F85" s="19" t="s">
        <v>485</v>
      </c>
    </row>
    <row r="86" spans="1:6">
      <c r="A86" s="93" t="s">
        <v>5878</v>
      </c>
      <c r="B86">
        <v>11.1320547</v>
      </c>
      <c r="C86">
        <v>0.533759171</v>
      </c>
      <c r="D86">
        <v>-51.33086094</v>
      </c>
      <c r="E86">
        <v>1</v>
      </c>
      <c r="F86" s="19" t="s">
        <v>471</v>
      </c>
    </row>
    <row r="87" spans="1:6">
      <c r="A87" s="93" t="s">
        <v>5879</v>
      </c>
      <c r="B87">
        <v>8.119637772999999</v>
      </c>
      <c r="C87">
        <v>0.406221042</v>
      </c>
      <c r="D87">
        <v>-37.17004098</v>
      </c>
      <c r="E87">
        <v>1</v>
      </c>
      <c r="F87" s="19" t="s">
        <v>454</v>
      </c>
    </row>
    <row r="88" spans="1:6">
      <c r="A88" s="93" t="s">
        <v>5880</v>
      </c>
      <c r="B88">
        <v>5.603535397000001</v>
      </c>
      <c r="C88">
        <v>0.390602079</v>
      </c>
      <c r="D88">
        <v>-30.07829442</v>
      </c>
      <c r="E88">
        <v>1</v>
      </c>
      <c r="F88" s="19" t="s">
        <v>2057</v>
      </c>
    </row>
    <row r="89" spans="1:6">
      <c r="A89" s="93" t="s">
        <v>5881</v>
      </c>
      <c r="B89">
        <v>3.547329205</v>
      </c>
      <c r="C89">
        <v>0.359256556</v>
      </c>
      <c r="D89">
        <v>-20.19954742</v>
      </c>
      <c r="E89">
        <v>1</v>
      </c>
      <c r="F89" s="19" t="s">
        <v>2150</v>
      </c>
    </row>
    <row r="90" spans="1:6">
      <c r="A90" s="93" t="s">
        <v>5882</v>
      </c>
      <c r="B90">
        <v>2.29471998</v>
      </c>
      <c r="C90">
        <v>0.58113676</v>
      </c>
      <c r="D90">
        <v>-14.06616371</v>
      </c>
      <c r="E90">
        <v>1</v>
      </c>
      <c r="F90" s="19" t="s">
        <v>2181</v>
      </c>
    </row>
    <row r="91" spans="1:6">
      <c r="A91" s="93" t="s">
        <v>5883</v>
      </c>
      <c r="B91">
        <v>3.889218485</v>
      </c>
      <c r="C91">
        <v>0.902606327</v>
      </c>
      <c r="D91">
        <v>-26.15057452</v>
      </c>
      <c r="E91">
        <v>1</v>
      </c>
      <c r="F91" s="19" t="s">
        <v>2212</v>
      </c>
    </row>
    <row r="92" spans="1:6">
      <c r="A92" s="93" t="s">
        <v>5884</v>
      </c>
      <c r="B92">
        <v>6.682888626</v>
      </c>
      <c r="C92">
        <v>1.572445016</v>
      </c>
      <c r="D92">
        <v>-52.24780838</v>
      </c>
      <c r="E92">
        <v>1</v>
      </c>
      <c r="F92" s="19" t="s">
        <v>2251</v>
      </c>
    </row>
    <row r="93" spans="1:6">
      <c r="A93" s="93" t="s">
        <v>5885</v>
      </c>
      <c r="B93">
        <v>7.384911233</v>
      </c>
      <c r="C93">
        <v>0.560378157</v>
      </c>
      <c r="D93">
        <v>-33.13004965</v>
      </c>
      <c r="E93">
        <v>1</v>
      </c>
      <c r="F93" s="19" t="s">
        <v>2258</v>
      </c>
    </row>
    <row r="94" spans="1:6">
      <c r="A94" s="93" t="s">
        <v>5886</v>
      </c>
      <c r="B94">
        <v>4.083803022</v>
      </c>
      <c r="C94">
        <v>0.449313755</v>
      </c>
      <c r="D94">
        <v>-28.27571927</v>
      </c>
      <c r="E94">
        <v>1</v>
      </c>
      <c r="F94" s="19" t="s">
        <v>2285</v>
      </c>
    </row>
    <row r="95" spans="1:6">
      <c r="A95" s="93" t="s">
        <v>5887</v>
      </c>
      <c r="B95">
        <v>0.169873718</v>
      </c>
      <c r="C95">
        <v>0.394427771</v>
      </c>
      <c r="D95">
        <v>-11.09985736</v>
      </c>
      <c r="E95">
        <v>1</v>
      </c>
      <c r="F95" s="19" t="s">
        <v>2622</v>
      </c>
    </row>
    <row r="96" spans="1:6">
      <c r="A96" s="93" t="s">
        <v>5888</v>
      </c>
      <c r="B96">
        <v>2.692731912</v>
      </c>
      <c r="C96">
        <v>0.473847199</v>
      </c>
      <c r="D96">
        <v>-21.06139674</v>
      </c>
      <c r="E96">
        <v>1</v>
      </c>
      <c r="F96" s="19" t="s">
        <v>599</v>
      </c>
    </row>
    <row r="97" spans="1:6">
      <c r="A97" s="93" t="s">
        <v>5889</v>
      </c>
      <c r="B97">
        <v>2.827902193</v>
      </c>
      <c r="C97">
        <v>0.3538894420000001</v>
      </c>
      <c r="D97">
        <v>-15.10557453</v>
      </c>
      <c r="E97">
        <v>1</v>
      </c>
      <c r="F97" s="19" t="s">
        <v>2797</v>
      </c>
    </row>
    <row r="98" spans="1:6">
      <c r="A98" s="93" t="s">
        <v>5890</v>
      </c>
      <c r="B98">
        <v>3.463448919</v>
      </c>
      <c r="C98">
        <v>0.222741709</v>
      </c>
      <c r="D98">
        <v>-9.571268012999999</v>
      </c>
      <c r="E98">
        <v>1</v>
      </c>
      <c r="F98" s="19" t="s">
        <v>2892</v>
      </c>
    </row>
    <row r="99" spans="1:6">
      <c r="A99" s="93" t="s">
        <v>5891</v>
      </c>
      <c r="B99">
        <v>6.527340972999999</v>
      </c>
      <c r="C99">
        <v>0.8087907990000001</v>
      </c>
      <c r="D99">
        <v>-34.60609386</v>
      </c>
      <c r="E99">
        <v>1</v>
      </c>
      <c r="F99" s="19" t="s">
        <v>472</v>
      </c>
    </row>
    <row r="100" spans="1:6">
      <c r="A100" s="93" t="s">
        <v>5892</v>
      </c>
      <c r="B100">
        <v>7.247031803</v>
      </c>
      <c r="C100">
        <v>0.399359133</v>
      </c>
      <c r="D100">
        <v>-35.79821131</v>
      </c>
      <c r="E100">
        <v>1</v>
      </c>
      <c r="F100" s="19" t="s">
        <v>458</v>
      </c>
    </row>
    <row r="101" spans="1:6">
      <c r="A101" s="93" t="s">
        <v>5893</v>
      </c>
      <c r="B101">
        <v>4.664685838</v>
      </c>
      <c r="C101">
        <v>0.4952908070000001</v>
      </c>
      <c r="D101">
        <v>-21.32514766</v>
      </c>
      <c r="E101">
        <v>1</v>
      </c>
      <c r="F101" s="19" t="s">
        <v>2937</v>
      </c>
    </row>
    <row r="102" spans="1:6">
      <c r="A102" s="93" t="s">
        <v>5894</v>
      </c>
      <c r="B102">
        <v>5.926202997000001</v>
      </c>
      <c r="C102">
        <v>0.340553131</v>
      </c>
      <c r="D102">
        <v>-29.38075027</v>
      </c>
      <c r="E102">
        <v>1</v>
      </c>
      <c r="F102" s="19" t="s">
        <v>2986</v>
      </c>
    </row>
    <row r="103" spans="1:6">
      <c r="A103" s="93" t="s">
        <v>5895</v>
      </c>
      <c r="B103">
        <v>7.474632477999999</v>
      </c>
      <c r="C103">
        <v>0.75134175</v>
      </c>
      <c r="D103">
        <v>-41.46657296</v>
      </c>
      <c r="E103">
        <v>1</v>
      </c>
      <c r="F103" s="19" t="s">
        <v>470</v>
      </c>
    </row>
    <row r="104" spans="1:6">
      <c r="A104" s="93" t="s">
        <v>5896</v>
      </c>
      <c r="B104">
        <v>2.589888407</v>
      </c>
      <c r="C104">
        <v>0.051975661</v>
      </c>
      <c r="D104">
        <v>-11.1593849</v>
      </c>
      <c r="E104">
        <v>1</v>
      </c>
      <c r="F104" s="19" t="s">
        <v>453</v>
      </c>
    </row>
    <row r="105" spans="1:6">
      <c r="A105" s="93" t="s">
        <v>5897</v>
      </c>
      <c r="B105">
        <v>4.249920974</v>
      </c>
      <c r="C105">
        <v>0.432511962</v>
      </c>
      <c r="D105">
        <v>-21.82032773</v>
      </c>
      <c r="E105">
        <v>1</v>
      </c>
      <c r="F105" s="19" t="s">
        <v>456</v>
      </c>
    </row>
    <row r="106" spans="1:6">
      <c r="A106" s="93" t="s">
        <v>5898</v>
      </c>
      <c r="B106">
        <v>6.062055823</v>
      </c>
      <c r="C106">
        <v>0.681933929</v>
      </c>
      <c r="D106">
        <v>-37.72057114</v>
      </c>
      <c r="E106">
        <v>1</v>
      </c>
      <c r="F106" s="19" t="s">
        <v>494</v>
      </c>
    </row>
    <row r="107" spans="1:6">
      <c r="A107" s="93" t="s">
        <v>5899</v>
      </c>
      <c r="B107">
        <v>3.194374485</v>
      </c>
      <c r="C107">
        <v>0.696099625</v>
      </c>
      <c r="D107">
        <v>-29.34298168</v>
      </c>
      <c r="E107">
        <v>1</v>
      </c>
      <c r="F107" s="19" t="s">
        <v>3694</v>
      </c>
    </row>
    <row r="108" spans="1:6">
      <c r="A108" s="93" t="s">
        <v>5900</v>
      </c>
      <c r="B108">
        <v>4.923102091000001</v>
      </c>
      <c r="C108">
        <v>0.137441436</v>
      </c>
      <c r="D108">
        <v>-17.93318789</v>
      </c>
      <c r="E108">
        <v>1</v>
      </c>
      <c r="F108" s="19" t="s">
        <v>3744</v>
      </c>
    </row>
    <row r="109" spans="1:6">
      <c r="A109" s="93" t="s">
        <v>5901</v>
      </c>
      <c r="B109">
        <v>6.672111906</v>
      </c>
      <c r="C109">
        <v>1.098624911</v>
      </c>
      <c r="D109">
        <v>-32.66688838</v>
      </c>
      <c r="E109">
        <v>1</v>
      </c>
      <c r="F109" s="19" t="s">
        <v>3786</v>
      </c>
    </row>
    <row r="110" spans="1:6">
      <c r="A110" s="93" t="s">
        <v>5902</v>
      </c>
      <c r="B110">
        <v>6.520146794</v>
      </c>
      <c r="C110">
        <v>0.2135181</v>
      </c>
      <c r="D110">
        <v>-29.9206977</v>
      </c>
      <c r="E110">
        <v>1</v>
      </c>
      <c r="F110" s="19" t="s">
        <v>3819</v>
      </c>
    </row>
    <row r="111" spans="1:6">
      <c r="A111" s="93" t="s">
        <v>5903</v>
      </c>
      <c r="B111">
        <v>5.435939292</v>
      </c>
      <c r="C111">
        <v>0.209139461</v>
      </c>
      <c r="D111">
        <v>-20.3797069</v>
      </c>
      <c r="E111">
        <v>1</v>
      </c>
      <c r="F111" s="19" t="s">
        <v>486</v>
      </c>
    </row>
    <row r="112" spans="1:6">
      <c r="A112" s="93" t="s">
        <v>5904</v>
      </c>
      <c r="B112">
        <v>3.362753594</v>
      </c>
      <c r="C112">
        <v>0.28760456</v>
      </c>
      <c r="D112">
        <v>-16.51216557</v>
      </c>
      <c r="E112">
        <v>1</v>
      </c>
      <c r="F112" s="19" t="s">
        <v>3939</v>
      </c>
    </row>
    <row r="113" spans="1:6">
      <c r="A113" s="93" t="s">
        <v>5905</v>
      </c>
      <c r="B113">
        <v>6.428966147000001</v>
      </c>
      <c r="C113">
        <v>0.394456791</v>
      </c>
      <c r="D113">
        <v>-24.1368387</v>
      </c>
      <c r="E113">
        <v>1</v>
      </c>
      <c r="F113" s="19" t="s">
        <v>519</v>
      </c>
    </row>
    <row r="114" spans="1:6">
      <c r="A114" s="93" t="s">
        <v>5906</v>
      </c>
      <c r="B114">
        <v>6.838637612</v>
      </c>
      <c r="C114">
        <v>0.253945172</v>
      </c>
      <c r="D114">
        <v>-29.11509405</v>
      </c>
      <c r="E114">
        <v>1</v>
      </c>
      <c r="F114" s="19" t="s">
        <v>3973</v>
      </c>
    </row>
    <row r="115" spans="1:6">
      <c r="A115" s="93" t="s">
        <v>5907</v>
      </c>
      <c r="B115">
        <v>2.211973744</v>
      </c>
      <c r="C115">
        <v>0.041942919</v>
      </c>
      <c r="D115">
        <v>-5.857210238</v>
      </c>
      <c r="E115">
        <v>1</v>
      </c>
      <c r="F115" s="19" t="s">
        <v>448</v>
      </c>
    </row>
    <row r="116" spans="1:6">
      <c r="A116" s="93" t="s">
        <v>5908</v>
      </c>
      <c r="B116">
        <v>4.954700702</v>
      </c>
      <c r="C116">
        <v>0.42231137</v>
      </c>
      <c r="D116">
        <v>-31.80377234</v>
      </c>
      <c r="E116">
        <v>1</v>
      </c>
      <c r="F116" s="19" t="s">
        <v>842</v>
      </c>
    </row>
    <row r="117" spans="1:6">
      <c r="A117" s="93" t="s">
        <v>5909</v>
      </c>
      <c r="B117">
        <v>1.387546002</v>
      </c>
      <c r="C117">
        <v>0.5569350510000001</v>
      </c>
      <c r="D117">
        <v>-19.25904641</v>
      </c>
      <c r="E117">
        <v>1</v>
      </c>
      <c r="F117" s="19" t="s">
        <v>499</v>
      </c>
    </row>
    <row r="118" spans="1:6">
      <c r="A118" s="93" t="s">
        <v>5910</v>
      </c>
      <c r="B118">
        <v>5.461928513999999</v>
      </c>
      <c r="C118">
        <v>0.5050512110000001</v>
      </c>
      <c r="D118">
        <v>-37.47851992</v>
      </c>
      <c r="E118">
        <v>1</v>
      </c>
      <c r="F118" s="19" t="s">
        <v>503</v>
      </c>
    </row>
    <row r="119" spans="1:6">
      <c r="A119" s="93" t="s">
        <v>5911</v>
      </c>
      <c r="B119">
        <v>7.071000357999999</v>
      </c>
      <c r="C119">
        <v>0.680262496</v>
      </c>
      <c r="D119">
        <v>-38.44633716</v>
      </c>
      <c r="E119">
        <v>1</v>
      </c>
      <c r="F119" s="19" t="s">
        <v>584</v>
      </c>
    </row>
    <row r="120" spans="1:6">
      <c r="A120" s="93" t="s">
        <v>5912</v>
      </c>
      <c r="B120">
        <v>3.541940402</v>
      </c>
      <c r="C120">
        <v>0.383418928</v>
      </c>
      <c r="D120">
        <v>-24.93130251</v>
      </c>
      <c r="E120">
        <v>1</v>
      </c>
      <c r="F120" s="19" t="s">
        <v>1071</v>
      </c>
    </row>
    <row r="121" spans="1:6">
      <c r="A121" s="93" t="s">
        <v>5913</v>
      </c>
      <c r="B121">
        <v>5.498901377</v>
      </c>
      <c r="C121">
        <v>0.409772924</v>
      </c>
      <c r="D121">
        <v>-28.48850522</v>
      </c>
      <c r="E121">
        <v>1</v>
      </c>
      <c r="F121" s="19" t="s">
        <v>1086</v>
      </c>
    </row>
    <row r="122" spans="1:6">
      <c r="A122" s="93" t="s">
        <v>5914</v>
      </c>
      <c r="B122">
        <v>6.121618448</v>
      </c>
      <c r="C122">
        <v>0.070987103</v>
      </c>
      <c r="D122">
        <v>-24.70580428</v>
      </c>
      <c r="E122">
        <v>1</v>
      </c>
      <c r="F122" s="19" t="s">
        <v>568</v>
      </c>
    </row>
    <row r="123" spans="1:6">
      <c r="A123" s="93" t="s">
        <v>5915</v>
      </c>
      <c r="B123">
        <v>7.661026018999999</v>
      </c>
      <c r="C123">
        <v>0.292864705</v>
      </c>
      <c r="D123">
        <v>-37.95833532</v>
      </c>
      <c r="E123">
        <v>1</v>
      </c>
      <c r="F123" s="19" t="s">
        <v>582</v>
      </c>
    </row>
    <row r="124" spans="1:6">
      <c r="A124" s="93" t="s">
        <v>5916</v>
      </c>
      <c r="B124">
        <v>4.488069262</v>
      </c>
      <c r="C124">
        <v>0.277729908</v>
      </c>
      <c r="D124">
        <v>-26.04539898</v>
      </c>
      <c r="E124">
        <v>1</v>
      </c>
      <c r="F124" s="19" t="s">
        <v>474</v>
      </c>
    </row>
    <row r="125" spans="1:6">
      <c r="A125" s="93" t="s">
        <v>5917</v>
      </c>
      <c r="B125">
        <v>3.865200366</v>
      </c>
      <c r="C125">
        <v>0.721841717</v>
      </c>
      <c r="D125">
        <v>-20.87346833</v>
      </c>
      <c r="E125">
        <v>1</v>
      </c>
      <c r="F125" s="19" t="s">
        <v>1184</v>
      </c>
    </row>
    <row r="126" spans="1:6">
      <c r="A126" s="93" t="s">
        <v>5918</v>
      </c>
      <c r="B126">
        <v>3.475206981</v>
      </c>
      <c r="C126">
        <v>0.356600683</v>
      </c>
      <c r="D126">
        <v>-17.07120445</v>
      </c>
      <c r="E126">
        <v>1</v>
      </c>
      <c r="F126" s="19" t="s">
        <v>586</v>
      </c>
    </row>
    <row r="127" spans="1:6">
      <c r="A127" s="93" t="s">
        <v>5919</v>
      </c>
      <c r="B127">
        <v>10.60499806</v>
      </c>
      <c r="C127">
        <v>0.410375358</v>
      </c>
      <c r="D127">
        <v>-44.13623216</v>
      </c>
      <c r="E127">
        <v>1</v>
      </c>
      <c r="F127" s="19" t="s">
        <v>1297</v>
      </c>
    </row>
    <row r="128" spans="1:6">
      <c r="A128" s="93" t="s">
        <v>5920</v>
      </c>
      <c r="B128">
        <v>4.846768583999999</v>
      </c>
      <c r="C128">
        <v>0.495860479</v>
      </c>
      <c r="D128">
        <v>-31.98906812</v>
      </c>
      <c r="E128">
        <v>1</v>
      </c>
      <c r="F128" s="19" t="s">
        <v>1331</v>
      </c>
    </row>
    <row r="129" spans="1:6">
      <c r="A129" s="93" t="s">
        <v>5921</v>
      </c>
      <c r="B129">
        <v>5.557675659</v>
      </c>
      <c r="C129">
        <v>0.412785966</v>
      </c>
      <c r="D129">
        <v>-24.48831277</v>
      </c>
      <c r="E129">
        <v>1</v>
      </c>
      <c r="F129" s="19" t="s">
        <v>1406</v>
      </c>
    </row>
    <row r="130" spans="1:6">
      <c r="A130" s="93" t="s">
        <v>5922</v>
      </c>
      <c r="B130">
        <v>5.897899029</v>
      </c>
      <c r="C130">
        <v>0.83845395</v>
      </c>
      <c r="D130">
        <v>-31.6089558</v>
      </c>
      <c r="E130">
        <v>1</v>
      </c>
      <c r="F130" s="19" t="s">
        <v>434</v>
      </c>
    </row>
    <row r="131" spans="1:6">
      <c r="A131" s="93" t="s">
        <v>5923</v>
      </c>
      <c r="B131">
        <v>8.09401957</v>
      </c>
      <c r="C131">
        <v>0.828413292</v>
      </c>
      <c r="D131">
        <v>-34.73597601</v>
      </c>
      <c r="E131">
        <v>1</v>
      </c>
      <c r="F131" s="19" t="s">
        <v>1410</v>
      </c>
    </row>
    <row r="132" spans="1:6">
      <c r="A132" s="93" t="s">
        <v>5924</v>
      </c>
      <c r="B132">
        <v>4.648122322</v>
      </c>
      <c r="C132">
        <v>0.578337576</v>
      </c>
      <c r="D132">
        <v>-25.45659443</v>
      </c>
      <c r="E132">
        <v>1</v>
      </c>
      <c r="F132" s="19" t="s">
        <v>1413</v>
      </c>
    </row>
    <row r="133" spans="1:6">
      <c r="A133" s="93" t="s">
        <v>5925</v>
      </c>
      <c r="B133">
        <v>2.317456319</v>
      </c>
      <c r="C133">
        <v>0.449765102</v>
      </c>
      <c r="D133">
        <v>-12.70808008</v>
      </c>
      <c r="E133">
        <v>1</v>
      </c>
      <c r="F133" s="19" t="s">
        <v>1418</v>
      </c>
    </row>
    <row r="134" spans="1:6">
      <c r="A134" s="93" t="s">
        <v>5926</v>
      </c>
      <c r="B134">
        <v>2.120555165</v>
      </c>
      <c r="C134">
        <v>0.426824173</v>
      </c>
      <c r="D134">
        <v>-21.69135579</v>
      </c>
      <c r="E134">
        <v>1</v>
      </c>
      <c r="F134" s="19" t="s">
        <v>480</v>
      </c>
    </row>
    <row r="135" spans="1:6">
      <c r="A135" s="93" t="s">
        <v>5927</v>
      </c>
      <c r="B135">
        <v>5.514041611000001</v>
      </c>
      <c r="C135">
        <v>0.4734193779999999</v>
      </c>
      <c r="D135">
        <v>-21.35934514</v>
      </c>
      <c r="E135">
        <v>1</v>
      </c>
      <c r="F135" s="19" t="s">
        <v>545</v>
      </c>
    </row>
    <row r="136" spans="1:6">
      <c r="A136" s="93" t="s">
        <v>5928</v>
      </c>
      <c r="B136">
        <v>4.997383606000001</v>
      </c>
      <c r="C136">
        <v>0.526472101</v>
      </c>
      <c r="D136">
        <v>-23.67840878</v>
      </c>
      <c r="E136">
        <v>1</v>
      </c>
      <c r="F136" s="19" t="s">
        <v>484</v>
      </c>
    </row>
    <row r="137" spans="1:6">
      <c r="A137" s="93" t="s">
        <v>5929</v>
      </c>
      <c r="B137">
        <v>5.419889935</v>
      </c>
      <c r="C137">
        <v>0.51708542</v>
      </c>
      <c r="D137">
        <v>-22.55723365</v>
      </c>
      <c r="E137">
        <v>1</v>
      </c>
      <c r="F137" s="19" t="s">
        <v>435</v>
      </c>
    </row>
    <row r="138" spans="1:6">
      <c r="A138" s="93" t="s">
        <v>5930</v>
      </c>
      <c r="B138">
        <v>7.278718959</v>
      </c>
      <c r="C138">
        <v>0.91877999</v>
      </c>
      <c r="D138">
        <v>-34.59326632</v>
      </c>
      <c r="E138">
        <v>1</v>
      </c>
      <c r="F138" s="19" t="s">
        <v>429</v>
      </c>
    </row>
    <row r="139" spans="1:6">
      <c r="A139" s="93" t="s">
        <v>5931</v>
      </c>
      <c r="B139">
        <v>7.353496705</v>
      </c>
      <c r="C139">
        <v>0.350698266</v>
      </c>
      <c r="D139">
        <v>-31.17705357</v>
      </c>
      <c r="E139">
        <v>1</v>
      </c>
      <c r="F139" s="19" t="s">
        <v>457</v>
      </c>
    </row>
    <row r="140" spans="1:6">
      <c r="A140" s="93" t="s">
        <v>5932</v>
      </c>
      <c r="B140">
        <v>4.171146446</v>
      </c>
      <c r="C140">
        <v>0.627179885</v>
      </c>
      <c r="D140">
        <v>-27.56106211</v>
      </c>
      <c r="E140">
        <v>1</v>
      </c>
      <c r="F140" s="19" t="s">
        <v>1446</v>
      </c>
    </row>
    <row r="141" spans="1:6">
      <c r="A141" s="93" t="s">
        <v>5933</v>
      </c>
      <c r="B141">
        <v>6.913662479</v>
      </c>
      <c r="C141">
        <v>0.385680482</v>
      </c>
      <c r="D141">
        <v>-26.66305929</v>
      </c>
      <c r="E141">
        <v>1</v>
      </c>
      <c r="F141" s="19" t="s">
        <v>512</v>
      </c>
    </row>
    <row r="142" spans="1:6">
      <c r="A142" s="93" t="s">
        <v>5934</v>
      </c>
      <c r="B142">
        <v>5.244698543</v>
      </c>
      <c r="C142">
        <v>0.6875781759999999</v>
      </c>
      <c r="D142">
        <v>-32.83959451</v>
      </c>
      <c r="E142">
        <v>1</v>
      </c>
      <c r="F142" s="19" t="s">
        <v>501</v>
      </c>
    </row>
    <row r="143" spans="1:6">
      <c r="A143" s="93" t="s">
        <v>5935</v>
      </c>
      <c r="B143">
        <v>4.799673514</v>
      </c>
      <c r="C143">
        <v>0.7244474540000001</v>
      </c>
      <c r="D143">
        <v>-25.15263989</v>
      </c>
      <c r="E143">
        <v>1</v>
      </c>
      <c r="F143" s="19" t="s">
        <v>502</v>
      </c>
    </row>
    <row r="144" spans="1:6">
      <c r="A144" s="93" t="s">
        <v>5936</v>
      </c>
      <c r="B144">
        <v>3.915100202</v>
      </c>
      <c r="C144">
        <v>0.436067829</v>
      </c>
      <c r="D144">
        <v>-19.55041209</v>
      </c>
      <c r="E144">
        <v>1</v>
      </c>
      <c r="F144" s="19" t="s">
        <v>459</v>
      </c>
    </row>
    <row r="145" spans="1:6">
      <c r="A145" s="93" t="s">
        <v>5937</v>
      </c>
      <c r="B145">
        <v>6.884563661000001</v>
      </c>
      <c r="C145">
        <v>0.40493192</v>
      </c>
      <c r="D145">
        <v>-31.28075931</v>
      </c>
      <c r="E145">
        <v>1</v>
      </c>
      <c r="F145" s="19" t="s">
        <v>540</v>
      </c>
    </row>
    <row r="146" spans="1:6">
      <c r="A146" s="93" t="s">
        <v>5938</v>
      </c>
      <c r="B146">
        <v>4.127317917</v>
      </c>
      <c r="C146">
        <v>0.428482491</v>
      </c>
      <c r="D146">
        <v>-14.57952069</v>
      </c>
      <c r="E146">
        <v>1</v>
      </c>
      <c r="F146" s="19" t="s">
        <v>1467</v>
      </c>
    </row>
    <row r="147" spans="1:6">
      <c r="A147" s="93" t="s">
        <v>5939</v>
      </c>
      <c r="B147">
        <v>4.597942046</v>
      </c>
      <c r="C147">
        <v>0.9275925900000001</v>
      </c>
      <c r="D147">
        <v>-31.45700338</v>
      </c>
      <c r="E147">
        <v>1</v>
      </c>
      <c r="F147" s="19" t="s">
        <v>518</v>
      </c>
    </row>
    <row r="148" spans="1:6">
      <c r="A148" s="93" t="s">
        <v>5940</v>
      </c>
      <c r="B148">
        <v>6.675013766</v>
      </c>
      <c r="C148">
        <v>0.786858877</v>
      </c>
      <c r="D148">
        <v>-30.62876819</v>
      </c>
      <c r="E148">
        <v>1</v>
      </c>
      <c r="F148" s="19" t="s">
        <v>549</v>
      </c>
    </row>
    <row r="149" spans="1:6">
      <c r="A149" s="93" t="s">
        <v>5941</v>
      </c>
      <c r="B149">
        <v>8.320578419</v>
      </c>
      <c r="C149">
        <v>0.489788065</v>
      </c>
      <c r="D149">
        <v>-30.64348379</v>
      </c>
      <c r="E149">
        <v>1</v>
      </c>
      <c r="F149" s="19" t="s">
        <v>509</v>
      </c>
    </row>
    <row r="150" spans="1:6">
      <c r="A150" s="93" t="s">
        <v>5942</v>
      </c>
      <c r="B150">
        <v>10.75649586</v>
      </c>
      <c r="C150">
        <v>0.034681799</v>
      </c>
      <c r="D150">
        <v>-20.50997244</v>
      </c>
      <c r="E150">
        <v>1</v>
      </c>
      <c r="F150" s="19" t="s">
        <v>1485</v>
      </c>
    </row>
    <row r="151" spans="1:6">
      <c r="A151" s="93" t="s">
        <v>5943</v>
      </c>
      <c r="B151">
        <v>7.031009136000001</v>
      </c>
      <c r="C151">
        <v>0.437683208</v>
      </c>
      <c r="D151">
        <v>-28.46396534</v>
      </c>
      <c r="E151">
        <v>1</v>
      </c>
      <c r="F151" s="19" t="s">
        <v>1487</v>
      </c>
    </row>
    <row r="152" spans="1:6">
      <c r="A152" s="93" t="s">
        <v>5944</v>
      </c>
      <c r="B152">
        <v>5.79067223</v>
      </c>
      <c r="C152">
        <v>0.9546193279999999</v>
      </c>
      <c r="D152">
        <v>-31.52915265</v>
      </c>
      <c r="E152">
        <v>1</v>
      </c>
      <c r="F152" s="19" t="s">
        <v>489</v>
      </c>
    </row>
    <row r="153" spans="1:6">
      <c r="A153" s="93" t="s">
        <v>5945</v>
      </c>
      <c r="B153">
        <v>2.461083064</v>
      </c>
      <c r="C153">
        <v>0.495688339</v>
      </c>
      <c r="D153">
        <v>-14.62710269</v>
      </c>
      <c r="E153">
        <v>1</v>
      </c>
      <c r="F153" s="19" t="s">
        <v>440</v>
      </c>
    </row>
    <row r="154" spans="1:6">
      <c r="A154" s="93" t="s">
        <v>5946</v>
      </c>
      <c r="B154">
        <v>3.025795324</v>
      </c>
      <c r="C154">
        <v>0.362466159</v>
      </c>
      <c r="D154">
        <v>-22.94285341</v>
      </c>
      <c r="E154">
        <v>1</v>
      </c>
      <c r="F154" s="19" t="s">
        <v>477</v>
      </c>
    </row>
    <row r="155" spans="1:6">
      <c r="A155" s="93" t="s">
        <v>5947</v>
      </c>
      <c r="B155">
        <v>3.730772008</v>
      </c>
      <c r="C155">
        <v>1.016708675</v>
      </c>
      <c r="D155">
        <v>-27.72499827</v>
      </c>
      <c r="E155">
        <v>1</v>
      </c>
      <c r="F155" s="19" t="s">
        <v>1502</v>
      </c>
    </row>
    <row r="156" spans="1:6">
      <c r="A156" s="93" t="s">
        <v>5948</v>
      </c>
      <c r="B156">
        <v>5.20916446</v>
      </c>
      <c r="C156">
        <v>1.028021037</v>
      </c>
      <c r="D156">
        <v>-33.57115628</v>
      </c>
      <c r="E156">
        <v>1</v>
      </c>
      <c r="F156" s="19" t="s">
        <v>1505</v>
      </c>
    </row>
    <row r="157" spans="1:6">
      <c r="A157" s="93" t="s">
        <v>5949</v>
      </c>
      <c r="B157">
        <v>4.68035234</v>
      </c>
      <c r="C157">
        <v>1.013744403</v>
      </c>
      <c r="D157">
        <v>-28.24176336</v>
      </c>
      <c r="E157">
        <v>1</v>
      </c>
      <c r="F157" s="19" t="s">
        <v>1515</v>
      </c>
    </row>
    <row r="158" spans="1:6">
      <c r="A158" s="93" t="s">
        <v>5950</v>
      </c>
      <c r="B158">
        <v>5.565385171</v>
      </c>
      <c r="C158">
        <v>1.07997555</v>
      </c>
      <c r="D158">
        <v>-31.79409561</v>
      </c>
      <c r="E158">
        <v>1</v>
      </c>
      <c r="F158" s="19" t="s">
        <v>1516</v>
      </c>
    </row>
    <row r="159" spans="1:6">
      <c r="A159" s="93" t="s">
        <v>5951</v>
      </c>
      <c r="B159">
        <v>4.674789221</v>
      </c>
      <c r="C159">
        <v>0.42831528</v>
      </c>
      <c r="D159">
        <v>-23.81199598</v>
      </c>
      <c r="E159">
        <v>1</v>
      </c>
      <c r="F159" s="19" t="s">
        <v>600</v>
      </c>
    </row>
    <row r="160" spans="1:6">
      <c r="A160" s="93" t="s">
        <v>5952</v>
      </c>
      <c r="B160">
        <v>5.368417834</v>
      </c>
      <c r="C160">
        <v>0.5181943760000001</v>
      </c>
      <c r="D160">
        <v>-30.45023909</v>
      </c>
      <c r="E160">
        <v>1</v>
      </c>
      <c r="F160" s="19" t="s">
        <v>496</v>
      </c>
    </row>
    <row r="161" spans="1:6">
      <c r="A161" s="93" t="s">
        <v>5953</v>
      </c>
      <c r="B161">
        <v>11.97273825</v>
      </c>
      <c r="C161">
        <v>0.864539148</v>
      </c>
      <c r="D161">
        <v>-56.03165788</v>
      </c>
      <c r="E161">
        <v>1</v>
      </c>
      <c r="F161" s="19" t="s">
        <v>1536</v>
      </c>
    </row>
    <row r="162" spans="1:6">
      <c r="A162" s="93" t="s">
        <v>5954</v>
      </c>
      <c r="B162">
        <v>6.250262745</v>
      </c>
      <c r="C162">
        <v>0.244364582</v>
      </c>
      <c r="D162">
        <v>-20.62728245</v>
      </c>
      <c r="E162">
        <v>1</v>
      </c>
      <c r="F162" s="19" t="s">
        <v>1542</v>
      </c>
    </row>
    <row r="163" spans="1:6">
      <c r="A163" s="93" t="s">
        <v>5955</v>
      </c>
      <c r="B163">
        <v>3.716286116</v>
      </c>
      <c r="C163">
        <v>0.285392497</v>
      </c>
      <c r="D163">
        <v>-18.42057542</v>
      </c>
      <c r="E163">
        <v>1</v>
      </c>
      <c r="F163" s="19" t="s">
        <v>1555</v>
      </c>
    </row>
    <row r="164" spans="1:6">
      <c r="A164" s="93" t="s">
        <v>5956</v>
      </c>
      <c r="B164">
        <v>6.869117294</v>
      </c>
      <c r="C164">
        <v>0.892353055</v>
      </c>
      <c r="D164">
        <v>-54.91084682</v>
      </c>
      <c r="E164">
        <v>1</v>
      </c>
      <c r="F164" s="19" t="s">
        <v>476</v>
      </c>
    </row>
    <row r="165" spans="1:6">
      <c r="A165" s="93" t="s">
        <v>5957</v>
      </c>
      <c r="B165">
        <v>6.523031532</v>
      </c>
      <c r="C165">
        <v>0.317697523</v>
      </c>
      <c r="D165">
        <v>-24.4166942</v>
      </c>
      <c r="E165">
        <v>1</v>
      </c>
      <c r="F165" s="19" t="s">
        <v>595</v>
      </c>
    </row>
    <row r="166" spans="1:6">
      <c r="A166" s="93" t="s">
        <v>5958</v>
      </c>
      <c r="B166">
        <v>6.032061522999999</v>
      </c>
      <c r="C166">
        <v>0.433628989</v>
      </c>
      <c r="D166">
        <v>-27.41899718</v>
      </c>
      <c r="E166">
        <v>1</v>
      </c>
      <c r="F166" s="19" t="s">
        <v>1586</v>
      </c>
    </row>
    <row r="167" spans="1:6">
      <c r="A167" s="93" t="s">
        <v>5959</v>
      </c>
      <c r="B167">
        <v>8.12670424</v>
      </c>
      <c r="C167">
        <v>0.743077268</v>
      </c>
      <c r="D167">
        <v>-37.76686516</v>
      </c>
      <c r="E167">
        <v>1</v>
      </c>
      <c r="F167" s="19" t="s">
        <v>1594</v>
      </c>
    </row>
    <row r="168" spans="1:6">
      <c r="A168" s="93" t="s">
        <v>5960</v>
      </c>
      <c r="B168">
        <v>5.039328241000001</v>
      </c>
      <c r="C168">
        <v>0.112469095</v>
      </c>
      <c r="D168">
        <v>-14.81626441</v>
      </c>
      <c r="E168">
        <v>1</v>
      </c>
      <c r="F168" s="19" t="s">
        <v>1595</v>
      </c>
    </row>
    <row r="169" spans="1:6">
      <c r="A169" s="93" t="s">
        <v>5961</v>
      </c>
      <c r="B169">
        <v>8.929211345000001</v>
      </c>
      <c r="C169">
        <v>0.333022204</v>
      </c>
      <c r="D169">
        <v>-32.65997451</v>
      </c>
      <c r="E169">
        <v>1</v>
      </c>
      <c r="F169" s="19" t="s">
        <v>1600</v>
      </c>
    </row>
    <row r="170" spans="1:6">
      <c r="A170" s="93" t="s">
        <v>5962</v>
      </c>
      <c r="B170">
        <v>8.304836044</v>
      </c>
      <c r="C170">
        <v>0.171379274</v>
      </c>
      <c r="D170">
        <v>-16.75220303</v>
      </c>
      <c r="E170">
        <v>1</v>
      </c>
      <c r="F170" s="19" t="s">
        <v>1601</v>
      </c>
    </row>
    <row r="171" spans="1:6">
      <c r="A171" s="93" t="s">
        <v>5963</v>
      </c>
      <c r="B171">
        <v>7.177007897</v>
      </c>
      <c r="C171">
        <v>0.632488104</v>
      </c>
      <c r="D171">
        <v>-44.26585714</v>
      </c>
      <c r="E171">
        <v>1</v>
      </c>
      <c r="F171" s="19" t="s">
        <v>483</v>
      </c>
    </row>
    <row r="172" spans="1:6">
      <c r="A172" s="93" t="s">
        <v>5964</v>
      </c>
      <c r="B172">
        <v>5.993795303</v>
      </c>
      <c r="C172">
        <v>0.331253431</v>
      </c>
      <c r="D172">
        <v>-22.61580043</v>
      </c>
      <c r="E172">
        <v>1</v>
      </c>
      <c r="F172" s="19" t="s">
        <v>1620</v>
      </c>
    </row>
    <row r="173" spans="1:6">
      <c r="A173" s="93" t="s">
        <v>5965</v>
      </c>
      <c r="B173">
        <v>6.885683837999999</v>
      </c>
      <c r="C173">
        <v>0.571104269</v>
      </c>
      <c r="D173">
        <v>-30.51094885</v>
      </c>
      <c r="E173">
        <v>1</v>
      </c>
      <c r="F173" s="19" t="s">
        <v>1623</v>
      </c>
    </row>
    <row r="174" spans="1:6">
      <c r="A174" s="93" t="s">
        <v>5966</v>
      </c>
      <c r="B174">
        <v>4.893892893</v>
      </c>
      <c r="C174">
        <v>0.49375369</v>
      </c>
      <c r="D174">
        <v>-22.13743848</v>
      </c>
      <c r="E174">
        <v>1</v>
      </c>
      <c r="F174" s="19" t="s">
        <v>594</v>
      </c>
    </row>
    <row r="175" spans="1:6">
      <c r="A175" s="93" t="s">
        <v>5967</v>
      </c>
      <c r="B175">
        <v>8.438879179000001</v>
      </c>
      <c r="C175">
        <v>0.738496605</v>
      </c>
      <c r="D175">
        <v>-38.82270015</v>
      </c>
      <c r="E175">
        <v>1</v>
      </c>
      <c r="F175" s="19" t="s">
        <v>1648</v>
      </c>
    </row>
    <row r="176" spans="1:6">
      <c r="A176" s="93" t="s">
        <v>5968</v>
      </c>
      <c r="B176">
        <v>2.068482466</v>
      </c>
      <c r="C176">
        <v>0.968336245</v>
      </c>
      <c r="D176">
        <v>-19.34330375</v>
      </c>
      <c r="E176">
        <v>1</v>
      </c>
      <c r="F176" s="19" t="s">
        <v>1654</v>
      </c>
    </row>
    <row r="177" spans="1:6">
      <c r="A177" s="93" t="s">
        <v>5969</v>
      </c>
      <c r="B177">
        <v>4.953492314</v>
      </c>
      <c r="C177">
        <v>0.152787404</v>
      </c>
      <c r="D177">
        <v>-14.55569218</v>
      </c>
      <c r="E177">
        <v>1</v>
      </c>
      <c r="F177" s="19" t="s">
        <v>1656</v>
      </c>
    </row>
    <row r="178" spans="1:6">
      <c r="A178" s="93" t="s">
        <v>5970</v>
      </c>
      <c r="B178">
        <v>4.763146123</v>
      </c>
      <c r="C178">
        <v>0.173292156</v>
      </c>
      <c r="D178">
        <v>-19.76374254</v>
      </c>
      <c r="E178">
        <v>1</v>
      </c>
      <c r="F178" s="19" t="s">
        <v>1726</v>
      </c>
    </row>
    <row r="179" spans="1:6">
      <c r="A179" s="93" t="s">
        <v>5971</v>
      </c>
      <c r="B179">
        <v>6.522712403</v>
      </c>
      <c r="C179">
        <v>0.380170598</v>
      </c>
      <c r="D179">
        <v>-35.51308966</v>
      </c>
      <c r="E179">
        <v>1</v>
      </c>
      <c r="F179" s="19" t="s">
        <v>1833</v>
      </c>
    </row>
    <row r="180" spans="1:6">
      <c r="A180" s="93" t="s">
        <v>5972</v>
      </c>
      <c r="B180">
        <v>6.953587828</v>
      </c>
      <c r="C180">
        <v>0.8757102720000001</v>
      </c>
      <c r="D180">
        <v>-54.51937602</v>
      </c>
      <c r="E180">
        <v>1</v>
      </c>
      <c r="F180" s="19" t="s">
        <v>1877</v>
      </c>
    </row>
    <row r="181" spans="1:6">
      <c r="A181" s="93" t="s">
        <v>5973</v>
      </c>
      <c r="B181">
        <v>4.608395936</v>
      </c>
      <c r="C181">
        <v>0.694704993</v>
      </c>
      <c r="D181">
        <v>-36.52283118</v>
      </c>
      <c r="E181">
        <v>1</v>
      </c>
      <c r="F181" s="19" t="s">
        <v>1921</v>
      </c>
    </row>
    <row r="182" spans="1:6">
      <c r="A182" s="93" t="s">
        <v>5974</v>
      </c>
      <c r="B182">
        <v>4.687080758</v>
      </c>
      <c r="C182">
        <v>0.4473595</v>
      </c>
      <c r="D182">
        <v>-31.34877013</v>
      </c>
      <c r="E182">
        <v>1</v>
      </c>
      <c r="F182" s="19" t="s">
        <v>1922</v>
      </c>
    </row>
    <row r="183" spans="1:6">
      <c r="A183" s="93" t="s">
        <v>5975</v>
      </c>
      <c r="B183">
        <v>0.613410937</v>
      </c>
      <c r="C183">
        <v>1.035820163</v>
      </c>
      <c r="D183">
        <v>-30.95217176</v>
      </c>
      <c r="E183">
        <v>1</v>
      </c>
      <c r="F183" s="19" t="s">
        <v>1983</v>
      </c>
    </row>
    <row r="184" spans="1:6">
      <c r="A184" s="93" t="s">
        <v>5976</v>
      </c>
      <c r="B184">
        <v>3.713227531</v>
      </c>
      <c r="C184">
        <v>0.345725406</v>
      </c>
      <c r="D184">
        <v>-24.96133911</v>
      </c>
      <c r="E184">
        <v>1</v>
      </c>
      <c r="F184" s="19" t="s">
        <v>2003</v>
      </c>
    </row>
    <row r="185" spans="1:6">
      <c r="A185" s="93" t="s">
        <v>5977</v>
      </c>
      <c r="B185">
        <v>6.28179632</v>
      </c>
      <c r="C185">
        <v>0.654759065</v>
      </c>
      <c r="D185">
        <v>-30.30043212</v>
      </c>
      <c r="E185">
        <v>1</v>
      </c>
      <c r="F185" s="19" t="s">
        <v>462</v>
      </c>
    </row>
    <row r="186" spans="1:6">
      <c r="A186" s="93" t="s">
        <v>5978</v>
      </c>
      <c r="B186">
        <v>7.593016956</v>
      </c>
      <c r="C186">
        <v>0.456456958</v>
      </c>
      <c r="D186">
        <v>-25.88483846</v>
      </c>
      <c r="E186">
        <v>1</v>
      </c>
      <c r="F186" s="19" t="s">
        <v>464</v>
      </c>
    </row>
    <row r="187" spans="1:6">
      <c r="A187" s="93" t="s">
        <v>5979</v>
      </c>
      <c r="B187">
        <v>9.246010207000001</v>
      </c>
      <c r="C187">
        <v>0.562243776</v>
      </c>
      <c r="D187">
        <v>-45.36657928</v>
      </c>
      <c r="E187">
        <v>1</v>
      </c>
      <c r="F187" s="19" t="s">
        <v>471</v>
      </c>
    </row>
    <row r="188" spans="1:6">
      <c r="A188" s="93" t="s">
        <v>5980</v>
      </c>
      <c r="B188">
        <v>10.39071155</v>
      </c>
      <c r="C188">
        <v>0.371606476</v>
      </c>
      <c r="D188">
        <v>-44.45156376</v>
      </c>
      <c r="E188">
        <v>1</v>
      </c>
      <c r="F188" s="19" t="s">
        <v>454</v>
      </c>
    </row>
    <row r="189" spans="1:6">
      <c r="A189" s="93" t="s">
        <v>5981</v>
      </c>
      <c r="B189">
        <v>5.15332738</v>
      </c>
      <c r="C189">
        <v>0.194573253</v>
      </c>
      <c r="D189">
        <v>-24.00353438</v>
      </c>
      <c r="E189">
        <v>1</v>
      </c>
      <c r="F189" s="19" t="s">
        <v>2057</v>
      </c>
    </row>
    <row r="190" spans="1:6">
      <c r="A190" s="93" t="s">
        <v>5982</v>
      </c>
      <c r="B190">
        <v>4.117082796</v>
      </c>
      <c r="C190">
        <v>0.24645836</v>
      </c>
      <c r="D190">
        <v>-22.87475548</v>
      </c>
      <c r="E190">
        <v>1</v>
      </c>
      <c r="F190" s="19" t="s">
        <v>522</v>
      </c>
    </row>
    <row r="191" spans="1:6">
      <c r="A191" s="93" t="s">
        <v>5983</v>
      </c>
      <c r="B191">
        <v>5.921310176</v>
      </c>
      <c r="C191">
        <v>0.263552114</v>
      </c>
      <c r="D191">
        <v>-28.87577601</v>
      </c>
      <c r="E191">
        <v>1</v>
      </c>
      <c r="F191" s="19" t="s">
        <v>482</v>
      </c>
    </row>
    <row r="192" spans="1:6">
      <c r="A192" s="93" t="s">
        <v>5984</v>
      </c>
      <c r="B192">
        <v>6.058155442</v>
      </c>
      <c r="C192">
        <v>0.702857265</v>
      </c>
      <c r="D192">
        <v>-24.95156249</v>
      </c>
      <c r="E192">
        <v>1</v>
      </c>
      <c r="F192" s="19" t="s">
        <v>2149</v>
      </c>
    </row>
    <row r="193" spans="1:6">
      <c r="A193" s="93" t="s">
        <v>5985</v>
      </c>
      <c r="B193">
        <v>8.008757825</v>
      </c>
      <c r="C193">
        <v>0.685066807</v>
      </c>
      <c r="D193">
        <v>-44.51059655</v>
      </c>
      <c r="E193">
        <v>1</v>
      </c>
      <c r="F193" s="19" t="s">
        <v>2150</v>
      </c>
    </row>
    <row r="194" spans="1:6">
      <c r="A194" s="93" t="s">
        <v>5986</v>
      </c>
      <c r="B194">
        <v>4.299597527</v>
      </c>
      <c r="C194">
        <v>0.2720684</v>
      </c>
      <c r="D194">
        <v>-15.43161026</v>
      </c>
      <c r="E194">
        <v>1</v>
      </c>
      <c r="F194" s="19" t="s">
        <v>2212</v>
      </c>
    </row>
    <row r="195" spans="1:6">
      <c r="A195" s="93" t="s">
        <v>5987</v>
      </c>
      <c r="B195">
        <v>4.692199497</v>
      </c>
      <c r="C195">
        <v>0.660997595</v>
      </c>
      <c r="D195">
        <v>-27.64560225</v>
      </c>
      <c r="E195">
        <v>1</v>
      </c>
      <c r="F195" s="19" t="s">
        <v>2251</v>
      </c>
    </row>
    <row r="196" spans="1:6">
      <c r="A196" s="93" t="s">
        <v>5988</v>
      </c>
      <c r="B196">
        <v>8.187601809</v>
      </c>
      <c r="C196">
        <v>0.325471128</v>
      </c>
      <c r="D196">
        <v>-30.36659812</v>
      </c>
      <c r="E196">
        <v>1</v>
      </c>
      <c r="F196" s="19" t="s">
        <v>2258</v>
      </c>
    </row>
    <row r="197" spans="1:6">
      <c r="A197" s="93" t="s">
        <v>5989</v>
      </c>
      <c r="B197">
        <v>3.293631411</v>
      </c>
      <c r="C197">
        <v>0.484628663</v>
      </c>
      <c r="D197">
        <v>-17.94396055</v>
      </c>
      <c r="E197">
        <v>1</v>
      </c>
      <c r="F197" s="19" t="s">
        <v>2269</v>
      </c>
    </row>
    <row r="198" spans="1:6">
      <c r="A198" s="93" t="s">
        <v>5990</v>
      </c>
      <c r="B198">
        <v>4.47487552</v>
      </c>
      <c r="C198">
        <v>0.487840364</v>
      </c>
      <c r="D198">
        <v>-32.0011947</v>
      </c>
      <c r="E198">
        <v>1</v>
      </c>
      <c r="F198" s="19" t="s">
        <v>2285</v>
      </c>
    </row>
    <row r="199" spans="1:6">
      <c r="A199" s="93" t="s">
        <v>5991</v>
      </c>
      <c r="B199">
        <v>4.24342757</v>
      </c>
      <c r="C199">
        <v>0.116691163</v>
      </c>
      <c r="D199">
        <v>-21.12348231</v>
      </c>
      <c r="E199">
        <v>1</v>
      </c>
      <c r="F199" s="19" t="s">
        <v>2361</v>
      </c>
    </row>
    <row r="200" spans="1:6">
      <c r="A200" s="93" t="s">
        <v>5992</v>
      </c>
      <c r="B200">
        <v>6.20409843</v>
      </c>
      <c r="C200">
        <v>0.333746358</v>
      </c>
      <c r="D200">
        <v>-36.25854553</v>
      </c>
      <c r="E200">
        <v>1</v>
      </c>
      <c r="F200" s="19" t="s">
        <v>2425</v>
      </c>
    </row>
    <row r="201" spans="1:6">
      <c r="A201" s="93" t="s">
        <v>5993</v>
      </c>
      <c r="B201">
        <v>9.418280014</v>
      </c>
      <c r="C201">
        <v>0.535087572</v>
      </c>
      <c r="D201">
        <v>-49.75041023</v>
      </c>
      <c r="E201">
        <v>1</v>
      </c>
      <c r="F201" s="19" t="s">
        <v>481</v>
      </c>
    </row>
    <row r="202" spans="1:6">
      <c r="A202" s="93" t="s">
        <v>5994</v>
      </c>
      <c r="B202">
        <v>5.365672283</v>
      </c>
      <c r="C202">
        <v>0.179506788</v>
      </c>
      <c r="D202">
        <v>-24.02616544</v>
      </c>
      <c r="E202">
        <v>1</v>
      </c>
      <c r="F202" s="19" t="s">
        <v>583</v>
      </c>
    </row>
    <row r="203" spans="1:6">
      <c r="A203" s="93" t="s">
        <v>5995</v>
      </c>
      <c r="B203">
        <v>2.939763283</v>
      </c>
      <c r="C203">
        <v>0.278958039</v>
      </c>
      <c r="D203">
        <v>-17.52052704</v>
      </c>
      <c r="E203">
        <v>1</v>
      </c>
      <c r="F203" s="19" t="s">
        <v>599</v>
      </c>
    </row>
    <row r="204" spans="1:6">
      <c r="A204" s="93" t="s">
        <v>5996</v>
      </c>
      <c r="B204">
        <v>5.584193822</v>
      </c>
      <c r="C204">
        <v>1.039670108</v>
      </c>
      <c r="D204">
        <v>-40.63570146</v>
      </c>
      <c r="E204">
        <v>1</v>
      </c>
      <c r="F204" s="19" t="s">
        <v>2735</v>
      </c>
    </row>
    <row r="205" spans="1:6">
      <c r="A205" s="93" t="s">
        <v>5997</v>
      </c>
      <c r="B205">
        <v>5.061282324</v>
      </c>
      <c r="C205">
        <v>0.417472031</v>
      </c>
      <c r="D205">
        <v>-31.36420286</v>
      </c>
      <c r="E205">
        <v>1</v>
      </c>
      <c r="F205" s="19" t="s">
        <v>555</v>
      </c>
    </row>
    <row r="206" spans="1:6">
      <c r="A206" s="93" t="s">
        <v>5998</v>
      </c>
      <c r="B206">
        <v>4.568715067</v>
      </c>
      <c r="C206">
        <v>0.495863843</v>
      </c>
      <c r="D206">
        <v>-29.6571572</v>
      </c>
      <c r="E206">
        <v>1</v>
      </c>
      <c r="F206" s="19" t="s">
        <v>2889</v>
      </c>
    </row>
    <row r="207" spans="1:6">
      <c r="A207" s="93" t="s">
        <v>5999</v>
      </c>
      <c r="B207">
        <v>7.360881654</v>
      </c>
      <c r="C207">
        <v>0.335586935</v>
      </c>
      <c r="D207">
        <v>-27.48688673</v>
      </c>
      <c r="E207">
        <v>1</v>
      </c>
      <c r="F207" s="19" t="s">
        <v>472</v>
      </c>
    </row>
    <row r="208" spans="1:6">
      <c r="A208" s="93" t="s">
        <v>6000</v>
      </c>
      <c r="B208">
        <v>6.598636505</v>
      </c>
      <c r="C208">
        <v>0.186943165</v>
      </c>
      <c r="D208">
        <v>-28.58406262</v>
      </c>
      <c r="E208">
        <v>1</v>
      </c>
      <c r="F208" s="19" t="s">
        <v>458</v>
      </c>
    </row>
    <row r="209" spans="1:6">
      <c r="A209" s="93" t="s">
        <v>6001</v>
      </c>
      <c r="B209">
        <v>3.489335099</v>
      </c>
      <c r="C209">
        <v>0.286216346</v>
      </c>
      <c r="D209">
        <v>-20.96628683</v>
      </c>
      <c r="E209">
        <v>1</v>
      </c>
      <c r="F209" s="19" t="s">
        <v>2939</v>
      </c>
    </row>
    <row r="210" spans="1:6">
      <c r="A210" s="93" t="s">
        <v>6002</v>
      </c>
      <c r="B210">
        <v>2.840270302</v>
      </c>
      <c r="C210">
        <v>0.899031916</v>
      </c>
      <c r="D210">
        <v>-29.46553984</v>
      </c>
      <c r="E210">
        <v>1</v>
      </c>
      <c r="F210" s="19" t="s">
        <v>2956</v>
      </c>
    </row>
    <row r="211" spans="1:6">
      <c r="A211" s="93" t="s">
        <v>6003</v>
      </c>
      <c r="B211">
        <v>4.54929634</v>
      </c>
      <c r="C211">
        <v>0.5570472479999999</v>
      </c>
      <c r="D211">
        <v>-32.84394877</v>
      </c>
      <c r="E211">
        <v>1</v>
      </c>
      <c r="F211" s="19" t="s">
        <v>2972</v>
      </c>
    </row>
    <row r="212" spans="1:6">
      <c r="A212" s="93" t="s">
        <v>6004</v>
      </c>
      <c r="B212">
        <v>4.000850469</v>
      </c>
      <c r="C212">
        <v>0.5348929379999999</v>
      </c>
      <c r="D212">
        <v>-27.32191098</v>
      </c>
      <c r="E212">
        <v>1</v>
      </c>
      <c r="F212" s="19" t="s">
        <v>2986</v>
      </c>
    </row>
    <row r="213" spans="1:6">
      <c r="A213" s="93" t="s">
        <v>6005</v>
      </c>
      <c r="B213">
        <v>3.317583994</v>
      </c>
      <c r="C213">
        <v>0.157395246</v>
      </c>
      <c r="D213">
        <v>-13.79347372</v>
      </c>
      <c r="E213">
        <v>1</v>
      </c>
      <c r="F213" s="19" t="s">
        <v>470</v>
      </c>
    </row>
    <row r="214" spans="1:6">
      <c r="A214" s="93" t="s">
        <v>6006</v>
      </c>
      <c r="B214">
        <v>8.215274248</v>
      </c>
      <c r="C214">
        <v>0.505777409</v>
      </c>
      <c r="D214">
        <v>-38.70144745</v>
      </c>
      <c r="E214">
        <v>1</v>
      </c>
      <c r="F214" s="19" t="s">
        <v>508</v>
      </c>
    </row>
    <row r="215" spans="1:6">
      <c r="A215" s="93" t="s">
        <v>6007</v>
      </c>
      <c r="B215">
        <v>5.310883314</v>
      </c>
      <c r="C215">
        <v>0.020920802</v>
      </c>
      <c r="D215">
        <v>-21.52489439</v>
      </c>
      <c r="E215">
        <v>1</v>
      </c>
      <c r="F215" s="19" t="s">
        <v>536</v>
      </c>
    </row>
    <row r="216" spans="1:6">
      <c r="A216" s="93" t="s">
        <v>6008</v>
      </c>
      <c r="B216">
        <v>1.974371891</v>
      </c>
      <c r="C216">
        <v>0.254686539</v>
      </c>
      <c r="D216">
        <v>-15.73611256</v>
      </c>
      <c r="E216">
        <v>1</v>
      </c>
      <c r="F216" s="19" t="s">
        <v>3176</v>
      </c>
    </row>
    <row r="217" spans="1:6">
      <c r="A217" s="93" t="s">
        <v>6009</v>
      </c>
      <c r="B217">
        <v>3.846048032</v>
      </c>
      <c r="C217">
        <v>0.223364558</v>
      </c>
      <c r="D217">
        <v>-20.51638124</v>
      </c>
      <c r="E217">
        <v>1</v>
      </c>
      <c r="F217" s="19" t="s">
        <v>468</v>
      </c>
    </row>
    <row r="218" spans="1:6">
      <c r="A218" s="93" t="s">
        <v>6010</v>
      </c>
      <c r="B218">
        <v>6.071712689</v>
      </c>
      <c r="C218">
        <v>0.445645169</v>
      </c>
      <c r="D218">
        <v>-34.84345171</v>
      </c>
      <c r="E218">
        <v>1</v>
      </c>
      <c r="F218" s="19" t="s">
        <v>3203</v>
      </c>
    </row>
    <row r="219" spans="1:6">
      <c r="A219" s="93" t="s">
        <v>6011</v>
      </c>
      <c r="B219">
        <v>5.791674961</v>
      </c>
      <c r="C219">
        <v>0.23535034</v>
      </c>
      <c r="D219">
        <v>-27.23925701</v>
      </c>
      <c r="E219">
        <v>1</v>
      </c>
      <c r="F219" s="19" t="s">
        <v>453</v>
      </c>
    </row>
    <row r="220" spans="1:6">
      <c r="A220" s="93" t="s">
        <v>6012</v>
      </c>
      <c r="B220">
        <v>5.264146986</v>
      </c>
      <c r="C220">
        <v>0.200774948</v>
      </c>
      <c r="D220">
        <v>-26.12133328</v>
      </c>
      <c r="E220">
        <v>1</v>
      </c>
      <c r="F220" s="19" t="s">
        <v>466</v>
      </c>
    </row>
    <row r="221" spans="1:6">
      <c r="A221" s="93" t="s">
        <v>6013</v>
      </c>
      <c r="B221">
        <v>3.783680843</v>
      </c>
      <c r="C221">
        <v>0.388246048</v>
      </c>
      <c r="D221">
        <v>-19.22851113</v>
      </c>
      <c r="E221">
        <v>1</v>
      </c>
      <c r="F221" s="19" t="s">
        <v>456</v>
      </c>
    </row>
    <row r="222" spans="1:6">
      <c r="A222" s="93" t="s">
        <v>6014</v>
      </c>
      <c r="B222">
        <v>12.03627811</v>
      </c>
      <c r="C222">
        <v>0.33508366</v>
      </c>
      <c r="D222">
        <v>-58.63015087</v>
      </c>
      <c r="E222">
        <v>1</v>
      </c>
      <c r="F222" s="19" t="s">
        <v>3293</v>
      </c>
    </row>
    <row r="223" spans="1:6">
      <c r="A223" s="93" t="s">
        <v>6015</v>
      </c>
      <c r="B223">
        <v>1.547507913</v>
      </c>
      <c r="C223">
        <v>0.7607371490000001</v>
      </c>
      <c r="D223">
        <v>-28.26705527</v>
      </c>
      <c r="E223">
        <v>1</v>
      </c>
      <c r="F223" s="19" t="s">
        <v>479</v>
      </c>
    </row>
    <row r="224" spans="1:6">
      <c r="A224" s="93" t="s">
        <v>6016</v>
      </c>
      <c r="B224">
        <v>5.016780784</v>
      </c>
      <c r="C224">
        <v>0.54755581</v>
      </c>
      <c r="D224">
        <v>-37.5179047</v>
      </c>
      <c r="E224">
        <v>1</v>
      </c>
      <c r="F224" s="19" t="s">
        <v>3363</v>
      </c>
    </row>
    <row r="225" spans="1:6">
      <c r="A225" s="93" t="s">
        <v>6017</v>
      </c>
      <c r="B225">
        <v>11.62806368</v>
      </c>
      <c r="C225">
        <v>0.384691825</v>
      </c>
      <c r="D225">
        <v>-51.10999294</v>
      </c>
      <c r="E225">
        <v>1</v>
      </c>
      <c r="F225" s="19" t="s">
        <v>590</v>
      </c>
    </row>
    <row r="226" spans="1:6">
      <c r="A226" s="93" t="s">
        <v>6018</v>
      </c>
      <c r="B226">
        <v>6.759121634</v>
      </c>
      <c r="C226">
        <v>0.14875219</v>
      </c>
      <c r="D226">
        <v>-28.99882193</v>
      </c>
      <c r="E226">
        <v>1</v>
      </c>
      <c r="F226" s="19" t="s">
        <v>3521</v>
      </c>
    </row>
    <row r="227" spans="1:6">
      <c r="A227" s="93" t="s">
        <v>6019</v>
      </c>
      <c r="B227">
        <v>4.307231897</v>
      </c>
      <c r="C227">
        <v>0.145689897</v>
      </c>
      <c r="D227">
        <v>-17.00282007</v>
      </c>
      <c r="E227">
        <v>1</v>
      </c>
      <c r="F227" s="19" t="s">
        <v>3744</v>
      </c>
    </row>
    <row r="228" spans="1:6">
      <c r="A228" s="93" t="s">
        <v>6020</v>
      </c>
      <c r="B228">
        <v>5.551270715</v>
      </c>
      <c r="C228">
        <v>0.22020924</v>
      </c>
      <c r="D228">
        <v>-27.25348516</v>
      </c>
      <c r="E228">
        <v>1</v>
      </c>
      <c r="F228" s="19" t="s">
        <v>3819</v>
      </c>
    </row>
    <row r="229" spans="1:6">
      <c r="A229" s="93" t="s">
        <v>6021</v>
      </c>
      <c r="B229">
        <v>5.600398527</v>
      </c>
      <c r="C229">
        <v>0.295481517</v>
      </c>
      <c r="D229">
        <v>-23.95186598</v>
      </c>
      <c r="E229">
        <v>1</v>
      </c>
      <c r="F229" s="19" t="s">
        <v>486</v>
      </c>
    </row>
    <row r="230" spans="1:6">
      <c r="A230" s="93" t="s">
        <v>6022</v>
      </c>
      <c r="B230">
        <v>3.519508393</v>
      </c>
      <c r="C230">
        <v>0.915228354</v>
      </c>
      <c r="D230">
        <v>-30.47519511</v>
      </c>
      <c r="E230">
        <v>1</v>
      </c>
      <c r="F230" s="19" t="s">
        <v>3939</v>
      </c>
    </row>
    <row r="231" spans="1:6">
      <c r="A231" s="93" t="s">
        <v>6023</v>
      </c>
      <c r="B231">
        <v>7.140182086</v>
      </c>
      <c r="C231">
        <v>0.265796538</v>
      </c>
      <c r="D231">
        <v>-24.04381993</v>
      </c>
      <c r="E231">
        <v>1</v>
      </c>
      <c r="F231" s="19" t="s">
        <v>519</v>
      </c>
    </row>
    <row r="232" spans="1:6">
      <c r="A232" s="93" t="s">
        <v>6024</v>
      </c>
      <c r="B232">
        <v>8.088736144</v>
      </c>
      <c r="C232">
        <v>0.357865216</v>
      </c>
      <c r="D232">
        <v>-36.55756807</v>
      </c>
      <c r="E232">
        <v>1</v>
      </c>
      <c r="F232" s="19" t="s">
        <v>3973</v>
      </c>
    </row>
    <row r="233" spans="1:6">
      <c r="A233" s="93" t="s">
        <v>6025</v>
      </c>
      <c r="B233">
        <v>8.629385087999999</v>
      </c>
      <c r="C233">
        <v>0.028791135</v>
      </c>
      <c r="D233">
        <v>-37.55698315</v>
      </c>
      <c r="E233">
        <v>1</v>
      </c>
      <c r="F233" s="19" t="s">
        <v>504</v>
      </c>
    </row>
    <row r="234" spans="1:6">
      <c r="A234" s="93" t="s">
        <v>6026</v>
      </c>
      <c r="B234">
        <v>1.406622311</v>
      </c>
      <c r="C234">
        <v>0.09390933999999999</v>
      </c>
      <c r="D234">
        <v>-5.325053302</v>
      </c>
      <c r="E234">
        <v>1</v>
      </c>
      <c r="F234" s="19" t="s">
        <v>448</v>
      </c>
    </row>
    <row r="235" spans="1:6">
      <c r="A235" s="93" t="s">
        <v>6027</v>
      </c>
      <c r="B235">
        <v>8.390164523999999</v>
      </c>
      <c r="C235">
        <v>0.532666538</v>
      </c>
      <c r="D235">
        <v>-39.89276424</v>
      </c>
      <c r="E235">
        <v>1</v>
      </c>
      <c r="F235" s="19" t="s">
        <v>457</v>
      </c>
    </row>
    <row r="236" spans="1:6">
      <c r="A236" s="93" t="s">
        <v>6028</v>
      </c>
      <c r="B236">
        <v>17.14745529</v>
      </c>
      <c r="C236">
        <v>1.613839531</v>
      </c>
      <c r="D236">
        <v>-88.88817197</v>
      </c>
      <c r="E236">
        <v>1</v>
      </c>
      <c r="F236" s="19" t="s">
        <v>459</v>
      </c>
    </row>
    <row r="237" spans="1:6">
      <c r="A237" s="93" t="s">
        <v>6029</v>
      </c>
      <c r="B237">
        <v>5.318948885</v>
      </c>
      <c r="C237">
        <v>0.5433738060000001</v>
      </c>
      <c r="D237">
        <v>-29.81422429</v>
      </c>
      <c r="E237">
        <v>1</v>
      </c>
      <c r="F237" s="19" t="s">
        <v>471</v>
      </c>
    </row>
    <row r="238" spans="1:6">
      <c r="A238" s="93" t="s">
        <v>6030</v>
      </c>
      <c r="B238">
        <v>7.872230692</v>
      </c>
      <c r="C238">
        <v>0.522551998</v>
      </c>
      <c r="D238">
        <v>-40.03955146</v>
      </c>
      <c r="E238">
        <v>1</v>
      </c>
      <c r="F238" s="19" t="s">
        <v>454</v>
      </c>
    </row>
    <row r="239" spans="1:6">
      <c r="A239" s="93" t="s">
        <v>6031</v>
      </c>
      <c r="B239">
        <v>2.747919393</v>
      </c>
      <c r="C239">
        <v>0.246898527</v>
      </c>
      <c r="D239">
        <v>-17.27024321</v>
      </c>
      <c r="E239">
        <v>1</v>
      </c>
      <c r="F239" s="19" t="s">
        <v>2057</v>
      </c>
    </row>
    <row r="240" spans="1:6">
      <c r="A240" s="93" t="s">
        <v>6032</v>
      </c>
      <c r="B240">
        <v>0.645618389</v>
      </c>
      <c r="C240">
        <v>0.450766207</v>
      </c>
      <c r="D240">
        <v>-13.52602374</v>
      </c>
      <c r="E240">
        <v>1</v>
      </c>
      <c r="F240" s="19" t="s">
        <v>2150</v>
      </c>
    </row>
    <row r="241" spans="1:6">
      <c r="A241" s="93" t="s">
        <v>6033</v>
      </c>
      <c r="B241">
        <v>3.797439131</v>
      </c>
      <c r="C241">
        <v>0.193207132</v>
      </c>
      <c r="D241">
        <v>-17.70245053</v>
      </c>
      <c r="E241">
        <v>1</v>
      </c>
      <c r="F241" s="19" t="s">
        <v>458</v>
      </c>
    </row>
  </sheetData>
  <autoFilter ref="A1:F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cols>
    <col min="1" max="1" width="30.7109375" style="19" customWidth="1"/>
  </cols>
  <sheetData>
    <row r="1" spans="1:5">
      <c r="A1" s="93" t="s">
        <v>6036</v>
      </c>
      <c r="B1" s="93" t="s">
        <v>6034</v>
      </c>
      <c r="C1" s="93" t="s">
        <v>5788</v>
      </c>
      <c r="D1" s="93" t="s">
        <v>6035</v>
      </c>
      <c r="E1" s="93" t="s">
        <v>5790</v>
      </c>
    </row>
    <row r="2" spans="1:5">
      <c r="A2" s="93" t="s">
        <v>6037</v>
      </c>
      <c r="B2">
        <v>7</v>
      </c>
      <c r="C2">
        <v>3.269467477</v>
      </c>
      <c r="D2">
        <v>0.277182232</v>
      </c>
      <c r="E2">
        <v>-13.6616964</v>
      </c>
    </row>
    <row r="3" spans="1:5">
      <c r="A3" s="93" t="s">
        <v>6038</v>
      </c>
      <c r="B3">
        <v>6</v>
      </c>
      <c r="C3">
        <v>4.001205002</v>
      </c>
      <c r="D3">
        <v>0.25894853</v>
      </c>
      <c r="E3">
        <v>-13.74724747</v>
      </c>
    </row>
    <row r="4" spans="1:5">
      <c r="A4" s="93" t="s">
        <v>6039</v>
      </c>
      <c r="B4">
        <v>5</v>
      </c>
      <c r="C4">
        <v>3.055204492</v>
      </c>
      <c r="D4">
        <v>0.23897791</v>
      </c>
      <c r="E4">
        <v>-9.221920261000001</v>
      </c>
    </row>
    <row r="5" spans="1:5">
      <c r="A5" s="93" t="s">
        <v>6040</v>
      </c>
      <c r="B5">
        <v>4</v>
      </c>
      <c r="C5">
        <v>2.218157357</v>
      </c>
      <c r="D5">
        <v>0.395526241</v>
      </c>
      <c r="E5">
        <v>-5.042510216</v>
      </c>
    </row>
    <row r="6" spans="1:5">
      <c r="A6" s="93" t="s">
        <v>6041</v>
      </c>
      <c r="B6">
        <v>3</v>
      </c>
      <c r="C6">
        <v>3.266927251</v>
      </c>
      <c r="D6">
        <v>0.454606221</v>
      </c>
      <c r="E6">
        <v>-7.186939876</v>
      </c>
    </row>
    <row r="7" spans="1:5">
      <c r="A7" s="93" t="s">
        <v>6042</v>
      </c>
      <c r="B7">
        <v>2</v>
      </c>
      <c r="C7">
        <v>8.701126486</v>
      </c>
      <c r="D7">
        <v>0.688006736</v>
      </c>
      <c r="E7">
        <v>-20.87723996</v>
      </c>
    </row>
    <row r="8" spans="1:5">
      <c r="A8" s="93" t="s">
        <v>6043</v>
      </c>
      <c r="B8">
        <v>1</v>
      </c>
      <c r="C8">
        <v>1.834103935</v>
      </c>
      <c r="D8">
        <v>0.564466571</v>
      </c>
      <c r="E8">
        <v>-3.168691906</v>
      </c>
    </row>
    <row r="9" spans="1:5">
      <c r="A9" s="93" t="s">
        <v>6044</v>
      </c>
      <c r="B9">
        <v>1</v>
      </c>
      <c r="C9">
        <v>1</v>
      </c>
      <c r="D9">
        <v>1</v>
      </c>
      <c r="E9">
        <v>1</v>
      </c>
    </row>
    <row r="10" spans="1:5">
      <c r="A10" s="93" t="s">
        <v>6045</v>
      </c>
      <c r="B10" t="s">
        <v>428</v>
      </c>
      <c r="C10" t="s">
        <v>428</v>
      </c>
      <c r="D10" t="s">
        <v>428</v>
      </c>
      <c r="E10" t="s">
        <v>428</v>
      </c>
    </row>
    <row r="11" spans="1:5">
      <c r="A11" s="93" t="s">
        <v>6046</v>
      </c>
      <c r="B11">
        <v>2</v>
      </c>
      <c r="C11">
        <v>1</v>
      </c>
      <c r="D11">
        <v>1</v>
      </c>
      <c r="E11">
        <v>1</v>
      </c>
    </row>
    <row r="12" spans="1:5">
      <c r="A12" s="93" t="s">
        <v>6047</v>
      </c>
      <c r="B12">
        <v>7</v>
      </c>
      <c r="C12">
        <v>1.873550292</v>
      </c>
      <c r="D12">
        <v>0.372499046</v>
      </c>
      <c r="E12">
        <v>-7.266100972</v>
      </c>
    </row>
    <row r="13" spans="1:5">
      <c r="A13" s="93" t="s">
        <v>6048</v>
      </c>
      <c r="B13">
        <v>6</v>
      </c>
      <c r="C13">
        <v>3.961762553</v>
      </c>
      <c r="D13">
        <v>0.295797612</v>
      </c>
      <c r="E13">
        <v>-13.54643587</v>
      </c>
    </row>
    <row r="14" spans="1:5">
      <c r="A14" s="93" t="s">
        <v>6049</v>
      </c>
      <c r="B14">
        <v>5</v>
      </c>
      <c r="C14">
        <v>2.906901239</v>
      </c>
      <c r="D14">
        <v>0.332415171</v>
      </c>
      <c r="E14">
        <v>-7.908245897</v>
      </c>
    </row>
    <row r="15" spans="1:5">
      <c r="A15" s="93" t="s">
        <v>6050</v>
      </c>
      <c r="B15">
        <v>4</v>
      </c>
      <c r="C15">
        <v>1.793499581</v>
      </c>
      <c r="D15">
        <v>0.513100847</v>
      </c>
      <c r="E15">
        <v>-3.332769502</v>
      </c>
    </row>
    <row r="16" spans="1:5">
      <c r="A16" s="93" t="s">
        <v>6051</v>
      </c>
      <c r="B16">
        <v>3</v>
      </c>
      <c r="C16">
        <v>1.962268111</v>
      </c>
      <c r="D16">
        <v>0.457713954</v>
      </c>
      <c r="E16">
        <v>-3.427814172</v>
      </c>
    </row>
    <row r="17" spans="1:5">
      <c r="A17" s="93" t="s">
        <v>6052</v>
      </c>
      <c r="B17">
        <v>2</v>
      </c>
      <c r="C17">
        <v>3.410052891</v>
      </c>
      <c r="D17">
        <v>0.383454014</v>
      </c>
      <c r="E17">
        <v>-7.475473078999999</v>
      </c>
    </row>
    <row r="18" spans="1:5">
      <c r="A18" s="93" t="s">
        <v>6053</v>
      </c>
      <c r="B18">
        <v>1</v>
      </c>
      <c r="C18">
        <v>3.166342867</v>
      </c>
      <c r="D18">
        <v>0.339667611</v>
      </c>
      <c r="E18">
        <v>-5.808774864</v>
      </c>
    </row>
    <row r="19" spans="1:5">
      <c r="A19" s="93" t="s">
        <v>6054</v>
      </c>
      <c r="B19">
        <v>1</v>
      </c>
      <c r="C19">
        <v>1</v>
      </c>
      <c r="D19">
        <v>1</v>
      </c>
      <c r="E19">
        <v>1</v>
      </c>
    </row>
    <row r="20" spans="1:5">
      <c r="A20" s="93" t="s">
        <v>6055</v>
      </c>
      <c r="B20" t="s">
        <v>428</v>
      </c>
      <c r="C20" t="s">
        <v>428</v>
      </c>
      <c r="D20" t="s">
        <v>428</v>
      </c>
      <c r="E20" t="s">
        <v>428</v>
      </c>
    </row>
    <row r="21" spans="1:5">
      <c r="A21" s="93" t="s">
        <v>6056</v>
      </c>
      <c r="B21">
        <v>2</v>
      </c>
      <c r="C21">
        <v>1</v>
      </c>
      <c r="D21">
        <v>1</v>
      </c>
      <c r="E21">
        <v>1</v>
      </c>
    </row>
    <row r="22" spans="1:5">
      <c r="A22" s="93" t="s">
        <v>6057</v>
      </c>
      <c r="B22">
        <v>7</v>
      </c>
      <c r="C22">
        <v>3.245932276</v>
      </c>
      <c r="D22">
        <v>0.222531663</v>
      </c>
      <c r="E22">
        <v>-14.35246938</v>
      </c>
    </row>
    <row r="23" spans="1:5">
      <c r="A23" s="93" t="s">
        <v>6058</v>
      </c>
      <c r="B23">
        <v>6</v>
      </c>
      <c r="C23">
        <v>2.488886344</v>
      </c>
      <c r="D23">
        <v>0.121962038</v>
      </c>
      <c r="E23">
        <v>-8.937293244999999</v>
      </c>
    </row>
    <row r="24" spans="1:5">
      <c r="A24" s="93" t="s">
        <v>6059</v>
      </c>
      <c r="B24">
        <v>5</v>
      </c>
      <c r="C24">
        <v>2.901873375</v>
      </c>
      <c r="D24">
        <v>0.256741341</v>
      </c>
      <c r="E24">
        <v>-8.228206370000001</v>
      </c>
    </row>
    <row r="25" spans="1:5">
      <c r="A25" s="93" t="s">
        <v>6060</v>
      </c>
      <c r="B25">
        <v>4</v>
      </c>
      <c r="C25">
        <v>2.19607506</v>
      </c>
      <c r="D25">
        <v>0.5402142870000001</v>
      </c>
      <c r="E25">
        <v>-3.800219422</v>
      </c>
    </row>
    <row r="26" spans="1:5">
      <c r="A26" s="93" t="s">
        <v>6061</v>
      </c>
      <c r="B26">
        <v>3</v>
      </c>
      <c r="C26">
        <v>3.131016592</v>
      </c>
      <c r="D26">
        <v>0.4806375979999999</v>
      </c>
      <c r="E26">
        <v>-5.785280955</v>
      </c>
    </row>
    <row r="27" spans="1:5">
      <c r="A27" s="93" t="s">
        <v>6062</v>
      </c>
      <c r="B27">
        <v>2</v>
      </c>
      <c r="C27">
        <v>3.782184738</v>
      </c>
      <c r="D27">
        <v>0.373068935</v>
      </c>
      <c r="E27">
        <v>-6.250324383</v>
      </c>
    </row>
    <row r="28" spans="1:5">
      <c r="A28" s="93" t="s">
        <v>6063</v>
      </c>
      <c r="B28">
        <v>1</v>
      </c>
      <c r="C28">
        <v>1.818338587</v>
      </c>
      <c r="D28">
        <v>0.301372868</v>
      </c>
      <c r="E28">
        <v>-3.533117463</v>
      </c>
    </row>
    <row r="29" spans="1:5">
      <c r="A29" s="93" t="s">
        <v>6064</v>
      </c>
      <c r="B29">
        <v>1</v>
      </c>
      <c r="C29">
        <v>1</v>
      </c>
      <c r="D29">
        <v>1</v>
      </c>
      <c r="E29">
        <v>1</v>
      </c>
    </row>
    <row r="30" spans="1:5">
      <c r="A30" s="93" t="s">
        <v>6065</v>
      </c>
      <c r="B30" t="s">
        <v>428</v>
      </c>
      <c r="C30" t="s">
        <v>428</v>
      </c>
      <c r="D30" t="s">
        <v>428</v>
      </c>
      <c r="E30" t="s">
        <v>428</v>
      </c>
    </row>
    <row r="31" spans="1:5">
      <c r="A31" s="93" t="s">
        <v>6066</v>
      </c>
      <c r="B31">
        <v>2</v>
      </c>
      <c r="C31">
        <v>1</v>
      </c>
      <c r="D31">
        <v>1</v>
      </c>
      <c r="E31">
        <v>1</v>
      </c>
    </row>
    <row r="32" spans="1:5">
      <c r="A32" s="93" t="s">
        <v>6067</v>
      </c>
      <c r="B32">
        <v>7</v>
      </c>
      <c r="C32">
        <v>3.245932276</v>
      </c>
      <c r="D32">
        <v>0.222531663</v>
      </c>
      <c r="E32">
        <v>-14.35246938</v>
      </c>
    </row>
    <row r="33" spans="1:5">
      <c r="A33" s="93" t="s">
        <v>6068</v>
      </c>
      <c r="B33">
        <v>6</v>
      </c>
      <c r="C33">
        <v>2.488886344</v>
      </c>
      <c r="D33">
        <v>0.121962038</v>
      </c>
      <c r="E33">
        <v>-8.937293244999999</v>
      </c>
    </row>
    <row r="34" spans="1:5">
      <c r="A34" s="93" t="s">
        <v>6069</v>
      </c>
      <c r="B34">
        <v>5</v>
      </c>
      <c r="C34">
        <v>2.901873375</v>
      </c>
      <c r="D34">
        <v>0.256741341</v>
      </c>
      <c r="E34">
        <v>-8.228206370000001</v>
      </c>
    </row>
    <row r="35" spans="1:5">
      <c r="A35" s="93" t="s">
        <v>6070</v>
      </c>
      <c r="B35">
        <v>4</v>
      </c>
      <c r="C35">
        <v>2.19607506</v>
      </c>
      <c r="D35">
        <v>0.5402142870000001</v>
      </c>
      <c r="E35">
        <v>-3.800219422</v>
      </c>
    </row>
    <row r="36" spans="1:5">
      <c r="A36" s="93" t="s">
        <v>6071</v>
      </c>
      <c r="B36">
        <v>3</v>
      </c>
      <c r="C36">
        <v>3.131016592</v>
      </c>
      <c r="D36">
        <v>0.4806375979999999</v>
      </c>
      <c r="E36">
        <v>-5.785280955</v>
      </c>
    </row>
    <row r="37" spans="1:5">
      <c r="A37" s="93" t="s">
        <v>6072</v>
      </c>
      <c r="B37">
        <v>2</v>
      </c>
      <c r="C37">
        <v>3.782184738</v>
      </c>
      <c r="D37">
        <v>0.373068935</v>
      </c>
      <c r="E37">
        <v>-6.250324383</v>
      </c>
    </row>
    <row r="38" spans="1:5">
      <c r="A38" s="93" t="s">
        <v>6073</v>
      </c>
      <c r="B38">
        <v>1</v>
      </c>
      <c r="C38">
        <v>1.818338587</v>
      </c>
      <c r="D38">
        <v>0.301372868</v>
      </c>
      <c r="E38">
        <v>-3.533117463</v>
      </c>
    </row>
    <row r="39" spans="1:5">
      <c r="A39" s="93" t="s">
        <v>6074</v>
      </c>
      <c r="B39">
        <v>1</v>
      </c>
      <c r="C39">
        <v>1</v>
      </c>
      <c r="D39">
        <v>1</v>
      </c>
      <c r="E39">
        <v>1</v>
      </c>
    </row>
    <row r="40" spans="1:5">
      <c r="A40" s="93" t="s">
        <v>6075</v>
      </c>
      <c r="B40" t="s">
        <v>428</v>
      </c>
      <c r="C40" t="s">
        <v>428</v>
      </c>
      <c r="D40" t="s">
        <v>428</v>
      </c>
      <c r="E40" t="s">
        <v>428</v>
      </c>
    </row>
    <row r="41" spans="1:5">
      <c r="A41" s="93" t="s">
        <v>6076</v>
      </c>
      <c r="B41">
        <v>2</v>
      </c>
      <c r="C41">
        <v>1</v>
      </c>
      <c r="D41">
        <v>1</v>
      </c>
      <c r="E41">
        <v>1</v>
      </c>
    </row>
  </sheetData>
  <autoFilter ref="A1:E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06"/>
  <sheetViews>
    <sheetView workbookViewId="0"/>
  </sheetViews>
  <sheetFormatPr defaultRowHeight="15"/>
  <sheetData>
    <row r="1" spans="1:2">
      <c r="A1" s="93" t="s">
        <v>6077</v>
      </c>
      <c r="B1" s="93" t="s">
        <v>351</v>
      </c>
    </row>
    <row r="2" spans="1:2">
      <c r="A2" s="93">
        <v>1600</v>
      </c>
      <c r="B2">
        <v>36</v>
      </c>
    </row>
    <row r="3" spans="1:2">
      <c r="A3" s="93">
        <v>1590</v>
      </c>
      <c r="B3">
        <v>36</v>
      </c>
    </row>
    <row r="4" spans="1:2">
      <c r="A4" s="93">
        <v>1580</v>
      </c>
      <c r="B4">
        <v>36</v>
      </c>
    </row>
    <row r="5" spans="1:2">
      <c r="A5" s="93">
        <v>1570</v>
      </c>
      <c r="B5">
        <v>36</v>
      </c>
    </row>
    <row r="6" spans="1:2">
      <c r="A6" s="93">
        <v>1560</v>
      </c>
      <c r="B6">
        <v>35</v>
      </c>
    </row>
    <row r="7" spans="1:2">
      <c r="A7" s="93">
        <v>1550</v>
      </c>
      <c r="B7">
        <v>35</v>
      </c>
    </row>
    <row r="8" spans="1:2">
      <c r="A8" s="93">
        <v>1540</v>
      </c>
      <c r="B8">
        <v>35</v>
      </c>
    </row>
    <row r="9" spans="1:2">
      <c r="A9" s="93">
        <v>1530</v>
      </c>
      <c r="B9">
        <v>35</v>
      </c>
    </row>
    <row r="10" spans="1:2">
      <c r="A10" s="93">
        <v>1520</v>
      </c>
      <c r="B10">
        <v>34</v>
      </c>
    </row>
    <row r="11" spans="1:2">
      <c r="A11" s="93">
        <v>1510</v>
      </c>
      <c r="B11">
        <v>34</v>
      </c>
    </row>
    <row r="12" spans="1:2">
      <c r="A12" s="93">
        <v>1500</v>
      </c>
      <c r="B12">
        <v>34</v>
      </c>
    </row>
    <row r="13" spans="1:2">
      <c r="A13" s="93">
        <v>1490</v>
      </c>
      <c r="B13">
        <v>34</v>
      </c>
    </row>
    <row r="14" spans="1:2">
      <c r="A14" s="93">
        <v>1480</v>
      </c>
      <c r="B14">
        <v>33</v>
      </c>
    </row>
    <row r="15" spans="1:2">
      <c r="A15" s="93">
        <v>1470</v>
      </c>
      <c r="B15">
        <v>33</v>
      </c>
    </row>
    <row r="16" spans="1:2">
      <c r="A16" s="93">
        <v>1460</v>
      </c>
      <c r="B16">
        <v>33</v>
      </c>
    </row>
    <row r="17" spans="1:2">
      <c r="A17" s="93">
        <v>1450</v>
      </c>
      <c r="B17">
        <v>33</v>
      </c>
    </row>
    <row r="18" spans="1:2">
      <c r="A18" s="93">
        <v>1440</v>
      </c>
      <c r="B18">
        <v>32</v>
      </c>
    </row>
    <row r="19" spans="1:2">
      <c r="A19" s="93">
        <v>1430</v>
      </c>
      <c r="B19">
        <v>32</v>
      </c>
    </row>
    <row r="20" spans="1:2">
      <c r="A20" s="93">
        <v>1420</v>
      </c>
      <c r="B20">
        <v>32</v>
      </c>
    </row>
    <row r="21" spans="1:2">
      <c r="A21" s="93">
        <v>1410</v>
      </c>
      <c r="B21">
        <v>31</v>
      </c>
    </row>
    <row r="22" spans="1:2">
      <c r="A22" s="93">
        <v>1400</v>
      </c>
      <c r="B22">
        <v>31</v>
      </c>
    </row>
    <row r="23" spans="1:2">
      <c r="A23" s="93">
        <v>1390</v>
      </c>
      <c r="B23">
        <v>31</v>
      </c>
    </row>
    <row r="24" spans="1:2">
      <c r="A24" s="93">
        <v>1380</v>
      </c>
      <c r="B24">
        <v>30</v>
      </c>
    </row>
    <row r="25" spans="1:2">
      <c r="A25" s="93">
        <v>1370</v>
      </c>
      <c r="B25">
        <v>30</v>
      </c>
    </row>
    <row r="26" spans="1:2">
      <c r="A26" s="93">
        <v>1360</v>
      </c>
      <c r="B26">
        <v>30</v>
      </c>
    </row>
    <row r="27" spans="1:2">
      <c r="A27" s="93">
        <v>1350</v>
      </c>
      <c r="B27">
        <v>29</v>
      </c>
    </row>
    <row r="28" spans="1:2">
      <c r="A28" s="93">
        <v>1340</v>
      </c>
      <c r="B28">
        <v>29</v>
      </c>
    </row>
    <row r="29" spans="1:2">
      <c r="A29" s="93">
        <v>1330</v>
      </c>
      <c r="B29">
        <v>29</v>
      </c>
    </row>
    <row r="30" spans="1:2">
      <c r="A30" s="93">
        <v>1320</v>
      </c>
      <c r="B30">
        <v>28</v>
      </c>
    </row>
    <row r="31" spans="1:2">
      <c r="A31" s="93">
        <v>1310</v>
      </c>
      <c r="B31">
        <v>28</v>
      </c>
    </row>
    <row r="32" spans="1:2">
      <c r="A32" s="93">
        <v>1300</v>
      </c>
      <c r="B32">
        <v>28</v>
      </c>
    </row>
    <row r="33" spans="1:2">
      <c r="A33" s="93">
        <v>1290</v>
      </c>
      <c r="B33">
        <v>27</v>
      </c>
    </row>
    <row r="34" spans="1:2">
      <c r="A34" s="93">
        <v>1280</v>
      </c>
      <c r="B34">
        <v>27</v>
      </c>
    </row>
    <row r="35" spans="1:2">
      <c r="A35" s="93">
        <v>1270</v>
      </c>
      <c r="B35">
        <v>27</v>
      </c>
    </row>
    <row r="36" spans="1:2">
      <c r="A36" s="93">
        <v>1260</v>
      </c>
      <c r="B36">
        <v>27</v>
      </c>
    </row>
    <row r="37" spans="1:2">
      <c r="A37" s="93">
        <v>1250</v>
      </c>
      <c r="B37">
        <v>26</v>
      </c>
    </row>
    <row r="38" spans="1:2">
      <c r="A38" s="93">
        <v>1240</v>
      </c>
      <c r="B38">
        <v>26</v>
      </c>
    </row>
    <row r="39" spans="1:2">
      <c r="A39" s="93">
        <v>1230</v>
      </c>
      <c r="B39">
        <v>26</v>
      </c>
    </row>
    <row r="40" spans="1:2">
      <c r="A40" s="93">
        <v>1220</v>
      </c>
      <c r="B40">
        <v>25</v>
      </c>
    </row>
    <row r="41" spans="1:2">
      <c r="A41" s="93">
        <v>1210</v>
      </c>
      <c r="B41">
        <v>25</v>
      </c>
    </row>
    <row r="42" spans="1:2">
      <c r="A42" s="93">
        <v>1200</v>
      </c>
      <c r="B42">
        <v>25</v>
      </c>
    </row>
    <row r="43" spans="1:2">
      <c r="A43" s="93">
        <v>1190</v>
      </c>
      <c r="B43">
        <v>24</v>
      </c>
    </row>
    <row r="44" spans="1:2">
      <c r="A44" s="93">
        <v>1180</v>
      </c>
      <c r="B44">
        <v>24</v>
      </c>
    </row>
    <row r="45" spans="1:2">
      <c r="A45" s="93">
        <v>1170</v>
      </c>
      <c r="B45">
        <v>24</v>
      </c>
    </row>
    <row r="46" spans="1:2">
      <c r="A46" s="93">
        <v>1160</v>
      </c>
      <c r="B46">
        <v>24</v>
      </c>
    </row>
    <row r="47" spans="1:2">
      <c r="A47" s="93">
        <v>1150</v>
      </c>
      <c r="B47">
        <v>23</v>
      </c>
    </row>
    <row r="48" spans="1:2">
      <c r="A48" s="93">
        <v>1140</v>
      </c>
      <c r="B48">
        <v>23</v>
      </c>
    </row>
    <row r="49" spans="1:2">
      <c r="A49" s="93">
        <v>1130</v>
      </c>
      <c r="B49">
        <v>23</v>
      </c>
    </row>
    <row r="50" spans="1:2">
      <c r="A50" s="93">
        <v>1120</v>
      </c>
      <c r="B50">
        <v>22</v>
      </c>
    </row>
    <row r="51" spans="1:2">
      <c r="A51" s="93">
        <v>1110</v>
      </c>
      <c r="B51">
        <v>22</v>
      </c>
    </row>
    <row r="52" spans="1:2">
      <c r="A52" s="93">
        <v>1100</v>
      </c>
      <c r="B52">
        <v>22</v>
      </c>
    </row>
    <row r="53" spans="1:2">
      <c r="A53" s="93">
        <v>1090</v>
      </c>
      <c r="B53">
        <v>21</v>
      </c>
    </row>
    <row r="54" spans="1:2">
      <c r="A54" s="93">
        <v>1080</v>
      </c>
      <c r="B54">
        <v>21</v>
      </c>
    </row>
    <row r="55" spans="1:2">
      <c r="A55" s="93">
        <v>1070</v>
      </c>
      <c r="B55">
        <v>21</v>
      </c>
    </row>
    <row r="56" spans="1:2">
      <c r="A56" s="93">
        <v>1060</v>
      </c>
      <c r="B56">
        <v>21</v>
      </c>
    </row>
    <row r="57" spans="1:2">
      <c r="A57" s="93">
        <v>1050</v>
      </c>
      <c r="B57">
        <v>20</v>
      </c>
    </row>
    <row r="58" spans="1:2">
      <c r="A58" s="93">
        <v>1040</v>
      </c>
      <c r="B58">
        <v>20</v>
      </c>
    </row>
    <row r="59" spans="1:2">
      <c r="A59" s="93">
        <v>1030</v>
      </c>
      <c r="B59">
        <v>20</v>
      </c>
    </row>
    <row r="60" spans="1:2">
      <c r="A60" s="93">
        <v>1020</v>
      </c>
      <c r="B60">
        <v>19</v>
      </c>
    </row>
    <row r="61" spans="1:2">
      <c r="A61" s="93">
        <v>1010</v>
      </c>
      <c r="B61">
        <v>19</v>
      </c>
    </row>
    <row r="62" spans="1:2">
      <c r="A62" s="93">
        <v>1000</v>
      </c>
      <c r="B62">
        <v>19</v>
      </c>
    </row>
    <row r="63" spans="1:2">
      <c r="A63" s="93">
        <v>990</v>
      </c>
      <c r="B63">
        <v>19</v>
      </c>
    </row>
    <row r="64" spans="1:2">
      <c r="A64" s="93">
        <v>980</v>
      </c>
      <c r="B64">
        <v>18</v>
      </c>
    </row>
    <row r="65" spans="1:2">
      <c r="A65" s="93">
        <v>970</v>
      </c>
      <c r="B65">
        <v>18</v>
      </c>
    </row>
    <row r="66" spans="1:2">
      <c r="A66" s="93">
        <v>960</v>
      </c>
      <c r="B66">
        <v>18</v>
      </c>
    </row>
    <row r="67" spans="1:2">
      <c r="A67" s="93">
        <v>950</v>
      </c>
      <c r="B67">
        <v>17</v>
      </c>
    </row>
    <row r="68" spans="1:2">
      <c r="A68" s="93">
        <v>940</v>
      </c>
      <c r="B68">
        <v>17</v>
      </c>
    </row>
    <row r="69" spans="1:2">
      <c r="A69" s="93">
        <v>930</v>
      </c>
      <c r="B69">
        <v>17</v>
      </c>
    </row>
    <row r="70" spans="1:2">
      <c r="A70" s="93">
        <v>920</v>
      </c>
      <c r="B70">
        <v>17</v>
      </c>
    </row>
    <row r="71" spans="1:2">
      <c r="A71" s="93">
        <v>910</v>
      </c>
      <c r="B71">
        <v>16</v>
      </c>
    </row>
    <row r="72" spans="1:2">
      <c r="A72" s="93">
        <v>900</v>
      </c>
      <c r="B72">
        <v>16</v>
      </c>
    </row>
    <row r="73" spans="1:2">
      <c r="A73" s="93">
        <v>890</v>
      </c>
      <c r="B73">
        <v>16</v>
      </c>
    </row>
    <row r="74" spans="1:2">
      <c r="A74" s="93">
        <v>880</v>
      </c>
      <c r="B74">
        <v>16</v>
      </c>
    </row>
    <row r="75" spans="1:2">
      <c r="A75" s="93">
        <v>870</v>
      </c>
      <c r="B75">
        <v>15</v>
      </c>
    </row>
    <row r="76" spans="1:2">
      <c r="A76" s="93">
        <v>860</v>
      </c>
      <c r="B76">
        <v>15</v>
      </c>
    </row>
    <row r="77" spans="1:2">
      <c r="A77" s="93">
        <v>850</v>
      </c>
      <c r="B77">
        <v>15</v>
      </c>
    </row>
    <row r="78" spans="1:2">
      <c r="A78" s="93">
        <v>840</v>
      </c>
      <c r="B78">
        <v>15</v>
      </c>
    </row>
    <row r="79" spans="1:2">
      <c r="A79" s="93">
        <v>830</v>
      </c>
      <c r="B79">
        <v>15</v>
      </c>
    </row>
    <row r="80" spans="1:2">
      <c r="A80" s="93">
        <v>820</v>
      </c>
      <c r="B80">
        <v>14</v>
      </c>
    </row>
    <row r="81" spans="1:2">
      <c r="A81" s="93">
        <v>810</v>
      </c>
      <c r="B81">
        <v>14</v>
      </c>
    </row>
    <row r="82" spans="1:2">
      <c r="A82" s="93">
        <v>800</v>
      </c>
      <c r="B82">
        <v>14</v>
      </c>
    </row>
    <row r="83" spans="1:2">
      <c r="A83" s="93">
        <v>790</v>
      </c>
      <c r="B83">
        <v>14</v>
      </c>
    </row>
    <row r="84" spans="1:2">
      <c r="A84" s="93">
        <v>780</v>
      </c>
      <c r="B84">
        <v>14</v>
      </c>
    </row>
    <row r="85" spans="1:2">
      <c r="A85" s="93">
        <v>770</v>
      </c>
      <c r="B85">
        <v>13</v>
      </c>
    </row>
    <row r="86" spans="1:2">
      <c r="A86" s="93">
        <v>760</v>
      </c>
      <c r="B86">
        <v>13</v>
      </c>
    </row>
    <row r="87" spans="1:2">
      <c r="A87" s="93">
        <v>750</v>
      </c>
      <c r="B87">
        <v>13</v>
      </c>
    </row>
    <row r="88" spans="1:2">
      <c r="A88" s="93">
        <v>740</v>
      </c>
      <c r="B88">
        <v>13</v>
      </c>
    </row>
    <row r="89" spans="1:2">
      <c r="A89" s="93">
        <v>730</v>
      </c>
      <c r="B89">
        <v>13</v>
      </c>
    </row>
    <row r="90" spans="1:2">
      <c r="A90" s="93">
        <v>720</v>
      </c>
      <c r="B90">
        <v>12</v>
      </c>
    </row>
    <row r="91" spans="1:2">
      <c r="A91" s="93">
        <v>710</v>
      </c>
      <c r="B91">
        <v>12</v>
      </c>
    </row>
    <row r="92" spans="1:2">
      <c r="A92" s="93">
        <v>700</v>
      </c>
      <c r="B92">
        <v>12</v>
      </c>
    </row>
    <row r="93" spans="1:2">
      <c r="A93" s="93">
        <v>690</v>
      </c>
      <c r="B93">
        <v>12</v>
      </c>
    </row>
    <row r="94" spans="1:2">
      <c r="A94" s="93">
        <v>680</v>
      </c>
      <c r="B94">
        <v>11</v>
      </c>
    </row>
    <row r="95" spans="1:2">
      <c r="A95" s="93">
        <v>670</v>
      </c>
      <c r="B95">
        <v>11</v>
      </c>
    </row>
    <row r="96" spans="1:2">
      <c r="A96" s="93">
        <v>660</v>
      </c>
      <c r="B96">
        <v>11</v>
      </c>
    </row>
    <row r="97" spans="1:2">
      <c r="A97" s="93">
        <v>650</v>
      </c>
      <c r="B97">
        <v>11</v>
      </c>
    </row>
    <row r="98" spans="1:2">
      <c r="A98" s="93">
        <v>640</v>
      </c>
      <c r="B98">
        <v>10</v>
      </c>
    </row>
    <row r="99" spans="1:2">
      <c r="A99" s="93">
        <v>630</v>
      </c>
      <c r="B99">
        <v>10</v>
      </c>
    </row>
    <row r="100" spans="1:2">
      <c r="A100" s="93">
        <v>620</v>
      </c>
      <c r="B100">
        <v>10</v>
      </c>
    </row>
    <row r="101" spans="1:2">
      <c r="A101" s="93">
        <v>610</v>
      </c>
      <c r="B101">
        <v>9</v>
      </c>
    </row>
    <row r="102" spans="1:2">
      <c r="A102" s="93">
        <v>600</v>
      </c>
      <c r="B102">
        <v>9</v>
      </c>
    </row>
    <row r="103" spans="1:2">
      <c r="A103" s="93">
        <v>590</v>
      </c>
      <c r="B103">
        <v>9</v>
      </c>
    </row>
    <row r="104" spans="1:2">
      <c r="A104" s="93">
        <v>580</v>
      </c>
      <c r="B104">
        <v>9</v>
      </c>
    </row>
    <row r="105" spans="1:2">
      <c r="A105" s="93">
        <v>570</v>
      </c>
      <c r="B105">
        <v>9</v>
      </c>
    </row>
    <row r="106" spans="1:2">
      <c r="A106" s="93">
        <v>560</v>
      </c>
      <c r="B106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726"/>
  <sheetViews>
    <sheetView workbookViewId="0"/>
  </sheetViews>
  <sheetFormatPr defaultRowHeight="15"/>
  <sheetData>
    <row r="1" spans="1:4">
      <c r="A1" s="93" t="s">
        <v>6078</v>
      </c>
      <c r="B1" s="93" t="s">
        <v>18</v>
      </c>
      <c r="C1" s="93" t="s">
        <v>351</v>
      </c>
      <c r="D1" s="93" t="s">
        <v>0</v>
      </c>
    </row>
    <row r="2" spans="1:4">
      <c r="A2" s="93" t="s">
        <v>6079</v>
      </c>
      <c r="B2">
        <v>4.3</v>
      </c>
      <c r="C2">
        <v>12</v>
      </c>
      <c r="D2">
        <v>4</v>
      </c>
    </row>
    <row r="3" spans="1:4">
      <c r="A3" s="93" t="s">
        <v>6080</v>
      </c>
      <c r="B3">
        <v>4.2</v>
      </c>
      <c r="C3">
        <v>12</v>
      </c>
      <c r="D3">
        <v>4</v>
      </c>
    </row>
    <row r="4" spans="1:4">
      <c r="A4" s="93" t="s">
        <v>6081</v>
      </c>
      <c r="B4">
        <v>4.1</v>
      </c>
      <c r="C4">
        <v>12</v>
      </c>
      <c r="D4">
        <v>4</v>
      </c>
    </row>
    <row r="5" spans="1:4">
      <c r="A5" s="93" t="s">
        <v>6082</v>
      </c>
      <c r="B5">
        <v>4</v>
      </c>
      <c r="C5">
        <v>12</v>
      </c>
      <c r="D5">
        <v>5</v>
      </c>
    </row>
    <row r="6" spans="1:4">
      <c r="A6" s="93" t="s">
        <v>6083</v>
      </c>
      <c r="B6">
        <v>3.9</v>
      </c>
      <c r="C6">
        <v>12</v>
      </c>
      <c r="D6">
        <v>5</v>
      </c>
    </row>
    <row r="7" spans="1:4">
      <c r="A7" s="93" t="s">
        <v>6084</v>
      </c>
      <c r="B7">
        <v>3.8</v>
      </c>
      <c r="C7">
        <v>12</v>
      </c>
      <c r="D7">
        <v>5</v>
      </c>
    </row>
    <row r="8" spans="1:4">
      <c r="A8" s="93" t="s">
        <v>6085</v>
      </c>
      <c r="B8">
        <v>3.7</v>
      </c>
      <c r="C8">
        <v>12</v>
      </c>
      <c r="D8">
        <v>5</v>
      </c>
    </row>
    <row r="9" spans="1:4">
      <c r="A9" s="93" t="s">
        <v>6086</v>
      </c>
      <c r="B9">
        <v>3.6</v>
      </c>
      <c r="C9">
        <v>12</v>
      </c>
      <c r="D9">
        <v>7</v>
      </c>
    </row>
    <row r="10" spans="1:4">
      <c r="A10" s="93" t="s">
        <v>6087</v>
      </c>
      <c r="B10">
        <v>3.5</v>
      </c>
      <c r="C10">
        <v>12</v>
      </c>
      <c r="D10">
        <v>7</v>
      </c>
    </row>
    <row r="11" spans="1:4">
      <c r="A11" s="93" t="s">
        <v>6088</v>
      </c>
      <c r="B11">
        <v>3.4</v>
      </c>
      <c r="C11">
        <v>12</v>
      </c>
      <c r="D11">
        <v>7</v>
      </c>
    </row>
    <row r="12" spans="1:4">
      <c r="A12" s="93" t="s">
        <v>6089</v>
      </c>
      <c r="B12">
        <v>3.3</v>
      </c>
      <c r="C12">
        <v>12</v>
      </c>
      <c r="D12">
        <v>7</v>
      </c>
    </row>
    <row r="13" spans="1:4">
      <c r="A13" s="93" t="s">
        <v>6090</v>
      </c>
      <c r="B13">
        <v>3.2</v>
      </c>
      <c r="C13">
        <v>12</v>
      </c>
      <c r="D13">
        <v>8</v>
      </c>
    </row>
    <row r="14" spans="1:4">
      <c r="A14" s="93" t="s">
        <v>6091</v>
      </c>
      <c r="B14">
        <v>3.1</v>
      </c>
      <c r="C14">
        <v>12</v>
      </c>
      <c r="D14">
        <v>8</v>
      </c>
    </row>
    <row r="15" spans="1:4">
      <c r="A15" s="93" t="s">
        <v>6092</v>
      </c>
      <c r="B15">
        <v>3</v>
      </c>
      <c r="C15">
        <v>12</v>
      </c>
      <c r="D15">
        <v>9</v>
      </c>
    </row>
    <row r="16" spans="1:4">
      <c r="A16" s="93" t="s">
        <v>6093</v>
      </c>
      <c r="B16">
        <v>2.9</v>
      </c>
      <c r="C16">
        <v>12</v>
      </c>
      <c r="D16">
        <v>9</v>
      </c>
    </row>
    <row r="17" spans="1:4">
      <c r="A17" s="93" t="s">
        <v>6094</v>
      </c>
      <c r="B17">
        <v>2.8</v>
      </c>
      <c r="C17">
        <v>12</v>
      </c>
      <c r="D17">
        <v>11</v>
      </c>
    </row>
    <row r="18" spans="1:4">
      <c r="A18" s="93" t="s">
        <v>6095</v>
      </c>
      <c r="B18">
        <v>2.7</v>
      </c>
      <c r="C18">
        <v>12</v>
      </c>
      <c r="D18">
        <v>11</v>
      </c>
    </row>
    <row r="19" spans="1:4">
      <c r="A19" s="93" t="s">
        <v>6096</v>
      </c>
      <c r="B19">
        <v>2.6</v>
      </c>
      <c r="C19">
        <v>12</v>
      </c>
      <c r="D19">
        <v>11</v>
      </c>
    </row>
    <row r="20" spans="1:4">
      <c r="A20" s="93" t="s">
        <v>6097</v>
      </c>
      <c r="B20">
        <v>2.5</v>
      </c>
      <c r="C20">
        <v>12</v>
      </c>
      <c r="D20">
        <v>11</v>
      </c>
    </row>
    <row r="21" spans="1:4">
      <c r="A21" s="93" t="s">
        <v>6098</v>
      </c>
      <c r="B21">
        <v>2.4</v>
      </c>
      <c r="C21">
        <v>12</v>
      </c>
      <c r="D21">
        <v>11</v>
      </c>
    </row>
    <row r="22" spans="1:4">
      <c r="A22" s="93" t="s">
        <v>6099</v>
      </c>
      <c r="B22">
        <v>2.3</v>
      </c>
      <c r="C22">
        <v>12</v>
      </c>
      <c r="D22">
        <v>11</v>
      </c>
    </row>
    <row r="23" spans="1:4">
      <c r="A23" s="93" t="s">
        <v>6100</v>
      </c>
      <c r="B23">
        <v>2.2</v>
      </c>
      <c r="C23">
        <v>12</v>
      </c>
      <c r="D23">
        <v>11</v>
      </c>
    </row>
    <row r="24" spans="1:4">
      <c r="A24" s="93" t="s">
        <v>6101</v>
      </c>
      <c r="B24">
        <v>2.1</v>
      </c>
      <c r="C24">
        <v>12</v>
      </c>
      <c r="D24">
        <v>11</v>
      </c>
    </row>
    <row r="25" spans="1:4">
      <c r="A25" s="93" t="s">
        <v>6102</v>
      </c>
      <c r="B25">
        <v>2</v>
      </c>
      <c r="C25">
        <v>12</v>
      </c>
      <c r="D25">
        <v>11</v>
      </c>
    </row>
    <row r="26" spans="1:4">
      <c r="A26" s="93" t="s">
        <v>6103</v>
      </c>
      <c r="B26">
        <v>1.9</v>
      </c>
      <c r="C26">
        <v>12</v>
      </c>
      <c r="D26">
        <v>11</v>
      </c>
    </row>
    <row r="27" spans="1:4">
      <c r="A27" s="93" t="s">
        <v>6104</v>
      </c>
      <c r="B27">
        <v>1.8</v>
      </c>
      <c r="C27">
        <v>12</v>
      </c>
      <c r="D27">
        <v>11</v>
      </c>
    </row>
    <row r="28" spans="1:4">
      <c r="A28" s="93" t="s">
        <v>6105</v>
      </c>
      <c r="B28">
        <v>1.7</v>
      </c>
      <c r="C28">
        <v>12</v>
      </c>
      <c r="D28">
        <v>11</v>
      </c>
    </row>
    <row r="29" spans="1:4">
      <c r="A29" s="93" t="s">
        <v>6106</v>
      </c>
      <c r="B29">
        <v>1.6</v>
      </c>
      <c r="C29">
        <v>12</v>
      </c>
      <c r="D29">
        <v>11</v>
      </c>
    </row>
    <row r="30" spans="1:4">
      <c r="A30" s="93" t="s">
        <v>6107</v>
      </c>
      <c r="B30">
        <v>1.5</v>
      </c>
      <c r="C30">
        <v>12</v>
      </c>
      <c r="D30">
        <v>11</v>
      </c>
    </row>
    <row r="31" spans="1:4">
      <c r="A31" s="93" t="s">
        <v>6108</v>
      </c>
      <c r="B31">
        <v>4.3</v>
      </c>
      <c r="C31">
        <v>13</v>
      </c>
      <c r="D31">
        <v>4</v>
      </c>
    </row>
    <row r="32" spans="1:4">
      <c r="A32" s="93" t="s">
        <v>6109</v>
      </c>
      <c r="B32">
        <v>4.2</v>
      </c>
      <c r="C32">
        <v>13</v>
      </c>
      <c r="D32">
        <v>4</v>
      </c>
    </row>
    <row r="33" spans="1:4">
      <c r="A33" s="93" t="s">
        <v>6110</v>
      </c>
      <c r="B33">
        <v>4.1</v>
      </c>
      <c r="C33">
        <v>13</v>
      </c>
      <c r="D33">
        <v>4</v>
      </c>
    </row>
    <row r="34" spans="1:4">
      <c r="A34" s="93" t="s">
        <v>6111</v>
      </c>
      <c r="B34">
        <v>4</v>
      </c>
      <c r="C34">
        <v>13</v>
      </c>
      <c r="D34">
        <v>4</v>
      </c>
    </row>
    <row r="35" spans="1:4">
      <c r="A35" s="93" t="s">
        <v>6112</v>
      </c>
      <c r="B35">
        <v>3.9</v>
      </c>
      <c r="C35">
        <v>13</v>
      </c>
      <c r="D35">
        <v>5</v>
      </c>
    </row>
    <row r="36" spans="1:4">
      <c r="A36" s="93" t="s">
        <v>6113</v>
      </c>
      <c r="B36">
        <v>3.8</v>
      </c>
      <c r="C36">
        <v>13</v>
      </c>
      <c r="D36">
        <v>5</v>
      </c>
    </row>
    <row r="37" spans="1:4">
      <c r="A37" s="93" t="s">
        <v>6114</v>
      </c>
      <c r="B37">
        <v>3.7</v>
      </c>
      <c r="C37">
        <v>13</v>
      </c>
      <c r="D37">
        <v>5</v>
      </c>
    </row>
    <row r="38" spans="1:4">
      <c r="A38" s="93" t="s">
        <v>6115</v>
      </c>
      <c r="B38">
        <v>3.6</v>
      </c>
      <c r="C38">
        <v>13</v>
      </c>
      <c r="D38">
        <v>5</v>
      </c>
    </row>
    <row r="39" spans="1:4">
      <c r="A39" s="93" t="s">
        <v>6116</v>
      </c>
      <c r="B39">
        <v>3.5</v>
      </c>
      <c r="C39">
        <v>13</v>
      </c>
      <c r="D39">
        <v>7</v>
      </c>
    </row>
    <row r="40" spans="1:4">
      <c r="A40" s="93" t="s">
        <v>6117</v>
      </c>
      <c r="B40">
        <v>3.4</v>
      </c>
      <c r="C40">
        <v>13</v>
      </c>
      <c r="D40">
        <v>7</v>
      </c>
    </row>
    <row r="41" spans="1:4">
      <c r="A41" s="93" t="s">
        <v>6118</v>
      </c>
      <c r="B41">
        <v>3.3</v>
      </c>
      <c r="C41">
        <v>13</v>
      </c>
      <c r="D41">
        <v>7</v>
      </c>
    </row>
    <row r="42" spans="1:4">
      <c r="A42" s="93" t="s">
        <v>6119</v>
      </c>
      <c r="B42">
        <v>3.2</v>
      </c>
      <c r="C42">
        <v>13</v>
      </c>
      <c r="D42">
        <v>7</v>
      </c>
    </row>
    <row r="43" spans="1:4">
      <c r="A43" s="93" t="s">
        <v>6120</v>
      </c>
      <c r="B43">
        <v>3.1</v>
      </c>
      <c r="C43">
        <v>13</v>
      </c>
      <c r="D43">
        <v>8</v>
      </c>
    </row>
    <row r="44" spans="1:4">
      <c r="A44" s="93" t="s">
        <v>6121</v>
      </c>
      <c r="B44">
        <v>3</v>
      </c>
      <c r="C44">
        <v>13</v>
      </c>
      <c r="D44">
        <v>8</v>
      </c>
    </row>
    <row r="45" spans="1:4">
      <c r="A45" s="93" t="s">
        <v>6122</v>
      </c>
      <c r="B45">
        <v>2.9</v>
      </c>
      <c r="C45">
        <v>13</v>
      </c>
      <c r="D45">
        <v>9</v>
      </c>
    </row>
    <row r="46" spans="1:4">
      <c r="A46" s="93" t="s">
        <v>6123</v>
      </c>
      <c r="B46">
        <v>2.8</v>
      </c>
      <c r="C46">
        <v>13</v>
      </c>
      <c r="D46">
        <v>9</v>
      </c>
    </row>
    <row r="47" spans="1:4">
      <c r="A47" s="93" t="s">
        <v>6124</v>
      </c>
      <c r="B47">
        <v>2.7</v>
      </c>
      <c r="C47">
        <v>13</v>
      </c>
      <c r="D47">
        <v>9</v>
      </c>
    </row>
    <row r="48" spans="1:4">
      <c r="A48" s="93" t="s">
        <v>6125</v>
      </c>
      <c r="B48">
        <v>2.6</v>
      </c>
      <c r="C48">
        <v>13</v>
      </c>
      <c r="D48">
        <v>9</v>
      </c>
    </row>
    <row r="49" spans="1:4">
      <c r="A49" s="93" t="s">
        <v>6126</v>
      </c>
      <c r="B49">
        <v>2.5</v>
      </c>
      <c r="C49">
        <v>13</v>
      </c>
      <c r="D49">
        <v>11</v>
      </c>
    </row>
    <row r="50" spans="1:4">
      <c r="A50" s="93" t="s">
        <v>6127</v>
      </c>
      <c r="B50">
        <v>2.4</v>
      </c>
      <c r="C50">
        <v>13</v>
      </c>
      <c r="D50">
        <v>11</v>
      </c>
    </row>
    <row r="51" spans="1:4">
      <c r="A51" s="93" t="s">
        <v>6128</v>
      </c>
      <c r="B51">
        <v>2.3</v>
      </c>
      <c r="C51">
        <v>13</v>
      </c>
      <c r="D51">
        <v>11</v>
      </c>
    </row>
    <row r="52" spans="1:4">
      <c r="A52" s="93" t="s">
        <v>6129</v>
      </c>
      <c r="B52">
        <v>2.2</v>
      </c>
      <c r="C52">
        <v>13</v>
      </c>
      <c r="D52">
        <v>11</v>
      </c>
    </row>
    <row r="53" spans="1:4">
      <c r="A53" s="93" t="s">
        <v>6130</v>
      </c>
      <c r="B53">
        <v>2.1</v>
      </c>
      <c r="C53">
        <v>13</v>
      </c>
      <c r="D53">
        <v>11</v>
      </c>
    </row>
    <row r="54" spans="1:4">
      <c r="A54" s="93" t="s">
        <v>6131</v>
      </c>
      <c r="B54">
        <v>2</v>
      </c>
      <c r="C54">
        <v>13</v>
      </c>
      <c r="D54">
        <v>11</v>
      </c>
    </row>
    <row r="55" spans="1:4">
      <c r="A55" s="93" t="s">
        <v>6132</v>
      </c>
      <c r="B55">
        <v>1.9</v>
      </c>
      <c r="C55">
        <v>13</v>
      </c>
      <c r="D55">
        <v>11</v>
      </c>
    </row>
    <row r="56" spans="1:4">
      <c r="A56" s="93" t="s">
        <v>6133</v>
      </c>
      <c r="B56">
        <v>1.8</v>
      </c>
      <c r="C56">
        <v>13</v>
      </c>
      <c r="D56">
        <v>11</v>
      </c>
    </row>
    <row r="57" spans="1:4">
      <c r="A57" s="93" t="s">
        <v>6134</v>
      </c>
      <c r="B57">
        <v>1.7</v>
      </c>
      <c r="C57">
        <v>13</v>
      </c>
      <c r="D57">
        <v>11</v>
      </c>
    </row>
    <row r="58" spans="1:4">
      <c r="A58" s="93" t="s">
        <v>6135</v>
      </c>
      <c r="B58">
        <v>1.6</v>
      </c>
      <c r="C58">
        <v>13</v>
      </c>
      <c r="D58">
        <v>11</v>
      </c>
    </row>
    <row r="59" spans="1:4">
      <c r="A59" s="93" t="s">
        <v>6136</v>
      </c>
      <c r="B59">
        <v>1.5</v>
      </c>
      <c r="C59">
        <v>13</v>
      </c>
      <c r="D59">
        <v>11</v>
      </c>
    </row>
    <row r="60" spans="1:4">
      <c r="A60" s="93" t="s">
        <v>6137</v>
      </c>
      <c r="B60">
        <v>4.3</v>
      </c>
      <c r="C60">
        <v>14</v>
      </c>
      <c r="D60">
        <v>4</v>
      </c>
    </row>
    <row r="61" spans="1:4">
      <c r="A61" s="93" t="s">
        <v>6138</v>
      </c>
      <c r="B61">
        <v>4.2</v>
      </c>
      <c r="C61">
        <v>14</v>
      </c>
      <c r="D61">
        <v>4</v>
      </c>
    </row>
    <row r="62" spans="1:4">
      <c r="A62" s="93" t="s">
        <v>6139</v>
      </c>
      <c r="B62">
        <v>4.1</v>
      </c>
      <c r="C62">
        <v>14</v>
      </c>
      <c r="D62">
        <v>4</v>
      </c>
    </row>
    <row r="63" spans="1:4">
      <c r="A63" s="93" t="s">
        <v>6140</v>
      </c>
      <c r="B63">
        <v>4</v>
      </c>
      <c r="C63">
        <v>14</v>
      </c>
      <c r="D63">
        <v>4</v>
      </c>
    </row>
    <row r="64" spans="1:4">
      <c r="A64" s="93" t="s">
        <v>6141</v>
      </c>
      <c r="B64">
        <v>3.9</v>
      </c>
      <c r="C64">
        <v>14</v>
      </c>
      <c r="D64">
        <v>5</v>
      </c>
    </row>
    <row r="65" spans="1:4">
      <c r="A65" s="93" t="s">
        <v>6142</v>
      </c>
      <c r="B65">
        <v>3.8</v>
      </c>
      <c r="C65">
        <v>14</v>
      </c>
      <c r="D65">
        <v>5</v>
      </c>
    </row>
    <row r="66" spans="1:4">
      <c r="A66" s="93" t="s">
        <v>6143</v>
      </c>
      <c r="B66">
        <v>3.7</v>
      </c>
      <c r="C66">
        <v>14</v>
      </c>
      <c r="D66">
        <v>5</v>
      </c>
    </row>
    <row r="67" spans="1:4">
      <c r="A67" s="93" t="s">
        <v>6144</v>
      </c>
      <c r="B67">
        <v>3.6</v>
      </c>
      <c r="C67">
        <v>14</v>
      </c>
      <c r="D67">
        <v>5</v>
      </c>
    </row>
    <row r="68" spans="1:4">
      <c r="A68" s="93" t="s">
        <v>6145</v>
      </c>
      <c r="B68">
        <v>3.5</v>
      </c>
      <c r="C68">
        <v>14</v>
      </c>
      <c r="D68">
        <v>5</v>
      </c>
    </row>
    <row r="69" spans="1:4">
      <c r="A69" s="93" t="s">
        <v>6146</v>
      </c>
      <c r="B69">
        <v>3.4</v>
      </c>
      <c r="C69">
        <v>14</v>
      </c>
      <c r="D69">
        <v>7</v>
      </c>
    </row>
    <row r="70" spans="1:4">
      <c r="A70" s="93" t="s">
        <v>6147</v>
      </c>
      <c r="B70">
        <v>3.3</v>
      </c>
      <c r="C70">
        <v>14</v>
      </c>
      <c r="D70">
        <v>7</v>
      </c>
    </row>
    <row r="71" spans="1:4">
      <c r="A71" s="93" t="s">
        <v>6148</v>
      </c>
      <c r="B71">
        <v>3.2</v>
      </c>
      <c r="C71">
        <v>14</v>
      </c>
      <c r="D71">
        <v>7</v>
      </c>
    </row>
    <row r="72" spans="1:4">
      <c r="A72" s="93" t="s">
        <v>6149</v>
      </c>
      <c r="B72">
        <v>3.1</v>
      </c>
      <c r="C72">
        <v>14</v>
      </c>
      <c r="D72">
        <v>7</v>
      </c>
    </row>
    <row r="73" spans="1:4">
      <c r="A73" s="93" t="s">
        <v>6150</v>
      </c>
      <c r="B73">
        <v>3</v>
      </c>
      <c r="C73">
        <v>14</v>
      </c>
      <c r="D73">
        <v>8</v>
      </c>
    </row>
    <row r="74" spans="1:4">
      <c r="A74" s="93" t="s">
        <v>6151</v>
      </c>
      <c r="B74">
        <v>2.9</v>
      </c>
      <c r="C74">
        <v>14</v>
      </c>
      <c r="D74">
        <v>8</v>
      </c>
    </row>
    <row r="75" spans="1:4">
      <c r="A75" s="93" t="s">
        <v>6152</v>
      </c>
      <c r="B75">
        <v>2.8</v>
      </c>
      <c r="C75">
        <v>14</v>
      </c>
      <c r="D75">
        <v>8</v>
      </c>
    </row>
    <row r="76" spans="1:4">
      <c r="A76" s="93" t="s">
        <v>6153</v>
      </c>
      <c r="B76">
        <v>2.7</v>
      </c>
      <c r="C76">
        <v>14</v>
      </c>
      <c r="D76">
        <v>9</v>
      </c>
    </row>
    <row r="77" spans="1:4">
      <c r="A77" s="93" t="s">
        <v>6154</v>
      </c>
      <c r="B77">
        <v>2.6</v>
      </c>
      <c r="C77">
        <v>14</v>
      </c>
      <c r="D77">
        <v>9</v>
      </c>
    </row>
    <row r="78" spans="1:4">
      <c r="A78" s="93" t="s">
        <v>6155</v>
      </c>
      <c r="B78">
        <v>2.5</v>
      </c>
      <c r="C78">
        <v>14</v>
      </c>
      <c r="D78">
        <v>9</v>
      </c>
    </row>
    <row r="79" spans="1:4">
      <c r="A79" s="93" t="s">
        <v>6156</v>
      </c>
      <c r="B79">
        <v>2.4</v>
      </c>
      <c r="C79">
        <v>14</v>
      </c>
      <c r="D79">
        <v>9</v>
      </c>
    </row>
    <row r="80" spans="1:4">
      <c r="A80" s="93" t="s">
        <v>6157</v>
      </c>
      <c r="B80">
        <v>2.3</v>
      </c>
      <c r="C80">
        <v>14</v>
      </c>
      <c r="D80">
        <v>11</v>
      </c>
    </row>
    <row r="81" spans="1:4">
      <c r="A81" s="93" t="s">
        <v>6158</v>
      </c>
      <c r="B81">
        <v>2.2</v>
      </c>
      <c r="C81">
        <v>14</v>
      </c>
      <c r="D81">
        <v>11</v>
      </c>
    </row>
    <row r="82" spans="1:4">
      <c r="A82" s="93" t="s">
        <v>6159</v>
      </c>
      <c r="B82">
        <v>2.1</v>
      </c>
      <c r="C82">
        <v>14</v>
      </c>
      <c r="D82">
        <v>11</v>
      </c>
    </row>
    <row r="83" spans="1:4">
      <c r="A83" s="93" t="s">
        <v>6160</v>
      </c>
      <c r="B83">
        <v>2</v>
      </c>
      <c r="C83">
        <v>14</v>
      </c>
      <c r="D83">
        <v>11</v>
      </c>
    </row>
    <row r="84" spans="1:4">
      <c r="A84" s="93" t="s">
        <v>6161</v>
      </c>
      <c r="B84">
        <v>1.9</v>
      </c>
      <c r="C84">
        <v>14</v>
      </c>
      <c r="D84">
        <v>11</v>
      </c>
    </row>
    <row r="85" spans="1:4">
      <c r="A85" s="93" t="s">
        <v>6162</v>
      </c>
      <c r="B85">
        <v>1.8</v>
      </c>
      <c r="C85">
        <v>14</v>
      </c>
      <c r="D85">
        <v>11</v>
      </c>
    </row>
    <row r="86" spans="1:4">
      <c r="A86" s="93" t="s">
        <v>6163</v>
      </c>
      <c r="B86">
        <v>1.7</v>
      </c>
      <c r="C86">
        <v>14</v>
      </c>
      <c r="D86">
        <v>11</v>
      </c>
    </row>
    <row r="87" spans="1:4">
      <c r="A87" s="93" t="s">
        <v>6164</v>
      </c>
      <c r="B87">
        <v>1.6</v>
      </c>
      <c r="C87">
        <v>14</v>
      </c>
      <c r="D87">
        <v>11</v>
      </c>
    </row>
    <row r="88" spans="1:4">
      <c r="A88" s="93" t="s">
        <v>6165</v>
      </c>
      <c r="B88">
        <v>1.5</v>
      </c>
      <c r="C88">
        <v>14</v>
      </c>
      <c r="D88">
        <v>11</v>
      </c>
    </row>
    <row r="89" spans="1:4">
      <c r="A89" s="93" t="s">
        <v>6166</v>
      </c>
      <c r="B89">
        <v>4.3</v>
      </c>
      <c r="C89">
        <v>15</v>
      </c>
      <c r="D89">
        <v>4</v>
      </c>
    </row>
    <row r="90" spans="1:4">
      <c r="A90" s="93" t="s">
        <v>6167</v>
      </c>
      <c r="B90">
        <v>4.2</v>
      </c>
      <c r="C90">
        <v>15</v>
      </c>
      <c r="D90">
        <v>4</v>
      </c>
    </row>
    <row r="91" spans="1:4">
      <c r="A91" s="93" t="s">
        <v>6168</v>
      </c>
      <c r="B91">
        <v>4.1</v>
      </c>
      <c r="C91">
        <v>15</v>
      </c>
      <c r="D91">
        <v>4</v>
      </c>
    </row>
    <row r="92" spans="1:4">
      <c r="A92" s="93" t="s">
        <v>6169</v>
      </c>
      <c r="B92">
        <v>4</v>
      </c>
      <c r="C92">
        <v>15</v>
      </c>
      <c r="D92">
        <v>4</v>
      </c>
    </row>
    <row r="93" spans="1:4">
      <c r="A93" s="93" t="s">
        <v>6170</v>
      </c>
      <c r="B93">
        <v>3.9</v>
      </c>
      <c r="C93">
        <v>15</v>
      </c>
      <c r="D93">
        <v>4</v>
      </c>
    </row>
    <row r="94" spans="1:4">
      <c r="A94" s="93" t="s">
        <v>6171</v>
      </c>
      <c r="B94">
        <v>3.8</v>
      </c>
      <c r="C94">
        <v>15</v>
      </c>
      <c r="D94">
        <v>5</v>
      </c>
    </row>
    <row r="95" spans="1:4">
      <c r="A95" s="93" t="s">
        <v>6172</v>
      </c>
      <c r="B95">
        <v>3.7</v>
      </c>
      <c r="C95">
        <v>15</v>
      </c>
      <c r="D95">
        <v>5</v>
      </c>
    </row>
    <row r="96" spans="1:4">
      <c r="A96" s="93" t="s">
        <v>6173</v>
      </c>
      <c r="B96">
        <v>3.6</v>
      </c>
      <c r="C96">
        <v>15</v>
      </c>
      <c r="D96">
        <v>5</v>
      </c>
    </row>
    <row r="97" spans="1:4">
      <c r="A97" s="93" t="s">
        <v>6174</v>
      </c>
      <c r="B97">
        <v>3.5</v>
      </c>
      <c r="C97">
        <v>15</v>
      </c>
      <c r="D97">
        <v>5</v>
      </c>
    </row>
    <row r="98" spans="1:4">
      <c r="A98" s="93" t="s">
        <v>6175</v>
      </c>
      <c r="B98">
        <v>3.4</v>
      </c>
      <c r="C98">
        <v>15</v>
      </c>
      <c r="D98">
        <v>5</v>
      </c>
    </row>
    <row r="99" spans="1:4">
      <c r="A99" s="93" t="s">
        <v>6176</v>
      </c>
      <c r="B99">
        <v>3.3</v>
      </c>
      <c r="C99">
        <v>15</v>
      </c>
      <c r="D99">
        <v>7</v>
      </c>
    </row>
    <row r="100" spans="1:4">
      <c r="A100" s="93" t="s">
        <v>6177</v>
      </c>
      <c r="B100">
        <v>3.2</v>
      </c>
      <c r="C100">
        <v>15</v>
      </c>
      <c r="D100">
        <v>7</v>
      </c>
    </row>
    <row r="101" spans="1:4">
      <c r="A101" s="93" t="s">
        <v>6178</v>
      </c>
      <c r="B101">
        <v>3.1</v>
      </c>
      <c r="C101">
        <v>15</v>
      </c>
      <c r="D101">
        <v>7</v>
      </c>
    </row>
    <row r="102" spans="1:4">
      <c r="A102" s="93" t="s">
        <v>6179</v>
      </c>
      <c r="B102">
        <v>3</v>
      </c>
      <c r="C102">
        <v>15</v>
      </c>
      <c r="D102">
        <v>7</v>
      </c>
    </row>
    <row r="103" spans="1:4">
      <c r="A103" s="93" t="s">
        <v>6180</v>
      </c>
      <c r="B103">
        <v>2.9</v>
      </c>
      <c r="C103">
        <v>15</v>
      </c>
      <c r="D103">
        <v>8</v>
      </c>
    </row>
    <row r="104" spans="1:4">
      <c r="A104" s="93" t="s">
        <v>6181</v>
      </c>
      <c r="B104">
        <v>2.8</v>
      </c>
      <c r="C104">
        <v>15</v>
      </c>
      <c r="D104">
        <v>8</v>
      </c>
    </row>
    <row r="105" spans="1:4">
      <c r="A105" s="93" t="s">
        <v>6182</v>
      </c>
      <c r="B105">
        <v>2.7</v>
      </c>
      <c r="C105">
        <v>15</v>
      </c>
      <c r="D105">
        <v>8</v>
      </c>
    </row>
    <row r="106" spans="1:4">
      <c r="A106" s="93" t="s">
        <v>6183</v>
      </c>
      <c r="B106">
        <v>2.6</v>
      </c>
      <c r="C106">
        <v>15</v>
      </c>
      <c r="D106">
        <v>9</v>
      </c>
    </row>
    <row r="107" spans="1:4">
      <c r="A107" s="93" t="s">
        <v>6184</v>
      </c>
      <c r="B107">
        <v>2.5</v>
      </c>
      <c r="C107">
        <v>15</v>
      </c>
      <c r="D107">
        <v>9</v>
      </c>
    </row>
    <row r="108" spans="1:4">
      <c r="A108" s="93" t="s">
        <v>6185</v>
      </c>
      <c r="B108">
        <v>2.4</v>
      </c>
      <c r="C108">
        <v>15</v>
      </c>
      <c r="D108">
        <v>9</v>
      </c>
    </row>
    <row r="109" spans="1:4">
      <c r="A109" s="93" t="s">
        <v>6186</v>
      </c>
      <c r="B109">
        <v>2.3</v>
      </c>
      <c r="C109">
        <v>15</v>
      </c>
      <c r="D109">
        <v>9</v>
      </c>
    </row>
    <row r="110" spans="1:4">
      <c r="A110" s="93" t="s">
        <v>6187</v>
      </c>
      <c r="B110">
        <v>2.2</v>
      </c>
      <c r="C110">
        <v>15</v>
      </c>
      <c r="D110">
        <v>10</v>
      </c>
    </row>
    <row r="111" spans="1:4">
      <c r="A111" s="93" t="s">
        <v>6188</v>
      </c>
      <c r="B111">
        <v>2.1</v>
      </c>
      <c r="C111">
        <v>15</v>
      </c>
      <c r="D111">
        <v>10</v>
      </c>
    </row>
    <row r="112" spans="1:4">
      <c r="A112" s="93" t="s">
        <v>6189</v>
      </c>
      <c r="B112">
        <v>2</v>
      </c>
      <c r="C112">
        <v>15</v>
      </c>
      <c r="D112">
        <v>11</v>
      </c>
    </row>
    <row r="113" spans="1:4">
      <c r="A113" s="93" t="s">
        <v>6190</v>
      </c>
      <c r="B113">
        <v>1.9</v>
      </c>
      <c r="C113">
        <v>15</v>
      </c>
      <c r="D113">
        <v>11</v>
      </c>
    </row>
    <row r="114" spans="1:4">
      <c r="A114" s="93" t="s">
        <v>6191</v>
      </c>
      <c r="B114">
        <v>1.8</v>
      </c>
      <c r="C114">
        <v>15</v>
      </c>
      <c r="D114">
        <v>11</v>
      </c>
    </row>
    <row r="115" spans="1:4">
      <c r="A115" s="93" t="s">
        <v>6192</v>
      </c>
      <c r="B115">
        <v>1.7</v>
      </c>
      <c r="C115">
        <v>15</v>
      </c>
      <c r="D115">
        <v>11</v>
      </c>
    </row>
    <row r="116" spans="1:4">
      <c r="A116" s="93" t="s">
        <v>6193</v>
      </c>
      <c r="B116">
        <v>1.6</v>
      </c>
      <c r="C116">
        <v>15</v>
      </c>
      <c r="D116">
        <v>11</v>
      </c>
    </row>
    <row r="117" spans="1:4">
      <c r="A117" s="93" t="s">
        <v>6194</v>
      </c>
      <c r="B117">
        <v>1.5</v>
      </c>
      <c r="C117">
        <v>15</v>
      </c>
      <c r="D117">
        <v>11</v>
      </c>
    </row>
    <row r="118" spans="1:4">
      <c r="A118" s="93" t="s">
        <v>6195</v>
      </c>
      <c r="B118">
        <v>4.3</v>
      </c>
      <c r="C118">
        <v>16</v>
      </c>
      <c r="D118">
        <v>4</v>
      </c>
    </row>
    <row r="119" spans="1:4">
      <c r="A119" s="93" t="s">
        <v>6196</v>
      </c>
      <c r="B119">
        <v>4.2</v>
      </c>
      <c r="C119">
        <v>16</v>
      </c>
      <c r="D119">
        <v>4</v>
      </c>
    </row>
    <row r="120" spans="1:4">
      <c r="A120" s="93" t="s">
        <v>6197</v>
      </c>
      <c r="B120">
        <v>4.1</v>
      </c>
      <c r="C120">
        <v>16</v>
      </c>
      <c r="D120">
        <v>4</v>
      </c>
    </row>
    <row r="121" spans="1:4">
      <c r="A121" s="93" t="s">
        <v>6198</v>
      </c>
      <c r="B121">
        <v>4</v>
      </c>
      <c r="C121">
        <v>16</v>
      </c>
      <c r="D121">
        <v>4</v>
      </c>
    </row>
    <row r="122" spans="1:4">
      <c r="A122" s="93" t="s">
        <v>6199</v>
      </c>
      <c r="B122">
        <v>3.9</v>
      </c>
      <c r="C122">
        <v>16</v>
      </c>
      <c r="D122">
        <v>4</v>
      </c>
    </row>
    <row r="123" spans="1:4">
      <c r="A123" s="93" t="s">
        <v>6200</v>
      </c>
      <c r="B123">
        <v>3.8</v>
      </c>
      <c r="C123">
        <v>16</v>
      </c>
      <c r="D123">
        <v>4</v>
      </c>
    </row>
    <row r="124" spans="1:4">
      <c r="A124" s="93" t="s">
        <v>6201</v>
      </c>
      <c r="B124">
        <v>3.7</v>
      </c>
      <c r="C124">
        <v>16</v>
      </c>
      <c r="D124">
        <v>5</v>
      </c>
    </row>
    <row r="125" spans="1:4">
      <c r="A125" s="93" t="s">
        <v>6202</v>
      </c>
      <c r="B125">
        <v>3.6</v>
      </c>
      <c r="C125">
        <v>16</v>
      </c>
      <c r="D125">
        <v>5</v>
      </c>
    </row>
    <row r="126" spans="1:4">
      <c r="A126" s="93" t="s">
        <v>6203</v>
      </c>
      <c r="B126">
        <v>3.5</v>
      </c>
      <c r="C126">
        <v>16</v>
      </c>
      <c r="D126">
        <v>5</v>
      </c>
    </row>
    <row r="127" spans="1:4">
      <c r="A127" s="93" t="s">
        <v>6204</v>
      </c>
      <c r="B127">
        <v>3.4</v>
      </c>
      <c r="C127">
        <v>16</v>
      </c>
      <c r="D127">
        <v>5</v>
      </c>
    </row>
    <row r="128" spans="1:4">
      <c r="A128" s="93" t="s">
        <v>6205</v>
      </c>
      <c r="B128">
        <v>3.3</v>
      </c>
      <c r="C128">
        <v>16</v>
      </c>
      <c r="D128">
        <v>5</v>
      </c>
    </row>
    <row r="129" spans="1:4">
      <c r="A129" s="93" t="s">
        <v>6206</v>
      </c>
      <c r="B129">
        <v>3.2</v>
      </c>
      <c r="C129">
        <v>16</v>
      </c>
      <c r="D129">
        <v>6</v>
      </c>
    </row>
    <row r="130" spans="1:4">
      <c r="A130" s="93" t="s">
        <v>6207</v>
      </c>
      <c r="B130">
        <v>3.1</v>
      </c>
      <c r="C130">
        <v>16</v>
      </c>
      <c r="D130">
        <v>7</v>
      </c>
    </row>
    <row r="131" spans="1:4">
      <c r="A131" s="93" t="s">
        <v>6208</v>
      </c>
      <c r="B131">
        <v>3</v>
      </c>
      <c r="C131">
        <v>16</v>
      </c>
      <c r="D131">
        <v>7</v>
      </c>
    </row>
    <row r="132" spans="1:4">
      <c r="A132" s="93" t="s">
        <v>6209</v>
      </c>
      <c r="B132">
        <v>2.9</v>
      </c>
      <c r="C132">
        <v>16</v>
      </c>
      <c r="D132">
        <v>7</v>
      </c>
    </row>
    <row r="133" spans="1:4">
      <c r="A133" s="93" t="s">
        <v>6210</v>
      </c>
      <c r="B133">
        <v>2.8</v>
      </c>
      <c r="C133">
        <v>16</v>
      </c>
      <c r="D133">
        <v>8</v>
      </c>
    </row>
    <row r="134" spans="1:4">
      <c r="A134" s="93" t="s">
        <v>6211</v>
      </c>
      <c r="B134">
        <v>2.7</v>
      </c>
      <c r="C134">
        <v>16</v>
      </c>
      <c r="D134">
        <v>8</v>
      </c>
    </row>
    <row r="135" spans="1:4">
      <c r="A135" s="93" t="s">
        <v>6212</v>
      </c>
      <c r="B135">
        <v>2.6</v>
      </c>
      <c r="C135">
        <v>16</v>
      </c>
      <c r="D135">
        <v>8</v>
      </c>
    </row>
    <row r="136" spans="1:4">
      <c r="A136" s="93" t="s">
        <v>6213</v>
      </c>
      <c r="B136">
        <v>2.5</v>
      </c>
      <c r="C136">
        <v>16</v>
      </c>
      <c r="D136">
        <v>9</v>
      </c>
    </row>
    <row r="137" spans="1:4">
      <c r="A137" s="93" t="s">
        <v>6214</v>
      </c>
      <c r="B137">
        <v>2.4</v>
      </c>
      <c r="C137">
        <v>16</v>
      </c>
      <c r="D137">
        <v>9</v>
      </c>
    </row>
    <row r="138" spans="1:4">
      <c r="A138" s="93" t="s">
        <v>6215</v>
      </c>
      <c r="B138">
        <v>2.3</v>
      </c>
      <c r="C138">
        <v>16</v>
      </c>
      <c r="D138">
        <v>9</v>
      </c>
    </row>
    <row r="139" spans="1:4">
      <c r="A139" s="93" t="s">
        <v>6216</v>
      </c>
      <c r="B139">
        <v>2.2</v>
      </c>
      <c r="C139">
        <v>16</v>
      </c>
      <c r="D139">
        <v>9</v>
      </c>
    </row>
    <row r="140" spans="1:4">
      <c r="A140" s="93" t="s">
        <v>6217</v>
      </c>
      <c r="B140">
        <v>2.1</v>
      </c>
      <c r="C140">
        <v>16</v>
      </c>
      <c r="D140">
        <v>10</v>
      </c>
    </row>
    <row r="141" spans="1:4">
      <c r="A141" s="93" t="s">
        <v>6218</v>
      </c>
      <c r="B141">
        <v>2</v>
      </c>
      <c r="C141">
        <v>16</v>
      </c>
      <c r="D141">
        <v>10</v>
      </c>
    </row>
    <row r="142" spans="1:4">
      <c r="A142" s="93" t="s">
        <v>6219</v>
      </c>
      <c r="B142">
        <v>1.9</v>
      </c>
      <c r="C142">
        <v>16</v>
      </c>
      <c r="D142">
        <v>10</v>
      </c>
    </row>
    <row r="143" spans="1:4">
      <c r="A143" s="93" t="s">
        <v>6220</v>
      </c>
      <c r="B143">
        <v>1.8</v>
      </c>
      <c r="C143">
        <v>16</v>
      </c>
      <c r="D143">
        <v>10</v>
      </c>
    </row>
    <row r="144" spans="1:4">
      <c r="A144" s="93" t="s">
        <v>6221</v>
      </c>
      <c r="B144">
        <v>1.7</v>
      </c>
      <c r="C144">
        <v>16</v>
      </c>
      <c r="D144">
        <v>11</v>
      </c>
    </row>
    <row r="145" spans="1:4">
      <c r="A145" s="93" t="s">
        <v>6222</v>
      </c>
      <c r="B145">
        <v>1.6</v>
      </c>
      <c r="C145">
        <v>16</v>
      </c>
      <c r="D145">
        <v>11</v>
      </c>
    </row>
    <row r="146" spans="1:4">
      <c r="A146" s="93" t="s">
        <v>6223</v>
      </c>
      <c r="B146">
        <v>1.5</v>
      </c>
      <c r="C146">
        <v>16</v>
      </c>
      <c r="D146">
        <v>11</v>
      </c>
    </row>
    <row r="147" spans="1:4">
      <c r="A147" s="93" t="s">
        <v>6224</v>
      </c>
      <c r="B147">
        <v>4.3</v>
      </c>
      <c r="C147">
        <v>17</v>
      </c>
      <c r="D147">
        <v>4</v>
      </c>
    </row>
    <row r="148" spans="1:4">
      <c r="A148" s="93" t="s">
        <v>6225</v>
      </c>
      <c r="B148">
        <v>4.2</v>
      </c>
      <c r="C148">
        <v>17</v>
      </c>
      <c r="D148">
        <v>4</v>
      </c>
    </row>
    <row r="149" spans="1:4">
      <c r="A149" s="93" t="s">
        <v>6226</v>
      </c>
      <c r="B149">
        <v>4.1</v>
      </c>
      <c r="C149">
        <v>17</v>
      </c>
      <c r="D149">
        <v>4</v>
      </c>
    </row>
    <row r="150" spans="1:4">
      <c r="A150" s="93" t="s">
        <v>6227</v>
      </c>
      <c r="B150">
        <v>4</v>
      </c>
      <c r="C150">
        <v>17</v>
      </c>
      <c r="D150">
        <v>4</v>
      </c>
    </row>
    <row r="151" spans="1:4">
      <c r="A151" s="93" t="s">
        <v>6228</v>
      </c>
      <c r="B151">
        <v>3.9</v>
      </c>
      <c r="C151">
        <v>17</v>
      </c>
      <c r="D151">
        <v>4</v>
      </c>
    </row>
    <row r="152" spans="1:4">
      <c r="A152" s="93" t="s">
        <v>6229</v>
      </c>
      <c r="B152">
        <v>3.8</v>
      </c>
      <c r="C152">
        <v>17</v>
      </c>
      <c r="D152">
        <v>4</v>
      </c>
    </row>
    <row r="153" spans="1:4">
      <c r="A153" s="93" t="s">
        <v>6230</v>
      </c>
      <c r="B153">
        <v>3.7</v>
      </c>
      <c r="C153">
        <v>17</v>
      </c>
      <c r="D153">
        <v>4</v>
      </c>
    </row>
    <row r="154" spans="1:4">
      <c r="A154" s="93" t="s">
        <v>6231</v>
      </c>
      <c r="B154">
        <v>3.6</v>
      </c>
      <c r="C154">
        <v>17</v>
      </c>
      <c r="D154">
        <v>5</v>
      </c>
    </row>
    <row r="155" spans="1:4">
      <c r="A155" s="93" t="s">
        <v>6232</v>
      </c>
      <c r="B155">
        <v>3.5</v>
      </c>
      <c r="C155">
        <v>17</v>
      </c>
      <c r="D155">
        <v>5</v>
      </c>
    </row>
    <row r="156" spans="1:4">
      <c r="A156" s="93" t="s">
        <v>6233</v>
      </c>
      <c r="B156">
        <v>3.4</v>
      </c>
      <c r="C156">
        <v>17</v>
      </c>
      <c r="D156">
        <v>5</v>
      </c>
    </row>
    <row r="157" spans="1:4">
      <c r="A157" s="93" t="s">
        <v>6234</v>
      </c>
      <c r="B157">
        <v>3.3</v>
      </c>
      <c r="C157">
        <v>17</v>
      </c>
      <c r="D157">
        <v>5</v>
      </c>
    </row>
    <row r="158" spans="1:4">
      <c r="A158" s="93" t="s">
        <v>6235</v>
      </c>
      <c r="B158">
        <v>3.2</v>
      </c>
      <c r="C158">
        <v>17</v>
      </c>
      <c r="D158">
        <v>6</v>
      </c>
    </row>
    <row r="159" spans="1:4">
      <c r="A159" s="93" t="s">
        <v>6236</v>
      </c>
      <c r="B159">
        <v>3.1</v>
      </c>
      <c r="C159">
        <v>17</v>
      </c>
      <c r="D159">
        <v>6</v>
      </c>
    </row>
    <row r="160" spans="1:4">
      <c r="A160" s="93" t="s">
        <v>6237</v>
      </c>
      <c r="B160">
        <v>3</v>
      </c>
      <c r="C160">
        <v>17</v>
      </c>
      <c r="D160">
        <v>7</v>
      </c>
    </row>
    <row r="161" spans="1:4">
      <c r="A161" s="93" t="s">
        <v>6238</v>
      </c>
      <c r="B161">
        <v>2.9</v>
      </c>
      <c r="C161">
        <v>17</v>
      </c>
      <c r="D161">
        <v>7</v>
      </c>
    </row>
    <row r="162" spans="1:4">
      <c r="A162" s="93" t="s">
        <v>6239</v>
      </c>
      <c r="B162">
        <v>2.8</v>
      </c>
      <c r="C162">
        <v>17</v>
      </c>
      <c r="D162">
        <v>7</v>
      </c>
    </row>
    <row r="163" spans="1:4">
      <c r="A163" s="93" t="s">
        <v>6240</v>
      </c>
      <c r="B163">
        <v>2.7</v>
      </c>
      <c r="C163">
        <v>17</v>
      </c>
      <c r="D163">
        <v>7</v>
      </c>
    </row>
    <row r="164" spans="1:4">
      <c r="A164" s="93" t="s">
        <v>6241</v>
      </c>
      <c r="B164">
        <v>2.6</v>
      </c>
      <c r="C164">
        <v>17</v>
      </c>
      <c r="D164">
        <v>8</v>
      </c>
    </row>
    <row r="165" spans="1:4">
      <c r="A165" s="93" t="s">
        <v>6242</v>
      </c>
      <c r="B165">
        <v>2.5</v>
      </c>
      <c r="C165">
        <v>17</v>
      </c>
      <c r="D165">
        <v>8</v>
      </c>
    </row>
    <row r="166" spans="1:4">
      <c r="A166" s="93" t="s">
        <v>6243</v>
      </c>
      <c r="B166">
        <v>2.4</v>
      </c>
      <c r="C166">
        <v>17</v>
      </c>
      <c r="D166">
        <v>8</v>
      </c>
    </row>
    <row r="167" spans="1:4">
      <c r="A167" s="93" t="s">
        <v>6244</v>
      </c>
      <c r="B167">
        <v>2.3</v>
      </c>
      <c r="C167">
        <v>17</v>
      </c>
      <c r="D167">
        <v>9</v>
      </c>
    </row>
    <row r="168" spans="1:4">
      <c r="A168" s="93" t="s">
        <v>6245</v>
      </c>
      <c r="B168">
        <v>2.2</v>
      </c>
      <c r="C168">
        <v>17</v>
      </c>
      <c r="D168">
        <v>9</v>
      </c>
    </row>
    <row r="169" spans="1:4">
      <c r="A169" s="93" t="s">
        <v>6246</v>
      </c>
      <c r="B169">
        <v>2.1</v>
      </c>
      <c r="C169">
        <v>17</v>
      </c>
      <c r="D169">
        <v>9</v>
      </c>
    </row>
    <row r="170" spans="1:4">
      <c r="A170" s="93" t="s">
        <v>6247</v>
      </c>
      <c r="B170">
        <v>2</v>
      </c>
      <c r="C170">
        <v>17</v>
      </c>
      <c r="D170">
        <v>9</v>
      </c>
    </row>
    <row r="171" spans="1:4">
      <c r="A171" s="93" t="s">
        <v>6248</v>
      </c>
      <c r="B171">
        <v>1.9</v>
      </c>
      <c r="C171">
        <v>17</v>
      </c>
      <c r="D171">
        <v>10</v>
      </c>
    </row>
    <row r="172" spans="1:4">
      <c r="A172" s="93" t="s">
        <v>6249</v>
      </c>
      <c r="B172">
        <v>1.8</v>
      </c>
      <c r="C172">
        <v>17</v>
      </c>
      <c r="D172">
        <v>10</v>
      </c>
    </row>
    <row r="173" spans="1:4">
      <c r="A173" s="93" t="s">
        <v>6250</v>
      </c>
      <c r="B173">
        <v>1.7</v>
      </c>
      <c r="C173">
        <v>17</v>
      </c>
      <c r="D173">
        <v>10</v>
      </c>
    </row>
    <row r="174" spans="1:4">
      <c r="A174" s="93" t="s">
        <v>6251</v>
      </c>
      <c r="B174">
        <v>1.6</v>
      </c>
      <c r="C174">
        <v>17</v>
      </c>
      <c r="D174">
        <v>10</v>
      </c>
    </row>
    <row r="175" spans="1:4">
      <c r="A175" s="93" t="s">
        <v>6252</v>
      </c>
      <c r="B175">
        <v>1.5</v>
      </c>
      <c r="C175">
        <v>17</v>
      </c>
      <c r="D175">
        <v>11</v>
      </c>
    </row>
    <row r="176" spans="1:4">
      <c r="A176" s="93" t="s">
        <v>6253</v>
      </c>
      <c r="B176">
        <v>4.3</v>
      </c>
      <c r="C176">
        <v>18</v>
      </c>
      <c r="D176">
        <v>3</v>
      </c>
    </row>
    <row r="177" spans="1:4">
      <c r="A177" s="93" t="s">
        <v>6254</v>
      </c>
      <c r="B177">
        <v>4.2</v>
      </c>
      <c r="C177">
        <v>18</v>
      </c>
      <c r="D177">
        <v>3</v>
      </c>
    </row>
    <row r="178" spans="1:4">
      <c r="A178" s="93" t="s">
        <v>6255</v>
      </c>
      <c r="B178">
        <v>4.1</v>
      </c>
      <c r="C178">
        <v>18</v>
      </c>
      <c r="D178">
        <v>3</v>
      </c>
    </row>
    <row r="179" spans="1:4">
      <c r="A179" s="93" t="s">
        <v>6256</v>
      </c>
      <c r="B179">
        <v>4</v>
      </c>
      <c r="C179">
        <v>18</v>
      </c>
      <c r="D179">
        <v>4</v>
      </c>
    </row>
    <row r="180" spans="1:4">
      <c r="A180" s="93" t="s">
        <v>6257</v>
      </c>
      <c r="B180">
        <v>3.9</v>
      </c>
      <c r="C180">
        <v>18</v>
      </c>
      <c r="D180">
        <v>4</v>
      </c>
    </row>
    <row r="181" spans="1:4">
      <c r="A181" s="93" t="s">
        <v>6258</v>
      </c>
      <c r="B181">
        <v>3.8</v>
      </c>
      <c r="C181">
        <v>18</v>
      </c>
      <c r="D181">
        <v>4</v>
      </c>
    </row>
    <row r="182" spans="1:4">
      <c r="A182" s="93" t="s">
        <v>6259</v>
      </c>
      <c r="B182">
        <v>3.7</v>
      </c>
      <c r="C182">
        <v>18</v>
      </c>
      <c r="D182">
        <v>4</v>
      </c>
    </row>
    <row r="183" spans="1:4">
      <c r="A183" s="93" t="s">
        <v>6260</v>
      </c>
      <c r="B183">
        <v>3.6</v>
      </c>
      <c r="C183">
        <v>18</v>
      </c>
      <c r="D183">
        <v>4</v>
      </c>
    </row>
    <row r="184" spans="1:4">
      <c r="A184" s="93" t="s">
        <v>6261</v>
      </c>
      <c r="B184">
        <v>3.5</v>
      </c>
      <c r="C184">
        <v>18</v>
      </c>
      <c r="D184">
        <v>5</v>
      </c>
    </row>
    <row r="185" spans="1:4">
      <c r="A185" s="93" t="s">
        <v>6262</v>
      </c>
      <c r="B185">
        <v>3.4</v>
      </c>
      <c r="C185">
        <v>18</v>
      </c>
      <c r="D185">
        <v>5</v>
      </c>
    </row>
    <row r="186" spans="1:4">
      <c r="A186" s="93" t="s">
        <v>6263</v>
      </c>
      <c r="B186">
        <v>3.3</v>
      </c>
      <c r="C186">
        <v>18</v>
      </c>
      <c r="D186">
        <v>5</v>
      </c>
    </row>
    <row r="187" spans="1:4">
      <c r="A187" s="93" t="s">
        <v>6264</v>
      </c>
      <c r="B187">
        <v>3.2</v>
      </c>
      <c r="C187">
        <v>18</v>
      </c>
      <c r="D187">
        <v>5</v>
      </c>
    </row>
    <row r="188" spans="1:4">
      <c r="A188" s="93" t="s">
        <v>6265</v>
      </c>
      <c r="B188">
        <v>3.1</v>
      </c>
      <c r="C188">
        <v>18</v>
      </c>
      <c r="D188">
        <v>6</v>
      </c>
    </row>
    <row r="189" spans="1:4">
      <c r="A189" s="93" t="s">
        <v>6266</v>
      </c>
      <c r="B189">
        <v>3</v>
      </c>
      <c r="C189">
        <v>18</v>
      </c>
      <c r="D189">
        <v>6</v>
      </c>
    </row>
    <row r="190" spans="1:4">
      <c r="A190" s="93" t="s">
        <v>6267</v>
      </c>
      <c r="B190">
        <v>2.9</v>
      </c>
      <c r="C190">
        <v>18</v>
      </c>
      <c r="D190">
        <v>7</v>
      </c>
    </row>
    <row r="191" spans="1:4">
      <c r="A191" s="93" t="s">
        <v>6268</v>
      </c>
      <c r="B191">
        <v>2.8</v>
      </c>
      <c r="C191">
        <v>18</v>
      </c>
      <c r="D191">
        <v>7</v>
      </c>
    </row>
    <row r="192" spans="1:4">
      <c r="A192" s="93" t="s">
        <v>6269</v>
      </c>
      <c r="B192">
        <v>2.7</v>
      </c>
      <c r="C192">
        <v>18</v>
      </c>
      <c r="D192">
        <v>7</v>
      </c>
    </row>
    <row r="193" spans="1:4">
      <c r="A193" s="93" t="s">
        <v>6270</v>
      </c>
      <c r="B193">
        <v>2.6</v>
      </c>
      <c r="C193">
        <v>18</v>
      </c>
      <c r="D193">
        <v>7</v>
      </c>
    </row>
    <row r="194" spans="1:4">
      <c r="A194" s="93" t="s">
        <v>6271</v>
      </c>
      <c r="B194">
        <v>2.5</v>
      </c>
      <c r="C194">
        <v>18</v>
      </c>
      <c r="D194">
        <v>8</v>
      </c>
    </row>
    <row r="195" spans="1:4">
      <c r="A195" s="93" t="s">
        <v>6272</v>
      </c>
      <c r="B195">
        <v>2.4</v>
      </c>
      <c r="C195">
        <v>18</v>
      </c>
      <c r="D195">
        <v>8</v>
      </c>
    </row>
    <row r="196" spans="1:4">
      <c r="A196" s="93" t="s">
        <v>6273</v>
      </c>
      <c r="B196">
        <v>2.3</v>
      </c>
      <c r="C196">
        <v>18</v>
      </c>
      <c r="D196">
        <v>8</v>
      </c>
    </row>
    <row r="197" spans="1:4">
      <c r="A197" s="93" t="s">
        <v>6274</v>
      </c>
      <c r="B197">
        <v>2.2</v>
      </c>
      <c r="C197">
        <v>18</v>
      </c>
      <c r="D197">
        <v>9</v>
      </c>
    </row>
    <row r="198" spans="1:4">
      <c r="A198" s="93" t="s">
        <v>6275</v>
      </c>
      <c r="B198">
        <v>2.1</v>
      </c>
      <c r="C198">
        <v>18</v>
      </c>
      <c r="D198">
        <v>9</v>
      </c>
    </row>
    <row r="199" spans="1:4">
      <c r="A199" s="93" t="s">
        <v>6276</v>
      </c>
      <c r="B199">
        <v>2</v>
      </c>
      <c r="C199">
        <v>18</v>
      </c>
      <c r="D199">
        <v>9</v>
      </c>
    </row>
    <row r="200" spans="1:4">
      <c r="A200" s="93" t="s">
        <v>6277</v>
      </c>
      <c r="B200">
        <v>1.9</v>
      </c>
      <c r="C200">
        <v>18</v>
      </c>
      <c r="D200">
        <v>9</v>
      </c>
    </row>
    <row r="201" spans="1:4">
      <c r="A201" s="93" t="s">
        <v>6278</v>
      </c>
      <c r="B201">
        <v>1.8</v>
      </c>
      <c r="C201">
        <v>18</v>
      </c>
      <c r="D201">
        <v>10</v>
      </c>
    </row>
    <row r="202" spans="1:4">
      <c r="A202" s="93" t="s">
        <v>6279</v>
      </c>
      <c r="B202">
        <v>1.7</v>
      </c>
      <c r="C202">
        <v>18</v>
      </c>
      <c r="D202">
        <v>10</v>
      </c>
    </row>
    <row r="203" spans="1:4">
      <c r="A203" s="93" t="s">
        <v>6280</v>
      </c>
      <c r="B203">
        <v>1.6</v>
      </c>
      <c r="C203">
        <v>18</v>
      </c>
      <c r="D203">
        <v>10</v>
      </c>
    </row>
    <row r="204" spans="1:4">
      <c r="A204" s="93" t="s">
        <v>6281</v>
      </c>
      <c r="B204">
        <v>1.5</v>
      </c>
      <c r="C204">
        <v>18</v>
      </c>
      <c r="D204">
        <v>10</v>
      </c>
    </row>
    <row r="205" spans="1:4">
      <c r="A205" s="93" t="s">
        <v>6282</v>
      </c>
      <c r="B205">
        <v>4.3</v>
      </c>
      <c r="C205">
        <v>19</v>
      </c>
      <c r="D205">
        <v>3</v>
      </c>
    </row>
    <row r="206" spans="1:4">
      <c r="A206" s="93" t="s">
        <v>6283</v>
      </c>
      <c r="B206">
        <v>4.2</v>
      </c>
      <c r="C206">
        <v>19</v>
      </c>
      <c r="D206">
        <v>3</v>
      </c>
    </row>
    <row r="207" spans="1:4">
      <c r="A207" s="93" t="s">
        <v>6284</v>
      </c>
      <c r="B207">
        <v>4.1</v>
      </c>
      <c r="C207">
        <v>19</v>
      </c>
      <c r="D207">
        <v>3</v>
      </c>
    </row>
    <row r="208" spans="1:4">
      <c r="A208" s="93" t="s">
        <v>6285</v>
      </c>
      <c r="B208">
        <v>4</v>
      </c>
      <c r="C208">
        <v>19</v>
      </c>
      <c r="D208">
        <v>3</v>
      </c>
    </row>
    <row r="209" spans="1:4">
      <c r="A209" s="93" t="s">
        <v>6286</v>
      </c>
      <c r="B209">
        <v>3.9</v>
      </c>
      <c r="C209">
        <v>19</v>
      </c>
      <c r="D209">
        <v>3</v>
      </c>
    </row>
    <row r="210" spans="1:4">
      <c r="A210" s="93" t="s">
        <v>6287</v>
      </c>
      <c r="B210">
        <v>3.8</v>
      </c>
      <c r="C210">
        <v>19</v>
      </c>
      <c r="D210">
        <v>4</v>
      </c>
    </row>
    <row r="211" spans="1:4">
      <c r="A211" s="93" t="s">
        <v>6288</v>
      </c>
      <c r="B211">
        <v>3.7</v>
      </c>
      <c r="C211">
        <v>19</v>
      </c>
      <c r="D211">
        <v>4</v>
      </c>
    </row>
    <row r="212" spans="1:4">
      <c r="A212" s="93" t="s">
        <v>6289</v>
      </c>
      <c r="B212">
        <v>3.6</v>
      </c>
      <c r="C212">
        <v>19</v>
      </c>
      <c r="D212">
        <v>4</v>
      </c>
    </row>
    <row r="213" spans="1:4">
      <c r="A213" s="93" t="s">
        <v>6290</v>
      </c>
      <c r="B213">
        <v>3.5</v>
      </c>
      <c r="C213">
        <v>19</v>
      </c>
      <c r="D213">
        <v>4</v>
      </c>
    </row>
    <row r="214" spans="1:4">
      <c r="A214" s="93" t="s">
        <v>6291</v>
      </c>
      <c r="B214">
        <v>3.4</v>
      </c>
      <c r="C214">
        <v>19</v>
      </c>
      <c r="D214">
        <v>5</v>
      </c>
    </row>
    <row r="215" spans="1:4">
      <c r="A215" s="93" t="s">
        <v>6292</v>
      </c>
      <c r="B215">
        <v>3.3</v>
      </c>
      <c r="C215">
        <v>19</v>
      </c>
      <c r="D215">
        <v>5</v>
      </c>
    </row>
    <row r="216" spans="1:4">
      <c r="A216" s="93" t="s">
        <v>6293</v>
      </c>
      <c r="B216">
        <v>3.2</v>
      </c>
      <c r="C216">
        <v>19</v>
      </c>
      <c r="D216">
        <v>5</v>
      </c>
    </row>
    <row r="217" spans="1:4">
      <c r="A217" s="93" t="s">
        <v>6294</v>
      </c>
      <c r="B217">
        <v>3.1</v>
      </c>
      <c r="C217">
        <v>19</v>
      </c>
      <c r="D217">
        <v>5</v>
      </c>
    </row>
    <row r="218" spans="1:4">
      <c r="A218" s="93" t="s">
        <v>6295</v>
      </c>
      <c r="B218">
        <v>3</v>
      </c>
      <c r="C218">
        <v>19</v>
      </c>
      <c r="D218">
        <v>6</v>
      </c>
    </row>
    <row r="219" spans="1:4">
      <c r="A219" s="93" t="s">
        <v>6296</v>
      </c>
      <c r="B219">
        <v>2.9</v>
      </c>
      <c r="C219">
        <v>19</v>
      </c>
      <c r="D219">
        <v>6</v>
      </c>
    </row>
    <row r="220" spans="1:4">
      <c r="A220" s="93" t="s">
        <v>6297</v>
      </c>
      <c r="B220">
        <v>2.8</v>
      </c>
      <c r="C220">
        <v>19</v>
      </c>
      <c r="D220">
        <v>7</v>
      </c>
    </row>
    <row r="221" spans="1:4">
      <c r="A221" s="93" t="s">
        <v>6298</v>
      </c>
      <c r="B221">
        <v>2.7</v>
      </c>
      <c r="C221">
        <v>19</v>
      </c>
      <c r="D221">
        <v>7</v>
      </c>
    </row>
    <row r="222" spans="1:4">
      <c r="A222" s="93" t="s">
        <v>6299</v>
      </c>
      <c r="B222">
        <v>2.6</v>
      </c>
      <c r="C222">
        <v>19</v>
      </c>
      <c r="D222">
        <v>7</v>
      </c>
    </row>
    <row r="223" spans="1:4">
      <c r="A223" s="93" t="s">
        <v>6300</v>
      </c>
      <c r="B223">
        <v>2.5</v>
      </c>
      <c r="C223">
        <v>19</v>
      </c>
      <c r="D223">
        <v>7</v>
      </c>
    </row>
    <row r="224" spans="1:4">
      <c r="A224" s="93" t="s">
        <v>6301</v>
      </c>
      <c r="B224">
        <v>2.4</v>
      </c>
      <c r="C224">
        <v>19</v>
      </c>
      <c r="D224">
        <v>8</v>
      </c>
    </row>
    <row r="225" spans="1:4">
      <c r="A225" s="93" t="s">
        <v>6302</v>
      </c>
      <c r="B225">
        <v>2.3</v>
      </c>
      <c r="C225">
        <v>19</v>
      </c>
      <c r="D225">
        <v>8</v>
      </c>
    </row>
    <row r="226" spans="1:4">
      <c r="A226" s="93" t="s">
        <v>6303</v>
      </c>
      <c r="B226">
        <v>2.2</v>
      </c>
      <c r="C226">
        <v>19</v>
      </c>
      <c r="D226">
        <v>8</v>
      </c>
    </row>
    <row r="227" spans="1:4">
      <c r="A227" s="93" t="s">
        <v>6304</v>
      </c>
      <c r="B227">
        <v>2.1</v>
      </c>
      <c r="C227">
        <v>19</v>
      </c>
      <c r="D227">
        <v>8</v>
      </c>
    </row>
    <row r="228" spans="1:4">
      <c r="A228" s="93" t="s">
        <v>6305</v>
      </c>
      <c r="B228">
        <v>2</v>
      </c>
      <c r="C228">
        <v>19</v>
      </c>
      <c r="D228">
        <v>9</v>
      </c>
    </row>
    <row r="229" spans="1:4">
      <c r="A229" s="93" t="s">
        <v>6306</v>
      </c>
      <c r="B229">
        <v>1.9</v>
      </c>
      <c r="C229">
        <v>19</v>
      </c>
      <c r="D229">
        <v>9</v>
      </c>
    </row>
    <row r="230" spans="1:4">
      <c r="A230" s="93" t="s">
        <v>6307</v>
      </c>
      <c r="B230">
        <v>1.8</v>
      </c>
      <c r="C230">
        <v>19</v>
      </c>
      <c r="D230">
        <v>9</v>
      </c>
    </row>
    <row r="231" spans="1:4">
      <c r="A231" s="93" t="s">
        <v>6308</v>
      </c>
      <c r="B231">
        <v>1.7</v>
      </c>
      <c r="C231">
        <v>19</v>
      </c>
      <c r="D231">
        <v>10</v>
      </c>
    </row>
    <row r="232" spans="1:4">
      <c r="A232" s="93" t="s">
        <v>6309</v>
      </c>
      <c r="B232">
        <v>1.6</v>
      </c>
      <c r="C232">
        <v>19</v>
      </c>
      <c r="D232">
        <v>10</v>
      </c>
    </row>
    <row r="233" spans="1:4">
      <c r="A233" s="93" t="s">
        <v>6310</v>
      </c>
      <c r="B233">
        <v>1.5</v>
      </c>
      <c r="C233">
        <v>19</v>
      </c>
      <c r="D233">
        <v>10</v>
      </c>
    </row>
    <row r="234" spans="1:4">
      <c r="A234" s="93" t="s">
        <v>6311</v>
      </c>
      <c r="B234">
        <v>4.3</v>
      </c>
      <c r="C234">
        <v>20</v>
      </c>
      <c r="D234">
        <v>3</v>
      </c>
    </row>
    <row r="235" spans="1:4">
      <c r="A235" s="93" t="s">
        <v>6312</v>
      </c>
      <c r="B235">
        <v>4.2</v>
      </c>
      <c r="C235">
        <v>20</v>
      </c>
      <c r="D235">
        <v>3</v>
      </c>
    </row>
    <row r="236" spans="1:4">
      <c r="A236" s="93" t="s">
        <v>6313</v>
      </c>
      <c r="B236">
        <v>4.1</v>
      </c>
      <c r="C236">
        <v>20</v>
      </c>
      <c r="D236">
        <v>3</v>
      </c>
    </row>
    <row r="237" spans="1:4">
      <c r="A237" s="93" t="s">
        <v>6314</v>
      </c>
      <c r="B237">
        <v>4</v>
      </c>
      <c r="C237">
        <v>20</v>
      </c>
      <c r="D237">
        <v>3</v>
      </c>
    </row>
    <row r="238" spans="1:4">
      <c r="A238" s="93" t="s">
        <v>6315</v>
      </c>
      <c r="B238">
        <v>3.9</v>
      </c>
      <c r="C238">
        <v>20</v>
      </c>
      <c r="D238">
        <v>3</v>
      </c>
    </row>
    <row r="239" spans="1:4">
      <c r="A239" s="93" t="s">
        <v>6316</v>
      </c>
      <c r="B239">
        <v>3.8</v>
      </c>
      <c r="C239">
        <v>20</v>
      </c>
      <c r="D239">
        <v>3</v>
      </c>
    </row>
    <row r="240" spans="1:4">
      <c r="A240" s="93" t="s">
        <v>6317</v>
      </c>
      <c r="B240">
        <v>3.7</v>
      </c>
      <c r="C240">
        <v>20</v>
      </c>
      <c r="D240">
        <v>3</v>
      </c>
    </row>
    <row r="241" spans="1:4">
      <c r="A241" s="93" t="s">
        <v>6318</v>
      </c>
      <c r="B241">
        <v>3.6</v>
      </c>
      <c r="C241">
        <v>20</v>
      </c>
      <c r="D241">
        <v>4</v>
      </c>
    </row>
    <row r="242" spans="1:4">
      <c r="A242" s="93" t="s">
        <v>6319</v>
      </c>
      <c r="B242">
        <v>3.5</v>
      </c>
      <c r="C242">
        <v>20</v>
      </c>
      <c r="D242">
        <v>4</v>
      </c>
    </row>
    <row r="243" spans="1:4">
      <c r="A243" s="93" t="s">
        <v>6320</v>
      </c>
      <c r="B243">
        <v>3.4</v>
      </c>
      <c r="C243">
        <v>20</v>
      </c>
      <c r="D243">
        <v>5</v>
      </c>
    </row>
    <row r="244" spans="1:4">
      <c r="A244" s="93" t="s">
        <v>6321</v>
      </c>
      <c r="B244">
        <v>3.3</v>
      </c>
      <c r="C244">
        <v>20</v>
      </c>
      <c r="D244">
        <v>5</v>
      </c>
    </row>
    <row r="245" spans="1:4">
      <c r="A245" s="93" t="s">
        <v>6322</v>
      </c>
      <c r="B245">
        <v>3.2</v>
      </c>
      <c r="C245">
        <v>20</v>
      </c>
      <c r="D245">
        <v>5</v>
      </c>
    </row>
    <row r="246" spans="1:4">
      <c r="A246" s="93" t="s">
        <v>6323</v>
      </c>
      <c r="B246">
        <v>3.1</v>
      </c>
      <c r="C246">
        <v>20</v>
      </c>
      <c r="D246">
        <v>5</v>
      </c>
    </row>
    <row r="247" spans="1:4">
      <c r="A247" s="93" t="s">
        <v>6324</v>
      </c>
      <c r="B247">
        <v>3</v>
      </c>
      <c r="C247">
        <v>20</v>
      </c>
      <c r="D247">
        <v>5</v>
      </c>
    </row>
    <row r="248" spans="1:4">
      <c r="A248" s="93" t="s">
        <v>6325</v>
      </c>
      <c r="B248">
        <v>2.9</v>
      </c>
      <c r="C248">
        <v>20</v>
      </c>
      <c r="D248">
        <v>6</v>
      </c>
    </row>
    <row r="249" spans="1:4">
      <c r="A249" s="93" t="s">
        <v>6326</v>
      </c>
      <c r="B249">
        <v>2.8</v>
      </c>
      <c r="C249">
        <v>20</v>
      </c>
      <c r="D249">
        <v>6</v>
      </c>
    </row>
    <row r="250" spans="1:4">
      <c r="A250" s="93" t="s">
        <v>6327</v>
      </c>
      <c r="B250">
        <v>2.7</v>
      </c>
      <c r="C250">
        <v>20</v>
      </c>
      <c r="D250">
        <v>7</v>
      </c>
    </row>
    <row r="251" spans="1:4">
      <c r="A251" s="93" t="s">
        <v>6328</v>
      </c>
      <c r="B251">
        <v>2.6</v>
      </c>
      <c r="C251">
        <v>20</v>
      </c>
      <c r="D251">
        <v>7</v>
      </c>
    </row>
    <row r="252" spans="1:4">
      <c r="A252" s="93" t="s">
        <v>6329</v>
      </c>
      <c r="B252">
        <v>2.5</v>
      </c>
      <c r="C252">
        <v>20</v>
      </c>
      <c r="D252">
        <v>7</v>
      </c>
    </row>
    <row r="253" spans="1:4">
      <c r="A253" s="93" t="s">
        <v>6330</v>
      </c>
      <c r="B253">
        <v>2.4</v>
      </c>
      <c r="C253">
        <v>20</v>
      </c>
      <c r="D253">
        <v>7</v>
      </c>
    </row>
    <row r="254" spans="1:4">
      <c r="A254" s="93" t="s">
        <v>6331</v>
      </c>
      <c r="B254">
        <v>2.3</v>
      </c>
      <c r="C254">
        <v>20</v>
      </c>
      <c r="D254">
        <v>8</v>
      </c>
    </row>
    <row r="255" spans="1:4">
      <c r="A255" s="93" t="s">
        <v>6332</v>
      </c>
      <c r="B255">
        <v>2.2</v>
      </c>
      <c r="C255">
        <v>20</v>
      </c>
      <c r="D255">
        <v>8</v>
      </c>
    </row>
    <row r="256" spans="1:4">
      <c r="A256" s="93" t="s">
        <v>6333</v>
      </c>
      <c r="B256">
        <v>2.1</v>
      </c>
      <c r="C256">
        <v>20</v>
      </c>
      <c r="D256">
        <v>8</v>
      </c>
    </row>
    <row r="257" spans="1:4">
      <c r="A257" s="93" t="s">
        <v>6334</v>
      </c>
      <c r="B257">
        <v>2</v>
      </c>
      <c r="C257">
        <v>20</v>
      </c>
      <c r="D257">
        <v>8</v>
      </c>
    </row>
    <row r="258" spans="1:4">
      <c r="A258" s="93" t="s">
        <v>6335</v>
      </c>
      <c r="B258">
        <v>1.9</v>
      </c>
      <c r="C258">
        <v>20</v>
      </c>
      <c r="D258">
        <v>9</v>
      </c>
    </row>
    <row r="259" spans="1:4">
      <c r="A259" s="93" t="s">
        <v>6336</v>
      </c>
      <c r="B259">
        <v>1.8</v>
      </c>
      <c r="C259">
        <v>20</v>
      </c>
      <c r="D259">
        <v>9</v>
      </c>
    </row>
    <row r="260" spans="1:4">
      <c r="A260" s="93" t="s">
        <v>6337</v>
      </c>
      <c r="B260">
        <v>1.7</v>
      </c>
      <c r="C260">
        <v>20</v>
      </c>
      <c r="D260">
        <v>9</v>
      </c>
    </row>
    <row r="261" spans="1:4">
      <c r="A261" s="93" t="s">
        <v>6338</v>
      </c>
      <c r="B261">
        <v>1.6</v>
      </c>
      <c r="C261">
        <v>20</v>
      </c>
      <c r="D261">
        <v>9</v>
      </c>
    </row>
    <row r="262" spans="1:4">
      <c r="A262" s="93" t="s">
        <v>6339</v>
      </c>
      <c r="B262">
        <v>1.5</v>
      </c>
      <c r="C262">
        <v>20</v>
      </c>
      <c r="D262">
        <v>10</v>
      </c>
    </row>
    <row r="263" spans="1:4">
      <c r="A263" s="93" t="s">
        <v>6340</v>
      </c>
      <c r="B263">
        <v>4.3</v>
      </c>
      <c r="C263">
        <v>21</v>
      </c>
      <c r="D263">
        <v>3</v>
      </c>
    </row>
    <row r="264" spans="1:4">
      <c r="A264" s="93" t="s">
        <v>6341</v>
      </c>
      <c r="B264">
        <v>4.2</v>
      </c>
      <c r="C264">
        <v>21</v>
      </c>
      <c r="D264">
        <v>3</v>
      </c>
    </row>
    <row r="265" spans="1:4">
      <c r="A265" s="93" t="s">
        <v>6342</v>
      </c>
      <c r="B265">
        <v>4.1</v>
      </c>
      <c r="C265">
        <v>21</v>
      </c>
      <c r="D265">
        <v>3</v>
      </c>
    </row>
    <row r="266" spans="1:4">
      <c r="A266" s="93" t="s">
        <v>6343</v>
      </c>
      <c r="B266">
        <v>4</v>
      </c>
      <c r="C266">
        <v>21</v>
      </c>
      <c r="D266">
        <v>3</v>
      </c>
    </row>
    <row r="267" spans="1:4">
      <c r="A267" s="93" t="s">
        <v>6344</v>
      </c>
      <c r="B267">
        <v>3.9</v>
      </c>
      <c r="C267">
        <v>21</v>
      </c>
      <c r="D267">
        <v>3</v>
      </c>
    </row>
    <row r="268" spans="1:4">
      <c r="A268" s="93" t="s">
        <v>6345</v>
      </c>
      <c r="B268">
        <v>3.8</v>
      </c>
      <c r="C268">
        <v>21</v>
      </c>
      <c r="D268">
        <v>3</v>
      </c>
    </row>
    <row r="269" spans="1:4">
      <c r="A269" s="93" t="s">
        <v>6346</v>
      </c>
      <c r="B269">
        <v>3.7</v>
      </c>
      <c r="C269">
        <v>21</v>
      </c>
      <c r="D269">
        <v>3</v>
      </c>
    </row>
    <row r="270" spans="1:4">
      <c r="A270" s="93" t="s">
        <v>6347</v>
      </c>
      <c r="B270">
        <v>3.6</v>
      </c>
      <c r="C270">
        <v>21</v>
      </c>
      <c r="D270">
        <v>4</v>
      </c>
    </row>
    <row r="271" spans="1:4">
      <c r="A271" s="93" t="s">
        <v>6348</v>
      </c>
      <c r="B271">
        <v>3.5</v>
      </c>
      <c r="C271">
        <v>21</v>
      </c>
      <c r="D271">
        <v>4</v>
      </c>
    </row>
    <row r="272" spans="1:4">
      <c r="A272" s="93" t="s">
        <v>6349</v>
      </c>
      <c r="B272">
        <v>3.4</v>
      </c>
      <c r="C272">
        <v>21</v>
      </c>
      <c r="D272">
        <v>4</v>
      </c>
    </row>
    <row r="273" spans="1:4">
      <c r="A273" s="93" t="s">
        <v>6350</v>
      </c>
      <c r="B273">
        <v>3.3</v>
      </c>
      <c r="C273">
        <v>21</v>
      </c>
      <c r="D273">
        <v>5</v>
      </c>
    </row>
    <row r="274" spans="1:4">
      <c r="A274" s="93" t="s">
        <v>6351</v>
      </c>
      <c r="B274">
        <v>3.2</v>
      </c>
      <c r="C274">
        <v>21</v>
      </c>
      <c r="D274">
        <v>5</v>
      </c>
    </row>
    <row r="275" spans="1:4">
      <c r="A275" s="93" t="s">
        <v>6352</v>
      </c>
      <c r="B275">
        <v>3.1</v>
      </c>
      <c r="C275">
        <v>21</v>
      </c>
      <c r="D275">
        <v>5</v>
      </c>
    </row>
    <row r="276" spans="1:4">
      <c r="A276" s="93" t="s">
        <v>6353</v>
      </c>
      <c r="B276">
        <v>3</v>
      </c>
      <c r="C276">
        <v>21</v>
      </c>
      <c r="D276">
        <v>5</v>
      </c>
    </row>
    <row r="277" spans="1:4">
      <c r="A277" s="93" t="s">
        <v>6354</v>
      </c>
      <c r="B277">
        <v>2.9</v>
      </c>
      <c r="C277">
        <v>21</v>
      </c>
      <c r="D277">
        <v>5</v>
      </c>
    </row>
    <row r="278" spans="1:4">
      <c r="A278" s="93" t="s">
        <v>6355</v>
      </c>
      <c r="B278">
        <v>2.8</v>
      </c>
      <c r="C278">
        <v>21</v>
      </c>
      <c r="D278">
        <v>6</v>
      </c>
    </row>
    <row r="279" spans="1:4">
      <c r="A279" s="93" t="s">
        <v>6356</v>
      </c>
      <c r="B279">
        <v>2.7</v>
      </c>
      <c r="C279">
        <v>21</v>
      </c>
      <c r="D279">
        <v>6</v>
      </c>
    </row>
    <row r="280" spans="1:4">
      <c r="A280" s="93" t="s">
        <v>6357</v>
      </c>
      <c r="B280">
        <v>2.6</v>
      </c>
      <c r="C280">
        <v>21</v>
      </c>
      <c r="D280">
        <v>6</v>
      </c>
    </row>
    <row r="281" spans="1:4">
      <c r="A281" s="93" t="s">
        <v>6358</v>
      </c>
      <c r="B281">
        <v>2.5</v>
      </c>
      <c r="C281">
        <v>21</v>
      </c>
      <c r="D281">
        <v>7</v>
      </c>
    </row>
    <row r="282" spans="1:4">
      <c r="A282" s="93" t="s">
        <v>6359</v>
      </c>
      <c r="B282">
        <v>2.4</v>
      </c>
      <c r="C282">
        <v>21</v>
      </c>
      <c r="D282">
        <v>7</v>
      </c>
    </row>
    <row r="283" spans="1:4">
      <c r="A283" s="93" t="s">
        <v>6360</v>
      </c>
      <c r="B283">
        <v>2.3</v>
      </c>
      <c r="C283">
        <v>21</v>
      </c>
      <c r="D283">
        <v>7</v>
      </c>
    </row>
    <row r="284" spans="1:4">
      <c r="A284" s="93" t="s">
        <v>6361</v>
      </c>
      <c r="B284">
        <v>2.2</v>
      </c>
      <c r="C284">
        <v>21</v>
      </c>
      <c r="D284">
        <v>8</v>
      </c>
    </row>
    <row r="285" spans="1:4">
      <c r="A285" s="93" t="s">
        <v>6362</v>
      </c>
      <c r="B285">
        <v>2.1</v>
      </c>
      <c r="C285">
        <v>21</v>
      </c>
      <c r="D285">
        <v>8</v>
      </c>
    </row>
    <row r="286" spans="1:4">
      <c r="A286" s="93" t="s">
        <v>6363</v>
      </c>
      <c r="B286">
        <v>2</v>
      </c>
      <c r="C286">
        <v>21</v>
      </c>
      <c r="D286">
        <v>8</v>
      </c>
    </row>
    <row r="287" spans="1:4">
      <c r="A287" s="93" t="s">
        <v>6364</v>
      </c>
      <c r="B287">
        <v>1.9</v>
      </c>
      <c r="C287">
        <v>21</v>
      </c>
      <c r="D287">
        <v>8</v>
      </c>
    </row>
    <row r="288" spans="1:4">
      <c r="A288" s="93" t="s">
        <v>6365</v>
      </c>
      <c r="B288">
        <v>1.8</v>
      </c>
      <c r="C288">
        <v>21</v>
      </c>
      <c r="D288">
        <v>9</v>
      </c>
    </row>
    <row r="289" spans="1:4">
      <c r="A289" s="93" t="s">
        <v>6366</v>
      </c>
      <c r="B289">
        <v>1.7</v>
      </c>
      <c r="C289">
        <v>21</v>
      </c>
      <c r="D289">
        <v>9</v>
      </c>
    </row>
    <row r="290" spans="1:4">
      <c r="A290" s="93" t="s">
        <v>6367</v>
      </c>
      <c r="B290">
        <v>1.6</v>
      </c>
      <c r="C290">
        <v>21</v>
      </c>
      <c r="D290">
        <v>9</v>
      </c>
    </row>
    <row r="291" spans="1:4">
      <c r="A291" s="93" t="s">
        <v>6368</v>
      </c>
      <c r="B291">
        <v>1.5</v>
      </c>
      <c r="C291">
        <v>21</v>
      </c>
      <c r="D291">
        <v>9</v>
      </c>
    </row>
    <row r="292" spans="1:4">
      <c r="A292" s="93" t="s">
        <v>6369</v>
      </c>
      <c r="B292">
        <v>4.3</v>
      </c>
      <c r="C292">
        <v>22</v>
      </c>
      <c r="D292">
        <v>3</v>
      </c>
    </row>
    <row r="293" spans="1:4">
      <c r="A293" s="93" t="s">
        <v>6370</v>
      </c>
      <c r="B293">
        <v>4.2</v>
      </c>
      <c r="C293">
        <v>22</v>
      </c>
      <c r="D293">
        <v>3</v>
      </c>
    </row>
    <row r="294" spans="1:4">
      <c r="A294" s="93" t="s">
        <v>6371</v>
      </c>
      <c r="B294">
        <v>4.1</v>
      </c>
      <c r="C294">
        <v>22</v>
      </c>
      <c r="D294">
        <v>3</v>
      </c>
    </row>
    <row r="295" spans="1:4">
      <c r="A295" s="93" t="s">
        <v>6372</v>
      </c>
      <c r="B295">
        <v>4</v>
      </c>
      <c r="C295">
        <v>22</v>
      </c>
      <c r="D295">
        <v>3</v>
      </c>
    </row>
    <row r="296" spans="1:4">
      <c r="A296" s="93" t="s">
        <v>6373</v>
      </c>
      <c r="B296">
        <v>3.9</v>
      </c>
      <c r="C296">
        <v>22</v>
      </c>
      <c r="D296">
        <v>3</v>
      </c>
    </row>
    <row r="297" spans="1:4">
      <c r="A297" s="93" t="s">
        <v>6374</v>
      </c>
      <c r="B297">
        <v>3.8</v>
      </c>
      <c r="C297">
        <v>22</v>
      </c>
      <c r="D297">
        <v>3</v>
      </c>
    </row>
    <row r="298" spans="1:4">
      <c r="A298" s="93" t="s">
        <v>6375</v>
      </c>
      <c r="B298">
        <v>3.7</v>
      </c>
      <c r="C298">
        <v>22</v>
      </c>
      <c r="D298">
        <v>3</v>
      </c>
    </row>
    <row r="299" spans="1:4">
      <c r="A299" s="93" t="s">
        <v>6376</v>
      </c>
      <c r="B299">
        <v>3.6</v>
      </c>
      <c r="C299">
        <v>22</v>
      </c>
      <c r="D299">
        <v>3</v>
      </c>
    </row>
    <row r="300" spans="1:4">
      <c r="A300" s="93" t="s">
        <v>6377</v>
      </c>
      <c r="B300">
        <v>3.5</v>
      </c>
      <c r="C300">
        <v>22</v>
      </c>
      <c r="D300">
        <v>4</v>
      </c>
    </row>
    <row r="301" spans="1:4">
      <c r="A301" s="93" t="s">
        <v>6378</v>
      </c>
      <c r="B301">
        <v>3.4</v>
      </c>
      <c r="C301">
        <v>22</v>
      </c>
      <c r="D301">
        <v>4</v>
      </c>
    </row>
    <row r="302" spans="1:4">
      <c r="A302" s="93" t="s">
        <v>6379</v>
      </c>
      <c r="B302">
        <v>3.3</v>
      </c>
      <c r="C302">
        <v>22</v>
      </c>
      <c r="D302">
        <v>4</v>
      </c>
    </row>
    <row r="303" spans="1:4">
      <c r="A303" s="93" t="s">
        <v>6380</v>
      </c>
      <c r="B303">
        <v>3.2</v>
      </c>
      <c r="C303">
        <v>22</v>
      </c>
      <c r="D303">
        <v>5</v>
      </c>
    </row>
    <row r="304" spans="1:4">
      <c r="A304" s="93" t="s">
        <v>6381</v>
      </c>
      <c r="B304">
        <v>3.1</v>
      </c>
      <c r="C304">
        <v>22</v>
      </c>
      <c r="D304">
        <v>5</v>
      </c>
    </row>
    <row r="305" spans="1:4">
      <c r="A305" s="93" t="s">
        <v>6382</v>
      </c>
      <c r="B305">
        <v>3</v>
      </c>
      <c r="C305">
        <v>22</v>
      </c>
      <c r="D305">
        <v>5</v>
      </c>
    </row>
    <row r="306" spans="1:4">
      <c r="A306" s="93" t="s">
        <v>6383</v>
      </c>
      <c r="B306">
        <v>2.9</v>
      </c>
      <c r="C306">
        <v>22</v>
      </c>
      <c r="D306">
        <v>5</v>
      </c>
    </row>
    <row r="307" spans="1:4">
      <c r="A307" s="93" t="s">
        <v>6384</v>
      </c>
      <c r="B307">
        <v>2.8</v>
      </c>
      <c r="C307">
        <v>22</v>
      </c>
      <c r="D307">
        <v>6</v>
      </c>
    </row>
    <row r="308" spans="1:4">
      <c r="A308" s="93" t="s">
        <v>6385</v>
      </c>
      <c r="B308">
        <v>2.7</v>
      </c>
      <c r="C308">
        <v>22</v>
      </c>
      <c r="D308">
        <v>6</v>
      </c>
    </row>
    <row r="309" spans="1:4">
      <c r="A309" s="93" t="s">
        <v>6386</v>
      </c>
      <c r="B309">
        <v>2.6</v>
      </c>
      <c r="C309">
        <v>22</v>
      </c>
      <c r="D309">
        <v>6</v>
      </c>
    </row>
    <row r="310" spans="1:4">
      <c r="A310" s="93" t="s">
        <v>6387</v>
      </c>
      <c r="B310">
        <v>2.5</v>
      </c>
      <c r="C310">
        <v>22</v>
      </c>
      <c r="D310">
        <v>6</v>
      </c>
    </row>
    <row r="311" spans="1:4">
      <c r="A311" s="93" t="s">
        <v>6388</v>
      </c>
      <c r="B311">
        <v>2.4</v>
      </c>
      <c r="C311">
        <v>22</v>
      </c>
      <c r="D311">
        <v>7</v>
      </c>
    </row>
    <row r="312" spans="1:4">
      <c r="A312" s="93" t="s">
        <v>6389</v>
      </c>
      <c r="B312">
        <v>2.3</v>
      </c>
      <c r="C312">
        <v>22</v>
      </c>
      <c r="D312">
        <v>7</v>
      </c>
    </row>
    <row r="313" spans="1:4">
      <c r="A313" s="93" t="s">
        <v>6390</v>
      </c>
      <c r="B313">
        <v>2.2</v>
      </c>
      <c r="C313">
        <v>22</v>
      </c>
      <c r="D313">
        <v>7</v>
      </c>
    </row>
    <row r="314" spans="1:4">
      <c r="A314" s="93" t="s">
        <v>6391</v>
      </c>
      <c r="B314">
        <v>2.1</v>
      </c>
      <c r="C314">
        <v>22</v>
      </c>
      <c r="D314">
        <v>7</v>
      </c>
    </row>
    <row r="315" spans="1:4">
      <c r="A315" s="93" t="s">
        <v>6392</v>
      </c>
      <c r="B315">
        <v>2</v>
      </c>
      <c r="C315">
        <v>22</v>
      </c>
      <c r="D315">
        <v>8</v>
      </c>
    </row>
    <row r="316" spans="1:4">
      <c r="A316" s="93" t="s">
        <v>6393</v>
      </c>
      <c r="B316">
        <v>1.9</v>
      </c>
      <c r="C316">
        <v>22</v>
      </c>
      <c r="D316">
        <v>8</v>
      </c>
    </row>
    <row r="317" spans="1:4">
      <c r="A317" s="93" t="s">
        <v>6394</v>
      </c>
      <c r="B317">
        <v>1.8</v>
      </c>
      <c r="C317">
        <v>22</v>
      </c>
      <c r="D317">
        <v>8</v>
      </c>
    </row>
    <row r="318" spans="1:4">
      <c r="A318" s="93" t="s">
        <v>6395</v>
      </c>
      <c r="B318">
        <v>1.7</v>
      </c>
      <c r="C318">
        <v>22</v>
      </c>
      <c r="D318">
        <v>8</v>
      </c>
    </row>
    <row r="319" spans="1:4">
      <c r="A319" s="93" t="s">
        <v>6396</v>
      </c>
      <c r="B319">
        <v>1.6</v>
      </c>
      <c r="C319">
        <v>22</v>
      </c>
      <c r="D319">
        <v>9</v>
      </c>
    </row>
    <row r="320" spans="1:4">
      <c r="A320" s="93" t="s">
        <v>6397</v>
      </c>
      <c r="B320">
        <v>1.5</v>
      </c>
      <c r="C320">
        <v>22</v>
      </c>
      <c r="D320">
        <v>9</v>
      </c>
    </row>
    <row r="321" spans="1:4">
      <c r="A321" s="93" t="s">
        <v>6398</v>
      </c>
      <c r="B321">
        <v>4.3</v>
      </c>
      <c r="C321">
        <v>23</v>
      </c>
      <c r="D321">
        <v>2</v>
      </c>
    </row>
    <row r="322" spans="1:4">
      <c r="A322" s="93" t="s">
        <v>6399</v>
      </c>
      <c r="B322">
        <v>4.2</v>
      </c>
      <c r="C322">
        <v>23</v>
      </c>
      <c r="D322">
        <v>3</v>
      </c>
    </row>
    <row r="323" spans="1:4">
      <c r="A323" s="93" t="s">
        <v>6400</v>
      </c>
      <c r="B323">
        <v>4.1</v>
      </c>
      <c r="C323">
        <v>23</v>
      </c>
      <c r="D323">
        <v>3</v>
      </c>
    </row>
    <row r="324" spans="1:4">
      <c r="A324" s="93" t="s">
        <v>6401</v>
      </c>
      <c r="B324">
        <v>4</v>
      </c>
      <c r="C324">
        <v>23</v>
      </c>
      <c r="D324">
        <v>3</v>
      </c>
    </row>
    <row r="325" spans="1:4">
      <c r="A325" s="93" t="s">
        <v>6402</v>
      </c>
      <c r="B325">
        <v>3.9</v>
      </c>
      <c r="C325">
        <v>23</v>
      </c>
      <c r="D325">
        <v>3</v>
      </c>
    </row>
    <row r="326" spans="1:4">
      <c r="A326" s="93" t="s">
        <v>6403</v>
      </c>
      <c r="B326">
        <v>3.8</v>
      </c>
      <c r="C326">
        <v>23</v>
      </c>
      <c r="D326">
        <v>3</v>
      </c>
    </row>
    <row r="327" spans="1:4">
      <c r="A327" s="93" t="s">
        <v>6404</v>
      </c>
      <c r="B327">
        <v>3.7</v>
      </c>
      <c r="C327">
        <v>23</v>
      </c>
      <c r="D327">
        <v>3</v>
      </c>
    </row>
    <row r="328" spans="1:4">
      <c r="A328" s="93" t="s">
        <v>6405</v>
      </c>
      <c r="B328">
        <v>3.6</v>
      </c>
      <c r="C328">
        <v>23</v>
      </c>
      <c r="D328">
        <v>3</v>
      </c>
    </row>
    <row r="329" spans="1:4">
      <c r="A329" s="93" t="s">
        <v>6406</v>
      </c>
      <c r="B329">
        <v>3.5</v>
      </c>
      <c r="C329">
        <v>23</v>
      </c>
      <c r="D329">
        <v>3</v>
      </c>
    </row>
    <row r="330" spans="1:4">
      <c r="A330" s="93" t="s">
        <v>6407</v>
      </c>
      <c r="B330">
        <v>3.4</v>
      </c>
      <c r="C330">
        <v>23</v>
      </c>
      <c r="D330">
        <v>4</v>
      </c>
    </row>
    <row r="331" spans="1:4">
      <c r="A331" s="93" t="s">
        <v>6408</v>
      </c>
      <c r="B331">
        <v>3.3</v>
      </c>
      <c r="C331">
        <v>23</v>
      </c>
      <c r="D331">
        <v>4</v>
      </c>
    </row>
    <row r="332" spans="1:4">
      <c r="A332" s="93" t="s">
        <v>6409</v>
      </c>
      <c r="B332">
        <v>3.2</v>
      </c>
      <c r="C332">
        <v>23</v>
      </c>
      <c r="D332">
        <v>4</v>
      </c>
    </row>
    <row r="333" spans="1:4">
      <c r="A333" s="93" t="s">
        <v>6410</v>
      </c>
      <c r="B333">
        <v>3.1</v>
      </c>
      <c r="C333">
        <v>23</v>
      </c>
      <c r="D333">
        <v>5</v>
      </c>
    </row>
    <row r="334" spans="1:4">
      <c r="A334" s="93" t="s">
        <v>6411</v>
      </c>
      <c r="B334">
        <v>3</v>
      </c>
      <c r="C334">
        <v>23</v>
      </c>
      <c r="D334">
        <v>5</v>
      </c>
    </row>
    <row r="335" spans="1:4">
      <c r="A335" s="93" t="s">
        <v>6412</v>
      </c>
      <c r="B335">
        <v>2.9</v>
      </c>
      <c r="C335">
        <v>23</v>
      </c>
      <c r="D335">
        <v>5</v>
      </c>
    </row>
    <row r="336" spans="1:4">
      <c r="A336" s="93" t="s">
        <v>6413</v>
      </c>
      <c r="B336">
        <v>2.8</v>
      </c>
      <c r="C336">
        <v>23</v>
      </c>
      <c r="D336">
        <v>5</v>
      </c>
    </row>
    <row r="337" spans="1:4">
      <c r="A337" s="93" t="s">
        <v>6414</v>
      </c>
      <c r="B337">
        <v>2.7</v>
      </c>
      <c r="C337">
        <v>23</v>
      </c>
      <c r="D337">
        <v>6</v>
      </c>
    </row>
    <row r="338" spans="1:4">
      <c r="A338" s="93" t="s">
        <v>6415</v>
      </c>
      <c r="B338">
        <v>2.6</v>
      </c>
      <c r="C338">
        <v>23</v>
      </c>
      <c r="D338">
        <v>6</v>
      </c>
    </row>
    <row r="339" spans="1:4">
      <c r="A339" s="93" t="s">
        <v>6416</v>
      </c>
      <c r="B339">
        <v>2.5</v>
      </c>
      <c r="C339">
        <v>23</v>
      </c>
      <c r="D339">
        <v>6</v>
      </c>
    </row>
    <row r="340" spans="1:4">
      <c r="A340" s="93" t="s">
        <v>6417</v>
      </c>
      <c r="B340">
        <v>2.4</v>
      </c>
      <c r="C340">
        <v>23</v>
      </c>
      <c r="D340">
        <v>6</v>
      </c>
    </row>
    <row r="341" spans="1:4">
      <c r="A341" s="93" t="s">
        <v>6418</v>
      </c>
      <c r="B341">
        <v>2.3</v>
      </c>
      <c r="C341">
        <v>23</v>
      </c>
      <c r="D341">
        <v>7</v>
      </c>
    </row>
    <row r="342" spans="1:4">
      <c r="A342" s="93" t="s">
        <v>6419</v>
      </c>
      <c r="B342">
        <v>2.2</v>
      </c>
      <c r="C342">
        <v>23</v>
      </c>
      <c r="D342">
        <v>7</v>
      </c>
    </row>
    <row r="343" spans="1:4">
      <c r="A343" s="93" t="s">
        <v>6420</v>
      </c>
      <c r="B343">
        <v>2.1</v>
      </c>
      <c r="C343">
        <v>23</v>
      </c>
      <c r="D343">
        <v>7</v>
      </c>
    </row>
    <row r="344" spans="1:4">
      <c r="A344" s="93" t="s">
        <v>6421</v>
      </c>
      <c r="B344">
        <v>2</v>
      </c>
      <c r="C344">
        <v>23</v>
      </c>
      <c r="D344">
        <v>7</v>
      </c>
    </row>
    <row r="345" spans="1:4">
      <c r="A345" s="93" t="s">
        <v>6422</v>
      </c>
      <c r="B345">
        <v>1.9</v>
      </c>
      <c r="C345">
        <v>23</v>
      </c>
      <c r="D345">
        <v>8</v>
      </c>
    </row>
    <row r="346" spans="1:4">
      <c r="A346" s="93" t="s">
        <v>6423</v>
      </c>
      <c r="B346">
        <v>1.8</v>
      </c>
      <c r="C346">
        <v>23</v>
      </c>
      <c r="D346">
        <v>8</v>
      </c>
    </row>
    <row r="347" spans="1:4">
      <c r="A347" s="93" t="s">
        <v>6424</v>
      </c>
      <c r="B347">
        <v>1.7</v>
      </c>
      <c r="C347">
        <v>23</v>
      </c>
      <c r="D347">
        <v>8</v>
      </c>
    </row>
    <row r="348" spans="1:4">
      <c r="A348" s="93" t="s">
        <v>6425</v>
      </c>
      <c r="B348">
        <v>1.6</v>
      </c>
      <c r="C348">
        <v>23</v>
      </c>
      <c r="D348">
        <v>8</v>
      </c>
    </row>
    <row r="349" spans="1:4">
      <c r="A349" s="93" t="s">
        <v>6426</v>
      </c>
      <c r="B349">
        <v>1.5</v>
      </c>
      <c r="C349">
        <v>23</v>
      </c>
      <c r="D349">
        <v>9</v>
      </c>
    </row>
    <row r="350" spans="1:4">
      <c r="A350" s="93" t="s">
        <v>6427</v>
      </c>
      <c r="B350">
        <v>4.3</v>
      </c>
      <c r="C350">
        <v>24</v>
      </c>
      <c r="D350">
        <v>2</v>
      </c>
    </row>
    <row r="351" spans="1:4">
      <c r="A351" s="93" t="s">
        <v>6428</v>
      </c>
      <c r="B351">
        <v>4.2</v>
      </c>
      <c r="C351">
        <v>24</v>
      </c>
      <c r="D351">
        <v>2</v>
      </c>
    </row>
    <row r="352" spans="1:4">
      <c r="A352" s="93" t="s">
        <v>6429</v>
      </c>
      <c r="B352">
        <v>4.1</v>
      </c>
      <c r="C352">
        <v>24</v>
      </c>
      <c r="D352">
        <v>2</v>
      </c>
    </row>
    <row r="353" spans="1:4">
      <c r="A353" s="93" t="s">
        <v>6430</v>
      </c>
      <c r="B353">
        <v>4</v>
      </c>
      <c r="C353">
        <v>24</v>
      </c>
      <c r="D353">
        <v>3</v>
      </c>
    </row>
    <row r="354" spans="1:4">
      <c r="A354" s="93" t="s">
        <v>6431</v>
      </c>
      <c r="B354">
        <v>3.9</v>
      </c>
      <c r="C354">
        <v>24</v>
      </c>
      <c r="D354">
        <v>3</v>
      </c>
    </row>
    <row r="355" spans="1:4">
      <c r="A355" s="93" t="s">
        <v>6432</v>
      </c>
      <c r="B355">
        <v>3.8</v>
      </c>
      <c r="C355">
        <v>24</v>
      </c>
      <c r="D355">
        <v>3</v>
      </c>
    </row>
    <row r="356" spans="1:4">
      <c r="A356" s="93" t="s">
        <v>6433</v>
      </c>
      <c r="B356">
        <v>3.7</v>
      </c>
      <c r="C356">
        <v>24</v>
      </c>
      <c r="D356">
        <v>3</v>
      </c>
    </row>
    <row r="357" spans="1:4">
      <c r="A357" s="93" t="s">
        <v>6434</v>
      </c>
      <c r="B357">
        <v>3.6</v>
      </c>
      <c r="C357">
        <v>24</v>
      </c>
      <c r="D357">
        <v>3</v>
      </c>
    </row>
    <row r="358" spans="1:4">
      <c r="A358" s="93" t="s">
        <v>6435</v>
      </c>
      <c r="B358">
        <v>3.5</v>
      </c>
      <c r="C358">
        <v>24</v>
      </c>
      <c r="D358">
        <v>3</v>
      </c>
    </row>
    <row r="359" spans="1:4">
      <c r="A359" s="93" t="s">
        <v>6436</v>
      </c>
      <c r="B359">
        <v>3.4</v>
      </c>
      <c r="C359">
        <v>24</v>
      </c>
      <c r="D359">
        <v>3</v>
      </c>
    </row>
    <row r="360" spans="1:4">
      <c r="A360" s="93" t="s">
        <v>6437</v>
      </c>
      <c r="B360">
        <v>3.3</v>
      </c>
      <c r="C360">
        <v>24</v>
      </c>
      <c r="D360">
        <v>4</v>
      </c>
    </row>
    <row r="361" spans="1:4">
      <c r="A361" s="93" t="s">
        <v>6438</v>
      </c>
      <c r="B361">
        <v>3.2</v>
      </c>
      <c r="C361">
        <v>24</v>
      </c>
      <c r="D361">
        <v>4</v>
      </c>
    </row>
    <row r="362" spans="1:4">
      <c r="A362" s="93" t="s">
        <v>6439</v>
      </c>
      <c r="B362">
        <v>3.1</v>
      </c>
      <c r="C362">
        <v>24</v>
      </c>
      <c r="D362">
        <v>4</v>
      </c>
    </row>
    <row r="363" spans="1:4">
      <c r="A363" s="93" t="s">
        <v>6440</v>
      </c>
      <c r="B363">
        <v>3</v>
      </c>
      <c r="C363">
        <v>24</v>
      </c>
      <c r="D363">
        <v>5</v>
      </c>
    </row>
    <row r="364" spans="1:4">
      <c r="A364" s="93" t="s">
        <v>6441</v>
      </c>
      <c r="B364">
        <v>2.9</v>
      </c>
      <c r="C364">
        <v>24</v>
      </c>
      <c r="D364">
        <v>5</v>
      </c>
    </row>
    <row r="365" spans="1:4">
      <c r="A365" s="93" t="s">
        <v>6442</v>
      </c>
      <c r="B365">
        <v>2.8</v>
      </c>
      <c r="C365">
        <v>24</v>
      </c>
      <c r="D365">
        <v>5</v>
      </c>
    </row>
    <row r="366" spans="1:4">
      <c r="A366" s="93" t="s">
        <v>6443</v>
      </c>
      <c r="B366">
        <v>2.7</v>
      </c>
      <c r="C366">
        <v>24</v>
      </c>
      <c r="D366">
        <v>5</v>
      </c>
    </row>
    <row r="367" spans="1:4">
      <c r="A367" s="93" t="s">
        <v>6444</v>
      </c>
      <c r="B367">
        <v>2.6</v>
      </c>
      <c r="C367">
        <v>24</v>
      </c>
      <c r="D367">
        <v>6</v>
      </c>
    </row>
    <row r="368" spans="1:4">
      <c r="A368" s="93" t="s">
        <v>6445</v>
      </c>
      <c r="B368">
        <v>2.5</v>
      </c>
      <c r="C368">
        <v>24</v>
      </c>
      <c r="D368">
        <v>6</v>
      </c>
    </row>
    <row r="369" spans="1:4">
      <c r="A369" s="93" t="s">
        <v>6446</v>
      </c>
      <c r="B369">
        <v>2.4</v>
      </c>
      <c r="C369">
        <v>24</v>
      </c>
      <c r="D369">
        <v>6</v>
      </c>
    </row>
    <row r="370" spans="1:4">
      <c r="A370" s="93" t="s">
        <v>6447</v>
      </c>
      <c r="B370">
        <v>2.3</v>
      </c>
      <c r="C370">
        <v>24</v>
      </c>
      <c r="D370">
        <v>6</v>
      </c>
    </row>
    <row r="371" spans="1:4">
      <c r="A371" s="93" t="s">
        <v>6448</v>
      </c>
      <c r="B371">
        <v>2.2</v>
      </c>
      <c r="C371">
        <v>24</v>
      </c>
      <c r="D371">
        <v>7</v>
      </c>
    </row>
    <row r="372" spans="1:4">
      <c r="A372" s="93" t="s">
        <v>6449</v>
      </c>
      <c r="B372">
        <v>2.1</v>
      </c>
      <c r="C372">
        <v>24</v>
      </c>
      <c r="D372">
        <v>7</v>
      </c>
    </row>
    <row r="373" spans="1:4">
      <c r="A373" s="93" t="s">
        <v>6450</v>
      </c>
      <c r="B373">
        <v>2</v>
      </c>
      <c r="C373">
        <v>24</v>
      </c>
      <c r="D373">
        <v>7</v>
      </c>
    </row>
    <row r="374" spans="1:4">
      <c r="A374" s="93" t="s">
        <v>6451</v>
      </c>
      <c r="B374">
        <v>1.9</v>
      </c>
      <c r="C374">
        <v>24</v>
      </c>
      <c r="D374">
        <v>7</v>
      </c>
    </row>
    <row r="375" spans="1:4">
      <c r="A375" s="93" t="s">
        <v>6452</v>
      </c>
      <c r="B375">
        <v>1.8</v>
      </c>
      <c r="C375">
        <v>24</v>
      </c>
      <c r="D375">
        <v>8</v>
      </c>
    </row>
    <row r="376" spans="1:4">
      <c r="A376" s="93" t="s">
        <v>6453</v>
      </c>
      <c r="B376">
        <v>1.7</v>
      </c>
      <c r="C376">
        <v>24</v>
      </c>
      <c r="D376">
        <v>8</v>
      </c>
    </row>
    <row r="377" spans="1:4">
      <c r="A377" s="93" t="s">
        <v>6454</v>
      </c>
      <c r="B377">
        <v>1.6</v>
      </c>
      <c r="C377">
        <v>24</v>
      </c>
      <c r="D377">
        <v>8</v>
      </c>
    </row>
    <row r="378" spans="1:4">
      <c r="A378" s="93" t="s">
        <v>6455</v>
      </c>
      <c r="B378">
        <v>1.5</v>
      </c>
      <c r="C378">
        <v>24</v>
      </c>
      <c r="D378">
        <v>8</v>
      </c>
    </row>
    <row r="379" spans="1:4">
      <c r="A379" s="93" t="s">
        <v>6456</v>
      </c>
      <c r="B379">
        <v>4.3</v>
      </c>
      <c r="C379">
        <v>25</v>
      </c>
      <c r="D379">
        <v>2</v>
      </c>
    </row>
    <row r="380" spans="1:4">
      <c r="A380" s="93" t="s">
        <v>6457</v>
      </c>
      <c r="B380">
        <v>4.2</v>
      </c>
      <c r="C380">
        <v>25</v>
      </c>
      <c r="D380">
        <v>2</v>
      </c>
    </row>
    <row r="381" spans="1:4">
      <c r="A381" s="93" t="s">
        <v>6458</v>
      </c>
      <c r="B381">
        <v>4.1</v>
      </c>
      <c r="C381">
        <v>25</v>
      </c>
      <c r="D381">
        <v>2</v>
      </c>
    </row>
    <row r="382" spans="1:4">
      <c r="A382" s="93" t="s">
        <v>6459</v>
      </c>
      <c r="B382">
        <v>4</v>
      </c>
      <c r="C382">
        <v>25</v>
      </c>
      <c r="D382">
        <v>2</v>
      </c>
    </row>
    <row r="383" spans="1:4">
      <c r="A383" s="93" t="s">
        <v>6460</v>
      </c>
      <c r="B383">
        <v>3.9</v>
      </c>
      <c r="C383">
        <v>25</v>
      </c>
      <c r="D383">
        <v>2</v>
      </c>
    </row>
    <row r="384" spans="1:4">
      <c r="A384" s="93" t="s">
        <v>6461</v>
      </c>
      <c r="B384">
        <v>3.8</v>
      </c>
      <c r="C384">
        <v>25</v>
      </c>
      <c r="D384">
        <v>3</v>
      </c>
    </row>
    <row r="385" spans="1:4">
      <c r="A385" s="93" t="s">
        <v>6462</v>
      </c>
      <c r="B385">
        <v>3.7</v>
      </c>
      <c r="C385">
        <v>25</v>
      </c>
      <c r="D385">
        <v>3</v>
      </c>
    </row>
    <row r="386" spans="1:4">
      <c r="A386" s="93" t="s">
        <v>6463</v>
      </c>
      <c r="B386">
        <v>3.6</v>
      </c>
      <c r="C386">
        <v>25</v>
      </c>
      <c r="D386">
        <v>3</v>
      </c>
    </row>
    <row r="387" spans="1:4">
      <c r="A387" s="93" t="s">
        <v>6464</v>
      </c>
      <c r="B387">
        <v>3.5</v>
      </c>
      <c r="C387">
        <v>25</v>
      </c>
      <c r="D387">
        <v>3</v>
      </c>
    </row>
    <row r="388" spans="1:4">
      <c r="A388" s="93" t="s">
        <v>6465</v>
      </c>
      <c r="B388">
        <v>3.4</v>
      </c>
      <c r="C388">
        <v>25</v>
      </c>
      <c r="D388">
        <v>3</v>
      </c>
    </row>
    <row r="389" spans="1:4">
      <c r="A389" s="93" t="s">
        <v>6466</v>
      </c>
      <c r="B389">
        <v>3.3</v>
      </c>
      <c r="C389">
        <v>25</v>
      </c>
      <c r="D389">
        <v>3</v>
      </c>
    </row>
    <row r="390" spans="1:4">
      <c r="A390" s="93" t="s">
        <v>6467</v>
      </c>
      <c r="B390">
        <v>3.2</v>
      </c>
      <c r="C390">
        <v>25</v>
      </c>
      <c r="D390">
        <v>4</v>
      </c>
    </row>
    <row r="391" spans="1:4">
      <c r="A391" s="93" t="s">
        <v>6468</v>
      </c>
      <c r="B391">
        <v>3.1</v>
      </c>
      <c r="C391">
        <v>25</v>
      </c>
      <c r="D391">
        <v>4</v>
      </c>
    </row>
    <row r="392" spans="1:4">
      <c r="A392" s="93" t="s">
        <v>6469</v>
      </c>
      <c r="B392">
        <v>3</v>
      </c>
      <c r="C392">
        <v>25</v>
      </c>
      <c r="D392">
        <v>5</v>
      </c>
    </row>
    <row r="393" spans="1:4">
      <c r="A393" s="93" t="s">
        <v>6470</v>
      </c>
      <c r="B393">
        <v>2.9</v>
      </c>
      <c r="C393">
        <v>25</v>
      </c>
      <c r="D393">
        <v>5</v>
      </c>
    </row>
    <row r="394" spans="1:4">
      <c r="A394" s="93" t="s">
        <v>6471</v>
      </c>
      <c r="B394">
        <v>2.8</v>
      </c>
      <c r="C394">
        <v>25</v>
      </c>
      <c r="D394">
        <v>5</v>
      </c>
    </row>
    <row r="395" spans="1:4">
      <c r="A395" s="93" t="s">
        <v>6472</v>
      </c>
      <c r="B395">
        <v>2.7</v>
      </c>
      <c r="C395">
        <v>25</v>
      </c>
      <c r="D395">
        <v>5</v>
      </c>
    </row>
    <row r="396" spans="1:4">
      <c r="A396" s="93" t="s">
        <v>6473</v>
      </c>
      <c r="B396">
        <v>2.6</v>
      </c>
      <c r="C396">
        <v>25</v>
      </c>
      <c r="D396">
        <v>5</v>
      </c>
    </row>
    <row r="397" spans="1:4">
      <c r="A397" s="93" t="s">
        <v>6474</v>
      </c>
      <c r="B397">
        <v>2.5</v>
      </c>
      <c r="C397">
        <v>25</v>
      </c>
      <c r="D397">
        <v>6</v>
      </c>
    </row>
    <row r="398" spans="1:4">
      <c r="A398" s="93" t="s">
        <v>6475</v>
      </c>
      <c r="B398">
        <v>2.4</v>
      </c>
      <c r="C398">
        <v>25</v>
      </c>
      <c r="D398">
        <v>6</v>
      </c>
    </row>
    <row r="399" spans="1:4">
      <c r="A399" s="93" t="s">
        <v>6476</v>
      </c>
      <c r="B399">
        <v>2.3</v>
      </c>
      <c r="C399">
        <v>25</v>
      </c>
      <c r="D399">
        <v>6</v>
      </c>
    </row>
    <row r="400" spans="1:4">
      <c r="A400" s="93" t="s">
        <v>6477</v>
      </c>
      <c r="B400">
        <v>2.2</v>
      </c>
      <c r="C400">
        <v>25</v>
      </c>
      <c r="D400">
        <v>6</v>
      </c>
    </row>
    <row r="401" spans="1:4">
      <c r="A401" s="93" t="s">
        <v>6478</v>
      </c>
      <c r="B401">
        <v>2.1</v>
      </c>
      <c r="C401">
        <v>25</v>
      </c>
      <c r="D401">
        <v>7</v>
      </c>
    </row>
    <row r="402" spans="1:4">
      <c r="A402" s="93" t="s">
        <v>6479</v>
      </c>
      <c r="B402">
        <v>2</v>
      </c>
      <c r="C402">
        <v>25</v>
      </c>
      <c r="D402">
        <v>7</v>
      </c>
    </row>
    <row r="403" spans="1:4">
      <c r="A403" s="93" t="s">
        <v>6480</v>
      </c>
      <c r="B403">
        <v>1.9</v>
      </c>
      <c r="C403">
        <v>25</v>
      </c>
      <c r="D403">
        <v>7</v>
      </c>
    </row>
    <row r="404" spans="1:4">
      <c r="A404" s="93" t="s">
        <v>6481</v>
      </c>
      <c r="B404">
        <v>1.8</v>
      </c>
      <c r="C404">
        <v>25</v>
      </c>
      <c r="D404">
        <v>7</v>
      </c>
    </row>
    <row r="405" spans="1:4">
      <c r="A405" s="93" t="s">
        <v>6482</v>
      </c>
      <c r="B405">
        <v>1.7</v>
      </c>
      <c r="C405">
        <v>25</v>
      </c>
      <c r="D405">
        <v>8</v>
      </c>
    </row>
    <row r="406" spans="1:4">
      <c r="A406" s="93" t="s">
        <v>6483</v>
      </c>
      <c r="B406">
        <v>1.6</v>
      </c>
      <c r="C406">
        <v>25</v>
      </c>
      <c r="D406">
        <v>8</v>
      </c>
    </row>
    <row r="407" spans="1:4">
      <c r="A407" s="93" t="s">
        <v>6484</v>
      </c>
      <c r="B407">
        <v>1.5</v>
      </c>
      <c r="C407">
        <v>25</v>
      </c>
      <c r="D407">
        <v>8</v>
      </c>
    </row>
    <row r="408" spans="1:4">
      <c r="A408" s="93" t="s">
        <v>6485</v>
      </c>
      <c r="B408">
        <v>4.3</v>
      </c>
      <c r="C408">
        <v>26</v>
      </c>
      <c r="D408">
        <v>2</v>
      </c>
    </row>
    <row r="409" spans="1:4">
      <c r="A409" s="93" t="s">
        <v>6486</v>
      </c>
      <c r="B409">
        <v>4.2</v>
      </c>
      <c r="C409">
        <v>26</v>
      </c>
      <c r="D409">
        <v>2</v>
      </c>
    </row>
    <row r="410" spans="1:4">
      <c r="A410" s="93" t="s">
        <v>6487</v>
      </c>
      <c r="B410">
        <v>4.1</v>
      </c>
      <c r="C410">
        <v>26</v>
      </c>
      <c r="D410">
        <v>2</v>
      </c>
    </row>
    <row r="411" spans="1:4">
      <c r="A411" s="93" t="s">
        <v>6488</v>
      </c>
      <c r="B411">
        <v>4</v>
      </c>
      <c r="C411">
        <v>26</v>
      </c>
      <c r="D411">
        <v>2</v>
      </c>
    </row>
    <row r="412" spans="1:4">
      <c r="A412" s="93" t="s">
        <v>6489</v>
      </c>
      <c r="B412">
        <v>3.9</v>
      </c>
      <c r="C412">
        <v>26</v>
      </c>
      <c r="D412">
        <v>2</v>
      </c>
    </row>
    <row r="413" spans="1:4">
      <c r="A413" s="93" t="s">
        <v>6490</v>
      </c>
      <c r="B413">
        <v>3.8</v>
      </c>
      <c r="C413">
        <v>26</v>
      </c>
      <c r="D413">
        <v>2</v>
      </c>
    </row>
    <row r="414" spans="1:4">
      <c r="A414" s="93" t="s">
        <v>6491</v>
      </c>
      <c r="B414">
        <v>3.7</v>
      </c>
      <c r="C414">
        <v>26</v>
      </c>
      <c r="D414">
        <v>2</v>
      </c>
    </row>
    <row r="415" spans="1:4">
      <c r="A415" s="93" t="s">
        <v>6492</v>
      </c>
      <c r="B415">
        <v>3.6</v>
      </c>
      <c r="C415">
        <v>26</v>
      </c>
      <c r="D415">
        <v>3</v>
      </c>
    </row>
    <row r="416" spans="1:4">
      <c r="A416" s="93" t="s">
        <v>6493</v>
      </c>
      <c r="B416">
        <v>3.5</v>
      </c>
      <c r="C416">
        <v>26</v>
      </c>
      <c r="D416">
        <v>3</v>
      </c>
    </row>
    <row r="417" spans="1:4">
      <c r="A417" s="93" t="s">
        <v>6494</v>
      </c>
      <c r="B417">
        <v>3.4</v>
      </c>
      <c r="C417">
        <v>26</v>
      </c>
      <c r="D417">
        <v>3</v>
      </c>
    </row>
    <row r="418" spans="1:4">
      <c r="A418" s="93" t="s">
        <v>6495</v>
      </c>
      <c r="B418">
        <v>3.3</v>
      </c>
      <c r="C418">
        <v>26</v>
      </c>
      <c r="D418">
        <v>3</v>
      </c>
    </row>
    <row r="419" spans="1:4">
      <c r="A419" s="93" t="s">
        <v>6496</v>
      </c>
      <c r="B419">
        <v>3.2</v>
      </c>
      <c r="C419">
        <v>26</v>
      </c>
      <c r="D419">
        <v>3</v>
      </c>
    </row>
    <row r="420" spans="1:4">
      <c r="A420" s="93" t="s">
        <v>6497</v>
      </c>
      <c r="B420">
        <v>3.1</v>
      </c>
      <c r="C420">
        <v>26</v>
      </c>
      <c r="D420">
        <v>4</v>
      </c>
    </row>
    <row r="421" spans="1:4">
      <c r="A421" s="93" t="s">
        <v>6498</v>
      </c>
      <c r="B421">
        <v>3</v>
      </c>
      <c r="C421">
        <v>26</v>
      </c>
      <c r="D421">
        <v>4</v>
      </c>
    </row>
    <row r="422" spans="1:4">
      <c r="A422" s="93" t="s">
        <v>6499</v>
      </c>
      <c r="B422">
        <v>2.9</v>
      </c>
      <c r="C422">
        <v>26</v>
      </c>
      <c r="D422">
        <v>5</v>
      </c>
    </row>
    <row r="423" spans="1:4">
      <c r="A423" s="93" t="s">
        <v>6500</v>
      </c>
      <c r="B423">
        <v>2.8</v>
      </c>
      <c r="C423">
        <v>26</v>
      </c>
      <c r="D423">
        <v>5</v>
      </c>
    </row>
    <row r="424" spans="1:4">
      <c r="A424" s="93" t="s">
        <v>6501</v>
      </c>
      <c r="B424">
        <v>2.7</v>
      </c>
      <c r="C424">
        <v>26</v>
      </c>
      <c r="D424">
        <v>5</v>
      </c>
    </row>
    <row r="425" spans="1:4">
      <c r="A425" s="93" t="s">
        <v>6502</v>
      </c>
      <c r="B425">
        <v>2.6</v>
      </c>
      <c r="C425">
        <v>26</v>
      </c>
      <c r="D425">
        <v>5</v>
      </c>
    </row>
    <row r="426" spans="1:4">
      <c r="A426" s="93" t="s">
        <v>6503</v>
      </c>
      <c r="B426">
        <v>2.5</v>
      </c>
      <c r="C426">
        <v>26</v>
      </c>
      <c r="D426">
        <v>5</v>
      </c>
    </row>
    <row r="427" spans="1:4">
      <c r="A427" s="93" t="s">
        <v>6504</v>
      </c>
      <c r="B427">
        <v>2.4</v>
      </c>
      <c r="C427">
        <v>26</v>
      </c>
      <c r="D427">
        <v>6</v>
      </c>
    </row>
    <row r="428" spans="1:4">
      <c r="A428" s="93" t="s">
        <v>6505</v>
      </c>
      <c r="B428">
        <v>2.3</v>
      </c>
      <c r="C428">
        <v>26</v>
      </c>
      <c r="D428">
        <v>6</v>
      </c>
    </row>
    <row r="429" spans="1:4">
      <c r="A429" s="93" t="s">
        <v>6506</v>
      </c>
      <c r="B429">
        <v>2.2</v>
      </c>
      <c r="C429">
        <v>26</v>
      </c>
      <c r="D429">
        <v>6</v>
      </c>
    </row>
    <row r="430" spans="1:4">
      <c r="A430" s="93" t="s">
        <v>6507</v>
      </c>
      <c r="B430">
        <v>2.1</v>
      </c>
      <c r="C430">
        <v>26</v>
      </c>
      <c r="D430">
        <v>6</v>
      </c>
    </row>
    <row r="431" spans="1:4">
      <c r="A431" s="93" t="s">
        <v>6508</v>
      </c>
      <c r="B431">
        <v>2</v>
      </c>
      <c r="C431">
        <v>26</v>
      </c>
      <c r="D431">
        <v>6</v>
      </c>
    </row>
    <row r="432" spans="1:4">
      <c r="A432" s="93" t="s">
        <v>6509</v>
      </c>
      <c r="B432">
        <v>1.9</v>
      </c>
      <c r="C432">
        <v>26</v>
      </c>
      <c r="D432">
        <v>7</v>
      </c>
    </row>
    <row r="433" spans="1:4">
      <c r="A433" s="93" t="s">
        <v>6510</v>
      </c>
      <c r="B433">
        <v>1.8</v>
      </c>
      <c r="C433">
        <v>26</v>
      </c>
      <c r="D433">
        <v>7</v>
      </c>
    </row>
    <row r="434" spans="1:4">
      <c r="A434" s="93" t="s">
        <v>6511</v>
      </c>
      <c r="B434">
        <v>1.7</v>
      </c>
      <c r="C434">
        <v>26</v>
      </c>
      <c r="D434">
        <v>7</v>
      </c>
    </row>
    <row r="435" spans="1:4">
      <c r="A435" s="93" t="s">
        <v>6512</v>
      </c>
      <c r="B435">
        <v>1.6</v>
      </c>
      <c r="C435">
        <v>26</v>
      </c>
      <c r="D435">
        <v>8</v>
      </c>
    </row>
    <row r="436" spans="1:4">
      <c r="A436" s="93" t="s">
        <v>6513</v>
      </c>
      <c r="B436">
        <v>1.5</v>
      </c>
      <c r="C436">
        <v>26</v>
      </c>
      <c r="D436">
        <v>8</v>
      </c>
    </row>
    <row r="437" spans="1:4">
      <c r="A437" s="93" t="s">
        <v>6514</v>
      </c>
      <c r="B437">
        <v>4.3</v>
      </c>
      <c r="C437">
        <v>27</v>
      </c>
      <c r="D437">
        <v>1</v>
      </c>
    </row>
    <row r="438" spans="1:4">
      <c r="A438" s="93" t="s">
        <v>6515</v>
      </c>
      <c r="B438">
        <v>4.2</v>
      </c>
      <c r="C438">
        <v>27</v>
      </c>
      <c r="D438">
        <v>1</v>
      </c>
    </row>
    <row r="439" spans="1:4">
      <c r="A439" s="93" t="s">
        <v>6516</v>
      </c>
      <c r="B439">
        <v>4.1</v>
      </c>
      <c r="C439">
        <v>27</v>
      </c>
      <c r="D439">
        <v>2</v>
      </c>
    </row>
    <row r="440" spans="1:4">
      <c r="A440" s="93" t="s">
        <v>6517</v>
      </c>
      <c r="B440">
        <v>4</v>
      </c>
      <c r="C440">
        <v>27</v>
      </c>
      <c r="D440">
        <v>2</v>
      </c>
    </row>
    <row r="441" spans="1:4">
      <c r="A441" s="93" t="s">
        <v>6518</v>
      </c>
      <c r="B441">
        <v>3.9</v>
      </c>
      <c r="C441">
        <v>27</v>
      </c>
      <c r="D441">
        <v>2</v>
      </c>
    </row>
    <row r="442" spans="1:4">
      <c r="A442" s="93" t="s">
        <v>6519</v>
      </c>
      <c r="B442">
        <v>3.8</v>
      </c>
      <c r="C442">
        <v>27</v>
      </c>
      <c r="D442">
        <v>2</v>
      </c>
    </row>
    <row r="443" spans="1:4">
      <c r="A443" s="93" t="s">
        <v>6520</v>
      </c>
      <c r="B443">
        <v>3.7</v>
      </c>
      <c r="C443">
        <v>27</v>
      </c>
      <c r="D443">
        <v>2</v>
      </c>
    </row>
    <row r="444" spans="1:4">
      <c r="A444" s="93" t="s">
        <v>6521</v>
      </c>
      <c r="B444">
        <v>3.6</v>
      </c>
      <c r="C444">
        <v>27</v>
      </c>
      <c r="D444">
        <v>2</v>
      </c>
    </row>
    <row r="445" spans="1:4">
      <c r="A445" s="93" t="s">
        <v>6522</v>
      </c>
      <c r="B445">
        <v>3.5</v>
      </c>
      <c r="C445">
        <v>27</v>
      </c>
      <c r="D445">
        <v>2</v>
      </c>
    </row>
    <row r="446" spans="1:4">
      <c r="A446" s="93" t="s">
        <v>6523</v>
      </c>
      <c r="B446">
        <v>3.4</v>
      </c>
      <c r="C446">
        <v>27</v>
      </c>
      <c r="D446">
        <v>3</v>
      </c>
    </row>
    <row r="447" spans="1:4">
      <c r="A447" s="93" t="s">
        <v>6524</v>
      </c>
      <c r="B447">
        <v>3.3</v>
      </c>
      <c r="C447">
        <v>27</v>
      </c>
      <c r="D447">
        <v>3</v>
      </c>
    </row>
    <row r="448" spans="1:4">
      <c r="A448" s="93" t="s">
        <v>6525</v>
      </c>
      <c r="B448">
        <v>3.2</v>
      </c>
      <c r="C448">
        <v>27</v>
      </c>
      <c r="D448">
        <v>3</v>
      </c>
    </row>
    <row r="449" spans="1:4">
      <c r="A449" s="93" t="s">
        <v>6526</v>
      </c>
      <c r="B449">
        <v>3.1</v>
      </c>
      <c r="C449">
        <v>27</v>
      </c>
      <c r="D449">
        <v>3</v>
      </c>
    </row>
    <row r="450" spans="1:4">
      <c r="A450" s="93" t="s">
        <v>6527</v>
      </c>
      <c r="B450">
        <v>3</v>
      </c>
      <c r="C450">
        <v>27</v>
      </c>
      <c r="D450">
        <v>4</v>
      </c>
    </row>
    <row r="451" spans="1:4">
      <c r="A451" s="93" t="s">
        <v>6528</v>
      </c>
      <c r="B451">
        <v>2.9</v>
      </c>
      <c r="C451">
        <v>27</v>
      </c>
      <c r="D451">
        <v>4</v>
      </c>
    </row>
    <row r="452" spans="1:4">
      <c r="A452" s="93" t="s">
        <v>6529</v>
      </c>
      <c r="B452">
        <v>2.8</v>
      </c>
      <c r="C452">
        <v>27</v>
      </c>
      <c r="D452">
        <v>5</v>
      </c>
    </row>
    <row r="453" spans="1:4">
      <c r="A453" s="93" t="s">
        <v>6530</v>
      </c>
      <c r="B453">
        <v>2.7</v>
      </c>
      <c r="C453">
        <v>27</v>
      </c>
      <c r="D453">
        <v>5</v>
      </c>
    </row>
    <row r="454" spans="1:4">
      <c r="A454" s="93" t="s">
        <v>6531</v>
      </c>
      <c r="B454">
        <v>2.6</v>
      </c>
      <c r="C454">
        <v>27</v>
      </c>
      <c r="D454">
        <v>5</v>
      </c>
    </row>
    <row r="455" spans="1:4">
      <c r="A455" s="93" t="s">
        <v>6532</v>
      </c>
      <c r="B455">
        <v>2.5</v>
      </c>
      <c r="C455">
        <v>27</v>
      </c>
      <c r="D455">
        <v>5</v>
      </c>
    </row>
    <row r="456" spans="1:4">
      <c r="A456" s="93" t="s">
        <v>6533</v>
      </c>
      <c r="B456">
        <v>2.4</v>
      </c>
      <c r="C456">
        <v>27</v>
      </c>
      <c r="D456">
        <v>6</v>
      </c>
    </row>
    <row r="457" spans="1:4">
      <c r="A457" s="93" t="s">
        <v>6534</v>
      </c>
      <c r="B457">
        <v>2.3</v>
      </c>
      <c r="C457">
        <v>27</v>
      </c>
      <c r="D457">
        <v>6</v>
      </c>
    </row>
    <row r="458" spans="1:4">
      <c r="A458" s="93" t="s">
        <v>6535</v>
      </c>
      <c r="B458">
        <v>2.2</v>
      </c>
      <c r="C458">
        <v>27</v>
      </c>
      <c r="D458">
        <v>6</v>
      </c>
    </row>
    <row r="459" spans="1:4">
      <c r="A459" s="93" t="s">
        <v>6536</v>
      </c>
      <c r="B459">
        <v>2.1</v>
      </c>
      <c r="C459">
        <v>27</v>
      </c>
      <c r="D459">
        <v>6</v>
      </c>
    </row>
    <row r="460" spans="1:4">
      <c r="A460" s="93" t="s">
        <v>6537</v>
      </c>
      <c r="B460">
        <v>2</v>
      </c>
      <c r="C460">
        <v>27</v>
      </c>
      <c r="D460">
        <v>6</v>
      </c>
    </row>
    <row r="461" spans="1:4">
      <c r="A461" s="93" t="s">
        <v>6538</v>
      </c>
      <c r="B461">
        <v>1.9</v>
      </c>
      <c r="C461">
        <v>27</v>
      </c>
      <c r="D461">
        <v>6</v>
      </c>
    </row>
    <row r="462" spans="1:4">
      <c r="A462" s="93" t="s">
        <v>6539</v>
      </c>
      <c r="B462">
        <v>1.8</v>
      </c>
      <c r="C462">
        <v>27</v>
      </c>
      <c r="D462">
        <v>7</v>
      </c>
    </row>
    <row r="463" spans="1:4">
      <c r="A463" s="93" t="s">
        <v>6540</v>
      </c>
      <c r="B463">
        <v>1.7</v>
      </c>
      <c r="C463">
        <v>27</v>
      </c>
      <c r="D463">
        <v>7</v>
      </c>
    </row>
    <row r="464" spans="1:4">
      <c r="A464" s="93" t="s">
        <v>6541</v>
      </c>
      <c r="B464">
        <v>1.6</v>
      </c>
      <c r="C464">
        <v>27</v>
      </c>
      <c r="D464">
        <v>7</v>
      </c>
    </row>
    <row r="465" spans="1:4">
      <c r="A465" s="93" t="s">
        <v>6542</v>
      </c>
      <c r="B465">
        <v>1.5</v>
      </c>
      <c r="C465">
        <v>27</v>
      </c>
      <c r="D465">
        <v>7</v>
      </c>
    </row>
    <row r="466" spans="1:4">
      <c r="A466" s="93" t="s">
        <v>6543</v>
      </c>
      <c r="B466">
        <v>4.3</v>
      </c>
      <c r="C466">
        <v>28</v>
      </c>
      <c r="D466">
        <v>1</v>
      </c>
    </row>
    <row r="467" spans="1:4">
      <c r="A467" s="93" t="s">
        <v>6544</v>
      </c>
      <c r="B467">
        <v>4.2</v>
      </c>
      <c r="C467">
        <v>28</v>
      </c>
      <c r="D467">
        <v>1</v>
      </c>
    </row>
    <row r="468" spans="1:4">
      <c r="A468" s="93" t="s">
        <v>6545</v>
      </c>
      <c r="B468">
        <v>4.1</v>
      </c>
      <c r="C468">
        <v>28</v>
      </c>
      <c r="D468">
        <v>1</v>
      </c>
    </row>
    <row r="469" spans="1:4">
      <c r="A469" s="93" t="s">
        <v>6546</v>
      </c>
      <c r="B469">
        <v>4</v>
      </c>
      <c r="C469">
        <v>28</v>
      </c>
      <c r="D469">
        <v>1</v>
      </c>
    </row>
    <row r="470" spans="1:4">
      <c r="A470" s="93" t="s">
        <v>6547</v>
      </c>
      <c r="B470">
        <v>3.9</v>
      </c>
      <c r="C470">
        <v>28</v>
      </c>
      <c r="D470">
        <v>2</v>
      </c>
    </row>
    <row r="471" spans="1:4">
      <c r="A471" s="93" t="s">
        <v>6548</v>
      </c>
      <c r="B471">
        <v>3.8</v>
      </c>
      <c r="C471">
        <v>28</v>
      </c>
      <c r="D471">
        <v>2</v>
      </c>
    </row>
    <row r="472" spans="1:4">
      <c r="A472" s="93" t="s">
        <v>6549</v>
      </c>
      <c r="B472">
        <v>3.7</v>
      </c>
      <c r="C472">
        <v>28</v>
      </c>
      <c r="D472">
        <v>2</v>
      </c>
    </row>
    <row r="473" spans="1:4">
      <c r="A473" s="93" t="s">
        <v>6550</v>
      </c>
      <c r="B473">
        <v>3.6</v>
      </c>
      <c r="C473">
        <v>28</v>
      </c>
      <c r="D473">
        <v>2</v>
      </c>
    </row>
    <row r="474" spans="1:4">
      <c r="A474" s="93" t="s">
        <v>6551</v>
      </c>
      <c r="B474">
        <v>3.5</v>
      </c>
      <c r="C474">
        <v>28</v>
      </c>
      <c r="D474">
        <v>2</v>
      </c>
    </row>
    <row r="475" spans="1:4">
      <c r="A475" s="93" t="s">
        <v>6552</v>
      </c>
      <c r="B475">
        <v>3.4</v>
      </c>
      <c r="C475">
        <v>28</v>
      </c>
      <c r="D475">
        <v>2</v>
      </c>
    </row>
    <row r="476" spans="1:4">
      <c r="A476" s="93" t="s">
        <v>6553</v>
      </c>
      <c r="B476">
        <v>3.3</v>
      </c>
      <c r="C476">
        <v>28</v>
      </c>
      <c r="D476">
        <v>2</v>
      </c>
    </row>
    <row r="477" spans="1:4">
      <c r="A477" s="93" t="s">
        <v>6554</v>
      </c>
      <c r="B477">
        <v>3.2</v>
      </c>
      <c r="C477">
        <v>28</v>
      </c>
      <c r="D477">
        <v>3</v>
      </c>
    </row>
    <row r="478" spans="1:4">
      <c r="A478" s="93" t="s">
        <v>6555</v>
      </c>
      <c r="B478">
        <v>3.1</v>
      </c>
      <c r="C478">
        <v>28</v>
      </c>
      <c r="D478">
        <v>3</v>
      </c>
    </row>
    <row r="479" spans="1:4">
      <c r="A479" s="93" t="s">
        <v>6556</v>
      </c>
      <c r="B479">
        <v>3</v>
      </c>
      <c r="C479">
        <v>28</v>
      </c>
      <c r="D479">
        <v>3</v>
      </c>
    </row>
    <row r="480" spans="1:4">
      <c r="A480" s="93" t="s">
        <v>6557</v>
      </c>
      <c r="B480">
        <v>2.9</v>
      </c>
      <c r="C480">
        <v>28</v>
      </c>
      <c r="D480">
        <v>4</v>
      </c>
    </row>
    <row r="481" spans="1:4">
      <c r="A481" s="93" t="s">
        <v>6558</v>
      </c>
      <c r="B481">
        <v>2.8</v>
      </c>
      <c r="C481">
        <v>28</v>
      </c>
      <c r="D481">
        <v>4</v>
      </c>
    </row>
    <row r="482" spans="1:4">
      <c r="A482" s="93" t="s">
        <v>6559</v>
      </c>
      <c r="B482">
        <v>2.7</v>
      </c>
      <c r="C482">
        <v>28</v>
      </c>
      <c r="D482">
        <v>5</v>
      </c>
    </row>
    <row r="483" spans="1:4">
      <c r="A483" s="93" t="s">
        <v>6560</v>
      </c>
      <c r="B483">
        <v>2.6</v>
      </c>
      <c r="C483">
        <v>28</v>
      </c>
      <c r="D483">
        <v>5</v>
      </c>
    </row>
    <row r="484" spans="1:4">
      <c r="A484" s="93" t="s">
        <v>6561</v>
      </c>
      <c r="B484">
        <v>2.5</v>
      </c>
      <c r="C484">
        <v>28</v>
      </c>
      <c r="D484">
        <v>5</v>
      </c>
    </row>
    <row r="485" spans="1:4">
      <c r="A485" s="93" t="s">
        <v>6562</v>
      </c>
      <c r="B485">
        <v>2.4</v>
      </c>
      <c r="C485">
        <v>28</v>
      </c>
      <c r="D485">
        <v>5</v>
      </c>
    </row>
    <row r="486" spans="1:4">
      <c r="A486" s="93" t="s">
        <v>6563</v>
      </c>
      <c r="B486">
        <v>2.3</v>
      </c>
      <c r="C486">
        <v>28</v>
      </c>
      <c r="D486">
        <v>6</v>
      </c>
    </row>
    <row r="487" spans="1:4">
      <c r="A487" s="93" t="s">
        <v>6564</v>
      </c>
      <c r="B487">
        <v>2.2</v>
      </c>
      <c r="C487">
        <v>28</v>
      </c>
      <c r="D487">
        <v>6</v>
      </c>
    </row>
    <row r="488" spans="1:4">
      <c r="A488" s="93" t="s">
        <v>6565</v>
      </c>
      <c r="B488">
        <v>2.1</v>
      </c>
      <c r="C488">
        <v>28</v>
      </c>
      <c r="D488">
        <v>6</v>
      </c>
    </row>
    <row r="489" spans="1:4">
      <c r="A489" s="93" t="s">
        <v>6566</v>
      </c>
      <c r="B489">
        <v>2</v>
      </c>
      <c r="C489">
        <v>28</v>
      </c>
      <c r="D489">
        <v>6</v>
      </c>
    </row>
    <row r="490" spans="1:4">
      <c r="A490" s="93" t="s">
        <v>6567</v>
      </c>
      <c r="B490">
        <v>1.9</v>
      </c>
      <c r="C490">
        <v>28</v>
      </c>
      <c r="D490">
        <v>6</v>
      </c>
    </row>
    <row r="491" spans="1:4">
      <c r="A491" s="93" t="s">
        <v>6568</v>
      </c>
      <c r="B491">
        <v>1.8</v>
      </c>
      <c r="C491">
        <v>28</v>
      </c>
      <c r="D491">
        <v>6</v>
      </c>
    </row>
    <row r="492" spans="1:4">
      <c r="A492" s="93" t="s">
        <v>6569</v>
      </c>
      <c r="B492">
        <v>1.7</v>
      </c>
      <c r="C492">
        <v>28</v>
      </c>
      <c r="D492">
        <v>7</v>
      </c>
    </row>
    <row r="493" spans="1:4">
      <c r="A493" s="93" t="s">
        <v>6570</v>
      </c>
      <c r="B493">
        <v>1.6</v>
      </c>
      <c r="C493">
        <v>28</v>
      </c>
      <c r="D493">
        <v>7</v>
      </c>
    </row>
    <row r="494" spans="1:4">
      <c r="A494" s="93" t="s">
        <v>6571</v>
      </c>
      <c r="B494">
        <v>1.5</v>
      </c>
      <c r="C494">
        <v>28</v>
      </c>
      <c r="D494">
        <v>7</v>
      </c>
    </row>
    <row r="495" spans="1:4">
      <c r="A495" s="93" t="s">
        <v>6572</v>
      </c>
      <c r="B495">
        <v>4.3</v>
      </c>
      <c r="C495">
        <v>29</v>
      </c>
      <c r="D495">
        <v>1</v>
      </c>
    </row>
    <row r="496" spans="1:4">
      <c r="A496" s="93" t="s">
        <v>6573</v>
      </c>
      <c r="B496">
        <v>4.2</v>
      </c>
      <c r="C496">
        <v>29</v>
      </c>
      <c r="D496">
        <v>1</v>
      </c>
    </row>
    <row r="497" spans="1:4">
      <c r="A497" s="93" t="s">
        <v>6574</v>
      </c>
      <c r="B497">
        <v>4.1</v>
      </c>
      <c r="C497">
        <v>29</v>
      </c>
      <c r="D497">
        <v>1</v>
      </c>
    </row>
    <row r="498" spans="1:4">
      <c r="A498" s="93" t="s">
        <v>6575</v>
      </c>
      <c r="B498">
        <v>4</v>
      </c>
      <c r="C498">
        <v>29</v>
      </c>
      <c r="D498">
        <v>1</v>
      </c>
    </row>
    <row r="499" spans="1:4">
      <c r="A499" s="93" t="s">
        <v>6576</v>
      </c>
      <c r="B499">
        <v>3.9</v>
      </c>
      <c r="C499">
        <v>29</v>
      </c>
      <c r="D499">
        <v>1</v>
      </c>
    </row>
    <row r="500" spans="1:4">
      <c r="A500" s="93" t="s">
        <v>6577</v>
      </c>
      <c r="B500">
        <v>3.8</v>
      </c>
      <c r="C500">
        <v>29</v>
      </c>
      <c r="D500">
        <v>1</v>
      </c>
    </row>
    <row r="501" spans="1:4">
      <c r="A501" s="93" t="s">
        <v>6578</v>
      </c>
      <c r="B501">
        <v>3.7</v>
      </c>
      <c r="C501">
        <v>29</v>
      </c>
      <c r="D501">
        <v>2</v>
      </c>
    </row>
    <row r="502" spans="1:4">
      <c r="A502" s="93" t="s">
        <v>6579</v>
      </c>
      <c r="B502">
        <v>3.6</v>
      </c>
      <c r="C502">
        <v>29</v>
      </c>
      <c r="D502">
        <v>2</v>
      </c>
    </row>
    <row r="503" spans="1:4">
      <c r="A503" s="93" t="s">
        <v>6580</v>
      </c>
      <c r="B503">
        <v>3.5</v>
      </c>
      <c r="C503">
        <v>29</v>
      </c>
      <c r="D503">
        <v>2</v>
      </c>
    </row>
    <row r="504" spans="1:4">
      <c r="A504" s="93" t="s">
        <v>6581</v>
      </c>
      <c r="B504">
        <v>3.4</v>
      </c>
      <c r="C504">
        <v>29</v>
      </c>
      <c r="D504">
        <v>2</v>
      </c>
    </row>
    <row r="505" spans="1:4">
      <c r="A505" s="93" t="s">
        <v>6582</v>
      </c>
      <c r="B505">
        <v>3.3</v>
      </c>
      <c r="C505">
        <v>29</v>
      </c>
      <c r="D505">
        <v>2</v>
      </c>
    </row>
    <row r="506" spans="1:4">
      <c r="A506" s="93" t="s">
        <v>6583</v>
      </c>
      <c r="B506">
        <v>3.2</v>
      </c>
      <c r="C506">
        <v>29</v>
      </c>
      <c r="D506">
        <v>2</v>
      </c>
    </row>
    <row r="507" spans="1:4">
      <c r="A507" s="93" t="s">
        <v>6584</v>
      </c>
      <c r="B507">
        <v>3.1</v>
      </c>
      <c r="C507">
        <v>29</v>
      </c>
      <c r="D507">
        <v>2</v>
      </c>
    </row>
    <row r="508" spans="1:4">
      <c r="A508" s="93" t="s">
        <v>6585</v>
      </c>
      <c r="B508">
        <v>3</v>
      </c>
      <c r="C508">
        <v>29</v>
      </c>
      <c r="D508">
        <v>3</v>
      </c>
    </row>
    <row r="509" spans="1:4">
      <c r="A509" s="93" t="s">
        <v>6586</v>
      </c>
      <c r="B509">
        <v>2.9</v>
      </c>
      <c r="C509">
        <v>29</v>
      </c>
      <c r="D509">
        <v>4</v>
      </c>
    </row>
    <row r="510" spans="1:4">
      <c r="A510" s="93" t="s">
        <v>6587</v>
      </c>
      <c r="B510">
        <v>2.8</v>
      </c>
      <c r="C510">
        <v>29</v>
      </c>
      <c r="D510">
        <v>4</v>
      </c>
    </row>
    <row r="511" spans="1:4">
      <c r="A511" s="93" t="s">
        <v>6588</v>
      </c>
      <c r="B511">
        <v>2.7</v>
      </c>
      <c r="C511">
        <v>29</v>
      </c>
      <c r="D511">
        <v>4</v>
      </c>
    </row>
    <row r="512" spans="1:4">
      <c r="A512" s="93" t="s">
        <v>6589</v>
      </c>
      <c r="B512">
        <v>2.6</v>
      </c>
      <c r="C512">
        <v>29</v>
      </c>
      <c r="D512">
        <v>5</v>
      </c>
    </row>
    <row r="513" spans="1:4">
      <c r="A513" s="93" t="s">
        <v>6590</v>
      </c>
      <c r="B513">
        <v>2.5</v>
      </c>
      <c r="C513">
        <v>29</v>
      </c>
      <c r="D513">
        <v>5</v>
      </c>
    </row>
    <row r="514" spans="1:4">
      <c r="A514" s="93" t="s">
        <v>6591</v>
      </c>
      <c r="B514">
        <v>2.4</v>
      </c>
      <c r="C514">
        <v>29</v>
      </c>
      <c r="D514">
        <v>5</v>
      </c>
    </row>
    <row r="515" spans="1:4">
      <c r="A515" s="93" t="s">
        <v>6592</v>
      </c>
      <c r="B515">
        <v>2.3</v>
      </c>
      <c r="C515">
        <v>29</v>
      </c>
      <c r="D515">
        <v>5</v>
      </c>
    </row>
    <row r="516" spans="1:4">
      <c r="A516" s="93" t="s">
        <v>6593</v>
      </c>
      <c r="B516">
        <v>2.2</v>
      </c>
      <c r="C516">
        <v>29</v>
      </c>
      <c r="D516">
        <v>6</v>
      </c>
    </row>
    <row r="517" spans="1:4">
      <c r="A517" s="93" t="s">
        <v>6594</v>
      </c>
      <c r="B517">
        <v>2.1</v>
      </c>
      <c r="C517">
        <v>29</v>
      </c>
      <c r="D517">
        <v>6</v>
      </c>
    </row>
    <row r="518" spans="1:4">
      <c r="A518" s="93" t="s">
        <v>6595</v>
      </c>
      <c r="B518">
        <v>2</v>
      </c>
      <c r="C518">
        <v>29</v>
      </c>
      <c r="D518">
        <v>6</v>
      </c>
    </row>
    <row r="519" spans="1:4">
      <c r="A519" s="93" t="s">
        <v>6596</v>
      </c>
      <c r="B519">
        <v>1.9</v>
      </c>
      <c r="C519">
        <v>29</v>
      </c>
      <c r="D519">
        <v>6</v>
      </c>
    </row>
    <row r="520" spans="1:4">
      <c r="A520" s="93" t="s">
        <v>6597</v>
      </c>
      <c r="B520">
        <v>1.8</v>
      </c>
      <c r="C520">
        <v>29</v>
      </c>
      <c r="D520">
        <v>6</v>
      </c>
    </row>
    <row r="521" spans="1:4">
      <c r="A521" s="93" t="s">
        <v>6598</v>
      </c>
      <c r="B521">
        <v>1.7</v>
      </c>
      <c r="C521">
        <v>29</v>
      </c>
      <c r="D521">
        <v>6</v>
      </c>
    </row>
    <row r="522" spans="1:4">
      <c r="A522" s="93" t="s">
        <v>6599</v>
      </c>
      <c r="B522">
        <v>1.6</v>
      </c>
      <c r="C522">
        <v>29</v>
      </c>
      <c r="D522">
        <v>7</v>
      </c>
    </row>
    <row r="523" spans="1:4">
      <c r="A523" s="93" t="s">
        <v>6600</v>
      </c>
      <c r="B523">
        <v>1.5</v>
      </c>
      <c r="C523">
        <v>29</v>
      </c>
      <c r="D523">
        <v>7</v>
      </c>
    </row>
    <row r="524" spans="1:4">
      <c r="A524" s="93" t="s">
        <v>6601</v>
      </c>
      <c r="B524">
        <v>4.3</v>
      </c>
      <c r="C524">
        <v>30</v>
      </c>
      <c r="D524">
        <v>1</v>
      </c>
    </row>
    <row r="525" spans="1:4">
      <c r="A525" s="93" t="s">
        <v>6602</v>
      </c>
      <c r="B525">
        <v>4.2</v>
      </c>
      <c r="C525">
        <v>30</v>
      </c>
      <c r="D525">
        <v>1</v>
      </c>
    </row>
    <row r="526" spans="1:4">
      <c r="A526" s="93" t="s">
        <v>6603</v>
      </c>
      <c r="B526">
        <v>4.1</v>
      </c>
      <c r="C526">
        <v>30</v>
      </c>
      <c r="D526">
        <v>1</v>
      </c>
    </row>
    <row r="527" spans="1:4">
      <c r="A527" s="93" t="s">
        <v>6604</v>
      </c>
      <c r="B527">
        <v>4</v>
      </c>
      <c r="C527">
        <v>30</v>
      </c>
      <c r="D527">
        <v>1</v>
      </c>
    </row>
    <row r="528" spans="1:4">
      <c r="A528" s="93" t="s">
        <v>6605</v>
      </c>
      <c r="B528">
        <v>3.9</v>
      </c>
      <c r="C528">
        <v>30</v>
      </c>
      <c r="D528">
        <v>1</v>
      </c>
    </row>
    <row r="529" spans="1:4">
      <c r="A529" s="93" t="s">
        <v>6606</v>
      </c>
      <c r="B529">
        <v>3.8</v>
      </c>
      <c r="C529">
        <v>30</v>
      </c>
      <c r="D529">
        <v>1</v>
      </c>
    </row>
    <row r="530" spans="1:4">
      <c r="A530" s="93" t="s">
        <v>6607</v>
      </c>
      <c r="B530">
        <v>3.7</v>
      </c>
      <c r="C530">
        <v>30</v>
      </c>
      <c r="D530">
        <v>1</v>
      </c>
    </row>
    <row r="531" spans="1:4">
      <c r="A531" s="93" t="s">
        <v>6608</v>
      </c>
      <c r="B531">
        <v>3.6</v>
      </c>
      <c r="C531">
        <v>30</v>
      </c>
      <c r="D531">
        <v>1</v>
      </c>
    </row>
    <row r="532" spans="1:4">
      <c r="A532" s="93" t="s">
        <v>6609</v>
      </c>
      <c r="B532">
        <v>3.5</v>
      </c>
      <c r="C532">
        <v>30</v>
      </c>
      <c r="D532">
        <v>2</v>
      </c>
    </row>
    <row r="533" spans="1:4">
      <c r="A533" s="93" t="s">
        <v>6610</v>
      </c>
      <c r="B533">
        <v>3.4</v>
      </c>
      <c r="C533">
        <v>30</v>
      </c>
      <c r="D533">
        <v>2</v>
      </c>
    </row>
    <row r="534" spans="1:4">
      <c r="A534" s="93" t="s">
        <v>6611</v>
      </c>
      <c r="B534">
        <v>3.3</v>
      </c>
      <c r="C534">
        <v>30</v>
      </c>
      <c r="D534">
        <v>2</v>
      </c>
    </row>
    <row r="535" spans="1:4">
      <c r="A535" s="93" t="s">
        <v>6612</v>
      </c>
      <c r="B535">
        <v>3.2</v>
      </c>
      <c r="C535">
        <v>30</v>
      </c>
      <c r="D535">
        <v>2</v>
      </c>
    </row>
    <row r="536" spans="1:4">
      <c r="A536" s="93" t="s">
        <v>6613</v>
      </c>
      <c r="B536">
        <v>3.1</v>
      </c>
      <c r="C536">
        <v>30</v>
      </c>
      <c r="D536">
        <v>2</v>
      </c>
    </row>
    <row r="537" spans="1:4">
      <c r="A537" s="93" t="s">
        <v>6614</v>
      </c>
      <c r="B537">
        <v>3</v>
      </c>
      <c r="C537">
        <v>30</v>
      </c>
      <c r="D537">
        <v>2</v>
      </c>
    </row>
    <row r="538" spans="1:4">
      <c r="A538" s="93" t="s">
        <v>6615</v>
      </c>
      <c r="B538">
        <v>2.9</v>
      </c>
      <c r="C538">
        <v>30</v>
      </c>
      <c r="D538">
        <v>2</v>
      </c>
    </row>
    <row r="539" spans="1:4">
      <c r="A539" s="93" t="s">
        <v>6616</v>
      </c>
      <c r="B539">
        <v>2.8</v>
      </c>
      <c r="C539">
        <v>30</v>
      </c>
      <c r="D539">
        <v>4</v>
      </c>
    </row>
    <row r="540" spans="1:4">
      <c r="A540" s="93" t="s">
        <v>6617</v>
      </c>
      <c r="B540">
        <v>2.7</v>
      </c>
      <c r="C540">
        <v>30</v>
      </c>
      <c r="D540">
        <v>4</v>
      </c>
    </row>
    <row r="541" spans="1:4">
      <c r="A541" s="93" t="s">
        <v>6618</v>
      </c>
      <c r="B541">
        <v>2.6</v>
      </c>
      <c r="C541">
        <v>30</v>
      </c>
      <c r="D541">
        <v>5</v>
      </c>
    </row>
    <row r="542" spans="1:4">
      <c r="A542" s="93" t="s">
        <v>6619</v>
      </c>
      <c r="B542">
        <v>2.5</v>
      </c>
      <c r="C542">
        <v>30</v>
      </c>
      <c r="D542">
        <v>5</v>
      </c>
    </row>
    <row r="543" spans="1:4">
      <c r="A543" s="93" t="s">
        <v>6620</v>
      </c>
      <c r="B543">
        <v>2.4</v>
      </c>
      <c r="C543">
        <v>30</v>
      </c>
      <c r="D543">
        <v>5</v>
      </c>
    </row>
    <row r="544" spans="1:4">
      <c r="A544" s="93" t="s">
        <v>6621</v>
      </c>
      <c r="B544">
        <v>2.3</v>
      </c>
      <c r="C544">
        <v>30</v>
      </c>
      <c r="D544">
        <v>5</v>
      </c>
    </row>
    <row r="545" spans="1:4">
      <c r="A545" s="93" t="s">
        <v>6622</v>
      </c>
      <c r="B545">
        <v>2.2</v>
      </c>
      <c r="C545">
        <v>30</v>
      </c>
      <c r="D545">
        <v>5</v>
      </c>
    </row>
    <row r="546" spans="1:4">
      <c r="A546" s="93" t="s">
        <v>6623</v>
      </c>
      <c r="B546">
        <v>2.1</v>
      </c>
      <c r="C546">
        <v>30</v>
      </c>
      <c r="D546">
        <v>6</v>
      </c>
    </row>
    <row r="547" spans="1:4">
      <c r="A547" s="93" t="s">
        <v>6624</v>
      </c>
      <c r="B547">
        <v>2</v>
      </c>
      <c r="C547">
        <v>30</v>
      </c>
      <c r="D547">
        <v>6</v>
      </c>
    </row>
    <row r="548" spans="1:4">
      <c r="A548" s="93" t="s">
        <v>6625</v>
      </c>
      <c r="B548">
        <v>1.9</v>
      </c>
      <c r="C548">
        <v>30</v>
      </c>
      <c r="D548">
        <v>6</v>
      </c>
    </row>
    <row r="549" spans="1:4">
      <c r="A549" s="93" t="s">
        <v>6626</v>
      </c>
      <c r="B549">
        <v>1.8</v>
      </c>
      <c r="C549">
        <v>30</v>
      </c>
      <c r="D549">
        <v>6</v>
      </c>
    </row>
    <row r="550" spans="1:4">
      <c r="A550" s="93" t="s">
        <v>6627</v>
      </c>
      <c r="B550">
        <v>1.7</v>
      </c>
      <c r="C550">
        <v>30</v>
      </c>
      <c r="D550">
        <v>6</v>
      </c>
    </row>
    <row r="551" spans="1:4">
      <c r="A551" s="93" t="s">
        <v>6628</v>
      </c>
      <c r="B551">
        <v>1.6</v>
      </c>
      <c r="C551">
        <v>30</v>
      </c>
      <c r="D551">
        <v>6</v>
      </c>
    </row>
    <row r="552" spans="1:4">
      <c r="A552" s="93" t="s">
        <v>6629</v>
      </c>
      <c r="B552">
        <v>1.5</v>
      </c>
      <c r="C552">
        <v>30</v>
      </c>
      <c r="D552">
        <v>7</v>
      </c>
    </row>
    <row r="553" spans="1:4">
      <c r="A553" s="93" t="s">
        <v>6630</v>
      </c>
      <c r="B553">
        <v>4.3</v>
      </c>
      <c r="C553">
        <v>31</v>
      </c>
      <c r="D553">
        <v>1</v>
      </c>
    </row>
    <row r="554" spans="1:4">
      <c r="A554" s="93" t="s">
        <v>6631</v>
      </c>
      <c r="B554">
        <v>4.2</v>
      </c>
      <c r="C554">
        <v>31</v>
      </c>
      <c r="D554">
        <v>1</v>
      </c>
    </row>
    <row r="555" spans="1:4">
      <c r="A555" s="93" t="s">
        <v>6632</v>
      </c>
      <c r="B555">
        <v>4.1</v>
      </c>
      <c r="C555">
        <v>31</v>
      </c>
      <c r="D555">
        <v>1</v>
      </c>
    </row>
    <row r="556" spans="1:4">
      <c r="A556" s="93" t="s">
        <v>6633</v>
      </c>
      <c r="B556">
        <v>4</v>
      </c>
      <c r="C556">
        <v>31</v>
      </c>
      <c r="D556">
        <v>1</v>
      </c>
    </row>
    <row r="557" spans="1:4">
      <c r="A557" s="93" t="s">
        <v>6634</v>
      </c>
      <c r="B557">
        <v>3.9</v>
      </c>
      <c r="C557">
        <v>31</v>
      </c>
      <c r="D557">
        <v>1</v>
      </c>
    </row>
    <row r="558" spans="1:4">
      <c r="A558" s="93" t="s">
        <v>6635</v>
      </c>
      <c r="B558">
        <v>3.8</v>
      </c>
      <c r="C558">
        <v>31</v>
      </c>
      <c r="D558">
        <v>1</v>
      </c>
    </row>
    <row r="559" spans="1:4">
      <c r="A559" s="93" t="s">
        <v>6636</v>
      </c>
      <c r="B559">
        <v>3.7</v>
      </c>
      <c r="C559">
        <v>31</v>
      </c>
      <c r="D559">
        <v>1</v>
      </c>
    </row>
    <row r="560" spans="1:4">
      <c r="A560" s="93" t="s">
        <v>6637</v>
      </c>
      <c r="B560">
        <v>3.6</v>
      </c>
      <c r="C560">
        <v>31</v>
      </c>
      <c r="D560">
        <v>1</v>
      </c>
    </row>
    <row r="561" spans="1:4">
      <c r="A561" s="93" t="s">
        <v>6638</v>
      </c>
      <c r="B561">
        <v>3.5</v>
      </c>
      <c r="C561">
        <v>31</v>
      </c>
      <c r="D561">
        <v>1</v>
      </c>
    </row>
    <row r="562" spans="1:4">
      <c r="A562" s="93" t="s">
        <v>6639</v>
      </c>
      <c r="B562">
        <v>3.4</v>
      </c>
      <c r="C562">
        <v>31</v>
      </c>
      <c r="D562">
        <v>1</v>
      </c>
    </row>
    <row r="563" spans="1:4">
      <c r="A563" s="93" t="s">
        <v>6640</v>
      </c>
      <c r="B563">
        <v>3.3</v>
      </c>
      <c r="C563">
        <v>31</v>
      </c>
      <c r="D563">
        <v>2</v>
      </c>
    </row>
    <row r="564" spans="1:4">
      <c r="A564" s="93" t="s">
        <v>6641</v>
      </c>
      <c r="B564">
        <v>3.2</v>
      </c>
      <c r="C564">
        <v>31</v>
      </c>
      <c r="D564">
        <v>2</v>
      </c>
    </row>
    <row r="565" spans="1:4">
      <c r="A565" s="93" t="s">
        <v>6642</v>
      </c>
      <c r="B565">
        <v>3.1</v>
      </c>
      <c r="C565">
        <v>31</v>
      </c>
      <c r="D565">
        <v>2</v>
      </c>
    </row>
    <row r="566" spans="1:4">
      <c r="A566" s="93" t="s">
        <v>6643</v>
      </c>
      <c r="B566">
        <v>3</v>
      </c>
      <c r="C566">
        <v>31</v>
      </c>
      <c r="D566">
        <v>2</v>
      </c>
    </row>
    <row r="567" spans="1:4">
      <c r="A567" s="93" t="s">
        <v>6644</v>
      </c>
      <c r="B567">
        <v>2.9</v>
      </c>
      <c r="C567">
        <v>31</v>
      </c>
      <c r="D567">
        <v>2</v>
      </c>
    </row>
    <row r="568" spans="1:4">
      <c r="A568" s="93" t="s">
        <v>6645</v>
      </c>
      <c r="B568">
        <v>2.8</v>
      </c>
      <c r="C568">
        <v>31</v>
      </c>
      <c r="D568">
        <v>2</v>
      </c>
    </row>
    <row r="569" spans="1:4">
      <c r="A569" s="93" t="s">
        <v>6646</v>
      </c>
      <c r="B569">
        <v>2.7</v>
      </c>
      <c r="C569">
        <v>31</v>
      </c>
      <c r="D569">
        <v>2</v>
      </c>
    </row>
    <row r="570" spans="1:4">
      <c r="A570" s="93" t="s">
        <v>6647</v>
      </c>
      <c r="B570">
        <v>2.6</v>
      </c>
      <c r="C570">
        <v>31</v>
      </c>
      <c r="D570">
        <v>4</v>
      </c>
    </row>
    <row r="571" spans="1:4">
      <c r="A571" s="93" t="s">
        <v>6648</v>
      </c>
      <c r="B571">
        <v>2.5</v>
      </c>
      <c r="C571">
        <v>31</v>
      </c>
      <c r="D571">
        <v>5</v>
      </c>
    </row>
    <row r="572" spans="1:4">
      <c r="A572" s="93" t="s">
        <v>6649</v>
      </c>
      <c r="B572">
        <v>2.4</v>
      </c>
      <c r="C572">
        <v>31</v>
      </c>
      <c r="D572">
        <v>5</v>
      </c>
    </row>
    <row r="573" spans="1:4">
      <c r="A573" s="93" t="s">
        <v>6650</v>
      </c>
      <c r="B573">
        <v>2.3</v>
      </c>
      <c r="C573">
        <v>31</v>
      </c>
      <c r="D573">
        <v>5</v>
      </c>
    </row>
    <row r="574" spans="1:4">
      <c r="A574" s="93" t="s">
        <v>6651</v>
      </c>
      <c r="B574">
        <v>2.2</v>
      </c>
      <c r="C574">
        <v>31</v>
      </c>
      <c r="D574">
        <v>5</v>
      </c>
    </row>
    <row r="575" spans="1:4">
      <c r="A575" s="93" t="s">
        <v>6652</v>
      </c>
      <c r="B575">
        <v>2.1</v>
      </c>
      <c r="C575">
        <v>31</v>
      </c>
      <c r="D575">
        <v>5</v>
      </c>
    </row>
    <row r="576" spans="1:4">
      <c r="A576" s="93" t="s">
        <v>6653</v>
      </c>
      <c r="B576">
        <v>2</v>
      </c>
      <c r="C576">
        <v>31</v>
      </c>
      <c r="D576">
        <v>6</v>
      </c>
    </row>
    <row r="577" spans="1:4">
      <c r="A577" s="93" t="s">
        <v>6654</v>
      </c>
      <c r="B577">
        <v>1.9</v>
      </c>
      <c r="C577">
        <v>31</v>
      </c>
      <c r="D577">
        <v>6</v>
      </c>
    </row>
    <row r="578" spans="1:4">
      <c r="A578" s="93" t="s">
        <v>6655</v>
      </c>
      <c r="B578">
        <v>1.8</v>
      </c>
      <c r="C578">
        <v>31</v>
      </c>
      <c r="D578">
        <v>6</v>
      </c>
    </row>
    <row r="579" spans="1:4">
      <c r="A579" s="93" t="s">
        <v>6656</v>
      </c>
      <c r="B579">
        <v>1.7</v>
      </c>
      <c r="C579">
        <v>31</v>
      </c>
      <c r="D579">
        <v>6</v>
      </c>
    </row>
    <row r="580" spans="1:4">
      <c r="A580" s="93" t="s">
        <v>6657</v>
      </c>
      <c r="B580">
        <v>1.6</v>
      </c>
      <c r="C580">
        <v>31</v>
      </c>
      <c r="D580">
        <v>6</v>
      </c>
    </row>
    <row r="581" spans="1:4">
      <c r="A581" s="93" t="s">
        <v>6658</v>
      </c>
      <c r="B581">
        <v>1.5</v>
      </c>
      <c r="C581">
        <v>31</v>
      </c>
      <c r="D581">
        <v>6</v>
      </c>
    </row>
    <row r="582" spans="1:4">
      <c r="A582" s="93" t="s">
        <v>6659</v>
      </c>
      <c r="B582">
        <v>4.3</v>
      </c>
      <c r="C582">
        <v>32</v>
      </c>
      <c r="D582">
        <v>1</v>
      </c>
    </row>
    <row r="583" spans="1:4">
      <c r="A583" s="93" t="s">
        <v>6660</v>
      </c>
      <c r="B583">
        <v>4.2</v>
      </c>
      <c r="C583">
        <v>32</v>
      </c>
      <c r="D583">
        <v>1</v>
      </c>
    </row>
    <row r="584" spans="1:4">
      <c r="A584" s="93" t="s">
        <v>6661</v>
      </c>
      <c r="B584">
        <v>4.1</v>
      </c>
      <c r="C584">
        <v>32</v>
      </c>
      <c r="D584">
        <v>1</v>
      </c>
    </row>
    <row r="585" spans="1:4">
      <c r="A585" s="93" t="s">
        <v>6662</v>
      </c>
      <c r="B585">
        <v>4</v>
      </c>
      <c r="C585">
        <v>32</v>
      </c>
      <c r="D585">
        <v>1</v>
      </c>
    </row>
    <row r="586" spans="1:4">
      <c r="A586" s="93" t="s">
        <v>6663</v>
      </c>
      <c r="B586">
        <v>3.9</v>
      </c>
      <c r="C586">
        <v>32</v>
      </c>
      <c r="D586">
        <v>1</v>
      </c>
    </row>
    <row r="587" spans="1:4">
      <c r="A587" s="93" t="s">
        <v>6664</v>
      </c>
      <c r="B587">
        <v>3.8</v>
      </c>
      <c r="C587">
        <v>32</v>
      </c>
      <c r="D587">
        <v>1</v>
      </c>
    </row>
    <row r="588" spans="1:4">
      <c r="A588" s="93" t="s">
        <v>6665</v>
      </c>
      <c r="B588">
        <v>3.7</v>
      </c>
      <c r="C588">
        <v>32</v>
      </c>
      <c r="D588">
        <v>1</v>
      </c>
    </row>
    <row r="589" spans="1:4">
      <c r="A589" s="93" t="s">
        <v>6666</v>
      </c>
      <c r="B589">
        <v>3.6</v>
      </c>
      <c r="C589">
        <v>32</v>
      </c>
      <c r="D589">
        <v>1</v>
      </c>
    </row>
    <row r="590" spans="1:4">
      <c r="A590" s="93" t="s">
        <v>6667</v>
      </c>
      <c r="B590">
        <v>3.5</v>
      </c>
      <c r="C590">
        <v>32</v>
      </c>
      <c r="D590">
        <v>1</v>
      </c>
    </row>
    <row r="591" spans="1:4">
      <c r="A591" s="93" t="s">
        <v>6668</v>
      </c>
      <c r="B591">
        <v>3.4</v>
      </c>
      <c r="C591">
        <v>32</v>
      </c>
      <c r="D591">
        <v>1</v>
      </c>
    </row>
    <row r="592" spans="1:4">
      <c r="A592" s="93" t="s">
        <v>6669</v>
      </c>
      <c r="B592">
        <v>3.3</v>
      </c>
      <c r="C592">
        <v>32</v>
      </c>
      <c r="D592">
        <v>1</v>
      </c>
    </row>
    <row r="593" spans="1:4">
      <c r="A593" s="93" t="s">
        <v>6670</v>
      </c>
      <c r="B593">
        <v>3.2</v>
      </c>
      <c r="C593">
        <v>32</v>
      </c>
      <c r="D593">
        <v>1</v>
      </c>
    </row>
    <row r="594" spans="1:4">
      <c r="A594" s="93" t="s">
        <v>6671</v>
      </c>
      <c r="B594">
        <v>3.1</v>
      </c>
      <c r="C594">
        <v>32</v>
      </c>
      <c r="D594">
        <v>2</v>
      </c>
    </row>
    <row r="595" spans="1:4">
      <c r="A595" s="93" t="s">
        <v>6672</v>
      </c>
      <c r="B595">
        <v>3</v>
      </c>
      <c r="C595">
        <v>32</v>
      </c>
      <c r="D595">
        <v>2</v>
      </c>
    </row>
    <row r="596" spans="1:4">
      <c r="A596" s="93" t="s">
        <v>6673</v>
      </c>
      <c r="B596">
        <v>2.9</v>
      </c>
      <c r="C596">
        <v>32</v>
      </c>
      <c r="D596">
        <v>2</v>
      </c>
    </row>
    <row r="597" spans="1:4">
      <c r="A597" s="93" t="s">
        <v>6674</v>
      </c>
      <c r="B597">
        <v>2.8</v>
      </c>
      <c r="C597">
        <v>32</v>
      </c>
      <c r="D597">
        <v>2</v>
      </c>
    </row>
    <row r="598" spans="1:4">
      <c r="A598" s="93" t="s">
        <v>6675</v>
      </c>
      <c r="B598">
        <v>2.7</v>
      </c>
      <c r="C598">
        <v>32</v>
      </c>
      <c r="D598">
        <v>2</v>
      </c>
    </row>
    <row r="599" spans="1:4">
      <c r="A599" s="93" t="s">
        <v>6676</v>
      </c>
      <c r="B599">
        <v>2.6</v>
      </c>
      <c r="C599">
        <v>32</v>
      </c>
      <c r="D599">
        <v>2</v>
      </c>
    </row>
    <row r="600" spans="1:4">
      <c r="A600" s="93" t="s">
        <v>6677</v>
      </c>
      <c r="B600">
        <v>2.5</v>
      </c>
      <c r="C600">
        <v>32</v>
      </c>
      <c r="D600">
        <v>2</v>
      </c>
    </row>
    <row r="601" spans="1:4">
      <c r="A601" s="93" t="s">
        <v>6678</v>
      </c>
      <c r="B601">
        <v>2.4</v>
      </c>
      <c r="C601">
        <v>32</v>
      </c>
      <c r="D601">
        <v>5</v>
      </c>
    </row>
    <row r="602" spans="1:4">
      <c r="A602" s="93" t="s">
        <v>6679</v>
      </c>
      <c r="B602">
        <v>2.3</v>
      </c>
      <c r="C602">
        <v>32</v>
      </c>
      <c r="D602">
        <v>5</v>
      </c>
    </row>
    <row r="603" spans="1:4">
      <c r="A603" s="93" t="s">
        <v>6680</v>
      </c>
      <c r="B603">
        <v>2.2</v>
      </c>
      <c r="C603">
        <v>32</v>
      </c>
      <c r="D603">
        <v>5</v>
      </c>
    </row>
    <row r="604" spans="1:4">
      <c r="A604" s="93" t="s">
        <v>6681</v>
      </c>
      <c r="B604">
        <v>2.1</v>
      </c>
      <c r="C604">
        <v>32</v>
      </c>
      <c r="D604">
        <v>5</v>
      </c>
    </row>
    <row r="605" spans="1:4">
      <c r="A605" s="93" t="s">
        <v>6682</v>
      </c>
      <c r="B605">
        <v>2</v>
      </c>
      <c r="C605">
        <v>32</v>
      </c>
      <c r="D605">
        <v>5</v>
      </c>
    </row>
    <row r="606" spans="1:4">
      <c r="A606" s="93" t="s">
        <v>6683</v>
      </c>
      <c r="B606">
        <v>1.9</v>
      </c>
      <c r="C606">
        <v>32</v>
      </c>
      <c r="D606">
        <v>6</v>
      </c>
    </row>
    <row r="607" spans="1:4">
      <c r="A607" s="93" t="s">
        <v>6684</v>
      </c>
      <c r="B607">
        <v>1.8</v>
      </c>
      <c r="C607">
        <v>32</v>
      </c>
      <c r="D607">
        <v>6</v>
      </c>
    </row>
    <row r="608" spans="1:4">
      <c r="A608" s="93" t="s">
        <v>6685</v>
      </c>
      <c r="B608">
        <v>1.7</v>
      </c>
      <c r="C608">
        <v>32</v>
      </c>
      <c r="D608">
        <v>6</v>
      </c>
    </row>
    <row r="609" spans="1:4">
      <c r="A609" s="93" t="s">
        <v>6686</v>
      </c>
      <c r="B609">
        <v>1.6</v>
      </c>
      <c r="C609">
        <v>32</v>
      </c>
      <c r="D609">
        <v>6</v>
      </c>
    </row>
    <row r="610" spans="1:4">
      <c r="A610" s="93" t="s">
        <v>6687</v>
      </c>
      <c r="B610">
        <v>1.5</v>
      </c>
      <c r="C610">
        <v>32</v>
      </c>
      <c r="D610">
        <v>6</v>
      </c>
    </row>
    <row r="611" spans="1:4">
      <c r="A611" s="93" t="s">
        <v>6688</v>
      </c>
      <c r="B611">
        <v>4.3</v>
      </c>
      <c r="C611">
        <v>33</v>
      </c>
      <c r="D611">
        <v>1</v>
      </c>
    </row>
    <row r="612" spans="1:4">
      <c r="A612" s="93" t="s">
        <v>6689</v>
      </c>
      <c r="B612">
        <v>4.2</v>
      </c>
      <c r="C612">
        <v>33</v>
      </c>
      <c r="D612">
        <v>1</v>
      </c>
    </row>
    <row r="613" spans="1:4">
      <c r="A613" s="93" t="s">
        <v>6690</v>
      </c>
      <c r="B613">
        <v>4.1</v>
      </c>
      <c r="C613">
        <v>33</v>
      </c>
      <c r="D613">
        <v>1</v>
      </c>
    </row>
    <row r="614" spans="1:4">
      <c r="A614" s="93" t="s">
        <v>6691</v>
      </c>
      <c r="B614">
        <v>4</v>
      </c>
      <c r="C614">
        <v>33</v>
      </c>
      <c r="D614">
        <v>1</v>
      </c>
    </row>
    <row r="615" spans="1:4">
      <c r="A615" s="93" t="s">
        <v>6692</v>
      </c>
      <c r="B615">
        <v>3.9</v>
      </c>
      <c r="C615">
        <v>33</v>
      </c>
      <c r="D615">
        <v>1</v>
      </c>
    </row>
    <row r="616" spans="1:4">
      <c r="A616" s="93" t="s">
        <v>6693</v>
      </c>
      <c r="B616">
        <v>3.8</v>
      </c>
      <c r="C616">
        <v>33</v>
      </c>
      <c r="D616">
        <v>1</v>
      </c>
    </row>
    <row r="617" spans="1:4">
      <c r="A617" s="93" t="s">
        <v>6694</v>
      </c>
      <c r="B617">
        <v>3.7</v>
      </c>
      <c r="C617">
        <v>33</v>
      </c>
      <c r="D617">
        <v>1</v>
      </c>
    </row>
    <row r="618" spans="1:4">
      <c r="A618" s="93" t="s">
        <v>6695</v>
      </c>
      <c r="B618">
        <v>3.6</v>
      </c>
      <c r="C618">
        <v>33</v>
      </c>
      <c r="D618">
        <v>1</v>
      </c>
    </row>
    <row r="619" spans="1:4">
      <c r="A619" s="93" t="s">
        <v>6696</v>
      </c>
      <c r="B619">
        <v>3.5</v>
      </c>
      <c r="C619">
        <v>33</v>
      </c>
      <c r="D619">
        <v>1</v>
      </c>
    </row>
    <row r="620" spans="1:4">
      <c r="A620" s="93" t="s">
        <v>6697</v>
      </c>
      <c r="B620">
        <v>3.4</v>
      </c>
      <c r="C620">
        <v>33</v>
      </c>
      <c r="D620">
        <v>1</v>
      </c>
    </row>
    <row r="621" spans="1:4">
      <c r="A621" s="93" t="s">
        <v>6698</v>
      </c>
      <c r="B621">
        <v>3.3</v>
      </c>
      <c r="C621">
        <v>33</v>
      </c>
      <c r="D621">
        <v>1</v>
      </c>
    </row>
    <row r="622" spans="1:4">
      <c r="A622" s="93" t="s">
        <v>6699</v>
      </c>
      <c r="B622">
        <v>3.2</v>
      </c>
      <c r="C622">
        <v>33</v>
      </c>
      <c r="D622">
        <v>1</v>
      </c>
    </row>
    <row r="623" spans="1:4">
      <c r="A623" s="93" t="s">
        <v>6700</v>
      </c>
      <c r="B623">
        <v>3.1</v>
      </c>
      <c r="C623">
        <v>33</v>
      </c>
      <c r="D623">
        <v>1</v>
      </c>
    </row>
    <row r="624" spans="1:4">
      <c r="A624" s="93" t="s">
        <v>6701</v>
      </c>
      <c r="B624">
        <v>3</v>
      </c>
      <c r="C624">
        <v>33</v>
      </c>
      <c r="D624">
        <v>1</v>
      </c>
    </row>
    <row r="625" spans="1:4">
      <c r="A625" s="93" t="s">
        <v>6702</v>
      </c>
      <c r="B625">
        <v>2.9</v>
      </c>
      <c r="C625">
        <v>33</v>
      </c>
      <c r="D625">
        <v>2</v>
      </c>
    </row>
    <row r="626" spans="1:4">
      <c r="A626" s="93" t="s">
        <v>6703</v>
      </c>
      <c r="B626">
        <v>2.8</v>
      </c>
      <c r="C626">
        <v>33</v>
      </c>
      <c r="D626">
        <v>2</v>
      </c>
    </row>
    <row r="627" spans="1:4">
      <c r="A627" s="93" t="s">
        <v>6704</v>
      </c>
      <c r="B627">
        <v>2.7</v>
      </c>
      <c r="C627">
        <v>33</v>
      </c>
      <c r="D627">
        <v>2</v>
      </c>
    </row>
    <row r="628" spans="1:4">
      <c r="A628" s="93" t="s">
        <v>6705</v>
      </c>
      <c r="B628">
        <v>2.6</v>
      </c>
      <c r="C628">
        <v>33</v>
      </c>
      <c r="D628">
        <v>2</v>
      </c>
    </row>
    <row r="629" spans="1:4">
      <c r="A629" s="93" t="s">
        <v>6706</v>
      </c>
      <c r="B629">
        <v>2.5</v>
      </c>
      <c r="C629">
        <v>33</v>
      </c>
      <c r="D629">
        <v>2</v>
      </c>
    </row>
    <row r="630" spans="1:4">
      <c r="A630" s="93" t="s">
        <v>6707</v>
      </c>
      <c r="B630">
        <v>2.4</v>
      </c>
      <c r="C630">
        <v>33</v>
      </c>
      <c r="D630">
        <v>2</v>
      </c>
    </row>
    <row r="631" spans="1:4">
      <c r="A631" s="93" t="s">
        <v>6708</v>
      </c>
      <c r="B631">
        <v>2.3</v>
      </c>
      <c r="C631">
        <v>33</v>
      </c>
      <c r="D631">
        <v>5</v>
      </c>
    </row>
    <row r="632" spans="1:4">
      <c r="A632" s="93" t="s">
        <v>6709</v>
      </c>
      <c r="B632">
        <v>2.2</v>
      </c>
      <c r="C632">
        <v>33</v>
      </c>
      <c r="D632">
        <v>5</v>
      </c>
    </row>
    <row r="633" spans="1:4">
      <c r="A633" s="93" t="s">
        <v>6710</v>
      </c>
      <c r="B633">
        <v>2.1</v>
      </c>
      <c r="C633">
        <v>33</v>
      </c>
      <c r="D633">
        <v>5</v>
      </c>
    </row>
    <row r="634" spans="1:4">
      <c r="A634" s="93" t="s">
        <v>6711</v>
      </c>
      <c r="B634">
        <v>2</v>
      </c>
      <c r="C634">
        <v>33</v>
      </c>
      <c r="D634">
        <v>5</v>
      </c>
    </row>
    <row r="635" spans="1:4">
      <c r="A635" s="93" t="s">
        <v>6712</v>
      </c>
      <c r="B635">
        <v>1.9</v>
      </c>
      <c r="C635">
        <v>33</v>
      </c>
      <c r="D635">
        <v>6</v>
      </c>
    </row>
    <row r="636" spans="1:4">
      <c r="A636" s="93" t="s">
        <v>6713</v>
      </c>
      <c r="B636">
        <v>1.8</v>
      </c>
      <c r="C636">
        <v>33</v>
      </c>
      <c r="D636">
        <v>6</v>
      </c>
    </row>
    <row r="637" spans="1:4">
      <c r="A637" s="93" t="s">
        <v>6714</v>
      </c>
      <c r="B637">
        <v>1.7</v>
      </c>
      <c r="C637">
        <v>33</v>
      </c>
      <c r="D637">
        <v>6</v>
      </c>
    </row>
    <row r="638" spans="1:4">
      <c r="A638" s="93" t="s">
        <v>6715</v>
      </c>
      <c r="B638">
        <v>1.6</v>
      </c>
      <c r="C638">
        <v>33</v>
      </c>
      <c r="D638">
        <v>6</v>
      </c>
    </row>
    <row r="639" spans="1:4">
      <c r="A639" s="93" t="s">
        <v>6716</v>
      </c>
      <c r="B639">
        <v>1.5</v>
      </c>
      <c r="C639">
        <v>33</v>
      </c>
      <c r="D639">
        <v>6</v>
      </c>
    </row>
    <row r="640" spans="1:4">
      <c r="A640" s="93" t="s">
        <v>6717</v>
      </c>
      <c r="B640">
        <v>4.3</v>
      </c>
      <c r="C640">
        <v>34</v>
      </c>
      <c r="D640">
        <v>1</v>
      </c>
    </row>
    <row r="641" spans="1:4">
      <c r="A641" s="93" t="s">
        <v>6718</v>
      </c>
      <c r="B641">
        <v>4.2</v>
      </c>
      <c r="C641">
        <v>34</v>
      </c>
      <c r="D641">
        <v>1</v>
      </c>
    </row>
    <row r="642" spans="1:4">
      <c r="A642" s="93" t="s">
        <v>6719</v>
      </c>
      <c r="B642">
        <v>4.1</v>
      </c>
      <c r="C642">
        <v>34</v>
      </c>
      <c r="D642">
        <v>1</v>
      </c>
    </row>
    <row r="643" spans="1:4">
      <c r="A643" s="93" t="s">
        <v>6720</v>
      </c>
      <c r="B643">
        <v>4</v>
      </c>
      <c r="C643">
        <v>34</v>
      </c>
      <c r="D643">
        <v>1</v>
      </c>
    </row>
    <row r="644" spans="1:4">
      <c r="A644" s="93" t="s">
        <v>6721</v>
      </c>
      <c r="B644">
        <v>3.9</v>
      </c>
      <c r="C644">
        <v>34</v>
      </c>
      <c r="D644">
        <v>1</v>
      </c>
    </row>
    <row r="645" spans="1:4">
      <c r="A645" s="93" t="s">
        <v>6722</v>
      </c>
      <c r="B645">
        <v>3.8</v>
      </c>
      <c r="C645">
        <v>34</v>
      </c>
      <c r="D645">
        <v>1</v>
      </c>
    </row>
    <row r="646" spans="1:4">
      <c r="A646" s="93" t="s">
        <v>6723</v>
      </c>
      <c r="B646">
        <v>3.7</v>
      </c>
      <c r="C646">
        <v>34</v>
      </c>
      <c r="D646">
        <v>1</v>
      </c>
    </row>
    <row r="647" spans="1:4">
      <c r="A647" s="93" t="s">
        <v>6724</v>
      </c>
      <c r="B647">
        <v>3.6</v>
      </c>
      <c r="C647">
        <v>34</v>
      </c>
      <c r="D647">
        <v>1</v>
      </c>
    </row>
    <row r="648" spans="1:4">
      <c r="A648" s="93" t="s">
        <v>6725</v>
      </c>
      <c r="B648">
        <v>3.5</v>
      </c>
      <c r="C648">
        <v>34</v>
      </c>
      <c r="D648">
        <v>1</v>
      </c>
    </row>
    <row r="649" spans="1:4">
      <c r="A649" s="93" t="s">
        <v>6726</v>
      </c>
      <c r="B649">
        <v>3.4</v>
      </c>
      <c r="C649">
        <v>34</v>
      </c>
      <c r="D649">
        <v>1</v>
      </c>
    </row>
    <row r="650" spans="1:4">
      <c r="A650" s="93" t="s">
        <v>6727</v>
      </c>
      <c r="B650">
        <v>3.3</v>
      </c>
      <c r="C650">
        <v>34</v>
      </c>
      <c r="D650">
        <v>1</v>
      </c>
    </row>
    <row r="651" spans="1:4">
      <c r="A651" s="93" t="s">
        <v>6728</v>
      </c>
      <c r="B651">
        <v>3.2</v>
      </c>
      <c r="C651">
        <v>34</v>
      </c>
      <c r="D651">
        <v>1</v>
      </c>
    </row>
    <row r="652" spans="1:4">
      <c r="A652" s="93" t="s">
        <v>6729</v>
      </c>
      <c r="B652">
        <v>3.1</v>
      </c>
      <c r="C652">
        <v>34</v>
      </c>
      <c r="D652">
        <v>1</v>
      </c>
    </row>
    <row r="653" spans="1:4">
      <c r="A653" s="93" t="s">
        <v>6730</v>
      </c>
      <c r="B653">
        <v>3</v>
      </c>
      <c r="C653">
        <v>34</v>
      </c>
      <c r="D653">
        <v>1</v>
      </c>
    </row>
    <row r="654" spans="1:4">
      <c r="A654" s="93" t="s">
        <v>6731</v>
      </c>
      <c r="B654">
        <v>2.9</v>
      </c>
      <c r="C654">
        <v>34</v>
      </c>
      <c r="D654">
        <v>1</v>
      </c>
    </row>
    <row r="655" spans="1:4">
      <c r="A655" s="93" t="s">
        <v>6732</v>
      </c>
      <c r="B655">
        <v>2.8</v>
      </c>
      <c r="C655">
        <v>34</v>
      </c>
      <c r="D655">
        <v>1</v>
      </c>
    </row>
    <row r="656" spans="1:4">
      <c r="A656" s="93" t="s">
        <v>6733</v>
      </c>
      <c r="B656">
        <v>2.7</v>
      </c>
      <c r="C656">
        <v>34</v>
      </c>
      <c r="D656">
        <v>2</v>
      </c>
    </row>
    <row r="657" spans="1:4">
      <c r="A657" s="93" t="s">
        <v>6734</v>
      </c>
      <c r="B657">
        <v>2.6</v>
      </c>
      <c r="C657">
        <v>34</v>
      </c>
      <c r="D657">
        <v>2</v>
      </c>
    </row>
    <row r="658" spans="1:4">
      <c r="A658" s="93" t="s">
        <v>6735</v>
      </c>
      <c r="B658">
        <v>2.5</v>
      </c>
      <c r="C658">
        <v>34</v>
      </c>
      <c r="D658">
        <v>2</v>
      </c>
    </row>
    <row r="659" spans="1:4">
      <c r="A659" s="93" t="s">
        <v>6736</v>
      </c>
      <c r="B659">
        <v>2.4</v>
      </c>
      <c r="C659">
        <v>34</v>
      </c>
      <c r="D659">
        <v>2</v>
      </c>
    </row>
    <row r="660" spans="1:4">
      <c r="A660" s="93" t="s">
        <v>6737</v>
      </c>
      <c r="B660">
        <v>2.3</v>
      </c>
      <c r="C660">
        <v>34</v>
      </c>
      <c r="D660">
        <v>2</v>
      </c>
    </row>
    <row r="661" spans="1:4">
      <c r="A661" s="93" t="s">
        <v>6738</v>
      </c>
      <c r="B661">
        <v>2.2</v>
      </c>
      <c r="C661">
        <v>34</v>
      </c>
      <c r="D661">
        <v>5</v>
      </c>
    </row>
    <row r="662" spans="1:4">
      <c r="A662" s="93" t="s">
        <v>6739</v>
      </c>
      <c r="B662">
        <v>2.1</v>
      </c>
      <c r="C662">
        <v>34</v>
      </c>
      <c r="D662">
        <v>5</v>
      </c>
    </row>
    <row r="663" spans="1:4">
      <c r="A663" s="93" t="s">
        <v>6740</v>
      </c>
      <c r="B663">
        <v>2</v>
      </c>
      <c r="C663">
        <v>34</v>
      </c>
      <c r="D663">
        <v>5</v>
      </c>
    </row>
    <row r="664" spans="1:4">
      <c r="A664" s="93" t="s">
        <v>6741</v>
      </c>
      <c r="B664">
        <v>1.9</v>
      </c>
      <c r="C664">
        <v>34</v>
      </c>
      <c r="D664">
        <v>5</v>
      </c>
    </row>
    <row r="665" spans="1:4">
      <c r="A665" s="93" t="s">
        <v>6742</v>
      </c>
      <c r="B665">
        <v>1.8</v>
      </c>
      <c r="C665">
        <v>34</v>
      </c>
      <c r="D665">
        <v>6</v>
      </c>
    </row>
    <row r="666" spans="1:4">
      <c r="A666" s="93" t="s">
        <v>6743</v>
      </c>
      <c r="B666">
        <v>1.7</v>
      </c>
      <c r="C666">
        <v>34</v>
      </c>
      <c r="D666">
        <v>6</v>
      </c>
    </row>
    <row r="667" spans="1:4">
      <c r="A667" s="93" t="s">
        <v>6744</v>
      </c>
      <c r="B667">
        <v>1.6</v>
      </c>
      <c r="C667">
        <v>34</v>
      </c>
      <c r="D667">
        <v>6</v>
      </c>
    </row>
    <row r="668" spans="1:4">
      <c r="A668" s="93" t="s">
        <v>6745</v>
      </c>
      <c r="B668">
        <v>1.5</v>
      </c>
      <c r="C668">
        <v>34</v>
      </c>
      <c r="D668">
        <v>6</v>
      </c>
    </row>
    <row r="669" spans="1:4">
      <c r="A669" s="93" t="s">
        <v>6746</v>
      </c>
      <c r="B669">
        <v>4.3</v>
      </c>
      <c r="C669">
        <v>35</v>
      </c>
      <c r="D669">
        <v>1</v>
      </c>
    </row>
    <row r="670" spans="1:4">
      <c r="A670" s="93" t="s">
        <v>6747</v>
      </c>
      <c r="B670">
        <v>4.2</v>
      </c>
      <c r="C670">
        <v>35</v>
      </c>
      <c r="D670">
        <v>1</v>
      </c>
    </row>
    <row r="671" spans="1:4">
      <c r="A671" s="93" t="s">
        <v>6748</v>
      </c>
      <c r="B671">
        <v>4.1</v>
      </c>
      <c r="C671">
        <v>35</v>
      </c>
      <c r="D671">
        <v>1</v>
      </c>
    </row>
    <row r="672" spans="1:4">
      <c r="A672" s="93" t="s">
        <v>6749</v>
      </c>
      <c r="B672">
        <v>4</v>
      </c>
      <c r="C672">
        <v>35</v>
      </c>
      <c r="D672">
        <v>1</v>
      </c>
    </row>
    <row r="673" spans="1:4">
      <c r="A673" s="93" t="s">
        <v>6750</v>
      </c>
      <c r="B673">
        <v>3.9</v>
      </c>
      <c r="C673">
        <v>35</v>
      </c>
      <c r="D673">
        <v>1</v>
      </c>
    </row>
    <row r="674" spans="1:4">
      <c r="A674" s="93" t="s">
        <v>6751</v>
      </c>
      <c r="B674">
        <v>3.8</v>
      </c>
      <c r="C674">
        <v>35</v>
      </c>
      <c r="D674">
        <v>1</v>
      </c>
    </row>
    <row r="675" spans="1:4">
      <c r="A675" s="93" t="s">
        <v>6752</v>
      </c>
      <c r="B675">
        <v>3.7</v>
      </c>
      <c r="C675">
        <v>35</v>
      </c>
      <c r="D675">
        <v>1</v>
      </c>
    </row>
    <row r="676" spans="1:4">
      <c r="A676" s="93" t="s">
        <v>6753</v>
      </c>
      <c r="B676">
        <v>3.6</v>
      </c>
      <c r="C676">
        <v>35</v>
      </c>
      <c r="D676">
        <v>1</v>
      </c>
    </row>
    <row r="677" spans="1:4">
      <c r="A677" s="93" t="s">
        <v>6754</v>
      </c>
      <c r="B677">
        <v>3.5</v>
      </c>
      <c r="C677">
        <v>35</v>
      </c>
      <c r="D677">
        <v>1</v>
      </c>
    </row>
    <row r="678" spans="1:4">
      <c r="A678" s="93" t="s">
        <v>6755</v>
      </c>
      <c r="B678">
        <v>3.4</v>
      </c>
      <c r="C678">
        <v>35</v>
      </c>
      <c r="D678">
        <v>1</v>
      </c>
    </row>
    <row r="679" spans="1:4">
      <c r="A679" s="93" t="s">
        <v>6756</v>
      </c>
      <c r="B679">
        <v>3.3</v>
      </c>
      <c r="C679">
        <v>35</v>
      </c>
      <c r="D679">
        <v>1</v>
      </c>
    </row>
    <row r="680" spans="1:4">
      <c r="A680" s="93" t="s">
        <v>6757</v>
      </c>
      <c r="B680">
        <v>3.2</v>
      </c>
      <c r="C680">
        <v>35</v>
      </c>
      <c r="D680">
        <v>1</v>
      </c>
    </row>
    <row r="681" spans="1:4">
      <c r="A681" s="93" t="s">
        <v>6758</v>
      </c>
      <c r="B681">
        <v>3.1</v>
      </c>
      <c r="C681">
        <v>35</v>
      </c>
      <c r="D681">
        <v>1</v>
      </c>
    </row>
    <row r="682" spans="1:4">
      <c r="A682" s="93" t="s">
        <v>6759</v>
      </c>
      <c r="B682">
        <v>3</v>
      </c>
      <c r="C682">
        <v>35</v>
      </c>
      <c r="D682">
        <v>1</v>
      </c>
    </row>
    <row r="683" spans="1:4">
      <c r="A683" s="93" t="s">
        <v>6760</v>
      </c>
      <c r="B683">
        <v>2.9</v>
      </c>
      <c r="C683">
        <v>35</v>
      </c>
      <c r="D683">
        <v>1</v>
      </c>
    </row>
    <row r="684" spans="1:4">
      <c r="A684" s="93" t="s">
        <v>6761</v>
      </c>
      <c r="B684">
        <v>2.8</v>
      </c>
      <c r="C684">
        <v>35</v>
      </c>
      <c r="D684">
        <v>1</v>
      </c>
    </row>
    <row r="685" spans="1:4">
      <c r="A685" s="93" t="s">
        <v>6762</v>
      </c>
      <c r="B685">
        <v>2.7</v>
      </c>
      <c r="C685">
        <v>35</v>
      </c>
      <c r="D685">
        <v>1</v>
      </c>
    </row>
    <row r="686" spans="1:4">
      <c r="A686" s="93" t="s">
        <v>6763</v>
      </c>
      <c r="B686">
        <v>2.6</v>
      </c>
      <c r="C686">
        <v>35</v>
      </c>
      <c r="D686">
        <v>1</v>
      </c>
    </row>
    <row r="687" spans="1:4">
      <c r="A687" s="93" t="s">
        <v>6764</v>
      </c>
      <c r="B687">
        <v>2.5</v>
      </c>
      <c r="C687">
        <v>35</v>
      </c>
      <c r="D687">
        <v>2</v>
      </c>
    </row>
    <row r="688" spans="1:4">
      <c r="A688" s="93" t="s">
        <v>6765</v>
      </c>
      <c r="B688">
        <v>2.4</v>
      </c>
      <c r="C688">
        <v>35</v>
      </c>
      <c r="D688">
        <v>2</v>
      </c>
    </row>
    <row r="689" spans="1:4">
      <c r="A689" s="93" t="s">
        <v>6766</v>
      </c>
      <c r="B689">
        <v>2.3</v>
      </c>
      <c r="C689">
        <v>35</v>
      </c>
      <c r="D689">
        <v>2</v>
      </c>
    </row>
    <row r="690" spans="1:4">
      <c r="A690" s="93" t="s">
        <v>6767</v>
      </c>
      <c r="B690">
        <v>2.2</v>
      </c>
      <c r="C690">
        <v>35</v>
      </c>
      <c r="D690">
        <v>5</v>
      </c>
    </row>
    <row r="691" spans="1:4">
      <c r="A691" s="93" t="s">
        <v>6768</v>
      </c>
      <c r="B691">
        <v>2.1</v>
      </c>
      <c r="C691">
        <v>35</v>
      </c>
      <c r="D691">
        <v>5</v>
      </c>
    </row>
    <row r="692" spans="1:4">
      <c r="A692" s="93" t="s">
        <v>6769</v>
      </c>
      <c r="B692">
        <v>2</v>
      </c>
      <c r="C692">
        <v>35</v>
      </c>
      <c r="D692">
        <v>5</v>
      </c>
    </row>
    <row r="693" spans="1:4">
      <c r="A693" s="93" t="s">
        <v>6770</v>
      </c>
      <c r="B693">
        <v>1.9</v>
      </c>
      <c r="C693">
        <v>35</v>
      </c>
      <c r="D693">
        <v>5</v>
      </c>
    </row>
    <row r="694" spans="1:4">
      <c r="A694" s="93" t="s">
        <v>6771</v>
      </c>
      <c r="B694">
        <v>1.8</v>
      </c>
      <c r="C694">
        <v>35</v>
      </c>
      <c r="D694">
        <v>5</v>
      </c>
    </row>
    <row r="695" spans="1:4">
      <c r="A695" s="93" t="s">
        <v>6772</v>
      </c>
      <c r="B695">
        <v>1.7</v>
      </c>
      <c r="C695">
        <v>35</v>
      </c>
      <c r="D695">
        <v>6</v>
      </c>
    </row>
    <row r="696" spans="1:4">
      <c r="A696" s="93" t="s">
        <v>6773</v>
      </c>
      <c r="B696">
        <v>1.6</v>
      </c>
      <c r="C696">
        <v>35</v>
      </c>
      <c r="D696">
        <v>6</v>
      </c>
    </row>
    <row r="697" spans="1:4">
      <c r="A697" s="93" t="s">
        <v>6774</v>
      </c>
      <c r="B697">
        <v>1.5</v>
      </c>
      <c r="C697">
        <v>35</v>
      </c>
      <c r="D697">
        <v>6</v>
      </c>
    </row>
    <row r="698" spans="1:4">
      <c r="A698" s="93" t="s">
        <v>6775</v>
      </c>
      <c r="B698">
        <v>4.3</v>
      </c>
      <c r="C698">
        <v>36</v>
      </c>
      <c r="D698">
        <v>1</v>
      </c>
    </row>
    <row r="699" spans="1:4">
      <c r="A699" s="93" t="s">
        <v>6776</v>
      </c>
      <c r="B699">
        <v>4.2</v>
      </c>
      <c r="C699">
        <v>36</v>
      </c>
      <c r="D699">
        <v>1</v>
      </c>
    </row>
    <row r="700" spans="1:4">
      <c r="A700" s="93" t="s">
        <v>6777</v>
      </c>
      <c r="B700">
        <v>4.1</v>
      </c>
      <c r="C700">
        <v>36</v>
      </c>
      <c r="D700">
        <v>1</v>
      </c>
    </row>
    <row r="701" spans="1:4">
      <c r="A701" s="93" t="s">
        <v>6778</v>
      </c>
      <c r="B701">
        <v>4</v>
      </c>
      <c r="C701">
        <v>36</v>
      </c>
      <c r="D701">
        <v>1</v>
      </c>
    </row>
    <row r="702" spans="1:4">
      <c r="A702" s="93" t="s">
        <v>6779</v>
      </c>
      <c r="B702">
        <v>3.9</v>
      </c>
      <c r="C702">
        <v>36</v>
      </c>
      <c r="D702">
        <v>1</v>
      </c>
    </row>
    <row r="703" spans="1:4">
      <c r="A703" s="93" t="s">
        <v>6780</v>
      </c>
      <c r="B703">
        <v>3.8</v>
      </c>
      <c r="C703">
        <v>36</v>
      </c>
      <c r="D703">
        <v>1</v>
      </c>
    </row>
    <row r="704" spans="1:4">
      <c r="A704" s="93" t="s">
        <v>6781</v>
      </c>
      <c r="B704">
        <v>3.7</v>
      </c>
      <c r="C704">
        <v>36</v>
      </c>
      <c r="D704">
        <v>1</v>
      </c>
    </row>
    <row r="705" spans="1:4">
      <c r="A705" s="93" t="s">
        <v>6782</v>
      </c>
      <c r="B705">
        <v>3.6</v>
      </c>
      <c r="C705">
        <v>36</v>
      </c>
      <c r="D705">
        <v>1</v>
      </c>
    </row>
    <row r="706" spans="1:4">
      <c r="A706" s="93" t="s">
        <v>6783</v>
      </c>
      <c r="B706">
        <v>3.5</v>
      </c>
      <c r="C706">
        <v>36</v>
      </c>
      <c r="D706">
        <v>1</v>
      </c>
    </row>
    <row r="707" spans="1:4">
      <c r="A707" s="93" t="s">
        <v>6784</v>
      </c>
      <c r="B707">
        <v>3.4</v>
      </c>
      <c r="C707">
        <v>36</v>
      </c>
      <c r="D707">
        <v>1</v>
      </c>
    </row>
    <row r="708" spans="1:4">
      <c r="A708" s="93" t="s">
        <v>6785</v>
      </c>
      <c r="B708">
        <v>3.3</v>
      </c>
      <c r="C708">
        <v>36</v>
      </c>
      <c r="D708">
        <v>1</v>
      </c>
    </row>
    <row r="709" spans="1:4">
      <c r="A709" s="93" t="s">
        <v>6786</v>
      </c>
      <c r="B709">
        <v>3.2</v>
      </c>
      <c r="C709">
        <v>36</v>
      </c>
      <c r="D709">
        <v>1</v>
      </c>
    </row>
    <row r="710" spans="1:4">
      <c r="A710" s="93" t="s">
        <v>6787</v>
      </c>
      <c r="B710">
        <v>3.1</v>
      </c>
      <c r="C710">
        <v>36</v>
      </c>
      <c r="D710">
        <v>1</v>
      </c>
    </row>
    <row r="711" spans="1:4">
      <c r="A711" s="93" t="s">
        <v>6788</v>
      </c>
      <c r="B711">
        <v>3</v>
      </c>
      <c r="C711">
        <v>36</v>
      </c>
      <c r="D711">
        <v>1</v>
      </c>
    </row>
    <row r="712" spans="1:4">
      <c r="A712" s="93" t="s">
        <v>6789</v>
      </c>
      <c r="B712">
        <v>2.9</v>
      </c>
      <c r="C712">
        <v>36</v>
      </c>
      <c r="D712">
        <v>1</v>
      </c>
    </row>
    <row r="713" spans="1:4">
      <c r="A713" s="93" t="s">
        <v>6790</v>
      </c>
      <c r="B713">
        <v>2.8</v>
      </c>
      <c r="C713">
        <v>36</v>
      </c>
      <c r="D713">
        <v>1</v>
      </c>
    </row>
    <row r="714" spans="1:4">
      <c r="A714" s="93" t="s">
        <v>6791</v>
      </c>
      <c r="B714">
        <v>2.7</v>
      </c>
      <c r="C714">
        <v>36</v>
      </c>
      <c r="D714">
        <v>1</v>
      </c>
    </row>
    <row r="715" spans="1:4">
      <c r="A715" s="93" t="s">
        <v>6792</v>
      </c>
      <c r="B715">
        <v>2.6</v>
      </c>
      <c r="C715">
        <v>36</v>
      </c>
      <c r="D715">
        <v>1</v>
      </c>
    </row>
    <row r="716" spans="1:4">
      <c r="A716" s="93" t="s">
        <v>6793</v>
      </c>
      <c r="B716">
        <v>2.5</v>
      </c>
      <c r="C716">
        <v>36</v>
      </c>
      <c r="D716">
        <v>1</v>
      </c>
    </row>
    <row r="717" spans="1:4">
      <c r="A717" s="93" t="s">
        <v>6794</v>
      </c>
      <c r="B717">
        <v>2.4</v>
      </c>
      <c r="C717">
        <v>36</v>
      </c>
      <c r="D717">
        <v>1</v>
      </c>
    </row>
    <row r="718" spans="1:4">
      <c r="A718" s="93" t="s">
        <v>6795</v>
      </c>
      <c r="B718">
        <v>2.3</v>
      </c>
      <c r="C718">
        <v>36</v>
      </c>
      <c r="D718">
        <v>1</v>
      </c>
    </row>
    <row r="719" spans="1:4">
      <c r="A719" s="93" t="s">
        <v>6796</v>
      </c>
      <c r="B719">
        <v>2.2</v>
      </c>
      <c r="C719">
        <v>36</v>
      </c>
      <c r="D719">
        <v>2</v>
      </c>
    </row>
    <row r="720" spans="1:4">
      <c r="A720" s="93" t="s">
        <v>6797</v>
      </c>
      <c r="B720">
        <v>2.1</v>
      </c>
      <c r="C720">
        <v>36</v>
      </c>
      <c r="D720">
        <v>5</v>
      </c>
    </row>
    <row r="721" spans="1:4">
      <c r="A721" s="93" t="s">
        <v>6798</v>
      </c>
      <c r="B721">
        <v>2</v>
      </c>
      <c r="C721">
        <v>36</v>
      </c>
      <c r="D721">
        <v>5</v>
      </c>
    </row>
    <row r="722" spans="1:4">
      <c r="A722" s="93" t="s">
        <v>6799</v>
      </c>
      <c r="B722">
        <v>1.9</v>
      </c>
      <c r="C722">
        <v>36</v>
      </c>
      <c r="D722">
        <v>5</v>
      </c>
    </row>
    <row r="723" spans="1:4">
      <c r="A723" s="93" t="s">
        <v>6800</v>
      </c>
      <c r="B723">
        <v>1.8</v>
      </c>
      <c r="C723">
        <v>36</v>
      </c>
      <c r="D723">
        <v>5</v>
      </c>
    </row>
    <row r="724" spans="1:4">
      <c r="A724" s="93" t="s">
        <v>6801</v>
      </c>
      <c r="B724">
        <v>1.7</v>
      </c>
      <c r="C724">
        <v>36</v>
      </c>
      <c r="D724">
        <v>5</v>
      </c>
    </row>
    <row r="725" spans="1:4">
      <c r="A725" s="93" t="s">
        <v>6802</v>
      </c>
      <c r="B725">
        <v>1.6</v>
      </c>
      <c r="C725">
        <v>36</v>
      </c>
      <c r="D725">
        <v>6</v>
      </c>
    </row>
    <row r="726" spans="1:4">
      <c r="A726" s="93" t="s">
        <v>6803</v>
      </c>
      <c r="B726">
        <v>1.5</v>
      </c>
      <c r="C726">
        <v>36</v>
      </c>
      <c r="D726">
        <v>6</v>
      </c>
    </row>
  </sheetData>
  <autoFilter ref="A1:D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2" max="7" width="15.7109375" style="92" customWidth="1"/>
  </cols>
  <sheetData>
    <row r="1" spans="1:7">
      <c r="A1" s="93" t="s">
        <v>0</v>
      </c>
      <c r="B1" s="93" t="s">
        <v>6804</v>
      </c>
      <c r="C1" s="93" t="s">
        <v>6805</v>
      </c>
      <c r="D1" s="93" t="s">
        <v>6806</v>
      </c>
      <c r="E1" s="93" t="s">
        <v>6807</v>
      </c>
      <c r="F1" s="93" t="s">
        <v>6808</v>
      </c>
      <c r="G1" s="93" t="s">
        <v>6809</v>
      </c>
    </row>
    <row r="2" spans="1:7">
      <c r="A2" s="93" t="s">
        <v>6810</v>
      </c>
      <c r="B2" s="92">
        <v>0.9</v>
      </c>
      <c r="C2" s="92">
        <v>0.93</v>
      </c>
      <c r="D2" s="92">
        <v>0.91</v>
      </c>
      <c r="E2" s="92">
        <v>0.93</v>
      </c>
      <c r="F2" s="92">
        <v>0.85</v>
      </c>
      <c r="G2" s="92">
        <v>0.91</v>
      </c>
    </row>
    <row r="3" spans="1:7">
      <c r="A3" s="93" t="s">
        <v>6811</v>
      </c>
      <c r="B3" s="92">
        <v>0.77</v>
      </c>
      <c r="C3" s="92">
        <v>0.85</v>
      </c>
      <c r="D3" s="92">
        <v>0.91</v>
      </c>
      <c r="E3" s="92">
        <v>0.92</v>
      </c>
      <c r="F3" s="92">
        <v>0.76</v>
      </c>
      <c r="G3" s="92">
        <v>0.8</v>
      </c>
    </row>
    <row r="4" spans="1:7">
      <c r="A4" s="93" t="s">
        <v>6812</v>
      </c>
      <c r="B4" s="92">
        <v>0.75</v>
      </c>
      <c r="C4" s="92">
        <v>0.78</v>
      </c>
      <c r="D4" s="92">
        <v>0.79</v>
      </c>
      <c r="E4" s="92">
        <v>0.82</v>
      </c>
      <c r="F4" s="92">
        <v>0.54</v>
      </c>
      <c r="G4" s="92">
        <v>0.64</v>
      </c>
    </row>
    <row r="5" spans="1:7">
      <c r="A5" s="93" t="s">
        <v>6813</v>
      </c>
      <c r="B5" s="92">
        <v>0.64</v>
      </c>
      <c r="C5" s="92">
        <v>0.75</v>
      </c>
      <c r="D5" s="92">
        <v>0.51</v>
      </c>
      <c r="E5" s="92">
        <v>0.62</v>
      </c>
      <c r="F5" s="92">
        <v>0.54</v>
      </c>
      <c r="G5" s="92">
        <v>0.61</v>
      </c>
    </row>
    <row r="6" spans="1:7">
      <c r="A6" s="93" t="s">
        <v>6814</v>
      </c>
      <c r="B6" s="92">
        <v>0.45</v>
      </c>
      <c r="C6" s="92">
        <v>0.6</v>
      </c>
      <c r="D6" s="92">
        <v>0.51</v>
      </c>
      <c r="E6" s="92">
        <v>0.62</v>
      </c>
      <c r="F6" s="92">
        <v>0.41</v>
      </c>
      <c r="G6" s="92">
        <v>0.43</v>
      </c>
    </row>
    <row r="7" spans="1:7">
      <c r="A7" s="93" t="s">
        <v>6815</v>
      </c>
      <c r="B7" s="92">
        <v>0.45</v>
      </c>
      <c r="C7" s="92">
        <v>0.52</v>
      </c>
      <c r="D7" s="92">
        <v>0.51</v>
      </c>
      <c r="E7" s="92">
        <v>0.62</v>
      </c>
      <c r="F7" s="92">
        <v>0.41</v>
      </c>
      <c r="G7" s="92">
        <v>0.43</v>
      </c>
    </row>
    <row r="8" spans="1:7">
      <c r="A8" s="93" t="s">
        <v>6816</v>
      </c>
      <c r="B8" s="92">
        <v>0.45</v>
      </c>
      <c r="C8" s="92">
        <v>0.51</v>
      </c>
      <c r="D8" s="92">
        <v>0.51</v>
      </c>
      <c r="E8" s="92">
        <v>0.62</v>
      </c>
      <c r="F8" s="92">
        <v>0.41</v>
      </c>
      <c r="G8" s="92">
        <v>0.43</v>
      </c>
    </row>
    <row r="9" spans="1:7">
      <c r="A9" s="93" t="s">
        <v>6817</v>
      </c>
      <c r="B9" s="92">
        <v>0.45</v>
      </c>
      <c r="C9" s="92">
        <v>0.51</v>
      </c>
      <c r="D9" s="92">
        <v>0.51</v>
      </c>
      <c r="E9" s="92">
        <v>0.62</v>
      </c>
      <c r="F9" s="92">
        <v>0.41</v>
      </c>
      <c r="G9" s="92">
        <v>0.43</v>
      </c>
    </row>
    <row r="10" spans="1:7">
      <c r="A10" s="93" t="s">
        <v>6818</v>
      </c>
      <c r="B10" s="92">
        <v>0.41</v>
      </c>
      <c r="C10" s="92">
        <v>0.47</v>
      </c>
      <c r="D10" s="92">
        <v>0.45</v>
      </c>
      <c r="E10" s="92">
        <v>0.5</v>
      </c>
      <c r="F10" s="92">
        <v>0.25</v>
      </c>
      <c r="G10" s="92">
        <v>0.32</v>
      </c>
    </row>
    <row r="11" spans="1:7">
      <c r="A11" s="93" t="s">
        <v>6819</v>
      </c>
      <c r="B11" s="92">
        <v>0.39</v>
      </c>
      <c r="C11" s="92">
        <v>0.44</v>
      </c>
      <c r="D11" s="92">
        <v>0.45</v>
      </c>
      <c r="E11" s="92">
        <v>0.5</v>
      </c>
      <c r="F11" s="92">
        <v>0.25</v>
      </c>
      <c r="G11" s="92">
        <v>0.32</v>
      </c>
    </row>
    <row r="12" spans="1:7">
      <c r="A12" s="93" t="s">
        <v>6820</v>
      </c>
      <c r="B12" s="92">
        <v>0.32</v>
      </c>
      <c r="C12" s="92">
        <v>0.42</v>
      </c>
      <c r="D12" s="92">
        <v>0.27</v>
      </c>
      <c r="E12" s="92">
        <v>0.3</v>
      </c>
      <c r="F12" s="92">
        <v>0.25</v>
      </c>
      <c r="G12" s="92">
        <v>0.32</v>
      </c>
    </row>
    <row r="13" spans="1:7">
      <c r="A13" s="93" t="s">
        <v>6821</v>
      </c>
      <c r="B13" s="92">
        <v>0.26</v>
      </c>
      <c r="C13" s="92">
        <v>0.41</v>
      </c>
      <c r="D13" s="92">
        <v>0.27</v>
      </c>
      <c r="E13" s="92">
        <v>0.3</v>
      </c>
      <c r="F13" s="92">
        <v>0.25</v>
      </c>
      <c r="G13" s="92">
        <v>0.32</v>
      </c>
    </row>
    <row r="14" spans="1:7">
      <c r="A14" s="93" t="s">
        <v>6822</v>
      </c>
      <c r="B14" s="92">
        <v>0.26</v>
      </c>
      <c r="C14" s="92">
        <v>0.41</v>
      </c>
      <c r="D14" s="92">
        <v>0.27</v>
      </c>
      <c r="E14" s="92">
        <v>0.3</v>
      </c>
      <c r="F14" s="92">
        <v>0.25</v>
      </c>
      <c r="G14" s="92">
        <v>0.32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2" width="18.7109375" customWidth="1"/>
  </cols>
  <sheetData>
    <row r="1" spans="1:3">
      <c r="A1" s="88" t="s">
        <v>6823</v>
      </c>
      <c r="B1" s="88" t="s">
        <v>6824</v>
      </c>
      <c r="C1" s="88" t="s">
        <v>6825</v>
      </c>
    </row>
    <row r="2" spans="1:3">
      <c r="A2" t="s">
        <v>6826</v>
      </c>
      <c r="B2" t="s">
        <v>6827</v>
      </c>
      <c r="C2">
        <f>LEFT(TargetGRLabel,1)&amp;"GR"</f>
        <v>0</v>
      </c>
    </row>
    <row r="3" spans="1:3">
      <c r="A3" t="s">
        <v>6828</v>
      </c>
      <c r="B3" t="s">
        <v>6829</v>
      </c>
      <c r="C3">
        <f>LEFT(IdealGRLabel,1)&amp;"GR"</f>
        <v>0</v>
      </c>
    </row>
    <row r="4" spans="1:3">
      <c r="A4" t="s">
        <v>6830</v>
      </c>
      <c r="B4" t="s">
        <v>6831</v>
      </c>
    </row>
    <row r="5" spans="1:3">
      <c r="A5" t="s">
        <v>6832</v>
      </c>
      <c r="B5" t="s">
        <v>6833</v>
      </c>
    </row>
    <row r="6" spans="1:3">
      <c r="A6" t="s">
        <v>6834</v>
      </c>
      <c r="B6" t="s">
        <v>67</v>
      </c>
    </row>
    <row r="7" spans="1:3">
      <c r="A7" t="s">
        <v>6835</v>
      </c>
      <c r="B7" t="s">
        <v>66</v>
      </c>
    </row>
    <row r="8" spans="1:3">
      <c r="A8" t="s">
        <v>6836</v>
      </c>
      <c r="B8" t="s">
        <v>65</v>
      </c>
    </row>
    <row r="9" spans="1:3">
      <c r="A9" t="s">
        <v>6837</v>
      </c>
      <c r="B9" t="s">
        <v>64</v>
      </c>
    </row>
    <row r="10" spans="1:3">
      <c r="A10" t="s">
        <v>6838</v>
      </c>
      <c r="B10" t="s">
        <v>63</v>
      </c>
    </row>
    <row r="11" spans="1:3">
      <c r="A11" t="s">
        <v>6839</v>
      </c>
      <c r="B11" t="s">
        <v>62</v>
      </c>
    </row>
    <row r="12" spans="1:3">
      <c r="A12" t="s">
        <v>6840</v>
      </c>
      <c r="B12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130</vt:i4>
      </vt:variant>
    </vt:vector>
  </HeadingPairs>
  <TitlesOfParts>
    <vt:vector size="144" baseType="lpstr">
      <vt:lpstr>Chart</vt:lpstr>
      <vt:lpstr>Summary</vt:lpstr>
      <vt:lpstr>Students</vt:lpstr>
      <vt:lpstr>SingleStudentView</vt:lpstr>
      <vt:lpstr>SingleStudentViewBlank</vt:lpstr>
      <vt:lpstr>Applications</vt:lpstr>
      <vt:lpstr>AllColleges</vt:lpstr>
      <vt:lpstr>CollegeListLookup</vt:lpstr>
      <vt:lpstr>CustomWeights</vt:lpstr>
      <vt:lpstr>Coefficients</vt:lpstr>
      <vt:lpstr>SATtoACT</vt:lpstr>
      <vt:lpstr>Strategies</vt:lpstr>
      <vt:lpstr>Targets</vt:lpstr>
      <vt:lpstr>Labels</vt:lpstr>
      <vt:lpstr>AcceptTotal</vt:lpstr>
      <vt:lpstr>ActualACT</vt:lpstr>
      <vt:lpstr>ActualSAT</vt:lpstr>
      <vt:lpstr>Advisors</vt:lpstr>
      <vt:lpstr>AllCollegeAAHGR</vt:lpstr>
      <vt:lpstr>AllCollegeACT25</vt:lpstr>
      <vt:lpstr>AllCollegeACT50</vt:lpstr>
      <vt:lpstr>AllCollegeBarrons</vt:lpstr>
      <vt:lpstr>AllCollegeChicago</vt:lpstr>
      <vt:lpstr>AllCollegeGR</vt:lpstr>
      <vt:lpstr>AllCollegeHBCU</vt:lpstr>
      <vt:lpstr>AllCollegeILPub</vt:lpstr>
      <vt:lpstr>AllCollegeLookup</vt:lpstr>
      <vt:lpstr>AllCollegeMoney</vt:lpstr>
      <vt:lpstr>AllCollegeMoneyCode</vt:lpstr>
      <vt:lpstr>AllCollegeNames</vt:lpstr>
      <vt:lpstr>AllCollegeNCES</vt:lpstr>
      <vt:lpstr>AllGradRates</vt:lpstr>
      <vt:lpstr>AllMoneyApps</vt:lpstr>
      <vt:lpstr>Apps</vt:lpstr>
      <vt:lpstr>AppsSubmitted</vt:lpstr>
      <vt:lpstr>BadMoney</vt:lpstr>
      <vt:lpstr>BadMoneyApps</vt:lpstr>
      <vt:lpstr>Barrons</vt:lpstr>
      <vt:lpstr>BelowGRLabel</vt:lpstr>
      <vt:lpstr>Campus</vt:lpstr>
      <vt:lpstr>Classes</vt:lpstr>
      <vt:lpstr>CoefficientsACT</vt:lpstr>
      <vt:lpstr>CoefficientsGPA</vt:lpstr>
      <vt:lpstr>CoefficientsIndex</vt:lpstr>
      <vt:lpstr>CoefficientsIntercept</vt:lpstr>
      <vt:lpstr>CoefficientsMatchCode</vt:lpstr>
      <vt:lpstr>Cohort</vt:lpstr>
      <vt:lpstr>CollegeListLookup</vt:lpstr>
      <vt:lpstr>CollegeNames</vt:lpstr>
      <vt:lpstr>Counselor</vt:lpstr>
      <vt:lpstr>CustomWeightsACT</vt:lpstr>
      <vt:lpstr>CustomWeightsGPA</vt:lpstr>
      <vt:lpstr>CustomWeightsIndex</vt:lpstr>
      <vt:lpstr>CustomWeightsIntercept</vt:lpstr>
      <vt:lpstr>Denied</vt:lpstr>
      <vt:lpstr>ExtraCollegeChoice</vt:lpstr>
      <vt:lpstr>ExtraCollegeNCES</vt:lpstr>
      <vt:lpstr>FarBelowGRLabel</vt:lpstr>
      <vt:lpstr>FarBelowTGRApps</vt:lpstr>
      <vt:lpstr>FarBelowTGRCount</vt:lpstr>
      <vt:lpstr>GoldenThree</vt:lpstr>
      <vt:lpstr>GoldenThreeApps</vt:lpstr>
      <vt:lpstr>GradRates</vt:lpstr>
      <vt:lpstr>HailMaryApps</vt:lpstr>
      <vt:lpstr>HailMaryLabel</vt:lpstr>
      <vt:lpstr>IdealGRLabel</vt:lpstr>
      <vt:lpstr>IGRshortLabel</vt:lpstr>
      <vt:lpstr>ILPubApps</vt:lpstr>
      <vt:lpstr>ILPublic</vt:lpstr>
      <vt:lpstr>ILPubMSS</vt:lpstr>
      <vt:lpstr>ILPubSecure</vt:lpstr>
      <vt:lpstr>KidACTs</vt:lpstr>
      <vt:lpstr>KidFirst</vt:lpstr>
      <vt:lpstr>KidGPAs</vt:lpstr>
      <vt:lpstr>KidIDs</vt:lpstr>
      <vt:lpstr>KidLast</vt:lpstr>
      <vt:lpstr>KidRace</vt:lpstr>
      <vt:lpstr>LastFirst</vt:lpstr>
      <vt:lpstr>LongshotApps</vt:lpstr>
      <vt:lpstr>LongshotLabel</vt:lpstr>
      <vt:lpstr>MatchApps</vt:lpstr>
      <vt:lpstr>MatchGRApps</vt:lpstr>
      <vt:lpstr>MatchLabel</vt:lpstr>
      <vt:lpstr>MatchMult</vt:lpstr>
      <vt:lpstr>MatchOrUnder</vt:lpstr>
      <vt:lpstr>MatchOrUnderApps</vt:lpstr>
      <vt:lpstr>MatchUnderMoney</vt:lpstr>
      <vt:lpstr>MGRcount</vt:lpstr>
      <vt:lpstr>MGRMoneyMult</vt:lpstr>
      <vt:lpstr>MGRMult</vt:lpstr>
      <vt:lpstr>MoneyBelowMGRApps</vt:lpstr>
      <vt:lpstr>MoneyChicago</vt:lpstr>
      <vt:lpstr>MoneyChicagoApps</vt:lpstr>
      <vt:lpstr>MoneyCode</vt:lpstr>
      <vt:lpstr>MoneyMatchApps</vt:lpstr>
      <vt:lpstr>MoneyMGRApps</vt:lpstr>
      <vt:lpstr>MoneyMGROdds</vt:lpstr>
      <vt:lpstr>MoneyMGROddsLongshot</vt:lpstr>
      <vt:lpstr>MoneyMGRPlus</vt:lpstr>
      <vt:lpstr>MoneyReachApps</vt:lpstr>
      <vt:lpstr>MoneyRGRApps</vt:lpstr>
      <vt:lpstr>MoneyRGROdds</vt:lpstr>
      <vt:lpstr>MoneyRGROddsLongshot</vt:lpstr>
      <vt:lpstr>MoneyRGRPlus</vt:lpstr>
      <vt:lpstr>MoneySafetyApps</vt:lpstr>
      <vt:lpstr>MoneySecureApps</vt:lpstr>
      <vt:lpstr>MoneySureThingApps</vt:lpstr>
      <vt:lpstr>MoneyYesNo</vt:lpstr>
      <vt:lpstr>NCESids</vt:lpstr>
      <vt:lpstr>Odds</vt:lpstr>
      <vt:lpstr>PredEqual</vt:lpstr>
      <vt:lpstr>PredM1</vt:lpstr>
      <vt:lpstr>PredP</vt:lpstr>
      <vt:lpstr>PredPref</vt:lpstr>
      <vt:lpstr>ReachApps</vt:lpstr>
      <vt:lpstr>ReachGRApps</vt:lpstr>
      <vt:lpstr>ReachLabel</vt:lpstr>
      <vt:lpstr>ReachMult</vt:lpstr>
      <vt:lpstr>ReachStudentTargets</vt:lpstr>
      <vt:lpstr>ReachUnder</vt:lpstr>
      <vt:lpstr>ReachUnderMoney</vt:lpstr>
      <vt:lpstr>Results</vt:lpstr>
      <vt:lpstr>RGRcount</vt:lpstr>
      <vt:lpstr>RGRMoneyMult</vt:lpstr>
      <vt:lpstr>RGRMult</vt:lpstr>
      <vt:lpstr>SafetyApps</vt:lpstr>
      <vt:lpstr>SafetyLabel</vt:lpstr>
      <vt:lpstr>SafetyUnder</vt:lpstr>
      <vt:lpstr>SafetyUnderMoney</vt:lpstr>
      <vt:lpstr>SATtoACT</vt:lpstr>
      <vt:lpstr>SecureApps</vt:lpstr>
      <vt:lpstr>SecureLabel</vt:lpstr>
      <vt:lpstr>Stages</vt:lpstr>
      <vt:lpstr>StrategyLookup</vt:lpstr>
      <vt:lpstr>Strats</vt:lpstr>
      <vt:lpstr>Students</vt:lpstr>
      <vt:lpstr>StudentTargets</vt:lpstr>
      <vt:lpstr>SureThingApps</vt:lpstr>
      <vt:lpstr>SureThingLabel</vt:lpstr>
      <vt:lpstr>TargetGRLabel</vt:lpstr>
      <vt:lpstr>TargetLookup</vt:lpstr>
      <vt:lpstr>TGRorBetterApps</vt:lpstr>
      <vt:lpstr>TGRshortLabel</vt:lpstr>
      <vt:lpstr>WL_Defer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2018-10-02T13:36:50Z</dcterms:created>
  <dcterms:modified xsi:type="dcterms:W3CDTF">2018-10-02T13:36:50Z</dcterms:modified>
</cp:coreProperties>
</file>